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chartsheets/sheet1.xml" ContentType="application/vnd.openxmlformats-officedocument.spreadsheetml.chart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drawings/drawing8.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omments3.xml" ContentType="application/vnd.openxmlformats-officedocument.spreadsheetml.comments+xml"/>
  <Override PartName="/xl/drawings/drawing9.xml" ContentType="application/vnd.openxmlformats-officedocument.drawing+xml"/>
  <Override PartName="/xl/comments4.xml" ContentType="application/vnd.openxmlformats-officedocument.spreadsheetml.comments+xml"/>
  <Override PartName="/xl/charts/chart2.xml" ContentType="application/vnd.openxmlformats-officedocument.drawingml.chart+xml"/>
  <Override PartName="/xl/drawings/drawing10.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drawings/drawing11.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4.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5.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3.xml" ContentType="application/vnd.ms-office.chartstyle+xml"/>
  <Override PartName="/xl/charts/colors3.xml" ContentType="application/vnd.ms-office.chartcolorstyle+xml"/>
  <Override PartName="/xl/charts/chart43.xml" ContentType="application/vnd.openxmlformats-officedocument.drawingml.chart+xml"/>
  <Override PartName="/xl/charts/style4.xml" ContentType="application/vnd.ms-office.chartstyle+xml"/>
  <Override PartName="/xl/charts/colors4.xml" ContentType="application/vnd.ms-office.chartcolorstyle+xml"/>
  <Override PartName="/xl/charts/chart4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8.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drawings/drawing19.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omments7.xml" ContentType="application/vnd.openxmlformats-officedocument.spreadsheetml.comments+xml"/>
  <Override PartName="/xl/drawings/drawing20.xml" ContentType="application/vnd.openxmlformats-officedocument.drawing+xml"/>
  <Override PartName="/xl/comments8.xml" ContentType="application/vnd.openxmlformats-officedocument.spreadsheetml.comments+xml"/>
  <Override PartName="/xl/charts/chart78.xml" ContentType="application/vnd.openxmlformats-officedocument.drawingml.chart+xml"/>
  <Override PartName="/xl/charts/style7.xml" ContentType="application/vnd.ms-office.chartstyle+xml"/>
  <Override PartName="/xl/charts/colors7.xml" ContentType="application/vnd.ms-office.chartcolorstyle+xml"/>
  <Override PartName="/xl/charts/chart79.xml" ContentType="application/vnd.openxmlformats-officedocument.drawingml.chart+xml"/>
  <Override PartName="/xl/charts/style8.xml" ContentType="application/vnd.ms-office.chartstyle+xml"/>
  <Override PartName="/xl/charts/colors8.xml" ContentType="application/vnd.ms-office.chartcolorstyle+xml"/>
  <Override PartName="/xl/charts/chart80.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1.xml" ContentType="application/vnd.openxmlformats-officedocument.drawing+xml"/>
  <Override PartName="/xl/charts/chart81.xml" ContentType="application/vnd.openxmlformats-officedocument.drawingml.chart+xml"/>
  <Override PartName="/xl/drawings/drawing22.xml" ContentType="application/vnd.openxmlformats-officedocument.drawing+xml"/>
  <Override PartName="/xl/comments9.xml" ContentType="application/vnd.openxmlformats-officedocument.spreadsheetml.comments+xml"/>
  <Override PartName="/xl/charts/chart82.xml" ContentType="application/vnd.openxmlformats-officedocument.drawingml.chart+xml"/>
  <Override PartName="/xl/charts/style10.xml" ContentType="application/vnd.ms-office.chartstyle+xml"/>
  <Override PartName="/xl/charts/colors10.xml" ContentType="application/vnd.ms-office.chartcolorstyle+xml"/>
  <Override PartName="/xl/charts/chart83.xml" ContentType="application/vnd.openxmlformats-officedocument.drawingml.chart+xml"/>
  <Override PartName="/xl/charts/style11.xml" ContentType="application/vnd.ms-office.chartstyle+xml"/>
  <Override PartName="/xl/charts/colors11.xml" ContentType="application/vnd.ms-office.chartcolorstyle+xml"/>
  <Override PartName="/xl/comments10.xml" ContentType="application/vnd.openxmlformats-officedocument.spreadsheetml.comments+xml"/>
  <Override PartName="/xl/comments11.xml" ContentType="application/vnd.openxmlformats-officedocument.spreadsheetml.comments+xml"/>
  <Override PartName="/xl/drawings/drawing23.xml" ContentType="application/vnd.openxmlformats-officedocument.drawing+xml"/>
  <Override PartName="/xl/charts/chart84.xml" ContentType="application/vnd.openxmlformats-officedocument.drawingml.chart+xml"/>
  <Override PartName="/xl/charts/style12.xml" ContentType="application/vnd.ms-office.chartstyle+xml"/>
  <Override PartName="/xl/charts/colors12.xml" ContentType="application/vnd.ms-office.chartcolorstyle+xml"/>
  <Override PartName="/xl/comments12.xml" ContentType="application/vnd.openxmlformats-officedocument.spreadsheetml.comments+xml"/>
  <Override PartName="/xl/drawings/drawing24.xml" ContentType="application/vnd.openxmlformats-officedocument.drawing+xml"/>
  <Override PartName="/xl/charts/chart85.xml" ContentType="application/vnd.openxmlformats-officedocument.drawingml.chart+xml"/>
  <Override PartName="/xl/drawings/drawing25.xml" ContentType="application/vnd.openxmlformats-officedocument.drawing+xml"/>
  <Override PartName="/xl/charts/chart86.xml" ContentType="application/vnd.openxmlformats-officedocument.drawingml.chart+xml"/>
  <Override PartName="/xl/charts/style13.xml" ContentType="application/vnd.ms-office.chartstyle+xml"/>
  <Override PartName="/xl/charts/colors13.xml" ContentType="application/vnd.ms-office.chartcolorstyle+xml"/>
  <Override PartName="/xl/charts/chart87.xml" ContentType="application/vnd.openxmlformats-officedocument.drawingml.chart+xml"/>
  <Override PartName="/xl/charts/style14.xml" ContentType="application/vnd.ms-office.chartstyle+xml"/>
  <Override PartName="/xl/charts/colors14.xml" ContentType="application/vnd.ms-office.chartcolorstyle+xml"/>
  <Override PartName="/xl/charts/chart88.xml" ContentType="application/vnd.openxmlformats-officedocument.drawingml.chart+xml"/>
  <Override PartName="/xl/charts/style15.xml" ContentType="application/vnd.ms-office.chartstyle+xml"/>
  <Override PartName="/xl/charts/colors15.xml" ContentType="application/vnd.ms-office.chartcolorstyle+xml"/>
  <Override PartName="/xl/charts/chart89.xml" ContentType="application/vnd.openxmlformats-officedocument.drawingml.chart+xml"/>
  <Override PartName="/xl/charts/style16.xml" ContentType="application/vnd.ms-office.chartstyle+xml"/>
  <Override PartName="/xl/charts/colors16.xml" ContentType="application/vnd.ms-office.chartcolorstyle+xml"/>
  <Override PartName="/xl/charts/chart90.xml" ContentType="application/vnd.openxmlformats-officedocument.drawingml.chart+xml"/>
  <Override PartName="/xl/charts/style17.xml" ContentType="application/vnd.ms-office.chartstyle+xml"/>
  <Override PartName="/xl/charts/colors17.xml" ContentType="application/vnd.ms-office.chartcolorstyle+xml"/>
  <Override PartName="/xl/charts/chart91.xml" ContentType="application/vnd.openxmlformats-officedocument.drawingml.chart+xml"/>
  <Override PartName="/xl/charts/style18.xml" ContentType="application/vnd.ms-office.chartstyle+xml"/>
  <Override PartName="/xl/charts/colors18.xml" ContentType="application/vnd.ms-office.chartcolorstyle+xml"/>
  <Override PartName="/xl/charts/chart92.xml" ContentType="application/vnd.openxmlformats-officedocument.drawingml.chart+xml"/>
  <Override PartName="/xl/charts/style19.xml" ContentType="application/vnd.ms-office.chartstyle+xml"/>
  <Override PartName="/xl/charts/colors19.xml" ContentType="application/vnd.ms-office.chartcolorstyle+xml"/>
  <Override PartName="/xl/charts/chart93.xml" ContentType="application/vnd.openxmlformats-officedocument.drawingml.chart+xml"/>
  <Override PartName="/xl/charts/style20.xml" ContentType="application/vnd.ms-office.chartstyle+xml"/>
  <Override PartName="/xl/charts/colors20.xml" ContentType="application/vnd.ms-office.chartcolorstyle+xml"/>
  <Override PartName="/xl/charts/chart94.xml" ContentType="application/vnd.openxmlformats-officedocument.drawingml.chart+xml"/>
  <Override PartName="/xl/charts/style21.xml" ContentType="application/vnd.ms-office.chartstyle+xml"/>
  <Override PartName="/xl/charts/colors21.xml" ContentType="application/vnd.ms-office.chartcolorstyle+xml"/>
  <Override PartName="/xl/charts/chart95.xml" ContentType="application/vnd.openxmlformats-officedocument.drawingml.chart+xml"/>
  <Override PartName="/xl/charts/style22.xml" ContentType="application/vnd.ms-office.chartstyle+xml"/>
  <Override PartName="/xl/charts/colors22.xml" ContentType="application/vnd.ms-office.chartcolorstyle+xml"/>
  <Override PartName="/xl/charts/chart96.xml" ContentType="application/vnd.openxmlformats-officedocument.drawingml.chart+xml"/>
  <Override PartName="/xl/charts/style23.xml" ContentType="application/vnd.ms-office.chartstyle+xml"/>
  <Override PartName="/xl/charts/colors23.xml" ContentType="application/vnd.ms-office.chartcolorstyle+xml"/>
  <Override PartName="/xl/charts/chart97.xml" ContentType="application/vnd.openxmlformats-officedocument.drawingml.chart+xml"/>
  <Override PartName="/xl/charts/style24.xml" ContentType="application/vnd.ms-office.chartstyle+xml"/>
  <Override PartName="/xl/charts/colors24.xml" ContentType="application/vnd.ms-office.chartcolorstyle+xml"/>
  <Override PartName="/xl/charts/chart98.xml" ContentType="application/vnd.openxmlformats-officedocument.drawingml.chart+xml"/>
  <Override PartName="/xl/charts/style25.xml" ContentType="application/vnd.ms-office.chartstyle+xml"/>
  <Override PartName="/xl/charts/colors25.xml" ContentType="application/vnd.ms-office.chartcolorstyle+xml"/>
  <Override PartName="/xl/charts/chart99.xml" ContentType="application/vnd.openxmlformats-officedocument.drawingml.chart+xml"/>
  <Override PartName="/xl/charts/style26.xml" ContentType="application/vnd.ms-office.chartstyle+xml"/>
  <Override PartName="/xl/charts/colors26.xml" ContentType="application/vnd.ms-office.chartcolorstyle+xml"/>
  <Override PartName="/xl/charts/chart100.xml" ContentType="application/vnd.openxmlformats-officedocument.drawingml.chart+xml"/>
  <Override PartName="/xl/charts/style27.xml" ContentType="application/vnd.ms-office.chartstyle+xml"/>
  <Override PartName="/xl/charts/colors27.xml" ContentType="application/vnd.ms-office.chartcolorstyle+xml"/>
  <Override PartName="/xl/charts/chart101.xml" ContentType="application/vnd.openxmlformats-officedocument.drawingml.chart+xml"/>
  <Override PartName="/xl/charts/style28.xml" ContentType="application/vnd.ms-office.chartstyle+xml"/>
  <Override PartName="/xl/charts/colors28.xml" ContentType="application/vnd.ms-office.chartcolorstyle+xml"/>
  <Override PartName="/xl/charts/chart102.xml" ContentType="application/vnd.openxmlformats-officedocument.drawingml.chart+xml"/>
  <Override PartName="/xl/charts/style29.xml" ContentType="application/vnd.ms-office.chartstyle+xml"/>
  <Override PartName="/xl/charts/colors29.xml" ContentType="application/vnd.ms-office.chartcolorstyle+xml"/>
  <Override PartName="/xl/charts/chart103.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6.xml" ContentType="application/vnd.openxmlformats-officedocument.drawing+xml"/>
  <Override PartName="/xl/comments13.xml" ContentType="application/vnd.openxmlformats-officedocument.spreadsheetml.comments+xml"/>
  <Override PartName="/xl/charts/chart104.xml" ContentType="application/vnd.openxmlformats-officedocument.drawingml.chart+xml"/>
  <Override PartName="/xl/charts/style31.xml" ContentType="application/vnd.ms-office.chartstyle+xml"/>
  <Override PartName="/xl/charts/colors31.xml" ContentType="application/vnd.ms-office.chartcolorstyle+xml"/>
  <Override PartName="/xl/charts/chart105.xml" ContentType="application/vnd.openxmlformats-officedocument.drawingml.chart+xml"/>
  <Override PartName="/xl/charts/style32.xml" ContentType="application/vnd.ms-office.chartstyle+xml"/>
  <Override PartName="/xl/charts/colors32.xml" ContentType="application/vnd.ms-office.chartcolorstyle+xml"/>
  <Override PartName="/xl/charts/chart106.xml" ContentType="application/vnd.openxmlformats-officedocument.drawingml.chart+xml"/>
  <Override PartName="/xl/charts/style33.xml" ContentType="application/vnd.ms-office.chartstyle+xml"/>
  <Override PartName="/xl/charts/colors33.xml" ContentType="application/vnd.ms-office.chartcolorstyle+xml"/>
  <Override PartName="/xl/charts/chart107.xml" ContentType="application/vnd.openxmlformats-officedocument.drawingml.chart+xml"/>
  <Override PartName="/xl/charts/style34.xml" ContentType="application/vnd.ms-office.chartstyle+xml"/>
  <Override PartName="/xl/charts/colors34.xml" ContentType="application/vnd.ms-office.chartcolorstyle+xml"/>
  <Override PartName="/xl/charts/chart108.xml" ContentType="application/vnd.openxmlformats-officedocument.drawingml.chart+xml"/>
  <Override PartName="/xl/charts/style35.xml" ContentType="application/vnd.ms-office.chartstyle+xml"/>
  <Override PartName="/xl/charts/colors35.xml" ContentType="application/vnd.ms-office.chartcolorstyle+xml"/>
  <Override PartName="/xl/charts/chart109.xml" ContentType="application/vnd.openxmlformats-officedocument.drawingml.chart+xml"/>
  <Override PartName="/xl/charts/style36.xml" ContentType="application/vnd.ms-office.chartstyle+xml"/>
  <Override PartName="/xl/charts/colors36.xml" ContentType="application/vnd.ms-office.chartcolorstyle+xml"/>
  <Override PartName="/xl/charts/chart110.xml" ContentType="application/vnd.openxmlformats-officedocument.drawingml.chart+xml"/>
  <Override PartName="/xl/charts/style37.xml" ContentType="application/vnd.ms-office.chartstyle+xml"/>
  <Override PartName="/xl/charts/colors37.xml" ContentType="application/vnd.ms-office.chartcolorstyle+xml"/>
  <Override PartName="/xl/charts/chart111.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7.xml" ContentType="application/vnd.openxmlformats-officedocument.drawing+xml"/>
  <Override PartName="/xl/charts/chart112.xml" ContentType="application/vnd.openxmlformats-officedocument.drawingml.chart+xml"/>
  <Override PartName="/xl/charts/style39.xml" ContentType="application/vnd.ms-office.chartstyle+xml"/>
  <Override PartName="/xl/charts/colors39.xml" ContentType="application/vnd.ms-office.chartcolorstyle+xml"/>
  <Override PartName="/xl/charts/chart113.xml" ContentType="application/vnd.openxmlformats-officedocument.drawingml.chart+xml"/>
  <Override PartName="/xl/charts/style40.xml" ContentType="application/vnd.ms-office.chartstyle+xml"/>
  <Override PartName="/xl/charts/colors40.xml" ContentType="application/vnd.ms-office.chartcolorstyle+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8.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29.xml" ContentType="application/vnd.openxmlformats-officedocument.drawing+xml"/>
  <Override PartName="/xl/comments22.xml" ContentType="application/vnd.openxmlformats-officedocument.spreadsheetml.comments+xml"/>
  <Override PartName="/xl/charts/chart114.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0.xml" ContentType="application/vnd.openxmlformats-officedocument.drawing+xml"/>
  <Override PartName="/xl/comments23.xml" ContentType="application/vnd.openxmlformats-officedocument.spreadsheetml.comments+xml"/>
  <Override PartName="/xl/charts/chart115.xml" ContentType="application/vnd.openxmlformats-officedocument.drawingml.chart+xml"/>
  <Override PartName="/xl/charts/style42.xml" ContentType="application/vnd.ms-office.chartstyle+xml"/>
  <Override PartName="/xl/charts/colors42.xml" ContentType="application/vnd.ms-office.chartcolorstyle+xml"/>
  <Override PartName="/xl/comments24.xml" ContentType="application/vnd.openxmlformats-officedocument.spreadsheetml.comments+xml"/>
  <Override PartName="/xl/comments25.xml" ContentType="application/vnd.openxmlformats-officedocument.spreadsheetml.comments+xml"/>
  <Override PartName="/xl/drawings/drawing31.xml" ContentType="application/vnd.openxmlformats-officedocument.drawing+xml"/>
  <Override PartName="/xl/charts/chart116.xml" ContentType="application/vnd.openxmlformats-officedocument.drawingml.chart+xml"/>
  <Override PartName="/xl/drawings/drawing32.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drawings/drawing33.xml" ContentType="application/vnd.openxmlformats-officedocument.drawing+xml"/>
  <Override PartName="/xl/comments26.xml" ContentType="application/vnd.openxmlformats-officedocument.spreadsheetml.comments+xml"/>
  <Override PartName="/xl/charts/chart120.xml" ContentType="application/vnd.openxmlformats-officedocument.drawingml.chart+xml"/>
  <Override PartName="/xl/drawings/drawing34.xml" ContentType="application/vnd.openxmlformats-officedocument.drawing+xml"/>
  <Override PartName="/xl/comments27.xml" ContentType="application/vnd.openxmlformats-officedocument.spreadsheetml.comments+xml"/>
  <Override PartName="/xl/charts/chart121.xml" ContentType="application/vnd.openxmlformats-officedocument.drawingml.chart+xml"/>
  <Override PartName="/xl/drawings/drawing35.xml" ContentType="application/vnd.openxmlformats-officedocument.drawing+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defaultThemeVersion="124226"/>
  <mc:AlternateContent xmlns:mc="http://schemas.openxmlformats.org/markup-compatibility/2006">
    <mc:Choice Requires="x15">
      <x15ac:absPath xmlns:x15ac="http://schemas.microsoft.com/office/spreadsheetml/2010/11/ac" url="\\intranet.veurne.be\dfsroot\VEURNE\02_0_Organisatie\02_23_Boordtabellen\"/>
    </mc:Choice>
  </mc:AlternateContent>
  <xr:revisionPtr revIDLastSave="0" documentId="13_ncr:1_{AD807C49-B100-45F8-983A-EBBBE36625C9}" xr6:coauthVersionLast="36" xr6:coauthVersionMax="36" xr10:uidLastSave="{00000000-0000-0000-0000-000000000000}"/>
  <bookViews>
    <workbookView xWindow="0" yWindow="0" windowWidth="7470" windowHeight="6615" firstSheet="25" activeTab="38" xr2:uid="{00000000-000D-0000-FFFF-FFFF00000000}"/>
  </bookViews>
  <sheets>
    <sheet name="BOORDTABELLEN" sheetId="1" r:id="rId1"/>
    <sheet name="INDELING" sheetId="7" r:id="rId2"/>
    <sheet name="WELZIJN" sheetId="2" r:id="rId3"/>
    <sheet name="BURGER" sheetId="9" r:id="rId4"/>
    <sheet name="VRIJE TIJD" sheetId="3" r:id="rId5"/>
    <sheet name="FINANCIËN" sheetId="11" r:id="rId6"/>
    <sheet name="PERSONEEL" sheetId="12" r:id="rId7"/>
    <sheet name="ICT" sheetId="104" r:id="rId8"/>
    <sheet name="B-Burgerzaken" sheetId="93" r:id="rId9"/>
    <sheet name="B-milieu" sheetId="94" r:id="rId10"/>
    <sheet name="B-wonen" sheetId="95" r:id="rId11"/>
    <sheet name="B-Mobiliteit" sheetId="96" r:id="rId12"/>
    <sheet name="B-onderwijs&amp;opvang" sheetId="98" r:id="rId13"/>
    <sheet name="VT-BIB" sheetId="84" r:id="rId14"/>
    <sheet name="VT-FEEST" sheetId="86" r:id="rId15"/>
    <sheet name="VT-JEUGD" sheetId="87" r:id="rId16"/>
    <sheet name="VT-VISIT VEURNE" sheetId="92" r:id="rId17"/>
    <sheet name="VT-SPORT" sheetId="88" r:id="rId18"/>
    <sheet name="VT-ZWEMBAD" sheetId="85" r:id="rId19"/>
    <sheet name="W-WZC TL" sheetId="76" r:id="rId20"/>
    <sheet name="W-GEZINSHULP" sheetId="77" r:id="rId21"/>
    <sheet name="W-SD" sheetId="80" r:id="rId22"/>
    <sheet name="W-ZB" sheetId="78" r:id="rId23"/>
    <sheet name="W-ZW" sheetId="79" r:id="rId24"/>
    <sheet name="W-PP" sheetId="83" r:id="rId25"/>
    <sheet name="F-Belast." sheetId="13" r:id="rId26"/>
    <sheet name="F-Belast. (2)" sheetId="99" state="hidden" r:id="rId27"/>
    <sheet name="F-Bel. regl." sheetId="14" r:id="rId28"/>
    <sheet name="F-Beleg. div." sheetId="15" r:id="rId29"/>
    <sheet name="F-Fisc." sheetId="16" r:id="rId30"/>
    <sheet name="F-Fonds" sheetId="17" r:id="rId31"/>
    <sheet name="F-Gem fonds ber" sheetId="51" r:id="rId32"/>
    <sheet name="F-GSV" sheetId="19" r:id="rId33"/>
    <sheet name="F-KI" sheetId="20" r:id="rId34"/>
    <sheet name="F-KF" sheetId="21" r:id="rId35"/>
    <sheet name="F-KF Vermogen" sheetId="108" r:id="rId36"/>
    <sheet name="Grafiek1" sheetId="100" state="hidden" r:id="rId37"/>
    <sheet name="F-Kohier" sheetId="22" r:id="rId38"/>
    <sheet name="F.retr bz" sheetId="23" r:id="rId39"/>
    <sheet name="F.dotatie" sheetId="27" r:id="rId40"/>
    <sheet name="F-Taartjes" sheetId="109" r:id="rId41"/>
    <sheet name="F-Staat O en K" sheetId="110" r:id="rId42"/>
    <sheet name="F-Financieel evenw" sheetId="111" r:id="rId43"/>
    <sheet name="F-Afval" sheetId="36" r:id="rId44"/>
    <sheet name="F- BIB" sheetId="37" r:id="rId45"/>
    <sheet name="F-BKO" sheetId="43" r:id="rId46"/>
    <sheet name="F-Cult &amp; Arch" sheetId="35" r:id="rId47"/>
    <sheet name="F-Dorpshuizen" sheetId="44" r:id="rId48"/>
    <sheet name="F-Groendienst" sheetId="41" r:id="rId49"/>
    <sheet name="F-SAMWD" sheetId="39" r:id="rId50"/>
    <sheet name="F-School" sheetId="38" r:id="rId51"/>
    <sheet name="F-Sport" sheetId="42" r:id="rId52"/>
    <sheet name="F-Toerisme" sheetId="40" r:id="rId53"/>
    <sheet name="F-projectsubsidies" sheetId="101" r:id="rId54"/>
    <sheet name="F- inv subs" sheetId="47" state="hidden" r:id="rId55"/>
    <sheet name="F-Pers&amp;Werk sub" sheetId="49" r:id="rId56"/>
    <sheet name="F-subsidies" sheetId="90" r:id="rId57"/>
    <sheet name="F-Werkingskr" sheetId="45" r:id="rId58"/>
    <sheet name="F-Werkingskr evolutie" sheetId="46" r:id="rId59"/>
    <sheet name="F-verz voertuigen" sheetId="70" r:id="rId60"/>
    <sheet name="F- verz alle risico" sheetId="69" r:id="rId61"/>
    <sheet name="F-verz brand" sheetId="68" r:id="rId62"/>
    <sheet name="F-evolutie schuld stad &amp; agb" sheetId="63" state="hidden" r:id="rId63"/>
    <sheet name="F-evolutie schuld stad &amp; ag" sheetId="102" r:id="rId64"/>
    <sheet name="F-schuld stad oud" sheetId="62" r:id="rId65"/>
    <sheet name="F-leningen" sheetId="66" r:id="rId66"/>
    <sheet name="F-eco groepen" sheetId="55" r:id="rId67"/>
    <sheet name="F-energie" sheetId="61" r:id="rId68"/>
    <sheet name="F-fact ontv" sheetId="50" r:id="rId69"/>
    <sheet name="F- ontv vs uitg" sheetId="53" r:id="rId70"/>
    <sheet name="F-matrix ontv" sheetId="48" r:id="rId71"/>
    <sheet name="F- fin. overb." sheetId="67" r:id="rId72"/>
    <sheet name="F-AFM" sheetId="54" r:id="rId73"/>
    <sheet name="F-eigen aandeel inv" sheetId="59" r:id="rId74"/>
    <sheet name="F-processen fin" sheetId="74" r:id="rId75"/>
    <sheet name="F-DEXIA" sheetId="52" r:id="rId76"/>
    <sheet name="F-RIZIVBEWONERS" sheetId="72" r:id="rId77"/>
    <sheet name="P-pers alg OCMW" sheetId="81" r:id="rId78"/>
    <sheet name="P-tewerkstelling" sheetId="82" r:id="rId79"/>
    <sheet name="P-hospitalisatie" sheetId="56" r:id="rId80"/>
    <sheet name="P Resp bijdrage" sheetId="57" state="hidden" r:id="rId81"/>
    <sheet name="P-Resp bijdrage" sheetId="103" r:id="rId82"/>
    <sheet name="P-Soc zek bijdr" sheetId="73" r:id="rId83"/>
    <sheet name="P-TM1 pers" sheetId="58" r:id="rId84"/>
    <sheet name="ICT-cijfers" sheetId="106" r:id="rId85"/>
  </sheets>
  <externalReferences>
    <externalReference r:id="rId86"/>
  </externalReferences>
  <definedNames>
    <definedName name="_xlnm._FilterDatabase" localSheetId="65" hidden="1">'F-leningen'!$A$3:$T$18</definedName>
    <definedName name="_xlnm._FilterDatabase" localSheetId="61" hidden="1">'F-verz brand'!$A$4:$T$4</definedName>
    <definedName name="adrdienst" localSheetId="55">'F-Pers&amp;Werk sub'!#REF!</definedName>
    <definedName name="_xlnm.Print_Area" localSheetId="54">'F- inv subs'!$A$3:$K$86</definedName>
    <definedName name="_xlnm.Print_Area" localSheetId="34">'F-KF'!$A$1:$AA$129</definedName>
    <definedName name="_xlnm.Print_Area" localSheetId="53">'F-projectsubsidies'!#REF!</definedName>
    <definedName name="_xlnm.Print_Area" localSheetId="57">'F-Werkingskr'!$A$1:$K$1</definedName>
    <definedName name="_xlnm.Print_Area" localSheetId="77">'P-pers alg OCMW'!$A$3:$R$41</definedName>
    <definedName name="_xlnm.Print_Area" localSheetId="78">'P-tewerkstelling'!$A$3:$D$329</definedName>
    <definedName name="_xlnm.Print_Area" localSheetId="20">'W-GEZINSHULP'!$A$3:$D$21</definedName>
    <definedName name="_xlnm.Print_Area" localSheetId="24">'W-PP'!$A$16:$C$42</definedName>
    <definedName name="_xlnm.Print_Area" localSheetId="21">'W-SD'!$A$3:$E$198</definedName>
    <definedName name="_xlnm.Print_Area" localSheetId="19">'W-WZC TL'!$A$4:$D$192</definedName>
    <definedName name="_xlnm.Print_Area" localSheetId="22">'W-ZB'!$A$3:$D$47</definedName>
    <definedName name="_xlnm.Print_Area" localSheetId="23">'W-ZW'!$A$3:$E$54</definedName>
    <definedName name="_xlnm.Print_Titles" localSheetId="78">'P-tewerkstelling'!#REF!</definedName>
    <definedName name="_xlnm.Print_Titles" localSheetId="20">'W-GEZINSHULP'!#REF!</definedName>
    <definedName name="_xlnm.Print_Titles" localSheetId="24">'W-PP'!#REF!</definedName>
    <definedName name="_xlnm.Print_Titles" localSheetId="21">'W-SD'!#REF!</definedName>
    <definedName name="_xlnm.Print_Titles" localSheetId="23">'W-ZW'!#REF!</definedName>
    <definedName name="dienst" localSheetId="55">'F-Pers&amp;Werk sub'!#REF!</definedName>
    <definedName name="ndbouwaanhorigheid" localSheetId="35">'F-KF Vermogen'!$A$73</definedName>
    <definedName name="rekdienst" localSheetId="55">'F-Pers&amp;Werk sub'!$C$270</definedName>
  </definedNames>
  <calcPr calcId="191029"/>
</workbook>
</file>

<file path=xl/calcChain.xml><?xml version="1.0" encoding="utf-8"?>
<calcChain xmlns="http://schemas.openxmlformats.org/spreadsheetml/2006/main">
  <c r="N46" i="23" l="1"/>
  <c r="N47" i="23" s="1"/>
  <c r="P15" i="50" l="1"/>
  <c r="N63" i="23" l="1"/>
  <c r="F64" i="23"/>
  <c r="N64" i="23" s="1"/>
  <c r="M57" i="23"/>
  <c r="L57" i="23"/>
  <c r="K57" i="23"/>
  <c r="J57" i="23"/>
  <c r="I57" i="23"/>
  <c r="H57" i="23"/>
  <c r="G57" i="23"/>
  <c r="F57" i="23"/>
  <c r="F61" i="23" s="1"/>
  <c r="F62" i="23" s="1"/>
  <c r="E57" i="23"/>
  <c r="D57" i="23"/>
  <c r="C57" i="23"/>
  <c r="B57" i="23"/>
  <c r="N57" i="23"/>
  <c r="F53" i="23"/>
  <c r="G45" i="23"/>
  <c r="H45" i="23"/>
  <c r="I45" i="23"/>
  <c r="J45" i="23"/>
  <c r="K45" i="23"/>
  <c r="L45" i="23"/>
  <c r="M45" i="23"/>
  <c r="F45" i="23"/>
  <c r="F47" i="23" s="1"/>
  <c r="N62" i="23" l="1"/>
  <c r="N61" i="23"/>
  <c r="AF196" i="93"/>
  <c r="AE196" i="93"/>
  <c r="AD196" i="93"/>
  <c r="AC196" i="93"/>
  <c r="AB196" i="93"/>
  <c r="AA196" i="93"/>
  <c r="Z196" i="93"/>
  <c r="Y196" i="93"/>
  <c r="X196" i="93"/>
  <c r="W196" i="93"/>
  <c r="V196" i="93"/>
  <c r="U196" i="93"/>
  <c r="T196" i="93"/>
  <c r="S196" i="93"/>
  <c r="R196" i="93"/>
  <c r="Q196" i="93"/>
  <c r="P196" i="93"/>
  <c r="O196" i="93"/>
  <c r="N196" i="93"/>
  <c r="M196" i="93"/>
  <c r="L196" i="93"/>
  <c r="K196" i="93"/>
  <c r="J196" i="93"/>
  <c r="I196" i="93"/>
  <c r="H196" i="93"/>
  <c r="G196" i="93"/>
  <c r="F196" i="93"/>
  <c r="E196" i="93"/>
  <c r="D196" i="93"/>
  <c r="C196" i="93"/>
  <c r="Q102" i="93"/>
  <c r="P102" i="93"/>
  <c r="O102" i="93"/>
  <c r="N102" i="93"/>
  <c r="M102" i="93"/>
  <c r="L102" i="93"/>
  <c r="K102" i="93"/>
  <c r="J102" i="93"/>
  <c r="I102" i="93"/>
  <c r="H102" i="93"/>
  <c r="G102" i="93"/>
  <c r="F102" i="93"/>
  <c r="E102" i="93"/>
  <c r="D102" i="93"/>
  <c r="C102" i="93"/>
  <c r="Q92" i="93"/>
  <c r="N92" i="93" s="1"/>
  <c r="M92" i="93"/>
  <c r="J92" i="93"/>
  <c r="G92" i="93"/>
  <c r="D92" i="93"/>
  <c r="Q91" i="93"/>
  <c r="N91" i="93"/>
  <c r="M91" i="93"/>
  <c r="J91" i="93"/>
  <c r="G91" i="93"/>
  <c r="D91" i="93"/>
  <c r="M90" i="93"/>
  <c r="J90" i="93"/>
  <c r="G90" i="93"/>
  <c r="D90" i="93"/>
  <c r="Q89" i="93"/>
  <c r="N90" i="93" s="1"/>
  <c r="Q88" i="93"/>
  <c r="N88" i="93" s="1"/>
  <c r="M88" i="93"/>
  <c r="J88" i="93"/>
  <c r="G88" i="93"/>
  <c r="D88" i="93"/>
  <c r="Q87" i="93"/>
  <c r="M87" i="93"/>
  <c r="J87" i="93"/>
  <c r="G87" i="93"/>
  <c r="D87" i="93"/>
  <c r="Q86" i="93"/>
  <c r="N87" i="93" s="1"/>
  <c r="M86" i="93"/>
  <c r="J86" i="93"/>
  <c r="G86" i="93"/>
  <c r="D86" i="93"/>
  <c r="Q85" i="93"/>
  <c r="N85" i="93" s="1"/>
  <c r="M85" i="93"/>
  <c r="J85" i="93"/>
  <c r="G85" i="93"/>
  <c r="D85" i="93"/>
  <c r="Q84" i="93"/>
  <c r="N84" i="93" s="1"/>
  <c r="M84" i="93"/>
  <c r="J84" i="93"/>
  <c r="G84" i="93"/>
  <c r="D84" i="93"/>
  <c r="Q83" i="93"/>
  <c r="N83" i="93" s="1"/>
  <c r="M83" i="93"/>
  <c r="J83" i="93"/>
  <c r="G83" i="93"/>
  <c r="D83" i="93"/>
  <c r="Q82" i="93"/>
  <c r="M82" i="93"/>
  <c r="J82" i="93"/>
  <c r="G82" i="93"/>
  <c r="D82" i="93"/>
  <c r="Q81" i="93"/>
  <c r="N81" i="93" s="1"/>
  <c r="M81" i="93"/>
  <c r="J81" i="93"/>
  <c r="G81" i="93"/>
  <c r="D81" i="93"/>
  <c r="Q80" i="93"/>
  <c r="N80" i="93" s="1"/>
  <c r="M80" i="93"/>
  <c r="J80" i="93"/>
  <c r="G80" i="93"/>
  <c r="D80" i="93"/>
  <c r="Q79" i="93"/>
  <c r="N79" i="93" s="1"/>
  <c r="M79" i="93"/>
  <c r="J79" i="93"/>
  <c r="G79" i="93"/>
  <c r="D79" i="93"/>
  <c r="Q78" i="93"/>
  <c r="N78" i="93" s="1"/>
  <c r="M78" i="93"/>
  <c r="J78" i="93"/>
  <c r="G78" i="93"/>
  <c r="D78" i="93"/>
  <c r="Q77" i="93"/>
  <c r="N77" i="93" s="1"/>
  <c r="M77" i="93"/>
  <c r="G77" i="93"/>
  <c r="D77" i="93"/>
  <c r="Q76" i="93"/>
  <c r="N76" i="93"/>
  <c r="M76" i="93"/>
  <c r="J76" i="93"/>
  <c r="G76" i="93"/>
  <c r="D76" i="93"/>
  <c r="Q75" i="93"/>
  <c r="N75" i="93" s="1"/>
  <c r="M75" i="93"/>
  <c r="J75" i="93"/>
  <c r="G75" i="93"/>
  <c r="D75" i="93"/>
  <c r="Q74" i="93"/>
  <c r="N74" i="93" s="1"/>
  <c r="M74" i="93"/>
  <c r="J74" i="93"/>
  <c r="G74" i="93"/>
  <c r="D74" i="93"/>
  <c r="Q73" i="93"/>
  <c r="N73" i="93" s="1"/>
  <c r="M73" i="93"/>
  <c r="J73" i="93"/>
  <c r="G73" i="93"/>
  <c r="D73" i="93"/>
  <c r="Q72" i="93"/>
  <c r="N72" i="93"/>
  <c r="M72" i="93"/>
  <c r="J72" i="93"/>
  <c r="G72" i="93"/>
  <c r="D72" i="93"/>
  <c r="Q71" i="93"/>
  <c r="N71" i="93" s="1"/>
  <c r="M71" i="93"/>
  <c r="J71" i="93"/>
  <c r="G71" i="93"/>
  <c r="D71" i="93"/>
  <c r="Q70" i="93"/>
  <c r="N70" i="93" s="1"/>
  <c r="M70" i="93"/>
  <c r="J70" i="93"/>
  <c r="G70" i="93"/>
  <c r="D70" i="93"/>
  <c r="Q69" i="93"/>
  <c r="N69" i="93" s="1"/>
  <c r="M69" i="93"/>
  <c r="J69" i="93"/>
  <c r="G69" i="93"/>
  <c r="D69" i="93"/>
  <c r="Q68" i="93"/>
  <c r="Q67" i="93"/>
  <c r="M67" i="93"/>
  <c r="J67" i="93"/>
  <c r="G67" i="93"/>
  <c r="D67" i="93"/>
  <c r="Q66" i="93"/>
  <c r="M66" i="93"/>
  <c r="J66" i="93"/>
  <c r="G66" i="93"/>
  <c r="D66" i="93"/>
  <c r="Q65" i="93"/>
  <c r="M65" i="93"/>
  <c r="J65" i="93"/>
  <c r="G65" i="93"/>
  <c r="D65" i="93"/>
  <c r="Q64" i="93"/>
  <c r="M64" i="93"/>
  <c r="J64" i="93"/>
  <c r="G64" i="93"/>
  <c r="D64" i="93"/>
  <c r="Q63" i="93"/>
  <c r="M63" i="93"/>
  <c r="J63" i="93"/>
  <c r="G63" i="93"/>
  <c r="D63" i="93"/>
  <c r="Q62" i="93"/>
  <c r="M62" i="93"/>
  <c r="J62" i="93"/>
  <c r="G62" i="93"/>
  <c r="D62" i="93"/>
  <c r="Q61" i="93"/>
  <c r="M61" i="93"/>
  <c r="J61" i="93"/>
  <c r="G61" i="93"/>
  <c r="D61" i="93"/>
  <c r="Q60" i="93"/>
  <c r="M60" i="93"/>
  <c r="J60" i="93"/>
  <c r="G60" i="93"/>
  <c r="D60" i="93"/>
  <c r="M59" i="93"/>
  <c r="J59" i="93"/>
  <c r="G59" i="93"/>
  <c r="Q58" i="93"/>
  <c r="M58" i="93"/>
  <c r="J58" i="93"/>
  <c r="G58" i="93"/>
  <c r="D58" i="93"/>
  <c r="Q57" i="93"/>
  <c r="M57" i="93"/>
  <c r="J57" i="93"/>
  <c r="G57" i="93"/>
  <c r="D57" i="93"/>
  <c r="Q56" i="93"/>
  <c r="M56" i="93"/>
  <c r="J56" i="93"/>
  <c r="G56" i="93"/>
  <c r="D56" i="93"/>
  <c r="Q55" i="93"/>
  <c r="M55" i="93"/>
  <c r="J55" i="93"/>
  <c r="G55" i="93"/>
  <c r="D55" i="93"/>
  <c r="Q54" i="93"/>
  <c r="M54" i="93"/>
  <c r="J54" i="93"/>
  <c r="G54" i="93"/>
  <c r="D54" i="93"/>
  <c r="Q53" i="93"/>
  <c r="M53" i="93"/>
  <c r="J53" i="93"/>
  <c r="D53" i="93"/>
  <c r="Q52" i="93"/>
  <c r="M52" i="93"/>
  <c r="J52" i="93"/>
  <c r="G52" i="93"/>
  <c r="D52" i="93"/>
  <c r="Q51" i="93"/>
  <c r="M51" i="93"/>
  <c r="J51" i="93"/>
  <c r="Q50" i="93"/>
  <c r="M50" i="93"/>
  <c r="J50" i="93"/>
  <c r="G50" i="93"/>
  <c r="D50" i="93"/>
  <c r="Q49" i="93"/>
  <c r="M49" i="93"/>
  <c r="J49" i="93"/>
  <c r="G49" i="93"/>
  <c r="D49" i="93"/>
  <c r="Q48" i="93"/>
  <c r="M48" i="93"/>
  <c r="J48" i="93"/>
  <c r="G48" i="93"/>
  <c r="D48" i="93"/>
  <c r="Q47" i="93"/>
  <c r="M47" i="93"/>
  <c r="J47" i="93"/>
  <c r="G47" i="93"/>
  <c r="D47" i="93"/>
  <c r="Q46" i="93"/>
  <c r="M46" i="93"/>
  <c r="J46" i="93"/>
  <c r="G46" i="93"/>
  <c r="D46" i="93"/>
  <c r="Q45" i="93"/>
  <c r="M45" i="93"/>
  <c r="J45" i="93"/>
  <c r="G45" i="93"/>
  <c r="D45" i="93"/>
  <c r="Q44" i="93"/>
  <c r="M44" i="93"/>
  <c r="J44" i="93"/>
  <c r="G44" i="93"/>
  <c r="D44" i="93"/>
  <c r="Q43" i="93"/>
  <c r="M43" i="93"/>
  <c r="J43" i="93"/>
  <c r="G43" i="93"/>
  <c r="D43" i="93"/>
  <c r="Q42" i="93"/>
  <c r="M42" i="93"/>
  <c r="J42" i="93"/>
  <c r="G42" i="93"/>
  <c r="D42" i="93"/>
  <c r="Q41" i="93"/>
  <c r="M41" i="93"/>
  <c r="J41" i="93"/>
  <c r="G41" i="93"/>
  <c r="D41" i="93"/>
  <c r="Q40" i="93"/>
  <c r="M40" i="93"/>
  <c r="J40" i="93"/>
  <c r="G40" i="93"/>
  <c r="D40" i="93"/>
  <c r="Q39" i="93"/>
  <c r="Q38" i="93"/>
  <c r="M38" i="93"/>
  <c r="J38" i="93"/>
  <c r="G38" i="93"/>
  <c r="D38" i="93"/>
  <c r="Q37" i="93"/>
  <c r="M37" i="93"/>
  <c r="J37" i="93"/>
  <c r="G37" i="93"/>
  <c r="D37" i="93"/>
  <c r="Q36" i="93"/>
  <c r="M36" i="93"/>
  <c r="G36" i="93"/>
  <c r="D36" i="93"/>
  <c r="Q35" i="93"/>
  <c r="M35" i="93"/>
  <c r="J35" i="93"/>
  <c r="G35" i="93"/>
  <c r="D35" i="93"/>
  <c r="Q34" i="93"/>
  <c r="M34" i="93"/>
  <c r="J34" i="93"/>
  <c r="G34" i="93"/>
  <c r="D34" i="93"/>
  <c r="Q33" i="93"/>
  <c r="M33" i="93"/>
  <c r="J33" i="93"/>
  <c r="G33" i="93"/>
  <c r="D33" i="93"/>
  <c r="Q32" i="93"/>
  <c r="M32" i="93"/>
  <c r="J32" i="93"/>
  <c r="G32" i="93"/>
  <c r="D32" i="93"/>
  <c r="Q31" i="93"/>
  <c r="M31" i="93"/>
  <c r="J31" i="93"/>
  <c r="G31" i="93"/>
  <c r="D31" i="93"/>
  <c r="Q30" i="93"/>
  <c r="M30" i="93"/>
  <c r="J30" i="93"/>
  <c r="G30" i="93"/>
  <c r="D30" i="93"/>
  <c r="Q29" i="93"/>
  <c r="M29" i="93"/>
  <c r="J29" i="93"/>
  <c r="G29" i="93"/>
  <c r="D29" i="93"/>
  <c r="K15" i="93"/>
  <c r="R9" i="93"/>
  <c r="Q9" i="93"/>
  <c r="O9" i="93"/>
  <c r="K9" i="93"/>
  <c r="I9" i="93"/>
  <c r="H9" i="93"/>
  <c r="G9" i="93"/>
  <c r="F9" i="93"/>
  <c r="E9" i="93"/>
  <c r="N82" i="93" l="1"/>
  <c r="N86" i="93"/>
  <c r="C88" i="106" l="1"/>
  <c r="C75" i="106"/>
  <c r="C58" i="106"/>
  <c r="C26" i="106"/>
  <c r="M179" i="98" l="1"/>
  <c r="L179" i="98"/>
  <c r="G179" i="98"/>
  <c r="F179" i="98"/>
  <c r="D179" i="98"/>
  <c r="C179" i="98"/>
  <c r="I149" i="80" l="1"/>
  <c r="G34" i="80"/>
  <c r="P24" i="72" l="1"/>
  <c r="L24" i="72"/>
  <c r="M24" i="72" s="1"/>
  <c r="Q24" i="72"/>
  <c r="AB85" i="21" l="1"/>
  <c r="AB84" i="21"/>
  <c r="AB64" i="21"/>
  <c r="AB62" i="21"/>
  <c r="AB50" i="21"/>
  <c r="AB49" i="21"/>
  <c r="AB67" i="21"/>
  <c r="AB68" i="21"/>
  <c r="AB71" i="21"/>
  <c r="AB69" i="21"/>
  <c r="AB70" i="21"/>
  <c r="AB72" i="21"/>
  <c r="AB75" i="21"/>
  <c r="AB74" i="21"/>
  <c r="AB73" i="21"/>
  <c r="AA73" i="21"/>
  <c r="AB76" i="21" l="1"/>
  <c r="N44" i="23"/>
  <c r="K33" i="111" l="1"/>
  <c r="I34" i="111"/>
  <c r="H34" i="111"/>
  <c r="G34" i="111"/>
  <c r="F34" i="111"/>
  <c r="E34" i="111"/>
  <c r="D34" i="111"/>
  <c r="C34" i="111"/>
  <c r="B34" i="111"/>
  <c r="K26" i="111"/>
  <c r="G26" i="111"/>
  <c r="K22" i="111"/>
  <c r="I22" i="111"/>
  <c r="H22" i="111"/>
  <c r="G22" i="111"/>
  <c r="F22" i="111"/>
  <c r="E22" i="111"/>
  <c r="D22" i="111"/>
  <c r="K15" i="111"/>
  <c r="G15" i="111"/>
  <c r="K11" i="111"/>
  <c r="G11" i="111"/>
  <c r="K7" i="111"/>
  <c r="G7" i="111"/>
  <c r="I130" i="110"/>
  <c r="H130" i="110"/>
  <c r="G130" i="110"/>
  <c r="F130" i="110"/>
  <c r="E130" i="110"/>
  <c r="D130" i="110"/>
  <c r="C130" i="110"/>
  <c r="B130" i="110"/>
  <c r="I129" i="110"/>
  <c r="H129" i="110"/>
  <c r="G129" i="110"/>
  <c r="G131" i="110" s="1"/>
  <c r="F129" i="110"/>
  <c r="F131" i="110" s="1"/>
  <c r="E129" i="110"/>
  <c r="E131" i="110" s="1"/>
  <c r="D129" i="110"/>
  <c r="C129" i="110"/>
  <c r="C131" i="110" s="1"/>
  <c r="B129" i="110"/>
  <c r="B131" i="110" s="1"/>
  <c r="I112" i="110"/>
  <c r="H112" i="110"/>
  <c r="G112" i="110"/>
  <c r="F112" i="110"/>
  <c r="E112" i="110"/>
  <c r="D112" i="110"/>
  <c r="C112" i="110"/>
  <c r="B112" i="110"/>
  <c r="I111" i="110"/>
  <c r="I68" i="110" s="1"/>
  <c r="H111" i="110"/>
  <c r="H68" i="110" s="1"/>
  <c r="G111" i="110"/>
  <c r="G113" i="110" s="1"/>
  <c r="F111" i="110"/>
  <c r="F113" i="110" s="1"/>
  <c r="E111" i="110"/>
  <c r="E113" i="110" s="1"/>
  <c r="D111" i="110"/>
  <c r="D113" i="110" s="1"/>
  <c r="C111" i="110"/>
  <c r="C113" i="110" s="1"/>
  <c r="B111" i="110"/>
  <c r="B113" i="110" s="1"/>
  <c r="I99" i="110"/>
  <c r="H99" i="110"/>
  <c r="I98" i="110"/>
  <c r="H98" i="110"/>
  <c r="I97" i="110"/>
  <c r="H97" i="110"/>
  <c r="G95" i="110"/>
  <c r="F95" i="110"/>
  <c r="E95" i="110"/>
  <c r="D95" i="110"/>
  <c r="C95" i="110"/>
  <c r="B95" i="110"/>
  <c r="I94" i="110"/>
  <c r="I67" i="110" s="1"/>
  <c r="H94" i="110"/>
  <c r="G94" i="110"/>
  <c r="G96" i="110" s="1"/>
  <c r="F94" i="110"/>
  <c r="F96" i="110" s="1"/>
  <c r="E94" i="110"/>
  <c r="E96" i="110" s="1"/>
  <c r="D94" i="110"/>
  <c r="D96" i="110" s="1"/>
  <c r="C94" i="110"/>
  <c r="C96" i="110" s="1"/>
  <c r="B94" i="110"/>
  <c r="S93" i="110"/>
  <c r="S92" i="110"/>
  <c r="S91" i="110"/>
  <c r="S90" i="110"/>
  <c r="S89" i="110"/>
  <c r="S88" i="110"/>
  <c r="G80" i="110"/>
  <c r="F79" i="110"/>
  <c r="E79" i="110"/>
  <c r="D79" i="110"/>
  <c r="C79" i="110"/>
  <c r="B79" i="110"/>
  <c r="F78" i="110"/>
  <c r="E78" i="110"/>
  <c r="D78" i="110"/>
  <c r="C78" i="110"/>
  <c r="B78" i="110"/>
  <c r="F77" i="110"/>
  <c r="E77" i="110"/>
  <c r="D77" i="110"/>
  <c r="C77" i="110"/>
  <c r="B77" i="110"/>
  <c r="G75" i="110"/>
  <c r="F75" i="110"/>
  <c r="E75" i="110"/>
  <c r="D75" i="110"/>
  <c r="C75" i="110"/>
  <c r="B75" i="110"/>
  <c r="G70" i="110"/>
  <c r="F70" i="110"/>
  <c r="E70" i="110"/>
  <c r="D70" i="110"/>
  <c r="C70" i="110"/>
  <c r="B70" i="110"/>
  <c r="H67" i="110"/>
  <c r="I56" i="110"/>
  <c r="I74" i="110" s="1"/>
  <c r="H56" i="110"/>
  <c r="H74" i="110" s="1"/>
  <c r="G56" i="110"/>
  <c r="F56" i="110"/>
  <c r="E56" i="110"/>
  <c r="D56" i="110"/>
  <c r="C56" i="110"/>
  <c r="B56" i="110"/>
  <c r="G41" i="110"/>
  <c r="F41" i="110"/>
  <c r="E41" i="110"/>
  <c r="D41" i="110"/>
  <c r="C41" i="110"/>
  <c r="B41" i="110"/>
  <c r="J40" i="110"/>
  <c r="I40" i="110"/>
  <c r="H40" i="110"/>
  <c r="G40" i="110"/>
  <c r="F40" i="110"/>
  <c r="F43" i="110" s="1"/>
  <c r="E40" i="110"/>
  <c r="D40" i="110"/>
  <c r="C40" i="110"/>
  <c r="B40" i="110"/>
  <c r="G39" i="110"/>
  <c r="F39" i="110"/>
  <c r="E39" i="110"/>
  <c r="D39" i="110"/>
  <c r="D42" i="110" s="1"/>
  <c r="C39" i="110"/>
  <c r="B39" i="110"/>
  <c r="I38" i="110"/>
  <c r="H38" i="110"/>
  <c r="I37" i="110"/>
  <c r="H37" i="110"/>
  <c r="G37" i="110"/>
  <c r="I36" i="110"/>
  <c r="H36" i="110"/>
  <c r="G36" i="110"/>
  <c r="I35" i="110"/>
  <c r="H35" i="110"/>
  <c r="G35" i="110"/>
  <c r="I33" i="110"/>
  <c r="I73" i="110" s="1"/>
  <c r="H33" i="110"/>
  <c r="H73" i="110" s="1"/>
  <c r="G33" i="110"/>
  <c r="F33" i="110"/>
  <c r="E33" i="110"/>
  <c r="D33" i="110"/>
  <c r="C33" i="110"/>
  <c r="B33" i="110"/>
  <c r="I17" i="110"/>
  <c r="H17" i="110"/>
  <c r="G17" i="110"/>
  <c r="G16" i="110"/>
  <c r="G15" i="110"/>
  <c r="G14" i="110"/>
  <c r="F14" i="110"/>
  <c r="E14" i="110"/>
  <c r="D14" i="110"/>
  <c r="C14" i="110"/>
  <c r="B14" i="110"/>
  <c r="I8" i="110"/>
  <c r="H8" i="110"/>
  <c r="H16" i="110" s="1"/>
  <c r="I7" i="110"/>
  <c r="H7" i="110"/>
  <c r="H14" i="110" s="1"/>
  <c r="H72" i="110" s="1"/>
  <c r="I14" i="110" l="1"/>
  <c r="I72" i="110" s="1"/>
  <c r="I75" i="110" s="1"/>
  <c r="G42" i="110"/>
  <c r="I113" i="110"/>
  <c r="I131" i="110"/>
  <c r="D131" i="110"/>
  <c r="F44" i="110"/>
  <c r="H113" i="110"/>
  <c r="C42" i="110"/>
  <c r="D44" i="110"/>
  <c r="I69" i="110"/>
  <c r="I79" i="110" s="1"/>
  <c r="C44" i="110"/>
  <c r="H78" i="110"/>
  <c r="E42" i="110"/>
  <c r="H131" i="110"/>
  <c r="C43" i="110"/>
  <c r="D43" i="110"/>
  <c r="H69" i="110"/>
  <c r="H79" i="110" s="1"/>
  <c r="I43" i="110"/>
  <c r="G44" i="110"/>
  <c r="E80" i="110"/>
  <c r="F80" i="110"/>
  <c r="H75" i="110"/>
  <c r="F42" i="110"/>
  <c r="H95" i="110"/>
  <c r="H96" i="110" s="1"/>
  <c r="H39" i="110"/>
  <c r="H42" i="110" s="1"/>
  <c r="B96" i="110"/>
  <c r="I16" i="110"/>
  <c r="I15" i="110"/>
  <c r="B80" i="110"/>
  <c r="C80" i="110"/>
  <c r="E43" i="110"/>
  <c r="D80" i="110"/>
  <c r="I78" i="110"/>
  <c r="H15" i="110"/>
  <c r="H43" i="110"/>
  <c r="S94" i="110"/>
  <c r="I95" i="110"/>
  <c r="I96" i="110"/>
  <c r="I39" i="110"/>
  <c r="H41" i="110"/>
  <c r="H44" i="110" s="1"/>
  <c r="H77" i="110"/>
  <c r="G43" i="110"/>
  <c r="I41" i="110"/>
  <c r="E44" i="110"/>
  <c r="H182" i="80"/>
  <c r="F5" i="80"/>
  <c r="G5" i="80"/>
  <c r="H70" i="110" l="1"/>
  <c r="H80" i="110" s="1"/>
  <c r="I70" i="110"/>
  <c r="I80" i="110" s="1"/>
  <c r="I77" i="110"/>
  <c r="I42" i="110"/>
  <c r="I44" i="110"/>
  <c r="G141" i="80"/>
  <c r="G139" i="80"/>
  <c r="G128" i="80"/>
  <c r="G107" i="80"/>
  <c r="G98" i="80"/>
  <c r="F81" i="80"/>
  <c r="G81" i="80"/>
  <c r="G50" i="80"/>
  <c r="G38" i="80"/>
  <c r="G32" i="80"/>
  <c r="G25" i="79"/>
  <c r="G24" i="79"/>
  <c r="G9" i="79" l="1"/>
  <c r="G13" i="79" l="1"/>
  <c r="I13" i="79" s="1"/>
  <c r="G17" i="79"/>
  <c r="I17" i="79" s="1"/>
  <c r="G16" i="79"/>
  <c r="I16" i="79" s="1"/>
  <c r="G15" i="79"/>
  <c r="I15" i="79" s="1"/>
  <c r="G14" i="79"/>
  <c r="G12" i="79"/>
  <c r="G18" i="79"/>
  <c r="I18" i="79" s="1"/>
  <c r="G19" i="79" l="1"/>
  <c r="G10" i="79"/>
  <c r="G30" i="78"/>
  <c r="G24" i="78"/>
  <c r="G11" i="79" l="1"/>
  <c r="G20" i="79"/>
  <c r="G21" i="77"/>
  <c r="G34" i="83"/>
  <c r="G26" i="83"/>
  <c r="G20" i="83"/>
  <c r="G30" i="83" l="1"/>
  <c r="G33" i="83" l="1"/>
  <c r="G13" i="83" l="1"/>
  <c r="G10" i="83"/>
  <c r="G14" i="83" s="1"/>
  <c r="G40" i="83"/>
  <c r="G16" i="83"/>
  <c r="G36" i="83" s="1"/>
  <c r="G7" i="83"/>
  <c r="G13" i="76"/>
  <c r="G15" i="76"/>
  <c r="N77" i="76" l="1"/>
  <c r="C45" i="23" l="1"/>
  <c r="D45" i="23"/>
  <c r="E45" i="23"/>
  <c r="B45" i="23"/>
  <c r="N43" i="23"/>
  <c r="N42" i="23"/>
  <c r="N45" i="23" s="1"/>
  <c r="E50" i="23" l="1"/>
  <c r="E52" i="23" s="1"/>
  <c r="E53" i="23" s="1"/>
  <c r="E47" i="23"/>
  <c r="B47" i="23"/>
  <c r="B50" i="23"/>
  <c r="B51" i="23" s="1"/>
  <c r="D50" i="23"/>
  <c r="D51" i="23" s="1"/>
  <c r="D47" i="23"/>
  <c r="C50" i="23"/>
  <c r="C51" i="23" s="1"/>
  <c r="C47" i="23"/>
  <c r="E51" i="23"/>
  <c r="U30" i="23"/>
  <c r="U35" i="23" s="1"/>
  <c r="T33" i="23"/>
  <c r="N25" i="23"/>
  <c r="D52" i="23" l="1"/>
  <c r="D53" i="23" s="1"/>
  <c r="N53" i="23" s="1"/>
  <c r="U34" i="23"/>
  <c r="U36" i="23" s="1"/>
  <c r="C33" i="16"/>
  <c r="J33" i="16" s="1"/>
  <c r="E33" i="16"/>
  <c r="K33" i="16" s="1"/>
  <c r="G33" i="16"/>
  <c r="R33" i="16"/>
  <c r="T33" i="16"/>
  <c r="V33" i="16"/>
  <c r="J34" i="16"/>
  <c r="K34" i="16"/>
  <c r="G296" i="82" l="1"/>
  <c r="G289" i="82"/>
  <c r="G288" i="82"/>
  <c r="G286" i="82"/>
  <c r="G301" i="82"/>
  <c r="G319" i="82"/>
  <c r="G318" i="82"/>
  <c r="G323" i="82"/>
  <c r="F313" i="82"/>
  <c r="G315" i="82"/>
  <c r="G311" i="82"/>
  <c r="G292" i="82"/>
  <c r="G307" i="82"/>
  <c r="G291" i="82"/>
  <c r="G293" i="82"/>
  <c r="G298" i="82"/>
  <c r="G295" i="82"/>
  <c r="G294" i="82"/>
  <c r="G302" i="82"/>
  <c r="G285" i="82"/>
  <c r="G277" i="82"/>
  <c r="G278" i="82"/>
  <c r="G272" i="82"/>
  <c r="G283" i="82"/>
  <c r="G304" i="82"/>
  <c r="G299" i="82"/>
  <c r="G310" i="82"/>
  <c r="G305" i="82"/>
  <c r="G284" i="82"/>
  <c r="G280" i="82"/>
  <c r="G308" i="82"/>
  <c r="G306" i="82"/>
  <c r="G300" i="82"/>
  <c r="G297" i="82"/>
  <c r="G290" i="82"/>
  <c r="G279" i="82"/>
  <c r="G274" i="82"/>
  <c r="G271" i="82"/>
  <c r="G270" i="82"/>
  <c r="G265" i="82"/>
  <c r="G256" i="82"/>
  <c r="G259" i="82"/>
  <c r="G264" i="82"/>
  <c r="G266" i="82"/>
  <c r="G262" i="82"/>
  <c r="G257" i="82"/>
  <c r="G247" i="82"/>
  <c r="G246" i="82"/>
  <c r="G236" i="82"/>
  <c r="G235" i="82"/>
  <c r="G228" i="82"/>
  <c r="G240" i="82"/>
  <c r="G234" i="82"/>
  <c r="G233" i="82"/>
  <c r="G188" i="82"/>
  <c r="G187" i="82"/>
  <c r="G185" i="82"/>
  <c r="G196" i="82"/>
  <c r="G194" i="82"/>
  <c r="G193" i="82"/>
  <c r="G192" i="82"/>
  <c r="G186" i="82"/>
  <c r="G181" i="82"/>
  <c r="G178" i="82"/>
  <c r="G165" i="82"/>
  <c r="G153" i="82"/>
  <c r="G154" i="82"/>
  <c r="G144" i="82"/>
  <c r="G142" i="82"/>
  <c r="G137" i="82"/>
  <c r="G143" i="82"/>
  <c r="G120" i="82"/>
  <c r="F325" i="82"/>
  <c r="F305" i="82"/>
  <c r="F303" i="82"/>
  <c r="F301" i="82"/>
  <c r="F300" i="82"/>
  <c r="F297" i="82"/>
  <c r="F296" i="82"/>
  <c r="F295" i="82"/>
  <c r="F290" i="82"/>
  <c r="F286" i="82"/>
  <c r="F284" i="82"/>
  <c r="F283" i="82"/>
  <c r="F281" i="82"/>
  <c r="F280" i="82"/>
  <c r="F279" i="82"/>
  <c r="F278" i="82"/>
  <c r="F272" i="82"/>
  <c r="F271" i="82"/>
  <c r="F270" i="82"/>
  <c r="F266" i="82"/>
  <c r="F263" i="82"/>
  <c r="F262" i="82"/>
  <c r="F258" i="82"/>
  <c r="F257" i="82"/>
  <c r="F256" i="82"/>
  <c r="F251" i="82"/>
  <c r="F246" i="82"/>
  <c r="F245" i="82" s="1"/>
  <c r="F249" i="82" s="1"/>
  <c r="F244" i="82"/>
  <c r="F238" i="82"/>
  <c r="F236" i="82"/>
  <c r="F235" i="82"/>
  <c r="F228" i="82"/>
  <c r="F227" i="82" s="1"/>
  <c r="F226" i="82"/>
  <c r="F220" i="82"/>
  <c r="F224" i="82" s="1"/>
  <c r="F219" i="82"/>
  <c r="F214" i="82"/>
  <c r="F211" i="82"/>
  <c r="F210" i="82"/>
  <c r="F205" i="82"/>
  <c r="F208" i="82" s="1"/>
  <c r="F204" i="82"/>
  <c r="F198" i="82"/>
  <c r="F195" i="82"/>
  <c r="F188" i="82"/>
  <c r="F187" i="82"/>
  <c r="F176" i="82"/>
  <c r="F175" i="82"/>
  <c r="F170" i="82"/>
  <c r="F173" i="82" s="1"/>
  <c r="F169" i="82"/>
  <c r="F163" i="82"/>
  <c r="F162" i="82" s="1"/>
  <c r="F167" i="82" s="1"/>
  <c r="F161" i="82"/>
  <c r="F156" i="82"/>
  <c r="F154" i="82"/>
  <c r="F152" i="82" s="1"/>
  <c r="F151" i="82"/>
  <c r="F146" i="82"/>
  <c r="F144" i="82"/>
  <c r="F141" i="82" s="1"/>
  <c r="F137" i="82"/>
  <c r="F136" i="82" s="1"/>
  <c r="F135" i="82"/>
  <c r="F130" i="82"/>
  <c r="F133" i="82" s="1"/>
  <c r="F129" i="82"/>
  <c r="F124" i="82"/>
  <c r="F118" i="82"/>
  <c r="F114" i="82"/>
  <c r="F113" i="82"/>
  <c r="F108" i="82"/>
  <c r="F102" i="82"/>
  <c r="F99" i="82"/>
  <c r="F98" i="82"/>
  <c r="F93" i="82"/>
  <c r="F90" i="82"/>
  <c r="F86" i="82"/>
  <c r="F85" i="82"/>
  <c r="F78" i="82"/>
  <c r="F83" i="82" s="1"/>
  <c r="F77" i="82"/>
  <c r="F73" i="82"/>
  <c r="F72" i="82" s="1"/>
  <c r="F68" i="82"/>
  <c r="F67" i="82"/>
  <c r="F62" i="82"/>
  <c r="F65" i="82" s="1"/>
  <c r="F61" i="82"/>
  <c r="F7" i="82"/>
  <c r="F159" i="82" l="1"/>
  <c r="F8" i="82"/>
  <c r="F75" i="82"/>
  <c r="F232" i="82"/>
  <c r="F242" i="82" s="1"/>
  <c r="F6" i="82"/>
  <c r="F96" i="82"/>
  <c r="F127" i="82"/>
  <c r="F217" i="82"/>
  <c r="F149" i="82"/>
  <c r="F269" i="82"/>
  <c r="F184" i="82"/>
  <c r="F202" i="82" s="1"/>
  <c r="F252" i="82"/>
  <c r="F111" i="82"/>
  <c r="AI48" i="49"/>
  <c r="AI219" i="49"/>
  <c r="AG54" i="49"/>
  <c r="AI54" i="49"/>
  <c r="AI19" i="49"/>
  <c r="AK34" i="49"/>
  <c r="AK42" i="49"/>
  <c r="AK103" i="49"/>
  <c r="AK110" i="49"/>
  <c r="AK133" i="49"/>
  <c r="AK151" i="49"/>
  <c r="AK169" i="49"/>
  <c r="AK217" i="49"/>
  <c r="AK230" i="49"/>
  <c r="AK314" i="49"/>
  <c r="AI314" i="49"/>
  <c r="AK362" i="49"/>
  <c r="AI366" i="49"/>
  <c r="AK394" i="49"/>
  <c r="AK366" i="49"/>
  <c r="AJ362" i="49"/>
  <c r="AK60" i="49"/>
  <c r="AI42" i="49"/>
  <c r="F328" i="82" l="1"/>
  <c r="F5" i="82"/>
  <c r="F4" i="82"/>
  <c r="Q41" i="81"/>
  <c r="P41" i="81"/>
  <c r="F9" i="82" l="1"/>
  <c r="AI108" i="49"/>
  <c r="AI64" i="49"/>
  <c r="P11" i="81" l="1"/>
  <c r="P27" i="81"/>
  <c r="P25" i="81"/>
  <c r="P9" i="81"/>
  <c r="AI107" i="49" l="1"/>
  <c r="D36" i="86" l="1"/>
  <c r="I18" i="86" l="1"/>
  <c r="C122" i="87"/>
  <c r="D64" i="87"/>
  <c r="D59" i="87"/>
  <c r="D54" i="87"/>
  <c r="B51" i="87"/>
  <c r="I94" i="88"/>
  <c r="K88" i="88"/>
  <c r="K87" i="88"/>
  <c r="K86" i="88"/>
  <c r="K85" i="88"/>
  <c r="K84" i="88"/>
  <c r="K83" i="88"/>
  <c r="K82" i="88"/>
  <c r="K81" i="88"/>
  <c r="K80" i="88"/>
  <c r="K79" i="88"/>
  <c r="K78" i="88"/>
  <c r="K77" i="88"/>
  <c r="J76" i="88"/>
  <c r="I76" i="88"/>
  <c r="H76" i="88"/>
  <c r="E88" i="88"/>
  <c r="E87" i="88"/>
  <c r="E86" i="88"/>
  <c r="E85" i="88"/>
  <c r="E84" i="88"/>
  <c r="E83" i="88"/>
  <c r="E82" i="88"/>
  <c r="E81" i="88"/>
  <c r="E80" i="88"/>
  <c r="E79" i="88"/>
  <c r="E78" i="88"/>
  <c r="E77" i="88"/>
  <c r="D76" i="88"/>
  <c r="C76" i="88"/>
  <c r="B76" i="88"/>
  <c r="C51" i="87" l="1"/>
  <c r="K76" i="88"/>
  <c r="E76" i="88"/>
  <c r="O114" i="49"/>
  <c r="AE110" i="49"/>
  <c r="O113" i="49"/>
  <c r="AG110" i="49"/>
  <c r="U111" i="49"/>
  <c r="Q111" i="49"/>
  <c r="AI110" i="49"/>
  <c r="AC110" i="49"/>
  <c r="AA110" i="49"/>
  <c r="Y110" i="49"/>
  <c r="W110" i="49"/>
  <c r="U110" i="49"/>
  <c r="S110" i="49"/>
  <c r="Q110" i="49"/>
  <c r="O110" i="49" l="1"/>
  <c r="E92" i="16"/>
  <c r="E93" i="16"/>
  <c r="C93" i="16"/>
  <c r="C92" i="16"/>
  <c r="G62" i="16"/>
  <c r="E62" i="16"/>
  <c r="D62" i="16"/>
  <c r="W94" i="68" l="1"/>
  <c r="W97" i="68"/>
  <c r="W98" i="68"/>
  <c r="W85" i="68"/>
  <c r="W84" i="68"/>
  <c r="W77" i="68"/>
  <c r="W83" i="68"/>
  <c r="W86" i="68"/>
  <c r="W87" i="68"/>
  <c r="W88" i="68"/>
  <c r="W89" i="68"/>
  <c r="W90" i="68"/>
  <c r="W91" i="68"/>
  <c r="W92" i="68"/>
  <c r="W93" i="68"/>
  <c r="W95" i="68"/>
  <c r="W96" i="68"/>
  <c r="W99" i="68" l="1"/>
  <c r="Y304" i="70" l="1"/>
  <c r="Y311" i="70"/>
  <c r="Y306" i="70"/>
  <c r="Y305" i="70"/>
  <c r="Y267" i="70"/>
  <c r="Y264" i="70" s="1"/>
  <c r="Y269" i="70" l="1"/>
  <c r="Y344" i="70" s="1"/>
  <c r="V571" i="70"/>
  <c r="V573" i="70" s="1"/>
  <c r="T32" i="23" l="1"/>
  <c r="E266" i="45" l="1"/>
  <c r="R267" i="45" l="1"/>
  <c r="Q267" i="45"/>
  <c r="P267" i="45"/>
  <c r="O267" i="45"/>
  <c r="N267" i="45"/>
  <c r="M267" i="45"/>
  <c r="L267" i="45"/>
  <c r="K267" i="45"/>
  <c r="J267" i="45"/>
  <c r="I267" i="45"/>
  <c r="H267" i="45"/>
  <c r="G267" i="45"/>
  <c r="D267" i="45"/>
  <c r="C267" i="45"/>
  <c r="F266" i="45"/>
  <c r="F265" i="45"/>
  <c r="E265" i="45"/>
  <c r="F264" i="45"/>
  <c r="E264" i="45"/>
  <c r="F263" i="45"/>
  <c r="E263" i="45"/>
  <c r="F262" i="45"/>
  <c r="E262" i="45"/>
  <c r="F261" i="45"/>
  <c r="E261" i="45"/>
  <c r="F260" i="45"/>
  <c r="E260" i="45"/>
  <c r="F259" i="45"/>
  <c r="E259" i="45"/>
  <c r="F258" i="45"/>
  <c r="E258" i="45"/>
  <c r="F257" i="45"/>
  <c r="E257" i="45"/>
  <c r="F256" i="45"/>
  <c r="E256" i="45"/>
  <c r="F255" i="45"/>
  <c r="E255" i="45"/>
  <c r="F254" i="45"/>
  <c r="E254" i="45"/>
  <c r="F253" i="45"/>
  <c r="E253" i="45"/>
  <c r="F252" i="45"/>
  <c r="E252" i="45"/>
  <c r="F251" i="45"/>
  <c r="E251" i="45"/>
  <c r="F250" i="45"/>
  <c r="E250" i="45"/>
  <c r="F249" i="45"/>
  <c r="E249" i="45"/>
  <c r="F248" i="45"/>
  <c r="E248" i="45"/>
  <c r="F247" i="45"/>
  <c r="E247" i="45"/>
  <c r="F246" i="45"/>
  <c r="E246" i="45"/>
  <c r="F245" i="45"/>
  <c r="E245" i="45"/>
  <c r="F244" i="45"/>
  <c r="E244" i="45"/>
  <c r="F243" i="45"/>
  <c r="E243" i="45"/>
  <c r="E267" i="45" l="1"/>
  <c r="F267" i="45"/>
  <c r="J204" i="22"/>
  <c r="T658" i="70" l="1"/>
  <c r="T657" i="70"/>
  <c r="T655" i="70"/>
  <c r="T656" i="70"/>
  <c r="T654" i="70"/>
  <c r="S690" i="70" l="1"/>
  <c r="R690" i="70"/>
  <c r="Q690" i="70"/>
  <c r="P690" i="70"/>
  <c r="O690" i="70"/>
  <c r="N690" i="70"/>
  <c r="M690" i="70"/>
  <c r="L690" i="70"/>
  <c r="T687" i="70"/>
  <c r="T686" i="70"/>
  <c r="T683" i="70"/>
  <c r="T682" i="70"/>
  <c r="T681" i="70"/>
  <c r="T680" i="70"/>
  <c r="T679" i="70"/>
  <c r="T678" i="70"/>
  <c r="T677" i="70"/>
  <c r="T676" i="70"/>
  <c r="T675" i="70"/>
  <c r="T674" i="70"/>
  <c r="T673" i="70"/>
  <c r="T672" i="70"/>
  <c r="T671" i="70"/>
  <c r="T670" i="70"/>
  <c r="T669" i="70"/>
  <c r="T668" i="70"/>
  <c r="T667" i="70"/>
  <c r="T666" i="70"/>
  <c r="T665" i="70"/>
  <c r="T662" i="70"/>
  <c r="T661" i="70"/>
  <c r="T653" i="70"/>
  <c r="T652" i="70"/>
  <c r="T651" i="70"/>
  <c r="T650" i="70"/>
  <c r="T649" i="70"/>
  <c r="T648" i="70"/>
  <c r="T647" i="70"/>
  <c r="T646" i="70"/>
  <c r="T645" i="70"/>
  <c r="T644" i="70"/>
  <c r="T643" i="70"/>
  <c r="T642" i="70"/>
  <c r="T641" i="70"/>
  <c r="T640" i="70"/>
  <c r="T639" i="70"/>
  <c r="T638" i="70"/>
  <c r="T637" i="70"/>
  <c r="T636" i="70"/>
  <c r="T635" i="70"/>
  <c r="T634" i="70"/>
  <c r="T633" i="70"/>
  <c r="T632" i="70"/>
  <c r="T631" i="70"/>
  <c r="T630" i="70"/>
  <c r="T629" i="70"/>
  <c r="T628" i="70"/>
  <c r="T627" i="70"/>
  <c r="T626" i="70"/>
  <c r="T625" i="70"/>
  <c r="T624" i="70"/>
  <c r="T623" i="70"/>
  <c r="T622" i="70"/>
  <c r="T621" i="70"/>
  <c r="T620" i="70"/>
  <c r="T619" i="70"/>
  <c r="T618" i="70"/>
  <c r="T614" i="70"/>
  <c r="T613" i="70"/>
  <c r="U617" i="70" l="1"/>
  <c r="U685" i="70"/>
  <c r="U612" i="70"/>
  <c r="U660" i="70"/>
  <c r="U664" i="70"/>
  <c r="T690" i="70"/>
  <c r="T8" i="19"/>
  <c r="U690" i="70" l="1"/>
  <c r="M43" i="103"/>
  <c r="N43" i="103"/>
  <c r="O43" i="103"/>
  <c r="P43" i="103"/>
  <c r="Q43" i="103"/>
  <c r="L43" i="103"/>
  <c r="K43" i="103"/>
  <c r="AE9" i="20" l="1"/>
  <c r="AE11" i="20"/>
  <c r="AE10" i="20"/>
  <c r="AE14" i="20" l="1"/>
  <c r="AE6" i="20"/>
  <c r="AE16" i="20" l="1"/>
  <c r="G75" i="102"/>
  <c r="G159" i="102"/>
  <c r="G164" i="102" s="1"/>
  <c r="G162" i="102"/>
  <c r="G161" i="102" l="1"/>
  <c r="S37" i="16" l="1"/>
  <c r="K182" i="102" l="1"/>
  <c r="J182" i="102"/>
  <c r="I182" i="102"/>
  <c r="H182" i="102"/>
  <c r="G182" i="102"/>
  <c r="F182" i="102"/>
  <c r="E182" i="102"/>
  <c r="I63" i="102" l="1"/>
  <c r="J63" i="102"/>
  <c r="K63" i="102"/>
  <c r="H159" i="102"/>
  <c r="I159" i="102"/>
  <c r="J159" i="102"/>
  <c r="O38" i="101" l="1"/>
  <c r="O39" i="101"/>
  <c r="O40" i="101"/>
  <c r="O41" i="101"/>
  <c r="O42" i="101"/>
  <c r="H36" i="101"/>
  <c r="H37" i="101"/>
  <c r="H38" i="101"/>
  <c r="H39" i="101"/>
  <c r="H40" i="101"/>
  <c r="H41" i="101"/>
  <c r="H42" i="101"/>
  <c r="E164" i="102" l="1"/>
  <c r="F162" i="102"/>
  <c r="F164" i="102"/>
  <c r="I75" i="102"/>
  <c r="D71" i="102"/>
  <c r="D64" i="102"/>
  <c r="D63" i="102"/>
  <c r="F75" i="102"/>
  <c r="E75" i="102"/>
  <c r="C75" i="102"/>
  <c r="D75" i="102"/>
  <c r="E143" i="102"/>
  <c r="E140" i="102"/>
  <c r="E145" i="102" s="1"/>
  <c r="F161" i="102" l="1"/>
  <c r="E142" i="102"/>
  <c r="H164" i="102"/>
  <c r="Q36" i="16" l="1"/>
  <c r="Q35" i="16"/>
  <c r="K11" i="103" l="1"/>
  <c r="L18" i="103"/>
  <c r="M18" i="103" s="1"/>
  <c r="N18" i="103" s="1"/>
  <c r="O18" i="103" s="1"/>
  <c r="P18" i="103" s="1"/>
  <c r="Q18" i="103" s="1"/>
  <c r="L37" i="103"/>
  <c r="M37" i="103" s="1"/>
  <c r="N37" i="103" s="1"/>
  <c r="O37" i="103" s="1"/>
  <c r="P37" i="103" s="1"/>
  <c r="Q37" i="103" s="1"/>
  <c r="J11" i="103"/>
  <c r="J14" i="103" s="1"/>
  <c r="AI106" i="49" l="1"/>
  <c r="K12" i="56" l="1"/>
  <c r="I12" i="56" l="1"/>
  <c r="T31" i="23" l="1"/>
  <c r="G56" i="50" l="1"/>
  <c r="J56" i="50" s="1"/>
  <c r="AB16" i="21" l="1"/>
  <c r="Q37" i="16" l="1"/>
  <c r="B34" i="101" l="1"/>
  <c r="R124" i="16" l="1"/>
  <c r="E123" i="16"/>
  <c r="G123" i="16" s="1"/>
  <c r="I124" i="16" s="1"/>
  <c r="N11" i="103" l="1"/>
  <c r="J12" i="103"/>
  <c r="Q26" i="103"/>
  <c r="Q30" i="103"/>
  <c r="Q33" i="103" s="1"/>
  <c r="Q36" i="103" s="1"/>
  <c r="Q38" i="103" s="1"/>
  <c r="Q31" i="103"/>
  <c r="Q7" i="103"/>
  <c r="Q11" i="103"/>
  <c r="Q14" i="103" s="1"/>
  <c r="Q17" i="103" s="1"/>
  <c r="Q19" i="103" s="1"/>
  <c r="Q12" i="103"/>
  <c r="Q42" i="103" l="1"/>
  <c r="Q44" i="103" s="1"/>
  <c r="J62" i="16" l="1"/>
  <c r="G113" i="40" l="1"/>
  <c r="L349" i="42" l="1"/>
  <c r="L348" i="42"/>
  <c r="L347" i="42"/>
  <c r="L346" i="42"/>
  <c r="Z409" i="42"/>
  <c r="T30" i="23" l="1"/>
  <c r="V232" i="42" l="1"/>
  <c r="V157" i="39"/>
  <c r="G123" i="39"/>
  <c r="G122" i="39"/>
  <c r="F193" i="41" l="1"/>
  <c r="V186" i="41"/>
  <c r="U186" i="41"/>
  <c r="V175" i="41"/>
  <c r="U170" i="41"/>
  <c r="Q10" i="41" s="1"/>
  <c r="V170" i="41"/>
  <c r="U163" i="41"/>
  <c r="Q9" i="41" s="1"/>
  <c r="V163" i="41"/>
  <c r="U90" i="41"/>
  <c r="Q8" i="41" s="1"/>
  <c r="V90" i="41"/>
  <c r="V176" i="41" l="1"/>
  <c r="F122" i="43"/>
  <c r="G126" i="37"/>
  <c r="V122" i="37"/>
  <c r="T103" i="37"/>
  <c r="V103" i="37"/>
  <c r="P9" i="37" s="1"/>
  <c r="T108" i="37"/>
  <c r="U108" i="37"/>
  <c r="V108" i="37"/>
  <c r="P10" i="37" s="1"/>
  <c r="V65" i="37"/>
  <c r="P8" i="37" s="1"/>
  <c r="F139" i="80" l="1"/>
  <c r="F141" i="80"/>
  <c r="F107" i="80" l="1"/>
  <c r="F50" i="80" l="1"/>
  <c r="C38" i="80"/>
  <c r="D38" i="80"/>
  <c r="E38" i="80"/>
  <c r="F38" i="80"/>
  <c r="F15" i="79" l="1"/>
  <c r="F14" i="79"/>
  <c r="F13" i="79"/>
  <c r="F9" i="79"/>
  <c r="F10" i="79" s="1"/>
  <c r="F25" i="79"/>
  <c r="E25" i="79"/>
  <c r="F24" i="79"/>
  <c r="F17" i="79"/>
  <c r="F16" i="79"/>
  <c r="F12" i="79"/>
  <c r="F18" i="79" l="1"/>
  <c r="M77" i="76"/>
  <c r="F19" i="79" l="1"/>
  <c r="F20" i="79" s="1"/>
  <c r="I29" i="76"/>
  <c r="I31" i="76" s="1"/>
  <c r="F11" i="79" l="1"/>
  <c r="F15" i="76"/>
  <c r="F13" i="76" l="1"/>
  <c r="G32" i="16" l="1"/>
  <c r="E32" i="16"/>
  <c r="K32" i="16" s="1"/>
  <c r="C32" i="16"/>
  <c r="J32" i="16" s="1"/>
  <c r="E956" i="92" l="1"/>
  <c r="E943" i="92"/>
  <c r="F934" i="92"/>
  <c r="E931" i="92"/>
  <c r="E897" i="92"/>
  <c r="E861" i="92"/>
  <c r="E860" i="92"/>
  <c r="E858" i="92"/>
  <c r="E856" i="92"/>
  <c r="E853" i="92"/>
  <c r="B807" i="92"/>
  <c r="D761" i="92"/>
  <c r="C761" i="92"/>
  <c r="D760" i="92"/>
  <c r="C760" i="92"/>
  <c r="B760" i="92"/>
  <c r="D759" i="92"/>
  <c r="C759" i="92"/>
  <c r="B759" i="92"/>
  <c r="D758" i="92"/>
  <c r="C758" i="92"/>
  <c r="B758" i="92"/>
  <c r="D757" i="92"/>
  <c r="C757" i="92"/>
  <c r="B757" i="92"/>
  <c r="D756" i="92"/>
  <c r="C756" i="92"/>
  <c r="B756" i="92"/>
  <c r="D755" i="92"/>
  <c r="C755" i="92"/>
  <c r="B755" i="92"/>
  <c r="D754" i="92"/>
  <c r="C754" i="92"/>
  <c r="B754" i="92"/>
  <c r="D753" i="92"/>
  <c r="C753" i="92"/>
  <c r="B753" i="92"/>
  <c r="D752" i="92"/>
  <c r="C752" i="92"/>
  <c r="B752" i="92"/>
  <c r="D751" i="92"/>
  <c r="C751" i="92"/>
  <c r="B751" i="92"/>
  <c r="N746" i="92"/>
  <c r="L746" i="92"/>
  <c r="K746" i="92"/>
  <c r="I746" i="92"/>
  <c r="H746" i="92"/>
  <c r="G746" i="92"/>
  <c r="F746" i="92"/>
  <c r="E746" i="92"/>
  <c r="D746" i="92"/>
  <c r="C746" i="92"/>
  <c r="B746" i="92"/>
  <c r="J745" i="92"/>
  <c r="R744" i="92"/>
  <c r="P744" i="92"/>
  <c r="J744" i="92"/>
  <c r="Q744" i="92" s="1"/>
  <c r="R743" i="92"/>
  <c r="P743" i="92"/>
  <c r="J743" i="92"/>
  <c r="Q743" i="92" s="1"/>
  <c r="R742" i="92"/>
  <c r="P742" i="92"/>
  <c r="J742" i="92"/>
  <c r="Q742" i="92" s="1"/>
  <c r="R741" i="92"/>
  <c r="P741" i="92"/>
  <c r="J741" i="92"/>
  <c r="Q741" i="92" s="1"/>
  <c r="R740" i="92"/>
  <c r="P740" i="92"/>
  <c r="J740" i="92"/>
  <c r="Q740" i="92" s="1"/>
  <c r="R739" i="92"/>
  <c r="P739" i="92"/>
  <c r="J739" i="92"/>
  <c r="Q739" i="92" s="1"/>
  <c r="R738" i="92"/>
  <c r="P738" i="92"/>
  <c r="J738" i="92"/>
  <c r="Q738" i="92" s="1"/>
  <c r="R737" i="92"/>
  <c r="P737" i="92"/>
  <c r="J737" i="92"/>
  <c r="Q737" i="92" s="1"/>
  <c r="R736" i="92"/>
  <c r="P736" i="92"/>
  <c r="J736" i="92"/>
  <c r="Q736" i="92" s="1"/>
  <c r="R735" i="92"/>
  <c r="P735" i="92"/>
  <c r="J735" i="92"/>
  <c r="Q735" i="92" s="1"/>
  <c r="R734" i="92"/>
  <c r="P734" i="92"/>
  <c r="J734" i="92"/>
  <c r="Q734" i="92" s="1"/>
  <c r="R733" i="92"/>
  <c r="P733" i="92"/>
  <c r="J733" i="92"/>
  <c r="Q733" i="92" s="1"/>
  <c r="P746" i="92" l="1"/>
  <c r="B764" i="92"/>
  <c r="R746" i="92"/>
  <c r="C764" i="92"/>
  <c r="D764" i="92"/>
  <c r="E863" i="92"/>
  <c r="J746" i="92"/>
  <c r="Q746" i="92" s="1"/>
  <c r="Q133" i="95" l="1"/>
  <c r="L8" i="85" l="1"/>
  <c r="Q12" i="94" l="1"/>
  <c r="P38" i="101" l="1"/>
  <c r="P39" i="101"/>
  <c r="P40" i="101"/>
  <c r="P41" i="101"/>
  <c r="P42" i="101"/>
  <c r="P43" i="101"/>
  <c r="P44" i="101"/>
  <c r="P45" i="101"/>
  <c r="P46" i="101"/>
  <c r="O35" i="101" l="1"/>
  <c r="P35" i="101" s="1"/>
  <c r="O36" i="101"/>
  <c r="P36" i="101" s="1"/>
  <c r="O37" i="101"/>
  <c r="P37" i="101" s="1"/>
  <c r="O47" i="101"/>
  <c r="P47" i="101" s="1"/>
  <c r="H35" i="101"/>
  <c r="S33" i="23" l="1"/>
  <c r="S32" i="23"/>
  <c r="N24" i="23"/>
  <c r="T35" i="23" l="1"/>
  <c r="T34" i="23"/>
  <c r="T98" i="61"/>
  <c r="T99" i="61"/>
  <c r="T96" i="61"/>
  <c r="T92" i="61"/>
  <c r="T88" i="61"/>
  <c r="T83" i="61"/>
  <c r="T80" i="61"/>
  <c r="T77" i="61"/>
  <c r="T74" i="61"/>
  <c r="T71" i="61"/>
  <c r="T68" i="61"/>
  <c r="T63" i="61"/>
  <c r="T60" i="61"/>
  <c r="T57" i="61"/>
  <c r="T36" i="23" l="1"/>
  <c r="T101" i="61"/>
  <c r="T107" i="61" s="1"/>
  <c r="K144" i="108" l="1"/>
  <c r="K143" i="108"/>
  <c r="K135" i="108"/>
  <c r="K134" i="108"/>
  <c r="K127" i="108"/>
  <c r="J121" i="108"/>
  <c r="J48" i="108" s="1"/>
  <c r="J6" i="108" s="1"/>
  <c r="J4" i="108" s="1"/>
  <c r="I112" i="108"/>
  <c r="I110" i="108"/>
  <c r="I109" i="108"/>
  <c r="I108" i="108"/>
  <c r="H105" i="108"/>
  <c r="H104" i="108"/>
  <c r="H103" i="108"/>
  <c r="H101" i="108"/>
  <c r="H100" i="108"/>
  <c r="H99" i="108"/>
  <c r="H98" i="108"/>
  <c r="G97" i="108"/>
  <c r="G96" i="108"/>
  <c r="G95" i="108"/>
  <c r="G94" i="108"/>
  <c r="G93" i="108"/>
  <c r="G92" i="108"/>
  <c r="G91" i="108"/>
  <c r="G90" i="108"/>
  <c r="G89" i="108"/>
  <c r="G88" i="108"/>
  <c r="G87" i="108"/>
  <c r="F86" i="108"/>
  <c r="F85" i="108"/>
  <c r="F84" i="108"/>
  <c r="F83" i="108"/>
  <c r="F82" i="108"/>
  <c r="F81" i="108"/>
  <c r="F78" i="108"/>
  <c r="F77" i="108"/>
  <c r="F75" i="108"/>
  <c r="E72" i="108"/>
  <c r="E71" i="108"/>
  <c r="E70" i="108"/>
  <c r="E69" i="108"/>
  <c r="E67" i="108"/>
  <c r="E65" i="108"/>
  <c r="D62" i="108"/>
  <c r="D61" i="108"/>
  <c r="D60" i="108"/>
  <c r="D59" i="108"/>
  <c r="D58" i="108"/>
  <c r="D57" i="108"/>
  <c r="D56" i="108"/>
  <c r="D55" i="108"/>
  <c r="D54" i="108"/>
  <c r="D53" i="108"/>
  <c r="D52" i="108"/>
  <c r="I17" i="108"/>
  <c r="I16" i="108"/>
  <c r="K14" i="108"/>
  <c r="J14" i="108"/>
  <c r="E14" i="108"/>
  <c r="D14" i="108"/>
  <c r="L13" i="108"/>
  <c r="L12" i="108"/>
  <c r="G11" i="108"/>
  <c r="F11" i="108"/>
  <c r="F9" i="108" s="1"/>
  <c r="E11" i="108"/>
  <c r="G10" i="108"/>
  <c r="L10" i="108" s="1"/>
  <c r="K9" i="108"/>
  <c r="J9" i="108"/>
  <c r="I9" i="108"/>
  <c r="H9" i="108"/>
  <c r="D9" i="108"/>
  <c r="C9" i="108"/>
  <c r="K8" i="108"/>
  <c r="C8" i="108"/>
  <c r="L7" i="108"/>
  <c r="C6" i="108"/>
  <c r="C4" i="108" s="1"/>
  <c r="L5" i="108"/>
  <c r="G9" i="108" l="1"/>
  <c r="J3" i="108"/>
  <c r="G48" i="108"/>
  <c r="G6" i="108" s="1"/>
  <c r="G4" i="108" s="1"/>
  <c r="G3" i="108" s="1"/>
  <c r="K48" i="108"/>
  <c r="K6" i="108" s="1"/>
  <c r="K4" i="108" s="1"/>
  <c r="K3" i="108" s="1"/>
  <c r="I14" i="108"/>
  <c r="L14" i="108" s="1"/>
  <c r="L8" i="108"/>
  <c r="L11" i="108"/>
  <c r="D48" i="108"/>
  <c r="D6" i="108" s="1"/>
  <c r="D4" i="108" s="1"/>
  <c r="F48" i="108"/>
  <c r="F6" i="108" s="1"/>
  <c r="F4" i="108" s="1"/>
  <c r="F3" i="108" s="1"/>
  <c r="E48" i="108"/>
  <c r="E6" i="108" s="1"/>
  <c r="E4" i="108" s="1"/>
  <c r="H48" i="108"/>
  <c r="H6" i="108" s="1"/>
  <c r="H4" i="108" s="1"/>
  <c r="H3" i="108" s="1"/>
  <c r="I48" i="108"/>
  <c r="I6" i="108" s="1"/>
  <c r="I4" i="108" s="1"/>
  <c r="I3" i="108" s="1"/>
  <c r="C3" i="108"/>
  <c r="E9" i="108"/>
  <c r="L4" i="108" l="1"/>
  <c r="E3" i="108"/>
  <c r="L48" i="108"/>
  <c r="D3" i="108"/>
  <c r="L9" i="108"/>
  <c r="L6" i="108"/>
  <c r="L3" i="108" l="1"/>
  <c r="Q113" i="21"/>
  <c r="AC25" i="21"/>
  <c r="AD25" i="21"/>
  <c r="N62" i="21"/>
  <c r="N64" i="21" s="1"/>
  <c r="O62" i="21"/>
  <c r="O64" i="21" s="1"/>
  <c r="P62" i="21"/>
  <c r="P64" i="21" s="1"/>
  <c r="Q62" i="21"/>
  <c r="R62" i="21"/>
  <c r="R64" i="21" s="1"/>
  <c r="S62" i="21"/>
  <c r="S64" i="21" s="1"/>
  <c r="T62" i="21"/>
  <c r="T64" i="21" s="1"/>
  <c r="U62" i="21"/>
  <c r="V62" i="21"/>
  <c r="W62" i="21"/>
  <c r="W64" i="21" s="1"/>
  <c r="X62" i="21"/>
  <c r="X64" i="21" s="1"/>
  <c r="Y62" i="21"/>
  <c r="Y64" i="21" s="1"/>
  <c r="Z62" i="21"/>
  <c r="AA84" i="21"/>
  <c r="Z84" i="21"/>
  <c r="W84" i="21"/>
  <c r="U84" i="21"/>
  <c r="T84" i="21"/>
  <c r="S84" i="21"/>
  <c r="R84" i="21"/>
  <c r="Q84" i="21"/>
  <c r="Y84" i="21"/>
  <c r="V84" i="21"/>
  <c r="O84" i="21"/>
  <c r="N84" i="21"/>
  <c r="X84" i="21"/>
  <c r="P84" i="21"/>
  <c r="AB25" i="21"/>
  <c r="AA62" i="21"/>
  <c r="V64" i="21" l="1"/>
  <c r="U64" i="21"/>
  <c r="Q64" i="21"/>
  <c r="Q116" i="21" l="1"/>
  <c r="T116" i="21" s="1"/>
  <c r="Q117" i="21"/>
  <c r="T117" i="21" s="1"/>
  <c r="Q118" i="21"/>
  <c r="T118" i="21" s="1"/>
  <c r="Q119" i="21"/>
  <c r="T119" i="21" s="1"/>
  <c r="Q120" i="21"/>
  <c r="T120" i="21" s="1"/>
  <c r="Q121" i="21"/>
  <c r="T121" i="21" s="1"/>
  <c r="Q122" i="21"/>
  <c r="T122" i="21" s="1"/>
  <c r="Q123" i="21"/>
  <c r="T123" i="21" s="1"/>
  <c r="Q124" i="21"/>
  <c r="T124" i="21" s="1"/>
  <c r="AA67" i="21" l="1"/>
  <c r="AC16" i="21" l="1"/>
  <c r="AC17" i="21" s="1"/>
  <c r="O53" i="13" l="1"/>
  <c r="S154" i="16" l="1"/>
  <c r="R154" i="16"/>
  <c r="R153" i="16"/>
  <c r="R152" i="16"/>
  <c r="R151" i="16"/>
  <c r="R150" i="16"/>
  <c r="R149" i="16"/>
  <c r="R148" i="16"/>
  <c r="R147" i="16"/>
  <c r="R146" i="16"/>
  <c r="R145" i="16"/>
  <c r="R144" i="16"/>
  <c r="R143" i="16"/>
  <c r="S142" i="16"/>
  <c r="R142" i="16"/>
  <c r="R141" i="16"/>
  <c r="R140" i="16"/>
  <c r="R139" i="16"/>
  <c r="R138" i="16"/>
  <c r="R137" i="16"/>
  <c r="S136" i="16"/>
  <c r="R136" i="16"/>
  <c r="R135" i="16"/>
  <c r="R134" i="16"/>
  <c r="R133" i="16"/>
  <c r="R132" i="16"/>
  <c r="R131" i="16"/>
  <c r="T142" i="16" l="1"/>
  <c r="U142" i="16" s="1"/>
  <c r="T154" i="16"/>
  <c r="U154" i="16" s="1"/>
  <c r="AA75" i="21"/>
  <c r="AA74" i="21"/>
  <c r="AA72" i="21"/>
  <c r="AA71" i="21"/>
  <c r="AA70" i="21"/>
  <c r="AA69" i="21"/>
  <c r="AA68" i="21"/>
  <c r="Z67" i="21"/>
  <c r="AA49" i="21"/>
  <c r="AA64" i="21" s="1"/>
  <c r="AA76" i="21" l="1"/>
  <c r="AG108" i="49"/>
  <c r="AG64" i="49"/>
  <c r="AG38" i="49" l="1"/>
  <c r="I20" i="103" l="1"/>
  <c r="I39" i="103"/>
  <c r="G7" i="82" l="1"/>
  <c r="G325" i="82"/>
  <c r="G313" i="82"/>
  <c r="G269" i="82"/>
  <c r="G252" i="82"/>
  <c r="G251" i="82"/>
  <c r="G245" i="82"/>
  <c r="G249" i="82" s="1"/>
  <c r="G244" i="82"/>
  <c r="G238" i="82"/>
  <c r="G232" i="82"/>
  <c r="G227" i="82"/>
  <c r="G226" i="82"/>
  <c r="G220" i="82"/>
  <c r="G224" i="82" s="1"/>
  <c r="G219" i="82"/>
  <c r="G214" i="82"/>
  <c r="G211" i="82"/>
  <c r="G210" i="82"/>
  <c r="G205" i="82"/>
  <c r="G208" i="82" s="1"/>
  <c r="G204" i="82"/>
  <c r="G198" i="82"/>
  <c r="G184" i="82"/>
  <c r="G176" i="82"/>
  <c r="G175" i="82"/>
  <c r="G170" i="82"/>
  <c r="G173" i="82" s="1"/>
  <c r="G169" i="82"/>
  <c r="G162" i="82"/>
  <c r="G167" i="82" s="1"/>
  <c r="G161" i="82"/>
  <c r="G156" i="82"/>
  <c r="G152" i="82"/>
  <c r="G151" i="82"/>
  <c r="G146" i="82"/>
  <c r="G141" i="82"/>
  <c r="G136" i="82"/>
  <c r="G135" i="82"/>
  <c r="G130" i="82"/>
  <c r="G133" i="82" s="1"/>
  <c r="G129" i="82"/>
  <c r="G124" i="82"/>
  <c r="G118" i="82"/>
  <c r="G114" i="82"/>
  <c r="G113" i="82"/>
  <c r="G108" i="82"/>
  <c r="G102" i="82"/>
  <c r="G99" i="82"/>
  <c r="G98" i="82"/>
  <c r="G93" i="82"/>
  <c r="G90" i="82"/>
  <c r="G86" i="82"/>
  <c r="G85" i="82"/>
  <c r="G78" i="82"/>
  <c r="G83" i="82" s="1"/>
  <c r="G77" i="82"/>
  <c r="G72" i="82"/>
  <c r="G68" i="82"/>
  <c r="G67" i="82"/>
  <c r="G62" i="82"/>
  <c r="G65" i="82" s="1"/>
  <c r="G61" i="82"/>
  <c r="G8" i="82" l="1"/>
  <c r="G159" i="82"/>
  <c r="G217" i="82"/>
  <c r="G111" i="82"/>
  <c r="G149" i="82"/>
  <c r="G6" i="82"/>
  <c r="G242" i="82"/>
  <c r="G202" i="82"/>
  <c r="G4" i="82"/>
  <c r="G5" i="82"/>
  <c r="G127" i="82"/>
  <c r="G328" i="82"/>
  <c r="G96" i="82"/>
  <c r="G75" i="82"/>
  <c r="O41" i="81" l="1"/>
  <c r="N41" i="81"/>
  <c r="N25" i="81"/>
  <c r="N11" i="81"/>
  <c r="N27" i="81" s="1"/>
  <c r="N9" i="81"/>
  <c r="P23" i="72"/>
  <c r="L23" i="72"/>
  <c r="Q22" i="72"/>
  <c r="L22" i="72"/>
  <c r="M22" i="72" s="1"/>
  <c r="AG341" i="49" l="1"/>
  <c r="F10" i="83" l="1"/>
  <c r="F12" i="83"/>
  <c r="F11" i="83"/>
  <c r="F7" i="83" l="1"/>
  <c r="F40" i="83"/>
  <c r="F26" i="83"/>
  <c r="F20" i="83"/>
  <c r="F16" i="83"/>
  <c r="F36" i="83" s="1"/>
  <c r="F14" i="83"/>
  <c r="F13" i="83"/>
  <c r="R118" i="16" l="1"/>
  <c r="R119" i="16"/>
  <c r="R120" i="16"/>
  <c r="R121" i="16"/>
  <c r="R122" i="16"/>
  <c r="R123" i="16"/>
  <c r="R125" i="16"/>
  <c r="R126" i="16"/>
  <c r="R127" i="16"/>
  <c r="R128" i="16"/>
  <c r="R129" i="16"/>
  <c r="R130" i="16"/>
  <c r="E117" i="16"/>
  <c r="E118" i="16"/>
  <c r="E119" i="16"/>
  <c r="E120" i="16"/>
  <c r="E121" i="16"/>
  <c r="E122" i="16"/>
  <c r="E124" i="16"/>
  <c r="E125" i="16"/>
  <c r="E126" i="16"/>
  <c r="E127" i="16"/>
  <c r="E128" i="16"/>
  <c r="E129" i="16"/>
  <c r="G129" i="16" s="1"/>
  <c r="I130" i="16" s="1"/>
  <c r="G120" i="16" l="1"/>
  <c r="I121" i="16" s="1"/>
  <c r="G128" i="16"/>
  <c r="I129" i="16" s="1"/>
  <c r="G119" i="16"/>
  <c r="I120" i="16" s="1"/>
  <c r="G118" i="16"/>
  <c r="I119" i="16" s="1"/>
  <c r="G125" i="16"/>
  <c r="I126" i="16" s="1"/>
  <c r="G124" i="16"/>
  <c r="I125" i="16" s="1"/>
  <c r="G127" i="16"/>
  <c r="I128" i="16" s="1"/>
  <c r="G126" i="16"/>
  <c r="I127" i="16" s="1"/>
  <c r="G117" i="16"/>
  <c r="I118" i="16" s="1"/>
  <c r="G122" i="16"/>
  <c r="I123" i="16" s="1"/>
  <c r="G121" i="16"/>
  <c r="I122" i="16" s="1"/>
  <c r="H34" i="101"/>
  <c r="O34" i="101"/>
  <c r="P34" i="101" s="1"/>
  <c r="AG48" i="49" l="1"/>
  <c r="C36" i="86" l="1"/>
  <c r="B36" i="86"/>
  <c r="H18" i="86"/>
  <c r="C94" i="88"/>
  <c r="B94" i="88"/>
  <c r="K64" i="88"/>
  <c r="K65" i="88"/>
  <c r="K66" i="88"/>
  <c r="K67" i="88"/>
  <c r="K68" i="88"/>
  <c r="K69" i="88"/>
  <c r="K70" i="88"/>
  <c r="K71" i="88"/>
  <c r="K72" i="88"/>
  <c r="K73" i="88"/>
  <c r="K74" i="88"/>
  <c r="K75" i="88"/>
  <c r="J63" i="88"/>
  <c r="I63" i="88"/>
  <c r="H63" i="88"/>
  <c r="E65" i="88"/>
  <c r="E66" i="88"/>
  <c r="E67" i="88"/>
  <c r="E68" i="88"/>
  <c r="E69" i="88"/>
  <c r="E70" i="88"/>
  <c r="E71" i="88"/>
  <c r="E72" i="88"/>
  <c r="E73" i="88"/>
  <c r="E74" i="88"/>
  <c r="E75" i="88"/>
  <c r="E64" i="88"/>
  <c r="E54" i="88"/>
  <c r="D63" i="88"/>
  <c r="C63" i="88"/>
  <c r="B63" i="88"/>
  <c r="K63" i="88" l="1"/>
  <c r="E63" i="88"/>
  <c r="R236" i="45"/>
  <c r="Q236" i="45"/>
  <c r="P236" i="45"/>
  <c r="O236" i="45"/>
  <c r="N236" i="45"/>
  <c r="M236" i="45"/>
  <c r="L236" i="45"/>
  <c r="K236" i="45"/>
  <c r="J236" i="45"/>
  <c r="I236" i="45"/>
  <c r="H236" i="45"/>
  <c r="G236" i="45"/>
  <c r="D236" i="45"/>
  <c r="C236" i="45"/>
  <c r="F268" i="45" s="1"/>
  <c r="F235" i="45"/>
  <c r="F234" i="45"/>
  <c r="E234" i="45"/>
  <c r="F233" i="45"/>
  <c r="E233" i="45"/>
  <c r="F232" i="45"/>
  <c r="E232" i="45"/>
  <c r="F231" i="45"/>
  <c r="E231" i="45"/>
  <c r="F230" i="45"/>
  <c r="E230" i="45"/>
  <c r="F229" i="45"/>
  <c r="E229" i="45"/>
  <c r="F228" i="45"/>
  <c r="E228" i="45"/>
  <c r="F227" i="45"/>
  <c r="E227" i="45"/>
  <c r="F226" i="45"/>
  <c r="E226" i="45"/>
  <c r="F225" i="45"/>
  <c r="E225" i="45"/>
  <c r="F224" i="45"/>
  <c r="E224" i="45"/>
  <c r="F223" i="45"/>
  <c r="E223" i="45"/>
  <c r="F222" i="45"/>
  <c r="E222" i="45"/>
  <c r="F221" i="45"/>
  <c r="E221" i="45"/>
  <c r="F220" i="45"/>
  <c r="E220" i="45"/>
  <c r="F219" i="45"/>
  <c r="E219" i="45"/>
  <c r="F218" i="45"/>
  <c r="E218" i="45"/>
  <c r="F217" i="45"/>
  <c r="E217" i="45"/>
  <c r="F216" i="45"/>
  <c r="E216" i="45"/>
  <c r="F215" i="45"/>
  <c r="E215" i="45"/>
  <c r="F214" i="45"/>
  <c r="E214" i="45"/>
  <c r="F213" i="45"/>
  <c r="E213" i="45"/>
  <c r="F212" i="45"/>
  <c r="E212" i="45"/>
  <c r="E236" i="45" l="1"/>
  <c r="F236" i="45"/>
  <c r="F237" i="45" s="1"/>
  <c r="V441" i="70"/>
  <c r="V485" i="70"/>
  <c r="V435" i="70"/>
  <c r="V517" i="70" l="1"/>
  <c r="B88" i="106"/>
  <c r="AG106" i="49" l="1"/>
  <c r="V83" i="68" l="1"/>
  <c r="V85" i="68"/>
  <c r="V86" i="68"/>
  <c r="V87" i="68"/>
  <c r="V88" i="68"/>
  <c r="V89" i="68"/>
  <c r="V90" i="68"/>
  <c r="V91" i="68"/>
  <c r="V92" i="68"/>
  <c r="V93" i="68"/>
  <c r="V94" i="68"/>
  <c r="V95" i="68"/>
  <c r="V96" i="68"/>
  <c r="V97" i="68"/>
  <c r="V98" i="68"/>
  <c r="V46" i="68"/>
  <c r="V77" i="68" s="1"/>
  <c r="E5" i="68"/>
  <c r="V84" i="68" l="1"/>
  <c r="V99" i="68" s="1"/>
  <c r="AG219" i="49"/>
  <c r="B75" i="106" l="1"/>
  <c r="B58" i="106"/>
  <c r="B41" i="106"/>
  <c r="P30" i="87" l="1"/>
  <c r="O30" i="87"/>
  <c r="N30" i="87"/>
  <c r="M30" i="87"/>
  <c r="L30" i="87"/>
  <c r="Q82" i="98" l="1"/>
  <c r="P82" i="98"/>
  <c r="O82" i="98"/>
  <c r="M82" i="98"/>
  <c r="L82" i="98"/>
  <c r="K82" i="98"/>
  <c r="I82" i="98"/>
  <c r="H82" i="98"/>
  <c r="E82" i="98"/>
  <c r="F21" i="77" l="1"/>
  <c r="F44" i="77"/>
  <c r="F40" i="77"/>
  <c r="F71" i="77"/>
  <c r="F26" i="78"/>
  <c r="F30" i="78" l="1"/>
  <c r="F24" i="78"/>
  <c r="G4" i="103" l="1"/>
  <c r="B7" i="103"/>
  <c r="C7" i="103"/>
  <c r="D7" i="103"/>
  <c r="E7" i="103"/>
  <c r="F7" i="103"/>
  <c r="G7" i="103"/>
  <c r="H7" i="103"/>
  <c r="I7" i="103"/>
  <c r="J7" i="103"/>
  <c r="K7" i="103"/>
  <c r="L7" i="103"/>
  <c r="M7" i="103"/>
  <c r="N7" i="103"/>
  <c r="O7" i="103"/>
  <c r="P7" i="103"/>
  <c r="D11" i="103"/>
  <c r="D14" i="103" s="1"/>
  <c r="D17" i="103" s="1"/>
  <c r="D19" i="103" s="1"/>
  <c r="E11" i="103"/>
  <c r="E14" i="103" s="1"/>
  <c r="E17" i="103" s="1"/>
  <c r="E19" i="103" s="1"/>
  <c r="F11" i="103"/>
  <c r="F14" i="103" s="1"/>
  <c r="F17" i="103" s="1"/>
  <c r="F19" i="103" s="1"/>
  <c r="G11" i="103"/>
  <c r="G14" i="103" s="1"/>
  <c r="G17" i="103" s="1"/>
  <c r="G19" i="103" s="1"/>
  <c r="H11" i="103"/>
  <c r="H14" i="103" s="1"/>
  <c r="H17" i="103" s="1"/>
  <c r="H19" i="103" s="1"/>
  <c r="I11" i="103"/>
  <c r="I14" i="103" s="1"/>
  <c r="I17" i="103" s="1"/>
  <c r="I19" i="103" s="1"/>
  <c r="J17" i="103"/>
  <c r="J19" i="103" s="1"/>
  <c r="L11" i="103"/>
  <c r="L14" i="103" s="1"/>
  <c r="L17" i="103" s="1"/>
  <c r="L19" i="103" s="1"/>
  <c r="M11" i="103"/>
  <c r="M14" i="103" s="1"/>
  <c r="M17" i="103" s="1"/>
  <c r="M19" i="103" s="1"/>
  <c r="N14" i="103"/>
  <c r="N17" i="103" s="1"/>
  <c r="N19" i="103" s="1"/>
  <c r="O11" i="103"/>
  <c r="O14" i="103" s="1"/>
  <c r="O17" i="103" s="1"/>
  <c r="O19" i="103" s="1"/>
  <c r="P11" i="103"/>
  <c r="P14" i="103" s="1"/>
  <c r="P17" i="103" s="1"/>
  <c r="P19" i="103" s="1"/>
  <c r="I12" i="103"/>
  <c r="K12" i="103"/>
  <c r="L12" i="103"/>
  <c r="M12" i="103"/>
  <c r="N12" i="103"/>
  <c r="O12" i="103"/>
  <c r="P12" i="103"/>
  <c r="B14" i="103"/>
  <c r="B19" i="103" s="1"/>
  <c r="C14" i="103"/>
  <c r="C17" i="103" s="1"/>
  <c r="C19" i="103" s="1"/>
  <c r="H26" i="103"/>
  <c r="I26" i="103"/>
  <c r="J26" i="103"/>
  <c r="K26" i="103"/>
  <c r="L26" i="103"/>
  <c r="M26" i="103"/>
  <c r="N26" i="103"/>
  <c r="O26" i="103"/>
  <c r="P26" i="103"/>
  <c r="E30" i="103"/>
  <c r="E33" i="103" s="1"/>
  <c r="E36" i="103" s="1"/>
  <c r="E38" i="103" s="1"/>
  <c r="H30" i="103"/>
  <c r="H33" i="103" s="1"/>
  <c r="H36" i="103" s="1"/>
  <c r="H38" i="103" s="1"/>
  <c r="I30" i="103"/>
  <c r="I33" i="103" s="1"/>
  <c r="I36" i="103" s="1"/>
  <c r="I38" i="103" s="1"/>
  <c r="J30" i="103"/>
  <c r="J33" i="103" s="1"/>
  <c r="J36" i="103" s="1"/>
  <c r="K30" i="103"/>
  <c r="K33" i="103" s="1"/>
  <c r="K36" i="103" s="1"/>
  <c r="K38" i="103" s="1"/>
  <c r="L30" i="103"/>
  <c r="L33" i="103" s="1"/>
  <c r="L36" i="103" s="1"/>
  <c r="L38" i="103" s="1"/>
  <c r="M30" i="103"/>
  <c r="M33" i="103" s="1"/>
  <c r="M36" i="103" s="1"/>
  <c r="M38" i="103" s="1"/>
  <c r="N30" i="103"/>
  <c r="O30" i="103"/>
  <c r="O33" i="103" s="1"/>
  <c r="O36" i="103" s="1"/>
  <c r="O38" i="103" s="1"/>
  <c r="P30" i="103"/>
  <c r="P33" i="103" s="1"/>
  <c r="P36" i="103" s="1"/>
  <c r="P38" i="103" s="1"/>
  <c r="I31" i="103"/>
  <c r="J31" i="103"/>
  <c r="K31" i="103"/>
  <c r="L31" i="103"/>
  <c r="M31" i="103"/>
  <c r="N31" i="103"/>
  <c r="O31" i="103"/>
  <c r="P31" i="103"/>
  <c r="B33" i="103"/>
  <c r="B38" i="103" s="1"/>
  <c r="C33" i="103"/>
  <c r="C36" i="103" s="1"/>
  <c r="D33" i="103"/>
  <c r="D36" i="103" s="1"/>
  <c r="D38" i="103" s="1"/>
  <c r="F33" i="103"/>
  <c r="F36" i="103" s="1"/>
  <c r="F38" i="103" s="1"/>
  <c r="G33" i="103"/>
  <c r="G36" i="103" s="1"/>
  <c r="G38" i="103" s="1"/>
  <c r="N33" i="103"/>
  <c r="N36" i="103" s="1"/>
  <c r="N38" i="103" s="1"/>
  <c r="J37" i="103"/>
  <c r="I43" i="103"/>
  <c r="J43" i="103"/>
  <c r="F5" i="102"/>
  <c r="F6" i="102"/>
  <c r="F7" i="102"/>
  <c r="F8" i="102"/>
  <c r="F9" i="102"/>
  <c r="F10" i="102"/>
  <c r="F11" i="102"/>
  <c r="F12" i="102"/>
  <c r="F13" i="102"/>
  <c r="F14" i="102"/>
  <c r="F15" i="102"/>
  <c r="F16" i="102"/>
  <c r="F17" i="102"/>
  <c r="F18" i="102"/>
  <c r="D19" i="102"/>
  <c r="E19" i="102"/>
  <c r="F20" i="102"/>
  <c r="F21" i="102"/>
  <c r="F22" i="102"/>
  <c r="F23" i="102"/>
  <c r="F24" i="102"/>
  <c r="F25" i="102"/>
  <c r="F26" i="102"/>
  <c r="F27" i="102"/>
  <c r="F28" i="102"/>
  <c r="F29" i="102"/>
  <c r="F30" i="102"/>
  <c r="F31" i="102"/>
  <c r="F32" i="102"/>
  <c r="F33" i="102"/>
  <c r="B44" i="102"/>
  <c r="C46" i="102"/>
  <c r="C44" i="102" s="1"/>
  <c r="D45" i="102" s="1"/>
  <c r="D47" i="102"/>
  <c r="E47" i="102" s="1"/>
  <c r="F47" i="102" s="1"/>
  <c r="G47" i="102" s="1"/>
  <c r="H47" i="102" s="1"/>
  <c r="I47" i="102" s="1"/>
  <c r="J47" i="102" s="1"/>
  <c r="K47" i="102" s="1"/>
  <c r="B50" i="102"/>
  <c r="C50" i="102"/>
  <c r="D50" i="102"/>
  <c r="E50" i="102"/>
  <c r="F50" i="102"/>
  <c r="G50" i="102"/>
  <c r="H50" i="102"/>
  <c r="C62" i="102"/>
  <c r="B63" i="102"/>
  <c r="C63" i="102"/>
  <c r="E63" i="102"/>
  <c r="F63" i="102"/>
  <c r="G63" i="102"/>
  <c r="H63" i="102"/>
  <c r="B64" i="102"/>
  <c r="C64" i="102"/>
  <c r="E64" i="102"/>
  <c r="F64" i="102"/>
  <c r="G64" i="102"/>
  <c r="H64" i="102"/>
  <c r="I64" i="102"/>
  <c r="J64" i="102"/>
  <c r="K64" i="102"/>
  <c r="B66" i="102"/>
  <c r="C66" i="102"/>
  <c r="D66" i="102"/>
  <c r="E66" i="102"/>
  <c r="F66" i="102"/>
  <c r="G66" i="102"/>
  <c r="H66" i="102"/>
  <c r="I66" i="102"/>
  <c r="J66" i="102"/>
  <c r="K66" i="102"/>
  <c r="C68" i="102"/>
  <c r="C69" i="102" s="1"/>
  <c r="C74" i="102" s="1"/>
  <c r="B71" i="102"/>
  <c r="C71" i="102"/>
  <c r="E71" i="102"/>
  <c r="F71" i="102"/>
  <c r="G71" i="102"/>
  <c r="H71" i="102"/>
  <c r="I71" i="102"/>
  <c r="L198" i="102" s="1"/>
  <c r="L206" i="102" s="1"/>
  <c r="J71" i="102"/>
  <c r="K71" i="102"/>
  <c r="B72" i="102"/>
  <c r="C72" i="102"/>
  <c r="D72" i="102"/>
  <c r="E72" i="102"/>
  <c r="F72" i="102"/>
  <c r="G72" i="102"/>
  <c r="H72" i="102"/>
  <c r="I72" i="102"/>
  <c r="J72" i="102"/>
  <c r="K72" i="102"/>
  <c r="B75" i="102"/>
  <c r="H75" i="102"/>
  <c r="J75" i="102"/>
  <c r="K75" i="102"/>
  <c r="B79" i="102"/>
  <c r="C79" i="102"/>
  <c r="D79" i="102"/>
  <c r="E79" i="102"/>
  <c r="F79" i="102"/>
  <c r="G79" i="102"/>
  <c r="H79" i="102"/>
  <c r="B85" i="102"/>
  <c r="C85" i="102"/>
  <c r="D85" i="102"/>
  <c r="E85" i="102"/>
  <c r="F85" i="102"/>
  <c r="G85" i="102"/>
  <c r="H85" i="102"/>
  <c r="B98" i="102"/>
  <c r="D98" i="102"/>
  <c r="E98" i="102"/>
  <c r="F98" i="102"/>
  <c r="G98" i="102"/>
  <c r="H98" i="102"/>
  <c r="I98" i="102"/>
  <c r="J98" i="102"/>
  <c r="K98" i="102"/>
  <c r="B101" i="102"/>
  <c r="B106" i="102" s="1"/>
  <c r="C101" i="102"/>
  <c r="C106" i="102" s="1"/>
  <c r="D101" i="102"/>
  <c r="E101" i="102"/>
  <c r="F101" i="102"/>
  <c r="F106" i="102" s="1"/>
  <c r="G101" i="102"/>
  <c r="H101" i="102"/>
  <c r="H106" i="102" s="1"/>
  <c r="I101" i="102"/>
  <c r="J101" i="102"/>
  <c r="J106" i="102" s="1"/>
  <c r="B104" i="102"/>
  <c r="C104" i="102"/>
  <c r="D104" i="102"/>
  <c r="E104" i="102"/>
  <c r="F104" i="102"/>
  <c r="G104" i="102"/>
  <c r="H104" i="102"/>
  <c r="I104" i="102"/>
  <c r="J104" i="102"/>
  <c r="K104" i="102"/>
  <c r="K106" i="102"/>
  <c r="B117" i="102"/>
  <c r="K120" i="102"/>
  <c r="B124" i="102"/>
  <c r="B123" i="102" s="1"/>
  <c r="C124" i="102"/>
  <c r="B120" i="102" s="1"/>
  <c r="B125" i="102" s="1"/>
  <c r="D124" i="102"/>
  <c r="D69" i="102" s="1"/>
  <c r="D74" i="102" s="1"/>
  <c r="E124" i="102"/>
  <c r="E69" i="102" s="1"/>
  <c r="E74" i="102" s="1"/>
  <c r="F124" i="102"/>
  <c r="F69" i="102" s="1"/>
  <c r="F74" i="102" s="1"/>
  <c r="G124" i="102"/>
  <c r="G69" i="102" s="1"/>
  <c r="G74" i="102" s="1"/>
  <c r="H124" i="102"/>
  <c r="H69" i="102" s="1"/>
  <c r="H74" i="102" s="1"/>
  <c r="I124" i="102"/>
  <c r="I123" i="102" s="1"/>
  <c r="J124" i="102"/>
  <c r="J69" i="102" s="1"/>
  <c r="J74" i="102" s="1"/>
  <c r="K124" i="102"/>
  <c r="K69" i="102" s="1"/>
  <c r="K74" i="102" s="1"/>
  <c r="B137" i="102"/>
  <c r="B140" i="102"/>
  <c r="B145" i="102" s="1"/>
  <c r="C140" i="102"/>
  <c r="C145" i="102" s="1"/>
  <c r="D140" i="102"/>
  <c r="D145" i="102" s="1"/>
  <c r="F140" i="102"/>
  <c r="F145" i="102" s="1"/>
  <c r="G140" i="102"/>
  <c r="G145" i="102" s="1"/>
  <c r="H140" i="102"/>
  <c r="H145" i="102" s="1"/>
  <c r="B143" i="102"/>
  <c r="C143" i="102"/>
  <c r="D143" i="102"/>
  <c r="F143" i="102"/>
  <c r="G143" i="102"/>
  <c r="H143" i="102"/>
  <c r="I143" i="102"/>
  <c r="J143" i="102"/>
  <c r="K143" i="102"/>
  <c r="I145" i="102"/>
  <c r="J145" i="102"/>
  <c r="K145" i="102"/>
  <c r="C155" i="102"/>
  <c r="D159" i="102"/>
  <c r="D164" i="102" s="1"/>
  <c r="I164" i="102"/>
  <c r="J164" i="102"/>
  <c r="K159" i="102"/>
  <c r="K164" i="102" s="1"/>
  <c r="B161" i="102"/>
  <c r="B167" i="102" s="1"/>
  <c r="D162" i="102"/>
  <c r="E162" i="102"/>
  <c r="E161" i="102" s="1"/>
  <c r="H162" i="102"/>
  <c r="I162" i="102"/>
  <c r="J162" i="102"/>
  <c r="K162" i="102"/>
  <c r="C175" i="102"/>
  <c r="B178" i="102"/>
  <c r="C178" i="102"/>
  <c r="C183" i="102" s="1"/>
  <c r="D178" i="102"/>
  <c r="D183" i="102" s="1"/>
  <c r="E178" i="102"/>
  <c r="E183" i="102" s="1"/>
  <c r="F178" i="102"/>
  <c r="F183" i="102" s="1"/>
  <c r="G178" i="102"/>
  <c r="G183" i="102" s="1"/>
  <c r="C181" i="102"/>
  <c r="D181" i="102"/>
  <c r="E181" i="102"/>
  <c r="F181" i="102"/>
  <c r="G181" i="102"/>
  <c r="H181" i="102"/>
  <c r="I181" i="102"/>
  <c r="J181" i="102"/>
  <c r="K181" i="102"/>
  <c r="B182" i="102"/>
  <c r="B181" i="102" s="1"/>
  <c r="H183" i="102"/>
  <c r="I183" i="102"/>
  <c r="J183" i="102"/>
  <c r="K183" i="102"/>
  <c r="F194" i="102"/>
  <c r="G194" i="102"/>
  <c r="H194" i="102"/>
  <c r="I194" i="102"/>
  <c r="J194" i="102"/>
  <c r="K194" i="102"/>
  <c r="L194" i="102"/>
  <c r="M194" i="102"/>
  <c r="N194" i="102"/>
  <c r="C200" i="102"/>
  <c r="K75" i="63"/>
  <c r="J75" i="63"/>
  <c r="I75" i="63"/>
  <c r="H75" i="63"/>
  <c r="G75" i="63"/>
  <c r="F75" i="63"/>
  <c r="E75" i="63"/>
  <c r="D75" i="63"/>
  <c r="C75" i="63"/>
  <c r="B75" i="63"/>
  <c r="K72" i="63"/>
  <c r="J72" i="63"/>
  <c r="I72" i="63"/>
  <c r="H72" i="63"/>
  <c r="G72" i="63"/>
  <c r="F72" i="63"/>
  <c r="E72" i="63"/>
  <c r="D72" i="63"/>
  <c r="C72" i="63"/>
  <c r="B72" i="63"/>
  <c r="K71" i="63"/>
  <c r="J71" i="63"/>
  <c r="I71" i="63"/>
  <c r="H71" i="63"/>
  <c r="G71" i="63"/>
  <c r="F71" i="63"/>
  <c r="E71" i="63"/>
  <c r="D71" i="63"/>
  <c r="C71" i="63"/>
  <c r="B71" i="63"/>
  <c r="K70" i="63"/>
  <c r="J70" i="63"/>
  <c r="I70" i="63"/>
  <c r="K69" i="63"/>
  <c r="K74" i="63" s="1"/>
  <c r="J69" i="63"/>
  <c r="J74" i="63" s="1"/>
  <c r="I69" i="63"/>
  <c r="I74" i="63" s="1"/>
  <c r="K68" i="63"/>
  <c r="J68" i="63"/>
  <c r="I68" i="63"/>
  <c r="C68" i="63"/>
  <c r="C69" i="63" s="1"/>
  <c r="K66" i="63"/>
  <c r="J66" i="63"/>
  <c r="I66" i="63"/>
  <c r="H66" i="63"/>
  <c r="G66" i="63"/>
  <c r="F66" i="63"/>
  <c r="E66" i="63"/>
  <c r="D66" i="63"/>
  <c r="C66" i="63"/>
  <c r="B66" i="63"/>
  <c r="K65" i="63"/>
  <c r="J65" i="63"/>
  <c r="I65" i="63"/>
  <c r="K64" i="63"/>
  <c r="J64" i="63"/>
  <c r="I64" i="63"/>
  <c r="H64" i="63"/>
  <c r="G64" i="63"/>
  <c r="F64" i="63"/>
  <c r="E64" i="63"/>
  <c r="D64" i="63"/>
  <c r="C64" i="63"/>
  <c r="B64" i="63"/>
  <c r="H63" i="63"/>
  <c r="G63" i="63"/>
  <c r="F63" i="63"/>
  <c r="E63" i="63"/>
  <c r="D63" i="63"/>
  <c r="C63" i="63"/>
  <c r="B63" i="63"/>
  <c r="C62" i="63"/>
  <c r="H50" i="63"/>
  <c r="G50" i="63"/>
  <c r="F50" i="63"/>
  <c r="E50" i="63"/>
  <c r="D50" i="63"/>
  <c r="C50" i="63"/>
  <c r="B50" i="63"/>
  <c r="D47" i="63"/>
  <c r="E47" i="63" s="1"/>
  <c r="F47" i="63" s="1"/>
  <c r="G47" i="63" s="1"/>
  <c r="H47" i="63" s="1"/>
  <c r="I47" i="63" s="1"/>
  <c r="J47" i="63" s="1"/>
  <c r="K47" i="63" s="1"/>
  <c r="C46" i="63"/>
  <c r="C44" i="63" s="1"/>
  <c r="B44" i="63"/>
  <c r="R206" i="45"/>
  <c r="Q206" i="45"/>
  <c r="P206" i="45"/>
  <c r="O206" i="45"/>
  <c r="N206" i="45"/>
  <c r="AG366" i="49"/>
  <c r="AG340" i="49"/>
  <c r="H4" i="101"/>
  <c r="O4" i="101"/>
  <c r="P4" i="101" s="1"/>
  <c r="H5" i="101"/>
  <c r="O5" i="101"/>
  <c r="P5" i="101" s="1"/>
  <c r="H6" i="101"/>
  <c r="O6" i="101"/>
  <c r="P6" i="101" s="1"/>
  <c r="H7" i="101"/>
  <c r="O7" i="101"/>
  <c r="P7" i="101" s="1"/>
  <c r="H8" i="101"/>
  <c r="O8" i="101"/>
  <c r="P8" i="101" s="1"/>
  <c r="H9" i="101"/>
  <c r="O9" i="101"/>
  <c r="P9" i="101" s="1"/>
  <c r="H10" i="101"/>
  <c r="O10" i="101"/>
  <c r="P10" i="101" s="1"/>
  <c r="H11" i="101"/>
  <c r="O11" i="101"/>
  <c r="P11" i="101" s="1"/>
  <c r="H12" i="101"/>
  <c r="O12" i="101"/>
  <c r="P12" i="101" s="1"/>
  <c r="B13" i="101"/>
  <c r="H13" i="101" s="1"/>
  <c r="O13" i="101"/>
  <c r="H14" i="101"/>
  <c r="O14" i="101"/>
  <c r="P14" i="101" s="1"/>
  <c r="B15" i="101"/>
  <c r="H15" i="101" s="1"/>
  <c r="O15" i="101"/>
  <c r="H16" i="101"/>
  <c r="O16" i="101"/>
  <c r="P16" i="101" s="1"/>
  <c r="H18" i="101"/>
  <c r="O18" i="101"/>
  <c r="P18" i="101" s="1"/>
  <c r="H19" i="101"/>
  <c r="O19" i="101"/>
  <c r="P19" i="101" s="1"/>
  <c r="H20" i="101"/>
  <c r="O20" i="101"/>
  <c r="P20" i="101" s="1"/>
  <c r="H21" i="101"/>
  <c r="O21" i="101"/>
  <c r="P21" i="101" s="1"/>
  <c r="H22" i="101"/>
  <c r="O22" i="101"/>
  <c r="P22" i="101" s="1"/>
  <c r="H23" i="101"/>
  <c r="O23" i="101"/>
  <c r="P23" i="101" s="1"/>
  <c r="H24" i="101"/>
  <c r="O24" i="101"/>
  <c r="P24" i="101" s="1"/>
  <c r="E25" i="101"/>
  <c r="H25" i="101" s="1"/>
  <c r="O25" i="101"/>
  <c r="P25" i="101" s="1"/>
  <c r="B26" i="101"/>
  <c r="B49" i="101" s="1"/>
  <c r="O26" i="101"/>
  <c r="H27" i="101"/>
  <c r="O27" i="101"/>
  <c r="P27" i="101" s="1"/>
  <c r="H28" i="101"/>
  <c r="O28" i="101"/>
  <c r="P28" i="101" s="1"/>
  <c r="H29" i="101"/>
  <c r="O29" i="101"/>
  <c r="P29" i="101" s="1"/>
  <c r="H17" i="101"/>
  <c r="O17" i="101"/>
  <c r="P17" i="101" s="1"/>
  <c r="H30" i="101"/>
  <c r="O30" i="101"/>
  <c r="P30" i="101" s="1"/>
  <c r="H31" i="101"/>
  <c r="O31" i="101"/>
  <c r="P31" i="101" s="1"/>
  <c r="H32" i="101"/>
  <c r="O32" i="101"/>
  <c r="P32" i="101" s="1"/>
  <c r="H33" i="101"/>
  <c r="O33" i="101"/>
  <c r="P33" i="101" s="1"/>
  <c r="U58" i="43"/>
  <c r="Q8" i="43" s="1"/>
  <c r="U94" i="43"/>
  <c r="Q9" i="43" s="1"/>
  <c r="U98" i="43"/>
  <c r="Q10" i="43" s="1"/>
  <c r="U115" i="43"/>
  <c r="S31" i="23"/>
  <c r="S30" i="23"/>
  <c r="R7" i="19"/>
  <c r="P7" i="19"/>
  <c r="R6" i="19"/>
  <c r="R5" i="19"/>
  <c r="S8" i="19" s="1"/>
  <c r="P5" i="19"/>
  <c r="Q8" i="19" s="1"/>
  <c r="U37" i="16"/>
  <c r="V37" i="16" s="1"/>
  <c r="T37" i="16"/>
  <c r="R37" i="16"/>
  <c r="E134" i="16"/>
  <c r="G134" i="16" s="1"/>
  <c r="I135" i="16" s="1"/>
  <c r="E133" i="16"/>
  <c r="G133" i="16" s="1"/>
  <c r="I134" i="16" s="1"/>
  <c r="E132" i="16"/>
  <c r="G132" i="16" s="1"/>
  <c r="I133" i="16" s="1"/>
  <c r="M132" i="16"/>
  <c r="E131" i="16"/>
  <c r="G131" i="16" s="1"/>
  <c r="I132" i="16" s="1"/>
  <c r="E130" i="16"/>
  <c r="G130" i="16" s="1"/>
  <c r="I131" i="16" s="1"/>
  <c r="G106" i="102" l="1"/>
  <c r="E123" i="102"/>
  <c r="E68" i="102" s="1"/>
  <c r="F142" i="102"/>
  <c r="D106" i="102"/>
  <c r="D103" i="102" s="1"/>
  <c r="D109" i="102" s="1"/>
  <c r="K17" i="103"/>
  <c r="J38" i="103"/>
  <c r="J42" i="103" s="1"/>
  <c r="J44" i="103" s="1"/>
  <c r="B56" i="102"/>
  <c r="O42" i="103"/>
  <c r="O44" i="103" s="1"/>
  <c r="C180" i="102"/>
  <c r="C123" i="102"/>
  <c r="G42" i="103"/>
  <c r="G180" i="102"/>
  <c r="H103" i="102"/>
  <c r="H109" i="102" s="1"/>
  <c r="H180" i="102"/>
  <c r="C142" i="102"/>
  <c r="B136" i="102"/>
  <c r="B56" i="63"/>
  <c r="J67" i="63"/>
  <c r="K198" i="102"/>
  <c r="K197" i="102" s="1"/>
  <c r="K200" i="102" s="1"/>
  <c r="K204" i="102" s="1"/>
  <c r="D180" i="102"/>
  <c r="B65" i="102"/>
  <c r="B61" i="102" s="1"/>
  <c r="G198" i="102"/>
  <c r="G197" i="102" s="1"/>
  <c r="G200" i="102" s="1"/>
  <c r="G204" i="102" s="1"/>
  <c r="H91" i="102"/>
  <c r="K67" i="63"/>
  <c r="B122" i="102"/>
  <c r="N198" i="102"/>
  <c r="N197" i="102" s="1"/>
  <c r="N200" i="102" s="1"/>
  <c r="N204" i="102" s="1"/>
  <c r="K180" i="102"/>
  <c r="G142" i="102"/>
  <c r="D123" i="102"/>
  <c r="D68" i="102" s="1"/>
  <c r="C91" i="102"/>
  <c r="K161" i="102"/>
  <c r="C164" i="102"/>
  <c r="C167" i="102" s="1"/>
  <c r="D156" i="102" s="1"/>
  <c r="D155" i="102" s="1"/>
  <c r="K65" i="102"/>
  <c r="E91" i="102"/>
  <c r="D142" i="102"/>
  <c r="D91" i="102"/>
  <c r="C174" i="102"/>
  <c r="D175" i="102" s="1"/>
  <c r="D174" i="102" s="1"/>
  <c r="E175" i="102" s="1"/>
  <c r="E174" i="102" s="1"/>
  <c r="F198" i="102"/>
  <c r="F197" i="102" s="1"/>
  <c r="F200" i="102" s="1"/>
  <c r="F204" i="102" s="1"/>
  <c r="F42" i="103"/>
  <c r="P8" i="19"/>
  <c r="I67" i="63"/>
  <c r="H142" i="102"/>
  <c r="K125" i="102"/>
  <c r="K70" i="102" s="1"/>
  <c r="G91" i="102"/>
  <c r="H26" i="101"/>
  <c r="P26" i="101"/>
  <c r="N42" i="103"/>
  <c r="N44" i="103" s="1"/>
  <c r="C74" i="63"/>
  <c r="J161" i="102"/>
  <c r="C97" i="102"/>
  <c r="H120" i="102"/>
  <c r="H125" i="102" s="1"/>
  <c r="H70" i="102" s="1"/>
  <c r="H42" i="103"/>
  <c r="I180" i="102"/>
  <c r="I142" i="102"/>
  <c r="D161" i="102"/>
  <c r="J198" i="102"/>
  <c r="F91" i="102"/>
  <c r="K142" i="102"/>
  <c r="K123" i="102"/>
  <c r="K68" i="102" s="1"/>
  <c r="B116" i="102"/>
  <c r="B91" i="102"/>
  <c r="B69" i="102"/>
  <c r="D44" i="102"/>
  <c r="E45" i="102" s="1"/>
  <c r="E44" i="102" s="1"/>
  <c r="B97" i="102"/>
  <c r="M42" i="103"/>
  <c r="M44" i="103" s="1"/>
  <c r="P15" i="101"/>
  <c r="H161" i="102"/>
  <c r="D120" i="102"/>
  <c r="D125" i="102" s="1"/>
  <c r="C38" i="103"/>
  <c r="J180" i="102"/>
  <c r="J142" i="102"/>
  <c r="B142" i="102"/>
  <c r="H123" i="102"/>
  <c r="H68" i="102" s="1"/>
  <c r="C103" i="102"/>
  <c r="G123" i="102"/>
  <c r="G68" i="102" s="1"/>
  <c r="D42" i="103"/>
  <c r="E42" i="103"/>
  <c r="P42" i="103"/>
  <c r="P44" i="103" s="1"/>
  <c r="L42" i="103"/>
  <c r="L44" i="103" s="1"/>
  <c r="I42" i="103"/>
  <c r="I44" i="103" s="1"/>
  <c r="M198" i="102"/>
  <c r="I106" i="102"/>
  <c r="I103" i="102" s="1"/>
  <c r="I109" i="102" s="1"/>
  <c r="J103" i="102"/>
  <c r="J109" i="102" s="1"/>
  <c r="F103" i="102"/>
  <c r="F109" i="102" s="1"/>
  <c r="B68" i="102"/>
  <c r="B103" i="102"/>
  <c r="B174" i="102"/>
  <c r="B183" i="102"/>
  <c r="B180" i="102" s="1"/>
  <c r="E106" i="102"/>
  <c r="L197" i="102"/>
  <c r="L200" i="102" s="1"/>
  <c r="L204" i="102" s="1"/>
  <c r="F180" i="102"/>
  <c r="E180" i="102"/>
  <c r="B70" i="102"/>
  <c r="I68" i="102"/>
  <c r="F19" i="102"/>
  <c r="I161" i="102"/>
  <c r="I120" i="102"/>
  <c r="I125" i="102" s="1"/>
  <c r="I122" i="102" s="1"/>
  <c r="J123" i="102"/>
  <c r="J68" i="102" s="1"/>
  <c r="E120" i="102"/>
  <c r="E125" i="102" s="1"/>
  <c r="E122" i="102" s="1"/>
  <c r="F123" i="102"/>
  <c r="C56" i="102"/>
  <c r="G120" i="102"/>
  <c r="G125" i="102" s="1"/>
  <c r="G70" i="102" s="1"/>
  <c r="C120" i="102"/>
  <c r="C125" i="102" s="1"/>
  <c r="K103" i="102"/>
  <c r="K109" i="102" s="1"/>
  <c r="G103" i="102"/>
  <c r="G109" i="102" s="1"/>
  <c r="I69" i="102"/>
  <c r="I74" i="102" s="1"/>
  <c r="J120" i="102"/>
  <c r="F120" i="102"/>
  <c r="C56" i="63"/>
  <c r="D45" i="63"/>
  <c r="D44" i="63" s="1"/>
  <c r="P13" i="101"/>
  <c r="R8" i="19"/>
  <c r="J176" i="22"/>
  <c r="G65" i="102" l="1"/>
  <c r="K19" i="103"/>
  <c r="K42" i="103" s="1"/>
  <c r="K44" i="103" s="1"/>
  <c r="D65" i="102"/>
  <c r="E65" i="102"/>
  <c r="D70" i="102"/>
  <c r="D67" i="102" s="1"/>
  <c r="H67" i="102"/>
  <c r="E103" i="102"/>
  <c r="E109" i="102" s="1"/>
  <c r="E70" i="102"/>
  <c r="E67" i="102" s="1"/>
  <c r="I70" i="102"/>
  <c r="I67" i="102" s="1"/>
  <c r="C70" i="102"/>
  <c r="C67" i="102" s="1"/>
  <c r="B128" i="102"/>
  <c r="C117" i="102" s="1"/>
  <c r="C116" i="102" s="1"/>
  <c r="B148" i="102"/>
  <c r="C137" i="102" s="1"/>
  <c r="C136" i="102" s="1"/>
  <c r="C148" i="102" s="1"/>
  <c r="D137" i="102" s="1"/>
  <c r="D136" i="102" s="1"/>
  <c r="D148" i="102" s="1"/>
  <c r="E137" i="102" s="1"/>
  <c r="C186" i="102"/>
  <c r="K206" i="102"/>
  <c r="G206" i="102"/>
  <c r="D167" i="102"/>
  <c r="D122" i="102"/>
  <c r="D186" i="102"/>
  <c r="B109" i="102"/>
  <c r="N206" i="102"/>
  <c r="F206" i="102"/>
  <c r="P49" i="101"/>
  <c r="K67" i="102"/>
  <c r="K122" i="102"/>
  <c r="H122" i="102"/>
  <c r="B186" i="102"/>
  <c r="C122" i="102"/>
  <c r="J197" i="102"/>
  <c r="J200" i="102" s="1"/>
  <c r="J204" i="102" s="1"/>
  <c r="J206" i="102"/>
  <c r="D56" i="102"/>
  <c r="G122" i="102"/>
  <c r="H65" i="102"/>
  <c r="C109" i="102"/>
  <c r="J125" i="102"/>
  <c r="J70" i="102" s="1"/>
  <c r="J67" i="102" s="1"/>
  <c r="J65" i="102"/>
  <c r="B67" i="102"/>
  <c r="B73" i="102" s="1"/>
  <c r="F207" i="102" s="1"/>
  <c r="H198" i="102"/>
  <c r="I198" i="102"/>
  <c r="C65" i="102"/>
  <c r="C61" i="102" s="1"/>
  <c r="F68" i="102"/>
  <c r="I65" i="102"/>
  <c r="M206" i="102"/>
  <c r="M197" i="102"/>
  <c r="M200" i="102" s="1"/>
  <c r="M204" i="102" s="1"/>
  <c r="E56" i="102"/>
  <c r="F45" i="102"/>
  <c r="F44" i="102" s="1"/>
  <c r="F125" i="102"/>
  <c r="F70" i="102" s="1"/>
  <c r="F65" i="102"/>
  <c r="G67" i="102"/>
  <c r="F175" i="102"/>
  <c r="F174" i="102" s="1"/>
  <c r="E186" i="102"/>
  <c r="D56" i="63"/>
  <c r="E45" i="63"/>
  <c r="E44" i="63" s="1"/>
  <c r="AG352" i="49"/>
  <c r="E136" i="102" l="1"/>
  <c r="E148" i="102" s="1"/>
  <c r="F137" i="102" s="1"/>
  <c r="E156" i="102"/>
  <c r="E155" i="102" s="1"/>
  <c r="E167" i="102" s="1"/>
  <c r="F156" i="102" s="1"/>
  <c r="C128" i="102"/>
  <c r="D117" i="102" s="1"/>
  <c r="D116" i="102" s="1"/>
  <c r="D128" i="102" s="1"/>
  <c r="E117" i="102" s="1"/>
  <c r="E116" i="102" s="1"/>
  <c r="E128" i="102" s="1"/>
  <c r="F117" i="102" s="1"/>
  <c r="F116" i="102" s="1"/>
  <c r="J122" i="102"/>
  <c r="F205" i="102"/>
  <c r="F208" i="102" s="1"/>
  <c r="F122" i="102"/>
  <c r="C73" i="102"/>
  <c r="G207" i="102" s="1"/>
  <c r="G205" i="102" s="1"/>
  <c r="G208" i="102" s="1"/>
  <c r="D62" i="102"/>
  <c r="D61" i="102" s="1"/>
  <c r="D73" i="102" s="1"/>
  <c r="G45" i="102"/>
  <c r="G44" i="102" s="1"/>
  <c r="F56" i="102"/>
  <c r="F186" i="102"/>
  <c r="G175" i="102"/>
  <c r="G174" i="102" s="1"/>
  <c r="F67" i="102"/>
  <c r="H206" i="102"/>
  <c r="H197" i="102"/>
  <c r="H200" i="102" s="1"/>
  <c r="H204" i="102" s="1"/>
  <c r="I206" i="102"/>
  <c r="I197" i="102"/>
  <c r="I200" i="102" s="1"/>
  <c r="I204" i="102" s="1"/>
  <c r="F45" i="63"/>
  <c r="F44" i="63" s="1"/>
  <c r="E56" i="63"/>
  <c r="H411" i="49"/>
  <c r="F411" i="49"/>
  <c r="Q406" i="49"/>
  <c r="P411" i="49" s="1"/>
  <c r="O406" i="49"/>
  <c r="N411" i="49" s="1"/>
  <c r="M406" i="49"/>
  <c r="L411" i="49" s="1"/>
  <c r="K406" i="49"/>
  <c r="J411" i="49" s="1"/>
  <c r="I406" i="49"/>
  <c r="G406" i="49"/>
  <c r="E406" i="49"/>
  <c r="D411" i="49" s="1"/>
  <c r="U402" i="49"/>
  <c r="T405" i="49" s="1"/>
  <c r="S402" i="49"/>
  <c r="R405" i="49" s="1"/>
  <c r="Q402" i="49"/>
  <c r="P405" i="49" s="1"/>
  <c r="O402" i="49"/>
  <c r="N405" i="49" s="1"/>
  <c r="M402" i="49"/>
  <c r="L405" i="49" s="1"/>
  <c r="AI394" i="49"/>
  <c r="AG394" i="49"/>
  <c r="AE394" i="49"/>
  <c r="AC394" i="49"/>
  <c r="AA394" i="49"/>
  <c r="W394" i="49"/>
  <c r="U394" i="49"/>
  <c r="T401" i="49" s="1"/>
  <c r="S394" i="49"/>
  <c r="R401" i="49" s="1"/>
  <c r="Q394" i="49"/>
  <c r="P401" i="49" s="1"/>
  <c r="O394" i="49"/>
  <c r="N401" i="49" s="1"/>
  <c r="M394" i="49"/>
  <c r="L401" i="49" s="1"/>
  <c r="K394" i="49"/>
  <c r="J401" i="49" s="1"/>
  <c r="I394" i="49"/>
  <c r="H401" i="49" s="1"/>
  <c r="G394" i="49"/>
  <c r="F401" i="49" s="1"/>
  <c r="E394" i="49"/>
  <c r="D401" i="49" s="1"/>
  <c r="AA391" i="49"/>
  <c r="AA366" i="49" s="1"/>
  <c r="O386" i="49"/>
  <c r="Q385" i="49"/>
  <c r="O385" i="49"/>
  <c r="S381" i="49"/>
  <c r="S366" i="49" s="1"/>
  <c r="R393" i="49" s="1"/>
  <c r="Q381" i="49"/>
  <c r="O381" i="49"/>
  <c r="AE366" i="49"/>
  <c r="AC366" i="49"/>
  <c r="Y366" i="49"/>
  <c r="W366" i="49"/>
  <c r="U366" i="49"/>
  <c r="T393" i="49" s="1"/>
  <c r="M366" i="49"/>
  <c r="L393" i="49" s="1"/>
  <c r="K366" i="49"/>
  <c r="J393" i="49" s="1"/>
  <c r="I366" i="49"/>
  <c r="H393" i="49" s="1"/>
  <c r="G366" i="49"/>
  <c r="F393" i="49" s="1"/>
  <c r="E366" i="49"/>
  <c r="D393" i="49" s="1"/>
  <c r="AI362" i="49"/>
  <c r="AG362" i="49"/>
  <c r="AE362" i="49"/>
  <c r="AC362" i="49"/>
  <c r="U362" i="49"/>
  <c r="T365" i="49" s="1"/>
  <c r="S362" i="49"/>
  <c r="R365" i="49" s="1"/>
  <c r="Q362" i="49"/>
  <c r="P365" i="49" s="1"/>
  <c r="O362" i="49"/>
  <c r="N365" i="49" s="1"/>
  <c r="M362" i="49"/>
  <c r="L365" i="49" s="1"/>
  <c r="K362" i="49"/>
  <c r="J365" i="49" s="1"/>
  <c r="I362" i="49"/>
  <c r="H365" i="49" s="1"/>
  <c r="G362" i="49"/>
  <c r="F365" i="49" s="1"/>
  <c r="E362" i="49"/>
  <c r="D365" i="49" s="1"/>
  <c r="K360" i="49"/>
  <c r="K356" i="49" s="1"/>
  <c r="J361" i="49" s="1"/>
  <c r="U356" i="49"/>
  <c r="T361" i="49" s="1"/>
  <c r="S356" i="49"/>
  <c r="R361" i="49" s="1"/>
  <c r="Q356" i="49"/>
  <c r="P361" i="49" s="1"/>
  <c r="O356" i="49"/>
  <c r="N361" i="49" s="1"/>
  <c r="M356" i="49"/>
  <c r="L361" i="49" s="1"/>
  <c r="I356" i="49"/>
  <c r="H361" i="49" s="1"/>
  <c r="G356" i="49"/>
  <c r="F361" i="49" s="1"/>
  <c r="E356" i="49"/>
  <c r="D361" i="49" s="1"/>
  <c r="AC350" i="49"/>
  <c r="O346" i="49"/>
  <c r="O314" i="49" s="1"/>
  <c r="N355" i="49" s="1"/>
  <c r="I346" i="49"/>
  <c r="I314" i="49" s="1"/>
  <c r="H355" i="49" s="1"/>
  <c r="AG344" i="49"/>
  <c r="AE344" i="49"/>
  <c r="AE341" i="49"/>
  <c r="AE340" i="49"/>
  <c r="AC340" i="49"/>
  <c r="U339" i="49"/>
  <c r="U314" i="49" s="1"/>
  <c r="T355" i="49" s="1"/>
  <c r="E337" i="49"/>
  <c r="E314" i="49" s="1"/>
  <c r="D355" i="49" s="1"/>
  <c r="AG330" i="49"/>
  <c r="AA314" i="49"/>
  <c r="Y314" i="49"/>
  <c r="W314" i="49"/>
  <c r="S314" i="49"/>
  <c r="R355" i="49" s="1"/>
  <c r="Q314" i="49"/>
  <c r="P355" i="49" s="1"/>
  <c r="M314" i="49"/>
  <c r="L355" i="49" s="1"/>
  <c r="K314" i="49"/>
  <c r="J355" i="49" s="1"/>
  <c r="G314" i="49"/>
  <c r="F355" i="49" s="1"/>
  <c r="U299" i="49"/>
  <c r="T313" i="49" s="1"/>
  <c r="S299" i="49"/>
  <c r="R313" i="49" s="1"/>
  <c r="Q299" i="49"/>
  <c r="P313" i="49" s="1"/>
  <c r="O299" i="49"/>
  <c r="N313" i="49" s="1"/>
  <c r="M299" i="49"/>
  <c r="L313" i="49" s="1"/>
  <c r="K299" i="49"/>
  <c r="J313" i="49" s="1"/>
  <c r="I299" i="49"/>
  <c r="H313" i="49" s="1"/>
  <c r="G299" i="49"/>
  <c r="F313" i="49" s="1"/>
  <c r="E299" i="49"/>
  <c r="D313" i="49" s="1"/>
  <c r="W285" i="49"/>
  <c r="U285" i="49"/>
  <c r="T298" i="49" s="1"/>
  <c r="S285" i="49"/>
  <c r="R298" i="49" s="1"/>
  <c r="Q285" i="49"/>
  <c r="P298" i="49" s="1"/>
  <c r="O285" i="49"/>
  <c r="N298" i="49" s="1"/>
  <c r="M285" i="49"/>
  <c r="L298" i="49" s="1"/>
  <c r="K285" i="49"/>
  <c r="J298" i="49" s="1"/>
  <c r="I285" i="49"/>
  <c r="H298" i="49" s="1"/>
  <c r="G285" i="49"/>
  <c r="F298" i="49" s="1"/>
  <c r="E285" i="49"/>
  <c r="D298" i="49" s="1"/>
  <c r="U276" i="49"/>
  <c r="T284" i="49" s="1"/>
  <c r="S276" i="49"/>
  <c r="R284" i="49" s="1"/>
  <c r="Q276" i="49"/>
  <c r="P284" i="49" s="1"/>
  <c r="O276" i="49"/>
  <c r="N284" i="49" s="1"/>
  <c r="M276" i="49"/>
  <c r="L284" i="49" s="1"/>
  <c r="K276" i="49"/>
  <c r="J284" i="49" s="1"/>
  <c r="I276" i="49"/>
  <c r="H284" i="49" s="1"/>
  <c r="U270" i="49"/>
  <c r="T275" i="49" s="1"/>
  <c r="S270" i="49"/>
  <c r="R275" i="49" s="1"/>
  <c r="Q270" i="49"/>
  <c r="P275" i="49" s="1"/>
  <c r="O270" i="49"/>
  <c r="N275" i="49" s="1"/>
  <c r="U266" i="49"/>
  <c r="T269" i="49" s="1"/>
  <c r="S266" i="49"/>
  <c r="R269" i="49" s="1"/>
  <c r="Q266" i="49"/>
  <c r="P269" i="49" s="1"/>
  <c r="O266" i="49"/>
  <c r="N269" i="49" s="1"/>
  <c r="M266" i="49"/>
  <c r="L269" i="49" s="1"/>
  <c r="K266" i="49"/>
  <c r="J269" i="49" s="1"/>
  <c r="I266" i="49"/>
  <c r="H269" i="49" s="1"/>
  <c r="G266" i="49"/>
  <c r="F269" i="49" s="1"/>
  <c r="E266" i="49"/>
  <c r="D269" i="49" s="1"/>
  <c r="U260" i="49"/>
  <c r="T260" i="49"/>
  <c r="S260" i="49"/>
  <c r="R260" i="49"/>
  <c r="Q260" i="49"/>
  <c r="P260" i="49"/>
  <c r="O260" i="49"/>
  <c r="N260" i="49"/>
  <c r="I257" i="49"/>
  <c r="I252" i="49" s="1"/>
  <c r="H259" i="49" s="1"/>
  <c r="W252" i="49"/>
  <c r="U252" i="49"/>
  <c r="T259" i="49" s="1"/>
  <c r="S252" i="49"/>
  <c r="R259" i="49" s="1"/>
  <c r="Q252" i="49"/>
  <c r="P259" i="49" s="1"/>
  <c r="O252" i="49"/>
  <c r="N259" i="49" s="1"/>
  <c r="M252" i="49"/>
  <c r="L259" i="49" s="1"/>
  <c r="K252" i="49"/>
  <c r="J259" i="49" s="1"/>
  <c r="G252" i="49"/>
  <c r="F259" i="49" s="1"/>
  <c r="E252" i="49"/>
  <c r="D259" i="49" s="1"/>
  <c r="W246" i="49"/>
  <c r="U246" i="49"/>
  <c r="T251" i="49" s="1"/>
  <c r="S246" i="49"/>
  <c r="R251" i="49" s="1"/>
  <c r="Q246" i="49"/>
  <c r="P251" i="49" s="1"/>
  <c r="O246" i="49"/>
  <c r="N251" i="49" s="1"/>
  <c r="M246" i="49"/>
  <c r="L251" i="49" s="1"/>
  <c r="K246" i="49"/>
  <c r="J251" i="49" s="1"/>
  <c r="I246" i="49"/>
  <c r="H251" i="49" s="1"/>
  <c r="E246" i="49"/>
  <c r="D251" i="49" s="1"/>
  <c r="K244" i="49"/>
  <c r="K243" i="49"/>
  <c r="K242" i="49"/>
  <c r="K241" i="49"/>
  <c r="K240" i="49"/>
  <c r="K239" i="49"/>
  <c r="K238" i="49"/>
  <c r="K237" i="49"/>
  <c r="AI230" i="49"/>
  <c r="AG230" i="49"/>
  <c r="AE230" i="49"/>
  <c r="AC230" i="49"/>
  <c r="AA230" i="49"/>
  <c r="Y230" i="49"/>
  <c r="W230" i="49"/>
  <c r="U230" i="49"/>
  <c r="T245" i="49" s="1"/>
  <c r="S230" i="49"/>
  <c r="R245" i="49" s="1"/>
  <c r="Q230" i="49"/>
  <c r="P245" i="49" s="1"/>
  <c r="O230" i="49"/>
  <c r="N245" i="49" s="1"/>
  <c r="M230" i="49"/>
  <c r="L245" i="49" s="1"/>
  <c r="I230" i="49"/>
  <c r="H245" i="49" s="1"/>
  <c r="G230" i="49"/>
  <c r="F245" i="49" s="1"/>
  <c r="E230" i="49"/>
  <c r="D245" i="49" s="1"/>
  <c r="Q225" i="49"/>
  <c r="AE219" i="49"/>
  <c r="AE217" i="49" s="1"/>
  <c r="AA219" i="49"/>
  <c r="AA217" i="49" s="1"/>
  <c r="Q219" i="49"/>
  <c r="Q218" i="49"/>
  <c r="AI217" i="49"/>
  <c r="AG217" i="49"/>
  <c r="AC217" i="49"/>
  <c r="Y217" i="49"/>
  <c r="W217" i="49"/>
  <c r="U217" i="49"/>
  <c r="T229" i="49" s="1"/>
  <c r="S217" i="49"/>
  <c r="R229" i="49" s="1"/>
  <c r="O217" i="49"/>
  <c r="N229" i="49" s="1"/>
  <c r="M217" i="49"/>
  <c r="L229" i="49" s="1"/>
  <c r="K217" i="49"/>
  <c r="J229" i="49" s="1"/>
  <c r="I217" i="49"/>
  <c r="H229" i="49" s="1"/>
  <c r="E217" i="49"/>
  <c r="D229" i="49" s="1"/>
  <c r="W211" i="49"/>
  <c r="U211" i="49"/>
  <c r="T216" i="49" s="1"/>
  <c r="S211" i="49"/>
  <c r="R216" i="49" s="1"/>
  <c r="Q211" i="49"/>
  <c r="P216" i="49" s="1"/>
  <c r="O211" i="49"/>
  <c r="N216" i="49" s="1"/>
  <c r="M211" i="49"/>
  <c r="L216" i="49" s="1"/>
  <c r="K211" i="49"/>
  <c r="J216" i="49" s="1"/>
  <c r="I211" i="49"/>
  <c r="H216" i="49" s="1"/>
  <c r="G211" i="49"/>
  <c r="F216" i="49" s="1"/>
  <c r="E211" i="49"/>
  <c r="D216" i="49" s="1"/>
  <c r="AI169" i="49"/>
  <c r="AG169" i="49"/>
  <c r="AE169" i="49"/>
  <c r="AC169" i="49"/>
  <c r="AA169" i="49"/>
  <c r="Y169" i="49"/>
  <c r="W169" i="49"/>
  <c r="U169" i="49"/>
  <c r="T210" i="49" s="1"/>
  <c r="S169" i="49"/>
  <c r="R210" i="49" s="1"/>
  <c r="Q169" i="49"/>
  <c r="P210" i="49" s="1"/>
  <c r="O169" i="49"/>
  <c r="N210" i="49" s="1"/>
  <c r="M169" i="49"/>
  <c r="L210" i="49" s="1"/>
  <c r="K169" i="49"/>
  <c r="J210" i="49" s="1"/>
  <c r="I169" i="49"/>
  <c r="H210" i="49" s="1"/>
  <c r="G169" i="49"/>
  <c r="F210" i="49" s="1"/>
  <c r="E169" i="49"/>
  <c r="D210" i="49" s="1"/>
  <c r="AI151" i="49"/>
  <c r="AG151" i="49"/>
  <c r="AE151" i="49"/>
  <c r="AC151" i="49"/>
  <c r="AA151" i="49"/>
  <c r="Y151" i="49"/>
  <c r="W151" i="49"/>
  <c r="U151" i="49"/>
  <c r="T168" i="49" s="1"/>
  <c r="S151" i="49"/>
  <c r="R168" i="49" s="1"/>
  <c r="Q151" i="49"/>
  <c r="P168" i="49" s="1"/>
  <c r="O151" i="49"/>
  <c r="N168" i="49" s="1"/>
  <c r="M151" i="49"/>
  <c r="L168" i="49" s="1"/>
  <c r="K151" i="49"/>
  <c r="J168" i="49" s="1"/>
  <c r="I151" i="49"/>
  <c r="H168" i="49" s="1"/>
  <c r="E151" i="49"/>
  <c r="D168" i="49" s="1"/>
  <c r="I148" i="49"/>
  <c r="I133" i="49" s="1"/>
  <c r="H150" i="49" s="1"/>
  <c r="O141" i="49"/>
  <c r="O133" i="49" s="1"/>
  <c r="N150" i="49" s="1"/>
  <c r="E141" i="49"/>
  <c r="E140" i="49"/>
  <c r="AI133" i="49"/>
  <c r="AG133" i="49"/>
  <c r="AE133" i="49"/>
  <c r="AC133" i="49"/>
  <c r="AA133" i="49"/>
  <c r="Y133" i="49"/>
  <c r="W133" i="49"/>
  <c r="U133" i="49"/>
  <c r="T150" i="49" s="1"/>
  <c r="S133" i="49"/>
  <c r="R150" i="49" s="1"/>
  <c r="Q133" i="49"/>
  <c r="P150" i="49" s="1"/>
  <c r="M133" i="49"/>
  <c r="L150" i="49" s="1"/>
  <c r="K133" i="49"/>
  <c r="J150" i="49" s="1"/>
  <c r="G133" i="49"/>
  <c r="F150" i="49" s="1"/>
  <c r="I124" i="49"/>
  <c r="I120" i="49" s="1"/>
  <c r="H132" i="49" s="1"/>
  <c r="AC120" i="49"/>
  <c r="AA120" i="49"/>
  <c r="Y120" i="49"/>
  <c r="W120" i="49"/>
  <c r="U120" i="49"/>
  <c r="T132" i="49" s="1"/>
  <c r="S120" i="49"/>
  <c r="R132" i="49" s="1"/>
  <c r="Q120" i="49"/>
  <c r="P132" i="49" s="1"/>
  <c r="O120" i="49"/>
  <c r="N132" i="49" s="1"/>
  <c r="M120" i="49"/>
  <c r="L132" i="49" s="1"/>
  <c r="K120" i="49"/>
  <c r="J132" i="49" s="1"/>
  <c r="G120" i="49"/>
  <c r="F132" i="49" s="1"/>
  <c r="E120" i="49"/>
  <c r="D132" i="49" s="1"/>
  <c r="K117" i="49"/>
  <c r="K116" i="49" s="1"/>
  <c r="J119" i="49" s="1"/>
  <c r="I117" i="49"/>
  <c r="I116" i="49" s="1"/>
  <c r="H119" i="49" s="1"/>
  <c r="G116" i="49"/>
  <c r="F119" i="49" s="1"/>
  <c r="E116" i="49"/>
  <c r="D119" i="49" s="1"/>
  <c r="O108" i="49"/>
  <c r="AE107" i="49"/>
  <c r="AE103" i="49" s="1"/>
  <c r="W107" i="49"/>
  <c r="W103" i="49" s="1"/>
  <c r="O107" i="49"/>
  <c r="AA105" i="49"/>
  <c r="AA103" i="49" s="1"/>
  <c r="U105" i="49"/>
  <c r="U103" i="49" s="1"/>
  <c r="T109" i="49" s="1"/>
  <c r="T115" i="49" s="1"/>
  <c r="Q105" i="49"/>
  <c r="Q103" i="49" s="1"/>
  <c r="P109" i="49" s="1"/>
  <c r="P115" i="49" s="1"/>
  <c r="AI103" i="49"/>
  <c r="AG103" i="49"/>
  <c r="AC103" i="49"/>
  <c r="Y103" i="49"/>
  <c r="S103" i="49"/>
  <c r="R109" i="49" s="1"/>
  <c r="R115" i="49" s="1"/>
  <c r="Q101" i="49"/>
  <c r="Q93" i="49" s="1"/>
  <c r="P102" i="49" s="1"/>
  <c r="M99" i="49"/>
  <c r="S93" i="49"/>
  <c r="R102" i="49" s="1"/>
  <c r="K93" i="49"/>
  <c r="I93" i="49"/>
  <c r="O90" i="49"/>
  <c r="O79" i="49" s="1"/>
  <c r="N92" i="49" s="1"/>
  <c r="M82" i="49"/>
  <c r="M79" i="49" s="1"/>
  <c r="L92" i="49" s="1"/>
  <c r="S79" i="49"/>
  <c r="R92" i="49" s="1"/>
  <c r="Q79" i="49"/>
  <c r="P92" i="49" s="1"/>
  <c r="K79" i="49"/>
  <c r="J92" i="49" s="1"/>
  <c r="I79" i="49"/>
  <c r="H92" i="49" s="1"/>
  <c r="G79" i="49"/>
  <c r="F92" i="49" s="1"/>
  <c r="E79" i="49"/>
  <c r="D92" i="49" s="1"/>
  <c r="U74" i="49"/>
  <c r="S74" i="49"/>
  <c r="Q74" i="49"/>
  <c r="U66" i="49"/>
  <c r="S66" i="49"/>
  <c r="Q66" i="49"/>
  <c r="F65" i="49"/>
  <c r="Q64" i="49"/>
  <c r="K64" i="49"/>
  <c r="E64" i="49"/>
  <c r="E60" i="49" s="1"/>
  <c r="D65" i="49" s="1"/>
  <c r="W63" i="49"/>
  <c r="W60" i="49" s="1"/>
  <c r="S63" i="49"/>
  <c r="Q63" i="49"/>
  <c r="M63" i="49"/>
  <c r="K63" i="49"/>
  <c r="S62" i="49"/>
  <c r="Q62" i="49"/>
  <c r="M62" i="49"/>
  <c r="K62" i="49"/>
  <c r="I62" i="49"/>
  <c r="AA61" i="49"/>
  <c r="AA60" i="49" s="1"/>
  <c r="U61" i="49"/>
  <c r="U60" i="49" s="1"/>
  <c r="T65" i="49" s="1"/>
  <c r="Q61" i="49"/>
  <c r="M61" i="49"/>
  <c r="K61" i="49"/>
  <c r="I61" i="49"/>
  <c r="AI60" i="49"/>
  <c r="AG60" i="49"/>
  <c r="AE60" i="49"/>
  <c r="AC60" i="49"/>
  <c r="Y60" i="49"/>
  <c r="O60" i="49"/>
  <c r="N65" i="49" s="1"/>
  <c r="S56" i="49"/>
  <c r="Q56" i="49"/>
  <c r="O56" i="49"/>
  <c r="M56" i="49"/>
  <c r="K56" i="49"/>
  <c r="AE54" i="49"/>
  <c r="AA54" i="49"/>
  <c r="AE50" i="49"/>
  <c r="AC50" i="49"/>
  <c r="AA50" i="49"/>
  <c r="Y50" i="49"/>
  <c r="AE47" i="49"/>
  <c r="AG42" i="49"/>
  <c r="AE42" i="49"/>
  <c r="AC42" i="49"/>
  <c r="AA42" i="49"/>
  <c r="Y42" i="49"/>
  <c r="W42" i="49"/>
  <c r="U42" i="49"/>
  <c r="S42" i="49"/>
  <c r="Q42" i="49"/>
  <c r="AE38" i="49"/>
  <c r="AC38" i="49"/>
  <c r="AA38" i="49"/>
  <c r="W38" i="49"/>
  <c r="U38" i="49"/>
  <c r="S38" i="49"/>
  <c r="Q38" i="49"/>
  <c r="O38" i="49"/>
  <c r="M38" i="49"/>
  <c r="K38" i="49"/>
  <c r="I38" i="49"/>
  <c r="E38" i="49"/>
  <c r="AE37" i="49"/>
  <c r="AC37" i="49"/>
  <c r="AA37" i="49"/>
  <c r="Y37" i="49"/>
  <c r="W37" i="49"/>
  <c r="U37" i="49"/>
  <c r="S37" i="49"/>
  <c r="Q37" i="49"/>
  <c r="O37" i="49"/>
  <c r="M37" i="49"/>
  <c r="K37" i="49"/>
  <c r="I37" i="49"/>
  <c r="E37" i="49"/>
  <c r="AE36" i="49"/>
  <c r="AC36" i="49"/>
  <c r="AA36" i="49"/>
  <c r="Y36" i="49"/>
  <c r="W36" i="49"/>
  <c r="U36" i="49"/>
  <c r="S36" i="49"/>
  <c r="Q36" i="49"/>
  <c r="O36" i="49"/>
  <c r="M36" i="49"/>
  <c r="K36" i="49"/>
  <c r="I36" i="49"/>
  <c r="E36" i="49"/>
  <c r="AG35" i="49"/>
  <c r="AG34" i="49" s="1"/>
  <c r="AE35" i="49"/>
  <c r="AC35" i="49"/>
  <c r="AA35" i="49"/>
  <c r="Y35" i="49"/>
  <c r="W35" i="49"/>
  <c r="U35" i="49"/>
  <c r="S35" i="49"/>
  <c r="Q35" i="49"/>
  <c r="O35" i="49"/>
  <c r="M35" i="49"/>
  <c r="K35" i="49"/>
  <c r="I35" i="49"/>
  <c r="E35" i="49"/>
  <c r="AI34" i="49"/>
  <c r="U32" i="49"/>
  <c r="S32" i="49"/>
  <c r="Q32" i="49"/>
  <c r="O32" i="49"/>
  <c r="K32" i="49"/>
  <c r="I32" i="49"/>
  <c r="U31" i="49"/>
  <c r="S31" i="49"/>
  <c r="Q31" i="49"/>
  <c r="O31" i="49"/>
  <c r="K31" i="49"/>
  <c r="I31" i="49"/>
  <c r="U30" i="49"/>
  <c r="S30" i="49"/>
  <c r="O30" i="49"/>
  <c r="M30" i="49"/>
  <c r="K30" i="49"/>
  <c r="I30" i="49"/>
  <c r="U29" i="49"/>
  <c r="S29" i="49"/>
  <c r="Q29" i="49"/>
  <c r="O29" i="49"/>
  <c r="M29" i="49"/>
  <c r="I29" i="49"/>
  <c r="U28" i="49"/>
  <c r="S28" i="49"/>
  <c r="Q28" i="49"/>
  <c r="O28" i="49"/>
  <c r="M28" i="49"/>
  <c r="K28" i="49"/>
  <c r="I28" i="49"/>
  <c r="S27" i="49"/>
  <c r="Q27" i="49"/>
  <c r="O27" i="49"/>
  <c r="K27" i="49"/>
  <c r="U26" i="49"/>
  <c r="S26" i="49"/>
  <c r="Q26" i="49"/>
  <c r="O26" i="49"/>
  <c r="K26" i="49"/>
  <c r="S25" i="49"/>
  <c r="Q25" i="49"/>
  <c r="K25" i="49"/>
  <c r="U24" i="49"/>
  <c r="S24" i="49"/>
  <c r="Q24" i="49"/>
  <c r="O24" i="49"/>
  <c r="K24" i="49"/>
  <c r="S23" i="49"/>
  <c r="Q23" i="49"/>
  <c r="S22" i="49"/>
  <c r="M22" i="49"/>
  <c r="K22" i="49"/>
  <c r="U21" i="49"/>
  <c r="O21" i="49"/>
  <c r="M21" i="49"/>
  <c r="K21" i="49"/>
  <c r="AG19" i="49"/>
  <c r="AE19" i="49"/>
  <c r="AC19" i="49"/>
  <c r="AA19" i="49"/>
  <c r="Y19" i="49"/>
  <c r="W19" i="49"/>
  <c r="U19" i="49"/>
  <c r="U18" i="49"/>
  <c r="S13" i="49"/>
  <c r="S4" i="49" s="1"/>
  <c r="Q4" i="49"/>
  <c r="O4" i="49"/>
  <c r="M4" i="49"/>
  <c r="K4" i="49"/>
  <c r="I4" i="49"/>
  <c r="F155" i="102" l="1"/>
  <c r="F167" i="102" s="1"/>
  <c r="G156" i="102" s="1"/>
  <c r="F136" i="102"/>
  <c r="F148" i="102" s="1"/>
  <c r="G137" i="102" s="1"/>
  <c r="G136" i="102" s="1"/>
  <c r="G148" i="102" s="1"/>
  <c r="H137" i="102" s="1"/>
  <c r="H136" i="102" s="1"/>
  <c r="H148" i="102" s="1"/>
  <c r="I137" i="102" s="1"/>
  <c r="I136" i="102" s="1"/>
  <c r="I148" i="102" s="1"/>
  <c r="J137" i="102" s="1"/>
  <c r="J136" i="102" s="1"/>
  <c r="J148" i="102" s="1"/>
  <c r="K137" i="102" s="1"/>
  <c r="K136" i="102" s="1"/>
  <c r="K148" i="102" s="1"/>
  <c r="AC314" i="49"/>
  <c r="F128" i="102"/>
  <c r="G117" i="102" s="1"/>
  <c r="G116" i="102" s="1"/>
  <c r="G128" i="102" s="1"/>
  <c r="H117" i="102" s="1"/>
  <c r="H116" i="102" s="1"/>
  <c r="H128" i="102" s="1"/>
  <c r="I117" i="102" s="1"/>
  <c r="I116" i="102" s="1"/>
  <c r="I128" i="102" s="1"/>
  <c r="J117" i="102" s="1"/>
  <c r="J116" i="102" s="1"/>
  <c r="J128" i="102" s="1"/>
  <c r="K117" i="102" s="1"/>
  <c r="K116" i="102" s="1"/>
  <c r="K128" i="102" s="1"/>
  <c r="Q366" i="49"/>
  <c r="P393" i="49" s="1"/>
  <c r="E133" i="49"/>
  <c r="D150" i="49" s="1"/>
  <c r="T265" i="49"/>
  <c r="S60" i="49"/>
  <c r="R65" i="49" s="1"/>
  <c r="H45" i="102"/>
  <c r="H44" i="102" s="1"/>
  <c r="G56" i="102"/>
  <c r="G186" i="102"/>
  <c r="H175" i="102"/>
  <c r="H174" i="102" s="1"/>
  <c r="H207" i="102"/>
  <c r="H205" i="102" s="1"/>
  <c r="H208" i="102" s="1"/>
  <c r="E62" i="102"/>
  <c r="E61" i="102" s="1"/>
  <c r="E73" i="102" s="1"/>
  <c r="G45" i="63"/>
  <c r="G44" i="63" s="1"/>
  <c r="F56" i="63"/>
  <c r="AC34" i="49"/>
  <c r="O20" i="49"/>
  <c r="S20" i="49"/>
  <c r="I20" i="49"/>
  <c r="I60" i="49"/>
  <c r="H65" i="49" s="1"/>
  <c r="S34" i="49"/>
  <c r="M34" i="49"/>
  <c r="Q34" i="49"/>
  <c r="K60" i="49"/>
  <c r="J65" i="49" s="1"/>
  <c r="O103" i="49"/>
  <c r="N109" i="49" s="1"/>
  <c r="N115" i="49" s="1"/>
  <c r="Q217" i="49"/>
  <c r="P229" i="49" s="1"/>
  <c r="AG314" i="49"/>
  <c r="O366" i="49"/>
  <c r="N393" i="49" s="1"/>
  <c r="K230" i="49"/>
  <c r="J245" i="49" s="1"/>
  <c r="E34" i="49"/>
  <c r="Q20" i="49"/>
  <c r="U34" i="49"/>
  <c r="U4" i="49"/>
  <c r="N265" i="49"/>
  <c r="R265" i="49"/>
  <c r="K20" i="49"/>
  <c r="M20" i="49"/>
  <c r="M60" i="49"/>
  <c r="L65" i="49" s="1"/>
  <c r="AA34" i="49"/>
  <c r="O34" i="49"/>
  <c r="AE34" i="49"/>
  <c r="I34" i="49"/>
  <c r="Y34" i="49"/>
  <c r="U20" i="49"/>
  <c r="Q60" i="49"/>
  <c r="P65" i="49" s="1"/>
  <c r="W34" i="49"/>
  <c r="K34" i="49"/>
  <c r="P265" i="49"/>
  <c r="AE314" i="49"/>
  <c r="T566" i="70"/>
  <c r="T565" i="70"/>
  <c r="T563" i="70"/>
  <c r="T564" i="70"/>
  <c r="T558" i="70"/>
  <c r="G155" i="102" l="1"/>
  <c r="G167" i="102" s="1"/>
  <c r="H156" i="102" s="1"/>
  <c r="H155" i="102" s="1"/>
  <c r="H167" i="102" s="1"/>
  <c r="I156" i="102" s="1"/>
  <c r="I155" i="102" s="1"/>
  <c r="I167" i="102" s="1"/>
  <c r="J156" i="102" s="1"/>
  <c r="J155" i="102" s="1"/>
  <c r="J167" i="102" s="1"/>
  <c r="K156" i="102" s="1"/>
  <c r="K155" i="102" s="1"/>
  <c r="K167" i="102" s="1"/>
  <c r="I45" i="102"/>
  <c r="I44" i="102" s="1"/>
  <c r="H56" i="102"/>
  <c r="I175" i="102"/>
  <c r="I174" i="102" s="1"/>
  <c r="H186" i="102"/>
  <c r="F62" i="102"/>
  <c r="F61" i="102" s="1"/>
  <c r="I207" i="102"/>
  <c r="I205" i="102" s="1"/>
  <c r="I208" i="102" s="1"/>
  <c r="G56" i="63"/>
  <c r="H45" i="63"/>
  <c r="H44" i="63" s="1"/>
  <c r="T559" i="70"/>
  <c r="J175" i="102" l="1"/>
  <c r="J174" i="102" s="1"/>
  <c r="I186" i="102"/>
  <c r="G62" i="102"/>
  <c r="G61" i="102" s="1"/>
  <c r="F73" i="102"/>
  <c r="J207" i="102" s="1"/>
  <c r="J205" i="102" s="1"/>
  <c r="J208" i="102" s="1"/>
  <c r="I56" i="102"/>
  <c r="J45" i="102"/>
  <c r="J44" i="102" s="1"/>
  <c r="H56" i="63"/>
  <c r="I45" i="63"/>
  <c r="I44" i="63" s="1"/>
  <c r="S603" i="70"/>
  <c r="R603" i="70"/>
  <c r="Q603" i="70"/>
  <c r="P603" i="70"/>
  <c r="O603" i="70"/>
  <c r="N603" i="70"/>
  <c r="M603" i="70"/>
  <c r="L603" i="70"/>
  <c r="T600" i="70"/>
  <c r="T599" i="70"/>
  <c r="T596" i="70"/>
  <c r="T595" i="70"/>
  <c r="T594" i="70"/>
  <c r="T593" i="70"/>
  <c r="T592" i="70"/>
  <c r="T591" i="70"/>
  <c r="T590" i="70"/>
  <c r="T589" i="70"/>
  <c r="T588" i="70"/>
  <c r="T587" i="70"/>
  <c r="T586" i="70"/>
  <c r="T585" i="70"/>
  <c r="T584" i="70"/>
  <c r="T583" i="70"/>
  <c r="T582" i="70"/>
  <c r="T581" i="70"/>
  <c r="T580" i="70"/>
  <c r="T579" i="70"/>
  <c r="T578" i="70"/>
  <c r="T575" i="70"/>
  <c r="T574" i="70"/>
  <c r="T562" i="70"/>
  <c r="T561" i="70"/>
  <c r="T560" i="70"/>
  <c r="T557" i="70"/>
  <c r="T556" i="70"/>
  <c r="T555" i="70"/>
  <c r="T554" i="70"/>
  <c r="T553" i="70"/>
  <c r="T552" i="70"/>
  <c r="T551" i="70"/>
  <c r="T550" i="70"/>
  <c r="T549" i="70"/>
  <c r="T548" i="70"/>
  <c r="T547" i="70"/>
  <c r="T546" i="70"/>
  <c r="T545" i="70"/>
  <c r="T544" i="70"/>
  <c r="T543" i="70"/>
  <c r="T542" i="70"/>
  <c r="T541" i="70"/>
  <c r="T540" i="70"/>
  <c r="T539" i="70"/>
  <c r="T538" i="70"/>
  <c r="T537" i="70"/>
  <c r="T536" i="70"/>
  <c r="T535" i="70"/>
  <c r="T534" i="70"/>
  <c r="T533" i="70"/>
  <c r="T532" i="70"/>
  <c r="T531" i="70"/>
  <c r="T527" i="70"/>
  <c r="T526" i="70"/>
  <c r="G73" i="102" l="1"/>
  <c r="K207" i="102" s="1"/>
  <c r="K205" i="102" s="1"/>
  <c r="K208" i="102" s="1"/>
  <c r="H62" i="102"/>
  <c r="H61" i="102" s="1"/>
  <c r="K45" i="102"/>
  <c r="K44" i="102" s="1"/>
  <c r="K56" i="102" s="1"/>
  <c r="J56" i="102"/>
  <c r="J186" i="102"/>
  <c r="K175" i="102"/>
  <c r="K174" i="102" s="1"/>
  <c r="K186" i="102" s="1"/>
  <c r="I56" i="63"/>
  <c r="J45" i="63"/>
  <c r="J44" i="63" s="1"/>
  <c r="U573" i="70"/>
  <c r="U577" i="70"/>
  <c r="U598" i="70"/>
  <c r="U530" i="70"/>
  <c r="U525" i="70"/>
  <c r="T603" i="70"/>
  <c r="H73" i="102" l="1"/>
  <c r="L207" i="102" s="1"/>
  <c r="L205" i="102" s="1"/>
  <c r="L208" i="102" s="1"/>
  <c r="I62" i="102"/>
  <c r="I61" i="102" s="1"/>
  <c r="K45" i="63"/>
  <c r="K44" i="63" s="1"/>
  <c r="K56" i="63" s="1"/>
  <c r="J56" i="63"/>
  <c r="U603" i="70"/>
  <c r="J62" i="102" l="1"/>
  <c r="J61" i="102" s="1"/>
  <c r="I73" i="102"/>
  <c r="M207" i="102" s="1"/>
  <c r="M205" i="102" s="1"/>
  <c r="M208" i="102" s="1"/>
  <c r="R33" i="23"/>
  <c r="K62" i="102" l="1"/>
  <c r="K61" i="102" s="1"/>
  <c r="K73" i="102" s="1"/>
  <c r="J73" i="102"/>
  <c r="N207" i="102" s="1"/>
  <c r="N205" i="102" s="1"/>
  <c r="N208" i="102" s="1"/>
  <c r="P26" i="57" l="1"/>
  <c r="P30" i="57"/>
  <c r="P33" i="57" s="1"/>
  <c r="P36" i="57" s="1"/>
  <c r="P38" i="57" s="1"/>
  <c r="P31" i="57"/>
  <c r="P43" i="57"/>
  <c r="P7" i="57"/>
  <c r="P11" i="57"/>
  <c r="P14" i="57" s="1"/>
  <c r="P17" i="57" s="1"/>
  <c r="P19" i="57" s="1"/>
  <c r="P12" i="57"/>
  <c r="P42" i="57" l="1"/>
  <c r="P44" i="57" s="1"/>
  <c r="M47" i="46" l="1"/>
  <c r="M48" i="46"/>
  <c r="M49" i="46"/>
  <c r="M50" i="46"/>
  <c r="M51" i="46"/>
  <c r="M52" i="46"/>
  <c r="M53" i="46"/>
  <c r="M54" i="46"/>
  <c r="M55" i="46"/>
  <c r="M56" i="46"/>
  <c r="M57" i="46"/>
  <c r="M58" i="46"/>
  <c r="K47" i="46"/>
  <c r="L47" i="46"/>
  <c r="K48" i="46"/>
  <c r="L48" i="46"/>
  <c r="K49" i="46"/>
  <c r="L49" i="46"/>
  <c r="K50" i="46"/>
  <c r="L50" i="46"/>
  <c r="K51" i="46"/>
  <c r="L51" i="46"/>
  <c r="K52" i="46"/>
  <c r="L52" i="46"/>
  <c r="K53" i="46"/>
  <c r="L53" i="46"/>
  <c r="K54" i="46"/>
  <c r="L54" i="46"/>
  <c r="K55" i="46"/>
  <c r="L55" i="46"/>
  <c r="K56" i="46"/>
  <c r="L56" i="46"/>
  <c r="K57" i="46"/>
  <c r="L57" i="46"/>
  <c r="K58" i="46"/>
  <c r="L58" i="46"/>
  <c r="I47" i="46"/>
  <c r="I48" i="46"/>
  <c r="I49" i="46"/>
  <c r="I50" i="46"/>
  <c r="I51" i="46"/>
  <c r="I52" i="46"/>
  <c r="I53" i="46"/>
  <c r="I54" i="46"/>
  <c r="I55" i="46"/>
  <c r="I56" i="46"/>
  <c r="I57" i="46"/>
  <c r="I58" i="46"/>
  <c r="T17" i="46"/>
  <c r="T18" i="46"/>
  <c r="T19" i="46"/>
  <c r="T20" i="46"/>
  <c r="T21" i="46"/>
  <c r="T22" i="46"/>
  <c r="T23" i="46"/>
  <c r="T24" i="46"/>
  <c r="T25" i="46"/>
  <c r="T26" i="46"/>
  <c r="T27" i="46"/>
  <c r="T28" i="46"/>
  <c r="S17" i="46"/>
  <c r="S18" i="46"/>
  <c r="S19" i="46"/>
  <c r="S20" i="46"/>
  <c r="S21" i="46"/>
  <c r="S22" i="46"/>
  <c r="S23" i="46"/>
  <c r="S24" i="46"/>
  <c r="S25" i="46"/>
  <c r="S26" i="46"/>
  <c r="S27" i="46"/>
  <c r="S28" i="46"/>
  <c r="R19" i="46"/>
  <c r="G114" i="40"/>
  <c r="S31" i="46" l="1"/>
  <c r="T31" i="46"/>
  <c r="G115" i="40"/>
  <c r="T175" i="40"/>
  <c r="U175" i="40"/>
  <c r="V175" i="40"/>
  <c r="T172" i="40"/>
  <c r="U172" i="40"/>
  <c r="V172" i="40"/>
  <c r="T168" i="40"/>
  <c r="U168" i="40"/>
  <c r="V168" i="40"/>
  <c r="T108" i="40"/>
  <c r="U108" i="40"/>
  <c r="V108" i="40"/>
  <c r="T95" i="40"/>
  <c r="O10" i="40" s="1"/>
  <c r="U95" i="40"/>
  <c r="P10" i="40" s="1"/>
  <c r="V95" i="40"/>
  <c r="Q10" i="40" s="1"/>
  <c r="T90" i="40"/>
  <c r="O9" i="40" s="1"/>
  <c r="U90" i="40"/>
  <c r="P9" i="40" s="1"/>
  <c r="V90" i="40"/>
  <c r="Q9" i="40" s="1"/>
  <c r="T46" i="40"/>
  <c r="O8" i="40" s="1"/>
  <c r="U46" i="40"/>
  <c r="P8" i="40" s="1"/>
  <c r="V46" i="40"/>
  <c r="Q8" i="40" s="1"/>
  <c r="L553" i="42"/>
  <c r="Q15" i="40" l="1"/>
  <c r="Q14" i="40"/>
  <c r="V176" i="40"/>
  <c r="Q5" i="40" s="1"/>
  <c r="U176" i="40"/>
  <c r="P5" i="40" s="1"/>
  <c r="T176" i="40"/>
  <c r="O5" i="40" s="1"/>
  <c r="P15" i="40"/>
  <c r="P14" i="40"/>
  <c r="L351" i="42"/>
  <c r="Y533" i="42"/>
  <c r="Y491" i="42"/>
  <c r="Y488" i="42"/>
  <c r="Y498" i="42"/>
  <c r="Y545" i="42"/>
  <c r="Z545" i="42"/>
  <c r="AA545" i="42"/>
  <c r="L555" i="42"/>
  <c r="X309" i="42"/>
  <c r="L353" i="42"/>
  <c r="L352" i="42"/>
  <c r="L350" i="42"/>
  <c r="L148" i="42"/>
  <c r="F205" i="45" l="1"/>
  <c r="L150" i="42" l="1"/>
  <c r="L149" i="42"/>
  <c r="L151" i="42"/>
  <c r="Y594" i="42"/>
  <c r="Z594" i="42"/>
  <c r="AA594" i="42"/>
  <c r="AB594" i="42"/>
  <c r="Y597" i="42"/>
  <c r="Z597" i="42"/>
  <c r="AA597" i="42"/>
  <c r="AB597" i="42"/>
  <c r="Y588" i="42"/>
  <c r="Z588" i="42"/>
  <c r="AA588" i="42"/>
  <c r="AB588" i="42"/>
  <c r="Y534" i="42"/>
  <c r="T437" i="42" s="1"/>
  <c r="Z534" i="42"/>
  <c r="U437" i="42" s="1"/>
  <c r="AA534" i="42"/>
  <c r="V437" i="42" s="1"/>
  <c r="AB534" i="42"/>
  <c r="Y521" i="42"/>
  <c r="T436" i="42" s="1"/>
  <c r="Z521" i="42"/>
  <c r="U436" i="42" s="1"/>
  <c r="AA521" i="42"/>
  <c r="V436" i="42" s="1"/>
  <c r="AB521" i="42"/>
  <c r="Y476" i="42"/>
  <c r="T435" i="42" s="1"/>
  <c r="Z476" i="42"/>
  <c r="U435" i="42" s="1"/>
  <c r="AA476" i="42"/>
  <c r="V435" i="42" s="1"/>
  <c r="V440" i="42" s="1"/>
  <c r="AB476" i="42"/>
  <c r="Y420" i="42"/>
  <c r="Z420" i="42"/>
  <c r="AA420" i="42"/>
  <c r="AB420" i="42"/>
  <c r="Y423" i="42"/>
  <c r="Z423" i="42"/>
  <c r="AA423" i="42"/>
  <c r="AB423" i="42"/>
  <c r="Y416" i="42"/>
  <c r="Z416" i="42"/>
  <c r="AA416" i="42"/>
  <c r="AB416" i="42"/>
  <c r="Y340" i="42"/>
  <c r="Z340" i="42"/>
  <c r="AA340" i="42"/>
  <c r="AB340" i="42"/>
  <c r="Y319" i="42"/>
  <c r="T234" i="42" s="1"/>
  <c r="Z319" i="42"/>
  <c r="U234" i="42" s="1"/>
  <c r="AA319" i="42"/>
  <c r="V234" i="42" s="1"/>
  <c r="AB319" i="42"/>
  <c r="Y315" i="42"/>
  <c r="Z315" i="42"/>
  <c r="U233" i="42" s="1"/>
  <c r="AA315" i="42"/>
  <c r="V233" i="42" s="1"/>
  <c r="AB315" i="42"/>
  <c r="T232" i="42"/>
  <c r="U232" i="42"/>
  <c r="V237" i="42" s="1"/>
  <c r="Y218" i="42"/>
  <c r="Z218" i="42"/>
  <c r="AA218" i="42"/>
  <c r="AB218" i="42"/>
  <c r="Y221" i="42"/>
  <c r="Z221" i="42"/>
  <c r="AA221" i="42"/>
  <c r="AB221" i="42"/>
  <c r="Y213" i="42"/>
  <c r="Z213" i="42"/>
  <c r="AA213" i="42"/>
  <c r="AB213" i="42"/>
  <c r="AB195" i="42"/>
  <c r="AB133" i="42" s="1"/>
  <c r="AB134" i="42" s="1"/>
  <c r="Y139" i="42"/>
  <c r="Z139" i="42"/>
  <c r="AA139" i="42"/>
  <c r="AB139" i="42"/>
  <c r="Y129" i="42"/>
  <c r="T28" i="42" s="1"/>
  <c r="Z129" i="42"/>
  <c r="U28" i="42" s="1"/>
  <c r="AA129" i="42"/>
  <c r="V28" i="42" s="1"/>
  <c r="AB129" i="42"/>
  <c r="Y124" i="42"/>
  <c r="T27" i="42" s="1"/>
  <c r="Z124" i="42"/>
  <c r="U27" i="42" s="1"/>
  <c r="AA124" i="42"/>
  <c r="V27" i="42" s="1"/>
  <c r="AB124" i="42"/>
  <c r="AB76" i="42"/>
  <c r="Y76" i="42"/>
  <c r="T26" i="42" s="1"/>
  <c r="Z76" i="42"/>
  <c r="AA76" i="42"/>
  <c r="V26" i="42" s="1"/>
  <c r="S142" i="38"/>
  <c r="S138" i="38"/>
  <c r="S133" i="38"/>
  <c r="S53" i="38"/>
  <c r="N8" i="38" s="1"/>
  <c r="S79" i="38"/>
  <c r="N9" i="38" s="1"/>
  <c r="S84" i="38"/>
  <c r="N10" i="38" s="1"/>
  <c r="G125" i="39"/>
  <c r="G124" i="39"/>
  <c r="V108" i="39"/>
  <c r="V109" i="39" s="1"/>
  <c r="Q11" i="39" s="1"/>
  <c r="W157" i="39"/>
  <c r="W108" i="39" s="1"/>
  <c r="W109" i="39" s="1"/>
  <c r="G126" i="39"/>
  <c r="G127" i="39"/>
  <c r="T183" i="39"/>
  <c r="U183" i="39"/>
  <c r="V183" i="39"/>
  <c r="W183" i="39"/>
  <c r="T186" i="39"/>
  <c r="U186" i="39"/>
  <c r="V186" i="39"/>
  <c r="W186" i="39"/>
  <c r="T173" i="39"/>
  <c r="U173" i="39"/>
  <c r="V173" i="39"/>
  <c r="W173" i="39"/>
  <c r="T117" i="39"/>
  <c r="U117" i="39"/>
  <c r="V117" i="39"/>
  <c r="W117" i="39"/>
  <c r="T104" i="39"/>
  <c r="O10" i="39" s="1"/>
  <c r="U104" i="39"/>
  <c r="P10" i="39" s="1"/>
  <c r="V104" i="39"/>
  <c r="Q10" i="39" s="1"/>
  <c r="W104" i="39"/>
  <c r="T97" i="39"/>
  <c r="O9" i="39" s="1"/>
  <c r="U97" i="39"/>
  <c r="P9" i="39" s="1"/>
  <c r="V97" i="39"/>
  <c r="Q9" i="39" s="1"/>
  <c r="W97" i="39"/>
  <c r="T58" i="39"/>
  <c r="O8" i="39" s="1"/>
  <c r="U58" i="39"/>
  <c r="P8" i="39" s="1"/>
  <c r="V58" i="39"/>
  <c r="Q8" i="39" s="1"/>
  <c r="W58" i="39"/>
  <c r="Q15" i="39" l="1"/>
  <c r="Q14" i="39"/>
  <c r="V10" i="42"/>
  <c r="V441" i="42"/>
  <c r="V238" i="42"/>
  <c r="V8" i="42"/>
  <c r="V32" i="42"/>
  <c r="V9" i="42"/>
  <c r="Q12" i="39"/>
  <c r="P14" i="39"/>
  <c r="P15" i="39"/>
  <c r="AA424" i="42"/>
  <c r="V229" i="42" s="1"/>
  <c r="S143" i="38"/>
  <c r="N5" i="38" s="1"/>
  <c r="T187" i="39"/>
  <c r="O5" i="39" s="1"/>
  <c r="W187" i="39"/>
  <c r="Z424" i="42"/>
  <c r="U229" i="42" s="1"/>
  <c r="Z598" i="42"/>
  <c r="U432" i="42" s="1"/>
  <c r="V187" i="39"/>
  <c r="Q5" i="39" s="1"/>
  <c r="Z222" i="42"/>
  <c r="U23" i="42" s="1"/>
  <c r="Y222" i="42"/>
  <c r="T23" i="42" s="1"/>
  <c r="AB598" i="42"/>
  <c r="U237" i="42"/>
  <c r="Y598" i="42"/>
  <c r="T432" i="42" s="1"/>
  <c r="AA222" i="42"/>
  <c r="V23" i="42" s="1"/>
  <c r="AB222" i="42"/>
  <c r="AA598" i="42"/>
  <c r="V432" i="42" s="1"/>
  <c r="U26" i="42"/>
  <c r="U8" i="42" s="1"/>
  <c r="AB135" i="42"/>
  <c r="T233" i="42"/>
  <c r="U238" i="42" s="1"/>
  <c r="Y424" i="42"/>
  <c r="T229" i="42" s="1"/>
  <c r="AB424" i="42"/>
  <c r="U10" i="42"/>
  <c r="T10" i="42"/>
  <c r="U440" i="42"/>
  <c r="U441" i="42"/>
  <c r="T8" i="42"/>
  <c r="U9" i="42"/>
  <c r="U32" i="42"/>
  <c r="U187" i="39"/>
  <c r="P5" i="39" s="1"/>
  <c r="F195" i="41"/>
  <c r="F197" i="41"/>
  <c r="S266" i="41"/>
  <c r="T266" i="41"/>
  <c r="U266" i="41"/>
  <c r="V266" i="41"/>
  <c r="S269" i="41"/>
  <c r="T269" i="41"/>
  <c r="U269" i="41"/>
  <c r="V269" i="41"/>
  <c r="S255" i="41"/>
  <c r="T255" i="41"/>
  <c r="U255" i="41"/>
  <c r="V255" i="41"/>
  <c r="S186" i="41"/>
  <c r="T186" i="41"/>
  <c r="S170" i="41"/>
  <c r="O10" i="41" s="1"/>
  <c r="T170" i="41"/>
  <c r="P10" i="41" s="1"/>
  <c r="S163" i="41"/>
  <c r="O9" i="41" s="1"/>
  <c r="T163" i="41"/>
  <c r="P9" i="41" s="1"/>
  <c r="Q15" i="41" s="1"/>
  <c r="S90" i="41"/>
  <c r="O8" i="41" s="1"/>
  <c r="T90" i="41"/>
  <c r="P8" i="41" s="1"/>
  <c r="Q14" i="41" s="1"/>
  <c r="F87" i="44"/>
  <c r="F86" i="44"/>
  <c r="F89" i="44"/>
  <c r="F88" i="44"/>
  <c r="R78" i="44"/>
  <c r="S125" i="44"/>
  <c r="T125" i="44"/>
  <c r="U125" i="44"/>
  <c r="S128" i="44"/>
  <c r="T128" i="44"/>
  <c r="U128" i="44"/>
  <c r="S131" i="44"/>
  <c r="T131" i="44"/>
  <c r="U131" i="44"/>
  <c r="U112" i="44"/>
  <c r="U59" i="44" s="1"/>
  <c r="U60" i="44" s="1"/>
  <c r="Q10" i="44" s="1"/>
  <c r="V112" i="44"/>
  <c r="V59" i="44" s="1"/>
  <c r="V60" i="44" s="1"/>
  <c r="S79" i="44"/>
  <c r="T79" i="44"/>
  <c r="U79" i="44"/>
  <c r="V79" i="44"/>
  <c r="S52" i="44"/>
  <c r="O8" i="44" s="1"/>
  <c r="T52" i="44"/>
  <c r="P8" i="44" s="1"/>
  <c r="U52" i="44"/>
  <c r="Q8" i="44" s="1"/>
  <c r="V52" i="44"/>
  <c r="S55" i="44"/>
  <c r="O9" i="44" s="1"/>
  <c r="T55" i="44"/>
  <c r="P9" i="44" s="1"/>
  <c r="U55" i="44"/>
  <c r="Q9" i="44" s="1"/>
  <c r="V55" i="44"/>
  <c r="Q13" i="44" l="1"/>
  <c r="Q11" i="44"/>
  <c r="V13" i="42"/>
  <c r="V31" i="42"/>
  <c r="V5" i="42"/>
  <c r="V14" i="42"/>
  <c r="T271" i="41"/>
  <c r="P5" i="41" s="1"/>
  <c r="U5" i="42"/>
  <c r="U61" i="44"/>
  <c r="Q4" i="44" s="1"/>
  <c r="S132" i="44"/>
  <c r="O5" i="44" s="1"/>
  <c r="U132" i="44"/>
  <c r="Q5" i="44" s="1"/>
  <c r="V61" i="44"/>
  <c r="T132" i="44"/>
  <c r="P5" i="44" s="1"/>
  <c r="V271" i="41"/>
  <c r="U271" i="41"/>
  <c r="Q5" i="41" s="1"/>
  <c r="U31" i="42"/>
  <c r="T5" i="42"/>
  <c r="T9" i="42"/>
  <c r="U13" i="42"/>
  <c r="S271" i="41"/>
  <c r="O5" i="41" s="1"/>
  <c r="P14" i="41"/>
  <c r="P15" i="41"/>
  <c r="P13" i="44"/>
  <c r="T215" i="35"/>
  <c r="U215" i="35"/>
  <c r="V215" i="35"/>
  <c r="W215" i="35"/>
  <c r="T218" i="35"/>
  <c r="U218" i="35"/>
  <c r="V218" i="35"/>
  <c r="W218" i="35"/>
  <c r="T205" i="35"/>
  <c r="U205" i="35"/>
  <c r="V205" i="35"/>
  <c r="W205" i="35"/>
  <c r="W185" i="35"/>
  <c r="W160" i="35" s="1"/>
  <c r="W161" i="35" s="1"/>
  <c r="T169" i="35"/>
  <c r="U169" i="35"/>
  <c r="V169" i="35"/>
  <c r="W169" i="35"/>
  <c r="T156" i="35"/>
  <c r="O10" i="35" s="1"/>
  <c r="U156" i="35"/>
  <c r="P10" i="35" s="1"/>
  <c r="V156" i="35"/>
  <c r="Q10" i="35" s="1"/>
  <c r="W156" i="35"/>
  <c r="T139" i="35"/>
  <c r="O9" i="35" s="1"/>
  <c r="U139" i="35"/>
  <c r="P9" i="35" s="1"/>
  <c r="V139" i="35"/>
  <c r="Q9" i="35" s="1"/>
  <c r="W139" i="35"/>
  <c r="T82" i="35"/>
  <c r="O8" i="35" s="1"/>
  <c r="U82" i="35"/>
  <c r="P8" i="35" s="1"/>
  <c r="V82" i="35"/>
  <c r="Q8" i="35" s="1"/>
  <c r="Q14" i="35" s="1"/>
  <c r="W82" i="35"/>
  <c r="T184" i="43"/>
  <c r="T187" i="43" s="1"/>
  <c r="S58" i="43"/>
  <c r="O8" i="43" s="1"/>
  <c r="S180" i="43"/>
  <c r="T180" i="43"/>
  <c r="U180" i="43"/>
  <c r="D131" i="43"/>
  <c r="F130" i="43"/>
  <c r="F129" i="43"/>
  <c r="F128" i="43"/>
  <c r="F127" i="43"/>
  <c r="D126" i="43"/>
  <c r="F125" i="43"/>
  <c r="F124" i="43"/>
  <c r="F123" i="43"/>
  <c r="S187" i="43"/>
  <c r="U187" i="43"/>
  <c r="S190" i="43"/>
  <c r="T190" i="43"/>
  <c r="U190" i="43"/>
  <c r="S115" i="43"/>
  <c r="T115" i="43"/>
  <c r="S98" i="43"/>
  <c r="O10" i="43" s="1"/>
  <c r="T98" i="43"/>
  <c r="P10" i="43" s="1"/>
  <c r="S94" i="43"/>
  <c r="O9" i="43" s="1"/>
  <c r="T94" i="43"/>
  <c r="P9" i="43" s="1"/>
  <c r="Q15" i="43" s="1"/>
  <c r="T58" i="43"/>
  <c r="P8" i="43" s="1"/>
  <c r="Q14" i="43" s="1"/>
  <c r="T182" i="37"/>
  <c r="U182" i="37"/>
  <c r="V182" i="37"/>
  <c r="T179" i="37"/>
  <c r="U179" i="37"/>
  <c r="V179" i="37"/>
  <c r="T170" i="37"/>
  <c r="U170" i="37"/>
  <c r="V170" i="37"/>
  <c r="G130" i="37"/>
  <c r="G129" i="37"/>
  <c r="G128" i="37"/>
  <c r="G127" i="37"/>
  <c r="T122" i="37"/>
  <c r="U122" i="37"/>
  <c r="N9" i="37"/>
  <c r="U103" i="37"/>
  <c r="T65" i="37"/>
  <c r="N8" i="37" s="1"/>
  <c r="U65" i="37"/>
  <c r="O8" i="37" s="1"/>
  <c r="P14" i="37" s="1"/>
  <c r="N10" i="37"/>
  <c r="O10" i="37"/>
  <c r="Q6" i="44" l="1"/>
  <c r="Q15" i="35"/>
  <c r="O9" i="37"/>
  <c r="P15" i="37" s="1"/>
  <c r="V219" i="35"/>
  <c r="Q5" i="35" s="1"/>
  <c r="U219" i="35"/>
  <c r="P5" i="35" s="1"/>
  <c r="U184" i="37"/>
  <c r="O5" i="37" s="1"/>
  <c r="T184" i="37"/>
  <c r="N5" i="37" s="1"/>
  <c r="V184" i="37"/>
  <c r="P5" i="37" s="1"/>
  <c r="S191" i="43"/>
  <c r="O5" i="43" s="1"/>
  <c r="W162" i="35"/>
  <c r="W219" i="35"/>
  <c r="O14" i="37"/>
  <c r="U14" i="42"/>
  <c r="T219" i="35"/>
  <c r="O5" i="35" s="1"/>
  <c r="P14" i="35"/>
  <c r="P15" i="35"/>
  <c r="P14" i="43"/>
  <c r="T191" i="43"/>
  <c r="P5" i="43" s="1"/>
  <c r="U191" i="43"/>
  <c r="Q5" i="43" s="1"/>
  <c r="P15" i="43"/>
  <c r="F24" i="61"/>
  <c r="F23" i="61"/>
  <c r="F22" i="61"/>
  <c r="F21" i="61"/>
  <c r="F20" i="61"/>
  <c r="F19" i="61"/>
  <c r="F18" i="61"/>
  <c r="E24" i="61"/>
  <c r="E23" i="61"/>
  <c r="E22" i="61"/>
  <c r="E21" i="61"/>
  <c r="E20" i="61"/>
  <c r="E19" i="61"/>
  <c r="E18" i="61"/>
  <c r="D24" i="61"/>
  <c r="D23" i="61"/>
  <c r="D22" i="61"/>
  <c r="C24" i="61"/>
  <c r="C23" i="61"/>
  <c r="C22" i="61"/>
  <c r="L60" i="61"/>
  <c r="J98" i="61"/>
  <c r="J99" i="61"/>
  <c r="F60" i="61"/>
  <c r="C99" i="61"/>
  <c r="D99" i="61"/>
  <c r="E99" i="61"/>
  <c r="F99" i="61"/>
  <c r="G99" i="61"/>
  <c r="H99" i="61"/>
  <c r="I99" i="61"/>
  <c r="K99" i="61"/>
  <c r="L99" i="61"/>
  <c r="M99" i="61"/>
  <c r="N99" i="61"/>
  <c r="O99" i="61"/>
  <c r="P99" i="61"/>
  <c r="D18" i="61" s="1"/>
  <c r="Q99" i="61"/>
  <c r="D19" i="61" s="1"/>
  <c r="R99" i="61"/>
  <c r="D20" i="61" s="1"/>
  <c r="S99" i="61"/>
  <c r="D21" i="61" s="1"/>
  <c r="C98" i="61"/>
  <c r="D98" i="61"/>
  <c r="E98" i="61"/>
  <c r="F98" i="61"/>
  <c r="G98" i="61"/>
  <c r="H98" i="61"/>
  <c r="I98" i="61"/>
  <c r="K98" i="61"/>
  <c r="L98" i="61"/>
  <c r="M98" i="61"/>
  <c r="N98" i="61"/>
  <c r="O98" i="61"/>
  <c r="P98" i="61"/>
  <c r="C18" i="61" s="1"/>
  <c r="Q98" i="61"/>
  <c r="C19" i="61" s="1"/>
  <c r="R98" i="61"/>
  <c r="C20" i="61" s="1"/>
  <c r="S98" i="61"/>
  <c r="C21" i="61" s="1"/>
  <c r="B99" i="61"/>
  <c r="B98" i="61"/>
  <c r="O15" i="37" l="1"/>
  <c r="B101" i="61"/>
  <c r="B107" i="61" s="1"/>
  <c r="S92" i="61"/>
  <c r="S96" i="61"/>
  <c r="S88" i="61"/>
  <c r="S83" i="61"/>
  <c r="S80" i="61"/>
  <c r="S77" i="61"/>
  <c r="S74" i="61"/>
  <c r="S71" i="61"/>
  <c r="S68" i="61"/>
  <c r="S63" i="61"/>
  <c r="S60" i="61"/>
  <c r="S57" i="61"/>
  <c r="S101" i="61"/>
  <c r="S107" i="61" s="1"/>
  <c r="G59" i="16" l="1"/>
  <c r="G60" i="16"/>
  <c r="G61" i="16"/>
  <c r="M62" i="16" s="1"/>
  <c r="J61" i="16"/>
  <c r="C60" i="16"/>
  <c r="C61" i="16"/>
  <c r="S61" i="16" s="1"/>
  <c r="B61" i="16"/>
  <c r="F61" i="16" s="1"/>
  <c r="B60" i="16"/>
  <c r="E60" i="16" s="1"/>
  <c r="B5" i="20"/>
  <c r="C5" i="20"/>
  <c r="D5" i="20"/>
  <c r="E5" i="20"/>
  <c r="F60" i="16" l="1"/>
  <c r="S62" i="16"/>
  <c r="N62" i="16"/>
  <c r="D61" i="16"/>
  <c r="D60" i="16"/>
  <c r="M61" i="16"/>
  <c r="N61" i="16" s="1"/>
  <c r="E61" i="16"/>
  <c r="AB11" i="20"/>
  <c r="AA11" i="20"/>
  <c r="Z11" i="20"/>
  <c r="Y11" i="20"/>
  <c r="AC11" i="20"/>
  <c r="AD11" i="20"/>
  <c r="AD9" i="20" l="1"/>
  <c r="AD10" i="20"/>
  <c r="AD6" i="20"/>
  <c r="AD14" i="20"/>
  <c r="AE15" i="20" s="1"/>
  <c r="AD16" i="20" l="1"/>
  <c r="AE17" i="20" s="1"/>
  <c r="V50" i="21"/>
  <c r="T50" i="21"/>
  <c r="Q50" i="21"/>
  <c r="P50" i="21"/>
  <c r="O50" i="21"/>
  <c r="N50" i="21"/>
  <c r="R50" i="21"/>
  <c r="S50" i="21"/>
  <c r="U50" i="21"/>
  <c r="W50" i="21"/>
  <c r="X50" i="21"/>
  <c r="Y50" i="21"/>
  <c r="Q125" i="21" l="1"/>
  <c r="AA16" i="21" l="1"/>
  <c r="AB17" i="21" l="1"/>
  <c r="G159" i="63"/>
  <c r="G164" i="63" s="1"/>
  <c r="C31" i="16" l="1"/>
  <c r="G31" i="16"/>
  <c r="E31" i="16"/>
  <c r="C104" i="63" l="1"/>
  <c r="E24" i="79" l="1"/>
  <c r="D24" i="79"/>
  <c r="E13" i="76"/>
  <c r="D13" i="76"/>
  <c r="E29" i="78" l="1"/>
  <c r="Z68" i="21" l="1"/>
  <c r="C175" i="63" l="1"/>
  <c r="R76" i="21" l="1"/>
  <c r="S76" i="21"/>
  <c r="Z74" i="21"/>
  <c r="Z70" i="21"/>
  <c r="Z71" i="21"/>
  <c r="Z69" i="21"/>
  <c r="Z72" i="21"/>
  <c r="Z73" i="21"/>
  <c r="Z75" i="21"/>
  <c r="W68" i="21"/>
  <c r="Y67" i="21"/>
  <c r="Y68" i="21"/>
  <c r="Z49" i="21"/>
  <c r="Z64" i="21" s="1"/>
  <c r="Z50" i="21" l="1"/>
  <c r="AA50" i="21"/>
  <c r="Z76" i="21"/>
  <c r="J20" i="50"/>
  <c r="G18" i="86" l="1"/>
  <c r="P12" i="94" l="1"/>
  <c r="D591" i="92" l="1"/>
  <c r="C591" i="92"/>
  <c r="B591" i="92"/>
  <c r="M471" i="93" l="1"/>
  <c r="L471" i="93"/>
  <c r="K471" i="93"/>
  <c r="I471" i="93"/>
  <c r="H471" i="93"/>
  <c r="G471" i="93"/>
  <c r="F471" i="93"/>
  <c r="E471" i="93"/>
  <c r="D471" i="93"/>
  <c r="C471" i="93"/>
  <c r="B471" i="93"/>
  <c r="J470" i="93"/>
  <c r="J471" i="93" s="1"/>
  <c r="F500" i="93"/>
  <c r="C500" i="93"/>
  <c r="K30" i="87" l="1"/>
  <c r="J30" i="87"/>
  <c r="I30" i="87"/>
  <c r="H30" i="87"/>
  <c r="G30" i="87"/>
  <c r="P133" i="95" l="1"/>
  <c r="O133" i="95"/>
  <c r="K8" i="85" l="1"/>
  <c r="K62" i="88" l="1"/>
  <c r="K61" i="88"/>
  <c r="K60" i="88"/>
  <c r="K59" i="88"/>
  <c r="K58" i="88"/>
  <c r="K57" i="88"/>
  <c r="K56" i="88"/>
  <c r="K55" i="88"/>
  <c r="K54" i="88"/>
  <c r="K53" i="88"/>
  <c r="K52" i="88"/>
  <c r="K51" i="88"/>
  <c r="J50" i="88"/>
  <c r="I50" i="88"/>
  <c r="H50" i="88"/>
  <c r="K50" i="88" l="1"/>
  <c r="E51" i="88"/>
  <c r="B50" i="88"/>
  <c r="C50" i="88"/>
  <c r="D50" i="88"/>
  <c r="E62" i="88"/>
  <c r="E61" i="88"/>
  <c r="E60" i="88"/>
  <c r="E59" i="88"/>
  <c r="E58" i="88"/>
  <c r="E57" i="88"/>
  <c r="E56" i="88"/>
  <c r="E55" i="88"/>
  <c r="E53" i="88"/>
  <c r="E52" i="88"/>
  <c r="E50" i="88" l="1"/>
  <c r="J135" i="22"/>
  <c r="J149" i="22" l="1"/>
  <c r="L21" i="72" l="1"/>
  <c r="P21" i="72"/>
  <c r="D139" i="80" l="1"/>
  <c r="C139" i="80"/>
  <c r="B139" i="80"/>
  <c r="E139" i="80"/>
  <c r="E104" i="80"/>
  <c r="E109" i="80" l="1"/>
  <c r="E108" i="80"/>
  <c r="E50" i="80"/>
  <c r="E12" i="80" l="1"/>
  <c r="E10" i="80"/>
  <c r="E11" i="80"/>
  <c r="E141" i="80"/>
  <c r="E128" i="80"/>
  <c r="D128" i="80"/>
  <c r="C128" i="80"/>
  <c r="B128" i="80"/>
  <c r="E107" i="80"/>
  <c r="E98" i="80"/>
  <c r="D98" i="80"/>
  <c r="C98" i="80"/>
  <c r="B98" i="80"/>
  <c r="E81" i="80"/>
  <c r="D81" i="80"/>
  <c r="C81" i="80"/>
  <c r="B81" i="80"/>
  <c r="E32" i="80"/>
  <c r="D32" i="80"/>
  <c r="C32" i="80"/>
  <c r="B32" i="80"/>
  <c r="E5" i="80"/>
  <c r="C5" i="80"/>
  <c r="D7" i="83" l="1"/>
  <c r="E7" i="83"/>
  <c r="E13" i="79" l="1"/>
  <c r="D13" i="79"/>
  <c r="C13" i="79"/>
  <c r="E14" i="79"/>
  <c r="D14" i="79"/>
  <c r="C14" i="79"/>
  <c r="E15" i="79"/>
  <c r="D15" i="79"/>
  <c r="C15" i="79"/>
  <c r="E16" i="79"/>
  <c r="D16" i="79"/>
  <c r="C16" i="79"/>
  <c r="E17" i="79"/>
  <c r="D17" i="79"/>
  <c r="C17" i="79"/>
  <c r="E18" i="79"/>
  <c r="D18" i="79"/>
  <c r="C18" i="79"/>
  <c r="B17" i="79"/>
  <c r="B16" i="79"/>
  <c r="B15" i="79"/>
  <c r="B14" i="79"/>
  <c r="B13" i="79"/>
  <c r="D10" i="79"/>
  <c r="C10" i="79"/>
  <c r="C12" i="79" l="1"/>
  <c r="D12" i="79"/>
  <c r="E12" i="79"/>
  <c r="B12" i="79"/>
  <c r="U97" i="68" l="1"/>
  <c r="U95" i="68"/>
  <c r="U94" i="68"/>
  <c r="U93" i="68"/>
  <c r="U91" i="68"/>
  <c r="U90" i="68"/>
  <c r="U89" i="68"/>
  <c r="U88" i="68"/>
  <c r="U85" i="68"/>
  <c r="U98" i="68" l="1"/>
  <c r="U96" i="68"/>
  <c r="U92" i="68"/>
  <c r="U87" i="68"/>
  <c r="U86" i="68"/>
  <c r="U83" i="68"/>
  <c r="U46" i="68"/>
  <c r="U84" i="68" s="1"/>
  <c r="U77" i="68"/>
  <c r="U99" i="68" l="1"/>
  <c r="E45" i="77"/>
  <c r="E10" i="79" l="1"/>
  <c r="E30" i="78" l="1"/>
  <c r="E24" i="78"/>
  <c r="D24" i="78"/>
  <c r="E21" i="77"/>
  <c r="D21" i="77"/>
  <c r="C21" i="77"/>
  <c r="B21" i="77"/>
  <c r="E46" i="77"/>
  <c r="D40" i="77"/>
  <c r="C40" i="77"/>
  <c r="B40" i="77"/>
  <c r="E40" i="77"/>
  <c r="E44" i="77"/>
  <c r="E71" i="77"/>
  <c r="D71" i="77"/>
  <c r="C71" i="77"/>
  <c r="E15" i="76" l="1"/>
  <c r="L77" i="76" l="1"/>
  <c r="M23" i="72"/>
  <c r="D129" i="82" l="1"/>
  <c r="C129" i="82"/>
  <c r="B129" i="82"/>
  <c r="E129" i="82"/>
  <c r="B130" i="82"/>
  <c r="B133" i="82" s="1"/>
  <c r="C130" i="82"/>
  <c r="C133" i="82" s="1"/>
  <c r="D130" i="82"/>
  <c r="D133" i="82" s="1"/>
  <c r="E130" i="82"/>
  <c r="E133" i="82" s="1"/>
  <c r="E305" i="82" l="1"/>
  <c r="E301" i="82"/>
  <c r="E288" i="82"/>
  <c r="E284" i="82"/>
  <c r="E280" i="82"/>
  <c r="E272" i="82"/>
  <c r="E295" i="82"/>
  <c r="E290" i="82"/>
  <c r="E283" i="82"/>
  <c r="E281" i="82"/>
  <c r="E239" i="82"/>
  <c r="E238" i="82" s="1"/>
  <c r="E256" i="82"/>
  <c r="D238" i="82"/>
  <c r="C238" i="82"/>
  <c r="E236" i="82"/>
  <c r="E235" i="82"/>
  <c r="E228" i="82"/>
  <c r="E188" i="82"/>
  <c r="E187" i="82"/>
  <c r="E246" i="82"/>
  <c r="E221" i="82"/>
  <c r="E163" i="82"/>
  <c r="E154" i="82"/>
  <c r="E144" i="82"/>
  <c r="E137" i="82"/>
  <c r="B102" i="82"/>
  <c r="D102" i="82"/>
  <c r="C102" i="82"/>
  <c r="E102" i="82"/>
  <c r="E73" i="82"/>
  <c r="D228" i="82" l="1"/>
  <c r="D196" i="82"/>
  <c r="D163" i="82"/>
  <c r="D154" i="82"/>
  <c r="D144" i="82"/>
  <c r="D137" i="82"/>
  <c r="D120" i="82"/>
  <c r="E7" i="82" l="1"/>
  <c r="D7" i="82"/>
  <c r="C7" i="82"/>
  <c r="E325" i="82"/>
  <c r="E313" i="82"/>
  <c r="E269" i="82"/>
  <c r="E252" i="82"/>
  <c r="E251" i="82"/>
  <c r="D251" i="82"/>
  <c r="C251" i="82"/>
  <c r="B251" i="82"/>
  <c r="E245" i="82"/>
  <c r="E249" i="82" s="1"/>
  <c r="E244" i="82"/>
  <c r="D244" i="82"/>
  <c r="C244" i="82"/>
  <c r="B244" i="82"/>
  <c r="B245" i="82"/>
  <c r="B249" i="82" s="1"/>
  <c r="C245" i="82"/>
  <c r="C249" i="82" s="1"/>
  <c r="D245" i="82"/>
  <c r="D249" i="82" s="1"/>
  <c r="E232" i="82"/>
  <c r="E227" i="82"/>
  <c r="E226" i="82"/>
  <c r="D226" i="82"/>
  <c r="C226" i="82"/>
  <c r="B226" i="82"/>
  <c r="E220" i="82"/>
  <c r="E224" i="82" s="1"/>
  <c r="E219" i="82"/>
  <c r="D219" i="82"/>
  <c r="C219" i="82"/>
  <c r="E214" i="82"/>
  <c r="E211" i="82"/>
  <c r="E210" i="82"/>
  <c r="D210" i="82"/>
  <c r="C210" i="82"/>
  <c r="E205" i="82"/>
  <c r="E208" i="82" s="1"/>
  <c r="E204" i="82"/>
  <c r="D204" i="82"/>
  <c r="C204" i="82"/>
  <c r="B219" i="82"/>
  <c r="B210" i="82"/>
  <c r="B204" i="82"/>
  <c r="E198" i="82"/>
  <c r="E184" i="82"/>
  <c r="E176" i="82"/>
  <c r="E175" i="82"/>
  <c r="D175" i="82"/>
  <c r="C175" i="82"/>
  <c r="B175" i="82"/>
  <c r="E170" i="82"/>
  <c r="E173" i="82" s="1"/>
  <c r="E169" i="82"/>
  <c r="D169" i="82"/>
  <c r="C169" i="82"/>
  <c r="B169" i="82"/>
  <c r="E162" i="82"/>
  <c r="E167" i="82" s="1"/>
  <c r="E161" i="82"/>
  <c r="D161" i="82"/>
  <c r="C161" i="82"/>
  <c r="B161" i="82"/>
  <c r="E156" i="82"/>
  <c r="E152" i="82"/>
  <c r="E151" i="82"/>
  <c r="D151" i="82"/>
  <c r="C151" i="82"/>
  <c r="B151" i="82"/>
  <c r="E146" i="82"/>
  <c r="E141" i="82"/>
  <c r="E136" i="82"/>
  <c r="E135" i="82"/>
  <c r="D135" i="82"/>
  <c r="C135" i="82"/>
  <c r="B135" i="82"/>
  <c r="E124" i="82"/>
  <c r="E118" i="82"/>
  <c r="E114" i="82"/>
  <c r="E113" i="82"/>
  <c r="D113" i="82"/>
  <c r="C113" i="82"/>
  <c r="B113" i="82"/>
  <c r="E108" i="82"/>
  <c r="E99" i="82"/>
  <c r="E98" i="82"/>
  <c r="D98" i="82"/>
  <c r="C98" i="82"/>
  <c r="B98" i="82"/>
  <c r="E93" i="82"/>
  <c r="E90" i="82"/>
  <c r="E86" i="82"/>
  <c r="E85" i="82"/>
  <c r="D85" i="82"/>
  <c r="C85" i="82"/>
  <c r="B85" i="82"/>
  <c r="E77" i="82"/>
  <c r="D77" i="82"/>
  <c r="C77" i="82"/>
  <c r="B77" i="82"/>
  <c r="E78" i="82"/>
  <c r="E83" i="82" s="1"/>
  <c r="E72" i="82"/>
  <c r="E68" i="82"/>
  <c r="E67" i="82"/>
  <c r="D67" i="82"/>
  <c r="C67" i="82"/>
  <c r="B67" i="82"/>
  <c r="E62" i="82"/>
  <c r="E65" i="82" s="1"/>
  <c r="D61" i="82"/>
  <c r="C61" i="82"/>
  <c r="B61" i="82"/>
  <c r="E61" i="82"/>
  <c r="M41" i="81"/>
  <c r="L41" i="81"/>
  <c r="L11" i="81"/>
  <c r="L27" i="81" s="1"/>
  <c r="L25" i="81"/>
  <c r="L9" i="81"/>
  <c r="E8" i="82" l="1"/>
  <c r="E5" i="82"/>
  <c r="E6" i="82"/>
  <c r="E159" i="82"/>
  <c r="E4" i="82"/>
  <c r="E328" i="82"/>
  <c r="E96" i="82"/>
  <c r="E202" i="82"/>
  <c r="E75" i="82"/>
  <c r="E149" i="82"/>
  <c r="E217" i="82"/>
  <c r="E127" i="82"/>
  <c r="E242" i="82"/>
  <c r="E111" i="82"/>
  <c r="E9" i="82" l="1"/>
  <c r="E13" i="83"/>
  <c r="E14" i="83"/>
  <c r="E16" i="83"/>
  <c r="E36" i="83" s="1"/>
  <c r="D16" i="83"/>
  <c r="C16" i="83"/>
  <c r="B16" i="83"/>
  <c r="E40" i="83"/>
  <c r="E26" i="83"/>
  <c r="E20" i="83"/>
  <c r="J64" i="50" l="1"/>
  <c r="D206" i="45" l="1"/>
  <c r="G206" i="45"/>
  <c r="H206" i="45"/>
  <c r="I206" i="45"/>
  <c r="J206" i="45"/>
  <c r="K206" i="45"/>
  <c r="L206" i="45"/>
  <c r="M206" i="45"/>
  <c r="C206" i="45"/>
  <c r="F204" i="45"/>
  <c r="E204" i="45"/>
  <c r="F203" i="45"/>
  <c r="E203" i="45"/>
  <c r="F202" i="45"/>
  <c r="E202" i="45"/>
  <c r="F201" i="45"/>
  <c r="E201" i="45"/>
  <c r="F200" i="45"/>
  <c r="E200" i="45"/>
  <c r="F199" i="45"/>
  <c r="E199" i="45"/>
  <c r="F198" i="45"/>
  <c r="E198" i="45"/>
  <c r="F197" i="45"/>
  <c r="E197" i="45"/>
  <c r="F196" i="45"/>
  <c r="E196" i="45"/>
  <c r="F195" i="45"/>
  <c r="E195" i="45"/>
  <c r="F194" i="45"/>
  <c r="E194" i="45"/>
  <c r="F193" i="45"/>
  <c r="E193" i="45"/>
  <c r="F192" i="45"/>
  <c r="E192" i="45"/>
  <c r="F191" i="45"/>
  <c r="E191" i="45"/>
  <c r="F190" i="45"/>
  <c r="E190" i="45"/>
  <c r="F189" i="45"/>
  <c r="E189" i="45"/>
  <c r="F188" i="45"/>
  <c r="E188" i="45"/>
  <c r="F187" i="45"/>
  <c r="E187" i="45"/>
  <c r="F186" i="45"/>
  <c r="E186" i="45"/>
  <c r="F185" i="45"/>
  <c r="E185" i="45"/>
  <c r="F184" i="45"/>
  <c r="E184" i="45"/>
  <c r="F183" i="45"/>
  <c r="E183" i="45"/>
  <c r="F182" i="45"/>
  <c r="E182" i="45"/>
  <c r="E206" i="45" l="1"/>
  <c r="F206" i="45"/>
  <c r="R32" i="23" l="1"/>
  <c r="R31" i="23"/>
  <c r="R30" i="23"/>
  <c r="N23" i="23"/>
  <c r="S34" i="23"/>
  <c r="S35" i="23"/>
  <c r="S36" i="23" l="1"/>
  <c r="E141" i="16"/>
  <c r="G141" i="16" s="1"/>
  <c r="I142" i="16" s="1"/>
  <c r="E140" i="16"/>
  <c r="G140" i="16" s="1"/>
  <c r="I141" i="16" s="1"/>
  <c r="E139" i="16"/>
  <c r="G139" i="16" s="1"/>
  <c r="I140" i="16" s="1"/>
  <c r="E138" i="16"/>
  <c r="G138" i="16" s="1"/>
  <c r="I139" i="16" s="1"/>
  <c r="E137" i="16"/>
  <c r="G137" i="16" s="1"/>
  <c r="I138" i="16" s="1"/>
  <c r="E136" i="16"/>
  <c r="G136" i="16" s="1"/>
  <c r="I137" i="16" s="1"/>
  <c r="E135" i="16"/>
  <c r="G135" i="16" s="1"/>
  <c r="I136" i="16" s="1"/>
  <c r="K141" i="50" l="1"/>
  <c r="K142" i="50"/>
  <c r="K144" i="50"/>
  <c r="K137" i="50"/>
  <c r="T437" i="70" l="1"/>
  <c r="T442" i="70"/>
  <c r="T475" i="70"/>
  <c r="S517" i="70"/>
  <c r="R517" i="70"/>
  <c r="Q517" i="70"/>
  <c r="P517" i="70"/>
  <c r="O517" i="70"/>
  <c r="N517" i="70"/>
  <c r="M517" i="70"/>
  <c r="L517" i="70"/>
  <c r="T514" i="70"/>
  <c r="T513" i="70"/>
  <c r="T510" i="70"/>
  <c r="U509" i="70" s="1"/>
  <c r="T506" i="70"/>
  <c r="T505" i="70"/>
  <c r="T504" i="70"/>
  <c r="T503" i="70"/>
  <c r="T502" i="70"/>
  <c r="T501" i="70"/>
  <c r="T500" i="70"/>
  <c r="T499" i="70"/>
  <c r="T498" i="70"/>
  <c r="T497" i="70"/>
  <c r="T496" i="70"/>
  <c r="T495" i="70"/>
  <c r="T494" i="70"/>
  <c r="T493" i="70"/>
  <c r="T492" i="70"/>
  <c r="T491" i="70"/>
  <c r="T490" i="70"/>
  <c r="T489" i="70"/>
  <c r="T488" i="70"/>
  <c r="T487" i="70"/>
  <c r="T486" i="70"/>
  <c r="T483" i="70"/>
  <c r="T482" i="70"/>
  <c r="T474" i="70"/>
  <c r="T473" i="70"/>
  <c r="T472" i="70"/>
  <c r="T471" i="70"/>
  <c r="T470" i="70"/>
  <c r="T469" i="70"/>
  <c r="T468" i="70"/>
  <c r="T467" i="70"/>
  <c r="T466" i="70"/>
  <c r="T465" i="70"/>
  <c r="T464" i="70"/>
  <c r="T463" i="70"/>
  <c r="T462" i="70"/>
  <c r="T461" i="70"/>
  <c r="T460" i="70"/>
  <c r="T459" i="70"/>
  <c r="T458" i="70"/>
  <c r="T457" i="70"/>
  <c r="T456" i="70"/>
  <c r="T455" i="70"/>
  <c r="T454" i="70"/>
  <c r="T453" i="70"/>
  <c r="T452" i="70"/>
  <c r="T451" i="70"/>
  <c r="T450" i="70"/>
  <c r="T449" i="70"/>
  <c r="T448" i="70"/>
  <c r="T447" i="70"/>
  <c r="T446" i="70"/>
  <c r="T445" i="70"/>
  <c r="T444" i="70"/>
  <c r="T443" i="70"/>
  <c r="T438" i="70"/>
  <c r="T436" i="70"/>
  <c r="U441" i="70" l="1"/>
  <c r="U435" i="70"/>
  <c r="U512" i="70"/>
  <c r="U485" i="70"/>
  <c r="U481" i="70"/>
  <c r="T517" i="70"/>
  <c r="U517" i="70" l="1"/>
  <c r="C101" i="63" l="1"/>
  <c r="H183" i="63"/>
  <c r="C178" i="63"/>
  <c r="D178" i="63"/>
  <c r="D183" i="63" s="1"/>
  <c r="E178" i="63"/>
  <c r="E183" i="63" s="1"/>
  <c r="F178" i="63"/>
  <c r="F183" i="63" s="1"/>
  <c r="G178" i="63"/>
  <c r="G183" i="63" s="1"/>
  <c r="B178" i="63"/>
  <c r="B140" i="63"/>
  <c r="B182" i="63"/>
  <c r="B181" i="63" s="1"/>
  <c r="D181" i="63"/>
  <c r="E181" i="63"/>
  <c r="F181" i="63"/>
  <c r="G181" i="63"/>
  <c r="H181" i="63"/>
  <c r="C181" i="63"/>
  <c r="C106" i="63" l="1"/>
  <c r="C183" i="63"/>
  <c r="C174" i="63"/>
  <c r="D175" i="63" s="1"/>
  <c r="B183" i="63"/>
  <c r="B174" i="63"/>
  <c r="C97" i="63"/>
  <c r="D159" i="63" l="1"/>
  <c r="E159" i="63"/>
  <c r="F159" i="63"/>
  <c r="H159" i="63"/>
  <c r="H164" i="63" s="1"/>
  <c r="C159" i="63"/>
  <c r="H140" i="63"/>
  <c r="H145" i="63" s="1"/>
  <c r="C140" i="63"/>
  <c r="C145" i="63" s="1"/>
  <c r="D140" i="63"/>
  <c r="D145" i="63" s="1"/>
  <c r="E140" i="63"/>
  <c r="E145" i="63" s="1"/>
  <c r="F140" i="63"/>
  <c r="F145" i="63" s="1"/>
  <c r="G140" i="63"/>
  <c r="G145" i="63" s="1"/>
  <c r="B145" i="63"/>
  <c r="H120" i="63"/>
  <c r="D101" i="63"/>
  <c r="E101" i="63"/>
  <c r="F101" i="63"/>
  <c r="G101" i="63"/>
  <c r="H106" i="63"/>
  <c r="B101" i="63"/>
  <c r="B180" i="63"/>
  <c r="B186" i="63" s="1"/>
  <c r="D162" i="63"/>
  <c r="E162" i="63"/>
  <c r="F162" i="63"/>
  <c r="G162" i="63"/>
  <c r="H162" i="63"/>
  <c r="C162" i="63"/>
  <c r="C143" i="63"/>
  <c r="D143" i="63"/>
  <c r="E143" i="63"/>
  <c r="F143" i="63"/>
  <c r="G143" i="63"/>
  <c r="H143" i="63"/>
  <c r="B143" i="63"/>
  <c r="H124" i="63"/>
  <c r="H69" i="63" s="1"/>
  <c r="H74" i="63" s="1"/>
  <c r="G124" i="63"/>
  <c r="G69" i="63" s="1"/>
  <c r="G74" i="63" s="1"/>
  <c r="F124" i="63"/>
  <c r="F69" i="63" s="1"/>
  <c r="F74" i="63" s="1"/>
  <c r="E124" i="63"/>
  <c r="E69" i="63" s="1"/>
  <c r="E74" i="63" s="1"/>
  <c r="D124" i="63"/>
  <c r="D69" i="63" s="1"/>
  <c r="D74" i="63" s="1"/>
  <c r="C124" i="63"/>
  <c r="B124" i="63"/>
  <c r="B69" i="63" s="1"/>
  <c r="D104" i="63"/>
  <c r="E104" i="63"/>
  <c r="F104" i="63"/>
  <c r="G104" i="63"/>
  <c r="H104" i="63"/>
  <c r="B104" i="63"/>
  <c r="B117" i="63"/>
  <c r="H65" i="63" l="1"/>
  <c r="D106" i="63"/>
  <c r="E106" i="63"/>
  <c r="G106" i="63"/>
  <c r="F106" i="63"/>
  <c r="H161" i="63"/>
  <c r="H123" i="63"/>
  <c r="H68" i="63" s="1"/>
  <c r="E120" i="63"/>
  <c r="E125" i="63" s="1"/>
  <c r="G123" i="63"/>
  <c r="G68" i="63" s="1"/>
  <c r="F123" i="63"/>
  <c r="F68" i="63" s="1"/>
  <c r="G120" i="63"/>
  <c r="G125" i="63" s="1"/>
  <c r="D120" i="63"/>
  <c r="D125" i="63" s="1"/>
  <c r="F120" i="63"/>
  <c r="F125" i="63" s="1"/>
  <c r="D123" i="63"/>
  <c r="D68" i="63" s="1"/>
  <c r="C120" i="63"/>
  <c r="C65" i="63" s="1"/>
  <c r="C61" i="63" s="1"/>
  <c r="H125" i="63"/>
  <c r="H70" i="63" s="1"/>
  <c r="C123" i="63"/>
  <c r="B106" i="63"/>
  <c r="B120" i="63"/>
  <c r="B125" i="63" s="1"/>
  <c r="E123" i="63"/>
  <c r="E68" i="63" s="1"/>
  <c r="B123" i="63"/>
  <c r="B68" i="63" s="1"/>
  <c r="D164" i="63"/>
  <c r="F164" i="63"/>
  <c r="E164" i="63"/>
  <c r="C155" i="63"/>
  <c r="C164" i="63"/>
  <c r="L51" i="99"/>
  <c r="K51" i="99"/>
  <c r="J51" i="99"/>
  <c r="I51" i="99"/>
  <c r="H51" i="99"/>
  <c r="G51" i="99"/>
  <c r="F51" i="99"/>
  <c r="E51" i="99"/>
  <c r="D51" i="99"/>
  <c r="F32" i="99"/>
  <c r="D32" i="99"/>
  <c r="F26" i="99"/>
  <c r="E26" i="99"/>
  <c r="E34" i="99" s="1"/>
  <c r="D26" i="99"/>
  <c r="H67" i="63" l="1"/>
  <c r="F70" i="63"/>
  <c r="F67" i="63" s="1"/>
  <c r="B65" i="63"/>
  <c r="B61" i="63" s="1"/>
  <c r="B70" i="63"/>
  <c r="B67" i="63" s="1"/>
  <c r="E65" i="63"/>
  <c r="F65" i="63"/>
  <c r="E70" i="63"/>
  <c r="E67" i="63" s="1"/>
  <c r="G65" i="63"/>
  <c r="D62" i="63"/>
  <c r="G70" i="63"/>
  <c r="G67" i="63" s="1"/>
  <c r="D65" i="63"/>
  <c r="D70" i="63"/>
  <c r="D67" i="63" s="1"/>
  <c r="C125" i="63"/>
  <c r="C70" i="63" s="1"/>
  <c r="C67" i="63" s="1"/>
  <c r="C73" i="63" s="1"/>
  <c r="D34" i="99"/>
  <c r="F34" i="99" s="1"/>
  <c r="E51" i="13"/>
  <c r="F51" i="13"/>
  <c r="G51" i="13"/>
  <c r="H51" i="13"/>
  <c r="I51" i="13"/>
  <c r="J51" i="13"/>
  <c r="K51" i="13"/>
  <c r="L51" i="13"/>
  <c r="D51" i="13"/>
  <c r="B73" i="63" l="1"/>
  <c r="D61" i="63"/>
  <c r="C37" i="88"/>
  <c r="D37" i="88"/>
  <c r="B37" i="88"/>
  <c r="E49" i="88"/>
  <c r="J208" i="92"/>
  <c r="Q9" i="72"/>
  <c r="D73" i="63" l="1"/>
  <c r="E62" i="63"/>
  <c r="E61" i="63" s="1"/>
  <c r="D33" i="57"/>
  <c r="F19" i="73"/>
  <c r="AA568" i="42"/>
  <c r="AA538" i="42" s="1"/>
  <c r="AA539" i="42" s="1"/>
  <c r="AB568" i="42"/>
  <c r="AB538" i="42" s="1"/>
  <c r="AB539" i="42" s="1"/>
  <c r="AB540" i="42" s="1"/>
  <c r="AA540" i="42" l="1"/>
  <c r="V431" i="42" s="1"/>
  <c r="V433" i="42" s="1"/>
  <c r="V438" i="42"/>
  <c r="E73" i="63"/>
  <c r="F62" i="63"/>
  <c r="F61" i="63" s="1"/>
  <c r="J43" i="57"/>
  <c r="I43" i="57"/>
  <c r="J31" i="57"/>
  <c r="K31" i="57"/>
  <c r="L31" i="57"/>
  <c r="M31" i="57"/>
  <c r="N31" i="57"/>
  <c r="O31" i="57"/>
  <c r="I31" i="57"/>
  <c r="J30" i="57"/>
  <c r="K30" i="57"/>
  <c r="L30" i="57"/>
  <c r="M30" i="57"/>
  <c r="N30" i="57"/>
  <c r="O30" i="57"/>
  <c r="I30" i="57"/>
  <c r="J12" i="57"/>
  <c r="K12" i="57"/>
  <c r="L12" i="57"/>
  <c r="M12" i="57"/>
  <c r="N12" i="57"/>
  <c r="O12" i="57"/>
  <c r="I12" i="57"/>
  <c r="I11" i="57"/>
  <c r="J11" i="57"/>
  <c r="K11" i="57"/>
  <c r="L11" i="57"/>
  <c r="M11" i="57"/>
  <c r="N11" i="57"/>
  <c r="O11" i="57"/>
  <c r="H11" i="57"/>
  <c r="K43" i="57"/>
  <c r="L43" i="57"/>
  <c r="M43" i="57"/>
  <c r="N43" i="57"/>
  <c r="O43" i="57"/>
  <c r="V439" i="42" l="1"/>
  <c r="F73" i="63"/>
  <c r="G62" i="63"/>
  <c r="G61" i="63" s="1"/>
  <c r="R36" i="16"/>
  <c r="G73" i="63" l="1"/>
  <c r="H62" i="63"/>
  <c r="H61" i="63" s="1"/>
  <c r="I14" i="57"/>
  <c r="I17" i="57" s="1"/>
  <c r="O33" i="57"/>
  <c r="O26" i="57"/>
  <c r="O14" i="57"/>
  <c r="O7" i="57"/>
  <c r="I62" i="63" l="1"/>
  <c r="I61" i="63" s="1"/>
  <c r="H73" i="63"/>
  <c r="O17" i="57"/>
  <c r="O19" i="57" s="1"/>
  <c r="O36" i="57"/>
  <c r="O38" i="57" s="1"/>
  <c r="J62" i="63" l="1"/>
  <c r="J61" i="63" s="1"/>
  <c r="I73" i="63"/>
  <c r="O42" i="57"/>
  <c r="O44" i="57" s="1"/>
  <c r="G176" i="45"/>
  <c r="H176" i="45"/>
  <c r="I176" i="45"/>
  <c r="J176" i="45"/>
  <c r="K176" i="45"/>
  <c r="L176" i="45"/>
  <c r="M176" i="45"/>
  <c r="N176" i="45"/>
  <c r="O176" i="45"/>
  <c r="P176" i="45"/>
  <c r="Q176" i="45"/>
  <c r="R176" i="45"/>
  <c r="E170" i="45"/>
  <c r="E153" i="45"/>
  <c r="K62" i="63" l="1"/>
  <c r="K61" i="63" s="1"/>
  <c r="K73" i="63" s="1"/>
  <c r="J73" i="63"/>
  <c r="G190" i="43"/>
  <c r="E135" i="37"/>
  <c r="H149" i="37"/>
  <c r="H182" i="37"/>
  <c r="F26" i="13"/>
  <c r="F32" i="13"/>
  <c r="G127" i="50" l="1"/>
  <c r="J127" i="50" s="1"/>
  <c r="K127" i="50" s="1"/>
  <c r="G126" i="50"/>
  <c r="J126" i="50" s="1"/>
  <c r="K126" i="50" s="1"/>
  <c r="G122" i="50"/>
  <c r="J122" i="50" s="1"/>
  <c r="K122" i="50" s="1"/>
  <c r="J120" i="50"/>
  <c r="K120" i="50" s="1"/>
  <c r="J118" i="50"/>
  <c r="K118" i="50" s="1"/>
  <c r="J117" i="50"/>
  <c r="K117" i="50" s="1"/>
  <c r="G115" i="50"/>
  <c r="J115" i="50" s="1"/>
  <c r="K115" i="50" s="1"/>
  <c r="J113" i="50"/>
  <c r="K113" i="50" s="1"/>
  <c r="K111" i="50"/>
  <c r="J110" i="50"/>
  <c r="K110" i="50" s="1"/>
  <c r="J98" i="50"/>
  <c r="G97" i="50"/>
  <c r="J97" i="50" s="1"/>
  <c r="K97" i="50" s="1"/>
  <c r="K96" i="50"/>
  <c r="J95" i="50"/>
  <c r="K95" i="50" s="1"/>
  <c r="J94" i="50"/>
  <c r="K94" i="50" s="1"/>
  <c r="J93" i="50"/>
  <c r="K93" i="50" s="1"/>
  <c r="G89" i="50"/>
  <c r="J89" i="50" s="1"/>
  <c r="K89" i="50" s="1"/>
  <c r="J88" i="50"/>
  <c r="K88" i="50" s="1"/>
  <c r="G86" i="50"/>
  <c r="J86" i="50" s="1"/>
  <c r="G84" i="50"/>
  <c r="J84" i="50" s="1"/>
  <c r="K84" i="50" s="1"/>
  <c r="J83" i="50"/>
  <c r="K83" i="50" s="1"/>
  <c r="K74" i="50"/>
  <c r="G73" i="50"/>
  <c r="J73" i="50" s="1"/>
  <c r="K73" i="50" s="1"/>
  <c r="J72" i="50"/>
  <c r="J71" i="50"/>
  <c r="G69" i="50"/>
  <c r="J69" i="50" s="1"/>
  <c r="K69" i="50" s="1"/>
  <c r="G68" i="50"/>
  <c r="J68" i="50" s="1"/>
  <c r="K68" i="50" s="1"/>
  <c r="G67" i="50"/>
  <c r="J67" i="50" s="1"/>
  <c r="K67" i="50" s="1"/>
  <c r="J66" i="50"/>
  <c r="K66" i="50" s="1"/>
  <c r="K64" i="50"/>
  <c r="G62" i="50"/>
  <c r="J62" i="50" s="1"/>
  <c r="K62" i="50" s="1"/>
  <c r="J60" i="50"/>
  <c r="K60" i="50" s="1"/>
  <c r="J55" i="50"/>
  <c r="K55" i="50" s="1"/>
  <c r="G46" i="50"/>
  <c r="J46" i="50" s="1"/>
  <c r="J45" i="50"/>
  <c r="J44" i="50"/>
  <c r="J43" i="50"/>
  <c r="K43" i="50" s="1"/>
  <c r="G40" i="50"/>
  <c r="J40" i="50" s="1"/>
  <c r="K39" i="50"/>
  <c r="G38" i="50"/>
  <c r="J38" i="50" s="1"/>
  <c r="K38" i="50" s="1"/>
  <c r="J37" i="50"/>
  <c r="K37" i="50" s="1"/>
  <c r="G36" i="50"/>
  <c r="G35" i="50"/>
  <c r="J35" i="50" s="1"/>
  <c r="K35" i="50" s="1"/>
  <c r="G34" i="50"/>
  <c r="J34" i="50" s="1"/>
  <c r="K34" i="50" s="1"/>
  <c r="G33" i="50"/>
  <c r="J33" i="50" s="1"/>
  <c r="K33" i="50" s="1"/>
  <c r="J32" i="50"/>
  <c r="K32" i="50" s="1"/>
  <c r="G29" i="50"/>
  <c r="J29" i="50" s="1"/>
  <c r="G27" i="50"/>
  <c r="J27" i="50" s="1"/>
  <c r="K27" i="50" s="1"/>
  <c r="J26" i="50"/>
  <c r="K26" i="50" s="1"/>
  <c r="J23" i="50"/>
  <c r="K23" i="50" s="1"/>
  <c r="K20" i="50"/>
  <c r="G19" i="50"/>
  <c r="J18" i="50"/>
  <c r="J9" i="50"/>
  <c r="K9" i="50" s="1"/>
  <c r="J8" i="50"/>
  <c r="K8" i="50" s="1"/>
  <c r="J6" i="50"/>
  <c r="K6" i="50" s="1"/>
  <c r="J36" i="50" l="1"/>
  <c r="K36" i="50" s="1"/>
  <c r="Q136" i="59"/>
  <c r="F134" i="59"/>
  <c r="H134" i="59" s="1"/>
  <c r="F132" i="59"/>
  <c r="H132" i="59" s="1"/>
  <c r="F131" i="59"/>
  <c r="H131" i="59" s="1"/>
  <c r="F130" i="59"/>
  <c r="H130" i="59" s="1"/>
  <c r="F129" i="59"/>
  <c r="H129" i="59" s="1"/>
  <c r="F128" i="59"/>
  <c r="H128" i="59" s="1"/>
  <c r="P127" i="59"/>
  <c r="N127" i="59"/>
  <c r="N123" i="59" s="1"/>
  <c r="M127" i="59"/>
  <c r="L127" i="59"/>
  <c r="L123" i="59" s="1"/>
  <c r="M126" i="59"/>
  <c r="F126" i="59" s="1"/>
  <c r="H126" i="59" s="1"/>
  <c r="G125" i="59"/>
  <c r="G123" i="59" s="1"/>
  <c r="F125" i="59"/>
  <c r="F124" i="59"/>
  <c r="H124" i="59" s="1"/>
  <c r="O123" i="59"/>
  <c r="K123" i="59"/>
  <c r="F121" i="59"/>
  <c r="H121" i="59" s="1"/>
  <c r="F119" i="59"/>
  <c r="H119" i="59" s="1"/>
  <c r="G117" i="59"/>
  <c r="F117" i="59"/>
  <c r="F116" i="59"/>
  <c r="H116" i="59" s="1"/>
  <c r="N115" i="59"/>
  <c r="F115" i="59" s="1"/>
  <c r="H115" i="59" s="1"/>
  <c r="G114" i="59"/>
  <c r="F114" i="59"/>
  <c r="M113" i="59"/>
  <c r="F113" i="59" s="1"/>
  <c r="G113" i="59"/>
  <c r="G112" i="59"/>
  <c r="F112" i="59"/>
  <c r="G111" i="59"/>
  <c r="F111" i="59"/>
  <c r="M110" i="59"/>
  <c r="G110" i="59"/>
  <c r="L109" i="59"/>
  <c r="F109" i="59" s="1"/>
  <c r="H109" i="59" s="1"/>
  <c r="G108" i="59"/>
  <c r="F108" i="59"/>
  <c r="F107" i="59"/>
  <c r="H107" i="59" s="1"/>
  <c r="K106" i="59"/>
  <c r="F106" i="59" s="1"/>
  <c r="H106" i="59" s="1"/>
  <c r="P105" i="59"/>
  <c r="O105" i="59"/>
  <c r="F103" i="59"/>
  <c r="H103" i="59" s="1"/>
  <c r="F102" i="59"/>
  <c r="H102" i="59" s="1"/>
  <c r="F101" i="59"/>
  <c r="H101" i="59" s="1"/>
  <c r="P100" i="59"/>
  <c r="O100" i="59"/>
  <c r="N100" i="59"/>
  <c r="M100" i="59"/>
  <c r="L100" i="59"/>
  <c r="K100" i="59"/>
  <c r="M98" i="59"/>
  <c r="F98" i="59" s="1"/>
  <c r="H98" i="59" s="1"/>
  <c r="M96" i="59"/>
  <c r="F96" i="59" s="1"/>
  <c r="H96" i="59" s="1"/>
  <c r="P94" i="59"/>
  <c r="F94" i="59" s="1"/>
  <c r="H94" i="59" s="1"/>
  <c r="F92" i="59"/>
  <c r="H92" i="59" s="1"/>
  <c r="L90" i="59"/>
  <c r="F90" i="59" s="1"/>
  <c r="H90" i="59" s="1"/>
  <c r="F89" i="59"/>
  <c r="H89" i="59" s="1"/>
  <c r="M88" i="59"/>
  <c r="F88" i="59" s="1"/>
  <c r="H88" i="59" s="1"/>
  <c r="P87" i="59"/>
  <c r="O87" i="59"/>
  <c r="N87" i="59"/>
  <c r="K87" i="59"/>
  <c r="M85" i="59"/>
  <c r="F85" i="59" s="1"/>
  <c r="H85" i="59" s="1"/>
  <c r="M83" i="59"/>
  <c r="F83" i="59" s="1"/>
  <c r="H83" i="59" s="1"/>
  <c r="F81" i="59"/>
  <c r="H81" i="59" s="1"/>
  <c r="F79" i="59"/>
  <c r="H79" i="59" s="1"/>
  <c r="F77" i="59"/>
  <c r="H77" i="59" s="1"/>
  <c r="F75" i="59"/>
  <c r="H75" i="59" s="1"/>
  <c r="G73" i="59"/>
  <c r="F73" i="59"/>
  <c r="F71" i="59"/>
  <c r="H71" i="59" s="1"/>
  <c r="F69" i="59"/>
  <c r="H69" i="59" s="1"/>
  <c r="M67" i="59"/>
  <c r="F67" i="59" s="1"/>
  <c r="H67" i="59" s="1"/>
  <c r="K65" i="59"/>
  <c r="F65" i="59" s="1"/>
  <c r="H65" i="59" s="1"/>
  <c r="F63" i="59"/>
  <c r="H63" i="59" s="1"/>
  <c r="F62" i="59"/>
  <c r="H62" i="59" s="1"/>
  <c r="F61" i="59"/>
  <c r="H61" i="59" s="1"/>
  <c r="F60" i="59"/>
  <c r="H60" i="59" s="1"/>
  <c r="F59" i="59"/>
  <c r="H59" i="59" s="1"/>
  <c r="N58" i="59"/>
  <c r="F58" i="59" s="1"/>
  <c r="H58" i="59" s="1"/>
  <c r="M57" i="59"/>
  <c r="F57" i="59" s="1"/>
  <c r="H57" i="59" s="1"/>
  <c r="P56" i="59"/>
  <c r="O56" i="59"/>
  <c r="L56" i="59"/>
  <c r="K56" i="59"/>
  <c r="F54" i="59"/>
  <c r="H54" i="59" s="1"/>
  <c r="M53" i="59"/>
  <c r="F53" i="59" s="1"/>
  <c r="H53" i="59" s="1"/>
  <c r="F52" i="59"/>
  <c r="H52" i="59" s="1"/>
  <c r="F51" i="59"/>
  <c r="H51" i="59" s="1"/>
  <c r="F50" i="59"/>
  <c r="H50" i="59" s="1"/>
  <c r="P49" i="59"/>
  <c r="L49" i="59"/>
  <c r="O47" i="59"/>
  <c r="N47" i="59"/>
  <c r="M47" i="59"/>
  <c r="K47" i="59"/>
  <c r="G47" i="59"/>
  <c r="K45" i="59"/>
  <c r="F45" i="59" s="1"/>
  <c r="G45" i="59"/>
  <c r="M43" i="59"/>
  <c r="L43" i="59"/>
  <c r="G41" i="59"/>
  <c r="F41" i="59"/>
  <c r="N40" i="59"/>
  <c r="N39" i="59" s="1"/>
  <c r="M40" i="59"/>
  <c r="M39" i="59" s="1"/>
  <c r="L40" i="59"/>
  <c r="L39" i="59" s="1"/>
  <c r="K40" i="59"/>
  <c r="K39" i="59" s="1"/>
  <c r="J40" i="59"/>
  <c r="J39" i="59" s="1"/>
  <c r="J136" i="59" s="1"/>
  <c r="I40" i="59"/>
  <c r="I39" i="59" s="1"/>
  <c r="I136" i="59" s="1"/>
  <c r="O39" i="59"/>
  <c r="R35" i="23"/>
  <c r="R34" i="23"/>
  <c r="N22" i="23"/>
  <c r="AC14" i="20"/>
  <c r="AD15" i="20" s="1"/>
  <c r="AC10" i="20"/>
  <c r="AC9" i="20"/>
  <c r="AC6" i="20"/>
  <c r="J113" i="22"/>
  <c r="E144" i="16"/>
  <c r="G144" i="16" s="1"/>
  <c r="I145" i="16" s="1"/>
  <c r="E145" i="16"/>
  <c r="G145" i="16" s="1"/>
  <c r="I146" i="16" s="1"/>
  <c r="E146" i="16"/>
  <c r="G146" i="16" s="1"/>
  <c r="I147" i="16" s="1"/>
  <c r="J60" i="16"/>
  <c r="C59" i="16"/>
  <c r="B59" i="16"/>
  <c r="E59" i="16" s="1"/>
  <c r="G30" i="16"/>
  <c r="E30" i="16"/>
  <c r="C30" i="16"/>
  <c r="E47" i="46"/>
  <c r="S59" i="16" l="1"/>
  <c r="S60" i="16"/>
  <c r="M60" i="16"/>
  <c r="N60" i="16" s="1"/>
  <c r="M87" i="59"/>
  <c r="F59" i="16"/>
  <c r="D59" i="16"/>
  <c r="R36" i="23"/>
  <c r="K105" i="59"/>
  <c r="K136" i="59" s="1"/>
  <c r="N105" i="59"/>
  <c r="F43" i="59"/>
  <c r="H43" i="59" s="1"/>
  <c r="AC16" i="20"/>
  <c r="H113" i="59"/>
  <c r="M49" i="59"/>
  <c r="F49" i="59" s="1"/>
  <c r="H49" i="59" s="1"/>
  <c r="M105" i="59"/>
  <c r="L87" i="59"/>
  <c r="M123" i="59"/>
  <c r="H111" i="59"/>
  <c r="H41" i="59"/>
  <c r="N56" i="59"/>
  <c r="H73" i="59"/>
  <c r="H112" i="59"/>
  <c r="O136" i="59"/>
  <c r="H108" i="59"/>
  <c r="H117" i="59"/>
  <c r="H125" i="59"/>
  <c r="F40" i="59"/>
  <c r="H40" i="59" s="1"/>
  <c r="H45" i="59"/>
  <c r="F127" i="59"/>
  <c r="H127" i="59" s="1"/>
  <c r="F47" i="59"/>
  <c r="H47" i="59" s="1"/>
  <c r="F100" i="59"/>
  <c r="H100" i="59" s="1"/>
  <c r="G105" i="59"/>
  <c r="G136" i="59" s="1"/>
  <c r="H114" i="59"/>
  <c r="M56" i="59"/>
  <c r="L105" i="59"/>
  <c r="F110" i="59"/>
  <c r="H110" i="59" s="1"/>
  <c r="P123" i="59"/>
  <c r="AC17" i="20" l="1"/>
  <c r="AD17" i="20"/>
  <c r="F87" i="59"/>
  <c r="H87" i="59" s="1"/>
  <c r="L136" i="59"/>
  <c r="N136" i="59"/>
  <c r="F123" i="59"/>
  <c r="H123" i="59" s="1"/>
  <c r="F56" i="59"/>
  <c r="H56" i="59" s="1"/>
  <c r="F39" i="59"/>
  <c r="H39" i="59" s="1"/>
  <c r="F105" i="59"/>
  <c r="H105" i="59" s="1"/>
  <c r="P136" i="59"/>
  <c r="M136" i="59"/>
  <c r="F136" i="59" l="1"/>
  <c r="H136" i="59"/>
  <c r="E142" i="16" l="1"/>
  <c r="G142" i="16" s="1"/>
  <c r="I143" i="16" s="1"/>
  <c r="E143" i="16"/>
  <c r="G143" i="16" s="1"/>
  <c r="I144" i="16" s="1"/>
  <c r="E147" i="16"/>
  <c r="G147" i="16" s="1"/>
  <c r="I148" i="16" s="1"/>
  <c r="E148" i="16"/>
  <c r="G148" i="16" s="1"/>
  <c r="I149" i="16" s="1"/>
  <c r="E149" i="16"/>
  <c r="G149" i="16" s="1"/>
  <c r="I150" i="16" s="1"/>
  <c r="E150" i="16"/>
  <c r="G150" i="16" s="1"/>
  <c r="I151" i="16" s="1"/>
  <c r="J164" i="98" l="1"/>
  <c r="I164" i="98"/>
  <c r="G164" i="98"/>
  <c r="F164" i="98"/>
  <c r="D164" i="98"/>
  <c r="P150" i="98"/>
  <c r="O150" i="98"/>
  <c r="L150" i="98"/>
  <c r="J150" i="98"/>
  <c r="I150" i="98"/>
  <c r="K136" i="98"/>
  <c r="J136" i="98"/>
  <c r="I136" i="98"/>
  <c r="H136" i="98"/>
  <c r="G136" i="98"/>
  <c r="F136" i="98"/>
  <c r="E136" i="98"/>
  <c r="D136" i="98"/>
  <c r="C136" i="98"/>
  <c r="B136" i="98"/>
  <c r="M122" i="98"/>
  <c r="L122" i="98"/>
  <c r="D122" i="98"/>
  <c r="C122" i="98"/>
  <c r="B122" i="98"/>
  <c r="E15" i="98"/>
  <c r="D15" i="98"/>
  <c r="C15" i="98"/>
  <c r="B15" i="98"/>
  <c r="E14" i="98"/>
  <c r="E16" i="98" s="1"/>
  <c r="D14" i="98"/>
  <c r="C14" i="98"/>
  <c r="B14" i="98"/>
  <c r="C17" i="95"/>
  <c r="D17" i="95"/>
  <c r="E17" i="95"/>
  <c r="F17" i="95"/>
  <c r="G17" i="95"/>
  <c r="H17" i="95"/>
  <c r="I17" i="95"/>
  <c r="J17" i="95"/>
  <c r="K17" i="95"/>
  <c r="L17" i="95"/>
  <c r="M17" i="95"/>
  <c r="N17" i="95"/>
  <c r="O17" i="95"/>
  <c r="P17" i="95"/>
  <c r="H168" i="95"/>
  <c r="G168" i="95"/>
  <c r="E168" i="95"/>
  <c r="N133" i="95"/>
  <c r="K133" i="95"/>
  <c r="I133" i="95"/>
  <c r="H133" i="95"/>
  <c r="G133" i="95"/>
  <c r="F133" i="95"/>
  <c r="E133" i="95"/>
  <c r="D133" i="95"/>
  <c r="C133" i="95"/>
  <c r="B133" i="95"/>
  <c r="M120" i="95"/>
  <c r="L120" i="95"/>
  <c r="K120" i="95"/>
  <c r="I120" i="95"/>
  <c r="H120" i="95"/>
  <c r="G120" i="95"/>
  <c r="F120" i="95"/>
  <c r="E120" i="95"/>
  <c r="D120" i="95"/>
  <c r="C120" i="95"/>
  <c r="B120" i="95"/>
  <c r="M108" i="95"/>
  <c r="L108" i="95"/>
  <c r="L109" i="95" s="1"/>
  <c r="K108" i="95"/>
  <c r="I108" i="95"/>
  <c r="H108" i="95"/>
  <c r="G108" i="95"/>
  <c r="F108" i="95"/>
  <c r="E108" i="95"/>
  <c r="D108" i="95"/>
  <c r="C108" i="95"/>
  <c r="B108" i="95"/>
  <c r="M101" i="95"/>
  <c r="L101" i="95"/>
  <c r="K101" i="95"/>
  <c r="I101" i="95"/>
  <c r="H101" i="95"/>
  <c r="G101" i="95"/>
  <c r="F101" i="95"/>
  <c r="E101" i="95"/>
  <c r="D101" i="95"/>
  <c r="C101" i="95"/>
  <c r="B101" i="95"/>
  <c r="M90" i="95"/>
  <c r="L90" i="95"/>
  <c r="K90" i="95"/>
  <c r="I90" i="95"/>
  <c r="H90" i="95"/>
  <c r="G90" i="95"/>
  <c r="F90" i="95"/>
  <c r="E90" i="95"/>
  <c r="D90" i="95"/>
  <c r="C90" i="95"/>
  <c r="B90" i="95"/>
  <c r="L75" i="95"/>
  <c r="K75" i="95"/>
  <c r="I75" i="95"/>
  <c r="H75" i="95"/>
  <c r="G75" i="95"/>
  <c r="F75" i="95"/>
  <c r="E75" i="95"/>
  <c r="D75" i="95"/>
  <c r="C75" i="95"/>
  <c r="B75" i="95"/>
  <c r="M65" i="95"/>
  <c r="O12" i="94"/>
  <c r="M12" i="94"/>
  <c r="I12" i="94"/>
  <c r="H12" i="94"/>
  <c r="G12" i="94"/>
  <c r="F12" i="94"/>
  <c r="E12" i="94"/>
  <c r="D12" i="94"/>
  <c r="C12" i="94"/>
  <c r="D432" i="93"/>
  <c r="C432" i="93"/>
  <c r="F573" i="92"/>
  <c r="E572" i="92"/>
  <c r="E564" i="92"/>
  <c r="E537" i="92"/>
  <c r="E509" i="92"/>
  <c r="E478" i="92"/>
  <c r="E463" i="92"/>
  <c r="E451" i="92"/>
  <c r="B431" i="92"/>
  <c r="D414" i="92"/>
  <c r="C414" i="92"/>
  <c r="B414" i="92"/>
  <c r="D413" i="92"/>
  <c r="C413" i="92"/>
  <c r="B413" i="92"/>
  <c r="D412" i="92"/>
  <c r="C412" i="92"/>
  <c r="B412" i="92"/>
  <c r="D411" i="92"/>
  <c r="C411" i="92"/>
  <c r="B411" i="92"/>
  <c r="D410" i="92"/>
  <c r="C410" i="92"/>
  <c r="D409" i="92"/>
  <c r="C409" i="92"/>
  <c r="D408" i="92"/>
  <c r="C408" i="92"/>
  <c r="B408" i="92"/>
  <c r="D407" i="92"/>
  <c r="C407" i="92"/>
  <c r="B407" i="92"/>
  <c r="D406" i="92"/>
  <c r="C406" i="92"/>
  <c r="B406" i="92"/>
  <c r="D405" i="92"/>
  <c r="C405" i="92"/>
  <c r="B405" i="92"/>
  <c r="D404" i="92"/>
  <c r="C404" i="92"/>
  <c r="B404" i="92"/>
  <c r="D403" i="92"/>
  <c r="C403" i="92"/>
  <c r="B403" i="92"/>
  <c r="L398" i="92"/>
  <c r="K398" i="92"/>
  <c r="I398" i="92"/>
  <c r="H398" i="92"/>
  <c r="G398" i="92"/>
  <c r="F398" i="92"/>
  <c r="E398" i="92"/>
  <c r="D398" i="92"/>
  <c r="C398" i="92"/>
  <c r="O397" i="92"/>
  <c r="M397" i="92"/>
  <c r="J397" i="92"/>
  <c r="N397" i="92" s="1"/>
  <c r="O396" i="92"/>
  <c r="M396" i="92"/>
  <c r="J396" i="92"/>
  <c r="N396" i="92" s="1"/>
  <c r="O395" i="92"/>
  <c r="M395" i="92"/>
  <c r="J395" i="92"/>
  <c r="N395" i="92" s="1"/>
  <c r="O394" i="92"/>
  <c r="M394" i="92"/>
  <c r="J394" i="92"/>
  <c r="N394" i="92" s="1"/>
  <c r="O393" i="92"/>
  <c r="M393" i="92"/>
  <c r="B393" i="92"/>
  <c r="B410" i="92" s="1"/>
  <c r="O392" i="92"/>
  <c r="M392" i="92"/>
  <c r="B392" i="92"/>
  <c r="B409" i="92" s="1"/>
  <c r="O391" i="92"/>
  <c r="M391" i="92"/>
  <c r="J391" i="92"/>
  <c r="N391" i="92" s="1"/>
  <c r="O390" i="92"/>
  <c r="M390" i="92"/>
  <c r="J390" i="92"/>
  <c r="N390" i="92" s="1"/>
  <c r="O389" i="92"/>
  <c r="M389" i="92"/>
  <c r="J389" i="92"/>
  <c r="N389" i="92" s="1"/>
  <c r="O388" i="92"/>
  <c r="M388" i="92"/>
  <c r="J388" i="92"/>
  <c r="N388" i="92" s="1"/>
  <c r="O387" i="92"/>
  <c r="M387" i="92"/>
  <c r="J387" i="92"/>
  <c r="N387" i="92" s="1"/>
  <c r="O386" i="92"/>
  <c r="M386" i="92"/>
  <c r="J386" i="92"/>
  <c r="N386" i="92" s="1"/>
  <c r="B378" i="92"/>
  <c r="D236" i="92"/>
  <c r="C236" i="92"/>
  <c r="B236" i="92"/>
  <c r="D235" i="92"/>
  <c r="C235" i="92"/>
  <c r="B235" i="92"/>
  <c r="D234" i="92"/>
  <c r="C234" i="92"/>
  <c r="B234" i="92"/>
  <c r="D233" i="92"/>
  <c r="C233" i="92"/>
  <c r="B233" i="92"/>
  <c r="D232" i="92"/>
  <c r="C232" i="92"/>
  <c r="B232" i="92"/>
  <c r="D231" i="92"/>
  <c r="C231" i="92"/>
  <c r="B231" i="92"/>
  <c r="D230" i="92"/>
  <c r="C230" i="92"/>
  <c r="B230" i="92"/>
  <c r="D229" i="92"/>
  <c r="C229" i="92"/>
  <c r="B229" i="92"/>
  <c r="D228" i="92"/>
  <c r="C228" i="92"/>
  <c r="B228" i="92"/>
  <c r="D227" i="92"/>
  <c r="C227" i="92"/>
  <c r="B227" i="92"/>
  <c r="D226" i="92"/>
  <c r="C226" i="92"/>
  <c r="B226" i="92"/>
  <c r="D225" i="92"/>
  <c r="C225" i="92"/>
  <c r="B225" i="92"/>
  <c r="K220" i="92"/>
  <c r="M220" i="92" s="1"/>
  <c r="I220" i="92"/>
  <c r="H220" i="92"/>
  <c r="G220" i="92"/>
  <c r="F220" i="92"/>
  <c r="E220" i="92"/>
  <c r="D220" i="92"/>
  <c r="C220" i="92"/>
  <c r="B220" i="92"/>
  <c r="O219" i="92"/>
  <c r="M219" i="92"/>
  <c r="J219" i="92"/>
  <c r="N219" i="92" s="1"/>
  <c r="O218" i="92"/>
  <c r="M218" i="92"/>
  <c r="J218" i="92"/>
  <c r="N218" i="92" s="1"/>
  <c r="O217" i="92"/>
  <c r="M217" i="92"/>
  <c r="J217" i="92"/>
  <c r="N217" i="92" s="1"/>
  <c r="O216" i="92"/>
  <c r="M216" i="92"/>
  <c r="J216" i="92"/>
  <c r="N216" i="92" s="1"/>
  <c r="O215" i="92"/>
  <c r="M215" i="92"/>
  <c r="J215" i="92"/>
  <c r="N215" i="92" s="1"/>
  <c r="O214" i="92"/>
  <c r="M214" i="92"/>
  <c r="J214" i="92"/>
  <c r="N214" i="92" s="1"/>
  <c r="O213" i="92"/>
  <c r="M213" i="92"/>
  <c r="J213" i="92"/>
  <c r="N213" i="92" s="1"/>
  <c r="O212" i="92"/>
  <c r="M212" i="92"/>
  <c r="J212" i="92"/>
  <c r="N212" i="92" s="1"/>
  <c r="O211" i="92"/>
  <c r="M211" i="92"/>
  <c r="J211" i="92"/>
  <c r="N211" i="92" s="1"/>
  <c r="O210" i="92"/>
  <c r="M210" i="92"/>
  <c r="J210" i="92"/>
  <c r="N210" i="92" s="1"/>
  <c r="O209" i="92"/>
  <c r="M209" i="92"/>
  <c r="J209" i="92"/>
  <c r="N209" i="92" s="1"/>
  <c r="O208" i="92"/>
  <c r="M208" i="92"/>
  <c r="O183" i="92"/>
  <c r="I183" i="92"/>
  <c r="H183" i="92"/>
  <c r="G183" i="92"/>
  <c r="F183" i="92"/>
  <c r="E183" i="92"/>
  <c r="D183" i="92"/>
  <c r="C183" i="92"/>
  <c r="B183" i="92"/>
  <c r="J182" i="92"/>
  <c r="J181" i="92"/>
  <c r="J180" i="92"/>
  <c r="J179" i="92"/>
  <c r="J178" i="92"/>
  <c r="J177" i="92"/>
  <c r="J176" i="92"/>
  <c r="J175" i="92"/>
  <c r="J174" i="92"/>
  <c r="J173" i="92"/>
  <c r="J172" i="92"/>
  <c r="J171" i="92"/>
  <c r="D161" i="92"/>
  <c r="C161" i="92"/>
  <c r="B161" i="92"/>
  <c r="D160" i="92"/>
  <c r="C160" i="92"/>
  <c r="B160" i="92"/>
  <c r="D159" i="92"/>
  <c r="C159" i="92"/>
  <c r="B159" i="92"/>
  <c r="D158" i="92"/>
  <c r="C158" i="92"/>
  <c r="B158" i="92"/>
  <c r="D157" i="92"/>
  <c r="C157" i="92"/>
  <c r="B157" i="92"/>
  <c r="D156" i="92"/>
  <c r="C156" i="92"/>
  <c r="B156" i="92"/>
  <c r="D155" i="92"/>
  <c r="C155" i="92"/>
  <c r="B155" i="92"/>
  <c r="D154" i="92"/>
  <c r="C154" i="92"/>
  <c r="B154" i="92"/>
  <c r="D153" i="92"/>
  <c r="C153" i="92"/>
  <c r="B153" i="92"/>
  <c r="D152" i="92"/>
  <c r="C152" i="92"/>
  <c r="B152" i="92"/>
  <c r="D151" i="92"/>
  <c r="C151" i="92"/>
  <c r="B151" i="92"/>
  <c r="D150" i="92"/>
  <c r="C150" i="92"/>
  <c r="B150" i="92"/>
  <c r="I145" i="92"/>
  <c r="H145" i="92"/>
  <c r="G145" i="92"/>
  <c r="F145" i="92"/>
  <c r="E145" i="92"/>
  <c r="D145" i="92"/>
  <c r="C145" i="92"/>
  <c r="B145" i="92"/>
  <c r="J143" i="92"/>
  <c r="J142" i="92"/>
  <c r="J141" i="92"/>
  <c r="J140" i="92"/>
  <c r="J139" i="92"/>
  <c r="J138" i="92"/>
  <c r="J137" i="92"/>
  <c r="J136" i="92"/>
  <c r="J135" i="92"/>
  <c r="J134" i="92"/>
  <c r="J133" i="92"/>
  <c r="J132" i="92"/>
  <c r="D127" i="92"/>
  <c r="C127" i="92"/>
  <c r="B127" i="92"/>
  <c r="D126" i="92"/>
  <c r="C126" i="92"/>
  <c r="B126" i="92"/>
  <c r="D125" i="92"/>
  <c r="C125" i="92"/>
  <c r="B125" i="92"/>
  <c r="D124" i="92"/>
  <c r="C124" i="92"/>
  <c r="B124" i="92"/>
  <c r="D123" i="92"/>
  <c r="C123" i="92"/>
  <c r="B123" i="92"/>
  <c r="D122" i="92"/>
  <c r="C122" i="92"/>
  <c r="B122" i="92"/>
  <c r="D121" i="92"/>
  <c r="C121" i="92"/>
  <c r="B121" i="92"/>
  <c r="D120" i="92"/>
  <c r="C120" i="92"/>
  <c r="B120" i="92"/>
  <c r="D119" i="92"/>
  <c r="C119" i="92"/>
  <c r="B119" i="92"/>
  <c r="D118" i="92"/>
  <c r="C118" i="92"/>
  <c r="B118" i="92"/>
  <c r="D117" i="92"/>
  <c r="C117" i="92"/>
  <c r="B117" i="92"/>
  <c r="D116" i="92"/>
  <c r="C116" i="92"/>
  <c r="B116" i="92"/>
  <c r="K111" i="92"/>
  <c r="I111" i="92"/>
  <c r="H111" i="92"/>
  <c r="G111" i="92"/>
  <c r="F111" i="92"/>
  <c r="E111" i="92"/>
  <c r="D111" i="92"/>
  <c r="C111" i="92"/>
  <c r="B111" i="92"/>
  <c r="J110" i="92"/>
  <c r="J109" i="92"/>
  <c r="J108" i="92"/>
  <c r="J107" i="92"/>
  <c r="J106" i="92"/>
  <c r="J105" i="92"/>
  <c r="J104" i="92"/>
  <c r="J103" i="92"/>
  <c r="J102" i="92"/>
  <c r="J101" i="92"/>
  <c r="J100" i="92"/>
  <c r="J99" i="92"/>
  <c r="D92" i="92"/>
  <c r="C92" i="92"/>
  <c r="B92" i="92"/>
  <c r="D91" i="92"/>
  <c r="C91" i="92"/>
  <c r="B91" i="92"/>
  <c r="D90" i="92"/>
  <c r="C90" i="92"/>
  <c r="B90" i="92"/>
  <c r="D89" i="92"/>
  <c r="C89" i="92"/>
  <c r="B89" i="92"/>
  <c r="D88" i="92"/>
  <c r="C88" i="92"/>
  <c r="B88" i="92"/>
  <c r="D87" i="92"/>
  <c r="C87" i="92"/>
  <c r="B87" i="92"/>
  <c r="D86" i="92"/>
  <c r="C86" i="92"/>
  <c r="B86" i="92"/>
  <c r="D85" i="92"/>
  <c r="C85" i="92"/>
  <c r="B85" i="92"/>
  <c r="D84" i="92"/>
  <c r="C84" i="92"/>
  <c r="B84" i="92"/>
  <c r="D83" i="92"/>
  <c r="C83" i="92"/>
  <c r="B83" i="92"/>
  <c r="K78" i="92"/>
  <c r="I78" i="92"/>
  <c r="H78" i="92"/>
  <c r="G78" i="92"/>
  <c r="F78" i="92"/>
  <c r="E78" i="92"/>
  <c r="D78" i="92"/>
  <c r="C78" i="92"/>
  <c r="B78" i="92"/>
  <c r="J77" i="92"/>
  <c r="J76" i="92"/>
  <c r="J75" i="92"/>
  <c r="J74" i="92"/>
  <c r="J73" i="92"/>
  <c r="J72" i="92"/>
  <c r="J71" i="92"/>
  <c r="J70" i="92"/>
  <c r="J69" i="92"/>
  <c r="J68" i="92"/>
  <c r="J67" i="92"/>
  <c r="J66" i="92"/>
  <c r="E60" i="92"/>
  <c r="D60" i="92"/>
  <c r="C60" i="92"/>
  <c r="B50" i="92"/>
  <c r="B60" i="92" s="1"/>
  <c r="J41" i="92"/>
  <c r="G41" i="92"/>
  <c r="G28" i="92"/>
  <c r="J21" i="92"/>
  <c r="J22" i="92" s="1"/>
  <c r="E48" i="88"/>
  <c r="E47" i="88"/>
  <c r="E46" i="88"/>
  <c r="E45" i="88"/>
  <c r="E44" i="88"/>
  <c r="E43" i="88"/>
  <c r="E42" i="88"/>
  <c r="E41" i="88"/>
  <c r="E40" i="88"/>
  <c r="E39" i="88"/>
  <c r="E38" i="88"/>
  <c r="K49" i="88"/>
  <c r="K48" i="88"/>
  <c r="K47" i="88"/>
  <c r="K46" i="88"/>
  <c r="K45" i="88"/>
  <c r="K44" i="88"/>
  <c r="K43" i="88"/>
  <c r="K42" i="88"/>
  <c r="K41" i="88"/>
  <c r="K40" i="88"/>
  <c r="K39" i="88"/>
  <c r="K38" i="88"/>
  <c r="J37" i="88"/>
  <c r="I37" i="88"/>
  <c r="H37" i="88"/>
  <c r="M327" i="90"/>
  <c r="L327" i="90"/>
  <c r="I327" i="90"/>
  <c r="H327" i="90"/>
  <c r="G327" i="90"/>
  <c r="K326" i="90"/>
  <c r="K327" i="90" s="1"/>
  <c r="D304" i="90"/>
  <c r="C304" i="90"/>
  <c r="D267" i="90"/>
  <c r="C267" i="90"/>
  <c r="B267" i="90"/>
  <c r="E249" i="90"/>
  <c r="D249" i="90"/>
  <c r="G225" i="90"/>
  <c r="F225" i="90"/>
  <c r="E225" i="90"/>
  <c r="D225" i="90"/>
  <c r="C225" i="90"/>
  <c r="B225" i="90"/>
  <c r="G211" i="90"/>
  <c r="F211" i="90"/>
  <c r="E211" i="90"/>
  <c r="D211" i="90"/>
  <c r="B211" i="90"/>
  <c r="G208" i="90"/>
  <c r="F208" i="90"/>
  <c r="E208" i="90"/>
  <c r="D208" i="90"/>
  <c r="C208" i="90"/>
  <c r="B208" i="90"/>
  <c r="G205" i="90"/>
  <c r="F205" i="90"/>
  <c r="E205" i="90"/>
  <c r="D205" i="90"/>
  <c r="C205" i="90"/>
  <c r="B205" i="90"/>
  <c r="G197" i="90"/>
  <c r="F197" i="90"/>
  <c r="E197" i="90"/>
  <c r="D197" i="90"/>
  <c r="C197" i="90"/>
  <c r="B197" i="90"/>
  <c r="G189" i="90"/>
  <c r="F189" i="90"/>
  <c r="E189" i="90"/>
  <c r="D189" i="90"/>
  <c r="G186" i="90"/>
  <c r="F186" i="90"/>
  <c r="E186" i="90"/>
  <c r="D186" i="90"/>
  <c r="C186" i="90"/>
  <c r="B186" i="90"/>
  <c r="K164" i="90"/>
  <c r="J164" i="90"/>
  <c r="G164" i="90"/>
  <c r="F164" i="90"/>
  <c r="E164" i="90"/>
  <c r="D164" i="90"/>
  <c r="C164" i="90"/>
  <c r="B164" i="90"/>
  <c r="L131" i="90"/>
  <c r="J131" i="90"/>
  <c r="I131" i="90"/>
  <c r="G131" i="90"/>
  <c r="F131" i="90"/>
  <c r="E131" i="90"/>
  <c r="D131" i="90"/>
  <c r="C131" i="90"/>
  <c r="L116" i="90"/>
  <c r="J116" i="90"/>
  <c r="I116" i="90"/>
  <c r="G116" i="90"/>
  <c r="E116" i="90"/>
  <c r="D116" i="90"/>
  <c r="B116" i="90"/>
  <c r="K83" i="90"/>
  <c r="J83" i="90"/>
  <c r="I83" i="90"/>
  <c r="H83" i="90"/>
  <c r="G83" i="90"/>
  <c r="F83" i="90"/>
  <c r="F116" i="90" s="1"/>
  <c r="E83" i="90"/>
  <c r="D83" i="90"/>
  <c r="C83" i="90"/>
  <c r="L21" i="87"/>
  <c r="K21" i="87"/>
  <c r="J21" i="87"/>
  <c r="I21" i="87"/>
  <c r="C21" i="87"/>
  <c r="B21" i="87"/>
  <c r="Q11" i="87"/>
  <c r="P11" i="87"/>
  <c r="O11" i="87"/>
  <c r="N11" i="87"/>
  <c r="M11" i="87"/>
  <c r="M21" i="87"/>
  <c r="N21" i="87"/>
  <c r="O21" i="87"/>
  <c r="P21" i="87"/>
  <c r="Q21" i="87"/>
  <c r="B30" i="87"/>
  <c r="C30" i="87"/>
  <c r="D30" i="87"/>
  <c r="E30" i="87"/>
  <c r="F30" i="87"/>
  <c r="D21" i="87"/>
  <c r="E21" i="87"/>
  <c r="F21" i="87"/>
  <c r="G21" i="87"/>
  <c r="H21" i="87"/>
  <c r="L11" i="87"/>
  <c r="K11" i="87"/>
  <c r="J11" i="87"/>
  <c r="I11" i="87"/>
  <c r="H11" i="87"/>
  <c r="F11" i="87"/>
  <c r="C11" i="87"/>
  <c r="D11" i="87"/>
  <c r="E11" i="87"/>
  <c r="B11" i="87"/>
  <c r="G11" i="87"/>
  <c r="F18" i="86"/>
  <c r="E18" i="86"/>
  <c r="D18" i="86"/>
  <c r="C18" i="86"/>
  <c r="B18" i="86"/>
  <c r="J8" i="85"/>
  <c r="I8" i="85"/>
  <c r="H8" i="85"/>
  <c r="G8" i="85"/>
  <c r="F8" i="85"/>
  <c r="E8" i="85"/>
  <c r="C8" i="85"/>
  <c r="B8" i="85"/>
  <c r="D16" i="98" l="1"/>
  <c r="E37" i="88"/>
  <c r="C16" i="98"/>
  <c r="B16" i="98"/>
  <c r="D128" i="92"/>
  <c r="B212" i="90"/>
  <c r="C93" i="92"/>
  <c r="M398" i="92"/>
  <c r="K37" i="88"/>
  <c r="M121" i="95"/>
  <c r="L121" i="95"/>
  <c r="O220" i="92"/>
  <c r="J220" i="92"/>
  <c r="N220" i="92" s="1"/>
  <c r="N208" i="92"/>
  <c r="B237" i="92"/>
  <c r="O398" i="92"/>
  <c r="D415" i="92"/>
  <c r="D93" i="92"/>
  <c r="J78" i="92"/>
  <c r="B128" i="92"/>
  <c r="J145" i="92"/>
  <c r="B162" i="92"/>
  <c r="J183" i="92"/>
  <c r="C237" i="92"/>
  <c r="B93" i="92"/>
  <c r="J111" i="92"/>
  <c r="C128" i="92"/>
  <c r="C162" i="92"/>
  <c r="D237" i="92"/>
  <c r="J392" i="92"/>
  <c r="N392" i="92" s="1"/>
  <c r="D162" i="92"/>
  <c r="C415" i="92"/>
  <c r="E573" i="92"/>
  <c r="B415" i="92"/>
  <c r="J393" i="92"/>
  <c r="N393" i="92" s="1"/>
  <c r="B398" i="92"/>
  <c r="D212" i="90"/>
  <c r="E212" i="90"/>
  <c r="F212" i="90"/>
  <c r="C212" i="90"/>
  <c r="G212" i="90"/>
  <c r="D40" i="83"/>
  <c r="C40" i="83"/>
  <c r="B40" i="83"/>
  <c r="D26" i="83"/>
  <c r="C26" i="83"/>
  <c r="B26" i="83"/>
  <c r="D20" i="83"/>
  <c r="C20" i="83"/>
  <c r="B20" i="83"/>
  <c r="D36" i="83"/>
  <c r="D14" i="83"/>
  <c r="C14" i="83"/>
  <c r="B14" i="83"/>
  <c r="D13" i="83"/>
  <c r="C12" i="83"/>
  <c r="C13" i="83" s="1"/>
  <c r="B12" i="83"/>
  <c r="B13" i="83" s="1"/>
  <c r="C6" i="83"/>
  <c r="C7" i="83" s="1"/>
  <c r="B6" i="83"/>
  <c r="B7" i="83" s="1"/>
  <c r="D325" i="82"/>
  <c r="C325" i="82"/>
  <c r="B325" i="82"/>
  <c r="D313" i="82"/>
  <c r="C313" i="82"/>
  <c r="B313" i="82"/>
  <c r="D308" i="82"/>
  <c r="D306" i="82"/>
  <c r="D305" i="82"/>
  <c r="C305" i="82"/>
  <c r="B305" i="82"/>
  <c r="D301" i="82"/>
  <c r="B301" i="82"/>
  <c r="B296" i="82"/>
  <c r="D295" i="82"/>
  <c r="C295" i="82"/>
  <c r="B295" i="82"/>
  <c r="D290" i="82"/>
  <c r="C290" i="82"/>
  <c r="B290" i="82"/>
  <c r="B286" i="82"/>
  <c r="B284" i="82"/>
  <c r="C281" i="82"/>
  <c r="B281" i="82"/>
  <c r="D280" i="82"/>
  <c r="C280" i="82"/>
  <c r="B280" i="82"/>
  <c r="C278" i="82"/>
  <c r="C272" i="82"/>
  <c r="C271" i="82"/>
  <c r="B270" i="82"/>
  <c r="C267" i="82"/>
  <c r="C266" i="82"/>
  <c r="C263" i="82"/>
  <c r="C262" i="82"/>
  <c r="C261" i="82"/>
  <c r="B261" i="82"/>
  <c r="B257" i="82"/>
  <c r="D256" i="82"/>
  <c r="D252" i="82" s="1"/>
  <c r="C256" i="82"/>
  <c r="B256" i="82"/>
  <c r="B240" i="82"/>
  <c r="B238" i="82" s="1"/>
  <c r="B236" i="82"/>
  <c r="B232" i="82" s="1"/>
  <c r="D232" i="82"/>
  <c r="C232" i="82"/>
  <c r="C228" i="82"/>
  <c r="C227" i="82" s="1"/>
  <c r="B228" i="82"/>
  <c r="B227" i="82" s="1"/>
  <c r="D227" i="82"/>
  <c r="B222" i="82"/>
  <c r="B220" i="82" s="1"/>
  <c r="B224" i="82" s="1"/>
  <c r="D220" i="82"/>
  <c r="D224" i="82" s="1"/>
  <c r="C220" i="82"/>
  <c r="C224" i="82" s="1"/>
  <c r="C215" i="82"/>
  <c r="C214" i="82" s="1"/>
  <c r="B215" i="82"/>
  <c r="B214" i="82" s="1"/>
  <c r="D214" i="82"/>
  <c r="D211" i="82"/>
  <c r="C211" i="82"/>
  <c r="B211" i="82"/>
  <c r="D205" i="82"/>
  <c r="D208" i="82" s="1"/>
  <c r="C205" i="82"/>
  <c r="C208" i="82" s="1"/>
  <c r="B205" i="82"/>
  <c r="B208" i="82" s="1"/>
  <c r="D198" i="82"/>
  <c r="C198" i="82"/>
  <c r="B198" i="82"/>
  <c r="C196" i="82"/>
  <c r="C184" i="82" s="1"/>
  <c r="B196" i="82"/>
  <c r="B190" i="82"/>
  <c r="B188" i="82"/>
  <c r="B187" i="82"/>
  <c r="D184" i="82"/>
  <c r="B179" i="82"/>
  <c r="B178" i="82"/>
  <c r="D176" i="82"/>
  <c r="C176" i="82"/>
  <c r="D170" i="82"/>
  <c r="D173" i="82" s="1"/>
  <c r="C170" i="82"/>
  <c r="C173" i="82" s="1"/>
  <c r="B170" i="82"/>
  <c r="B173" i="82" s="1"/>
  <c r="C163" i="82"/>
  <c r="C162" i="82" s="1"/>
  <c r="C167" i="82" s="1"/>
  <c r="D162" i="82"/>
  <c r="D167" i="82" s="1"/>
  <c r="B162" i="82"/>
  <c r="B167" i="82" s="1"/>
  <c r="D156" i="82"/>
  <c r="C156" i="82"/>
  <c r="B156" i="82"/>
  <c r="C154" i="82"/>
  <c r="B154" i="82"/>
  <c r="C153" i="82"/>
  <c r="B153" i="82"/>
  <c r="D152" i="82"/>
  <c r="D146" i="82"/>
  <c r="C146" i="82"/>
  <c r="B146" i="82"/>
  <c r="D141" i="82"/>
  <c r="C144" i="82"/>
  <c r="C141" i="82" s="1"/>
  <c r="B144" i="82"/>
  <c r="B141" i="82" s="1"/>
  <c r="D136" i="82"/>
  <c r="C136" i="82"/>
  <c r="B136" i="82"/>
  <c r="D124" i="82"/>
  <c r="C124" i="82"/>
  <c r="B124" i="82"/>
  <c r="C120" i="82"/>
  <c r="C118" i="82" s="1"/>
  <c r="B120" i="82"/>
  <c r="B118" i="82" s="1"/>
  <c r="D118" i="82"/>
  <c r="D114" i="82"/>
  <c r="C114" i="82"/>
  <c r="B114" i="82"/>
  <c r="D108" i="82"/>
  <c r="C108" i="82"/>
  <c r="B108" i="82"/>
  <c r="D99" i="82"/>
  <c r="C99" i="82"/>
  <c r="B99" i="82"/>
  <c r="D93" i="82"/>
  <c r="C93" i="82"/>
  <c r="B93" i="82"/>
  <c r="D90" i="82"/>
  <c r="C90" i="82"/>
  <c r="B90" i="82"/>
  <c r="D86" i="82"/>
  <c r="C86" i="82"/>
  <c r="B86" i="82"/>
  <c r="D78" i="82"/>
  <c r="D83" i="82" s="1"/>
  <c r="C78" i="82"/>
  <c r="C83" i="82" s="1"/>
  <c r="B78" i="82"/>
  <c r="B83" i="82" s="1"/>
  <c r="D72" i="82"/>
  <c r="C72" i="82"/>
  <c r="B72" i="82"/>
  <c r="D68" i="82"/>
  <c r="C68" i="82"/>
  <c r="B68" i="82"/>
  <c r="D62" i="82"/>
  <c r="C62" i="82"/>
  <c r="B62" i="82"/>
  <c r="B7" i="82"/>
  <c r="C41" i="81"/>
  <c r="B41" i="81"/>
  <c r="E41" i="81"/>
  <c r="D41" i="81"/>
  <c r="G41" i="81"/>
  <c r="F41" i="81"/>
  <c r="I41" i="81"/>
  <c r="H41" i="81"/>
  <c r="K41" i="81"/>
  <c r="J41" i="81"/>
  <c r="B25" i="81"/>
  <c r="D25" i="81"/>
  <c r="F25" i="81"/>
  <c r="H25" i="81"/>
  <c r="J25" i="81"/>
  <c r="B11" i="81"/>
  <c r="B27" i="81" s="1"/>
  <c r="D11" i="81"/>
  <c r="D27" i="81" s="1"/>
  <c r="F11" i="81"/>
  <c r="F27" i="81" s="1"/>
  <c r="H11" i="81"/>
  <c r="H27" i="81" s="1"/>
  <c r="J11" i="81"/>
  <c r="J27" i="81" s="1"/>
  <c r="B9" i="81"/>
  <c r="D9" i="81"/>
  <c r="F9" i="81"/>
  <c r="H9" i="81"/>
  <c r="J9" i="81"/>
  <c r="D141" i="80"/>
  <c r="C141" i="80"/>
  <c r="B141" i="80"/>
  <c r="D107" i="80"/>
  <c r="C107" i="80"/>
  <c r="B107" i="80"/>
  <c r="D104" i="80"/>
  <c r="B104" i="80"/>
  <c r="B100" i="80"/>
  <c r="D50" i="80"/>
  <c r="C50" i="80"/>
  <c r="B50" i="80"/>
  <c r="D34" i="80"/>
  <c r="B34" i="80"/>
  <c r="D8" i="80"/>
  <c r="B8" i="80"/>
  <c r="D7" i="80"/>
  <c r="B7" i="80"/>
  <c r="D25" i="79"/>
  <c r="C25" i="79"/>
  <c r="B25" i="79"/>
  <c r="C24" i="79"/>
  <c r="B24" i="79"/>
  <c r="B9" i="79"/>
  <c r="D29" i="78"/>
  <c r="D28" i="78"/>
  <c r="D26" i="78"/>
  <c r="C26" i="78"/>
  <c r="C30" i="78" s="1"/>
  <c r="B26" i="78"/>
  <c r="B30" i="78" s="1"/>
  <c r="B23" i="77"/>
  <c r="B38" i="80" s="1"/>
  <c r="D46" i="77"/>
  <c r="C46" i="77"/>
  <c r="B46" i="77"/>
  <c r="D45" i="77"/>
  <c r="D44" i="77" s="1"/>
  <c r="C45" i="77"/>
  <c r="C44" i="77" s="1"/>
  <c r="B45" i="77"/>
  <c r="B44" i="77" s="1"/>
  <c r="D41" i="77"/>
  <c r="B41" i="77"/>
  <c r="B73" i="77"/>
  <c r="C18" i="76"/>
  <c r="B18" i="76"/>
  <c r="C17" i="76"/>
  <c r="B17" i="76"/>
  <c r="D15" i="76"/>
  <c r="C15" i="76"/>
  <c r="B15" i="76"/>
  <c r="C13" i="76"/>
  <c r="B13" i="76"/>
  <c r="C6" i="82" l="1"/>
  <c r="C8" i="82"/>
  <c r="B8" i="82"/>
  <c r="B5" i="80"/>
  <c r="D5" i="80"/>
  <c r="B10" i="79"/>
  <c r="B18" i="79"/>
  <c r="B65" i="82"/>
  <c r="C65" i="82"/>
  <c r="D65" i="82"/>
  <c r="D8" i="82"/>
  <c r="D6" i="82"/>
  <c r="D4" i="82"/>
  <c r="D242" i="82"/>
  <c r="C242" i="82"/>
  <c r="C149" i="82"/>
  <c r="C152" i="82"/>
  <c r="C159" i="82" s="1"/>
  <c r="C252" i="82"/>
  <c r="B111" i="82"/>
  <c r="C127" i="82"/>
  <c r="D202" i="82"/>
  <c r="B176" i="82"/>
  <c r="D269" i="82"/>
  <c r="D328" i="82" s="1"/>
  <c r="B184" i="82"/>
  <c r="B252" i="82"/>
  <c r="C96" i="82"/>
  <c r="C269" i="82"/>
  <c r="B6" i="82"/>
  <c r="D75" i="82"/>
  <c r="D149" i="82"/>
  <c r="C202" i="82"/>
  <c r="B217" i="82"/>
  <c r="B242" i="82"/>
  <c r="B75" i="82"/>
  <c r="D127" i="82"/>
  <c r="B149" i="82"/>
  <c r="D159" i="82"/>
  <c r="D96" i="82"/>
  <c r="C111" i="82"/>
  <c r="D111" i="82"/>
  <c r="B152" i="82"/>
  <c r="B159" i="82" s="1"/>
  <c r="D217" i="82"/>
  <c r="B269" i="82"/>
  <c r="J398" i="92"/>
  <c r="N398" i="92" s="1"/>
  <c r="B127" i="82"/>
  <c r="C217" i="82"/>
  <c r="B96" i="82"/>
  <c r="C75" i="82"/>
  <c r="D30" i="78"/>
  <c r="C3" i="78"/>
  <c r="C24" i="78" s="1"/>
  <c r="J77" i="76"/>
  <c r="K77" i="76"/>
  <c r="G9" i="82" l="1"/>
  <c r="B5" i="82"/>
  <c r="D5" i="82"/>
  <c r="C5" i="82"/>
  <c r="C4" i="82"/>
  <c r="B4" i="82"/>
  <c r="B202" i="82"/>
  <c r="C328" i="82"/>
  <c r="B328" i="82"/>
  <c r="C36" i="83"/>
  <c r="B3" i="78"/>
  <c r="B71" i="77"/>
  <c r="I77" i="76"/>
  <c r="D19" i="79" l="1"/>
  <c r="E19" i="79"/>
  <c r="C9" i="82"/>
  <c r="D9" i="82"/>
  <c r="B9" i="82"/>
  <c r="C19" i="79"/>
  <c r="B36" i="83"/>
  <c r="B24" i="78"/>
  <c r="C20" i="79" l="1"/>
  <c r="C11" i="79"/>
  <c r="E20" i="79"/>
  <c r="E11" i="79"/>
  <c r="D20" i="79"/>
  <c r="D11" i="79"/>
  <c r="B19" i="79"/>
  <c r="B20" i="79" l="1"/>
  <c r="B11" i="79"/>
  <c r="F8" i="63"/>
  <c r="F22" i="63"/>
  <c r="F21" i="63"/>
  <c r="F20" i="63"/>
  <c r="E19" i="63"/>
  <c r="D19" i="63"/>
  <c r="F18" i="63"/>
  <c r="F17" i="63"/>
  <c r="F16" i="63"/>
  <c r="F15" i="63"/>
  <c r="F14" i="63"/>
  <c r="F13" i="63"/>
  <c r="F12" i="63"/>
  <c r="F11" i="63"/>
  <c r="F10" i="63"/>
  <c r="F9" i="63"/>
  <c r="F7" i="63"/>
  <c r="F6" i="63"/>
  <c r="F5" i="63"/>
  <c r="M19" i="73"/>
  <c r="L19" i="73"/>
  <c r="K19" i="73"/>
  <c r="I19" i="73"/>
  <c r="H19" i="73"/>
  <c r="G19" i="73"/>
  <c r="E19" i="73"/>
  <c r="D19" i="73"/>
  <c r="C19" i="73"/>
  <c r="J14" i="73"/>
  <c r="J19" i="73" s="1"/>
  <c r="B14" i="73"/>
  <c r="B19" i="73" s="1"/>
  <c r="Q23" i="72"/>
  <c r="Q21" i="72"/>
  <c r="M21" i="72"/>
  <c r="Q20" i="72"/>
  <c r="M20" i="72"/>
  <c r="Q19" i="72"/>
  <c r="M19" i="72"/>
  <c r="Q18" i="72"/>
  <c r="M18" i="72"/>
  <c r="Q17" i="72"/>
  <c r="M17" i="72"/>
  <c r="Q16" i="72"/>
  <c r="M16" i="72"/>
  <c r="Q15" i="72"/>
  <c r="M15" i="72"/>
  <c r="Q14" i="72"/>
  <c r="M14" i="72"/>
  <c r="Q13" i="72"/>
  <c r="M13" i="72"/>
  <c r="Q12" i="72"/>
  <c r="M12" i="72"/>
  <c r="Q11" i="72"/>
  <c r="M11" i="72"/>
  <c r="Q10" i="72"/>
  <c r="M10" i="72"/>
  <c r="M9" i="72"/>
  <c r="Q8" i="72"/>
  <c r="M8" i="72"/>
  <c r="Q7" i="72"/>
  <c r="M7" i="72"/>
  <c r="Q6" i="72"/>
  <c r="M6" i="72"/>
  <c r="Q5" i="72"/>
  <c r="M5" i="72"/>
  <c r="R428" i="70"/>
  <c r="P428" i="70"/>
  <c r="O428" i="70"/>
  <c r="N428" i="70"/>
  <c r="M428" i="70"/>
  <c r="T425" i="70"/>
  <c r="T424" i="70"/>
  <c r="T421" i="70"/>
  <c r="U420" i="70" s="1"/>
  <c r="V336" i="70" s="1"/>
  <c r="T418" i="70"/>
  <c r="T417" i="70"/>
  <c r="T416" i="70"/>
  <c r="T415" i="70"/>
  <c r="T414" i="70"/>
  <c r="T413" i="70"/>
  <c r="T412" i="70"/>
  <c r="T411" i="70"/>
  <c r="T410" i="70"/>
  <c r="T409" i="70"/>
  <c r="T408" i="70"/>
  <c r="T407" i="70"/>
  <c r="S406" i="70"/>
  <c r="Q406" i="70"/>
  <c r="Q428" i="70" s="1"/>
  <c r="L406" i="70"/>
  <c r="T405" i="70"/>
  <c r="T404" i="70"/>
  <c r="T403" i="70"/>
  <c r="T402" i="70"/>
  <c r="T401" i="70"/>
  <c r="T400" i="70"/>
  <c r="T399" i="70"/>
  <c r="T398" i="70"/>
  <c r="T397" i="70"/>
  <c r="T396" i="70"/>
  <c r="T395" i="70"/>
  <c r="T392" i="70"/>
  <c r="T391" i="70"/>
  <c r="T388" i="70"/>
  <c r="T387" i="70"/>
  <c r="T386" i="70"/>
  <c r="T385" i="70"/>
  <c r="T384" i="70"/>
  <c r="T383" i="70"/>
  <c r="T382" i="70"/>
  <c r="T381" i="70"/>
  <c r="T380" i="70"/>
  <c r="T379" i="70"/>
  <c r="T378" i="70"/>
  <c r="T377" i="70"/>
  <c r="T376" i="70"/>
  <c r="T375" i="70"/>
  <c r="T374" i="70"/>
  <c r="T373" i="70"/>
  <c r="T372" i="70"/>
  <c r="T371" i="70"/>
  <c r="T370" i="70"/>
  <c r="T369" i="70"/>
  <c r="T368" i="70"/>
  <c r="T367" i="70"/>
  <c r="T366" i="70"/>
  <c r="T365" i="70"/>
  <c r="T364" i="70"/>
  <c r="T363" i="70"/>
  <c r="T362" i="70"/>
  <c r="T361" i="70"/>
  <c r="T360" i="70"/>
  <c r="T359" i="70"/>
  <c r="T358" i="70"/>
  <c r="T357" i="70"/>
  <c r="T356" i="70"/>
  <c r="S355" i="70"/>
  <c r="L355" i="70"/>
  <c r="T351" i="70"/>
  <c r="T350" i="70"/>
  <c r="S344" i="70"/>
  <c r="R344" i="70"/>
  <c r="Q344" i="70"/>
  <c r="P344" i="70"/>
  <c r="O344" i="70"/>
  <c r="N344" i="70"/>
  <c r="M344" i="70"/>
  <c r="L344" i="70"/>
  <c r="T341" i="70"/>
  <c r="T340" i="70"/>
  <c r="T337" i="70"/>
  <c r="U336" i="70" s="1"/>
  <c r="T332" i="70"/>
  <c r="T331" i="70"/>
  <c r="T330" i="70"/>
  <c r="T329" i="70"/>
  <c r="T328" i="70"/>
  <c r="T327" i="70"/>
  <c r="T326" i="70"/>
  <c r="T325" i="70"/>
  <c r="T324" i="70"/>
  <c r="T323" i="70"/>
  <c r="T322" i="70"/>
  <c r="T321" i="70"/>
  <c r="T320" i="70"/>
  <c r="T319" i="70"/>
  <c r="T318" i="70"/>
  <c r="T317" i="70"/>
  <c r="T316" i="70"/>
  <c r="T315" i="70"/>
  <c r="T314" i="70"/>
  <c r="T313" i="70"/>
  <c r="T312" i="70"/>
  <c r="T309" i="70"/>
  <c r="T308" i="70"/>
  <c r="T302" i="70"/>
  <c r="T301" i="70"/>
  <c r="T300" i="70"/>
  <c r="T299" i="70"/>
  <c r="T298" i="70"/>
  <c r="T297" i="70"/>
  <c r="T296" i="70"/>
  <c r="T295" i="70"/>
  <c r="T294" i="70"/>
  <c r="T293" i="70"/>
  <c r="T292" i="70"/>
  <c r="T291" i="70"/>
  <c r="T290" i="70"/>
  <c r="T289" i="70"/>
  <c r="T288" i="70"/>
  <c r="T287" i="70"/>
  <c r="T286" i="70"/>
  <c r="T285" i="70"/>
  <c r="T284" i="70"/>
  <c r="T283" i="70"/>
  <c r="T282" i="70"/>
  <c r="T281" i="70"/>
  <c r="T280" i="70"/>
  <c r="T279" i="70"/>
  <c r="T278" i="70"/>
  <c r="T277" i="70"/>
  <c r="T276" i="70"/>
  <c r="T275" i="70"/>
  <c r="T274" i="70"/>
  <c r="T273" i="70"/>
  <c r="T272" i="70"/>
  <c r="T271" i="70"/>
  <c r="T266" i="70"/>
  <c r="T265" i="70"/>
  <c r="S257" i="70"/>
  <c r="R257" i="70"/>
  <c r="Q257" i="70"/>
  <c r="P257" i="70"/>
  <c r="O257" i="70"/>
  <c r="N257" i="70"/>
  <c r="M257" i="70"/>
  <c r="L257" i="70"/>
  <c r="T255" i="70"/>
  <c r="T254" i="70"/>
  <c r="T251" i="70"/>
  <c r="T250" i="70"/>
  <c r="T247" i="70"/>
  <c r="U246" i="70" s="1"/>
  <c r="T244" i="70"/>
  <c r="T243" i="70"/>
  <c r="T242" i="70"/>
  <c r="T241" i="70"/>
  <c r="T240" i="70"/>
  <c r="T239" i="70"/>
  <c r="T238" i="70"/>
  <c r="T237" i="70"/>
  <c r="T236" i="70"/>
  <c r="T235" i="70"/>
  <c r="T234" i="70"/>
  <c r="T233" i="70"/>
  <c r="T232" i="70"/>
  <c r="T231" i="70"/>
  <c r="T230" i="70"/>
  <c r="T229" i="70"/>
  <c r="T228" i="70"/>
  <c r="T227" i="70"/>
  <c r="T226" i="70"/>
  <c r="T225" i="70"/>
  <c r="T222" i="70"/>
  <c r="T221" i="70"/>
  <c r="T218" i="70"/>
  <c r="T217" i="70"/>
  <c r="T216" i="70"/>
  <c r="T215" i="70"/>
  <c r="T214" i="70"/>
  <c r="T213" i="70"/>
  <c r="T212" i="70"/>
  <c r="T211" i="70"/>
  <c r="T210" i="70"/>
  <c r="T209" i="70"/>
  <c r="T208" i="70"/>
  <c r="T207" i="70"/>
  <c r="T206" i="70"/>
  <c r="T205" i="70"/>
  <c r="T204" i="70"/>
  <c r="T203" i="70"/>
  <c r="T202" i="70"/>
  <c r="T201" i="70"/>
  <c r="T200" i="70"/>
  <c r="T199" i="70"/>
  <c r="T198" i="70"/>
  <c r="T197" i="70"/>
  <c r="T196" i="70"/>
  <c r="T195" i="70"/>
  <c r="T194" i="70"/>
  <c r="T193" i="70"/>
  <c r="T192" i="70"/>
  <c r="T191" i="70"/>
  <c r="T190" i="70"/>
  <c r="T189" i="70"/>
  <c r="T188" i="70"/>
  <c r="T184" i="70"/>
  <c r="T183" i="70"/>
  <c r="S171" i="70"/>
  <c r="R171" i="70"/>
  <c r="Q171" i="70"/>
  <c r="P171" i="70"/>
  <c r="O171" i="70"/>
  <c r="N171" i="70"/>
  <c r="M171" i="70"/>
  <c r="L171" i="70"/>
  <c r="T169" i="70"/>
  <c r="T168" i="70"/>
  <c r="T165" i="70"/>
  <c r="T164" i="70"/>
  <c r="T161" i="70"/>
  <c r="U160" i="70" s="1"/>
  <c r="T155" i="70"/>
  <c r="T154" i="70"/>
  <c r="T153" i="70"/>
  <c r="T152" i="70"/>
  <c r="T151" i="70"/>
  <c r="T150" i="70"/>
  <c r="T149" i="70"/>
  <c r="T148" i="70"/>
  <c r="T147" i="70"/>
  <c r="T146" i="70"/>
  <c r="T145" i="70"/>
  <c r="T144" i="70"/>
  <c r="T143" i="70"/>
  <c r="T142" i="70"/>
  <c r="T141" i="70"/>
  <c r="T140" i="70"/>
  <c r="W139" i="70"/>
  <c r="W138" i="70" s="1"/>
  <c r="T139" i="70"/>
  <c r="T136" i="70"/>
  <c r="T135" i="70"/>
  <c r="T132" i="70"/>
  <c r="T131" i="70"/>
  <c r="T130" i="70"/>
  <c r="T129" i="70"/>
  <c r="T128" i="70"/>
  <c r="T127" i="70"/>
  <c r="T126" i="70"/>
  <c r="T125" i="70"/>
  <c r="T124" i="70"/>
  <c r="T123" i="70"/>
  <c r="T122" i="70"/>
  <c r="T121" i="70"/>
  <c r="T120" i="70"/>
  <c r="T119" i="70"/>
  <c r="T118" i="70"/>
  <c r="T117" i="70"/>
  <c r="T116" i="70"/>
  <c r="T115" i="70"/>
  <c r="T114" i="70"/>
  <c r="T113" i="70"/>
  <c r="T112" i="70"/>
  <c r="T111" i="70"/>
  <c r="T110" i="70"/>
  <c r="T109" i="70"/>
  <c r="T108" i="70"/>
  <c r="T107" i="70"/>
  <c r="T106" i="70"/>
  <c r="T105" i="70"/>
  <c r="T104" i="70"/>
  <c r="T103" i="70"/>
  <c r="T102" i="70"/>
  <c r="T101" i="70"/>
  <c r="T100" i="70"/>
  <c r="T99" i="70"/>
  <c r="T98" i="70"/>
  <c r="W97" i="70"/>
  <c r="T94" i="70"/>
  <c r="T93" i="70"/>
  <c r="W92" i="70"/>
  <c r="W91" i="70" s="1"/>
  <c r="T92" i="70"/>
  <c r="S84" i="70"/>
  <c r="R84" i="70"/>
  <c r="Q84" i="70"/>
  <c r="P84" i="70"/>
  <c r="O84" i="70"/>
  <c r="N84" i="70"/>
  <c r="M84" i="70"/>
  <c r="L84" i="70"/>
  <c r="T82" i="70"/>
  <c r="T81" i="70"/>
  <c r="T78" i="70"/>
  <c r="T77" i="70"/>
  <c r="T74" i="70"/>
  <c r="U73" i="70" s="1"/>
  <c r="T70" i="70"/>
  <c r="T69" i="70"/>
  <c r="T68" i="70"/>
  <c r="T67" i="70"/>
  <c r="T66" i="70"/>
  <c r="T65" i="70"/>
  <c r="T64" i="70"/>
  <c r="T63" i="70"/>
  <c r="T62" i="70"/>
  <c r="T61" i="70"/>
  <c r="T60" i="70"/>
  <c r="T59" i="70"/>
  <c r="T58" i="70"/>
  <c r="T57" i="70"/>
  <c r="T56" i="70"/>
  <c r="T55" i="70"/>
  <c r="T52" i="70"/>
  <c r="T51" i="70"/>
  <c r="T48" i="70"/>
  <c r="T47" i="70"/>
  <c r="T46" i="70"/>
  <c r="T45" i="70"/>
  <c r="T44" i="70"/>
  <c r="T43" i="70"/>
  <c r="T42" i="70"/>
  <c r="T41" i="70"/>
  <c r="T40" i="70"/>
  <c r="T39" i="70"/>
  <c r="T38" i="70"/>
  <c r="T37" i="70"/>
  <c r="T36" i="70"/>
  <c r="T35" i="70"/>
  <c r="T34" i="70"/>
  <c r="T33" i="70"/>
  <c r="T32" i="70"/>
  <c r="T31" i="70"/>
  <c r="T30" i="70"/>
  <c r="T29" i="70"/>
  <c r="T28" i="70"/>
  <c r="T27" i="70"/>
  <c r="T26" i="70"/>
  <c r="T25" i="70"/>
  <c r="T24" i="70"/>
  <c r="T23" i="70"/>
  <c r="T22" i="70"/>
  <c r="T21" i="70"/>
  <c r="T20" i="70"/>
  <c r="T19" i="70"/>
  <c r="T18" i="70"/>
  <c r="T17" i="70"/>
  <c r="T16" i="70"/>
  <c r="T15" i="70"/>
  <c r="T11" i="70"/>
  <c r="T10" i="70"/>
  <c r="T98" i="68"/>
  <c r="Q98" i="68"/>
  <c r="P98" i="68"/>
  <c r="O98" i="68"/>
  <c r="N98" i="68"/>
  <c r="L98" i="68"/>
  <c r="T97" i="68"/>
  <c r="P97" i="68"/>
  <c r="O97" i="68"/>
  <c r="N97" i="68"/>
  <c r="L97" i="68"/>
  <c r="T96" i="68"/>
  <c r="Q96" i="68"/>
  <c r="P96" i="68"/>
  <c r="O96" i="68"/>
  <c r="N96" i="68"/>
  <c r="L96" i="68"/>
  <c r="T95" i="68"/>
  <c r="Q95" i="68"/>
  <c r="P95" i="68"/>
  <c r="O95" i="68"/>
  <c r="N95" i="68"/>
  <c r="L95" i="68"/>
  <c r="T94" i="68"/>
  <c r="O94" i="68"/>
  <c r="N94" i="68"/>
  <c r="Q93" i="68"/>
  <c r="P93" i="68"/>
  <c r="O93" i="68"/>
  <c r="N93" i="68"/>
  <c r="L93" i="68"/>
  <c r="T92" i="68"/>
  <c r="Q92" i="68"/>
  <c r="P92" i="68"/>
  <c r="O92" i="68"/>
  <c r="N92" i="68"/>
  <c r="L92" i="68"/>
  <c r="O91" i="68"/>
  <c r="N91" i="68"/>
  <c r="T90" i="68"/>
  <c r="Q90" i="68"/>
  <c r="P90" i="68"/>
  <c r="O90" i="68"/>
  <c r="N90" i="68"/>
  <c r="L90" i="68"/>
  <c r="Q89" i="68"/>
  <c r="P89" i="68"/>
  <c r="O89" i="68"/>
  <c r="N89" i="68"/>
  <c r="L89" i="68"/>
  <c r="O88" i="68"/>
  <c r="N88" i="68"/>
  <c r="T87" i="68"/>
  <c r="Q87" i="68"/>
  <c r="P87" i="68"/>
  <c r="O87" i="68"/>
  <c r="N87" i="68"/>
  <c r="L87" i="68"/>
  <c r="T86" i="68"/>
  <c r="O86" i="68"/>
  <c r="N86" i="68"/>
  <c r="O85" i="68"/>
  <c r="N85" i="68"/>
  <c r="Q84" i="68"/>
  <c r="T83" i="68"/>
  <c r="Q83" i="68"/>
  <c r="P83" i="68"/>
  <c r="O83" i="68"/>
  <c r="N83" i="68"/>
  <c r="O77" i="68"/>
  <c r="N77" i="68"/>
  <c r="J77" i="68"/>
  <c r="D77" i="68"/>
  <c r="C77" i="68"/>
  <c r="Q74" i="68"/>
  <c r="Q97" i="68" s="1"/>
  <c r="E71" i="68"/>
  <c r="M70" i="68"/>
  <c r="K70" i="68"/>
  <c r="E70" i="68"/>
  <c r="M69" i="68"/>
  <c r="K69" i="68"/>
  <c r="E69" i="68"/>
  <c r="K68" i="68"/>
  <c r="E68" i="68"/>
  <c r="M67" i="68"/>
  <c r="K67" i="68"/>
  <c r="E67" i="68"/>
  <c r="L66" i="68"/>
  <c r="L83" i="68" s="1"/>
  <c r="K66" i="68"/>
  <c r="E66" i="68"/>
  <c r="M65" i="68"/>
  <c r="K65" i="68"/>
  <c r="E65" i="68"/>
  <c r="M64" i="68"/>
  <c r="M92" i="68" s="1"/>
  <c r="K64" i="68"/>
  <c r="E64" i="68"/>
  <c r="M63" i="68"/>
  <c r="M87" i="68" s="1"/>
  <c r="K63" i="68"/>
  <c r="E63" i="68"/>
  <c r="M62" i="68"/>
  <c r="K62" i="68"/>
  <c r="E62" i="68"/>
  <c r="M61" i="68"/>
  <c r="K61" i="68"/>
  <c r="E61" i="68"/>
  <c r="M60" i="68"/>
  <c r="K60" i="68"/>
  <c r="E60" i="68"/>
  <c r="M59" i="68"/>
  <c r="K59" i="68"/>
  <c r="E59" i="68"/>
  <c r="M58" i="68"/>
  <c r="K58" i="68"/>
  <c r="E58" i="68"/>
  <c r="M57" i="68"/>
  <c r="K57" i="68"/>
  <c r="E57" i="68"/>
  <c r="M56" i="68"/>
  <c r="K56" i="68"/>
  <c r="E56" i="68"/>
  <c r="M55" i="68"/>
  <c r="M98" i="68" s="1"/>
  <c r="K55" i="68"/>
  <c r="E55" i="68"/>
  <c r="M54" i="68"/>
  <c r="K54" i="68"/>
  <c r="E54" i="68"/>
  <c r="M53" i="68"/>
  <c r="M96" i="68" s="1"/>
  <c r="K53" i="68"/>
  <c r="E53" i="68"/>
  <c r="M52" i="68"/>
  <c r="K52" i="68"/>
  <c r="E52" i="68"/>
  <c r="M51" i="68"/>
  <c r="K51" i="68"/>
  <c r="E51" i="68"/>
  <c r="M50" i="68"/>
  <c r="K50" i="68"/>
  <c r="E50" i="68"/>
  <c r="M49" i="68"/>
  <c r="K49" i="68"/>
  <c r="E49" i="68"/>
  <c r="M48" i="68"/>
  <c r="K48" i="68"/>
  <c r="E48" i="68"/>
  <c r="E47" i="68"/>
  <c r="T46" i="68"/>
  <c r="T84" i="68" s="1"/>
  <c r="Q46" i="68"/>
  <c r="Q85" i="68" s="1"/>
  <c r="P46" i="68"/>
  <c r="P85" i="68" s="1"/>
  <c r="E46" i="68"/>
  <c r="E44" i="68"/>
  <c r="E43" i="68"/>
  <c r="T42" i="68"/>
  <c r="T88" i="68" s="1"/>
  <c r="Q42" i="68"/>
  <c r="Q88" i="68" s="1"/>
  <c r="P42" i="68"/>
  <c r="P88" i="68" s="1"/>
  <c r="E42" i="68"/>
  <c r="E40" i="68"/>
  <c r="E39" i="68"/>
  <c r="E38" i="68"/>
  <c r="E37" i="68"/>
  <c r="E36" i="68"/>
  <c r="T35" i="68"/>
  <c r="T85" i="68" s="1"/>
  <c r="Q35" i="68"/>
  <c r="Q86" i="68" s="1"/>
  <c r="P35" i="68"/>
  <c r="P86" i="68" s="1"/>
  <c r="E35" i="68"/>
  <c r="M33" i="68"/>
  <c r="K33" i="68"/>
  <c r="E33" i="68"/>
  <c r="E32" i="68"/>
  <c r="E31" i="68"/>
  <c r="E30" i="68"/>
  <c r="E29" i="68"/>
  <c r="T28" i="68"/>
  <c r="T89" i="68" s="1"/>
  <c r="Q28" i="68"/>
  <c r="P28" i="68"/>
  <c r="E28" i="68"/>
  <c r="M26" i="68"/>
  <c r="K26" i="68"/>
  <c r="E26" i="68"/>
  <c r="M25" i="68"/>
  <c r="K25" i="68"/>
  <c r="E25" i="68"/>
  <c r="E24" i="68"/>
  <c r="E23" i="68"/>
  <c r="T22" i="68"/>
  <c r="T93" i="68" s="1"/>
  <c r="E22" i="68"/>
  <c r="E21" i="68"/>
  <c r="E20" i="68"/>
  <c r="E19" i="68"/>
  <c r="E18" i="68"/>
  <c r="E17" i="68"/>
  <c r="T16" i="68"/>
  <c r="T91" i="68" s="1"/>
  <c r="Q16" i="68"/>
  <c r="Q91" i="68" s="1"/>
  <c r="P16" i="68"/>
  <c r="P91" i="68" s="1"/>
  <c r="E16" i="68"/>
  <c r="M14" i="68"/>
  <c r="K14" i="68"/>
  <c r="E14" i="68"/>
  <c r="M13" i="68"/>
  <c r="K13" i="68"/>
  <c r="E13" i="68"/>
  <c r="M12" i="68"/>
  <c r="K12" i="68"/>
  <c r="E12" i="68"/>
  <c r="M11" i="68"/>
  <c r="K11" i="68"/>
  <c r="E11" i="68"/>
  <c r="M10" i="68"/>
  <c r="K10" i="68"/>
  <c r="E10" i="68"/>
  <c r="M9" i="68"/>
  <c r="K9" i="68"/>
  <c r="E9" i="68"/>
  <c r="M8" i="68"/>
  <c r="K8" i="68"/>
  <c r="E8" i="68"/>
  <c r="M7" i="68"/>
  <c r="K7" i="68"/>
  <c r="E7" i="68"/>
  <c r="M6" i="68"/>
  <c r="K6" i="68"/>
  <c r="E6" i="68"/>
  <c r="M5" i="68"/>
  <c r="K5" i="68"/>
  <c r="J158" i="67"/>
  <c r="J157" i="67"/>
  <c r="C156" i="67"/>
  <c r="J156" i="67" s="1"/>
  <c r="I155" i="67"/>
  <c r="C155" i="67"/>
  <c r="I153" i="67"/>
  <c r="G153" i="67"/>
  <c r="I152" i="67"/>
  <c r="G152" i="67"/>
  <c r="D151" i="67"/>
  <c r="D150" i="67"/>
  <c r="F149" i="67"/>
  <c r="D149" i="67"/>
  <c r="H148" i="67"/>
  <c r="F148" i="67"/>
  <c r="H147" i="67"/>
  <c r="D147" i="67"/>
  <c r="D142" i="67"/>
  <c r="H139" i="67"/>
  <c r="J139" i="67" s="1"/>
  <c r="C136" i="67"/>
  <c r="C131" i="67"/>
  <c r="C125" i="67"/>
  <c r="D122" i="67"/>
  <c r="C119" i="67"/>
  <c r="D117" i="67"/>
  <c r="C154" i="67" s="1"/>
  <c r="J154" i="67" s="1"/>
  <c r="C114" i="67"/>
  <c r="D108" i="67"/>
  <c r="C153" i="67" s="1"/>
  <c r="C104" i="67"/>
  <c r="D98" i="67"/>
  <c r="C152" i="67" s="1"/>
  <c r="C95" i="67"/>
  <c r="D91" i="67"/>
  <c r="C151" i="67" s="1"/>
  <c r="C87" i="67"/>
  <c r="D83" i="67"/>
  <c r="C150" i="67" s="1"/>
  <c r="C78" i="67"/>
  <c r="H149" i="67" s="1"/>
  <c r="C72" i="67"/>
  <c r="C66" i="67"/>
  <c r="C70" i="67" s="1"/>
  <c r="D63" i="67"/>
  <c r="C148" i="67" s="1"/>
  <c r="C61" i="67"/>
  <c r="D57" i="67"/>
  <c r="C53" i="67"/>
  <c r="H146" i="67" s="1"/>
  <c r="C51" i="67"/>
  <c r="D146" i="67" s="1"/>
  <c r="C49" i="67"/>
  <c r="D49" i="67" s="1"/>
  <c r="C45" i="67"/>
  <c r="D145" i="67" s="1"/>
  <c r="C43" i="67"/>
  <c r="C39" i="67"/>
  <c r="D144" i="67" s="1"/>
  <c r="C37" i="67"/>
  <c r="C144" i="67" s="1"/>
  <c r="C33" i="67"/>
  <c r="H143" i="67" s="1"/>
  <c r="C31" i="67"/>
  <c r="D143" i="67" s="1"/>
  <c r="C29" i="67"/>
  <c r="D29" i="67" s="1"/>
  <c r="C143" i="67" s="1"/>
  <c r="C25" i="67"/>
  <c r="H142" i="67" s="1"/>
  <c r="C21" i="67"/>
  <c r="E142" i="67" s="1"/>
  <c r="C20" i="67"/>
  <c r="C19" i="67"/>
  <c r="C15" i="67"/>
  <c r="H141" i="67" s="1"/>
  <c r="C13" i="67"/>
  <c r="D141" i="67" s="1"/>
  <c r="C11" i="67"/>
  <c r="C7" i="67"/>
  <c r="H140" i="67" s="1"/>
  <c r="C5" i="67"/>
  <c r="E140" i="67" s="1"/>
  <c r="C4" i="67"/>
  <c r="D140" i="67" s="1"/>
  <c r="L9" i="66"/>
  <c r="L4" i="66"/>
  <c r="C200" i="63"/>
  <c r="K194" i="63"/>
  <c r="J194" i="63"/>
  <c r="I194" i="63"/>
  <c r="H194" i="63"/>
  <c r="G194" i="63"/>
  <c r="F194" i="63"/>
  <c r="H180" i="63"/>
  <c r="G180" i="63"/>
  <c r="F180" i="63"/>
  <c r="E180" i="63"/>
  <c r="D180" i="63"/>
  <c r="C180" i="63"/>
  <c r="C186" i="63" s="1"/>
  <c r="G161" i="63"/>
  <c r="F161" i="63"/>
  <c r="E161" i="63"/>
  <c r="D161" i="63"/>
  <c r="C161" i="63"/>
  <c r="C167" i="63" s="1"/>
  <c r="D156" i="63" s="1"/>
  <c r="B161" i="63"/>
  <c r="B167" i="63" s="1"/>
  <c r="H142" i="63"/>
  <c r="G142" i="63"/>
  <c r="F142" i="63"/>
  <c r="E142" i="63"/>
  <c r="D142" i="63"/>
  <c r="C142" i="63"/>
  <c r="B142" i="63"/>
  <c r="B137" i="63"/>
  <c r="B136" i="63" s="1"/>
  <c r="H122" i="63"/>
  <c r="G122" i="63"/>
  <c r="F122" i="63"/>
  <c r="E122" i="63"/>
  <c r="C122" i="63"/>
  <c r="B122" i="63"/>
  <c r="B116" i="63"/>
  <c r="H103" i="63"/>
  <c r="H109" i="63" s="1"/>
  <c r="G103" i="63"/>
  <c r="G109" i="63" s="1"/>
  <c r="F103" i="63"/>
  <c r="F109" i="63" s="1"/>
  <c r="E103" i="63"/>
  <c r="E109" i="63" s="1"/>
  <c r="D103" i="63"/>
  <c r="D109" i="63" s="1"/>
  <c r="C103" i="63"/>
  <c r="B103" i="63"/>
  <c r="H98" i="63"/>
  <c r="G98" i="63"/>
  <c r="F98" i="63"/>
  <c r="E98" i="63"/>
  <c r="D98" i="63"/>
  <c r="B98" i="63"/>
  <c r="B97" i="63" s="1"/>
  <c r="C109" i="63"/>
  <c r="H85" i="63"/>
  <c r="G85" i="63"/>
  <c r="F85" i="63"/>
  <c r="E85" i="63"/>
  <c r="D85" i="63"/>
  <c r="C85" i="63"/>
  <c r="B85" i="63"/>
  <c r="W187" i="62"/>
  <c r="K187" i="62"/>
  <c r="J187" i="62"/>
  <c r="I187" i="62"/>
  <c r="H187" i="62"/>
  <c r="G187" i="62"/>
  <c r="F187" i="62"/>
  <c r="E187" i="62"/>
  <c r="D187" i="62"/>
  <c r="C187" i="62"/>
  <c r="K186" i="62"/>
  <c r="J186" i="62"/>
  <c r="I186" i="62"/>
  <c r="H186" i="62"/>
  <c r="G186" i="62"/>
  <c r="F186" i="62"/>
  <c r="E186" i="62"/>
  <c r="D186" i="62"/>
  <c r="C186" i="62"/>
  <c r="K185" i="62"/>
  <c r="J185" i="62"/>
  <c r="I185" i="62"/>
  <c r="H185" i="62"/>
  <c r="G185" i="62"/>
  <c r="F185" i="62"/>
  <c r="D185" i="62"/>
  <c r="C185" i="62"/>
  <c r="K183" i="62"/>
  <c r="J183" i="62"/>
  <c r="I183" i="62"/>
  <c r="H183" i="62"/>
  <c r="G183" i="62"/>
  <c r="F183" i="62"/>
  <c r="D183" i="62"/>
  <c r="C183" i="62"/>
  <c r="W173" i="62"/>
  <c r="W19" i="62" s="1"/>
  <c r="V173" i="62"/>
  <c r="V19" i="62" s="1"/>
  <c r="U173" i="62"/>
  <c r="T173" i="62"/>
  <c r="T19" i="62" s="1"/>
  <c r="S173" i="62"/>
  <c r="S19" i="62" s="1"/>
  <c r="R173" i="62"/>
  <c r="R19" i="62" s="1"/>
  <c r="Q173" i="62"/>
  <c r="P173" i="62"/>
  <c r="P19" i="62" s="1"/>
  <c r="O173" i="62"/>
  <c r="O19" i="62" s="1"/>
  <c r="N173" i="62"/>
  <c r="N19" i="62" s="1"/>
  <c r="M173" i="62"/>
  <c r="L173" i="62"/>
  <c r="L19" i="62" s="1"/>
  <c r="K173" i="62"/>
  <c r="J173" i="62"/>
  <c r="I173" i="62"/>
  <c r="H173" i="62"/>
  <c r="G173" i="62"/>
  <c r="F173" i="62"/>
  <c r="E173" i="62"/>
  <c r="D173" i="62"/>
  <c r="C173" i="62"/>
  <c r="W171" i="62"/>
  <c r="W16" i="62" s="1"/>
  <c r="V171" i="62"/>
  <c r="U171" i="62"/>
  <c r="T171" i="62"/>
  <c r="T16" i="62" s="1"/>
  <c r="S171" i="62"/>
  <c r="S16" i="62" s="1"/>
  <c r="R171" i="62"/>
  <c r="R182" i="62" s="1"/>
  <c r="Q171" i="62"/>
  <c r="P171" i="62"/>
  <c r="P16" i="62" s="1"/>
  <c r="O171" i="62"/>
  <c r="O16" i="62" s="1"/>
  <c r="N171" i="62"/>
  <c r="K171" i="62"/>
  <c r="J171" i="62"/>
  <c r="I171" i="62"/>
  <c r="H171" i="62"/>
  <c r="G171" i="62"/>
  <c r="F171" i="62"/>
  <c r="E171" i="62"/>
  <c r="D171" i="62"/>
  <c r="C171" i="62"/>
  <c r="W170" i="62"/>
  <c r="W15" i="62" s="1"/>
  <c r="V170" i="62"/>
  <c r="U170" i="62"/>
  <c r="T170" i="62"/>
  <c r="T15" i="62" s="1"/>
  <c r="S170" i="62"/>
  <c r="S185" i="62" s="1"/>
  <c r="T182" i="62" s="1"/>
  <c r="M170" i="62"/>
  <c r="M15" i="62" s="1"/>
  <c r="J170" i="62"/>
  <c r="I170" i="62"/>
  <c r="H170" i="62"/>
  <c r="G170" i="62"/>
  <c r="F170" i="62"/>
  <c r="D170" i="62"/>
  <c r="C170" i="62"/>
  <c r="C169" i="62"/>
  <c r="J161" i="62"/>
  <c r="I161" i="62"/>
  <c r="P160" i="62"/>
  <c r="O160" i="62"/>
  <c r="N160" i="62"/>
  <c r="M160" i="62"/>
  <c r="L160" i="62"/>
  <c r="K160" i="62"/>
  <c r="J160" i="62"/>
  <c r="I160" i="62"/>
  <c r="H160" i="62"/>
  <c r="G160" i="62"/>
  <c r="F160" i="62"/>
  <c r="E160" i="62"/>
  <c r="D160" i="62"/>
  <c r="C160" i="62"/>
  <c r="I159" i="62"/>
  <c r="P158" i="62"/>
  <c r="O158" i="62"/>
  <c r="N158" i="62"/>
  <c r="M158" i="62"/>
  <c r="L158" i="62"/>
  <c r="K158" i="62"/>
  <c r="J158" i="62"/>
  <c r="I158" i="62"/>
  <c r="H158" i="62"/>
  <c r="G158" i="62"/>
  <c r="F158" i="62"/>
  <c r="E158" i="62"/>
  <c r="D158" i="62"/>
  <c r="C158" i="62"/>
  <c r="P157" i="62"/>
  <c r="O157" i="62"/>
  <c r="N157" i="62"/>
  <c r="M157" i="62"/>
  <c r="L157" i="62"/>
  <c r="K157" i="62"/>
  <c r="J157" i="62"/>
  <c r="J156" i="62"/>
  <c r="I156" i="62"/>
  <c r="C156" i="62"/>
  <c r="E148" i="62"/>
  <c r="D148" i="62"/>
  <c r="C148" i="62"/>
  <c r="R147" i="62"/>
  <c r="R9" i="62" s="1"/>
  <c r="Q147" i="62"/>
  <c r="Q9" i="62" s="1"/>
  <c r="P147" i="62"/>
  <c r="P9" i="62" s="1"/>
  <c r="O147" i="62"/>
  <c r="O9" i="62" s="1"/>
  <c r="N147" i="62"/>
  <c r="N9" i="62" s="1"/>
  <c r="M147" i="62"/>
  <c r="M9" i="62" s="1"/>
  <c r="L147" i="62"/>
  <c r="L9" i="62" s="1"/>
  <c r="K147" i="62"/>
  <c r="J147" i="62"/>
  <c r="I147" i="62"/>
  <c r="H147" i="62"/>
  <c r="G147" i="62"/>
  <c r="F147" i="62"/>
  <c r="E147" i="62"/>
  <c r="D147" i="62"/>
  <c r="C147" i="62"/>
  <c r="W145" i="62"/>
  <c r="W6" i="62" s="1"/>
  <c r="V145" i="62"/>
  <c r="V6" i="62" s="1"/>
  <c r="U145" i="62"/>
  <c r="U6" i="62" s="1"/>
  <c r="T145" i="62"/>
  <c r="T6" i="62" s="1"/>
  <c r="S145" i="62"/>
  <c r="S6" i="62" s="1"/>
  <c r="R145" i="62"/>
  <c r="R6" i="62" s="1"/>
  <c r="Q145" i="62"/>
  <c r="Q6" i="62" s="1"/>
  <c r="P145" i="62"/>
  <c r="P6" i="62" s="1"/>
  <c r="O145" i="62"/>
  <c r="O6" i="62" s="1"/>
  <c r="N145" i="62"/>
  <c r="N6" i="62" s="1"/>
  <c r="K145" i="62"/>
  <c r="J145" i="62"/>
  <c r="I145" i="62"/>
  <c r="H145" i="62"/>
  <c r="G145" i="62"/>
  <c r="F145" i="62"/>
  <c r="E145" i="62"/>
  <c r="D145" i="62"/>
  <c r="C145" i="62"/>
  <c r="W144" i="62"/>
  <c r="W5" i="62" s="1"/>
  <c r="V144" i="62"/>
  <c r="V5" i="62" s="1"/>
  <c r="U144" i="62"/>
  <c r="U5" i="62" s="1"/>
  <c r="T144" i="62"/>
  <c r="T5" i="62" s="1"/>
  <c r="S144" i="62"/>
  <c r="S5" i="62" s="1"/>
  <c r="R144" i="62"/>
  <c r="R5" i="62" s="1"/>
  <c r="Q144" i="62"/>
  <c r="Q5" i="62" s="1"/>
  <c r="P144" i="62"/>
  <c r="P5" i="62" s="1"/>
  <c r="O144" i="62"/>
  <c r="N144" i="62"/>
  <c r="N5" i="62" s="1"/>
  <c r="M144" i="62"/>
  <c r="M5" i="62" s="1"/>
  <c r="L144" i="62"/>
  <c r="L5" i="62" s="1"/>
  <c r="J144" i="62"/>
  <c r="I144" i="62"/>
  <c r="H144" i="62"/>
  <c r="G144" i="62"/>
  <c r="F144" i="62"/>
  <c r="E144" i="62"/>
  <c r="D144" i="62"/>
  <c r="C144" i="62"/>
  <c r="C143" i="62"/>
  <c r="W127" i="62"/>
  <c r="V127" i="62"/>
  <c r="U127" i="62"/>
  <c r="T127" i="62"/>
  <c r="S127" i="62"/>
  <c r="R127" i="62"/>
  <c r="Q127" i="62"/>
  <c r="P127" i="62"/>
  <c r="O127" i="62"/>
  <c r="N127" i="62"/>
  <c r="K127" i="62"/>
  <c r="I127" i="62"/>
  <c r="H127" i="62"/>
  <c r="G127" i="62"/>
  <c r="F127" i="62"/>
  <c r="F125" i="62"/>
  <c r="G122" i="62" s="1"/>
  <c r="G125" i="62" s="1"/>
  <c r="H122" i="62" s="1"/>
  <c r="H125" i="62" s="1"/>
  <c r="I122" i="62" s="1"/>
  <c r="I125" i="62" s="1"/>
  <c r="J122" i="62" s="1"/>
  <c r="M171" i="62"/>
  <c r="L171" i="62"/>
  <c r="L16" i="62" s="1"/>
  <c r="O117" i="62"/>
  <c r="N117" i="62"/>
  <c r="M117" i="62"/>
  <c r="L117" i="62"/>
  <c r="K117" i="62"/>
  <c r="J117" i="62"/>
  <c r="I117" i="62"/>
  <c r="H117" i="62"/>
  <c r="G117" i="62"/>
  <c r="F117" i="62"/>
  <c r="E117" i="62"/>
  <c r="D117" i="62"/>
  <c r="C117" i="62"/>
  <c r="J115" i="62"/>
  <c r="K112" i="62" s="1"/>
  <c r="K115" i="62" s="1"/>
  <c r="L112" i="62" s="1"/>
  <c r="I115" i="62"/>
  <c r="C115" i="62"/>
  <c r="D112" i="62" s="1"/>
  <c r="D115" i="62" s="1"/>
  <c r="E112" i="62" s="1"/>
  <c r="E115" i="62" s="1"/>
  <c r="F112" i="62" s="1"/>
  <c r="F115" i="62" s="1"/>
  <c r="G112" i="62" s="1"/>
  <c r="G115" i="62" s="1"/>
  <c r="H112" i="62" s="1"/>
  <c r="W112" i="62"/>
  <c r="V112" i="62"/>
  <c r="U112" i="62"/>
  <c r="T112" i="62"/>
  <c r="S112" i="62"/>
  <c r="R112" i="62"/>
  <c r="Q112" i="62"/>
  <c r="W107" i="62"/>
  <c r="V107" i="62"/>
  <c r="U107" i="62"/>
  <c r="T107" i="62"/>
  <c r="S107" i="62"/>
  <c r="R107" i="62"/>
  <c r="Q107" i="62"/>
  <c r="P107" i="62"/>
  <c r="O107" i="62"/>
  <c r="N107" i="62"/>
  <c r="M107" i="62"/>
  <c r="L107" i="62"/>
  <c r="K107" i="62"/>
  <c r="J107" i="62"/>
  <c r="I107" i="62"/>
  <c r="H107" i="62"/>
  <c r="G107" i="62"/>
  <c r="F107" i="62"/>
  <c r="E107" i="62"/>
  <c r="D107" i="62"/>
  <c r="C107" i="62"/>
  <c r="J105" i="62"/>
  <c r="I105" i="62"/>
  <c r="H105" i="62"/>
  <c r="E105" i="62"/>
  <c r="F102" i="62" s="1"/>
  <c r="F105" i="62" s="1"/>
  <c r="G102" i="62" s="1"/>
  <c r="G105" i="62" s="1"/>
  <c r="D105" i="62"/>
  <c r="C105" i="62"/>
  <c r="W97" i="62"/>
  <c r="V97" i="62"/>
  <c r="U97" i="62"/>
  <c r="T97" i="62"/>
  <c r="S97" i="62"/>
  <c r="R97" i="62"/>
  <c r="Q97" i="62"/>
  <c r="P97" i="62"/>
  <c r="O97" i="62"/>
  <c r="N97" i="62"/>
  <c r="M97" i="62"/>
  <c r="L97" i="62"/>
  <c r="K97" i="62"/>
  <c r="J97" i="62"/>
  <c r="I97" i="62"/>
  <c r="H97" i="62"/>
  <c r="G97" i="62"/>
  <c r="F97" i="62"/>
  <c r="E97" i="62"/>
  <c r="D97" i="62"/>
  <c r="C97" i="62"/>
  <c r="M95" i="62"/>
  <c r="J95" i="62"/>
  <c r="K92" i="62" s="1"/>
  <c r="I95" i="62"/>
  <c r="H95" i="62"/>
  <c r="C95" i="62"/>
  <c r="L93" i="62"/>
  <c r="L170" i="62" s="1"/>
  <c r="L15" i="62" s="1"/>
  <c r="K93" i="62"/>
  <c r="P86" i="62"/>
  <c r="P161" i="62" s="1"/>
  <c r="O86" i="62"/>
  <c r="O161" i="62" s="1"/>
  <c r="N86" i="62"/>
  <c r="N161" i="62" s="1"/>
  <c r="M86" i="62"/>
  <c r="M161" i="62" s="1"/>
  <c r="L86" i="62"/>
  <c r="L161" i="62" s="1"/>
  <c r="K86" i="62"/>
  <c r="K161" i="62" s="1"/>
  <c r="H86" i="62"/>
  <c r="H161" i="62" s="1"/>
  <c r="G86" i="62"/>
  <c r="G161" i="62" s="1"/>
  <c r="F86" i="62"/>
  <c r="F161" i="62" s="1"/>
  <c r="E86" i="62"/>
  <c r="E161" i="62" s="1"/>
  <c r="D86" i="62"/>
  <c r="D161" i="62" s="1"/>
  <c r="C86" i="62"/>
  <c r="C161" i="62" s="1"/>
  <c r="J84" i="62"/>
  <c r="J159" i="62" s="1"/>
  <c r="C84" i="62"/>
  <c r="D81" i="62" s="1"/>
  <c r="K81" i="62"/>
  <c r="K156" i="62" s="1"/>
  <c r="R74" i="62"/>
  <c r="Q74" i="62"/>
  <c r="P74" i="62"/>
  <c r="O74" i="62"/>
  <c r="N74" i="62"/>
  <c r="M74" i="62"/>
  <c r="K74" i="62"/>
  <c r="J74" i="62"/>
  <c r="I74" i="62"/>
  <c r="H74" i="62"/>
  <c r="G74" i="62"/>
  <c r="F74" i="62"/>
  <c r="E74" i="62"/>
  <c r="S73" i="62"/>
  <c r="S147" i="62" s="1"/>
  <c r="S9" i="62" s="1"/>
  <c r="R72" i="62"/>
  <c r="S69" i="62" s="1"/>
  <c r="S72" i="62" s="1"/>
  <c r="T69" i="62" s="1"/>
  <c r="J72" i="62"/>
  <c r="F72" i="62"/>
  <c r="G69" i="62" s="1"/>
  <c r="G72" i="62" s="1"/>
  <c r="H69" i="62" s="1"/>
  <c r="H72" i="62" s="1"/>
  <c r="I69" i="62" s="1"/>
  <c r="M145" i="62"/>
  <c r="M6" i="62" s="1"/>
  <c r="K69" i="62"/>
  <c r="K72" i="62" s="1"/>
  <c r="L69" i="62" s="1"/>
  <c r="E69" i="62"/>
  <c r="E72" i="62" s="1"/>
  <c r="W64" i="62"/>
  <c r="V64" i="62"/>
  <c r="U64" i="62"/>
  <c r="T64" i="62"/>
  <c r="S64" i="62"/>
  <c r="R64" i="62"/>
  <c r="Q64" i="62"/>
  <c r="P64" i="62"/>
  <c r="O64" i="62"/>
  <c r="N64" i="62"/>
  <c r="M64" i="62"/>
  <c r="L64" i="62"/>
  <c r="K64" i="62"/>
  <c r="J64" i="62"/>
  <c r="I64" i="62"/>
  <c r="H64" i="62"/>
  <c r="G64" i="62"/>
  <c r="F64" i="62"/>
  <c r="E64" i="62"/>
  <c r="D64" i="62"/>
  <c r="C64" i="62"/>
  <c r="J62" i="62"/>
  <c r="K59" i="62" s="1"/>
  <c r="K62" i="62" s="1"/>
  <c r="L59" i="62" s="1"/>
  <c r="L62" i="62" s="1"/>
  <c r="M59" i="62" s="1"/>
  <c r="M62" i="62" s="1"/>
  <c r="N59" i="62" s="1"/>
  <c r="N62" i="62" s="1"/>
  <c r="O59" i="62" s="1"/>
  <c r="O62" i="62" s="1"/>
  <c r="P59" i="62" s="1"/>
  <c r="P62" i="62" s="1"/>
  <c r="Q59" i="62" s="1"/>
  <c r="Q62" i="62" s="1"/>
  <c r="R59" i="62" s="1"/>
  <c r="R62" i="62" s="1"/>
  <c r="S59" i="62" s="1"/>
  <c r="S62" i="62" s="1"/>
  <c r="T59" i="62" s="1"/>
  <c r="T62" i="62" s="1"/>
  <c r="U59" i="62" s="1"/>
  <c r="U62" i="62" s="1"/>
  <c r="V59" i="62" s="1"/>
  <c r="V62" i="62" s="1"/>
  <c r="W59" i="62" s="1"/>
  <c r="W62" i="62" s="1"/>
  <c r="I62" i="62"/>
  <c r="H62" i="62"/>
  <c r="C62" i="62"/>
  <c r="D59" i="62" s="1"/>
  <c r="D62" i="62" s="1"/>
  <c r="E59" i="62" s="1"/>
  <c r="E62" i="62" s="1"/>
  <c r="F59" i="62" s="1"/>
  <c r="F62" i="62" s="1"/>
  <c r="G59" i="62" s="1"/>
  <c r="G62" i="62" s="1"/>
  <c r="U54" i="62"/>
  <c r="T54" i="62"/>
  <c r="S54" i="62"/>
  <c r="R54" i="62"/>
  <c r="Q54" i="62"/>
  <c r="P54" i="62"/>
  <c r="O54" i="62"/>
  <c r="N54" i="62"/>
  <c r="M54" i="62"/>
  <c r="L54" i="62"/>
  <c r="K54" i="62"/>
  <c r="J54" i="62"/>
  <c r="I54" i="62"/>
  <c r="H54" i="62"/>
  <c r="G54" i="62"/>
  <c r="F54" i="62"/>
  <c r="E54" i="62"/>
  <c r="D54" i="62"/>
  <c r="C54" i="62"/>
  <c r="J52" i="62"/>
  <c r="K49" i="62" s="1"/>
  <c r="K52" i="62" s="1"/>
  <c r="L49" i="62" s="1"/>
  <c r="I52" i="62"/>
  <c r="C52" i="62"/>
  <c r="D49" i="62" s="1"/>
  <c r="D52" i="62" s="1"/>
  <c r="E49" i="62" s="1"/>
  <c r="E52" i="62" s="1"/>
  <c r="F49" i="62" s="1"/>
  <c r="F52" i="62" s="1"/>
  <c r="G49" i="62" s="1"/>
  <c r="G52" i="62" s="1"/>
  <c r="H49" i="62" s="1"/>
  <c r="H52" i="62" s="1"/>
  <c r="W44" i="62"/>
  <c r="V44" i="62"/>
  <c r="U44" i="62"/>
  <c r="T44" i="62"/>
  <c r="S44" i="62"/>
  <c r="R44" i="62"/>
  <c r="Q44" i="62"/>
  <c r="P44" i="62"/>
  <c r="O44" i="62"/>
  <c r="N44" i="62"/>
  <c r="M44" i="62"/>
  <c r="L44" i="62"/>
  <c r="K44" i="62"/>
  <c r="J44" i="62"/>
  <c r="I44" i="62"/>
  <c r="H44" i="62"/>
  <c r="G44" i="62"/>
  <c r="F44" i="62"/>
  <c r="E44" i="62"/>
  <c r="D44" i="62"/>
  <c r="C44" i="62"/>
  <c r="K42" i="62"/>
  <c r="L39" i="62" s="1"/>
  <c r="L42" i="62" s="1"/>
  <c r="M39" i="62" s="1"/>
  <c r="M42" i="62" s="1"/>
  <c r="N39" i="62" s="1"/>
  <c r="N42" i="62" s="1"/>
  <c r="O39" i="62" s="1"/>
  <c r="O42" i="62" s="1"/>
  <c r="P39" i="62" s="1"/>
  <c r="P42" i="62" s="1"/>
  <c r="Q39" i="62" s="1"/>
  <c r="Q42" i="62" s="1"/>
  <c r="R39" i="62" s="1"/>
  <c r="R42" i="62" s="1"/>
  <c r="S39" i="62" s="1"/>
  <c r="S42" i="62" s="1"/>
  <c r="T39" i="62" s="1"/>
  <c r="T42" i="62" s="1"/>
  <c r="U39" i="62" s="1"/>
  <c r="U42" i="62" s="1"/>
  <c r="V39" i="62" s="1"/>
  <c r="V42" i="62" s="1"/>
  <c r="W39" i="62" s="1"/>
  <c r="W42" i="62" s="1"/>
  <c r="J42" i="62"/>
  <c r="I42" i="62"/>
  <c r="H42" i="62"/>
  <c r="G42" i="62"/>
  <c r="E42" i="62"/>
  <c r="F39" i="62" s="1"/>
  <c r="F42" i="62" s="1"/>
  <c r="C42" i="62"/>
  <c r="D39" i="62" s="1"/>
  <c r="D42" i="62" s="1"/>
  <c r="W34" i="62"/>
  <c r="V34" i="62"/>
  <c r="U34" i="62"/>
  <c r="T34" i="62"/>
  <c r="S34" i="62"/>
  <c r="R34" i="62"/>
  <c r="Q34" i="62"/>
  <c r="P34" i="62"/>
  <c r="O34" i="62"/>
  <c r="N34" i="62"/>
  <c r="M34" i="62"/>
  <c r="L34" i="62"/>
  <c r="K34" i="62"/>
  <c r="J34" i="62"/>
  <c r="H34" i="62"/>
  <c r="G34" i="62"/>
  <c r="F34" i="62"/>
  <c r="E34" i="62"/>
  <c r="D34" i="62"/>
  <c r="L32" i="62"/>
  <c r="J32" i="62"/>
  <c r="K29" i="62" s="1"/>
  <c r="K30" i="62"/>
  <c r="K144" i="62" s="1"/>
  <c r="D29" i="62"/>
  <c r="R15" i="62"/>
  <c r="Q15" i="62"/>
  <c r="P15" i="62"/>
  <c r="O15" i="62"/>
  <c r="N15" i="62"/>
  <c r="O5" i="62"/>
  <c r="F17" i="61"/>
  <c r="F16" i="61"/>
  <c r="F15" i="61"/>
  <c r="F14" i="61"/>
  <c r="F13" i="61"/>
  <c r="F12" i="61"/>
  <c r="F11" i="61"/>
  <c r="F10" i="61"/>
  <c r="F9" i="61"/>
  <c r="F8" i="61"/>
  <c r="F5" i="61"/>
  <c r="F4" i="61"/>
  <c r="E17" i="61"/>
  <c r="E15" i="61"/>
  <c r="E14" i="61"/>
  <c r="E13" i="61"/>
  <c r="E12" i="61"/>
  <c r="E11" i="61"/>
  <c r="E10" i="61"/>
  <c r="E9" i="61"/>
  <c r="E7" i="61"/>
  <c r="E6" i="61"/>
  <c r="E5" i="61"/>
  <c r="O74" i="61"/>
  <c r="K74" i="61"/>
  <c r="G74" i="61"/>
  <c r="C74" i="61"/>
  <c r="E16" i="61"/>
  <c r="E8" i="61"/>
  <c r="F7" i="61"/>
  <c r="F6" i="61"/>
  <c r="E4" i="61"/>
  <c r="E31" i="59"/>
  <c r="D31" i="59"/>
  <c r="E30" i="59"/>
  <c r="D30" i="59"/>
  <c r="E29" i="59"/>
  <c r="D29" i="59"/>
  <c r="E28" i="59"/>
  <c r="D28" i="59"/>
  <c r="E27" i="59"/>
  <c r="D27" i="59"/>
  <c r="E26" i="59"/>
  <c r="D26" i="59"/>
  <c r="E25" i="59"/>
  <c r="D25" i="59"/>
  <c r="C24" i="59"/>
  <c r="E24" i="59" s="1"/>
  <c r="E23" i="59"/>
  <c r="D23" i="59"/>
  <c r="Q18" i="59"/>
  <c r="J13" i="59"/>
  <c r="G13" i="59"/>
  <c r="J12" i="59"/>
  <c r="G12" i="59"/>
  <c r="J11" i="59"/>
  <c r="G11" i="59"/>
  <c r="J10" i="59"/>
  <c r="I10" i="59"/>
  <c r="E10" i="59"/>
  <c r="G10" i="59" s="1"/>
  <c r="N9" i="59"/>
  <c r="J9" i="59" s="1"/>
  <c r="I9" i="59"/>
  <c r="F9" i="59"/>
  <c r="E9" i="59"/>
  <c r="D9" i="59"/>
  <c r="J8" i="59"/>
  <c r="G8" i="59"/>
  <c r="J7" i="59"/>
  <c r="G7" i="59"/>
  <c r="J6" i="59"/>
  <c r="G6" i="59"/>
  <c r="N5" i="59"/>
  <c r="J5" i="59" s="1"/>
  <c r="F5" i="59"/>
  <c r="G5" i="59" s="1"/>
  <c r="F27" i="58"/>
  <c r="B27" i="58"/>
  <c r="D25" i="58"/>
  <c r="C25" i="58"/>
  <c r="D24" i="58"/>
  <c r="C24" i="58"/>
  <c r="E22" i="58"/>
  <c r="E21" i="58"/>
  <c r="E20" i="58"/>
  <c r="E19" i="58"/>
  <c r="F17" i="58"/>
  <c r="D17" i="58"/>
  <c r="C17" i="58"/>
  <c r="B17" i="58"/>
  <c r="F16" i="58"/>
  <c r="F28" i="58" s="1"/>
  <c r="E16" i="58"/>
  <c r="D16" i="58"/>
  <c r="D28" i="58" s="1"/>
  <c r="C16" i="58"/>
  <c r="C28" i="58" s="1"/>
  <c r="B16" i="58"/>
  <c r="B28" i="58" s="1"/>
  <c r="E15" i="58"/>
  <c r="D15" i="58"/>
  <c r="C15" i="58"/>
  <c r="C27" i="58" s="1"/>
  <c r="F14" i="58"/>
  <c r="F26" i="58" s="1"/>
  <c r="E14" i="58"/>
  <c r="D14" i="58"/>
  <c r="D26" i="58" s="1"/>
  <c r="C14" i="58"/>
  <c r="C26" i="58" s="1"/>
  <c r="B14" i="58"/>
  <c r="B26" i="58" s="1"/>
  <c r="F13" i="58"/>
  <c r="E13" i="58"/>
  <c r="B13" i="58"/>
  <c r="B25" i="58" s="1"/>
  <c r="F12" i="58"/>
  <c r="E12" i="58"/>
  <c r="B12" i="58"/>
  <c r="B24" i="58" s="1"/>
  <c r="E9" i="58"/>
  <c r="E8" i="58"/>
  <c r="E7" i="58"/>
  <c r="E6" i="58"/>
  <c r="F5" i="58"/>
  <c r="D5" i="58"/>
  <c r="C5" i="58"/>
  <c r="B5" i="58"/>
  <c r="G33" i="57"/>
  <c r="G36" i="57" s="1"/>
  <c r="G38" i="57" s="1"/>
  <c r="F33" i="57"/>
  <c r="F36" i="57" s="1"/>
  <c r="F38" i="57" s="1"/>
  <c r="D36" i="57"/>
  <c r="D38" i="57" s="1"/>
  <c r="C33" i="57"/>
  <c r="B33" i="57"/>
  <c r="B38" i="57" s="1"/>
  <c r="N33" i="57"/>
  <c r="M33" i="57"/>
  <c r="L33" i="57"/>
  <c r="K33" i="57"/>
  <c r="J33" i="57"/>
  <c r="I33" i="57"/>
  <c r="H30" i="57"/>
  <c r="H33" i="57" s="1"/>
  <c r="H36" i="57" s="1"/>
  <c r="H38" i="57" s="1"/>
  <c r="E30" i="57"/>
  <c r="E33" i="57" s="1"/>
  <c r="E36" i="57" s="1"/>
  <c r="E38" i="57" s="1"/>
  <c r="N26" i="57"/>
  <c r="M26" i="57"/>
  <c r="L26" i="57"/>
  <c r="K26" i="57"/>
  <c r="J26" i="57"/>
  <c r="I26" i="57"/>
  <c r="H26" i="57"/>
  <c r="C14" i="57"/>
  <c r="C17" i="57" s="1"/>
  <c r="C19" i="57" s="1"/>
  <c r="B14" i="57"/>
  <c r="B19" i="57" s="1"/>
  <c r="N14" i="57"/>
  <c r="M14" i="57"/>
  <c r="L14" i="57"/>
  <c r="K14" i="57"/>
  <c r="J14" i="57"/>
  <c r="J17" i="57" s="1"/>
  <c r="H14" i="57"/>
  <c r="H17" i="57" s="1"/>
  <c r="H19" i="57" s="1"/>
  <c r="G11" i="57"/>
  <c r="G14" i="57" s="1"/>
  <c r="G17" i="57" s="1"/>
  <c r="G19" i="57" s="1"/>
  <c r="F11" i="57"/>
  <c r="F14" i="57" s="1"/>
  <c r="F17" i="57" s="1"/>
  <c r="F19" i="57" s="1"/>
  <c r="E11" i="57"/>
  <c r="E14" i="57" s="1"/>
  <c r="E17" i="57" s="1"/>
  <c r="E19" i="57" s="1"/>
  <c r="D11" i="57"/>
  <c r="D14" i="57" s="1"/>
  <c r="D17" i="57" s="1"/>
  <c r="D19" i="57" s="1"/>
  <c r="N7" i="57"/>
  <c r="M7" i="57"/>
  <c r="L7" i="57"/>
  <c r="K7" i="57"/>
  <c r="J7" i="57"/>
  <c r="I7" i="57"/>
  <c r="H7" i="57"/>
  <c r="F7" i="57"/>
  <c r="E7" i="57"/>
  <c r="D7" i="57"/>
  <c r="C7" i="57"/>
  <c r="B7" i="57"/>
  <c r="G4" i="57"/>
  <c r="G7" i="57" s="1"/>
  <c r="O21" i="56"/>
  <c r="N21" i="56"/>
  <c r="M21" i="56"/>
  <c r="L21" i="56"/>
  <c r="F12" i="56"/>
  <c r="E12" i="56"/>
  <c r="E11" i="56"/>
  <c r="E10" i="56"/>
  <c r="N9" i="56"/>
  <c r="M9" i="56"/>
  <c r="N7" i="56"/>
  <c r="M7" i="56"/>
  <c r="N6" i="56"/>
  <c r="M6" i="56"/>
  <c r="N5" i="56"/>
  <c r="M5" i="56"/>
  <c r="C43" i="55"/>
  <c r="B43" i="55"/>
  <c r="C42" i="55"/>
  <c r="B42" i="55"/>
  <c r="C41" i="55"/>
  <c r="B41" i="55"/>
  <c r="C40" i="55"/>
  <c r="B40" i="55"/>
  <c r="C39" i="55"/>
  <c r="B39" i="55"/>
  <c r="C38" i="55"/>
  <c r="B38" i="55"/>
  <c r="C37" i="55"/>
  <c r="B37" i="55"/>
  <c r="C36" i="55"/>
  <c r="B36" i="55"/>
  <c r="C35" i="55"/>
  <c r="B35" i="55"/>
  <c r="AF28" i="55"/>
  <c r="AD28" i="55"/>
  <c r="AB28" i="55"/>
  <c r="Z28" i="55"/>
  <c r="X28" i="55"/>
  <c r="AF27" i="55"/>
  <c r="AD27" i="55"/>
  <c r="AB27" i="55"/>
  <c r="Z27" i="55"/>
  <c r="X27" i="55"/>
  <c r="Q27" i="55"/>
  <c r="N27" i="55"/>
  <c r="L27" i="55"/>
  <c r="J27" i="55"/>
  <c r="G27" i="55"/>
  <c r="F27" i="55"/>
  <c r="D27" i="55"/>
  <c r="AF26" i="55"/>
  <c r="AD26" i="55"/>
  <c r="AB26" i="55"/>
  <c r="Z26" i="55"/>
  <c r="X26" i="55"/>
  <c r="Q26" i="55"/>
  <c r="N26" i="55"/>
  <c r="G26" i="55"/>
  <c r="F26" i="55"/>
  <c r="D26" i="55"/>
  <c r="AF25" i="55"/>
  <c r="AD25" i="55"/>
  <c r="AB25" i="55"/>
  <c r="Z25" i="55"/>
  <c r="X25" i="55"/>
  <c r="Q25" i="55"/>
  <c r="N25" i="55"/>
  <c r="I25" i="55"/>
  <c r="J25" i="55" s="1"/>
  <c r="G25" i="55"/>
  <c r="F25" i="55"/>
  <c r="D25" i="55"/>
  <c r="AD24" i="55"/>
  <c r="AB24" i="55"/>
  <c r="Z24" i="55"/>
  <c r="Q24" i="55"/>
  <c r="N24" i="55"/>
  <c r="J24" i="55"/>
  <c r="G24" i="55"/>
  <c r="H24" i="55" s="1"/>
  <c r="F24" i="55"/>
  <c r="AE23" i="55"/>
  <c r="AD23" i="55"/>
  <c r="AB23" i="55"/>
  <c r="Z23" i="55"/>
  <c r="W23" i="55"/>
  <c r="X24" i="55" s="1"/>
  <c r="Q23" i="55"/>
  <c r="N23" i="55"/>
  <c r="K23" i="55"/>
  <c r="J23" i="55"/>
  <c r="H23" i="55"/>
  <c r="F23" i="55"/>
  <c r="C23" i="55"/>
  <c r="D24" i="55" s="1"/>
  <c r="AE22" i="55"/>
  <c r="AD22" i="55"/>
  <c r="AB22" i="55"/>
  <c r="Z22" i="55"/>
  <c r="W22" i="55"/>
  <c r="Q22" i="55"/>
  <c r="N22" i="55"/>
  <c r="K22" i="55"/>
  <c r="J22" i="55"/>
  <c r="H22" i="55"/>
  <c r="F22" i="55"/>
  <c r="C22" i="55"/>
  <c r="AE21" i="55"/>
  <c r="AD21" i="55"/>
  <c r="AB21" i="55"/>
  <c r="Z21" i="55"/>
  <c r="W21" i="55"/>
  <c r="Q21" i="55"/>
  <c r="N21" i="55"/>
  <c r="K21" i="55"/>
  <c r="J21" i="55"/>
  <c r="H21" i="55"/>
  <c r="F21" i="55"/>
  <c r="C21" i="55"/>
  <c r="AE20" i="55"/>
  <c r="AD20" i="55"/>
  <c r="AB20" i="55"/>
  <c r="Z20" i="55"/>
  <c r="W20" i="55"/>
  <c r="Q20" i="55"/>
  <c r="N20" i="55"/>
  <c r="K20" i="55"/>
  <c r="J20" i="55"/>
  <c r="H20" i="55"/>
  <c r="F20" i="55"/>
  <c r="C20" i="55"/>
  <c r="AE19" i="55"/>
  <c r="AD19" i="55"/>
  <c r="AB19" i="55"/>
  <c r="Z19" i="55"/>
  <c r="W19" i="55"/>
  <c r="Q19" i="55"/>
  <c r="N19" i="55"/>
  <c r="K19" i="55"/>
  <c r="J19" i="55"/>
  <c r="H19" i="55"/>
  <c r="F19" i="55"/>
  <c r="C19" i="55"/>
  <c r="AE18" i="55"/>
  <c r="AD18" i="55"/>
  <c r="AB18" i="55"/>
  <c r="Z18" i="55"/>
  <c r="W18" i="55"/>
  <c r="Q18" i="55"/>
  <c r="N18" i="55"/>
  <c r="K18" i="55"/>
  <c r="J18" i="55"/>
  <c r="H18" i="55"/>
  <c r="F18" i="55"/>
  <c r="C18" i="55"/>
  <c r="AE17" i="55"/>
  <c r="AD17" i="55"/>
  <c r="AB17" i="55"/>
  <c r="Z17" i="55"/>
  <c r="W17" i="55"/>
  <c r="Q17" i="55"/>
  <c r="R17" i="55" s="1"/>
  <c r="N17" i="55"/>
  <c r="O17" i="55" s="1"/>
  <c r="K17" i="55"/>
  <c r="J17" i="55"/>
  <c r="H17" i="55"/>
  <c r="F17" i="55"/>
  <c r="C17" i="55"/>
  <c r="AE16" i="55"/>
  <c r="AD16" i="55"/>
  <c r="AB16" i="55"/>
  <c r="Z16" i="55"/>
  <c r="Q16" i="55"/>
  <c r="R16" i="55" s="1"/>
  <c r="N16" i="55"/>
  <c r="O16" i="55" s="1"/>
  <c r="K16" i="55"/>
  <c r="J16" i="55"/>
  <c r="H16" i="55"/>
  <c r="F16" i="55"/>
  <c r="C16" i="55"/>
  <c r="W16" i="55" s="1"/>
  <c r="AE15" i="55"/>
  <c r="AD15" i="55"/>
  <c r="AB15" i="55"/>
  <c r="Z15" i="55"/>
  <c r="W15" i="55"/>
  <c r="Q15" i="55"/>
  <c r="R15" i="55" s="1"/>
  <c r="N15" i="55"/>
  <c r="O15" i="55" s="1"/>
  <c r="K15" i="55"/>
  <c r="J15" i="55"/>
  <c r="H15" i="55"/>
  <c r="F15" i="55"/>
  <c r="D15" i="55"/>
  <c r="AE14" i="55"/>
  <c r="AD14" i="55"/>
  <c r="AB14" i="55"/>
  <c r="Z14" i="55"/>
  <c r="W14" i="55"/>
  <c r="Q14" i="55"/>
  <c r="R14" i="55" s="1"/>
  <c r="N14" i="55"/>
  <c r="O14" i="55" s="1"/>
  <c r="K14" i="55"/>
  <c r="J14" i="55"/>
  <c r="H14" i="55"/>
  <c r="F14" i="55"/>
  <c r="D14" i="55"/>
  <c r="AE13" i="55"/>
  <c r="AD13" i="55"/>
  <c r="AB13" i="55"/>
  <c r="Z13" i="55"/>
  <c r="W13" i="55"/>
  <c r="Q13" i="55"/>
  <c r="R13" i="55" s="1"/>
  <c r="N13" i="55"/>
  <c r="O13" i="55" s="1"/>
  <c r="K13" i="55"/>
  <c r="J13" i="55"/>
  <c r="H13" i="55"/>
  <c r="F13" i="55"/>
  <c r="D13" i="55"/>
  <c r="AE12" i="55"/>
  <c r="W12" i="55"/>
  <c r="K12" i="55"/>
  <c r="J12" i="55"/>
  <c r="H12" i="55"/>
  <c r="F12" i="55"/>
  <c r="D12" i="55"/>
  <c r="AC11" i="55"/>
  <c r="AD12" i="55" s="1"/>
  <c r="AA11" i="55"/>
  <c r="Y11" i="55"/>
  <c r="Z12" i="55" s="1"/>
  <c r="W11" i="55"/>
  <c r="V11" i="55"/>
  <c r="K11" i="55"/>
  <c r="J11" i="55"/>
  <c r="H11" i="55"/>
  <c r="F11" i="55"/>
  <c r="D11" i="55"/>
  <c r="AC10" i="55"/>
  <c r="AA10" i="55"/>
  <c r="Y10" i="55"/>
  <c r="W10" i="55"/>
  <c r="V10" i="55"/>
  <c r="K10" i="55"/>
  <c r="J10" i="55"/>
  <c r="H10" i="55"/>
  <c r="F10" i="55"/>
  <c r="D10" i="55"/>
  <c r="AC9" i="55"/>
  <c r="AA9" i="55"/>
  <c r="Y9" i="55"/>
  <c r="W9" i="55"/>
  <c r="V9" i="55"/>
  <c r="K9" i="55"/>
  <c r="J9" i="55"/>
  <c r="H9" i="55"/>
  <c r="F9" i="55"/>
  <c r="D9" i="55"/>
  <c r="AC8" i="55"/>
  <c r="AA8" i="55"/>
  <c r="Y8" i="55"/>
  <c r="W8" i="55"/>
  <c r="V8" i="55"/>
  <c r="K8" i="55"/>
  <c r="J8" i="55"/>
  <c r="H8" i="55"/>
  <c r="F8" i="55"/>
  <c r="D8" i="55"/>
  <c r="AC7" i="55"/>
  <c r="AA7" i="55"/>
  <c r="Y7" i="55"/>
  <c r="W7" i="55"/>
  <c r="V7" i="55"/>
  <c r="K7" i="55"/>
  <c r="J7" i="55"/>
  <c r="H7" i="55"/>
  <c r="F7" i="55"/>
  <c r="D7" i="55"/>
  <c r="AC6" i="55"/>
  <c r="AA6" i="55"/>
  <c r="Y6" i="55"/>
  <c r="W6" i="55"/>
  <c r="V6" i="55"/>
  <c r="K6" i="55"/>
  <c r="J6" i="55"/>
  <c r="H6" i="55"/>
  <c r="F6" i="55"/>
  <c r="D6" i="55"/>
  <c r="AC5" i="55"/>
  <c r="AA5" i="55"/>
  <c r="Y5" i="55"/>
  <c r="W5" i="55"/>
  <c r="V5" i="55"/>
  <c r="K5" i="55"/>
  <c r="F15" i="54"/>
  <c r="H15" i="54" s="1"/>
  <c r="J15" i="54" s="1"/>
  <c r="F14" i="54"/>
  <c r="H14" i="54" s="1"/>
  <c r="J14" i="54" s="1"/>
  <c r="F13" i="54"/>
  <c r="H13" i="54" s="1"/>
  <c r="J13" i="54" s="1"/>
  <c r="F12" i="54"/>
  <c r="H12" i="54" s="1"/>
  <c r="J12" i="54" s="1"/>
  <c r="F11" i="54"/>
  <c r="H11" i="54" s="1"/>
  <c r="J11" i="54" s="1"/>
  <c r="F10" i="54"/>
  <c r="H10" i="54" s="1"/>
  <c r="J10" i="54" s="1"/>
  <c r="F9" i="54"/>
  <c r="H9" i="54" s="1"/>
  <c r="J9" i="54" s="1"/>
  <c r="F8" i="54"/>
  <c r="H8" i="54" s="1"/>
  <c r="J8" i="54" s="1"/>
  <c r="F7" i="54"/>
  <c r="H7" i="54" s="1"/>
  <c r="J7" i="54" s="1"/>
  <c r="F6" i="54"/>
  <c r="H6" i="54" s="1"/>
  <c r="J6" i="54" s="1"/>
  <c r="F5" i="54"/>
  <c r="H5" i="54" s="1"/>
  <c r="J5" i="54" s="1"/>
  <c r="F4" i="54"/>
  <c r="H4" i="54" s="1"/>
  <c r="J4" i="54" s="1"/>
  <c r="D28" i="53"/>
  <c r="D27" i="53"/>
  <c r="D26" i="53"/>
  <c r="D25" i="53"/>
  <c r="J24" i="53"/>
  <c r="K24" i="53" s="1"/>
  <c r="D24" i="53"/>
  <c r="J23" i="53"/>
  <c r="K23" i="53" s="1"/>
  <c r="D23" i="53"/>
  <c r="J22" i="53"/>
  <c r="K22" i="53" s="1"/>
  <c r="D22" i="53"/>
  <c r="J21" i="53"/>
  <c r="K21" i="53" s="1"/>
  <c r="D21" i="53"/>
  <c r="J20" i="53"/>
  <c r="K20" i="53" s="1"/>
  <c r="D20" i="53"/>
  <c r="J19" i="53"/>
  <c r="K19" i="53" s="1"/>
  <c r="D19" i="53"/>
  <c r="J18" i="53"/>
  <c r="K18" i="53" s="1"/>
  <c r="D18" i="53"/>
  <c r="J17" i="53"/>
  <c r="K17" i="53" s="1"/>
  <c r="D17" i="53"/>
  <c r="J16" i="53"/>
  <c r="K16" i="53" s="1"/>
  <c r="D16" i="53"/>
  <c r="J15" i="53"/>
  <c r="K15" i="53" s="1"/>
  <c r="D15" i="53"/>
  <c r="J14" i="53"/>
  <c r="K14" i="53" s="1"/>
  <c r="D14" i="53"/>
  <c r="J13" i="53"/>
  <c r="K13" i="53" s="1"/>
  <c r="D13" i="53"/>
  <c r="J12" i="53"/>
  <c r="K12" i="53" s="1"/>
  <c r="D12" i="53"/>
  <c r="J11" i="53"/>
  <c r="K11" i="53" s="1"/>
  <c r="D11" i="53"/>
  <c r="J10" i="53"/>
  <c r="K10" i="53" s="1"/>
  <c r="D10" i="53"/>
  <c r="J9" i="53"/>
  <c r="K9" i="53" s="1"/>
  <c r="D9" i="53"/>
  <c r="J8" i="53"/>
  <c r="K8" i="53" s="1"/>
  <c r="D8" i="53"/>
  <c r="J7" i="53"/>
  <c r="K7" i="53" s="1"/>
  <c r="D7" i="53"/>
  <c r="M622" i="52"/>
  <c r="L618" i="52"/>
  <c r="M618" i="52" s="1"/>
  <c r="Z610" i="52"/>
  <c r="V610" i="52"/>
  <c r="J610" i="52"/>
  <c r="K610" i="52" s="1"/>
  <c r="E610" i="52"/>
  <c r="C610" i="52"/>
  <c r="AA609" i="52"/>
  <c r="W609" i="52"/>
  <c r="T609" i="52"/>
  <c r="S609" i="52"/>
  <c r="Q609" i="52"/>
  <c r="P609" i="52"/>
  <c r="L609" i="52"/>
  <c r="K609" i="52"/>
  <c r="I609" i="52"/>
  <c r="G609" i="52"/>
  <c r="H609" i="52" s="1"/>
  <c r="D609" i="52"/>
  <c r="AA608" i="52"/>
  <c r="W608" i="52"/>
  <c r="T608" i="52"/>
  <c r="S608" i="52"/>
  <c r="Q608" i="52"/>
  <c r="P608" i="52"/>
  <c r="L608" i="52"/>
  <c r="AB608" i="52" s="1"/>
  <c r="K608" i="52"/>
  <c r="I608" i="52"/>
  <c r="G608" i="52"/>
  <c r="H608" i="52" s="1"/>
  <c r="D608" i="52"/>
  <c r="AA607" i="52"/>
  <c r="W607" i="52"/>
  <c r="T607" i="52"/>
  <c r="S607" i="52"/>
  <c r="Q607" i="52"/>
  <c r="P607" i="52"/>
  <c r="L607" i="52"/>
  <c r="K607" i="52"/>
  <c r="I607" i="52"/>
  <c r="G607" i="52"/>
  <c r="H607" i="52" s="1"/>
  <c r="D607" i="52"/>
  <c r="AA606" i="52"/>
  <c r="W606" i="52"/>
  <c r="T606" i="52"/>
  <c r="S606" i="52"/>
  <c r="Q606" i="52"/>
  <c r="P606" i="52"/>
  <c r="L606" i="52"/>
  <c r="AB606" i="52" s="1"/>
  <c r="K606" i="52"/>
  <c r="I606" i="52"/>
  <c r="G606" i="52"/>
  <c r="H606" i="52" s="1"/>
  <c r="D606" i="52"/>
  <c r="AA605" i="52"/>
  <c r="W605" i="52"/>
  <c r="T605" i="52"/>
  <c r="S605" i="52"/>
  <c r="Q605" i="52"/>
  <c r="P605" i="52"/>
  <c r="L605" i="52"/>
  <c r="AB605" i="52" s="1"/>
  <c r="K605" i="52"/>
  <c r="I605" i="52"/>
  <c r="G605" i="52"/>
  <c r="H605" i="52" s="1"/>
  <c r="D605" i="52"/>
  <c r="AA604" i="52"/>
  <c r="W604" i="52"/>
  <c r="T604" i="52"/>
  <c r="S604" i="52"/>
  <c r="Q604" i="52"/>
  <c r="P604" i="52"/>
  <c r="L604" i="52"/>
  <c r="K604" i="52"/>
  <c r="I604" i="52"/>
  <c r="G604" i="52"/>
  <c r="H604" i="52" s="1"/>
  <c r="D604" i="52"/>
  <c r="AA603" i="52"/>
  <c r="W603" i="52"/>
  <c r="T603" i="52"/>
  <c r="S603" i="52"/>
  <c r="Q603" i="52"/>
  <c r="P603" i="52"/>
  <c r="L603" i="52"/>
  <c r="K603" i="52"/>
  <c r="I603" i="52"/>
  <c r="G603" i="52"/>
  <c r="H603" i="52" s="1"/>
  <c r="D603" i="52"/>
  <c r="AA602" i="52"/>
  <c r="W602" i="52"/>
  <c r="T602" i="52"/>
  <c r="S602" i="52"/>
  <c r="Q602" i="52"/>
  <c r="P602" i="52"/>
  <c r="L602" i="52"/>
  <c r="K602" i="52"/>
  <c r="I602" i="52"/>
  <c r="G602" i="52"/>
  <c r="H602" i="52" s="1"/>
  <c r="D602" i="52"/>
  <c r="AA601" i="52"/>
  <c r="W601" i="52"/>
  <c r="T601" i="52"/>
  <c r="S601" i="52"/>
  <c r="Q601" i="52"/>
  <c r="P601" i="52"/>
  <c r="L601" i="52"/>
  <c r="AB601" i="52" s="1"/>
  <c r="K601" i="52"/>
  <c r="I601" i="52"/>
  <c r="G601" i="52"/>
  <c r="H601" i="52" s="1"/>
  <c r="D601" i="52"/>
  <c r="AA600" i="52"/>
  <c r="W600" i="52"/>
  <c r="T600" i="52"/>
  <c r="S600" i="52"/>
  <c r="Q600" i="52"/>
  <c r="P600" i="52"/>
  <c r="L600" i="52"/>
  <c r="K600" i="52"/>
  <c r="I600" i="52"/>
  <c r="G600" i="52"/>
  <c r="H600" i="52" s="1"/>
  <c r="D600" i="52"/>
  <c r="AA599" i="52"/>
  <c r="W599" i="52"/>
  <c r="T599" i="52"/>
  <c r="S599" i="52"/>
  <c r="Q599" i="52"/>
  <c r="P599" i="52"/>
  <c r="L599" i="52"/>
  <c r="K599" i="52"/>
  <c r="I599" i="52"/>
  <c r="G599" i="52"/>
  <c r="H599" i="52" s="1"/>
  <c r="D599" i="52"/>
  <c r="AA598" i="52"/>
  <c r="W598" i="52"/>
  <c r="T598" i="52"/>
  <c r="S598" i="52"/>
  <c r="Q598" i="52"/>
  <c r="P598" i="52"/>
  <c r="L598" i="52"/>
  <c r="AB598" i="52" s="1"/>
  <c r="K598" i="52"/>
  <c r="I598" i="52"/>
  <c r="G598" i="52"/>
  <c r="H598" i="52" s="1"/>
  <c r="D598" i="52"/>
  <c r="AA597" i="52"/>
  <c r="W597" i="52"/>
  <c r="T597" i="52"/>
  <c r="S597" i="52"/>
  <c r="Q597" i="52"/>
  <c r="P597" i="52"/>
  <c r="L597" i="52"/>
  <c r="X597" i="52" s="1"/>
  <c r="K597" i="52"/>
  <c r="I597" i="52"/>
  <c r="G597" i="52"/>
  <c r="H597" i="52" s="1"/>
  <c r="D597" i="52"/>
  <c r="AA596" i="52"/>
  <c r="W596" i="52"/>
  <c r="T596" i="52"/>
  <c r="S596" i="52"/>
  <c r="Q596" i="52"/>
  <c r="P596" i="52"/>
  <c r="L596" i="52"/>
  <c r="K596" i="52"/>
  <c r="I596" i="52"/>
  <c r="G596" i="52"/>
  <c r="H596" i="52" s="1"/>
  <c r="D596" i="52"/>
  <c r="AA595" i="52"/>
  <c r="W595" i="52"/>
  <c r="T595" i="52"/>
  <c r="S595" i="52"/>
  <c r="Q595" i="52"/>
  <c r="P595" i="52"/>
  <c r="L595" i="52"/>
  <c r="K595" i="52"/>
  <c r="I595" i="52"/>
  <c r="G595" i="52"/>
  <c r="H595" i="52" s="1"/>
  <c r="D595" i="52"/>
  <c r="AA594" i="52"/>
  <c r="W594" i="52"/>
  <c r="T594" i="52"/>
  <c r="S594" i="52"/>
  <c r="Q594" i="52"/>
  <c r="P594" i="52"/>
  <c r="L594" i="52"/>
  <c r="AB594" i="52" s="1"/>
  <c r="K594" i="52"/>
  <c r="I594" i="52"/>
  <c r="G594" i="52"/>
  <c r="H594" i="52" s="1"/>
  <c r="D594" i="52"/>
  <c r="AA593" i="52"/>
  <c r="W593" i="52"/>
  <c r="T593" i="52"/>
  <c r="S593" i="52"/>
  <c r="Q593" i="52"/>
  <c r="P593" i="52"/>
  <c r="L593" i="52"/>
  <c r="AB593" i="52" s="1"/>
  <c r="K593" i="52"/>
  <c r="I593" i="52"/>
  <c r="G593" i="52"/>
  <c r="H593" i="52" s="1"/>
  <c r="D593" i="52"/>
  <c r="AA592" i="52"/>
  <c r="W592" i="52"/>
  <c r="T592" i="52"/>
  <c r="S592" i="52"/>
  <c r="Q592" i="52"/>
  <c r="P592" i="52"/>
  <c r="L592" i="52"/>
  <c r="K592" i="52"/>
  <c r="I592" i="52"/>
  <c r="G592" i="52"/>
  <c r="H592" i="52" s="1"/>
  <c r="D592" i="52"/>
  <c r="AA591" i="52"/>
  <c r="W591" i="52"/>
  <c r="T591" i="52"/>
  <c r="S591" i="52"/>
  <c r="Q591" i="52"/>
  <c r="P591" i="52"/>
  <c r="L591" i="52"/>
  <c r="K591" i="52"/>
  <c r="I591" i="52"/>
  <c r="G591" i="52"/>
  <c r="D591" i="52"/>
  <c r="AA589" i="52"/>
  <c r="W589" i="52"/>
  <c r="T589" i="52"/>
  <c r="S589" i="52"/>
  <c r="Q589" i="52"/>
  <c r="P589" i="52"/>
  <c r="L589" i="52"/>
  <c r="K589" i="52"/>
  <c r="I589" i="52"/>
  <c r="G589" i="52"/>
  <c r="H589" i="52" s="1"/>
  <c r="D589" i="52"/>
  <c r="AA588" i="52"/>
  <c r="W588" i="52"/>
  <c r="T588" i="52"/>
  <c r="S588" i="52"/>
  <c r="Q588" i="52"/>
  <c r="P588" i="52"/>
  <c r="L588" i="52"/>
  <c r="K588" i="52"/>
  <c r="I588" i="52"/>
  <c r="G588" i="52"/>
  <c r="H588" i="52" s="1"/>
  <c r="D588" i="52"/>
  <c r="AA587" i="52"/>
  <c r="W587" i="52"/>
  <c r="T587" i="52"/>
  <c r="S587" i="52"/>
  <c r="Q587" i="52"/>
  <c r="P587" i="52"/>
  <c r="L587" i="52"/>
  <c r="K587" i="52"/>
  <c r="I587" i="52"/>
  <c r="G587" i="52"/>
  <c r="H587" i="52" s="1"/>
  <c r="D587" i="52"/>
  <c r="AA586" i="52"/>
  <c r="W586" i="52"/>
  <c r="T586" i="52"/>
  <c r="S586" i="52"/>
  <c r="Q586" i="52"/>
  <c r="P586" i="52"/>
  <c r="L586" i="52"/>
  <c r="X586" i="52" s="1"/>
  <c r="K586" i="52"/>
  <c r="I586" i="52"/>
  <c r="G586" i="52"/>
  <c r="H586" i="52" s="1"/>
  <c r="D586" i="52"/>
  <c r="AA585" i="52"/>
  <c r="W585" i="52"/>
  <c r="T585" i="52"/>
  <c r="S585" i="52"/>
  <c r="Q585" i="52"/>
  <c r="P585" i="52"/>
  <c r="L585" i="52"/>
  <c r="K585" i="52"/>
  <c r="I585" i="52"/>
  <c r="G585" i="52"/>
  <c r="H585" i="52" s="1"/>
  <c r="D585" i="52"/>
  <c r="Z584" i="52"/>
  <c r="Z590" i="52" s="1"/>
  <c r="V584" i="52"/>
  <c r="V590" i="52" s="1"/>
  <c r="J584" i="52"/>
  <c r="E584" i="52"/>
  <c r="C584" i="52"/>
  <c r="P584" i="52" s="1"/>
  <c r="AA583" i="52"/>
  <c r="W583" i="52"/>
  <c r="T583" i="52"/>
  <c r="S583" i="52"/>
  <c r="Q583" i="52"/>
  <c r="P583" i="52"/>
  <c r="L583" i="52"/>
  <c r="K583" i="52"/>
  <c r="I583" i="52"/>
  <c r="G583" i="52"/>
  <c r="H583" i="52" s="1"/>
  <c r="D583" i="52"/>
  <c r="AA582" i="52"/>
  <c r="W582" i="52"/>
  <c r="T582" i="52"/>
  <c r="S582" i="52"/>
  <c r="Q582" i="52"/>
  <c r="P582" i="52"/>
  <c r="L582" i="52"/>
  <c r="K582" i="52"/>
  <c r="I582" i="52"/>
  <c r="G582" i="52"/>
  <c r="H582" i="52" s="1"/>
  <c r="D582" i="52"/>
  <c r="AA581" i="52"/>
  <c r="W581" i="52"/>
  <c r="T581" i="52"/>
  <c r="S581" i="52"/>
  <c r="Q581" i="52"/>
  <c r="P581" i="52"/>
  <c r="L581" i="52"/>
  <c r="K581" i="52"/>
  <c r="I581" i="52"/>
  <c r="G581" i="52"/>
  <c r="H581" i="52" s="1"/>
  <c r="D581" i="52"/>
  <c r="AA580" i="52"/>
  <c r="W580" i="52"/>
  <c r="T580" i="52"/>
  <c r="S580" i="52"/>
  <c r="Q580" i="52"/>
  <c r="P580" i="52"/>
  <c r="L580" i="52"/>
  <c r="X580" i="52" s="1"/>
  <c r="K580" i="52"/>
  <c r="I580" i="52"/>
  <c r="G580" i="52"/>
  <c r="H580" i="52" s="1"/>
  <c r="D580" i="52"/>
  <c r="AA579" i="52"/>
  <c r="W579" i="52"/>
  <c r="T579" i="52"/>
  <c r="S579" i="52"/>
  <c r="Q579" i="52"/>
  <c r="P579" i="52"/>
  <c r="L579" i="52"/>
  <c r="K579" i="52"/>
  <c r="I579" i="52"/>
  <c r="G579" i="52"/>
  <c r="H579" i="52" s="1"/>
  <c r="D579" i="52"/>
  <c r="AA578" i="52"/>
  <c r="W578" i="52"/>
  <c r="T578" i="52"/>
  <c r="S578" i="52"/>
  <c r="Q578" i="52"/>
  <c r="P578" i="52"/>
  <c r="L578" i="52"/>
  <c r="K578" i="52"/>
  <c r="I578" i="52"/>
  <c r="G578" i="52"/>
  <c r="H578" i="52" s="1"/>
  <c r="D578" i="52"/>
  <c r="AA577" i="52"/>
  <c r="W577" i="52"/>
  <c r="T577" i="52"/>
  <c r="S577" i="52"/>
  <c r="Q577" i="52"/>
  <c r="P577" i="52"/>
  <c r="L577" i="52"/>
  <c r="K577" i="52"/>
  <c r="I577" i="52"/>
  <c r="G577" i="52"/>
  <c r="H577" i="52" s="1"/>
  <c r="D577" i="52"/>
  <c r="AA576" i="52"/>
  <c r="W576" i="52"/>
  <c r="T576" i="52"/>
  <c r="S576" i="52"/>
  <c r="Q576" i="52"/>
  <c r="P576" i="52"/>
  <c r="L576" i="52"/>
  <c r="X576" i="52" s="1"/>
  <c r="K576" i="52"/>
  <c r="I576" i="52"/>
  <c r="G576" i="52"/>
  <c r="H576" i="52" s="1"/>
  <c r="D576" i="52"/>
  <c r="AA575" i="52"/>
  <c r="W575" i="52"/>
  <c r="T575" i="52"/>
  <c r="S575" i="52"/>
  <c r="Q575" i="52"/>
  <c r="P575" i="52"/>
  <c r="L575" i="52"/>
  <c r="K575" i="52"/>
  <c r="I575" i="52"/>
  <c r="G575" i="52"/>
  <c r="H575" i="52" s="1"/>
  <c r="D575" i="52"/>
  <c r="AA574" i="52"/>
  <c r="W574" i="52"/>
  <c r="T574" i="52"/>
  <c r="S574" i="52"/>
  <c r="Q574" i="52"/>
  <c r="P574" i="52"/>
  <c r="L574" i="52"/>
  <c r="K574" i="52"/>
  <c r="I574" i="52"/>
  <c r="G574" i="52"/>
  <c r="H574" i="52" s="1"/>
  <c r="D574" i="52"/>
  <c r="AA573" i="52"/>
  <c r="W573" i="52"/>
  <c r="T573" i="52"/>
  <c r="S573" i="52"/>
  <c r="Q573" i="52"/>
  <c r="P573" i="52"/>
  <c r="L573" i="52"/>
  <c r="K573" i="52"/>
  <c r="I573" i="52"/>
  <c r="G573" i="52"/>
  <c r="H573" i="52" s="1"/>
  <c r="D573" i="52"/>
  <c r="AA572" i="52"/>
  <c r="W572" i="52"/>
  <c r="T572" i="52"/>
  <c r="S572" i="52"/>
  <c r="Q572" i="52"/>
  <c r="P572" i="52"/>
  <c r="L572" i="52"/>
  <c r="X572" i="52" s="1"/>
  <c r="K572" i="52"/>
  <c r="I572" i="52"/>
  <c r="G572" i="52"/>
  <c r="H572" i="52" s="1"/>
  <c r="D572" i="52"/>
  <c r="AA571" i="52"/>
  <c r="W571" i="52"/>
  <c r="T571" i="52"/>
  <c r="S571" i="52"/>
  <c r="Q571" i="52"/>
  <c r="P571" i="52"/>
  <c r="L571" i="52"/>
  <c r="K571" i="52"/>
  <c r="I571" i="52"/>
  <c r="G571" i="52"/>
  <c r="H571" i="52" s="1"/>
  <c r="D571" i="52"/>
  <c r="AA570" i="52"/>
  <c r="W570" i="52"/>
  <c r="T570" i="52"/>
  <c r="S570" i="52"/>
  <c r="Q570" i="52"/>
  <c r="P570" i="52"/>
  <c r="L570" i="52"/>
  <c r="K570" i="52"/>
  <c r="I570" i="52"/>
  <c r="G570" i="52"/>
  <c r="H570" i="52" s="1"/>
  <c r="D570" i="52"/>
  <c r="AA569" i="52"/>
  <c r="W569" i="52"/>
  <c r="T569" i="52"/>
  <c r="S569" i="52"/>
  <c r="Q569" i="52"/>
  <c r="P569" i="52"/>
  <c r="L569" i="52"/>
  <c r="K569" i="52"/>
  <c r="I569" i="52"/>
  <c r="G569" i="52"/>
  <c r="H569" i="52" s="1"/>
  <c r="D569" i="52"/>
  <c r="AA568" i="52"/>
  <c r="W568" i="52"/>
  <c r="T568" i="52"/>
  <c r="S568" i="52"/>
  <c r="Q568" i="52"/>
  <c r="P568" i="52"/>
  <c r="L568" i="52"/>
  <c r="X568" i="52" s="1"/>
  <c r="K568" i="52"/>
  <c r="I568" i="52"/>
  <c r="G568" i="52"/>
  <c r="H568" i="52" s="1"/>
  <c r="D568" i="52"/>
  <c r="AA567" i="52"/>
  <c r="W567" i="52"/>
  <c r="T567" i="52"/>
  <c r="S567" i="52"/>
  <c r="Q567" i="52"/>
  <c r="P567" i="52"/>
  <c r="L567" i="52"/>
  <c r="K567" i="52"/>
  <c r="I567" i="52"/>
  <c r="G567" i="52"/>
  <c r="H567" i="52" s="1"/>
  <c r="D567" i="52"/>
  <c r="AA566" i="52"/>
  <c r="W566" i="52"/>
  <c r="T566" i="52"/>
  <c r="S566" i="52"/>
  <c r="Q566" i="52"/>
  <c r="P566" i="52"/>
  <c r="L566" i="52"/>
  <c r="K566" i="52"/>
  <c r="I566" i="52"/>
  <c r="G566" i="52"/>
  <c r="H566" i="52" s="1"/>
  <c r="D566" i="52"/>
  <c r="AA565" i="52"/>
  <c r="W565" i="52"/>
  <c r="T565" i="52"/>
  <c r="S565" i="52"/>
  <c r="Q565" i="52"/>
  <c r="P565" i="52"/>
  <c r="L565" i="52"/>
  <c r="K565" i="52"/>
  <c r="I565" i="52"/>
  <c r="G565" i="52"/>
  <c r="H565" i="52" s="1"/>
  <c r="D565" i="52"/>
  <c r="AA564" i="52"/>
  <c r="W564" i="52"/>
  <c r="T564" i="52"/>
  <c r="S564" i="52"/>
  <c r="Q564" i="52"/>
  <c r="P564" i="52"/>
  <c r="L564" i="52"/>
  <c r="X564" i="52" s="1"/>
  <c r="K564" i="52"/>
  <c r="I564" i="52"/>
  <c r="G564" i="52"/>
  <c r="H564" i="52" s="1"/>
  <c r="D564" i="52"/>
  <c r="AA563" i="52"/>
  <c r="W563" i="52"/>
  <c r="T563" i="52"/>
  <c r="S563" i="52"/>
  <c r="Q563" i="52"/>
  <c r="P563" i="52"/>
  <c r="L563" i="52"/>
  <c r="X563" i="52" s="1"/>
  <c r="K563" i="52"/>
  <c r="I563" i="52"/>
  <c r="G563" i="52"/>
  <c r="H563" i="52" s="1"/>
  <c r="D563" i="52"/>
  <c r="AA562" i="52"/>
  <c r="W562" i="52"/>
  <c r="T562" i="52"/>
  <c r="S562" i="52"/>
  <c r="Q562" i="52"/>
  <c r="P562" i="52"/>
  <c r="L562" i="52"/>
  <c r="X562" i="52" s="1"/>
  <c r="K562" i="52"/>
  <c r="I562" i="52"/>
  <c r="G562" i="52"/>
  <c r="H562" i="52" s="1"/>
  <c r="D562" i="52"/>
  <c r="AA561" i="52"/>
  <c r="W561" i="52"/>
  <c r="T561" i="52"/>
  <c r="S561" i="52"/>
  <c r="Q561" i="52"/>
  <c r="P561" i="52"/>
  <c r="L561" i="52"/>
  <c r="X561" i="52" s="1"/>
  <c r="K561" i="52"/>
  <c r="I561" i="52"/>
  <c r="G561" i="52"/>
  <c r="H561" i="52" s="1"/>
  <c r="D561" i="52"/>
  <c r="AA560" i="52"/>
  <c r="W560" i="52"/>
  <c r="T560" i="52"/>
  <c r="S560" i="52"/>
  <c r="Q560" i="52"/>
  <c r="P560" i="52"/>
  <c r="L560" i="52"/>
  <c r="AB560" i="52" s="1"/>
  <c r="K560" i="52"/>
  <c r="I560" i="52"/>
  <c r="G560" i="52"/>
  <c r="H560" i="52" s="1"/>
  <c r="D560" i="52"/>
  <c r="AA559" i="52"/>
  <c r="W559" i="52"/>
  <c r="T559" i="52"/>
  <c r="S559" i="52"/>
  <c r="Q559" i="52"/>
  <c r="P559" i="52"/>
  <c r="L559" i="52"/>
  <c r="X559" i="52" s="1"/>
  <c r="K559" i="52"/>
  <c r="I559" i="52"/>
  <c r="G559" i="52"/>
  <c r="H559" i="52" s="1"/>
  <c r="D559" i="52"/>
  <c r="AA558" i="52"/>
  <c r="W558" i="52"/>
  <c r="T558" i="52"/>
  <c r="S558" i="52"/>
  <c r="Q558" i="52"/>
  <c r="P558" i="52"/>
  <c r="L558" i="52"/>
  <c r="X558" i="52" s="1"/>
  <c r="K558" i="52"/>
  <c r="I558" i="52"/>
  <c r="G558" i="52"/>
  <c r="H558" i="52" s="1"/>
  <c r="D558" i="52"/>
  <c r="AA557" i="52"/>
  <c r="W557" i="52"/>
  <c r="T557" i="52"/>
  <c r="S557" i="52"/>
  <c r="Q557" i="52"/>
  <c r="P557" i="52"/>
  <c r="L557" i="52"/>
  <c r="K557" i="52"/>
  <c r="I557" i="52"/>
  <c r="G557" i="52"/>
  <c r="H557" i="52" s="1"/>
  <c r="D557" i="52"/>
  <c r="AA556" i="52"/>
  <c r="W556" i="52"/>
  <c r="T556" i="52"/>
  <c r="S556" i="52"/>
  <c r="Q556" i="52"/>
  <c r="P556" i="52"/>
  <c r="L556" i="52"/>
  <c r="X556" i="52" s="1"/>
  <c r="K556" i="52"/>
  <c r="I556" i="52"/>
  <c r="G556" i="52"/>
  <c r="H556" i="52" s="1"/>
  <c r="D556" i="52"/>
  <c r="AA555" i="52"/>
  <c r="W555" i="52"/>
  <c r="T555" i="52"/>
  <c r="S555" i="52"/>
  <c r="Q555" i="52"/>
  <c r="P555" i="52"/>
  <c r="L555" i="52"/>
  <c r="X555" i="52" s="1"/>
  <c r="K555" i="52"/>
  <c r="I555" i="52"/>
  <c r="G555" i="52"/>
  <c r="H555" i="52" s="1"/>
  <c r="D555" i="52"/>
  <c r="AA554" i="52"/>
  <c r="W554" i="52"/>
  <c r="T554" i="52"/>
  <c r="S554" i="52"/>
  <c r="Q554" i="52"/>
  <c r="P554" i="52"/>
  <c r="L554" i="52"/>
  <c r="X554" i="52" s="1"/>
  <c r="K554" i="52"/>
  <c r="I554" i="52"/>
  <c r="G554" i="52"/>
  <c r="H554" i="52" s="1"/>
  <c r="D554" i="52"/>
  <c r="AA553" i="52"/>
  <c r="W553" i="52"/>
  <c r="T553" i="52"/>
  <c r="S553" i="52"/>
  <c r="Q553" i="52"/>
  <c r="P553" i="52"/>
  <c r="L553" i="52"/>
  <c r="X553" i="52" s="1"/>
  <c r="K553" i="52"/>
  <c r="I553" i="52"/>
  <c r="G553" i="52"/>
  <c r="H553" i="52" s="1"/>
  <c r="D553" i="52"/>
  <c r="AA552" i="52"/>
  <c r="W552" i="52"/>
  <c r="T552" i="52"/>
  <c r="S552" i="52"/>
  <c r="Q552" i="52"/>
  <c r="P552" i="52"/>
  <c r="L552" i="52"/>
  <c r="K552" i="52"/>
  <c r="I552" i="52"/>
  <c r="G552" i="52"/>
  <c r="H552" i="52" s="1"/>
  <c r="D552" i="52"/>
  <c r="AA551" i="52"/>
  <c r="W551" i="52"/>
  <c r="T551" i="52"/>
  <c r="S551" i="52"/>
  <c r="Q551" i="52"/>
  <c r="P551" i="52"/>
  <c r="L551" i="52"/>
  <c r="K551" i="52"/>
  <c r="I551" i="52"/>
  <c r="G551" i="52"/>
  <c r="H551" i="52" s="1"/>
  <c r="D551" i="52"/>
  <c r="AA550" i="52"/>
  <c r="W550" i="52"/>
  <c r="T550" i="52"/>
  <c r="S550" i="52"/>
  <c r="Q550" i="52"/>
  <c r="P550" i="52"/>
  <c r="L550" i="52"/>
  <c r="X550" i="52" s="1"/>
  <c r="K550" i="52"/>
  <c r="I550" i="52"/>
  <c r="G550" i="52"/>
  <c r="H550" i="52" s="1"/>
  <c r="D550" i="52"/>
  <c r="AA549" i="52"/>
  <c r="W549" i="52"/>
  <c r="T549" i="52"/>
  <c r="S549" i="52"/>
  <c r="Q549" i="52"/>
  <c r="P549" i="52"/>
  <c r="L549" i="52"/>
  <c r="X549" i="52" s="1"/>
  <c r="K549" i="52"/>
  <c r="I549" i="52"/>
  <c r="G549" i="52"/>
  <c r="H549" i="52" s="1"/>
  <c r="D549" i="52"/>
  <c r="AA548" i="52"/>
  <c r="W548" i="52"/>
  <c r="T548" i="52"/>
  <c r="S548" i="52"/>
  <c r="Q548" i="52"/>
  <c r="P548" i="52"/>
  <c r="L548" i="52"/>
  <c r="K548" i="52"/>
  <c r="I548" i="52"/>
  <c r="G548" i="52"/>
  <c r="H548" i="52" s="1"/>
  <c r="D548" i="52"/>
  <c r="AA547" i="52"/>
  <c r="W547" i="52"/>
  <c r="T547" i="52"/>
  <c r="S547" i="52"/>
  <c r="Q547" i="52"/>
  <c r="P547" i="52"/>
  <c r="L547" i="52"/>
  <c r="X547" i="52" s="1"/>
  <c r="K547" i="52"/>
  <c r="I547" i="52"/>
  <c r="G547" i="52"/>
  <c r="H547" i="52" s="1"/>
  <c r="D547" i="52"/>
  <c r="AA546" i="52"/>
  <c r="W546" i="52"/>
  <c r="T546" i="52"/>
  <c r="S546" i="52"/>
  <c r="Q546" i="52"/>
  <c r="P546" i="52"/>
  <c r="L546" i="52"/>
  <c r="K546" i="52"/>
  <c r="I546" i="52"/>
  <c r="G546" i="52"/>
  <c r="H546" i="52" s="1"/>
  <c r="D546" i="52"/>
  <c r="AA545" i="52"/>
  <c r="W545" i="52"/>
  <c r="T545" i="52"/>
  <c r="S545" i="52"/>
  <c r="Q545" i="52"/>
  <c r="P545" i="52"/>
  <c r="L545" i="52"/>
  <c r="X545" i="52" s="1"/>
  <c r="K545" i="52"/>
  <c r="I545" i="52"/>
  <c r="G545" i="52"/>
  <c r="H545" i="52" s="1"/>
  <c r="D545" i="52"/>
  <c r="AA544" i="52"/>
  <c r="W544" i="52"/>
  <c r="T544" i="52"/>
  <c r="S544" i="52"/>
  <c r="Q544" i="52"/>
  <c r="P544" i="52"/>
  <c r="L544" i="52"/>
  <c r="AB544" i="52" s="1"/>
  <c r="K544" i="52"/>
  <c r="I544" i="52"/>
  <c r="G544" i="52"/>
  <c r="H544" i="52" s="1"/>
  <c r="D544" i="52"/>
  <c r="AA543" i="52"/>
  <c r="W543" i="52"/>
  <c r="T543" i="52"/>
  <c r="S543" i="52"/>
  <c r="Q543" i="52"/>
  <c r="P543" i="52"/>
  <c r="L543" i="52"/>
  <c r="K543" i="52"/>
  <c r="I543" i="52"/>
  <c r="G543" i="52"/>
  <c r="H543" i="52" s="1"/>
  <c r="D543" i="52"/>
  <c r="AA542" i="52"/>
  <c r="W542" i="52"/>
  <c r="T542" i="52"/>
  <c r="S542" i="52"/>
  <c r="Q542" i="52"/>
  <c r="P542" i="52"/>
  <c r="L542" i="52"/>
  <c r="X542" i="52" s="1"/>
  <c r="K542" i="52"/>
  <c r="I542" i="52"/>
  <c r="G542" i="52"/>
  <c r="H542" i="52" s="1"/>
  <c r="D542" i="52"/>
  <c r="AA541" i="52"/>
  <c r="W541" i="52"/>
  <c r="T541" i="52"/>
  <c r="S541" i="52"/>
  <c r="Q541" i="52"/>
  <c r="P541" i="52"/>
  <c r="L541" i="52"/>
  <c r="X541" i="52" s="1"/>
  <c r="K541" i="52"/>
  <c r="I541" i="52"/>
  <c r="G541" i="52"/>
  <c r="H541" i="52" s="1"/>
  <c r="D541" i="52"/>
  <c r="AA540" i="52"/>
  <c r="W540" i="52"/>
  <c r="T540" i="52"/>
  <c r="S540" i="52"/>
  <c r="Q540" i="52"/>
  <c r="P540" i="52"/>
  <c r="L540" i="52"/>
  <c r="X540" i="52" s="1"/>
  <c r="K540" i="52"/>
  <c r="I540" i="52"/>
  <c r="G540" i="52"/>
  <c r="H540" i="52" s="1"/>
  <c r="D540" i="52"/>
  <c r="AA539" i="52"/>
  <c r="W539" i="52"/>
  <c r="T539" i="52"/>
  <c r="S539" i="52"/>
  <c r="Q539" i="52"/>
  <c r="P539" i="52"/>
  <c r="L539" i="52"/>
  <c r="X539" i="52" s="1"/>
  <c r="K539" i="52"/>
  <c r="I539" i="52"/>
  <c r="G539" i="52"/>
  <c r="H539" i="52" s="1"/>
  <c r="D539" i="52"/>
  <c r="AA538" i="52"/>
  <c r="W538" i="52"/>
  <c r="T538" i="52"/>
  <c r="S538" i="52"/>
  <c r="Q538" i="52"/>
  <c r="P538" i="52"/>
  <c r="L538" i="52"/>
  <c r="K538" i="52"/>
  <c r="I538" i="52"/>
  <c r="G538" i="52"/>
  <c r="H538" i="52" s="1"/>
  <c r="D538" i="52"/>
  <c r="AA537" i="52"/>
  <c r="W537" i="52"/>
  <c r="T537" i="52"/>
  <c r="S537" i="52"/>
  <c r="Q537" i="52"/>
  <c r="P537" i="52"/>
  <c r="L537" i="52"/>
  <c r="X537" i="52" s="1"/>
  <c r="K537" i="52"/>
  <c r="I537" i="52"/>
  <c r="G537" i="52"/>
  <c r="H537" i="52" s="1"/>
  <c r="D537" i="52"/>
  <c r="AA536" i="52"/>
  <c r="W536" i="52"/>
  <c r="T536" i="52"/>
  <c r="S536" i="52"/>
  <c r="Q536" i="52"/>
  <c r="P536" i="52"/>
  <c r="L536" i="52"/>
  <c r="X536" i="52" s="1"/>
  <c r="K536" i="52"/>
  <c r="I536" i="52"/>
  <c r="G536" i="52"/>
  <c r="H536" i="52" s="1"/>
  <c r="D536" i="52"/>
  <c r="AA535" i="52"/>
  <c r="W535" i="52"/>
  <c r="T535" i="52"/>
  <c r="S535" i="52"/>
  <c r="Q535" i="52"/>
  <c r="P535" i="52"/>
  <c r="L535" i="52"/>
  <c r="AB535" i="52" s="1"/>
  <c r="K535" i="52"/>
  <c r="I535" i="52"/>
  <c r="G535" i="52"/>
  <c r="H535" i="52" s="1"/>
  <c r="D535" i="52"/>
  <c r="AA534" i="52"/>
  <c r="W534" i="52"/>
  <c r="T534" i="52"/>
  <c r="S534" i="52"/>
  <c r="Q534" i="52"/>
  <c r="P534" i="52"/>
  <c r="L534" i="52"/>
  <c r="K534" i="52"/>
  <c r="I534" i="52"/>
  <c r="G534" i="52"/>
  <c r="H534" i="52" s="1"/>
  <c r="D534" i="52"/>
  <c r="AA533" i="52"/>
  <c r="W533" i="52"/>
  <c r="T533" i="52"/>
  <c r="S533" i="52"/>
  <c r="Q533" i="52"/>
  <c r="P533" i="52"/>
  <c r="L533" i="52"/>
  <c r="X533" i="52" s="1"/>
  <c r="K533" i="52"/>
  <c r="I533" i="52"/>
  <c r="G533" i="52"/>
  <c r="H533" i="52" s="1"/>
  <c r="D533" i="52"/>
  <c r="AA532" i="52"/>
  <c r="W532" i="52"/>
  <c r="T532" i="52"/>
  <c r="S532" i="52"/>
  <c r="Q532" i="52"/>
  <c r="P532" i="52"/>
  <c r="L532" i="52"/>
  <c r="K532" i="52"/>
  <c r="I532" i="52"/>
  <c r="G532" i="52"/>
  <c r="H532" i="52" s="1"/>
  <c r="D532" i="52"/>
  <c r="AA531" i="52"/>
  <c r="W531" i="52"/>
  <c r="T531" i="52"/>
  <c r="S531" i="52"/>
  <c r="Q531" i="52"/>
  <c r="P531" i="52"/>
  <c r="L531" i="52"/>
  <c r="K531" i="52"/>
  <c r="I531" i="52"/>
  <c r="G531" i="52"/>
  <c r="H531" i="52" s="1"/>
  <c r="D531" i="52"/>
  <c r="AA530" i="52"/>
  <c r="W530" i="52"/>
  <c r="T530" i="52"/>
  <c r="S530" i="52"/>
  <c r="Q530" i="52"/>
  <c r="P530" i="52"/>
  <c r="L530" i="52"/>
  <c r="K530" i="52"/>
  <c r="I530" i="52"/>
  <c r="G530" i="52"/>
  <c r="H530" i="52" s="1"/>
  <c r="D530" i="52"/>
  <c r="AA529" i="52"/>
  <c r="W529" i="52"/>
  <c r="T529" i="52"/>
  <c r="S529" i="52"/>
  <c r="Q529" i="52"/>
  <c r="P529" i="52"/>
  <c r="L529" i="52"/>
  <c r="AB529" i="52" s="1"/>
  <c r="K529" i="52"/>
  <c r="I529" i="52"/>
  <c r="G529" i="52"/>
  <c r="H529" i="52" s="1"/>
  <c r="D529" i="52"/>
  <c r="AA528" i="52"/>
  <c r="W528" i="52"/>
  <c r="T528" i="52"/>
  <c r="S528" i="52"/>
  <c r="Q528" i="52"/>
  <c r="P528" i="52"/>
  <c r="L528" i="52"/>
  <c r="K528" i="52"/>
  <c r="I528" i="52"/>
  <c r="G528" i="52"/>
  <c r="H528" i="52" s="1"/>
  <c r="D528" i="52"/>
  <c r="AA527" i="52"/>
  <c r="W527" i="52"/>
  <c r="T527" i="52"/>
  <c r="S527" i="52"/>
  <c r="Q527" i="52"/>
  <c r="P527" i="52"/>
  <c r="L527" i="52"/>
  <c r="K527" i="52"/>
  <c r="I527" i="52"/>
  <c r="G527" i="52"/>
  <c r="H527" i="52" s="1"/>
  <c r="D527" i="52"/>
  <c r="AA526" i="52"/>
  <c r="W526" i="52"/>
  <c r="T526" i="52"/>
  <c r="S526" i="52"/>
  <c r="Q526" i="52"/>
  <c r="P526" i="52"/>
  <c r="L526" i="52"/>
  <c r="K526" i="52"/>
  <c r="I526" i="52"/>
  <c r="G526" i="52"/>
  <c r="H526" i="52" s="1"/>
  <c r="D526" i="52"/>
  <c r="AA525" i="52"/>
  <c r="W525" i="52"/>
  <c r="T525" i="52"/>
  <c r="S525" i="52"/>
  <c r="Q525" i="52"/>
  <c r="P525" i="52"/>
  <c r="L525" i="52"/>
  <c r="X525" i="52" s="1"/>
  <c r="K525" i="52"/>
  <c r="I525" i="52"/>
  <c r="G525" i="52"/>
  <c r="H525" i="52" s="1"/>
  <c r="D525" i="52"/>
  <c r="AA524" i="52"/>
  <c r="W524" i="52"/>
  <c r="T524" i="52"/>
  <c r="S524" i="52"/>
  <c r="Q524" i="52"/>
  <c r="P524" i="52"/>
  <c r="L524" i="52"/>
  <c r="K524" i="52"/>
  <c r="I524" i="52"/>
  <c r="G524" i="52"/>
  <c r="H524" i="52" s="1"/>
  <c r="D524" i="52"/>
  <c r="AA523" i="52"/>
  <c r="W523" i="52"/>
  <c r="T523" i="52"/>
  <c r="S523" i="52"/>
  <c r="Q523" i="52"/>
  <c r="P523" i="52"/>
  <c r="L523" i="52"/>
  <c r="K523" i="52"/>
  <c r="I523" i="52"/>
  <c r="G523" i="52"/>
  <c r="H523" i="52" s="1"/>
  <c r="D523" i="52"/>
  <c r="AA522" i="52"/>
  <c r="W522" i="52"/>
  <c r="T522" i="52"/>
  <c r="S522" i="52"/>
  <c r="Q522" i="52"/>
  <c r="P522" i="52"/>
  <c r="L522" i="52"/>
  <c r="K522" i="52"/>
  <c r="I522" i="52"/>
  <c r="G522" i="52"/>
  <c r="H522" i="52" s="1"/>
  <c r="D522" i="52"/>
  <c r="AA521" i="52"/>
  <c r="W521" i="52"/>
  <c r="T521" i="52"/>
  <c r="S521" i="52"/>
  <c r="Q521" i="52"/>
  <c r="P521" i="52"/>
  <c r="L521" i="52"/>
  <c r="X521" i="52" s="1"/>
  <c r="K521" i="52"/>
  <c r="I521" i="52"/>
  <c r="G521" i="52"/>
  <c r="H521" i="52" s="1"/>
  <c r="D521" i="52"/>
  <c r="AA520" i="52"/>
  <c r="W520" i="52"/>
  <c r="T520" i="52"/>
  <c r="S520" i="52"/>
  <c r="Q520" i="52"/>
  <c r="P520" i="52"/>
  <c r="L520" i="52"/>
  <c r="K520" i="52"/>
  <c r="I520" i="52"/>
  <c r="G520" i="52"/>
  <c r="H520" i="52" s="1"/>
  <c r="D520" i="52"/>
  <c r="AA519" i="52"/>
  <c r="W519" i="52"/>
  <c r="T519" i="52"/>
  <c r="S519" i="52"/>
  <c r="Q519" i="52"/>
  <c r="P519" i="52"/>
  <c r="L519" i="52"/>
  <c r="K519" i="52"/>
  <c r="I519" i="52"/>
  <c r="G519" i="52"/>
  <c r="H519" i="52" s="1"/>
  <c r="D519" i="52"/>
  <c r="AA518" i="52"/>
  <c r="W518" i="52"/>
  <c r="T518" i="52"/>
  <c r="S518" i="52"/>
  <c r="Q518" i="52"/>
  <c r="P518" i="52"/>
  <c r="L518" i="52"/>
  <c r="K518" i="52"/>
  <c r="I518" i="52"/>
  <c r="G518" i="52"/>
  <c r="H518" i="52" s="1"/>
  <c r="D518" i="52"/>
  <c r="AA517" i="52"/>
  <c r="W517" i="52"/>
  <c r="T517" i="52"/>
  <c r="S517" i="52"/>
  <c r="Q517" i="52"/>
  <c r="P517" i="52"/>
  <c r="L517" i="52"/>
  <c r="X517" i="52" s="1"/>
  <c r="K517" i="52"/>
  <c r="I517" i="52"/>
  <c r="G517" i="52"/>
  <c r="H517" i="52" s="1"/>
  <c r="D517" i="52"/>
  <c r="AA516" i="52"/>
  <c r="W516" i="52"/>
  <c r="T516" i="52"/>
  <c r="S516" i="52"/>
  <c r="Q516" i="52"/>
  <c r="P516" i="52"/>
  <c r="L516" i="52"/>
  <c r="K516" i="52"/>
  <c r="I516" i="52"/>
  <c r="G516" i="52"/>
  <c r="H516" i="52" s="1"/>
  <c r="D516" i="52"/>
  <c r="AA515" i="52"/>
  <c r="W515" i="52"/>
  <c r="T515" i="52"/>
  <c r="S515" i="52"/>
  <c r="Q515" i="52"/>
  <c r="P515" i="52"/>
  <c r="L515" i="52"/>
  <c r="K515" i="52"/>
  <c r="I515" i="52"/>
  <c r="G515" i="52"/>
  <c r="H515" i="52" s="1"/>
  <c r="D515" i="52"/>
  <c r="AA514" i="52"/>
  <c r="W514" i="52"/>
  <c r="T514" i="52"/>
  <c r="S514" i="52"/>
  <c r="Q514" i="52"/>
  <c r="P514" i="52"/>
  <c r="L514" i="52"/>
  <c r="K514" i="52"/>
  <c r="I514" i="52"/>
  <c r="G514" i="52"/>
  <c r="H514" i="52" s="1"/>
  <c r="D514" i="52"/>
  <c r="AA513" i="52"/>
  <c r="W513" i="52"/>
  <c r="T513" i="52"/>
  <c r="S513" i="52"/>
  <c r="Q513" i="52"/>
  <c r="P513" i="52"/>
  <c r="L513" i="52"/>
  <c r="AB513" i="52" s="1"/>
  <c r="K513" i="52"/>
  <c r="I513" i="52"/>
  <c r="G513" i="52"/>
  <c r="H513" i="52" s="1"/>
  <c r="D513" i="52"/>
  <c r="AA512" i="52"/>
  <c r="W512" i="52"/>
  <c r="T512" i="52"/>
  <c r="S512" i="52"/>
  <c r="Q512" i="52"/>
  <c r="P512" i="52"/>
  <c r="L512" i="52"/>
  <c r="K512" i="52"/>
  <c r="I512" i="52"/>
  <c r="G512" i="52"/>
  <c r="H512" i="52" s="1"/>
  <c r="D512" i="52"/>
  <c r="AA511" i="52"/>
  <c r="W511" i="52"/>
  <c r="T511" i="52"/>
  <c r="S511" i="52"/>
  <c r="Q511" i="52"/>
  <c r="P511" i="52"/>
  <c r="L511" i="52"/>
  <c r="K511" i="52"/>
  <c r="I511" i="52"/>
  <c r="G511" i="52"/>
  <c r="H511" i="52" s="1"/>
  <c r="D511" i="52"/>
  <c r="AA510" i="52"/>
  <c r="W510" i="52"/>
  <c r="T510" i="52"/>
  <c r="S510" i="52"/>
  <c r="Q510" i="52"/>
  <c r="P510" i="52"/>
  <c r="L510" i="52"/>
  <c r="K510" i="52"/>
  <c r="I510" i="52"/>
  <c r="G510" i="52"/>
  <c r="H510" i="52" s="1"/>
  <c r="D510" i="52"/>
  <c r="AA509" i="52"/>
  <c r="W509" i="52"/>
  <c r="T509" i="52"/>
  <c r="S509" i="52"/>
  <c r="Q509" i="52"/>
  <c r="P509" i="52"/>
  <c r="L509" i="52"/>
  <c r="AB509" i="52" s="1"/>
  <c r="K509" i="52"/>
  <c r="I509" i="52"/>
  <c r="G509" i="52"/>
  <c r="H509" i="52" s="1"/>
  <c r="D509" i="52"/>
  <c r="AA508" i="52"/>
  <c r="W508" i="52"/>
  <c r="T508" i="52"/>
  <c r="S508" i="52"/>
  <c r="Q508" i="52"/>
  <c r="P508" i="52"/>
  <c r="L508" i="52"/>
  <c r="K508" i="52"/>
  <c r="I508" i="52"/>
  <c r="G508" i="52"/>
  <c r="H508" i="52" s="1"/>
  <c r="D508" i="52"/>
  <c r="AA507" i="52"/>
  <c r="W507" i="52"/>
  <c r="T507" i="52"/>
  <c r="S507" i="52"/>
  <c r="Q507" i="52"/>
  <c r="P507" i="52"/>
  <c r="L507" i="52"/>
  <c r="K507" i="52"/>
  <c r="I507" i="52"/>
  <c r="G507" i="52"/>
  <c r="H507" i="52" s="1"/>
  <c r="D507" i="52"/>
  <c r="AA506" i="52"/>
  <c r="W506" i="52"/>
  <c r="T506" i="52"/>
  <c r="S506" i="52"/>
  <c r="Q506" i="52"/>
  <c r="P506" i="52"/>
  <c r="L506" i="52"/>
  <c r="K506" i="52"/>
  <c r="I506" i="52"/>
  <c r="G506" i="52"/>
  <c r="H506" i="52" s="1"/>
  <c r="D506" i="52"/>
  <c r="AA505" i="52"/>
  <c r="W505" i="52"/>
  <c r="T505" i="52"/>
  <c r="S505" i="52"/>
  <c r="Q505" i="52"/>
  <c r="P505" i="52"/>
  <c r="L505" i="52"/>
  <c r="K505" i="52"/>
  <c r="I505" i="52"/>
  <c r="G505" i="52"/>
  <c r="H505" i="52" s="1"/>
  <c r="D505" i="52"/>
  <c r="AA504" i="52"/>
  <c r="W504" i="52"/>
  <c r="T504" i="52"/>
  <c r="S504" i="52"/>
  <c r="Q504" i="52"/>
  <c r="P504" i="52"/>
  <c r="L504" i="52"/>
  <c r="K504" i="52"/>
  <c r="I504" i="52"/>
  <c r="G504" i="52"/>
  <c r="H504" i="52" s="1"/>
  <c r="D504" i="52"/>
  <c r="AA503" i="52"/>
  <c r="W503" i="52"/>
  <c r="T503" i="52"/>
  <c r="S503" i="52"/>
  <c r="Q503" i="52"/>
  <c r="P503" i="52"/>
  <c r="L503" i="52"/>
  <c r="K503" i="52"/>
  <c r="I503" i="52"/>
  <c r="G503" i="52"/>
  <c r="H503" i="52" s="1"/>
  <c r="D503" i="52"/>
  <c r="AA502" i="52"/>
  <c r="W502" i="52"/>
  <c r="T502" i="52"/>
  <c r="S502" i="52"/>
  <c r="Q502" i="52"/>
  <c r="P502" i="52"/>
  <c r="L502" i="52"/>
  <c r="K502" i="52"/>
  <c r="I502" i="52"/>
  <c r="G502" i="52"/>
  <c r="H502" i="52" s="1"/>
  <c r="D502" i="52"/>
  <c r="AA501" i="52"/>
  <c r="W501" i="52"/>
  <c r="T501" i="52"/>
  <c r="S501" i="52"/>
  <c r="Q501" i="52"/>
  <c r="P501" i="52"/>
  <c r="L501" i="52"/>
  <c r="AB501" i="52" s="1"/>
  <c r="K501" i="52"/>
  <c r="I501" i="52"/>
  <c r="G501" i="52"/>
  <c r="H501" i="52" s="1"/>
  <c r="D501" i="52"/>
  <c r="AA500" i="52"/>
  <c r="W500" i="52"/>
  <c r="T500" i="52"/>
  <c r="S500" i="52"/>
  <c r="Q500" i="52"/>
  <c r="P500" i="52"/>
  <c r="L500" i="52"/>
  <c r="X500" i="52" s="1"/>
  <c r="K500" i="52"/>
  <c r="I500" i="52"/>
  <c r="G500" i="52"/>
  <c r="H500" i="52" s="1"/>
  <c r="D500" i="52"/>
  <c r="AA499" i="52"/>
  <c r="W499" i="52"/>
  <c r="T499" i="52"/>
  <c r="S499" i="52"/>
  <c r="Q499" i="52"/>
  <c r="P499" i="52"/>
  <c r="L499" i="52"/>
  <c r="X499" i="52" s="1"/>
  <c r="K499" i="52"/>
  <c r="I499" i="52"/>
  <c r="G499" i="52"/>
  <c r="H499" i="52" s="1"/>
  <c r="D499" i="52"/>
  <c r="AA498" i="52"/>
  <c r="W498" i="52"/>
  <c r="T498" i="52"/>
  <c r="S498" i="52"/>
  <c r="Q498" i="52"/>
  <c r="P498" i="52"/>
  <c r="L498" i="52"/>
  <c r="X498" i="52" s="1"/>
  <c r="K498" i="52"/>
  <c r="I498" i="52"/>
  <c r="G498" i="52"/>
  <c r="H498" i="52" s="1"/>
  <c r="D498" i="52"/>
  <c r="AA497" i="52"/>
  <c r="W497" i="52"/>
  <c r="T497" i="52"/>
  <c r="S497" i="52"/>
  <c r="Q497" i="52"/>
  <c r="P497" i="52"/>
  <c r="L497" i="52"/>
  <c r="K497" i="52"/>
  <c r="I497" i="52"/>
  <c r="G497" i="52"/>
  <c r="H497" i="52" s="1"/>
  <c r="D497" i="52"/>
  <c r="AA496" i="52"/>
  <c r="W496" i="52"/>
  <c r="T496" i="52"/>
  <c r="S496" i="52"/>
  <c r="Q496" i="52"/>
  <c r="P496" i="52"/>
  <c r="L496" i="52"/>
  <c r="X496" i="52" s="1"/>
  <c r="K496" i="52"/>
  <c r="I496" i="52"/>
  <c r="G496" i="52"/>
  <c r="H496" i="52" s="1"/>
  <c r="D496" i="52"/>
  <c r="AA495" i="52"/>
  <c r="W495" i="52"/>
  <c r="T495" i="52"/>
  <c r="S495" i="52"/>
  <c r="Q495" i="52"/>
  <c r="P495" i="52"/>
  <c r="L495" i="52"/>
  <c r="X495" i="52" s="1"/>
  <c r="K495" i="52"/>
  <c r="I495" i="52"/>
  <c r="G495" i="52"/>
  <c r="H495" i="52" s="1"/>
  <c r="D495" i="52"/>
  <c r="AA494" i="52"/>
  <c r="W494" i="52"/>
  <c r="T494" i="52"/>
  <c r="S494" i="52"/>
  <c r="Q494" i="52"/>
  <c r="P494" i="52"/>
  <c r="L494" i="52"/>
  <c r="X494" i="52" s="1"/>
  <c r="K494" i="52"/>
  <c r="I494" i="52"/>
  <c r="G494" i="52"/>
  <c r="H494" i="52" s="1"/>
  <c r="D494" i="52"/>
  <c r="AA493" i="52"/>
  <c r="W493" i="52"/>
  <c r="T493" i="52"/>
  <c r="S493" i="52"/>
  <c r="Q493" i="52"/>
  <c r="P493" i="52"/>
  <c r="L493" i="52"/>
  <c r="K493" i="52"/>
  <c r="I493" i="52"/>
  <c r="G493" i="52"/>
  <c r="H493" i="52" s="1"/>
  <c r="D493" i="52"/>
  <c r="AA492" i="52"/>
  <c r="W492" i="52"/>
  <c r="T492" i="52"/>
  <c r="S492" i="52"/>
  <c r="Q492" i="52"/>
  <c r="P492" i="52"/>
  <c r="L492" i="52"/>
  <c r="X492" i="52" s="1"/>
  <c r="K492" i="52"/>
  <c r="I492" i="52"/>
  <c r="G492" i="52"/>
  <c r="H492" i="52" s="1"/>
  <c r="D492" i="52"/>
  <c r="AA491" i="52"/>
  <c r="W491" i="52"/>
  <c r="T491" i="52"/>
  <c r="S491" i="52"/>
  <c r="Q491" i="52"/>
  <c r="P491" i="52"/>
  <c r="L491" i="52"/>
  <c r="K491" i="52"/>
  <c r="I491" i="52"/>
  <c r="G491" i="52"/>
  <c r="H491" i="52" s="1"/>
  <c r="D491" i="52"/>
  <c r="AA490" i="52"/>
  <c r="W490" i="52"/>
  <c r="T490" i="52"/>
  <c r="S490" i="52"/>
  <c r="Q490" i="52"/>
  <c r="P490" i="52"/>
  <c r="L490" i="52"/>
  <c r="X490" i="52" s="1"/>
  <c r="K490" i="52"/>
  <c r="I490" i="52"/>
  <c r="G490" i="52"/>
  <c r="H490" i="52" s="1"/>
  <c r="D490" i="52"/>
  <c r="AA489" i="52"/>
  <c r="W489" i="52"/>
  <c r="T489" i="52"/>
  <c r="S489" i="52"/>
  <c r="Q489" i="52"/>
  <c r="P489" i="52"/>
  <c r="L489" i="52"/>
  <c r="K489" i="52"/>
  <c r="I489" i="52"/>
  <c r="G489" i="52"/>
  <c r="H489" i="52" s="1"/>
  <c r="D489" i="52"/>
  <c r="AA488" i="52"/>
  <c r="W488" i="52"/>
  <c r="T488" i="52"/>
  <c r="S488" i="52"/>
  <c r="Q488" i="52"/>
  <c r="P488" i="52"/>
  <c r="L488" i="52"/>
  <c r="X488" i="52" s="1"/>
  <c r="K488" i="52"/>
  <c r="I488" i="52"/>
  <c r="G488" i="52"/>
  <c r="H488" i="52" s="1"/>
  <c r="D488" i="52"/>
  <c r="AA487" i="52"/>
  <c r="W487" i="52"/>
  <c r="T487" i="52"/>
  <c r="S487" i="52"/>
  <c r="Q487" i="52"/>
  <c r="P487" i="52"/>
  <c r="L487" i="52"/>
  <c r="K487" i="52"/>
  <c r="I487" i="52"/>
  <c r="G487" i="52"/>
  <c r="H487" i="52" s="1"/>
  <c r="D487" i="52"/>
  <c r="AA486" i="52"/>
  <c r="W486" i="52"/>
  <c r="T486" i="52"/>
  <c r="S486" i="52"/>
  <c r="Q486" i="52"/>
  <c r="P486" i="52"/>
  <c r="L486" i="52"/>
  <c r="X486" i="52" s="1"/>
  <c r="K486" i="52"/>
  <c r="I486" i="52"/>
  <c r="G486" i="52"/>
  <c r="H486" i="52" s="1"/>
  <c r="D486" i="52"/>
  <c r="AA485" i="52"/>
  <c r="W485" i="52"/>
  <c r="T485" i="52"/>
  <c r="S485" i="52"/>
  <c r="Q485" i="52"/>
  <c r="P485" i="52"/>
  <c r="L485" i="52"/>
  <c r="K485" i="52"/>
  <c r="I485" i="52"/>
  <c r="G485" i="52"/>
  <c r="H485" i="52" s="1"/>
  <c r="D485" i="52"/>
  <c r="AA484" i="52"/>
  <c r="W484" i="52"/>
  <c r="T484" i="52"/>
  <c r="S484" i="52"/>
  <c r="Q484" i="52"/>
  <c r="P484" i="52"/>
  <c r="L484" i="52"/>
  <c r="X484" i="52" s="1"/>
  <c r="K484" i="52"/>
  <c r="I484" i="52"/>
  <c r="G484" i="52"/>
  <c r="H484" i="52" s="1"/>
  <c r="D484" i="52"/>
  <c r="AA483" i="52"/>
  <c r="W483" i="52"/>
  <c r="T483" i="52"/>
  <c r="S483" i="52"/>
  <c r="Q483" i="52"/>
  <c r="P483" i="52"/>
  <c r="L483" i="52"/>
  <c r="K483" i="52"/>
  <c r="I483" i="52"/>
  <c r="G483" i="52"/>
  <c r="H483" i="52" s="1"/>
  <c r="D483" i="52"/>
  <c r="AA482" i="52"/>
  <c r="W482" i="52"/>
  <c r="T482" i="52"/>
  <c r="S482" i="52"/>
  <c r="Q482" i="52"/>
  <c r="P482" i="52"/>
  <c r="L482" i="52"/>
  <c r="X482" i="52" s="1"/>
  <c r="K482" i="52"/>
  <c r="I482" i="52"/>
  <c r="G482" i="52"/>
  <c r="H482" i="52" s="1"/>
  <c r="D482" i="52"/>
  <c r="AA481" i="52"/>
  <c r="W481" i="52"/>
  <c r="T481" i="52"/>
  <c r="S481" i="52"/>
  <c r="Q481" i="52"/>
  <c r="P481" i="52"/>
  <c r="L481" i="52"/>
  <c r="K481" i="52"/>
  <c r="I481" i="52"/>
  <c r="G481" i="52"/>
  <c r="H481" i="52" s="1"/>
  <c r="D481" i="52"/>
  <c r="AA480" i="52"/>
  <c r="W480" i="52"/>
  <c r="T480" i="52"/>
  <c r="S480" i="52"/>
  <c r="Q480" i="52"/>
  <c r="P480" i="52"/>
  <c r="L480" i="52"/>
  <c r="X480" i="52" s="1"/>
  <c r="K480" i="52"/>
  <c r="I480" i="52"/>
  <c r="G480" i="52"/>
  <c r="H480" i="52" s="1"/>
  <c r="D480" i="52"/>
  <c r="AA479" i="52"/>
  <c r="W479" i="52"/>
  <c r="T479" i="52"/>
  <c r="S479" i="52"/>
  <c r="Q479" i="52"/>
  <c r="P479" i="52"/>
  <c r="L479" i="52"/>
  <c r="K479" i="52"/>
  <c r="I479" i="52"/>
  <c r="G479" i="52"/>
  <c r="H479" i="52" s="1"/>
  <c r="D479" i="52"/>
  <c r="AA478" i="52"/>
  <c r="W478" i="52"/>
  <c r="T478" i="52"/>
  <c r="S478" i="52"/>
  <c r="Q478" i="52"/>
  <c r="P478" i="52"/>
  <c r="L478" i="52"/>
  <c r="X478" i="52" s="1"/>
  <c r="K478" i="52"/>
  <c r="I478" i="52"/>
  <c r="G478" i="52"/>
  <c r="H478" i="52" s="1"/>
  <c r="D478" i="52"/>
  <c r="AA477" i="52"/>
  <c r="W477" i="52"/>
  <c r="T477" i="52"/>
  <c r="S477" i="52"/>
  <c r="Q477" i="52"/>
  <c r="P477" i="52"/>
  <c r="L477" i="52"/>
  <c r="K477" i="52"/>
  <c r="I477" i="52"/>
  <c r="G477" i="52"/>
  <c r="H477" i="52" s="1"/>
  <c r="D477" i="52"/>
  <c r="AA476" i="52"/>
  <c r="W476" i="52"/>
  <c r="T476" i="52"/>
  <c r="S476" i="52"/>
  <c r="Q476" i="52"/>
  <c r="P476" i="52"/>
  <c r="L476" i="52"/>
  <c r="X476" i="52" s="1"/>
  <c r="K476" i="52"/>
  <c r="I476" i="52"/>
  <c r="G476" i="52"/>
  <c r="H476" i="52" s="1"/>
  <c r="D476" i="52"/>
  <c r="AA475" i="52"/>
  <c r="W475" i="52"/>
  <c r="T475" i="52"/>
  <c r="S475" i="52"/>
  <c r="Q475" i="52"/>
  <c r="P475" i="52"/>
  <c r="L475" i="52"/>
  <c r="K475" i="52"/>
  <c r="I475" i="52"/>
  <c r="G475" i="52"/>
  <c r="H475" i="52" s="1"/>
  <c r="D475" i="52"/>
  <c r="AA474" i="52"/>
  <c r="W474" i="52"/>
  <c r="T474" i="52"/>
  <c r="S474" i="52"/>
  <c r="Q474" i="52"/>
  <c r="P474" i="52"/>
  <c r="L474" i="52"/>
  <c r="X474" i="52" s="1"/>
  <c r="K474" i="52"/>
  <c r="I474" i="52"/>
  <c r="G474" i="52"/>
  <c r="H474" i="52" s="1"/>
  <c r="D474" i="52"/>
  <c r="AA473" i="52"/>
  <c r="W473" i="52"/>
  <c r="T473" i="52"/>
  <c r="S473" i="52"/>
  <c r="Q473" i="52"/>
  <c r="P473" i="52"/>
  <c r="L473" i="52"/>
  <c r="K473" i="52"/>
  <c r="I473" i="52"/>
  <c r="G473" i="52"/>
  <c r="H473" i="52" s="1"/>
  <c r="D473" i="52"/>
  <c r="AA472" i="52"/>
  <c r="W472" i="52"/>
  <c r="T472" i="52"/>
  <c r="S472" i="52"/>
  <c r="Q472" i="52"/>
  <c r="P472" i="52"/>
  <c r="L472" i="52"/>
  <c r="X472" i="52" s="1"/>
  <c r="K472" i="52"/>
  <c r="I472" i="52"/>
  <c r="G472" i="52"/>
  <c r="H472" i="52" s="1"/>
  <c r="D472" i="52"/>
  <c r="AA471" i="52"/>
  <c r="W471" i="52"/>
  <c r="T471" i="52"/>
  <c r="S471" i="52"/>
  <c r="Q471" i="52"/>
  <c r="P471" i="52"/>
  <c r="L471" i="52"/>
  <c r="K471" i="52"/>
  <c r="I471" i="52"/>
  <c r="G471" i="52"/>
  <c r="H471" i="52" s="1"/>
  <c r="D471" i="52"/>
  <c r="AA470" i="52"/>
  <c r="W470" i="52"/>
  <c r="T470" i="52"/>
  <c r="S470" i="52"/>
  <c r="Q470" i="52"/>
  <c r="P470" i="52"/>
  <c r="L470" i="52"/>
  <c r="X470" i="52" s="1"/>
  <c r="K470" i="52"/>
  <c r="I470" i="52"/>
  <c r="G470" i="52"/>
  <c r="H470" i="52" s="1"/>
  <c r="D470" i="52"/>
  <c r="AA469" i="52"/>
  <c r="W469" i="52"/>
  <c r="T469" i="52"/>
  <c r="S469" i="52"/>
  <c r="Q469" i="52"/>
  <c r="P469" i="52"/>
  <c r="L469" i="52"/>
  <c r="K469" i="52"/>
  <c r="I469" i="52"/>
  <c r="G469" i="52"/>
  <c r="H469" i="52" s="1"/>
  <c r="D469" i="52"/>
  <c r="AA468" i="52"/>
  <c r="W468" i="52"/>
  <c r="T468" i="52"/>
  <c r="S468" i="52"/>
  <c r="Q468" i="52"/>
  <c r="P468" i="52"/>
  <c r="L468" i="52"/>
  <c r="X468" i="52" s="1"/>
  <c r="K468" i="52"/>
  <c r="I468" i="52"/>
  <c r="G468" i="52"/>
  <c r="H468" i="52" s="1"/>
  <c r="D468" i="52"/>
  <c r="AA467" i="52"/>
  <c r="W467" i="52"/>
  <c r="T467" i="52"/>
  <c r="S467" i="52"/>
  <c r="Q467" i="52"/>
  <c r="P467" i="52"/>
  <c r="L467" i="52"/>
  <c r="K467" i="52"/>
  <c r="I467" i="52"/>
  <c r="G467" i="52"/>
  <c r="H467" i="52" s="1"/>
  <c r="D467" i="52"/>
  <c r="AA466" i="52"/>
  <c r="W466" i="52"/>
  <c r="T466" i="52"/>
  <c r="S466" i="52"/>
  <c r="Q466" i="52"/>
  <c r="P466" i="52"/>
  <c r="L466" i="52"/>
  <c r="X466" i="52" s="1"/>
  <c r="K466" i="52"/>
  <c r="I466" i="52"/>
  <c r="G466" i="52"/>
  <c r="H466" i="52" s="1"/>
  <c r="D466" i="52"/>
  <c r="AA465" i="52"/>
  <c r="W465" i="52"/>
  <c r="T465" i="52"/>
  <c r="S465" i="52"/>
  <c r="Q465" i="52"/>
  <c r="P465" i="52"/>
  <c r="L465" i="52"/>
  <c r="K465" i="52"/>
  <c r="I465" i="52"/>
  <c r="G465" i="52"/>
  <c r="H465" i="52" s="1"/>
  <c r="D465" i="52"/>
  <c r="AA464" i="52"/>
  <c r="W464" i="52"/>
  <c r="T464" i="52"/>
  <c r="S464" i="52"/>
  <c r="Q464" i="52"/>
  <c r="P464" i="52"/>
  <c r="L464" i="52"/>
  <c r="X464" i="52" s="1"/>
  <c r="K464" i="52"/>
  <c r="I464" i="52"/>
  <c r="G464" i="52"/>
  <c r="H464" i="52" s="1"/>
  <c r="D464" i="52"/>
  <c r="AA463" i="52"/>
  <c r="W463" i="52"/>
  <c r="T463" i="52"/>
  <c r="S463" i="52"/>
  <c r="Q463" i="52"/>
  <c r="P463" i="52"/>
  <c r="L463" i="52"/>
  <c r="K463" i="52"/>
  <c r="I463" i="52"/>
  <c r="G463" i="52"/>
  <c r="H463" i="52" s="1"/>
  <c r="D463" i="52"/>
  <c r="AA462" i="52"/>
  <c r="W462" i="52"/>
  <c r="T462" i="52"/>
  <c r="S462" i="52"/>
  <c r="Q462" i="52"/>
  <c r="P462" i="52"/>
  <c r="L462" i="52"/>
  <c r="K462" i="52"/>
  <c r="I462" i="52"/>
  <c r="G462" i="52"/>
  <c r="H462" i="52" s="1"/>
  <c r="D462" i="52"/>
  <c r="AA461" i="52"/>
  <c r="W461" i="52"/>
  <c r="T461" i="52"/>
  <c r="S461" i="52"/>
  <c r="Q461" i="52"/>
  <c r="P461" i="52"/>
  <c r="L461" i="52"/>
  <c r="K461" i="52"/>
  <c r="I461" i="52"/>
  <c r="G461" i="52"/>
  <c r="H461" i="52" s="1"/>
  <c r="D461" i="52"/>
  <c r="AA460" i="52"/>
  <c r="W460" i="52"/>
  <c r="T460" i="52"/>
  <c r="S460" i="52"/>
  <c r="Q460" i="52"/>
  <c r="P460" i="52"/>
  <c r="L460" i="52"/>
  <c r="K460" i="52"/>
  <c r="I460" i="52"/>
  <c r="G460" i="52"/>
  <c r="H460" i="52" s="1"/>
  <c r="D460" i="52"/>
  <c r="AA459" i="52"/>
  <c r="W459" i="52"/>
  <c r="T459" i="52"/>
  <c r="S459" i="52"/>
  <c r="Q459" i="52"/>
  <c r="P459" i="52"/>
  <c r="L459" i="52"/>
  <c r="X459" i="52" s="1"/>
  <c r="K459" i="52"/>
  <c r="I459" i="52"/>
  <c r="G459" i="52"/>
  <c r="H459" i="52" s="1"/>
  <c r="D459" i="52"/>
  <c r="AA458" i="52"/>
  <c r="W458" i="52"/>
  <c r="T458" i="52"/>
  <c r="S458" i="52"/>
  <c r="Q458" i="52"/>
  <c r="P458" i="52"/>
  <c r="L458" i="52"/>
  <c r="K458" i="52"/>
  <c r="I458" i="52"/>
  <c r="G458" i="52"/>
  <c r="H458" i="52" s="1"/>
  <c r="D458" i="52"/>
  <c r="AA457" i="52"/>
  <c r="W457" i="52"/>
  <c r="T457" i="52"/>
  <c r="S457" i="52"/>
  <c r="Q457" i="52"/>
  <c r="P457" i="52"/>
  <c r="L457" i="52"/>
  <c r="X457" i="52" s="1"/>
  <c r="K457" i="52"/>
  <c r="I457" i="52"/>
  <c r="G457" i="52"/>
  <c r="H457" i="52" s="1"/>
  <c r="D457" i="52"/>
  <c r="AA456" i="52"/>
  <c r="W456" i="52"/>
  <c r="T456" i="52"/>
  <c r="S456" i="52"/>
  <c r="Q456" i="52"/>
  <c r="P456" i="52"/>
  <c r="L456" i="52"/>
  <c r="AB456" i="52" s="1"/>
  <c r="K456" i="52"/>
  <c r="I456" i="52"/>
  <c r="G456" i="52"/>
  <c r="H456" i="52" s="1"/>
  <c r="D456" i="52"/>
  <c r="AA455" i="52"/>
  <c r="W455" i="52"/>
  <c r="T455" i="52"/>
  <c r="S455" i="52"/>
  <c r="Q455" i="52"/>
  <c r="P455" i="52"/>
  <c r="L455" i="52"/>
  <c r="AB455" i="52" s="1"/>
  <c r="K455" i="52"/>
  <c r="I455" i="52"/>
  <c r="G455" i="52"/>
  <c r="H455" i="52" s="1"/>
  <c r="D455" i="52"/>
  <c r="AA454" i="52"/>
  <c r="W454" i="52"/>
  <c r="T454" i="52"/>
  <c r="S454" i="52"/>
  <c r="Q454" i="52"/>
  <c r="P454" i="52"/>
  <c r="L454" i="52"/>
  <c r="AB454" i="52" s="1"/>
  <c r="K454" i="52"/>
  <c r="I454" i="52"/>
  <c r="G454" i="52"/>
  <c r="H454" i="52" s="1"/>
  <c r="D454" i="52"/>
  <c r="AA453" i="52"/>
  <c r="W453" i="52"/>
  <c r="T453" i="52"/>
  <c r="S453" i="52"/>
  <c r="Q453" i="52"/>
  <c r="P453" i="52"/>
  <c r="L453" i="52"/>
  <c r="X453" i="52" s="1"/>
  <c r="K453" i="52"/>
  <c r="I453" i="52"/>
  <c r="G453" i="52"/>
  <c r="H453" i="52" s="1"/>
  <c r="D453" i="52"/>
  <c r="AA452" i="52"/>
  <c r="W452" i="52"/>
  <c r="T452" i="52"/>
  <c r="S452" i="52"/>
  <c r="Q452" i="52"/>
  <c r="P452" i="52"/>
  <c r="L452" i="52"/>
  <c r="AB452" i="52" s="1"/>
  <c r="K452" i="52"/>
  <c r="I452" i="52"/>
  <c r="G452" i="52"/>
  <c r="H452" i="52" s="1"/>
  <c r="D452" i="52"/>
  <c r="AA451" i="52"/>
  <c r="W451" i="52"/>
  <c r="T451" i="52"/>
  <c r="S451" i="52"/>
  <c r="Q451" i="52"/>
  <c r="P451" i="52"/>
  <c r="L451" i="52"/>
  <c r="X451" i="52" s="1"/>
  <c r="K451" i="52"/>
  <c r="I451" i="52"/>
  <c r="G451" i="52"/>
  <c r="H451" i="52" s="1"/>
  <c r="D451" i="52"/>
  <c r="AA450" i="52"/>
  <c r="W450" i="52"/>
  <c r="T450" i="52"/>
  <c r="S450" i="52"/>
  <c r="Q450" i="52"/>
  <c r="P450" i="52"/>
  <c r="L450" i="52"/>
  <c r="X450" i="52" s="1"/>
  <c r="K450" i="52"/>
  <c r="I450" i="52"/>
  <c r="G450" i="52"/>
  <c r="H450" i="52" s="1"/>
  <c r="D450" i="52"/>
  <c r="AA449" i="52"/>
  <c r="W449" i="52"/>
  <c r="T449" i="52"/>
  <c r="S449" i="52"/>
  <c r="Q449" i="52"/>
  <c r="P449" i="52"/>
  <c r="L449" i="52"/>
  <c r="K449" i="52"/>
  <c r="I449" i="52"/>
  <c r="G449" i="52"/>
  <c r="H449" i="52" s="1"/>
  <c r="D449" i="52"/>
  <c r="AA448" i="52"/>
  <c r="W448" i="52"/>
  <c r="T448" i="52"/>
  <c r="S448" i="52"/>
  <c r="Q448" i="52"/>
  <c r="P448" i="52"/>
  <c r="L448" i="52"/>
  <c r="K448" i="52"/>
  <c r="I448" i="52"/>
  <c r="G448" i="52"/>
  <c r="H448" i="52" s="1"/>
  <c r="D448" i="52"/>
  <c r="AA447" i="52"/>
  <c r="W447" i="52"/>
  <c r="T447" i="52"/>
  <c r="S447" i="52"/>
  <c r="Q447" i="52"/>
  <c r="P447" i="52"/>
  <c r="L447" i="52"/>
  <c r="AB447" i="52" s="1"/>
  <c r="K447" i="52"/>
  <c r="I447" i="52"/>
  <c r="G447" i="52"/>
  <c r="H447" i="52" s="1"/>
  <c r="D447" i="52"/>
  <c r="AA446" i="52"/>
  <c r="W446" i="52"/>
  <c r="T446" i="52"/>
  <c r="S446" i="52"/>
  <c r="Q446" i="52"/>
  <c r="P446" i="52"/>
  <c r="L446" i="52"/>
  <c r="AB446" i="52" s="1"/>
  <c r="K446" i="52"/>
  <c r="I446" i="52"/>
  <c r="G446" i="52"/>
  <c r="H446" i="52" s="1"/>
  <c r="D446" i="52"/>
  <c r="AA445" i="52"/>
  <c r="W445" i="52"/>
  <c r="T445" i="52"/>
  <c r="S445" i="52"/>
  <c r="Q445" i="52"/>
  <c r="P445" i="52"/>
  <c r="L445" i="52"/>
  <c r="AB445" i="52" s="1"/>
  <c r="K445" i="52"/>
  <c r="I445" i="52"/>
  <c r="G445" i="52"/>
  <c r="H445" i="52" s="1"/>
  <c r="D445" i="52"/>
  <c r="AA444" i="52"/>
  <c r="W444" i="52"/>
  <c r="T444" i="52"/>
  <c r="S444" i="52"/>
  <c r="Q444" i="52"/>
  <c r="P444" i="52"/>
  <c r="L444" i="52"/>
  <c r="AB444" i="52" s="1"/>
  <c r="K444" i="52"/>
  <c r="I444" i="52"/>
  <c r="G444" i="52"/>
  <c r="H444" i="52" s="1"/>
  <c r="D444" i="52"/>
  <c r="AA443" i="52"/>
  <c r="W443" i="52"/>
  <c r="T443" i="52"/>
  <c r="S443" i="52"/>
  <c r="Q443" i="52"/>
  <c r="P443" i="52"/>
  <c r="L443" i="52"/>
  <c r="X443" i="52" s="1"/>
  <c r="K443" i="52"/>
  <c r="I443" i="52"/>
  <c r="G443" i="52"/>
  <c r="H443" i="52" s="1"/>
  <c r="D443" i="52"/>
  <c r="AA442" i="52"/>
  <c r="W442" i="52"/>
  <c r="T442" i="52"/>
  <c r="S442" i="52"/>
  <c r="Q442" i="52"/>
  <c r="P442" i="52"/>
  <c r="L442" i="52"/>
  <c r="K442" i="52"/>
  <c r="I442" i="52"/>
  <c r="G442" i="52"/>
  <c r="H442" i="52" s="1"/>
  <c r="D442" i="52"/>
  <c r="AA441" i="52"/>
  <c r="W441" i="52"/>
  <c r="T441" i="52"/>
  <c r="S441" i="52"/>
  <c r="Q441" i="52"/>
  <c r="P441" i="52"/>
  <c r="L441" i="52"/>
  <c r="K441" i="52"/>
  <c r="I441" i="52"/>
  <c r="G441" i="52"/>
  <c r="H441" i="52" s="1"/>
  <c r="D441" i="52"/>
  <c r="AA440" i="52"/>
  <c r="W440" i="52"/>
  <c r="T440" i="52"/>
  <c r="S440" i="52"/>
  <c r="Q440" i="52"/>
  <c r="P440" i="52"/>
  <c r="L440" i="52"/>
  <c r="AB440" i="52" s="1"/>
  <c r="K440" i="52"/>
  <c r="I440" i="52"/>
  <c r="G440" i="52"/>
  <c r="H440" i="52" s="1"/>
  <c r="D440" i="52"/>
  <c r="AA439" i="52"/>
  <c r="W439" i="52"/>
  <c r="T439" i="52"/>
  <c r="S439" i="52"/>
  <c r="Q439" i="52"/>
  <c r="P439" i="52"/>
  <c r="L439" i="52"/>
  <c r="AB439" i="52" s="1"/>
  <c r="K439" i="52"/>
  <c r="I439" i="52"/>
  <c r="G439" i="52"/>
  <c r="H439" i="52" s="1"/>
  <c r="D439" i="52"/>
  <c r="AA438" i="52"/>
  <c r="W438" i="52"/>
  <c r="T438" i="52"/>
  <c r="S438" i="52"/>
  <c r="Q438" i="52"/>
  <c r="P438" i="52"/>
  <c r="L438" i="52"/>
  <c r="AB438" i="52" s="1"/>
  <c r="K438" i="52"/>
  <c r="I438" i="52"/>
  <c r="G438" i="52"/>
  <c r="H438" i="52" s="1"/>
  <c r="D438" i="52"/>
  <c r="AA437" i="52"/>
  <c r="W437" i="52"/>
  <c r="T437" i="52"/>
  <c r="S437" i="52"/>
  <c r="Q437" i="52"/>
  <c r="P437" i="52"/>
  <c r="L437" i="52"/>
  <c r="AB437" i="52" s="1"/>
  <c r="K437" i="52"/>
  <c r="I437" i="52"/>
  <c r="G437" i="52"/>
  <c r="H437" i="52" s="1"/>
  <c r="D437" i="52"/>
  <c r="AA436" i="52"/>
  <c r="W436" i="52"/>
  <c r="T436" i="52"/>
  <c r="S436" i="52"/>
  <c r="Q436" i="52"/>
  <c r="P436" i="52"/>
  <c r="L436" i="52"/>
  <c r="AB436" i="52" s="1"/>
  <c r="K436" i="52"/>
  <c r="I436" i="52"/>
  <c r="G436" i="52"/>
  <c r="H436" i="52" s="1"/>
  <c r="D436" i="52"/>
  <c r="AA435" i="52"/>
  <c r="W435" i="52"/>
  <c r="T435" i="52"/>
  <c r="S435" i="52"/>
  <c r="Q435" i="52"/>
  <c r="P435" i="52"/>
  <c r="L435" i="52"/>
  <c r="X435" i="52" s="1"/>
  <c r="K435" i="52"/>
  <c r="I435" i="52"/>
  <c r="G435" i="52"/>
  <c r="H435" i="52" s="1"/>
  <c r="D435" i="52"/>
  <c r="AA434" i="52"/>
  <c r="W434" i="52"/>
  <c r="T434" i="52"/>
  <c r="S434" i="52"/>
  <c r="Q434" i="52"/>
  <c r="P434" i="52"/>
  <c r="L434" i="52"/>
  <c r="AB434" i="52" s="1"/>
  <c r="K434" i="52"/>
  <c r="I434" i="52"/>
  <c r="G434" i="52"/>
  <c r="H434" i="52" s="1"/>
  <c r="D434" i="52"/>
  <c r="AA433" i="52"/>
  <c r="W433" i="52"/>
  <c r="T433" i="52"/>
  <c r="S433" i="52"/>
  <c r="Q433" i="52"/>
  <c r="P433" i="52"/>
  <c r="L433" i="52"/>
  <c r="K433" i="52"/>
  <c r="I433" i="52"/>
  <c r="G433" i="52"/>
  <c r="H433" i="52" s="1"/>
  <c r="D433" i="52"/>
  <c r="AA432" i="52"/>
  <c r="W432" i="52"/>
  <c r="T432" i="52"/>
  <c r="S432" i="52"/>
  <c r="Q432" i="52"/>
  <c r="P432" i="52"/>
  <c r="L432" i="52"/>
  <c r="K432" i="52"/>
  <c r="I432" i="52"/>
  <c r="G432" i="52"/>
  <c r="H432" i="52" s="1"/>
  <c r="D432" i="52"/>
  <c r="AA431" i="52"/>
  <c r="W431" i="52"/>
  <c r="T431" i="52"/>
  <c r="S431" i="52"/>
  <c r="Q431" i="52"/>
  <c r="P431" i="52"/>
  <c r="L431" i="52"/>
  <c r="AB431" i="52" s="1"/>
  <c r="K431" i="52"/>
  <c r="I431" i="52"/>
  <c r="G431" i="52"/>
  <c r="H431" i="52" s="1"/>
  <c r="D431" i="52"/>
  <c r="AA430" i="52"/>
  <c r="W430" i="52"/>
  <c r="T430" i="52"/>
  <c r="S430" i="52"/>
  <c r="Q430" i="52"/>
  <c r="P430" i="52"/>
  <c r="L430" i="52"/>
  <c r="AB430" i="52" s="1"/>
  <c r="K430" i="52"/>
  <c r="I430" i="52"/>
  <c r="G430" i="52"/>
  <c r="H430" i="52" s="1"/>
  <c r="D430" i="52"/>
  <c r="AA429" i="52"/>
  <c r="W429" i="52"/>
  <c r="T429" i="52"/>
  <c r="S429" i="52"/>
  <c r="Q429" i="52"/>
  <c r="P429" i="52"/>
  <c r="L429" i="52"/>
  <c r="X429" i="52" s="1"/>
  <c r="K429" i="52"/>
  <c r="I429" i="52"/>
  <c r="G429" i="52"/>
  <c r="H429" i="52" s="1"/>
  <c r="D429" i="52"/>
  <c r="AA428" i="52"/>
  <c r="W428" i="52"/>
  <c r="T428" i="52"/>
  <c r="S428" i="52"/>
  <c r="Q428" i="52"/>
  <c r="P428" i="52"/>
  <c r="L428" i="52"/>
  <c r="AB428" i="52" s="1"/>
  <c r="K428" i="52"/>
  <c r="I428" i="52"/>
  <c r="G428" i="52"/>
  <c r="H428" i="52" s="1"/>
  <c r="D428" i="52"/>
  <c r="AA427" i="52"/>
  <c r="W427" i="52"/>
  <c r="T427" i="52"/>
  <c r="S427" i="52"/>
  <c r="Q427" i="52"/>
  <c r="P427" i="52"/>
  <c r="L427" i="52"/>
  <c r="AB427" i="52" s="1"/>
  <c r="K427" i="52"/>
  <c r="I427" i="52"/>
  <c r="G427" i="52"/>
  <c r="H427" i="52" s="1"/>
  <c r="D427" i="52"/>
  <c r="AA426" i="52"/>
  <c r="W426" i="52"/>
  <c r="T426" i="52"/>
  <c r="S426" i="52"/>
  <c r="Q426" i="52"/>
  <c r="P426" i="52"/>
  <c r="L426" i="52"/>
  <c r="K426" i="52"/>
  <c r="I426" i="52"/>
  <c r="G426" i="52"/>
  <c r="H426" i="52" s="1"/>
  <c r="D426" i="52"/>
  <c r="AA425" i="52"/>
  <c r="W425" i="52"/>
  <c r="T425" i="52"/>
  <c r="S425" i="52"/>
  <c r="Q425" i="52"/>
  <c r="P425" i="52"/>
  <c r="L425" i="52"/>
  <c r="AB425" i="52" s="1"/>
  <c r="K425" i="52"/>
  <c r="I425" i="52"/>
  <c r="G425" i="52"/>
  <c r="H425" i="52" s="1"/>
  <c r="D425" i="52"/>
  <c r="AA424" i="52"/>
  <c r="W424" i="52"/>
  <c r="T424" i="52"/>
  <c r="S424" i="52"/>
  <c r="Q424" i="52"/>
  <c r="P424" i="52"/>
  <c r="L424" i="52"/>
  <c r="AB424" i="52" s="1"/>
  <c r="K424" i="52"/>
  <c r="I424" i="52"/>
  <c r="G424" i="52"/>
  <c r="H424" i="52" s="1"/>
  <c r="D424" i="52"/>
  <c r="AA423" i="52"/>
  <c r="W423" i="52"/>
  <c r="T423" i="52"/>
  <c r="S423" i="52"/>
  <c r="Q423" i="52"/>
  <c r="P423" i="52"/>
  <c r="L423" i="52"/>
  <c r="AB423" i="52" s="1"/>
  <c r="K423" i="52"/>
  <c r="I423" i="52"/>
  <c r="G423" i="52"/>
  <c r="H423" i="52" s="1"/>
  <c r="D423" i="52"/>
  <c r="AA422" i="52"/>
  <c r="W422" i="52"/>
  <c r="T422" i="52"/>
  <c r="S422" i="52"/>
  <c r="Q422" i="52"/>
  <c r="P422" i="52"/>
  <c r="L422" i="52"/>
  <c r="AB422" i="52" s="1"/>
  <c r="K422" i="52"/>
  <c r="I422" i="52"/>
  <c r="G422" i="52"/>
  <c r="H422" i="52" s="1"/>
  <c r="D422" i="52"/>
  <c r="AA421" i="52"/>
  <c r="W421" i="52"/>
  <c r="T421" i="52"/>
  <c r="S421" i="52"/>
  <c r="Q421" i="52"/>
  <c r="P421" i="52"/>
  <c r="L421" i="52"/>
  <c r="K421" i="52"/>
  <c r="I421" i="52"/>
  <c r="G421" i="52"/>
  <c r="H421" i="52" s="1"/>
  <c r="D421" i="52"/>
  <c r="AA420" i="52"/>
  <c r="W420" i="52"/>
  <c r="T420" i="52"/>
  <c r="S420" i="52"/>
  <c r="Q420" i="52"/>
  <c r="P420" i="52"/>
  <c r="L420" i="52"/>
  <c r="AB420" i="52" s="1"/>
  <c r="K420" i="52"/>
  <c r="I420" i="52"/>
  <c r="G420" i="52"/>
  <c r="H420" i="52" s="1"/>
  <c r="D420" i="52"/>
  <c r="AA419" i="52"/>
  <c r="W419" i="52"/>
  <c r="T419" i="52"/>
  <c r="S419" i="52"/>
  <c r="Q419" i="52"/>
  <c r="P419" i="52"/>
  <c r="L419" i="52"/>
  <c r="X419" i="52" s="1"/>
  <c r="K419" i="52"/>
  <c r="I419" i="52"/>
  <c r="G419" i="52"/>
  <c r="H419" i="52" s="1"/>
  <c r="D419" i="52"/>
  <c r="AA418" i="52"/>
  <c r="W418" i="52"/>
  <c r="T418" i="52"/>
  <c r="S418" i="52"/>
  <c r="Q418" i="52"/>
  <c r="P418" i="52"/>
  <c r="L418" i="52"/>
  <c r="AB418" i="52" s="1"/>
  <c r="K418" i="52"/>
  <c r="I418" i="52"/>
  <c r="G418" i="52"/>
  <c r="H418" i="52" s="1"/>
  <c r="D418" i="52"/>
  <c r="AA417" i="52"/>
  <c r="W417" i="52"/>
  <c r="T417" i="52"/>
  <c r="S417" i="52"/>
  <c r="Q417" i="52"/>
  <c r="P417" i="52"/>
  <c r="L417" i="52"/>
  <c r="K417" i="52"/>
  <c r="I417" i="52"/>
  <c r="G417" i="52"/>
  <c r="H417" i="52" s="1"/>
  <c r="D417" i="52"/>
  <c r="AA416" i="52"/>
  <c r="W416" i="52"/>
  <c r="T416" i="52"/>
  <c r="S416" i="52"/>
  <c r="Q416" i="52"/>
  <c r="P416" i="52"/>
  <c r="L416" i="52"/>
  <c r="AB416" i="52" s="1"/>
  <c r="K416" i="52"/>
  <c r="I416" i="52"/>
  <c r="G416" i="52"/>
  <c r="H416" i="52" s="1"/>
  <c r="D416" i="52"/>
  <c r="AA415" i="52"/>
  <c r="W415" i="52"/>
  <c r="T415" i="52"/>
  <c r="S415" i="52"/>
  <c r="Q415" i="52"/>
  <c r="P415" i="52"/>
  <c r="L415" i="52"/>
  <c r="AB415" i="52" s="1"/>
  <c r="K415" i="52"/>
  <c r="I415" i="52"/>
  <c r="G415" i="52"/>
  <c r="H415" i="52" s="1"/>
  <c r="D415" i="52"/>
  <c r="AA414" i="52"/>
  <c r="W414" i="52"/>
  <c r="T414" i="52"/>
  <c r="S414" i="52"/>
  <c r="Q414" i="52"/>
  <c r="P414" i="52"/>
  <c r="L414" i="52"/>
  <c r="K414" i="52"/>
  <c r="I414" i="52"/>
  <c r="G414" i="52"/>
  <c r="H414" i="52" s="1"/>
  <c r="D414" i="52"/>
  <c r="AA413" i="52"/>
  <c r="W413" i="52"/>
  <c r="T413" i="52"/>
  <c r="S413" i="52"/>
  <c r="Q413" i="52"/>
  <c r="P413" i="52"/>
  <c r="L413" i="52"/>
  <c r="K413" i="52"/>
  <c r="I413" i="52"/>
  <c r="G413" i="52"/>
  <c r="H413" i="52" s="1"/>
  <c r="D413" i="52"/>
  <c r="AA412" i="52"/>
  <c r="W412" i="52"/>
  <c r="T412" i="52"/>
  <c r="S412" i="52"/>
  <c r="Q412" i="52"/>
  <c r="P412" i="52"/>
  <c r="L412" i="52"/>
  <c r="AB412" i="52" s="1"/>
  <c r="K412" i="52"/>
  <c r="I412" i="52"/>
  <c r="G412" i="52"/>
  <c r="H412" i="52" s="1"/>
  <c r="D412" i="52"/>
  <c r="AA411" i="52"/>
  <c r="W411" i="52"/>
  <c r="T411" i="52"/>
  <c r="S411" i="52"/>
  <c r="Q411" i="52"/>
  <c r="P411" i="52"/>
  <c r="L411" i="52"/>
  <c r="AB411" i="52" s="1"/>
  <c r="K411" i="52"/>
  <c r="I411" i="52"/>
  <c r="G411" i="52"/>
  <c r="H411" i="52" s="1"/>
  <c r="D411" i="52"/>
  <c r="AA410" i="52"/>
  <c r="W410" i="52"/>
  <c r="T410" i="52"/>
  <c r="S410" i="52"/>
  <c r="Q410" i="52"/>
  <c r="P410" i="52"/>
  <c r="L410" i="52"/>
  <c r="K410" i="52"/>
  <c r="I410" i="52"/>
  <c r="G410" i="52"/>
  <c r="H410" i="52" s="1"/>
  <c r="D410" i="52"/>
  <c r="AA409" i="52"/>
  <c r="W409" i="52"/>
  <c r="T409" i="52"/>
  <c r="S409" i="52"/>
  <c r="Q409" i="52"/>
  <c r="P409" i="52"/>
  <c r="L409" i="52"/>
  <c r="K409" i="52"/>
  <c r="I409" i="52"/>
  <c r="G409" i="52"/>
  <c r="H409" i="52" s="1"/>
  <c r="D409" i="52"/>
  <c r="AA408" i="52"/>
  <c r="W408" i="52"/>
  <c r="T408" i="52"/>
  <c r="S408" i="52"/>
  <c r="Q408" i="52"/>
  <c r="P408" i="52"/>
  <c r="L408" i="52"/>
  <c r="AB408" i="52" s="1"/>
  <c r="K408" i="52"/>
  <c r="I408" i="52"/>
  <c r="G408" i="52"/>
  <c r="H408" i="52" s="1"/>
  <c r="D408" i="52"/>
  <c r="AA407" i="52"/>
  <c r="W407" i="52"/>
  <c r="T407" i="52"/>
  <c r="S407" i="52"/>
  <c r="Q407" i="52"/>
  <c r="P407" i="52"/>
  <c r="L407" i="52"/>
  <c r="K407" i="52"/>
  <c r="I407" i="52"/>
  <c r="G407" i="52"/>
  <c r="H407" i="52" s="1"/>
  <c r="D407" i="52"/>
  <c r="AA406" i="52"/>
  <c r="W406" i="52"/>
  <c r="T406" i="52"/>
  <c r="S406" i="52"/>
  <c r="Q406" i="52"/>
  <c r="P406" i="52"/>
  <c r="L406" i="52"/>
  <c r="AB406" i="52" s="1"/>
  <c r="K406" i="52"/>
  <c r="I406" i="52"/>
  <c r="G406" i="52"/>
  <c r="H406" i="52" s="1"/>
  <c r="D406" i="52"/>
  <c r="AA405" i="52"/>
  <c r="W405" i="52"/>
  <c r="T405" i="52"/>
  <c r="S405" i="52"/>
  <c r="Q405" i="52"/>
  <c r="P405" i="52"/>
  <c r="L405" i="52"/>
  <c r="K405" i="52"/>
  <c r="I405" i="52"/>
  <c r="G405" i="52"/>
  <c r="H405" i="52" s="1"/>
  <c r="D405" i="52"/>
  <c r="AA404" i="52"/>
  <c r="W404" i="52"/>
  <c r="T404" i="52"/>
  <c r="S404" i="52"/>
  <c r="Q404" i="52"/>
  <c r="P404" i="52"/>
  <c r="L404" i="52"/>
  <c r="AB404" i="52" s="1"/>
  <c r="K404" i="52"/>
  <c r="I404" i="52"/>
  <c r="G404" i="52"/>
  <c r="H404" i="52" s="1"/>
  <c r="D404" i="52"/>
  <c r="AA403" i="52"/>
  <c r="W403" i="52"/>
  <c r="T403" i="52"/>
  <c r="S403" i="52"/>
  <c r="Q403" i="52"/>
  <c r="P403" i="52"/>
  <c r="L403" i="52"/>
  <c r="AB403" i="52" s="1"/>
  <c r="K403" i="52"/>
  <c r="I403" i="52"/>
  <c r="G403" i="52"/>
  <c r="H403" i="52" s="1"/>
  <c r="D403" i="52"/>
  <c r="AA402" i="52"/>
  <c r="W402" i="52"/>
  <c r="T402" i="52"/>
  <c r="S402" i="52"/>
  <c r="Q402" i="52"/>
  <c r="P402" i="52"/>
  <c r="L402" i="52"/>
  <c r="AB402" i="52" s="1"/>
  <c r="K402" i="52"/>
  <c r="I402" i="52"/>
  <c r="G402" i="52"/>
  <c r="H402" i="52" s="1"/>
  <c r="D402" i="52"/>
  <c r="AA401" i="52"/>
  <c r="W401" i="52"/>
  <c r="T401" i="52"/>
  <c r="S401" i="52"/>
  <c r="Q401" i="52"/>
  <c r="P401" i="52"/>
  <c r="L401" i="52"/>
  <c r="K401" i="52"/>
  <c r="I401" i="52"/>
  <c r="G401" i="52"/>
  <c r="H401" i="52" s="1"/>
  <c r="D401" i="52"/>
  <c r="AA400" i="52"/>
  <c r="W400" i="52"/>
  <c r="T400" i="52"/>
  <c r="S400" i="52"/>
  <c r="Q400" i="52"/>
  <c r="P400" i="52"/>
  <c r="L400" i="52"/>
  <c r="AB400" i="52" s="1"/>
  <c r="K400" i="52"/>
  <c r="I400" i="52"/>
  <c r="G400" i="52"/>
  <c r="H400" i="52" s="1"/>
  <c r="D400" i="52"/>
  <c r="AA399" i="52"/>
  <c r="W399" i="52"/>
  <c r="T399" i="52"/>
  <c r="S399" i="52"/>
  <c r="Q399" i="52"/>
  <c r="P399" i="52"/>
  <c r="L399" i="52"/>
  <c r="AB399" i="52" s="1"/>
  <c r="K399" i="52"/>
  <c r="I399" i="52"/>
  <c r="G399" i="52"/>
  <c r="H399" i="52" s="1"/>
  <c r="D399" i="52"/>
  <c r="AA398" i="52"/>
  <c r="W398" i="52"/>
  <c r="T398" i="52"/>
  <c r="S398" i="52"/>
  <c r="Q398" i="52"/>
  <c r="P398" i="52"/>
  <c r="L398" i="52"/>
  <c r="AB398" i="52" s="1"/>
  <c r="K398" i="52"/>
  <c r="I398" i="52"/>
  <c r="G398" i="52"/>
  <c r="H398" i="52" s="1"/>
  <c r="D398" i="52"/>
  <c r="AA397" i="52"/>
  <c r="W397" i="52"/>
  <c r="T397" i="52"/>
  <c r="S397" i="52"/>
  <c r="Q397" i="52"/>
  <c r="P397" i="52"/>
  <c r="L397" i="52"/>
  <c r="K397" i="52"/>
  <c r="I397" i="52"/>
  <c r="G397" i="52"/>
  <c r="H397" i="52" s="1"/>
  <c r="D397" i="52"/>
  <c r="AA396" i="52"/>
  <c r="W396" i="52"/>
  <c r="T396" i="52"/>
  <c r="S396" i="52"/>
  <c r="Q396" i="52"/>
  <c r="P396" i="52"/>
  <c r="L396" i="52"/>
  <c r="AB396" i="52" s="1"/>
  <c r="K396" i="52"/>
  <c r="I396" i="52"/>
  <c r="G396" i="52"/>
  <c r="H396" i="52" s="1"/>
  <c r="D396" i="52"/>
  <c r="AA395" i="52"/>
  <c r="W395" i="52"/>
  <c r="T395" i="52"/>
  <c r="S395" i="52"/>
  <c r="Q395" i="52"/>
  <c r="P395" i="52"/>
  <c r="L395" i="52"/>
  <c r="K395" i="52"/>
  <c r="I395" i="52"/>
  <c r="G395" i="52"/>
  <c r="H395" i="52" s="1"/>
  <c r="D395" i="52"/>
  <c r="AA394" i="52"/>
  <c r="W394" i="52"/>
  <c r="T394" i="52"/>
  <c r="S394" i="52"/>
  <c r="Q394" i="52"/>
  <c r="P394" i="52"/>
  <c r="L394" i="52"/>
  <c r="AB394" i="52" s="1"/>
  <c r="K394" i="52"/>
  <c r="I394" i="52"/>
  <c r="G394" i="52"/>
  <c r="H394" i="52" s="1"/>
  <c r="D394" i="52"/>
  <c r="AA393" i="52"/>
  <c r="W393" i="52"/>
  <c r="T393" i="52"/>
  <c r="S393" i="52"/>
  <c r="Q393" i="52"/>
  <c r="P393" i="52"/>
  <c r="L393" i="52"/>
  <c r="K393" i="52"/>
  <c r="I393" i="52"/>
  <c r="G393" i="52"/>
  <c r="H393" i="52" s="1"/>
  <c r="D393" i="52"/>
  <c r="AA392" i="52"/>
  <c r="W392" i="52"/>
  <c r="T392" i="52"/>
  <c r="S392" i="52"/>
  <c r="Q392" i="52"/>
  <c r="P392" i="52"/>
  <c r="L392" i="52"/>
  <c r="AB392" i="52" s="1"/>
  <c r="K392" i="52"/>
  <c r="I392" i="52"/>
  <c r="G392" i="52"/>
  <c r="H392" i="52" s="1"/>
  <c r="D392" i="52"/>
  <c r="AA391" i="52"/>
  <c r="W391" i="52"/>
  <c r="T391" i="52"/>
  <c r="S391" i="52"/>
  <c r="Q391" i="52"/>
  <c r="P391" i="52"/>
  <c r="L391" i="52"/>
  <c r="K391" i="52"/>
  <c r="I391" i="52"/>
  <c r="G391" i="52"/>
  <c r="H391" i="52" s="1"/>
  <c r="D391" i="52"/>
  <c r="AA390" i="52"/>
  <c r="W390" i="52"/>
  <c r="T390" i="52"/>
  <c r="S390" i="52"/>
  <c r="Q390" i="52"/>
  <c r="P390" i="52"/>
  <c r="L390" i="52"/>
  <c r="AB390" i="52" s="1"/>
  <c r="K390" i="52"/>
  <c r="I390" i="52"/>
  <c r="G390" i="52"/>
  <c r="H390" i="52" s="1"/>
  <c r="D390" i="52"/>
  <c r="AA389" i="52"/>
  <c r="W389" i="52"/>
  <c r="T389" i="52"/>
  <c r="S389" i="52"/>
  <c r="Q389" i="52"/>
  <c r="P389" i="52"/>
  <c r="L389" i="52"/>
  <c r="K389" i="52"/>
  <c r="I389" i="52"/>
  <c r="G389" i="52"/>
  <c r="H389" i="52" s="1"/>
  <c r="D389" i="52"/>
  <c r="AA388" i="52"/>
  <c r="W388" i="52"/>
  <c r="T388" i="52"/>
  <c r="S388" i="52"/>
  <c r="Q388" i="52"/>
  <c r="P388" i="52"/>
  <c r="L388" i="52"/>
  <c r="AB388" i="52" s="1"/>
  <c r="K388" i="52"/>
  <c r="I388" i="52"/>
  <c r="G388" i="52"/>
  <c r="H388" i="52" s="1"/>
  <c r="D388" i="52"/>
  <c r="AA387" i="52"/>
  <c r="W387" i="52"/>
  <c r="T387" i="52"/>
  <c r="S387" i="52"/>
  <c r="Q387" i="52"/>
  <c r="P387" i="52"/>
  <c r="L387" i="52"/>
  <c r="K387" i="52"/>
  <c r="I387" i="52"/>
  <c r="G387" i="52"/>
  <c r="H387" i="52" s="1"/>
  <c r="D387" i="52"/>
  <c r="AA386" i="52"/>
  <c r="W386" i="52"/>
  <c r="T386" i="52"/>
  <c r="S386" i="52"/>
  <c r="Q386" i="52"/>
  <c r="P386" i="52"/>
  <c r="L386" i="52"/>
  <c r="AB386" i="52" s="1"/>
  <c r="K386" i="52"/>
  <c r="I386" i="52"/>
  <c r="G386" i="52"/>
  <c r="H386" i="52" s="1"/>
  <c r="D386" i="52"/>
  <c r="AA385" i="52"/>
  <c r="W385" i="52"/>
  <c r="T385" i="52"/>
  <c r="S385" i="52"/>
  <c r="Q385" i="52"/>
  <c r="P385" i="52"/>
  <c r="L385" i="52"/>
  <c r="X385" i="52" s="1"/>
  <c r="K385" i="52"/>
  <c r="I385" i="52"/>
  <c r="G385" i="52"/>
  <c r="H385" i="52" s="1"/>
  <c r="D385" i="52"/>
  <c r="AA384" i="52"/>
  <c r="W384" i="52"/>
  <c r="T384" i="52"/>
  <c r="S384" i="52"/>
  <c r="Q384" i="52"/>
  <c r="P384" i="52"/>
  <c r="L384" i="52"/>
  <c r="AB384" i="52" s="1"/>
  <c r="K384" i="52"/>
  <c r="I384" i="52"/>
  <c r="G384" i="52"/>
  <c r="H384" i="52" s="1"/>
  <c r="D384" i="52"/>
  <c r="AA383" i="52"/>
  <c r="W383" i="52"/>
  <c r="T383" i="52"/>
  <c r="S383" i="52"/>
  <c r="Q383" i="52"/>
  <c r="P383" i="52"/>
  <c r="L383" i="52"/>
  <c r="X383" i="52" s="1"/>
  <c r="K383" i="52"/>
  <c r="I383" i="52"/>
  <c r="G383" i="52"/>
  <c r="H383" i="52" s="1"/>
  <c r="D383" i="52"/>
  <c r="AA382" i="52"/>
  <c r="W382" i="52"/>
  <c r="T382" i="52"/>
  <c r="S382" i="52"/>
  <c r="Q382" i="52"/>
  <c r="P382" i="52"/>
  <c r="L382" i="52"/>
  <c r="K382" i="52"/>
  <c r="I382" i="52"/>
  <c r="G382" i="52"/>
  <c r="H382" i="52" s="1"/>
  <c r="D382" i="52"/>
  <c r="AA381" i="52"/>
  <c r="W381" i="52"/>
  <c r="T381" i="52"/>
  <c r="S381" i="52"/>
  <c r="Q381" i="52"/>
  <c r="P381" i="52"/>
  <c r="L381" i="52"/>
  <c r="K381" i="52"/>
  <c r="I381" i="52"/>
  <c r="G381" i="52"/>
  <c r="H381" i="52" s="1"/>
  <c r="D381" i="52"/>
  <c r="AA380" i="52"/>
  <c r="W380" i="52"/>
  <c r="T380" i="52"/>
  <c r="S380" i="52"/>
  <c r="Q380" i="52"/>
  <c r="P380" i="52"/>
  <c r="L380" i="52"/>
  <c r="AB380" i="52" s="1"/>
  <c r="K380" i="52"/>
  <c r="I380" i="52"/>
  <c r="G380" i="52"/>
  <c r="H380" i="52" s="1"/>
  <c r="D380" i="52"/>
  <c r="AA379" i="52"/>
  <c r="W379" i="52"/>
  <c r="T379" i="52"/>
  <c r="S379" i="52"/>
  <c r="Q379" i="52"/>
  <c r="P379" i="52"/>
  <c r="L379" i="52"/>
  <c r="AB379" i="52" s="1"/>
  <c r="K379" i="52"/>
  <c r="I379" i="52"/>
  <c r="G379" i="52"/>
  <c r="H379" i="52" s="1"/>
  <c r="D379" i="52"/>
  <c r="AA378" i="52"/>
  <c r="W378" i="52"/>
  <c r="T378" i="52"/>
  <c r="S378" i="52"/>
  <c r="Q378" i="52"/>
  <c r="P378" i="52"/>
  <c r="L378" i="52"/>
  <c r="AB378" i="52" s="1"/>
  <c r="K378" i="52"/>
  <c r="I378" i="52"/>
  <c r="G378" i="52"/>
  <c r="H378" i="52" s="1"/>
  <c r="D378" i="52"/>
  <c r="AA377" i="52"/>
  <c r="W377" i="52"/>
  <c r="T377" i="52"/>
  <c r="S377" i="52"/>
  <c r="Q377" i="52"/>
  <c r="P377" i="52"/>
  <c r="L377" i="52"/>
  <c r="X377" i="52" s="1"/>
  <c r="K377" i="52"/>
  <c r="I377" i="52"/>
  <c r="G377" i="52"/>
  <c r="H377" i="52" s="1"/>
  <c r="D377" i="52"/>
  <c r="AA376" i="52"/>
  <c r="W376" i="52"/>
  <c r="T376" i="52"/>
  <c r="S376" i="52"/>
  <c r="Q376" i="52"/>
  <c r="P376" i="52"/>
  <c r="L376" i="52"/>
  <c r="K376" i="52"/>
  <c r="I376" i="52"/>
  <c r="G376" i="52"/>
  <c r="H376" i="52" s="1"/>
  <c r="D376" i="52"/>
  <c r="AA375" i="52"/>
  <c r="W375" i="52"/>
  <c r="T375" i="52"/>
  <c r="S375" i="52"/>
  <c r="Q375" i="52"/>
  <c r="P375" i="52"/>
  <c r="L375" i="52"/>
  <c r="AB375" i="52" s="1"/>
  <c r="K375" i="52"/>
  <c r="I375" i="52"/>
  <c r="G375" i="52"/>
  <c r="H375" i="52" s="1"/>
  <c r="D375" i="52"/>
  <c r="AA374" i="52"/>
  <c r="W374" i="52"/>
  <c r="T374" i="52"/>
  <c r="S374" i="52"/>
  <c r="Q374" i="52"/>
  <c r="P374" i="52"/>
  <c r="L374" i="52"/>
  <c r="AB374" i="52" s="1"/>
  <c r="K374" i="52"/>
  <c r="I374" i="52"/>
  <c r="G374" i="52"/>
  <c r="H374" i="52" s="1"/>
  <c r="D374" i="52"/>
  <c r="AA373" i="52"/>
  <c r="W373" i="52"/>
  <c r="T373" i="52"/>
  <c r="S373" i="52"/>
  <c r="Q373" i="52"/>
  <c r="P373" i="52"/>
  <c r="L373" i="52"/>
  <c r="X373" i="52" s="1"/>
  <c r="K373" i="52"/>
  <c r="I373" i="52"/>
  <c r="G373" i="52"/>
  <c r="H373" i="52" s="1"/>
  <c r="D373" i="52"/>
  <c r="AA372" i="52"/>
  <c r="W372" i="52"/>
  <c r="T372" i="52"/>
  <c r="S372" i="52"/>
  <c r="Q372" i="52"/>
  <c r="P372" i="52"/>
  <c r="L372" i="52"/>
  <c r="K372" i="52"/>
  <c r="I372" i="52"/>
  <c r="G372" i="52"/>
  <c r="H372" i="52" s="1"/>
  <c r="D372" i="52"/>
  <c r="AA371" i="52"/>
  <c r="W371" i="52"/>
  <c r="T371" i="52"/>
  <c r="S371" i="52"/>
  <c r="Q371" i="52"/>
  <c r="P371" i="52"/>
  <c r="L371" i="52"/>
  <c r="X371" i="52" s="1"/>
  <c r="K371" i="52"/>
  <c r="I371" i="52"/>
  <c r="G371" i="52"/>
  <c r="H371" i="52" s="1"/>
  <c r="D371" i="52"/>
  <c r="AA370" i="52"/>
  <c r="W370" i="52"/>
  <c r="T370" i="52"/>
  <c r="S370" i="52"/>
  <c r="Q370" i="52"/>
  <c r="P370" i="52"/>
  <c r="L370" i="52"/>
  <c r="K370" i="52"/>
  <c r="I370" i="52"/>
  <c r="G370" i="52"/>
  <c r="H370" i="52" s="1"/>
  <c r="D370" i="52"/>
  <c r="AA369" i="52"/>
  <c r="W369" i="52"/>
  <c r="T369" i="52"/>
  <c r="S369" i="52"/>
  <c r="Q369" i="52"/>
  <c r="P369" i="52"/>
  <c r="L369" i="52"/>
  <c r="AB369" i="52" s="1"/>
  <c r="K369" i="52"/>
  <c r="I369" i="52"/>
  <c r="G369" i="52"/>
  <c r="H369" i="52" s="1"/>
  <c r="D369" i="52"/>
  <c r="AA368" i="52"/>
  <c r="W368" i="52"/>
  <c r="T368" i="52"/>
  <c r="S368" i="52"/>
  <c r="Q368" i="52"/>
  <c r="P368" i="52"/>
  <c r="L368" i="52"/>
  <c r="AB368" i="52" s="1"/>
  <c r="K368" i="52"/>
  <c r="I368" i="52"/>
  <c r="G368" i="52"/>
  <c r="H368" i="52" s="1"/>
  <c r="D368" i="52"/>
  <c r="AA367" i="52"/>
  <c r="W367" i="52"/>
  <c r="T367" i="52"/>
  <c r="S367" i="52"/>
  <c r="Q367" i="52"/>
  <c r="P367" i="52"/>
  <c r="L367" i="52"/>
  <c r="AB367" i="52" s="1"/>
  <c r="K367" i="52"/>
  <c r="I367" i="52"/>
  <c r="G367" i="52"/>
  <c r="H367" i="52" s="1"/>
  <c r="D367" i="52"/>
  <c r="AA366" i="52"/>
  <c r="W366" i="52"/>
  <c r="T366" i="52"/>
  <c r="S366" i="52"/>
  <c r="Q366" i="52"/>
  <c r="P366" i="52"/>
  <c r="L366" i="52"/>
  <c r="AB366" i="52" s="1"/>
  <c r="K366" i="52"/>
  <c r="I366" i="52"/>
  <c r="G366" i="52"/>
  <c r="H366" i="52" s="1"/>
  <c r="D366" i="52"/>
  <c r="AA365" i="52"/>
  <c r="W365" i="52"/>
  <c r="T365" i="52"/>
  <c r="S365" i="52"/>
  <c r="Q365" i="52"/>
  <c r="P365" i="52"/>
  <c r="L365" i="52"/>
  <c r="K365" i="52"/>
  <c r="I365" i="52"/>
  <c r="G365" i="52"/>
  <c r="H365" i="52" s="1"/>
  <c r="D365" i="52"/>
  <c r="AA364" i="52"/>
  <c r="W364" i="52"/>
  <c r="T364" i="52"/>
  <c r="S364" i="52"/>
  <c r="Q364" i="52"/>
  <c r="P364" i="52"/>
  <c r="L364" i="52"/>
  <c r="AB364" i="52" s="1"/>
  <c r="K364" i="52"/>
  <c r="I364" i="52"/>
  <c r="G364" i="52"/>
  <c r="H364" i="52" s="1"/>
  <c r="D364" i="52"/>
  <c r="AA363" i="52"/>
  <c r="W363" i="52"/>
  <c r="T363" i="52"/>
  <c r="S363" i="52"/>
  <c r="Q363" i="52"/>
  <c r="P363" i="52"/>
  <c r="L363" i="52"/>
  <c r="AB363" i="52" s="1"/>
  <c r="K363" i="52"/>
  <c r="I363" i="52"/>
  <c r="G363" i="52"/>
  <c r="H363" i="52" s="1"/>
  <c r="D363" i="52"/>
  <c r="AA362" i="52"/>
  <c r="W362" i="52"/>
  <c r="T362" i="52"/>
  <c r="S362" i="52"/>
  <c r="Q362" i="52"/>
  <c r="P362" i="52"/>
  <c r="L362" i="52"/>
  <c r="K362" i="52"/>
  <c r="I362" i="52"/>
  <c r="G362" i="52"/>
  <c r="H362" i="52" s="1"/>
  <c r="D362" i="52"/>
  <c r="AA361" i="52"/>
  <c r="W361" i="52"/>
  <c r="T361" i="52"/>
  <c r="S361" i="52"/>
  <c r="Q361" i="52"/>
  <c r="P361" i="52"/>
  <c r="L361" i="52"/>
  <c r="AB361" i="52" s="1"/>
  <c r="K361" i="52"/>
  <c r="I361" i="52"/>
  <c r="G361" i="52"/>
  <c r="H361" i="52" s="1"/>
  <c r="D361" i="52"/>
  <c r="AA360" i="52"/>
  <c r="W360" i="52"/>
  <c r="T360" i="52"/>
  <c r="S360" i="52"/>
  <c r="Q360" i="52"/>
  <c r="P360" i="52"/>
  <c r="L360" i="52"/>
  <c r="AB360" i="52" s="1"/>
  <c r="K360" i="52"/>
  <c r="I360" i="52"/>
  <c r="G360" i="52"/>
  <c r="H360" i="52" s="1"/>
  <c r="D360" i="52"/>
  <c r="AA359" i="52"/>
  <c r="W359" i="52"/>
  <c r="T359" i="52"/>
  <c r="S359" i="52"/>
  <c r="Q359" i="52"/>
  <c r="P359" i="52"/>
  <c r="L359" i="52"/>
  <c r="AB359" i="52" s="1"/>
  <c r="K359" i="52"/>
  <c r="I359" i="52"/>
  <c r="G359" i="52"/>
  <c r="H359" i="52" s="1"/>
  <c r="D359" i="52"/>
  <c r="AA358" i="52"/>
  <c r="W358" i="52"/>
  <c r="T358" i="52"/>
  <c r="S358" i="52"/>
  <c r="Q358" i="52"/>
  <c r="P358" i="52"/>
  <c r="L358" i="52"/>
  <c r="AB358" i="52" s="1"/>
  <c r="K358" i="52"/>
  <c r="I358" i="52"/>
  <c r="G358" i="52"/>
  <c r="H358" i="52" s="1"/>
  <c r="D358" i="52"/>
  <c r="AA357" i="52"/>
  <c r="W357" i="52"/>
  <c r="T357" i="52"/>
  <c r="S357" i="52"/>
  <c r="Q357" i="52"/>
  <c r="P357" i="52"/>
  <c r="L357" i="52"/>
  <c r="K357" i="52"/>
  <c r="I357" i="52"/>
  <c r="G357" i="52"/>
  <c r="H357" i="52" s="1"/>
  <c r="D357" i="52"/>
  <c r="AA356" i="52"/>
  <c r="W356" i="52"/>
  <c r="T356" i="52"/>
  <c r="S356" i="52"/>
  <c r="Q356" i="52"/>
  <c r="P356" i="52"/>
  <c r="L356" i="52"/>
  <c r="AB356" i="52" s="1"/>
  <c r="K356" i="52"/>
  <c r="I356" i="52"/>
  <c r="G356" i="52"/>
  <c r="H356" i="52" s="1"/>
  <c r="D356" i="52"/>
  <c r="AA355" i="52"/>
  <c r="W355" i="52"/>
  <c r="T355" i="52"/>
  <c r="S355" i="52"/>
  <c r="Q355" i="52"/>
  <c r="P355" i="52"/>
  <c r="L355" i="52"/>
  <c r="AB355" i="52" s="1"/>
  <c r="K355" i="52"/>
  <c r="I355" i="52"/>
  <c r="G355" i="52"/>
  <c r="H355" i="52" s="1"/>
  <c r="D355" i="52"/>
  <c r="AA354" i="52"/>
  <c r="W354" i="52"/>
  <c r="T354" i="52"/>
  <c r="S354" i="52"/>
  <c r="Q354" i="52"/>
  <c r="P354" i="52"/>
  <c r="L354" i="52"/>
  <c r="K354" i="52"/>
  <c r="I354" i="52"/>
  <c r="G354" i="52"/>
  <c r="H354" i="52" s="1"/>
  <c r="D354" i="52"/>
  <c r="AA353" i="52"/>
  <c r="W353" i="52"/>
  <c r="T353" i="52"/>
  <c r="S353" i="52"/>
  <c r="Q353" i="52"/>
  <c r="P353" i="52"/>
  <c r="L353" i="52"/>
  <c r="AB353" i="52" s="1"/>
  <c r="K353" i="52"/>
  <c r="I353" i="52"/>
  <c r="G353" i="52"/>
  <c r="H353" i="52" s="1"/>
  <c r="D353" i="52"/>
  <c r="AA352" i="52"/>
  <c r="W352" i="52"/>
  <c r="T352" i="52"/>
  <c r="S352" i="52"/>
  <c r="Q352" i="52"/>
  <c r="P352" i="52"/>
  <c r="L352" i="52"/>
  <c r="K352" i="52"/>
  <c r="I352" i="52"/>
  <c r="G352" i="52"/>
  <c r="H352" i="52" s="1"/>
  <c r="D352" i="52"/>
  <c r="AA351" i="52"/>
  <c r="W351" i="52"/>
  <c r="T351" i="52"/>
  <c r="S351" i="52"/>
  <c r="Q351" i="52"/>
  <c r="P351" i="52"/>
  <c r="L351" i="52"/>
  <c r="AB351" i="52" s="1"/>
  <c r="K351" i="52"/>
  <c r="I351" i="52"/>
  <c r="G351" i="52"/>
  <c r="H351" i="52" s="1"/>
  <c r="D351" i="52"/>
  <c r="AA350" i="52"/>
  <c r="W350" i="52"/>
  <c r="T350" i="52"/>
  <c r="S350" i="52"/>
  <c r="Q350" i="52"/>
  <c r="P350" i="52"/>
  <c r="L350" i="52"/>
  <c r="AB350" i="52" s="1"/>
  <c r="K350" i="52"/>
  <c r="I350" i="52"/>
  <c r="G350" i="52"/>
  <c r="H350" i="52" s="1"/>
  <c r="D350" i="52"/>
  <c r="AA349" i="52"/>
  <c r="W349" i="52"/>
  <c r="T349" i="52"/>
  <c r="S349" i="52"/>
  <c r="Q349" i="52"/>
  <c r="P349" i="52"/>
  <c r="L349" i="52"/>
  <c r="K349" i="52"/>
  <c r="I349" i="52"/>
  <c r="G349" i="52"/>
  <c r="H349" i="52" s="1"/>
  <c r="D349" i="52"/>
  <c r="AA348" i="52"/>
  <c r="W348" i="52"/>
  <c r="T348" i="52"/>
  <c r="S348" i="52"/>
  <c r="Q348" i="52"/>
  <c r="P348" i="52"/>
  <c r="L348" i="52"/>
  <c r="K348" i="52"/>
  <c r="I348" i="52"/>
  <c r="G348" i="52"/>
  <c r="H348" i="52" s="1"/>
  <c r="D348" i="52"/>
  <c r="AA347" i="52"/>
  <c r="W347" i="52"/>
  <c r="T347" i="52"/>
  <c r="S347" i="52"/>
  <c r="Q347" i="52"/>
  <c r="P347" i="52"/>
  <c r="L347" i="52"/>
  <c r="AB347" i="52" s="1"/>
  <c r="K347" i="52"/>
  <c r="I347" i="52"/>
  <c r="G347" i="52"/>
  <c r="H347" i="52" s="1"/>
  <c r="D347" i="52"/>
  <c r="AA346" i="52"/>
  <c r="W346" i="52"/>
  <c r="T346" i="52"/>
  <c r="S346" i="52"/>
  <c r="Q346" i="52"/>
  <c r="P346" i="52"/>
  <c r="L346" i="52"/>
  <c r="K346" i="52"/>
  <c r="I346" i="52"/>
  <c r="G346" i="52"/>
  <c r="H346" i="52" s="1"/>
  <c r="D346" i="52"/>
  <c r="AA345" i="52"/>
  <c r="W345" i="52"/>
  <c r="T345" i="52"/>
  <c r="S345" i="52"/>
  <c r="Q345" i="52"/>
  <c r="P345" i="52"/>
  <c r="L345" i="52"/>
  <c r="AB345" i="52" s="1"/>
  <c r="K345" i="52"/>
  <c r="I345" i="52"/>
  <c r="G345" i="52"/>
  <c r="H345" i="52" s="1"/>
  <c r="D345" i="52"/>
  <c r="AA344" i="52"/>
  <c r="W344" i="52"/>
  <c r="T344" i="52"/>
  <c r="S344" i="52"/>
  <c r="Q344" i="52"/>
  <c r="P344" i="52"/>
  <c r="L344" i="52"/>
  <c r="AB344" i="52" s="1"/>
  <c r="K344" i="52"/>
  <c r="I344" i="52"/>
  <c r="G344" i="52"/>
  <c r="H344" i="52" s="1"/>
  <c r="D344" i="52"/>
  <c r="AA343" i="52"/>
  <c r="W343" i="52"/>
  <c r="T343" i="52"/>
  <c r="S343" i="52"/>
  <c r="Q343" i="52"/>
  <c r="P343" i="52"/>
  <c r="L343" i="52"/>
  <c r="AB343" i="52" s="1"/>
  <c r="K343" i="52"/>
  <c r="I343" i="52"/>
  <c r="G343" i="52"/>
  <c r="H343" i="52" s="1"/>
  <c r="D343" i="52"/>
  <c r="AA342" i="52"/>
  <c r="W342" i="52"/>
  <c r="T342" i="52"/>
  <c r="S342" i="52"/>
  <c r="Q342" i="52"/>
  <c r="P342" i="52"/>
  <c r="L342" i="52"/>
  <c r="AB342" i="52" s="1"/>
  <c r="K342" i="52"/>
  <c r="I342" i="52"/>
  <c r="G342" i="52"/>
  <c r="H342" i="52" s="1"/>
  <c r="D342" i="52"/>
  <c r="AA341" i="52"/>
  <c r="W341" i="52"/>
  <c r="T341" i="52"/>
  <c r="S341" i="52"/>
  <c r="Q341" i="52"/>
  <c r="P341" i="52"/>
  <c r="L341" i="52"/>
  <c r="K341" i="52"/>
  <c r="I341" i="52"/>
  <c r="G341" i="52"/>
  <c r="H341" i="52" s="1"/>
  <c r="D341" i="52"/>
  <c r="AA340" i="52"/>
  <c r="W340" i="52"/>
  <c r="T340" i="52"/>
  <c r="S340" i="52"/>
  <c r="Q340" i="52"/>
  <c r="P340" i="52"/>
  <c r="L340" i="52"/>
  <c r="AB340" i="52" s="1"/>
  <c r="K340" i="52"/>
  <c r="I340" i="52"/>
  <c r="G340" i="52"/>
  <c r="H340" i="52" s="1"/>
  <c r="D340" i="52"/>
  <c r="AA339" i="52"/>
  <c r="W339" i="52"/>
  <c r="T339" i="52"/>
  <c r="S339" i="52"/>
  <c r="Q339" i="52"/>
  <c r="P339" i="52"/>
  <c r="L339" i="52"/>
  <c r="AB339" i="52" s="1"/>
  <c r="K339" i="52"/>
  <c r="I339" i="52"/>
  <c r="G339" i="52"/>
  <c r="H339" i="52" s="1"/>
  <c r="D339" i="52"/>
  <c r="AA338" i="52"/>
  <c r="W338" i="52"/>
  <c r="T338" i="52"/>
  <c r="S338" i="52"/>
  <c r="Q338" i="52"/>
  <c r="P338" i="52"/>
  <c r="L338" i="52"/>
  <c r="K338" i="52"/>
  <c r="I338" i="52"/>
  <c r="G338" i="52"/>
  <c r="H338" i="52" s="1"/>
  <c r="D338" i="52"/>
  <c r="AA337" i="52"/>
  <c r="W337" i="52"/>
  <c r="T337" i="52"/>
  <c r="S337" i="52"/>
  <c r="Q337" i="52"/>
  <c r="P337" i="52"/>
  <c r="L337" i="52"/>
  <c r="AB337" i="52" s="1"/>
  <c r="K337" i="52"/>
  <c r="I337" i="52"/>
  <c r="G337" i="52"/>
  <c r="H337" i="52" s="1"/>
  <c r="D337" i="52"/>
  <c r="AA336" i="52"/>
  <c r="W336" i="52"/>
  <c r="T336" i="52"/>
  <c r="S336" i="52"/>
  <c r="Q336" i="52"/>
  <c r="P336" i="52"/>
  <c r="L336" i="52"/>
  <c r="K336" i="52"/>
  <c r="I336" i="52"/>
  <c r="G336" i="52"/>
  <c r="H336" i="52" s="1"/>
  <c r="D336" i="52"/>
  <c r="AA335" i="52"/>
  <c r="W335" i="52"/>
  <c r="T335" i="52"/>
  <c r="S335" i="52"/>
  <c r="Q335" i="52"/>
  <c r="P335" i="52"/>
  <c r="L335" i="52"/>
  <c r="AB335" i="52" s="1"/>
  <c r="K335" i="52"/>
  <c r="I335" i="52"/>
  <c r="G335" i="52"/>
  <c r="H335" i="52" s="1"/>
  <c r="D335" i="52"/>
  <c r="AA334" i="52"/>
  <c r="W334" i="52"/>
  <c r="T334" i="52"/>
  <c r="S334" i="52"/>
  <c r="Q334" i="52"/>
  <c r="P334" i="52"/>
  <c r="L334" i="52"/>
  <c r="AB334" i="52" s="1"/>
  <c r="K334" i="52"/>
  <c r="I334" i="52"/>
  <c r="G334" i="52"/>
  <c r="H334" i="52" s="1"/>
  <c r="D334" i="52"/>
  <c r="AA333" i="52"/>
  <c r="W333" i="52"/>
  <c r="T333" i="52"/>
  <c r="S333" i="52"/>
  <c r="Q333" i="52"/>
  <c r="P333" i="52"/>
  <c r="L333" i="52"/>
  <c r="K333" i="52"/>
  <c r="I333" i="52"/>
  <c r="G333" i="52"/>
  <c r="H333" i="52" s="1"/>
  <c r="D333" i="52"/>
  <c r="AA332" i="52"/>
  <c r="W332" i="52"/>
  <c r="T332" i="52"/>
  <c r="S332" i="52"/>
  <c r="Q332" i="52"/>
  <c r="P332" i="52"/>
  <c r="L332" i="52"/>
  <c r="AB332" i="52" s="1"/>
  <c r="K332" i="52"/>
  <c r="I332" i="52"/>
  <c r="G332" i="52"/>
  <c r="H332" i="52" s="1"/>
  <c r="D332" i="52"/>
  <c r="AA331" i="52"/>
  <c r="W331" i="52"/>
  <c r="T331" i="52"/>
  <c r="S331" i="52"/>
  <c r="Q331" i="52"/>
  <c r="P331" i="52"/>
  <c r="L331" i="52"/>
  <c r="K331" i="52"/>
  <c r="I331" i="52"/>
  <c r="G331" i="52"/>
  <c r="H331" i="52" s="1"/>
  <c r="D331" i="52"/>
  <c r="AA330" i="52"/>
  <c r="W330" i="52"/>
  <c r="T330" i="52"/>
  <c r="S330" i="52"/>
  <c r="Q330" i="52"/>
  <c r="P330" i="52"/>
  <c r="L330" i="52"/>
  <c r="K330" i="52"/>
  <c r="I330" i="52"/>
  <c r="G330" i="52"/>
  <c r="H330" i="52" s="1"/>
  <c r="D330" i="52"/>
  <c r="AA329" i="52"/>
  <c r="W329" i="52"/>
  <c r="T329" i="52"/>
  <c r="S329" i="52"/>
  <c r="Q329" i="52"/>
  <c r="P329" i="52"/>
  <c r="L329" i="52"/>
  <c r="AB329" i="52" s="1"/>
  <c r="K329" i="52"/>
  <c r="I329" i="52"/>
  <c r="G329" i="52"/>
  <c r="H329" i="52" s="1"/>
  <c r="D329" i="52"/>
  <c r="AA328" i="52"/>
  <c r="W328" i="52"/>
  <c r="T328" i="52"/>
  <c r="S328" i="52"/>
  <c r="Q328" i="52"/>
  <c r="P328" i="52"/>
  <c r="L328" i="52"/>
  <c r="AB328" i="52" s="1"/>
  <c r="K328" i="52"/>
  <c r="I328" i="52"/>
  <c r="G328" i="52"/>
  <c r="H328" i="52" s="1"/>
  <c r="D328" i="52"/>
  <c r="AA327" i="52"/>
  <c r="W327" i="52"/>
  <c r="T327" i="52"/>
  <c r="S327" i="52"/>
  <c r="Q327" i="52"/>
  <c r="P327" i="52"/>
  <c r="L327" i="52"/>
  <c r="AB327" i="52" s="1"/>
  <c r="K327" i="52"/>
  <c r="I327" i="52"/>
  <c r="G327" i="52"/>
  <c r="H327" i="52" s="1"/>
  <c r="D327" i="52"/>
  <c r="AA326" i="52"/>
  <c r="W326" i="52"/>
  <c r="T326" i="52"/>
  <c r="S326" i="52"/>
  <c r="Q326" i="52"/>
  <c r="P326" i="52"/>
  <c r="L326" i="52"/>
  <c r="AB326" i="52" s="1"/>
  <c r="K326" i="52"/>
  <c r="I326" i="52"/>
  <c r="G326" i="52"/>
  <c r="H326" i="52" s="1"/>
  <c r="D326" i="52"/>
  <c r="AA325" i="52"/>
  <c r="W325" i="52"/>
  <c r="T325" i="52"/>
  <c r="S325" i="52"/>
  <c r="Q325" i="52"/>
  <c r="P325" i="52"/>
  <c r="L325" i="52"/>
  <c r="K325" i="52"/>
  <c r="I325" i="52"/>
  <c r="G325" i="52"/>
  <c r="H325" i="52" s="1"/>
  <c r="D325" i="52"/>
  <c r="AA324" i="52"/>
  <c r="W324" i="52"/>
  <c r="T324" i="52"/>
  <c r="S324" i="52"/>
  <c r="Q324" i="52"/>
  <c r="P324" i="52"/>
  <c r="L324" i="52"/>
  <c r="AB324" i="52" s="1"/>
  <c r="K324" i="52"/>
  <c r="I324" i="52"/>
  <c r="G324" i="52"/>
  <c r="H324" i="52" s="1"/>
  <c r="D324" i="52"/>
  <c r="AA323" i="52"/>
  <c r="W323" i="52"/>
  <c r="T323" i="52"/>
  <c r="S323" i="52"/>
  <c r="Q323" i="52"/>
  <c r="P323" i="52"/>
  <c r="L323" i="52"/>
  <c r="AB323" i="52" s="1"/>
  <c r="K323" i="52"/>
  <c r="I323" i="52"/>
  <c r="G323" i="52"/>
  <c r="H323" i="52" s="1"/>
  <c r="D323" i="52"/>
  <c r="AA322" i="52"/>
  <c r="W322" i="52"/>
  <c r="T322" i="52"/>
  <c r="S322" i="52"/>
  <c r="Q322" i="52"/>
  <c r="P322" i="52"/>
  <c r="L322" i="52"/>
  <c r="X322" i="52" s="1"/>
  <c r="K322" i="52"/>
  <c r="I322" i="52"/>
  <c r="G322" i="52"/>
  <c r="H322" i="52" s="1"/>
  <c r="D322" i="52"/>
  <c r="C321" i="52"/>
  <c r="S321" i="52" s="1"/>
  <c r="AA320" i="52"/>
  <c r="W320" i="52"/>
  <c r="T320" i="52"/>
  <c r="S320" i="52"/>
  <c r="Q320" i="52"/>
  <c r="P320" i="52"/>
  <c r="L320" i="52"/>
  <c r="K320" i="52"/>
  <c r="I320" i="52"/>
  <c r="G320" i="52"/>
  <c r="H320" i="52" s="1"/>
  <c r="D320" i="52"/>
  <c r="AA319" i="52"/>
  <c r="W319" i="52"/>
  <c r="T319" i="52"/>
  <c r="S319" i="52"/>
  <c r="Q319" i="52"/>
  <c r="P319" i="52"/>
  <c r="L319" i="52"/>
  <c r="X319" i="52" s="1"/>
  <c r="K319" i="52"/>
  <c r="I319" i="52"/>
  <c r="G319" i="52"/>
  <c r="H319" i="52" s="1"/>
  <c r="D319" i="52"/>
  <c r="AA318" i="52"/>
  <c r="W318" i="52"/>
  <c r="T318" i="52"/>
  <c r="S318" i="52"/>
  <c r="Q318" i="52"/>
  <c r="P318" i="52"/>
  <c r="L318" i="52"/>
  <c r="K318" i="52"/>
  <c r="I318" i="52"/>
  <c r="G318" i="52"/>
  <c r="H318" i="52" s="1"/>
  <c r="D318" i="52"/>
  <c r="AA317" i="52"/>
  <c r="W317" i="52"/>
  <c r="T317" i="52"/>
  <c r="S317" i="52"/>
  <c r="Q317" i="52"/>
  <c r="P317" i="52"/>
  <c r="L317" i="52"/>
  <c r="X317" i="52" s="1"/>
  <c r="K317" i="52"/>
  <c r="I317" i="52"/>
  <c r="G317" i="52"/>
  <c r="H317" i="52" s="1"/>
  <c r="D317" i="52"/>
  <c r="AA316" i="52"/>
  <c r="W316" i="52"/>
  <c r="T316" i="52"/>
  <c r="S316" i="52"/>
  <c r="Q316" i="52"/>
  <c r="P316" i="52"/>
  <c r="L316" i="52"/>
  <c r="K316" i="52"/>
  <c r="I316" i="52"/>
  <c r="G316" i="52"/>
  <c r="H316" i="52" s="1"/>
  <c r="D316" i="52"/>
  <c r="AA315" i="52"/>
  <c r="W315" i="52"/>
  <c r="T315" i="52"/>
  <c r="S315" i="52"/>
  <c r="Q315" i="52"/>
  <c r="P315" i="52"/>
  <c r="L315" i="52"/>
  <c r="X315" i="52" s="1"/>
  <c r="K315" i="52"/>
  <c r="I315" i="52"/>
  <c r="G315" i="52"/>
  <c r="H315" i="52" s="1"/>
  <c r="D315" i="52"/>
  <c r="Z314" i="52"/>
  <c r="Z321" i="52" s="1"/>
  <c r="V314" i="52"/>
  <c r="V321" i="52" s="1"/>
  <c r="S314" i="52"/>
  <c r="P314" i="52"/>
  <c r="J314" i="52"/>
  <c r="E314" i="52"/>
  <c r="Q314" i="52" s="1"/>
  <c r="D314" i="52"/>
  <c r="AA313" i="52"/>
  <c r="W313" i="52"/>
  <c r="T313" i="52"/>
  <c r="S313" i="52"/>
  <c r="Q313" i="52"/>
  <c r="P313" i="52"/>
  <c r="L313" i="52"/>
  <c r="X313" i="52" s="1"/>
  <c r="K313" i="52"/>
  <c r="I313" i="52"/>
  <c r="G313" i="52"/>
  <c r="H313" i="52" s="1"/>
  <c r="D313" i="52"/>
  <c r="AA312" i="52"/>
  <c r="W312" i="52"/>
  <c r="T312" i="52"/>
  <c r="S312" i="52"/>
  <c r="Q312" i="52"/>
  <c r="P312" i="52"/>
  <c r="L312" i="52"/>
  <c r="K312" i="52"/>
  <c r="I312" i="52"/>
  <c r="G312" i="52"/>
  <c r="H312" i="52" s="1"/>
  <c r="D312" i="52"/>
  <c r="AA311" i="52"/>
  <c r="W311" i="52"/>
  <c r="T311" i="52"/>
  <c r="S311" i="52"/>
  <c r="Q311" i="52"/>
  <c r="P311" i="52"/>
  <c r="L311" i="52"/>
  <c r="X311" i="52" s="1"/>
  <c r="K311" i="52"/>
  <c r="I311" i="52"/>
  <c r="G311" i="52"/>
  <c r="H311" i="52" s="1"/>
  <c r="D311" i="52"/>
  <c r="AA310" i="52"/>
  <c r="W310" i="52"/>
  <c r="T310" i="52"/>
  <c r="S310" i="52"/>
  <c r="Q310" i="52"/>
  <c r="P310" i="52"/>
  <c r="L310" i="52"/>
  <c r="K310" i="52"/>
  <c r="I310" i="52"/>
  <c r="G310" i="52"/>
  <c r="H310" i="52" s="1"/>
  <c r="D310" i="52"/>
  <c r="AA309" i="52"/>
  <c r="W309" i="52"/>
  <c r="T309" i="52"/>
  <c r="S309" i="52"/>
  <c r="Q309" i="52"/>
  <c r="P309" i="52"/>
  <c r="L309" i="52"/>
  <c r="X309" i="52" s="1"/>
  <c r="K309" i="52"/>
  <c r="I309" i="52"/>
  <c r="G309" i="52"/>
  <c r="H309" i="52" s="1"/>
  <c r="D309" i="52"/>
  <c r="AA308" i="52"/>
  <c r="W308" i="52"/>
  <c r="T308" i="52"/>
  <c r="S308" i="52"/>
  <c r="Q308" i="52"/>
  <c r="P308" i="52"/>
  <c r="L308" i="52"/>
  <c r="K308" i="52"/>
  <c r="I308" i="52"/>
  <c r="G308" i="52"/>
  <c r="H308" i="52" s="1"/>
  <c r="D308" i="52"/>
  <c r="AA307" i="52"/>
  <c r="W307" i="52"/>
  <c r="T307" i="52"/>
  <c r="S307" i="52"/>
  <c r="Q307" i="52"/>
  <c r="P307" i="52"/>
  <c r="L307" i="52"/>
  <c r="X307" i="52" s="1"/>
  <c r="K307" i="52"/>
  <c r="I307" i="52"/>
  <c r="G307" i="52"/>
  <c r="H307" i="52" s="1"/>
  <c r="D307" i="52"/>
  <c r="AA306" i="52"/>
  <c r="W306" i="52"/>
  <c r="T306" i="52"/>
  <c r="S306" i="52"/>
  <c r="Q306" i="52"/>
  <c r="P306" i="52"/>
  <c r="L306" i="52"/>
  <c r="K306" i="52"/>
  <c r="I306" i="52"/>
  <c r="G306" i="52"/>
  <c r="H306" i="52" s="1"/>
  <c r="D306" i="52"/>
  <c r="AA305" i="52"/>
  <c r="W305" i="52"/>
  <c r="T305" i="52"/>
  <c r="S305" i="52"/>
  <c r="Q305" i="52"/>
  <c r="P305" i="52"/>
  <c r="L305" i="52"/>
  <c r="K305" i="52"/>
  <c r="I305" i="52"/>
  <c r="G305" i="52"/>
  <c r="H305" i="52" s="1"/>
  <c r="D305" i="52"/>
  <c r="AA304" i="52"/>
  <c r="W304" i="52"/>
  <c r="T304" i="52"/>
  <c r="S304" i="52"/>
  <c r="Q304" i="52"/>
  <c r="P304" i="52"/>
  <c r="L304" i="52"/>
  <c r="X304" i="52" s="1"/>
  <c r="K304" i="52"/>
  <c r="I304" i="52"/>
  <c r="G304" i="52"/>
  <c r="H304" i="52" s="1"/>
  <c r="D304" i="52"/>
  <c r="AA303" i="52"/>
  <c r="W303" i="52"/>
  <c r="T303" i="52"/>
  <c r="S303" i="52"/>
  <c r="Q303" i="52"/>
  <c r="P303" i="52"/>
  <c r="L303" i="52"/>
  <c r="X303" i="52" s="1"/>
  <c r="K303" i="52"/>
  <c r="I303" i="52"/>
  <c r="G303" i="52"/>
  <c r="H303" i="52" s="1"/>
  <c r="D303" i="52"/>
  <c r="AA302" i="52"/>
  <c r="W302" i="52"/>
  <c r="T302" i="52"/>
  <c r="S302" i="52"/>
  <c r="Q302" i="52"/>
  <c r="P302" i="52"/>
  <c r="L302" i="52"/>
  <c r="K302" i="52"/>
  <c r="I302" i="52"/>
  <c r="G302" i="52"/>
  <c r="H302" i="52" s="1"/>
  <c r="D302" i="52"/>
  <c r="AA301" i="52"/>
  <c r="W301" i="52"/>
  <c r="T301" i="52"/>
  <c r="S301" i="52"/>
  <c r="Q301" i="52"/>
  <c r="P301" i="52"/>
  <c r="L301" i="52"/>
  <c r="K301" i="52"/>
  <c r="I301" i="52"/>
  <c r="G301" i="52"/>
  <c r="H301" i="52" s="1"/>
  <c r="D301" i="52"/>
  <c r="AA300" i="52"/>
  <c r="W300" i="52"/>
  <c r="T300" i="52"/>
  <c r="S300" i="52"/>
  <c r="Q300" i="52"/>
  <c r="P300" i="52"/>
  <c r="L300" i="52"/>
  <c r="K300" i="52"/>
  <c r="I300" i="52"/>
  <c r="G300" i="52"/>
  <c r="H300" i="52" s="1"/>
  <c r="D300" i="52"/>
  <c r="AA299" i="52"/>
  <c r="W299" i="52"/>
  <c r="T299" i="52"/>
  <c r="S299" i="52"/>
  <c r="Q299" i="52"/>
  <c r="P299" i="52"/>
  <c r="L299" i="52"/>
  <c r="X299" i="52" s="1"/>
  <c r="K299" i="52"/>
  <c r="I299" i="52"/>
  <c r="G299" i="52"/>
  <c r="H299" i="52" s="1"/>
  <c r="D299" i="52"/>
  <c r="AA298" i="52"/>
  <c r="W298" i="52"/>
  <c r="T298" i="52"/>
  <c r="S298" i="52"/>
  <c r="Q298" i="52"/>
  <c r="P298" i="52"/>
  <c r="L298" i="52"/>
  <c r="K298" i="52"/>
  <c r="I298" i="52"/>
  <c r="G298" i="52"/>
  <c r="H298" i="52" s="1"/>
  <c r="D298" i="52"/>
  <c r="AA297" i="52"/>
  <c r="W297" i="52"/>
  <c r="T297" i="52"/>
  <c r="S297" i="52"/>
  <c r="Q297" i="52"/>
  <c r="P297" i="52"/>
  <c r="L297" i="52"/>
  <c r="K297" i="52"/>
  <c r="I297" i="52"/>
  <c r="G297" i="52"/>
  <c r="H297" i="52" s="1"/>
  <c r="D297" i="52"/>
  <c r="AA296" i="52"/>
  <c r="W296" i="52"/>
  <c r="T296" i="52"/>
  <c r="S296" i="52"/>
  <c r="Q296" i="52"/>
  <c r="P296" i="52"/>
  <c r="L296" i="52"/>
  <c r="AB296" i="52" s="1"/>
  <c r="K296" i="52"/>
  <c r="I296" i="52"/>
  <c r="G296" i="52"/>
  <c r="H296" i="52" s="1"/>
  <c r="D296" i="52"/>
  <c r="AA295" i="52"/>
  <c r="W295" i="52"/>
  <c r="T295" i="52"/>
  <c r="S295" i="52"/>
  <c r="Q295" i="52"/>
  <c r="P295" i="52"/>
  <c r="L295" i="52"/>
  <c r="K295" i="52"/>
  <c r="I295" i="52"/>
  <c r="G295" i="52"/>
  <c r="H295" i="52" s="1"/>
  <c r="D295" i="52"/>
  <c r="AA294" i="52"/>
  <c r="W294" i="52"/>
  <c r="T294" i="52"/>
  <c r="S294" i="52"/>
  <c r="Q294" i="52"/>
  <c r="P294" i="52"/>
  <c r="L294" i="52"/>
  <c r="X294" i="52" s="1"/>
  <c r="K294" i="52"/>
  <c r="I294" i="52"/>
  <c r="G294" i="52"/>
  <c r="H294" i="52" s="1"/>
  <c r="D294" i="52"/>
  <c r="AA293" i="52"/>
  <c r="W293" i="52"/>
  <c r="T293" i="52"/>
  <c r="S293" i="52"/>
  <c r="Q293" i="52"/>
  <c r="P293" i="52"/>
  <c r="L293" i="52"/>
  <c r="K293" i="52"/>
  <c r="I293" i="52"/>
  <c r="G293" i="52"/>
  <c r="H293" i="52" s="1"/>
  <c r="D293" i="52"/>
  <c r="AA292" i="52"/>
  <c r="W292" i="52"/>
  <c r="T292" i="52"/>
  <c r="S292" i="52"/>
  <c r="Q292" i="52"/>
  <c r="P292" i="52"/>
  <c r="L292" i="52"/>
  <c r="X292" i="52" s="1"/>
  <c r="K292" i="52"/>
  <c r="I292" i="52"/>
  <c r="G292" i="52"/>
  <c r="H292" i="52" s="1"/>
  <c r="D292" i="52"/>
  <c r="AA291" i="52"/>
  <c r="W291" i="52"/>
  <c r="T291" i="52"/>
  <c r="S291" i="52"/>
  <c r="Q291" i="52"/>
  <c r="P291" i="52"/>
  <c r="L291" i="52"/>
  <c r="X291" i="52" s="1"/>
  <c r="K291" i="52"/>
  <c r="I291" i="52"/>
  <c r="G291" i="52"/>
  <c r="H291" i="52" s="1"/>
  <c r="D291" i="52"/>
  <c r="AA290" i="52"/>
  <c r="W290" i="52"/>
  <c r="T290" i="52"/>
  <c r="S290" i="52"/>
  <c r="Q290" i="52"/>
  <c r="P290" i="52"/>
  <c r="L290" i="52"/>
  <c r="X290" i="52" s="1"/>
  <c r="K290" i="52"/>
  <c r="I290" i="52"/>
  <c r="G290" i="52"/>
  <c r="H290" i="52" s="1"/>
  <c r="D290" i="52"/>
  <c r="AA289" i="52"/>
  <c r="W289" i="52"/>
  <c r="T289" i="52"/>
  <c r="S289" i="52"/>
  <c r="Q289" i="52"/>
  <c r="P289" i="52"/>
  <c r="L289" i="52"/>
  <c r="X289" i="52" s="1"/>
  <c r="K289" i="52"/>
  <c r="I289" i="52"/>
  <c r="G289" i="52"/>
  <c r="H289" i="52" s="1"/>
  <c r="D289" i="52"/>
  <c r="AA288" i="52"/>
  <c r="W288" i="52"/>
  <c r="T288" i="52"/>
  <c r="S288" i="52"/>
  <c r="Q288" i="52"/>
  <c r="P288" i="52"/>
  <c r="L288" i="52"/>
  <c r="AB288" i="52" s="1"/>
  <c r="K288" i="52"/>
  <c r="I288" i="52"/>
  <c r="G288" i="52"/>
  <c r="H288" i="52" s="1"/>
  <c r="D288" i="52"/>
  <c r="AA287" i="52"/>
  <c r="W287" i="52"/>
  <c r="T287" i="52"/>
  <c r="S287" i="52"/>
  <c r="Q287" i="52"/>
  <c r="P287" i="52"/>
  <c r="L287" i="52"/>
  <c r="K287" i="52"/>
  <c r="I287" i="52"/>
  <c r="G287" i="52"/>
  <c r="H287" i="52" s="1"/>
  <c r="D287" i="52"/>
  <c r="AA286" i="52"/>
  <c r="W286" i="52"/>
  <c r="T286" i="52"/>
  <c r="S286" i="52"/>
  <c r="Q286" i="52"/>
  <c r="P286" i="52"/>
  <c r="L286" i="52"/>
  <c r="X286" i="52" s="1"/>
  <c r="K286" i="52"/>
  <c r="I286" i="52"/>
  <c r="G286" i="52"/>
  <c r="H286" i="52" s="1"/>
  <c r="D286" i="52"/>
  <c r="AA285" i="52"/>
  <c r="W285" i="52"/>
  <c r="T285" i="52"/>
  <c r="S285" i="52"/>
  <c r="Q285" i="52"/>
  <c r="P285" i="52"/>
  <c r="L285" i="52"/>
  <c r="X285" i="52" s="1"/>
  <c r="K285" i="52"/>
  <c r="I285" i="52"/>
  <c r="G285" i="52"/>
  <c r="H285" i="52" s="1"/>
  <c r="D285" i="52"/>
  <c r="AA284" i="52"/>
  <c r="W284" i="52"/>
  <c r="T284" i="52"/>
  <c r="S284" i="52"/>
  <c r="Q284" i="52"/>
  <c r="P284" i="52"/>
  <c r="L284" i="52"/>
  <c r="K284" i="52"/>
  <c r="I284" i="52"/>
  <c r="G284" i="52"/>
  <c r="H284" i="52" s="1"/>
  <c r="D284" i="52"/>
  <c r="AA283" i="52"/>
  <c r="W283" i="52"/>
  <c r="T283" i="52"/>
  <c r="S283" i="52"/>
  <c r="Q283" i="52"/>
  <c r="P283" i="52"/>
  <c r="L283" i="52"/>
  <c r="K283" i="52"/>
  <c r="I283" i="52"/>
  <c r="G283" i="52"/>
  <c r="H283" i="52" s="1"/>
  <c r="D283" i="52"/>
  <c r="AA282" i="52"/>
  <c r="W282" i="52"/>
  <c r="T282" i="52"/>
  <c r="S282" i="52"/>
  <c r="Q282" i="52"/>
  <c r="P282" i="52"/>
  <c r="L282" i="52"/>
  <c r="K282" i="52"/>
  <c r="I282" i="52"/>
  <c r="G282" i="52"/>
  <c r="H282" i="52" s="1"/>
  <c r="D282" i="52"/>
  <c r="AA281" i="52"/>
  <c r="W281" i="52"/>
  <c r="T281" i="52"/>
  <c r="S281" i="52"/>
  <c r="Q281" i="52"/>
  <c r="P281" i="52"/>
  <c r="L281" i="52"/>
  <c r="X281" i="52" s="1"/>
  <c r="K281" i="52"/>
  <c r="I281" i="52"/>
  <c r="G281" i="52"/>
  <c r="H281" i="52" s="1"/>
  <c r="D281" i="52"/>
  <c r="AA280" i="52"/>
  <c r="W280" i="52"/>
  <c r="T280" i="52"/>
  <c r="S280" i="52"/>
  <c r="Q280" i="52"/>
  <c r="P280" i="52"/>
  <c r="L280" i="52"/>
  <c r="AB280" i="52" s="1"/>
  <c r="K280" i="52"/>
  <c r="I280" i="52"/>
  <c r="G280" i="52"/>
  <c r="H280" i="52" s="1"/>
  <c r="D280" i="52"/>
  <c r="AA279" i="52"/>
  <c r="W279" i="52"/>
  <c r="T279" i="52"/>
  <c r="S279" i="52"/>
  <c r="Q279" i="52"/>
  <c r="P279" i="52"/>
  <c r="L279" i="52"/>
  <c r="K279" i="52"/>
  <c r="I279" i="52"/>
  <c r="G279" i="52"/>
  <c r="H279" i="52" s="1"/>
  <c r="D279" i="52"/>
  <c r="AA278" i="52"/>
  <c r="W278" i="52"/>
  <c r="T278" i="52"/>
  <c r="S278" i="52"/>
  <c r="Q278" i="52"/>
  <c r="P278" i="52"/>
  <c r="L278" i="52"/>
  <c r="AB278" i="52" s="1"/>
  <c r="K278" i="52"/>
  <c r="I278" i="52"/>
  <c r="G278" i="52"/>
  <c r="H278" i="52" s="1"/>
  <c r="D278" i="52"/>
  <c r="AA277" i="52"/>
  <c r="W277" i="52"/>
  <c r="T277" i="52"/>
  <c r="S277" i="52"/>
  <c r="Q277" i="52"/>
  <c r="P277" i="52"/>
  <c r="L277" i="52"/>
  <c r="X277" i="52" s="1"/>
  <c r="K277" i="52"/>
  <c r="I277" i="52"/>
  <c r="G277" i="52"/>
  <c r="H277" i="52" s="1"/>
  <c r="D277" i="52"/>
  <c r="AA276" i="52"/>
  <c r="W276" i="52"/>
  <c r="T276" i="52"/>
  <c r="S276" i="52"/>
  <c r="Q276" i="52"/>
  <c r="P276" i="52"/>
  <c r="L276" i="52"/>
  <c r="K276" i="52"/>
  <c r="I276" i="52"/>
  <c r="G276" i="52"/>
  <c r="H276" i="52" s="1"/>
  <c r="D276" i="52"/>
  <c r="AA275" i="52"/>
  <c r="W275" i="52"/>
  <c r="T275" i="52"/>
  <c r="S275" i="52"/>
  <c r="Q275" i="52"/>
  <c r="P275" i="52"/>
  <c r="L275" i="52"/>
  <c r="K275" i="52"/>
  <c r="I275" i="52"/>
  <c r="G275" i="52"/>
  <c r="H275" i="52" s="1"/>
  <c r="D275" i="52"/>
  <c r="AA274" i="52"/>
  <c r="W274" i="52"/>
  <c r="T274" i="52"/>
  <c r="S274" i="52"/>
  <c r="Q274" i="52"/>
  <c r="P274" i="52"/>
  <c r="L274" i="52"/>
  <c r="X274" i="52" s="1"/>
  <c r="K274" i="52"/>
  <c r="I274" i="52"/>
  <c r="G274" i="52"/>
  <c r="H274" i="52" s="1"/>
  <c r="D274" i="52"/>
  <c r="AA273" i="52"/>
  <c r="W273" i="52"/>
  <c r="T273" i="52"/>
  <c r="S273" i="52"/>
  <c r="Q273" i="52"/>
  <c r="P273" i="52"/>
  <c r="L273" i="52"/>
  <c r="X273" i="52" s="1"/>
  <c r="K273" i="52"/>
  <c r="I273" i="52"/>
  <c r="G273" i="52"/>
  <c r="H273" i="52" s="1"/>
  <c r="D273" i="52"/>
  <c r="AA272" i="52"/>
  <c r="W272" i="52"/>
  <c r="T272" i="52"/>
  <c r="S272" i="52"/>
  <c r="Q272" i="52"/>
  <c r="P272" i="52"/>
  <c r="L272" i="52"/>
  <c r="AB272" i="52" s="1"/>
  <c r="K272" i="52"/>
  <c r="I272" i="52"/>
  <c r="G272" i="52"/>
  <c r="H272" i="52" s="1"/>
  <c r="D272" i="52"/>
  <c r="AA271" i="52"/>
  <c r="W271" i="52"/>
  <c r="T271" i="52"/>
  <c r="S271" i="52"/>
  <c r="Q271" i="52"/>
  <c r="P271" i="52"/>
  <c r="L271" i="52"/>
  <c r="K271" i="52"/>
  <c r="I271" i="52"/>
  <c r="G271" i="52"/>
  <c r="H271" i="52" s="1"/>
  <c r="D271" i="52"/>
  <c r="AA270" i="52"/>
  <c r="W270" i="52"/>
  <c r="T270" i="52"/>
  <c r="S270" i="52"/>
  <c r="Q270" i="52"/>
  <c r="P270" i="52"/>
  <c r="L270" i="52"/>
  <c r="X270" i="52" s="1"/>
  <c r="K270" i="52"/>
  <c r="I270" i="52"/>
  <c r="G270" i="52"/>
  <c r="H270" i="52" s="1"/>
  <c r="D270" i="52"/>
  <c r="AA269" i="52"/>
  <c r="W269" i="52"/>
  <c r="T269" i="52"/>
  <c r="S269" i="52"/>
  <c r="Q269" i="52"/>
  <c r="P269" i="52"/>
  <c r="L269" i="52"/>
  <c r="X269" i="52" s="1"/>
  <c r="K269" i="52"/>
  <c r="I269" i="52"/>
  <c r="G269" i="52"/>
  <c r="H269" i="52" s="1"/>
  <c r="D269" i="52"/>
  <c r="AA268" i="52"/>
  <c r="W268" i="52"/>
  <c r="T268" i="52"/>
  <c r="S268" i="52"/>
  <c r="Q268" i="52"/>
  <c r="P268" i="52"/>
  <c r="L268" i="52"/>
  <c r="AB268" i="52" s="1"/>
  <c r="K268" i="52"/>
  <c r="I268" i="52"/>
  <c r="G268" i="52"/>
  <c r="H268" i="52" s="1"/>
  <c r="D268" i="52"/>
  <c r="AA267" i="52"/>
  <c r="W267" i="52"/>
  <c r="T267" i="52"/>
  <c r="S267" i="52"/>
  <c r="Q267" i="52"/>
  <c r="P267" i="52"/>
  <c r="L267" i="52"/>
  <c r="K267" i="52"/>
  <c r="I267" i="52"/>
  <c r="G267" i="52"/>
  <c r="H267" i="52" s="1"/>
  <c r="D267" i="52"/>
  <c r="AA266" i="52"/>
  <c r="W266" i="52"/>
  <c r="T266" i="52"/>
  <c r="S266" i="52"/>
  <c r="Q266" i="52"/>
  <c r="P266" i="52"/>
  <c r="L266" i="52"/>
  <c r="K266" i="52"/>
  <c r="I266" i="52"/>
  <c r="G266" i="52"/>
  <c r="H266" i="52" s="1"/>
  <c r="D266" i="52"/>
  <c r="AA265" i="52"/>
  <c r="W265" i="52"/>
  <c r="T265" i="52"/>
  <c r="S265" i="52"/>
  <c r="Q265" i="52"/>
  <c r="P265" i="52"/>
  <c r="L265" i="52"/>
  <c r="X265" i="52" s="1"/>
  <c r="K265" i="52"/>
  <c r="I265" i="52"/>
  <c r="G265" i="52"/>
  <c r="H265" i="52" s="1"/>
  <c r="D265" i="52"/>
  <c r="AA264" i="52"/>
  <c r="W264" i="52"/>
  <c r="T264" i="52"/>
  <c r="S264" i="52"/>
  <c r="Q264" i="52"/>
  <c r="P264" i="52"/>
  <c r="L264" i="52"/>
  <c r="K264" i="52"/>
  <c r="I264" i="52"/>
  <c r="G264" i="52"/>
  <c r="H264" i="52" s="1"/>
  <c r="D264" i="52"/>
  <c r="AA263" i="52"/>
  <c r="W263" i="52"/>
  <c r="T263" i="52"/>
  <c r="S263" i="52"/>
  <c r="Q263" i="52"/>
  <c r="P263" i="52"/>
  <c r="L263" i="52"/>
  <c r="K263" i="52"/>
  <c r="I263" i="52"/>
  <c r="G263" i="52"/>
  <c r="H263" i="52" s="1"/>
  <c r="D263" i="52"/>
  <c r="AA262" i="52"/>
  <c r="W262" i="52"/>
  <c r="T262" i="52"/>
  <c r="S262" i="52"/>
  <c r="Q262" i="52"/>
  <c r="P262" i="52"/>
  <c r="L262" i="52"/>
  <c r="X262" i="52" s="1"/>
  <c r="K262" i="52"/>
  <c r="I262" i="52"/>
  <c r="G262" i="52"/>
  <c r="H262" i="52" s="1"/>
  <c r="D262" i="52"/>
  <c r="AA261" i="52"/>
  <c r="W261" i="52"/>
  <c r="T261" i="52"/>
  <c r="S261" i="52"/>
  <c r="Q261" i="52"/>
  <c r="P261" i="52"/>
  <c r="L261" i="52"/>
  <c r="X261" i="52" s="1"/>
  <c r="K261" i="52"/>
  <c r="I261" i="52"/>
  <c r="G261" i="52"/>
  <c r="H261" i="52" s="1"/>
  <c r="D261" i="52"/>
  <c r="AA260" i="52"/>
  <c r="W260" i="52"/>
  <c r="T260" i="52"/>
  <c r="S260" i="52"/>
  <c r="Q260" i="52"/>
  <c r="P260" i="52"/>
  <c r="L260" i="52"/>
  <c r="X260" i="52" s="1"/>
  <c r="K260" i="52"/>
  <c r="I260" i="52"/>
  <c r="G260" i="52"/>
  <c r="H260" i="52" s="1"/>
  <c r="D260" i="52"/>
  <c r="AA259" i="52"/>
  <c r="W259" i="52"/>
  <c r="T259" i="52"/>
  <c r="S259" i="52"/>
  <c r="Q259" i="52"/>
  <c r="P259" i="52"/>
  <c r="L259" i="52"/>
  <c r="K259" i="52"/>
  <c r="I259" i="52"/>
  <c r="G259" i="52"/>
  <c r="H259" i="52" s="1"/>
  <c r="D259" i="52"/>
  <c r="AA258" i="52"/>
  <c r="W258" i="52"/>
  <c r="T258" i="52"/>
  <c r="S258" i="52"/>
  <c r="Q258" i="52"/>
  <c r="P258" i="52"/>
  <c r="L258" i="52"/>
  <c r="X258" i="52" s="1"/>
  <c r="K258" i="52"/>
  <c r="I258" i="52"/>
  <c r="G258" i="52"/>
  <c r="H258" i="52" s="1"/>
  <c r="D258" i="52"/>
  <c r="AA257" i="52"/>
  <c r="W257" i="52"/>
  <c r="T257" i="52"/>
  <c r="S257" i="52"/>
  <c r="Q257" i="52"/>
  <c r="P257" i="52"/>
  <c r="L257" i="52"/>
  <c r="X257" i="52" s="1"/>
  <c r="K257" i="52"/>
  <c r="I257" i="52"/>
  <c r="G257" i="52"/>
  <c r="H257" i="52" s="1"/>
  <c r="D257" i="52"/>
  <c r="AA256" i="52"/>
  <c r="W256" i="52"/>
  <c r="T256" i="52"/>
  <c r="S256" i="52"/>
  <c r="Q256" i="52"/>
  <c r="P256" i="52"/>
  <c r="L256" i="52"/>
  <c r="X256" i="52" s="1"/>
  <c r="K256" i="52"/>
  <c r="I256" i="52"/>
  <c r="G256" i="52"/>
  <c r="H256" i="52" s="1"/>
  <c r="D256" i="52"/>
  <c r="AA255" i="52"/>
  <c r="W255" i="52"/>
  <c r="T255" i="52"/>
  <c r="S255" i="52"/>
  <c r="Q255" i="52"/>
  <c r="P255" i="52"/>
  <c r="L255" i="52"/>
  <c r="K255" i="52"/>
  <c r="I255" i="52"/>
  <c r="G255" i="52"/>
  <c r="H255" i="52" s="1"/>
  <c r="D255" i="52"/>
  <c r="AA254" i="52"/>
  <c r="W254" i="52"/>
  <c r="T254" i="52"/>
  <c r="S254" i="52"/>
  <c r="Q254" i="52"/>
  <c r="P254" i="52"/>
  <c r="L254" i="52"/>
  <c r="K254" i="52"/>
  <c r="I254" i="52"/>
  <c r="G254" i="52"/>
  <c r="H254" i="52" s="1"/>
  <c r="D254" i="52"/>
  <c r="AA253" i="52"/>
  <c r="W253" i="52"/>
  <c r="T253" i="52"/>
  <c r="S253" i="52"/>
  <c r="Q253" i="52"/>
  <c r="P253" i="52"/>
  <c r="L253" i="52"/>
  <c r="X253" i="52" s="1"/>
  <c r="K253" i="52"/>
  <c r="I253" i="52"/>
  <c r="G253" i="52"/>
  <c r="H253" i="52" s="1"/>
  <c r="D253" i="52"/>
  <c r="AA252" i="52"/>
  <c r="W252" i="52"/>
  <c r="T252" i="52"/>
  <c r="S252" i="52"/>
  <c r="Q252" i="52"/>
  <c r="P252" i="52"/>
  <c r="L252" i="52"/>
  <c r="K252" i="52"/>
  <c r="I252" i="52"/>
  <c r="G252" i="52"/>
  <c r="H252" i="52" s="1"/>
  <c r="D252" i="52"/>
  <c r="AA251" i="52"/>
  <c r="W251" i="52"/>
  <c r="T251" i="52"/>
  <c r="S251" i="52"/>
  <c r="Q251" i="52"/>
  <c r="P251" i="52"/>
  <c r="L251" i="52"/>
  <c r="K251" i="52"/>
  <c r="I251" i="52"/>
  <c r="G251" i="52"/>
  <c r="H251" i="52" s="1"/>
  <c r="D251" i="52"/>
  <c r="AA250" i="52"/>
  <c r="W250" i="52"/>
  <c r="T250" i="52"/>
  <c r="S250" i="52"/>
  <c r="Q250" i="52"/>
  <c r="P250" i="52"/>
  <c r="L250" i="52"/>
  <c r="X250" i="52" s="1"/>
  <c r="K250" i="52"/>
  <c r="I250" i="52"/>
  <c r="G250" i="52"/>
  <c r="H250" i="52" s="1"/>
  <c r="D250" i="52"/>
  <c r="AA249" i="52"/>
  <c r="W249" i="52"/>
  <c r="T249" i="52"/>
  <c r="S249" i="52"/>
  <c r="Q249" i="52"/>
  <c r="P249" i="52"/>
  <c r="L249" i="52"/>
  <c r="X249" i="52" s="1"/>
  <c r="K249" i="52"/>
  <c r="I249" i="52"/>
  <c r="G249" i="52"/>
  <c r="H249" i="52" s="1"/>
  <c r="D249" i="52"/>
  <c r="AA248" i="52"/>
  <c r="W248" i="52"/>
  <c r="T248" i="52"/>
  <c r="S248" i="52"/>
  <c r="Q248" i="52"/>
  <c r="P248" i="52"/>
  <c r="L248" i="52"/>
  <c r="K248" i="52"/>
  <c r="I248" i="52"/>
  <c r="G248" i="52"/>
  <c r="H248" i="52" s="1"/>
  <c r="D248" i="52"/>
  <c r="AA247" i="52"/>
  <c r="W247" i="52"/>
  <c r="T247" i="52"/>
  <c r="S247" i="52"/>
  <c r="Q247" i="52"/>
  <c r="P247" i="52"/>
  <c r="L247" i="52"/>
  <c r="K247" i="52"/>
  <c r="I247" i="52"/>
  <c r="G247" i="52"/>
  <c r="H247" i="52" s="1"/>
  <c r="D247" i="52"/>
  <c r="AA246" i="52"/>
  <c r="W246" i="52"/>
  <c r="T246" i="52"/>
  <c r="S246" i="52"/>
  <c r="Q246" i="52"/>
  <c r="P246" i="52"/>
  <c r="L246" i="52"/>
  <c r="X246" i="52" s="1"/>
  <c r="K246" i="52"/>
  <c r="I246" i="52"/>
  <c r="G246" i="52"/>
  <c r="H246" i="52" s="1"/>
  <c r="D246" i="52"/>
  <c r="AA245" i="52"/>
  <c r="W245" i="52"/>
  <c r="T245" i="52"/>
  <c r="S245" i="52"/>
  <c r="Q245" i="52"/>
  <c r="P245" i="52"/>
  <c r="L245" i="52"/>
  <c r="X245" i="52" s="1"/>
  <c r="K245" i="52"/>
  <c r="I245" i="52"/>
  <c r="G245" i="52"/>
  <c r="H245" i="52" s="1"/>
  <c r="D245" i="52"/>
  <c r="AA244" i="52"/>
  <c r="W244" i="52"/>
  <c r="T244" i="52"/>
  <c r="S244" i="52"/>
  <c r="Q244" i="52"/>
  <c r="P244" i="52"/>
  <c r="L244" i="52"/>
  <c r="X244" i="52" s="1"/>
  <c r="K244" i="52"/>
  <c r="I244" i="52"/>
  <c r="G244" i="52"/>
  <c r="H244" i="52" s="1"/>
  <c r="D244" i="52"/>
  <c r="AA243" i="52"/>
  <c r="W243" i="52"/>
  <c r="T243" i="52"/>
  <c r="S243" i="52"/>
  <c r="Q243" i="52"/>
  <c r="P243" i="52"/>
  <c r="L243" i="52"/>
  <c r="K243" i="52"/>
  <c r="I243" i="52"/>
  <c r="G243" i="52"/>
  <c r="H243" i="52" s="1"/>
  <c r="D243" i="52"/>
  <c r="AA242" i="52"/>
  <c r="W242" i="52"/>
  <c r="T242" i="52"/>
  <c r="S242" i="52"/>
  <c r="Q242" i="52"/>
  <c r="P242" i="52"/>
  <c r="L242" i="52"/>
  <c r="K242" i="52"/>
  <c r="I242" i="52"/>
  <c r="G242" i="52"/>
  <c r="H242" i="52" s="1"/>
  <c r="D242" i="52"/>
  <c r="AA241" i="52"/>
  <c r="W241" i="52"/>
  <c r="T241" i="52"/>
  <c r="S241" i="52"/>
  <c r="Q241" i="52"/>
  <c r="P241" i="52"/>
  <c r="L241" i="52"/>
  <c r="X241" i="52" s="1"/>
  <c r="K241" i="52"/>
  <c r="I241" i="52"/>
  <c r="G241" i="52"/>
  <c r="H241" i="52" s="1"/>
  <c r="D241" i="52"/>
  <c r="AA240" i="52"/>
  <c r="W240" i="52"/>
  <c r="T240" i="52"/>
  <c r="S240" i="52"/>
  <c r="Q240" i="52"/>
  <c r="P240" i="52"/>
  <c r="L240" i="52"/>
  <c r="AB240" i="52" s="1"/>
  <c r="K240" i="52"/>
  <c r="I240" i="52"/>
  <c r="G240" i="52"/>
  <c r="H240" i="52" s="1"/>
  <c r="D240" i="52"/>
  <c r="AA239" i="52"/>
  <c r="W239" i="52"/>
  <c r="T239" i="52"/>
  <c r="S239" i="52"/>
  <c r="Q239" i="52"/>
  <c r="P239" i="52"/>
  <c r="L239" i="52"/>
  <c r="K239" i="52"/>
  <c r="I239" i="52"/>
  <c r="G239" i="52"/>
  <c r="H239" i="52" s="1"/>
  <c r="D239" i="52"/>
  <c r="AA238" i="52"/>
  <c r="W238" i="52"/>
  <c r="T238" i="52"/>
  <c r="S238" i="52"/>
  <c r="Q238" i="52"/>
  <c r="P238" i="52"/>
  <c r="L238" i="52"/>
  <c r="AB238" i="52" s="1"/>
  <c r="K238" i="52"/>
  <c r="I238" i="52"/>
  <c r="G238" i="52"/>
  <c r="H238" i="52" s="1"/>
  <c r="D238" i="52"/>
  <c r="AA237" i="52"/>
  <c r="W237" i="52"/>
  <c r="T237" i="52"/>
  <c r="S237" i="52"/>
  <c r="Q237" i="52"/>
  <c r="P237" i="52"/>
  <c r="L237" i="52"/>
  <c r="X237" i="52" s="1"/>
  <c r="K237" i="52"/>
  <c r="I237" i="52"/>
  <c r="G237" i="52"/>
  <c r="H237" i="52" s="1"/>
  <c r="D237" i="52"/>
  <c r="AA236" i="52"/>
  <c r="W236" i="52"/>
  <c r="T236" i="52"/>
  <c r="S236" i="52"/>
  <c r="Q236" i="52"/>
  <c r="P236" i="52"/>
  <c r="L236" i="52"/>
  <c r="K236" i="52"/>
  <c r="I236" i="52"/>
  <c r="G236" i="52"/>
  <c r="H236" i="52" s="1"/>
  <c r="D236" i="52"/>
  <c r="AA235" i="52"/>
  <c r="W235" i="52"/>
  <c r="T235" i="52"/>
  <c r="S235" i="52"/>
  <c r="Q235" i="52"/>
  <c r="P235" i="52"/>
  <c r="L235" i="52"/>
  <c r="K235" i="52"/>
  <c r="I235" i="52"/>
  <c r="G235" i="52"/>
  <c r="H235" i="52" s="1"/>
  <c r="D235" i="52"/>
  <c r="AA234" i="52"/>
  <c r="W234" i="52"/>
  <c r="T234" i="52"/>
  <c r="S234" i="52"/>
  <c r="Q234" i="52"/>
  <c r="P234" i="52"/>
  <c r="L234" i="52"/>
  <c r="X234" i="52" s="1"/>
  <c r="K234" i="52"/>
  <c r="I234" i="52"/>
  <c r="G234" i="52"/>
  <c r="H234" i="52" s="1"/>
  <c r="D234" i="52"/>
  <c r="AA233" i="52"/>
  <c r="W233" i="52"/>
  <c r="T233" i="52"/>
  <c r="S233" i="52"/>
  <c r="Q233" i="52"/>
  <c r="P233" i="52"/>
  <c r="L233" i="52"/>
  <c r="X233" i="52" s="1"/>
  <c r="K233" i="52"/>
  <c r="I233" i="52"/>
  <c r="G233" i="52"/>
  <c r="H233" i="52" s="1"/>
  <c r="D233" i="52"/>
  <c r="AA232" i="52"/>
  <c r="W232" i="52"/>
  <c r="T232" i="52"/>
  <c r="S232" i="52"/>
  <c r="Q232" i="52"/>
  <c r="P232" i="52"/>
  <c r="L232" i="52"/>
  <c r="AB232" i="52" s="1"/>
  <c r="K232" i="52"/>
  <c r="I232" i="52"/>
  <c r="G232" i="52"/>
  <c r="H232" i="52" s="1"/>
  <c r="D232" i="52"/>
  <c r="AA231" i="52"/>
  <c r="W231" i="52"/>
  <c r="T231" i="52"/>
  <c r="S231" i="52"/>
  <c r="Q231" i="52"/>
  <c r="P231" i="52"/>
  <c r="L231" i="52"/>
  <c r="K231" i="52"/>
  <c r="I231" i="52"/>
  <c r="G231" i="52"/>
  <c r="H231" i="52" s="1"/>
  <c r="D231" i="52"/>
  <c r="AA230" i="52"/>
  <c r="W230" i="52"/>
  <c r="T230" i="52"/>
  <c r="S230" i="52"/>
  <c r="Q230" i="52"/>
  <c r="P230" i="52"/>
  <c r="L230" i="52"/>
  <c r="K230" i="52"/>
  <c r="I230" i="52"/>
  <c r="G230" i="52"/>
  <c r="H230" i="52" s="1"/>
  <c r="D230" i="52"/>
  <c r="AA229" i="52"/>
  <c r="W229" i="52"/>
  <c r="T229" i="52"/>
  <c r="S229" i="52"/>
  <c r="Q229" i="52"/>
  <c r="P229" i="52"/>
  <c r="L229" i="52"/>
  <c r="X229" i="52" s="1"/>
  <c r="K229" i="52"/>
  <c r="I229" i="52"/>
  <c r="G229" i="52"/>
  <c r="H229" i="52" s="1"/>
  <c r="D229" i="52"/>
  <c r="AA228" i="52"/>
  <c r="W228" i="52"/>
  <c r="T228" i="52"/>
  <c r="S228" i="52"/>
  <c r="Q228" i="52"/>
  <c r="P228" i="52"/>
  <c r="L228" i="52"/>
  <c r="AB228" i="52" s="1"/>
  <c r="K228" i="52"/>
  <c r="I228" i="52"/>
  <c r="G228" i="52"/>
  <c r="H228" i="52" s="1"/>
  <c r="D228" i="52"/>
  <c r="AA227" i="52"/>
  <c r="W227" i="52"/>
  <c r="T227" i="52"/>
  <c r="S227" i="52"/>
  <c r="Q227" i="52"/>
  <c r="P227" i="52"/>
  <c r="L227" i="52"/>
  <c r="K227" i="52"/>
  <c r="I227" i="52"/>
  <c r="G227" i="52"/>
  <c r="H227" i="52" s="1"/>
  <c r="D227" i="52"/>
  <c r="AA226" i="52"/>
  <c r="W226" i="52"/>
  <c r="T226" i="52"/>
  <c r="S226" i="52"/>
  <c r="Q226" i="52"/>
  <c r="P226" i="52"/>
  <c r="L226" i="52"/>
  <c r="K226" i="52"/>
  <c r="I226" i="52"/>
  <c r="G226" i="52"/>
  <c r="H226" i="52" s="1"/>
  <c r="D226" i="52"/>
  <c r="AA225" i="52"/>
  <c r="W225" i="52"/>
  <c r="T225" i="52"/>
  <c r="S225" i="52"/>
  <c r="Q225" i="52"/>
  <c r="P225" i="52"/>
  <c r="L225" i="52"/>
  <c r="X225" i="52" s="1"/>
  <c r="K225" i="52"/>
  <c r="I225" i="52"/>
  <c r="G225" i="52"/>
  <c r="H225" i="52" s="1"/>
  <c r="D225" i="52"/>
  <c r="AA224" i="52"/>
  <c r="W224" i="52"/>
  <c r="T224" i="52"/>
  <c r="S224" i="52"/>
  <c r="Q224" i="52"/>
  <c r="P224" i="52"/>
  <c r="L224" i="52"/>
  <c r="K224" i="52"/>
  <c r="I224" i="52"/>
  <c r="G224" i="52"/>
  <c r="H224" i="52" s="1"/>
  <c r="D224" i="52"/>
  <c r="AA223" i="52"/>
  <c r="W223" i="52"/>
  <c r="T223" i="52"/>
  <c r="S223" i="52"/>
  <c r="Q223" i="52"/>
  <c r="P223" i="52"/>
  <c r="L223" i="52"/>
  <c r="K223" i="52"/>
  <c r="I223" i="52"/>
  <c r="G223" i="52"/>
  <c r="H223" i="52" s="1"/>
  <c r="D223" i="52"/>
  <c r="AA222" i="52"/>
  <c r="W222" i="52"/>
  <c r="T222" i="52"/>
  <c r="S222" i="52"/>
  <c r="Q222" i="52"/>
  <c r="P222" i="52"/>
  <c r="L222" i="52"/>
  <c r="X222" i="52" s="1"/>
  <c r="K222" i="52"/>
  <c r="I222" i="52"/>
  <c r="G222" i="52"/>
  <c r="H222" i="52" s="1"/>
  <c r="D222" i="52"/>
  <c r="AA221" i="52"/>
  <c r="W221" i="52"/>
  <c r="T221" i="52"/>
  <c r="S221" i="52"/>
  <c r="Q221" i="52"/>
  <c r="P221" i="52"/>
  <c r="L221" i="52"/>
  <c r="X221" i="52" s="1"/>
  <c r="K221" i="52"/>
  <c r="I221" i="52"/>
  <c r="G221" i="52"/>
  <c r="H221" i="52" s="1"/>
  <c r="D221" i="52"/>
  <c r="AA220" i="52"/>
  <c r="W220" i="52"/>
  <c r="T220" i="52"/>
  <c r="S220" i="52"/>
  <c r="Q220" i="52"/>
  <c r="P220" i="52"/>
  <c r="L220" i="52"/>
  <c r="X220" i="52" s="1"/>
  <c r="K220" i="52"/>
  <c r="I220" i="52"/>
  <c r="G220" i="52"/>
  <c r="H220" i="52" s="1"/>
  <c r="D220" i="52"/>
  <c r="AA219" i="52"/>
  <c r="W219" i="52"/>
  <c r="T219" i="52"/>
  <c r="S219" i="52"/>
  <c r="Q219" i="52"/>
  <c r="P219" i="52"/>
  <c r="L219" i="52"/>
  <c r="K219" i="52"/>
  <c r="I219" i="52"/>
  <c r="G219" i="52"/>
  <c r="H219" i="52" s="1"/>
  <c r="D219" i="52"/>
  <c r="AA218" i="52"/>
  <c r="W218" i="52"/>
  <c r="T218" i="52"/>
  <c r="S218" i="52"/>
  <c r="Q218" i="52"/>
  <c r="P218" i="52"/>
  <c r="L218" i="52"/>
  <c r="AB218" i="52" s="1"/>
  <c r="K218" i="52"/>
  <c r="I218" i="52"/>
  <c r="G218" i="52"/>
  <c r="H218" i="52" s="1"/>
  <c r="D218" i="52"/>
  <c r="AA217" i="52"/>
  <c r="W217" i="52"/>
  <c r="T217" i="52"/>
  <c r="S217" i="52"/>
  <c r="Q217" i="52"/>
  <c r="P217" i="52"/>
  <c r="L217" i="52"/>
  <c r="X217" i="52" s="1"/>
  <c r="K217" i="52"/>
  <c r="I217" i="52"/>
  <c r="G217" i="52"/>
  <c r="H217" i="52" s="1"/>
  <c r="D217" i="52"/>
  <c r="AA216" i="52"/>
  <c r="W216" i="52"/>
  <c r="T216" i="52"/>
  <c r="S216" i="52"/>
  <c r="Q216" i="52"/>
  <c r="P216" i="52"/>
  <c r="L216" i="52"/>
  <c r="AB216" i="52" s="1"/>
  <c r="K216" i="52"/>
  <c r="I216" i="52"/>
  <c r="G216" i="52"/>
  <c r="H216" i="52" s="1"/>
  <c r="D216" i="52"/>
  <c r="AA215" i="52"/>
  <c r="W215" i="52"/>
  <c r="T215" i="52"/>
  <c r="S215" i="52"/>
  <c r="Q215" i="52"/>
  <c r="P215" i="52"/>
  <c r="L215" i="52"/>
  <c r="K215" i="52"/>
  <c r="I215" i="52"/>
  <c r="G215" i="52"/>
  <c r="H215" i="52" s="1"/>
  <c r="D215" i="52"/>
  <c r="AA214" i="52"/>
  <c r="W214" i="52"/>
  <c r="T214" i="52"/>
  <c r="S214" i="52"/>
  <c r="Q214" i="52"/>
  <c r="P214" i="52"/>
  <c r="L214" i="52"/>
  <c r="X214" i="52" s="1"/>
  <c r="K214" i="52"/>
  <c r="I214" i="52"/>
  <c r="G214" i="52"/>
  <c r="H214" i="52" s="1"/>
  <c r="D214" i="52"/>
  <c r="AA213" i="52"/>
  <c r="W213" i="52"/>
  <c r="T213" i="52"/>
  <c r="S213" i="52"/>
  <c r="Q213" i="52"/>
  <c r="P213" i="52"/>
  <c r="L213" i="52"/>
  <c r="X213" i="52" s="1"/>
  <c r="K213" i="52"/>
  <c r="I213" i="52"/>
  <c r="G213" i="52"/>
  <c r="H213" i="52" s="1"/>
  <c r="D213" i="52"/>
  <c r="AA212" i="52"/>
  <c r="W212" i="52"/>
  <c r="T212" i="52"/>
  <c r="S212" i="52"/>
  <c r="Q212" i="52"/>
  <c r="P212" i="52"/>
  <c r="L212" i="52"/>
  <c r="X212" i="52" s="1"/>
  <c r="K212" i="52"/>
  <c r="I212" i="52"/>
  <c r="G212" i="52"/>
  <c r="H212" i="52" s="1"/>
  <c r="D212" i="52"/>
  <c r="AA211" i="52"/>
  <c r="W211" i="52"/>
  <c r="T211" i="52"/>
  <c r="S211" i="52"/>
  <c r="Q211" i="52"/>
  <c r="P211" i="52"/>
  <c r="L211" i="52"/>
  <c r="K211" i="52"/>
  <c r="I211" i="52"/>
  <c r="G211" i="52"/>
  <c r="H211" i="52" s="1"/>
  <c r="D211" i="52"/>
  <c r="AA210" i="52"/>
  <c r="W210" i="52"/>
  <c r="T210" i="52"/>
  <c r="S210" i="52"/>
  <c r="Q210" i="52"/>
  <c r="P210" i="52"/>
  <c r="L210" i="52"/>
  <c r="K210" i="52"/>
  <c r="I210" i="52"/>
  <c r="G210" i="52"/>
  <c r="H210" i="52" s="1"/>
  <c r="D210" i="52"/>
  <c r="AA209" i="52"/>
  <c r="W209" i="52"/>
  <c r="T209" i="52"/>
  <c r="S209" i="52"/>
  <c r="Q209" i="52"/>
  <c r="P209" i="52"/>
  <c r="L209" i="52"/>
  <c r="X209" i="52" s="1"/>
  <c r="K209" i="52"/>
  <c r="I209" i="52"/>
  <c r="G209" i="52"/>
  <c r="H209" i="52" s="1"/>
  <c r="D209" i="52"/>
  <c r="AA208" i="52"/>
  <c r="W208" i="52"/>
  <c r="T208" i="52"/>
  <c r="S208" i="52"/>
  <c r="Q208" i="52"/>
  <c r="P208" i="52"/>
  <c r="L208" i="52"/>
  <c r="AB208" i="52" s="1"/>
  <c r="K208" i="52"/>
  <c r="I208" i="52"/>
  <c r="G208" i="52"/>
  <c r="H208" i="52" s="1"/>
  <c r="D208" i="52"/>
  <c r="AA207" i="52"/>
  <c r="W207" i="52"/>
  <c r="T207" i="52"/>
  <c r="S207" i="52"/>
  <c r="Q207" i="52"/>
  <c r="P207" i="52"/>
  <c r="L207" i="52"/>
  <c r="K207" i="52"/>
  <c r="I207" i="52"/>
  <c r="G207" i="52"/>
  <c r="H207" i="52" s="1"/>
  <c r="D207" i="52"/>
  <c r="AA206" i="52"/>
  <c r="W206" i="52"/>
  <c r="T206" i="52"/>
  <c r="S206" i="52"/>
  <c r="Q206" i="52"/>
  <c r="P206" i="52"/>
  <c r="L206" i="52"/>
  <c r="AB206" i="52" s="1"/>
  <c r="K206" i="52"/>
  <c r="I206" i="52"/>
  <c r="G206" i="52"/>
  <c r="H206" i="52" s="1"/>
  <c r="D206" i="52"/>
  <c r="AA205" i="52"/>
  <c r="W205" i="52"/>
  <c r="T205" i="52"/>
  <c r="S205" i="52"/>
  <c r="Q205" i="52"/>
  <c r="P205" i="52"/>
  <c r="L205" i="52"/>
  <c r="X205" i="52" s="1"/>
  <c r="K205" i="52"/>
  <c r="I205" i="52"/>
  <c r="G205" i="52"/>
  <c r="H205" i="52" s="1"/>
  <c r="D205" i="52"/>
  <c r="AA204" i="52"/>
  <c r="W204" i="52"/>
  <c r="T204" i="52"/>
  <c r="S204" i="52"/>
  <c r="Q204" i="52"/>
  <c r="P204" i="52"/>
  <c r="L204" i="52"/>
  <c r="K204" i="52"/>
  <c r="I204" i="52"/>
  <c r="G204" i="52"/>
  <c r="H204" i="52" s="1"/>
  <c r="D204" i="52"/>
  <c r="AA203" i="52"/>
  <c r="W203" i="52"/>
  <c r="T203" i="52"/>
  <c r="S203" i="52"/>
  <c r="Q203" i="52"/>
  <c r="P203" i="52"/>
  <c r="L203" i="52"/>
  <c r="K203" i="52"/>
  <c r="I203" i="52"/>
  <c r="G203" i="52"/>
  <c r="H203" i="52" s="1"/>
  <c r="D203" i="52"/>
  <c r="AA202" i="52"/>
  <c r="W202" i="52"/>
  <c r="T202" i="52"/>
  <c r="S202" i="52"/>
  <c r="Q202" i="52"/>
  <c r="P202" i="52"/>
  <c r="L202" i="52"/>
  <c r="K202" i="52"/>
  <c r="I202" i="52"/>
  <c r="G202" i="52"/>
  <c r="H202" i="52" s="1"/>
  <c r="D202" i="52"/>
  <c r="AA201" i="52"/>
  <c r="W201" i="52"/>
  <c r="T201" i="52"/>
  <c r="S201" i="52"/>
  <c r="Q201" i="52"/>
  <c r="P201" i="52"/>
  <c r="L201" i="52"/>
  <c r="X201" i="52" s="1"/>
  <c r="K201" i="52"/>
  <c r="I201" i="52"/>
  <c r="G201" i="52"/>
  <c r="H201" i="52" s="1"/>
  <c r="D201" i="52"/>
  <c r="AA200" i="52"/>
  <c r="W200" i="52"/>
  <c r="T200" i="52"/>
  <c r="S200" i="52"/>
  <c r="Q200" i="52"/>
  <c r="P200" i="52"/>
  <c r="L200" i="52"/>
  <c r="X200" i="52" s="1"/>
  <c r="K200" i="52"/>
  <c r="I200" i="52"/>
  <c r="G200" i="52"/>
  <c r="H200" i="52" s="1"/>
  <c r="D200" i="52"/>
  <c r="AA199" i="52"/>
  <c r="W199" i="52"/>
  <c r="T199" i="52"/>
  <c r="S199" i="52"/>
  <c r="Q199" i="52"/>
  <c r="P199" i="52"/>
  <c r="L199" i="52"/>
  <c r="K199" i="52"/>
  <c r="I199" i="52"/>
  <c r="G199" i="52"/>
  <c r="H199" i="52" s="1"/>
  <c r="D199" i="52"/>
  <c r="AA198" i="52"/>
  <c r="W198" i="52"/>
  <c r="T198" i="52"/>
  <c r="S198" i="52"/>
  <c r="Q198" i="52"/>
  <c r="P198" i="52"/>
  <c r="L198" i="52"/>
  <c r="AB198" i="52" s="1"/>
  <c r="K198" i="52"/>
  <c r="I198" i="52"/>
  <c r="G198" i="52"/>
  <c r="H198" i="52" s="1"/>
  <c r="D198" i="52"/>
  <c r="AA197" i="52"/>
  <c r="W197" i="52"/>
  <c r="T197" i="52"/>
  <c r="S197" i="52"/>
  <c r="Q197" i="52"/>
  <c r="P197" i="52"/>
  <c r="L197" i="52"/>
  <c r="K197" i="52"/>
  <c r="I197" i="52"/>
  <c r="G197" i="52"/>
  <c r="H197" i="52" s="1"/>
  <c r="D197" i="52"/>
  <c r="AA196" i="52"/>
  <c r="W196" i="52"/>
  <c r="T196" i="52"/>
  <c r="S196" i="52"/>
  <c r="Q196" i="52"/>
  <c r="P196" i="52"/>
  <c r="L196" i="52"/>
  <c r="X196" i="52" s="1"/>
  <c r="K196" i="52"/>
  <c r="I196" i="52"/>
  <c r="G196" i="52"/>
  <c r="H196" i="52" s="1"/>
  <c r="D196" i="52"/>
  <c r="AA195" i="52"/>
  <c r="W195" i="52"/>
  <c r="T195" i="52"/>
  <c r="S195" i="52"/>
  <c r="Q195" i="52"/>
  <c r="P195" i="52"/>
  <c r="L195" i="52"/>
  <c r="K195" i="52"/>
  <c r="I195" i="52"/>
  <c r="G195" i="52"/>
  <c r="H195" i="52" s="1"/>
  <c r="D195" i="52"/>
  <c r="AA194" i="52"/>
  <c r="W194" i="52"/>
  <c r="T194" i="52"/>
  <c r="S194" i="52"/>
  <c r="Q194" i="52"/>
  <c r="P194" i="52"/>
  <c r="L194" i="52"/>
  <c r="X194" i="52" s="1"/>
  <c r="K194" i="52"/>
  <c r="I194" i="52"/>
  <c r="G194" i="52"/>
  <c r="H194" i="52" s="1"/>
  <c r="D194" i="52"/>
  <c r="AA193" i="52"/>
  <c r="W193" i="52"/>
  <c r="T193" i="52"/>
  <c r="S193" i="52"/>
  <c r="Q193" i="52"/>
  <c r="P193" i="52"/>
  <c r="L193" i="52"/>
  <c r="K193" i="52"/>
  <c r="I193" i="52"/>
  <c r="G193" i="52"/>
  <c r="H193" i="52" s="1"/>
  <c r="D193" i="52"/>
  <c r="AA192" i="52"/>
  <c r="W192" i="52"/>
  <c r="T192" i="52"/>
  <c r="S192" i="52"/>
  <c r="Q192" i="52"/>
  <c r="P192" i="52"/>
  <c r="L192" i="52"/>
  <c r="X192" i="52" s="1"/>
  <c r="K192" i="52"/>
  <c r="I192" i="52"/>
  <c r="G192" i="52"/>
  <c r="H192" i="52" s="1"/>
  <c r="D192" i="52"/>
  <c r="AA191" i="52"/>
  <c r="W191" i="52"/>
  <c r="T191" i="52"/>
  <c r="S191" i="52"/>
  <c r="Q191" i="52"/>
  <c r="P191" i="52"/>
  <c r="L191" i="52"/>
  <c r="K191" i="52"/>
  <c r="I191" i="52"/>
  <c r="G191" i="52"/>
  <c r="H191" i="52" s="1"/>
  <c r="D191" i="52"/>
  <c r="AA190" i="52"/>
  <c r="W190" i="52"/>
  <c r="T190" i="52"/>
  <c r="S190" i="52"/>
  <c r="Q190" i="52"/>
  <c r="P190" i="52"/>
  <c r="L190" i="52"/>
  <c r="X190" i="52" s="1"/>
  <c r="K190" i="52"/>
  <c r="I190" i="52"/>
  <c r="G190" i="52"/>
  <c r="H190" i="52" s="1"/>
  <c r="D190" i="52"/>
  <c r="AA189" i="52"/>
  <c r="W189" i="52"/>
  <c r="T189" i="52"/>
  <c r="S189" i="52"/>
  <c r="Q189" i="52"/>
  <c r="P189" i="52"/>
  <c r="L189" i="52"/>
  <c r="K189" i="52"/>
  <c r="I189" i="52"/>
  <c r="G189" i="52"/>
  <c r="H189" i="52" s="1"/>
  <c r="D189" i="52"/>
  <c r="AA188" i="52"/>
  <c r="W188" i="52"/>
  <c r="T188" i="52"/>
  <c r="S188" i="52"/>
  <c r="Q188" i="52"/>
  <c r="P188" i="52"/>
  <c r="L188" i="52"/>
  <c r="X188" i="52" s="1"/>
  <c r="K188" i="52"/>
  <c r="I188" i="52"/>
  <c r="G188" i="52"/>
  <c r="H188" i="52" s="1"/>
  <c r="D188" i="52"/>
  <c r="AA187" i="52"/>
  <c r="W187" i="52"/>
  <c r="T187" i="52"/>
  <c r="S187" i="52"/>
  <c r="Q187" i="52"/>
  <c r="P187" i="52"/>
  <c r="L187" i="52"/>
  <c r="K187" i="52"/>
  <c r="I187" i="52"/>
  <c r="G187" i="52"/>
  <c r="H187" i="52" s="1"/>
  <c r="D187" i="52"/>
  <c r="AA186" i="52"/>
  <c r="W186" i="52"/>
  <c r="T186" i="52"/>
  <c r="S186" i="52"/>
  <c r="Q186" i="52"/>
  <c r="P186" i="52"/>
  <c r="L186" i="52"/>
  <c r="AB186" i="52" s="1"/>
  <c r="K186" i="52"/>
  <c r="I186" i="52"/>
  <c r="G186" i="52"/>
  <c r="H186" i="52" s="1"/>
  <c r="D186" i="52"/>
  <c r="AA185" i="52"/>
  <c r="W185" i="52"/>
  <c r="T185" i="52"/>
  <c r="S185" i="52"/>
  <c r="Q185" i="52"/>
  <c r="P185" i="52"/>
  <c r="L185" i="52"/>
  <c r="K185" i="52"/>
  <c r="I185" i="52"/>
  <c r="G185" i="52"/>
  <c r="H185" i="52" s="1"/>
  <c r="D185" i="52"/>
  <c r="AA184" i="52"/>
  <c r="W184" i="52"/>
  <c r="T184" i="52"/>
  <c r="S184" i="52"/>
  <c r="Q184" i="52"/>
  <c r="P184" i="52"/>
  <c r="L184" i="52"/>
  <c r="X184" i="52" s="1"/>
  <c r="K184" i="52"/>
  <c r="I184" i="52"/>
  <c r="G184" i="52"/>
  <c r="H184" i="52" s="1"/>
  <c r="D184" i="52"/>
  <c r="AA183" i="52"/>
  <c r="W183" i="52"/>
  <c r="T183" i="52"/>
  <c r="S183" i="52"/>
  <c r="Q183" i="52"/>
  <c r="P183" i="52"/>
  <c r="L183" i="52"/>
  <c r="K183" i="52"/>
  <c r="I183" i="52"/>
  <c r="G183" i="52"/>
  <c r="H183" i="52" s="1"/>
  <c r="D183" i="52"/>
  <c r="AA182" i="52"/>
  <c r="W182" i="52"/>
  <c r="T182" i="52"/>
  <c r="S182" i="52"/>
  <c r="Q182" i="52"/>
  <c r="P182" i="52"/>
  <c r="L182" i="52"/>
  <c r="AB182" i="52" s="1"/>
  <c r="K182" i="52"/>
  <c r="I182" i="52"/>
  <c r="G182" i="52"/>
  <c r="H182" i="52" s="1"/>
  <c r="D182" i="52"/>
  <c r="AA181" i="52"/>
  <c r="W181" i="52"/>
  <c r="T181" i="52"/>
  <c r="S181" i="52"/>
  <c r="Q181" i="52"/>
  <c r="P181" i="52"/>
  <c r="L181" i="52"/>
  <c r="K181" i="52"/>
  <c r="I181" i="52"/>
  <c r="G181" i="52"/>
  <c r="H181" i="52" s="1"/>
  <c r="D181" i="52"/>
  <c r="AA180" i="52"/>
  <c r="W180" i="52"/>
  <c r="T180" i="52"/>
  <c r="S180" i="52"/>
  <c r="Q180" i="52"/>
  <c r="P180" i="52"/>
  <c r="L180" i="52"/>
  <c r="X180" i="52" s="1"/>
  <c r="K180" i="52"/>
  <c r="I180" i="52"/>
  <c r="G180" i="52"/>
  <c r="H180" i="52" s="1"/>
  <c r="D180" i="52"/>
  <c r="AA179" i="52"/>
  <c r="W179" i="52"/>
  <c r="T179" i="52"/>
  <c r="S179" i="52"/>
  <c r="Q179" i="52"/>
  <c r="P179" i="52"/>
  <c r="L179" i="52"/>
  <c r="K179" i="52"/>
  <c r="I179" i="52"/>
  <c r="G179" i="52"/>
  <c r="H179" i="52" s="1"/>
  <c r="D179" i="52"/>
  <c r="AA178" i="52"/>
  <c r="W178" i="52"/>
  <c r="T178" i="52"/>
  <c r="S178" i="52"/>
  <c r="Q178" i="52"/>
  <c r="P178" i="52"/>
  <c r="L178" i="52"/>
  <c r="X178" i="52" s="1"/>
  <c r="K178" i="52"/>
  <c r="I178" i="52"/>
  <c r="G178" i="52"/>
  <c r="H178" i="52" s="1"/>
  <c r="D178" i="52"/>
  <c r="AA177" i="52"/>
  <c r="W177" i="52"/>
  <c r="T177" i="52"/>
  <c r="S177" i="52"/>
  <c r="Q177" i="52"/>
  <c r="P177" i="52"/>
  <c r="L177" i="52"/>
  <c r="K177" i="52"/>
  <c r="I177" i="52"/>
  <c r="G177" i="52"/>
  <c r="H177" i="52" s="1"/>
  <c r="D177" i="52"/>
  <c r="AA176" i="52"/>
  <c r="W176" i="52"/>
  <c r="T176" i="52"/>
  <c r="S176" i="52"/>
  <c r="Q176" i="52"/>
  <c r="P176" i="52"/>
  <c r="L176" i="52"/>
  <c r="X176" i="52" s="1"/>
  <c r="K176" i="52"/>
  <c r="I176" i="52"/>
  <c r="G176" i="52"/>
  <c r="H176" i="52" s="1"/>
  <c r="D176" i="52"/>
  <c r="AA175" i="52"/>
  <c r="W175" i="52"/>
  <c r="T175" i="52"/>
  <c r="S175" i="52"/>
  <c r="Q175" i="52"/>
  <c r="P175" i="52"/>
  <c r="L175" i="52"/>
  <c r="AB175" i="52" s="1"/>
  <c r="K175" i="52"/>
  <c r="I175" i="52"/>
  <c r="G175" i="52"/>
  <c r="H175" i="52" s="1"/>
  <c r="D175" i="52"/>
  <c r="AA174" i="52"/>
  <c r="W174" i="52"/>
  <c r="T174" i="52"/>
  <c r="S174" i="52"/>
  <c r="Q174" i="52"/>
  <c r="P174" i="52"/>
  <c r="L174" i="52"/>
  <c r="K174" i="52"/>
  <c r="I174" i="52"/>
  <c r="G174" i="52"/>
  <c r="H174" i="52" s="1"/>
  <c r="D174" i="52"/>
  <c r="AA173" i="52"/>
  <c r="W173" i="52"/>
  <c r="T173" i="52"/>
  <c r="S173" i="52"/>
  <c r="Q173" i="52"/>
  <c r="P173" i="52"/>
  <c r="L173" i="52"/>
  <c r="AB173" i="52" s="1"/>
  <c r="K173" i="52"/>
  <c r="I173" i="52"/>
  <c r="G173" i="52"/>
  <c r="H173" i="52" s="1"/>
  <c r="D173" i="52"/>
  <c r="AA172" i="52"/>
  <c r="W172" i="52"/>
  <c r="T172" i="52"/>
  <c r="S172" i="52"/>
  <c r="Q172" i="52"/>
  <c r="P172" i="52"/>
  <c r="L172" i="52"/>
  <c r="K172" i="52"/>
  <c r="I172" i="52"/>
  <c r="G172" i="52"/>
  <c r="H172" i="52" s="1"/>
  <c r="D172" i="52"/>
  <c r="AA171" i="52"/>
  <c r="W171" i="52"/>
  <c r="T171" i="52"/>
  <c r="S171" i="52"/>
  <c r="Q171" i="52"/>
  <c r="P171" i="52"/>
  <c r="L171" i="52"/>
  <c r="K171" i="52"/>
  <c r="I171" i="52"/>
  <c r="G171" i="52"/>
  <c r="H171" i="52" s="1"/>
  <c r="D171" i="52"/>
  <c r="AA170" i="52"/>
  <c r="W170" i="52"/>
  <c r="T170" i="52"/>
  <c r="S170" i="52"/>
  <c r="Q170" i="52"/>
  <c r="P170" i="52"/>
  <c r="L170" i="52"/>
  <c r="K170" i="52"/>
  <c r="I170" i="52"/>
  <c r="G170" i="52"/>
  <c r="H170" i="52" s="1"/>
  <c r="D170" i="52"/>
  <c r="AA169" i="52"/>
  <c r="W169" i="52"/>
  <c r="T169" i="52"/>
  <c r="S169" i="52"/>
  <c r="Q169" i="52"/>
  <c r="P169" i="52"/>
  <c r="L169" i="52"/>
  <c r="X169" i="52" s="1"/>
  <c r="K169" i="52"/>
  <c r="I169" i="52"/>
  <c r="G169" i="52"/>
  <c r="H169" i="52" s="1"/>
  <c r="D169" i="52"/>
  <c r="AA168" i="52"/>
  <c r="W168" i="52"/>
  <c r="T168" i="52"/>
  <c r="S168" i="52"/>
  <c r="Q168" i="52"/>
  <c r="P168" i="52"/>
  <c r="L168" i="52"/>
  <c r="K168" i="52"/>
  <c r="I168" i="52"/>
  <c r="G168" i="52"/>
  <c r="H168" i="52" s="1"/>
  <c r="D168" i="52"/>
  <c r="AA167" i="52"/>
  <c r="W167" i="52"/>
  <c r="T167" i="52"/>
  <c r="S167" i="52"/>
  <c r="Q167" i="52"/>
  <c r="P167" i="52"/>
  <c r="L167" i="52"/>
  <c r="X167" i="52" s="1"/>
  <c r="K167" i="52"/>
  <c r="I167" i="52"/>
  <c r="G167" i="52"/>
  <c r="H167" i="52" s="1"/>
  <c r="D167" i="52"/>
  <c r="AA166" i="52"/>
  <c r="W166" i="52"/>
  <c r="T166" i="52"/>
  <c r="S166" i="52"/>
  <c r="Q166" i="52"/>
  <c r="P166" i="52"/>
  <c r="L166" i="52"/>
  <c r="K166" i="52"/>
  <c r="I166" i="52"/>
  <c r="G166" i="52"/>
  <c r="H166" i="52" s="1"/>
  <c r="D166" i="52"/>
  <c r="AA165" i="52"/>
  <c r="W165" i="52"/>
  <c r="T165" i="52"/>
  <c r="S165" i="52"/>
  <c r="Q165" i="52"/>
  <c r="P165" i="52"/>
  <c r="L165" i="52"/>
  <c r="K165" i="52"/>
  <c r="I165" i="52"/>
  <c r="G165" i="52"/>
  <c r="H165" i="52" s="1"/>
  <c r="D165" i="52"/>
  <c r="AA164" i="52"/>
  <c r="W164" i="52"/>
  <c r="T164" i="52"/>
  <c r="S164" i="52"/>
  <c r="Q164" i="52"/>
  <c r="P164" i="52"/>
  <c r="L164" i="52"/>
  <c r="K164" i="52"/>
  <c r="I164" i="52"/>
  <c r="G164" i="52"/>
  <c r="H164" i="52" s="1"/>
  <c r="D164" i="52"/>
  <c r="AA163" i="52"/>
  <c r="W163" i="52"/>
  <c r="T163" i="52"/>
  <c r="S163" i="52"/>
  <c r="Q163" i="52"/>
  <c r="P163" i="52"/>
  <c r="L163" i="52"/>
  <c r="K163" i="52"/>
  <c r="I163" i="52"/>
  <c r="G163" i="52"/>
  <c r="H163" i="52" s="1"/>
  <c r="D163" i="52"/>
  <c r="AA162" i="52"/>
  <c r="W162" i="52"/>
  <c r="T162" i="52"/>
  <c r="S162" i="52"/>
  <c r="Q162" i="52"/>
  <c r="P162" i="52"/>
  <c r="L162" i="52"/>
  <c r="K162" i="52"/>
  <c r="I162" i="52"/>
  <c r="G162" i="52"/>
  <c r="H162" i="52" s="1"/>
  <c r="D162" i="52"/>
  <c r="AA161" i="52"/>
  <c r="W161" i="52"/>
  <c r="T161" i="52"/>
  <c r="S161" i="52"/>
  <c r="Q161" i="52"/>
  <c r="P161" i="52"/>
  <c r="L161" i="52"/>
  <c r="X161" i="52" s="1"/>
  <c r="K161" i="52"/>
  <c r="I161" i="52"/>
  <c r="G161" i="52"/>
  <c r="H161" i="52" s="1"/>
  <c r="D161" i="52"/>
  <c r="AA160" i="52"/>
  <c r="W160" i="52"/>
  <c r="T160" i="52"/>
  <c r="S160" i="52"/>
  <c r="Q160" i="52"/>
  <c r="P160" i="52"/>
  <c r="L160" i="52"/>
  <c r="K160" i="52"/>
  <c r="I160" i="52"/>
  <c r="G160" i="52"/>
  <c r="H160" i="52" s="1"/>
  <c r="D160" i="52"/>
  <c r="AA159" i="52"/>
  <c r="W159" i="52"/>
  <c r="T159" i="52"/>
  <c r="S159" i="52"/>
  <c r="Q159" i="52"/>
  <c r="P159" i="52"/>
  <c r="L159" i="52"/>
  <c r="K159" i="52"/>
  <c r="I159" i="52"/>
  <c r="G159" i="52"/>
  <c r="H159" i="52" s="1"/>
  <c r="D159" i="52"/>
  <c r="AA158" i="52"/>
  <c r="W158" i="52"/>
  <c r="T158" i="52"/>
  <c r="S158" i="52"/>
  <c r="Q158" i="52"/>
  <c r="P158" i="52"/>
  <c r="L158" i="52"/>
  <c r="K158" i="52"/>
  <c r="I158" i="52"/>
  <c r="G158" i="52"/>
  <c r="H158" i="52" s="1"/>
  <c r="D158" i="52"/>
  <c r="AA157" i="52"/>
  <c r="W157" i="52"/>
  <c r="T157" i="52"/>
  <c r="S157" i="52"/>
  <c r="Q157" i="52"/>
  <c r="P157" i="52"/>
  <c r="L157" i="52"/>
  <c r="X157" i="52" s="1"/>
  <c r="K157" i="52"/>
  <c r="I157" i="52"/>
  <c r="G157" i="52"/>
  <c r="H157" i="52" s="1"/>
  <c r="D157" i="52"/>
  <c r="AA156" i="52"/>
  <c r="W156" i="52"/>
  <c r="T156" i="52"/>
  <c r="S156" i="52"/>
  <c r="Q156" i="52"/>
  <c r="P156" i="52"/>
  <c r="L156" i="52"/>
  <c r="K156" i="52"/>
  <c r="I156" i="52"/>
  <c r="G156" i="52"/>
  <c r="H156" i="52" s="1"/>
  <c r="D156" i="52"/>
  <c r="AA155" i="52"/>
  <c r="W155" i="52"/>
  <c r="T155" i="52"/>
  <c r="S155" i="52"/>
  <c r="Q155" i="52"/>
  <c r="P155" i="52"/>
  <c r="L155" i="52"/>
  <c r="X155" i="52" s="1"/>
  <c r="K155" i="52"/>
  <c r="I155" i="52"/>
  <c r="G155" i="52"/>
  <c r="H155" i="52" s="1"/>
  <c r="D155" i="52"/>
  <c r="AA154" i="52"/>
  <c r="W154" i="52"/>
  <c r="T154" i="52"/>
  <c r="S154" i="52"/>
  <c r="Q154" i="52"/>
  <c r="P154" i="52"/>
  <c r="L154" i="52"/>
  <c r="K154" i="52"/>
  <c r="I154" i="52"/>
  <c r="G154" i="52"/>
  <c r="H154" i="52" s="1"/>
  <c r="D154" i="52"/>
  <c r="AA153" i="52"/>
  <c r="W153" i="52"/>
  <c r="T153" i="52"/>
  <c r="S153" i="52"/>
  <c r="Q153" i="52"/>
  <c r="P153" i="52"/>
  <c r="L153" i="52"/>
  <c r="X153" i="52" s="1"/>
  <c r="K153" i="52"/>
  <c r="I153" i="52"/>
  <c r="G153" i="52"/>
  <c r="H153" i="52" s="1"/>
  <c r="D153" i="52"/>
  <c r="AA152" i="52"/>
  <c r="W152" i="52"/>
  <c r="T152" i="52"/>
  <c r="S152" i="52"/>
  <c r="Q152" i="52"/>
  <c r="P152" i="52"/>
  <c r="L152" i="52"/>
  <c r="K152" i="52"/>
  <c r="I152" i="52"/>
  <c r="G152" i="52"/>
  <c r="H152" i="52" s="1"/>
  <c r="D152" i="52"/>
  <c r="AA151" i="52"/>
  <c r="W151" i="52"/>
  <c r="T151" i="52"/>
  <c r="S151" i="52"/>
  <c r="Q151" i="52"/>
  <c r="P151" i="52"/>
  <c r="L151" i="52"/>
  <c r="K151" i="52"/>
  <c r="I151" i="52"/>
  <c r="G151" i="52"/>
  <c r="H151" i="52" s="1"/>
  <c r="D151" i="52"/>
  <c r="AA150" i="52"/>
  <c r="W150" i="52"/>
  <c r="T150" i="52"/>
  <c r="S150" i="52"/>
  <c r="Q150" i="52"/>
  <c r="P150" i="52"/>
  <c r="L150" i="52"/>
  <c r="K150" i="52"/>
  <c r="I150" i="52"/>
  <c r="G150" i="52"/>
  <c r="H150" i="52" s="1"/>
  <c r="D150" i="52"/>
  <c r="AA149" i="52"/>
  <c r="W149" i="52"/>
  <c r="T149" i="52"/>
  <c r="S149" i="52"/>
  <c r="Q149" i="52"/>
  <c r="P149" i="52"/>
  <c r="L149" i="52"/>
  <c r="AB149" i="52" s="1"/>
  <c r="K149" i="52"/>
  <c r="I149" i="52"/>
  <c r="G149" i="52"/>
  <c r="H149" i="52" s="1"/>
  <c r="D149" i="52"/>
  <c r="AA148" i="52"/>
  <c r="W148" i="52"/>
  <c r="T148" i="52"/>
  <c r="S148" i="52"/>
  <c r="Q148" i="52"/>
  <c r="P148" i="52"/>
  <c r="L148" i="52"/>
  <c r="K148" i="52"/>
  <c r="I148" i="52"/>
  <c r="G148" i="52"/>
  <c r="H148" i="52" s="1"/>
  <c r="D148" i="52"/>
  <c r="AA147" i="52"/>
  <c r="W147" i="52"/>
  <c r="T147" i="52"/>
  <c r="S147" i="52"/>
  <c r="Q147" i="52"/>
  <c r="P147" i="52"/>
  <c r="L147" i="52"/>
  <c r="X147" i="52" s="1"/>
  <c r="K147" i="52"/>
  <c r="I147" i="52"/>
  <c r="G147" i="52"/>
  <c r="H147" i="52" s="1"/>
  <c r="D147" i="52"/>
  <c r="AA146" i="52"/>
  <c r="W146" i="52"/>
  <c r="T146" i="52"/>
  <c r="S146" i="52"/>
  <c r="Q146" i="52"/>
  <c r="P146" i="52"/>
  <c r="L146" i="52"/>
  <c r="K146" i="52"/>
  <c r="I146" i="52"/>
  <c r="G146" i="52"/>
  <c r="H146" i="52" s="1"/>
  <c r="D146" i="52"/>
  <c r="AA145" i="52"/>
  <c r="W145" i="52"/>
  <c r="T145" i="52"/>
  <c r="S145" i="52"/>
  <c r="Q145" i="52"/>
  <c r="P145" i="52"/>
  <c r="L145" i="52"/>
  <c r="X145" i="52" s="1"/>
  <c r="K145" i="52"/>
  <c r="I145" i="52"/>
  <c r="G145" i="52"/>
  <c r="H145" i="52" s="1"/>
  <c r="D145" i="52"/>
  <c r="AA144" i="52"/>
  <c r="W144" i="52"/>
  <c r="T144" i="52"/>
  <c r="S144" i="52"/>
  <c r="Q144" i="52"/>
  <c r="P144" i="52"/>
  <c r="L144" i="52"/>
  <c r="K144" i="52"/>
  <c r="I144" i="52"/>
  <c r="G144" i="52"/>
  <c r="H144" i="52" s="1"/>
  <c r="D144" i="52"/>
  <c r="AA143" i="52"/>
  <c r="W143" i="52"/>
  <c r="T143" i="52"/>
  <c r="S143" i="52"/>
  <c r="Q143" i="52"/>
  <c r="P143" i="52"/>
  <c r="L143" i="52"/>
  <c r="K143" i="52"/>
  <c r="I143" i="52"/>
  <c r="G143" i="52"/>
  <c r="H143" i="52" s="1"/>
  <c r="D143" i="52"/>
  <c r="AA142" i="52"/>
  <c r="W142" i="52"/>
  <c r="T142" i="52"/>
  <c r="S142" i="52"/>
  <c r="Q142" i="52"/>
  <c r="P142" i="52"/>
  <c r="L142" i="52"/>
  <c r="K142" i="52"/>
  <c r="I142" i="52"/>
  <c r="G142" i="52"/>
  <c r="H142" i="52" s="1"/>
  <c r="D142" i="52"/>
  <c r="AA141" i="52"/>
  <c r="W141" i="52"/>
  <c r="T141" i="52"/>
  <c r="S141" i="52"/>
  <c r="Q141" i="52"/>
  <c r="P141" i="52"/>
  <c r="L141" i="52"/>
  <c r="AB141" i="52" s="1"/>
  <c r="K141" i="52"/>
  <c r="I141" i="52"/>
  <c r="G141" i="52"/>
  <c r="H141" i="52" s="1"/>
  <c r="D141" i="52"/>
  <c r="AA140" i="52"/>
  <c r="W140" i="52"/>
  <c r="T140" i="52"/>
  <c r="S140" i="52"/>
  <c r="Q140" i="52"/>
  <c r="P140" i="52"/>
  <c r="L140" i="52"/>
  <c r="K140" i="52"/>
  <c r="I140" i="52"/>
  <c r="G140" i="52"/>
  <c r="H140" i="52" s="1"/>
  <c r="D140" i="52"/>
  <c r="AA139" i="52"/>
  <c r="W139" i="52"/>
  <c r="T139" i="52"/>
  <c r="S139" i="52"/>
  <c r="Q139" i="52"/>
  <c r="P139" i="52"/>
  <c r="L139" i="52"/>
  <c r="X139" i="52" s="1"/>
  <c r="K139" i="52"/>
  <c r="I139" i="52"/>
  <c r="G139" i="52"/>
  <c r="H139" i="52" s="1"/>
  <c r="D139" i="52"/>
  <c r="AA138" i="52"/>
  <c r="W138" i="52"/>
  <c r="T138" i="52"/>
  <c r="S138" i="52"/>
  <c r="Q138" i="52"/>
  <c r="P138" i="52"/>
  <c r="L138" i="52"/>
  <c r="K138" i="52"/>
  <c r="I138" i="52"/>
  <c r="G138" i="52"/>
  <c r="H138" i="52" s="1"/>
  <c r="D138" i="52"/>
  <c r="AA137" i="52"/>
  <c r="W137" i="52"/>
  <c r="T137" i="52"/>
  <c r="S137" i="52"/>
  <c r="Q137" i="52"/>
  <c r="P137" i="52"/>
  <c r="L137" i="52"/>
  <c r="X137" i="52" s="1"/>
  <c r="K137" i="52"/>
  <c r="I137" i="52"/>
  <c r="G137" i="52"/>
  <c r="H137" i="52" s="1"/>
  <c r="D137" i="52"/>
  <c r="AA136" i="52"/>
  <c r="W136" i="52"/>
  <c r="T136" i="52"/>
  <c r="S136" i="52"/>
  <c r="Q136" i="52"/>
  <c r="P136" i="52"/>
  <c r="L136" i="52"/>
  <c r="K136" i="52"/>
  <c r="I136" i="52"/>
  <c r="G136" i="52"/>
  <c r="H136" i="52" s="1"/>
  <c r="D136" i="52"/>
  <c r="AA135" i="52"/>
  <c r="W135" i="52"/>
  <c r="T135" i="52"/>
  <c r="S135" i="52"/>
  <c r="Q135" i="52"/>
  <c r="P135" i="52"/>
  <c r="L135" i="52"/>
  <c r="K135" i="52"/>
  <c r="I135" i="52"/>
  <c r="G135" i="52"/>
  <c r="H135" i="52" s="1"/>
  <c r="D135" i="52"/>
  <c r="AA134" i="52"/>
  <c r="W134" i="52"/>
  <c r="T134" i="52"/>
  <c r="S134" i="52"/>
  <c r="Q134" i="52"/>
  <c r="P134" i="52"/>
  <c r="L134" i="52"/>
  <c r="K134" i="52"/>
  <c r="I134" i="52"/>
  <c r="G134" i="52"/>
  <c r="H134" i="52" s="1"/>
  <c r="D134" i="52"/>
  <c r="AA133" i="52"/>
  <c r="W133" i="52"/>
  <c r="T133" i="52"/>
  <c r="S133" i="52"/>
  <c r="Q133" i="52"/>
  <c r="P133" i="52"/>
  <c r="L133" i="52"/>
  <c r="X133" i="52" s="1"/>
  <c r="K133" i="52"/>
  <c r="I133" i="52"/>
  <c r="G133" i="52"/>
  <c r="H133" i="52" s="1"/>
  <c r="D133" i="52"/>
  <c r="AA132" i="52"/>
  <c r="W132" i="52"/>
  <c r="T132" i="52"/>
  <c r="S132" i="52"/>
  <c r="Q132" i="52"/>
  <c r="P132" i="52"/>
  <c r="L132" i="52"/>
  <c r="K132" i="52"/>
  <c r="I132" i="52"/>
  <c r="G132" i="52"/>
  <c r="H132" i="52" s="1"/>
  <c r="D132" i="52"/>
  <c r="AA131" i="52"/>
  <c r="W131" i="52"/>
  <c r="T131" i="52"/>
  <c r="S131" i="52"/>
  <c r="Q131" i="52"/>
  <c r="P131" i="52"/>
  <c r="L131" i="52"/>
  <c r="X131" i="52" s="1"/>
  <c r="K131" i="52"/>
  <c r="I131" i="52"/>
  <c r="G131" i="52"/>
  <c r="H131" i="52" s="1"/>
  <c r="D131" i="52"/>
  <c r="AA130" i="52"/>
  <c r="W130" i="52"/>
  <c r="T130" i="52"/>
  <c r="S130" i="52"/>
  <c r="Q130" i="52"/>
  <c r="P130" i="52"/>
  <c r="L130" i="52"/>
  <c r="K130" i="52"/>
  <c r="I130" i="52"/>
  <c r="G130" i="52"/>
  <c r="H130" i="52" s="1"/>
  <c r="D130" i="52"/>
  <c r="AA129" i="52"/>
  <c r="W129" i="52"/>
  <c r="T129" i="52"/>
  <c r="S129" i="52"/>
  <c r="Q129" i="52"/>
  <c r="P129" i="52"/>
  <c r="L129" i="52"/>
  <c r="X129" i="52" s="1"/>
  <c r="K129" i="52"/>
  <c r="I129" i="52"/>
  <c r="G129" i="52"/>
  <c r="H129" i="52" s="1"/>
  <c r="D129" i="52"/>
  <c r="AA128" i="52"/>
  <c r="W128" i="52"/>
  <c r="T128" i="52"/>
  <c r="S128" i="52"/>
  <c r="Q128" i="52"/>
  <c r="P128" i="52"/>
  <c r="L128" i="52"/>
  <c r="K128" i="52"/>
  <c r="I128" i="52"/>
  <c r="G128" i="52"/>
  <c r="H128" i="52" s="1"/>
  <c r="D128" i="52"/>
  <c r="AA127" i="52"/>
  <c r="W127" i="52"/>
  <c r="T127" i="52"/>
  <c r="S127" i="52"/>
  <c r="Q127" i="52"/>
  <c r="P127" i="52"/>
  <c r="L127" i="52"/>
  <c r="K127" i="52"/>
  <c r="I127" i="52"/>
  <c r="G127" i="52"/>
  <c r="H127" i="52" s="1"/>
  <c r="D127" i="52"/>
  <c r="AA126" i="52"/>
  <c r="W126" i="52"/>
  <c r="T126" i="52"/>
  <c r="S126" i="52"/>
  <c r="Q126" i="52"/>
  <c r="P126" i="52"/>
  <c r="L126" i="52"/>
  <c r="K126" i="52"/>
  <c r="I126" i="52"/>
  <c r="G126" i="52"/>
  <c r="H126" i="52" s="1"/>
  <c r="D126" i="52"/>
  <c r="AA125" i="52"/>
  <c r="W125" i="52"/>
  <c r="T125" i="52"/>
  <c r="S125" i="52"/>
  <c r="Q125" i="52"/>
  <c r="P125" i="52"/>
  <c r="L125" i="52"/>
  <c r="AB125" i="52" s="1"/>
  <c r="K125" i="52"/>
  <c r="I125" i="52"/>
  <c r="G125" i="52"/>
  <c r="H125" i="52" s="1"/>
  <c r="D125" i="52"/>
  <c r="AA124" i="52"/>
  <c r="W124" i="52"/>
  <c r="T124" i="52"/>
  <c r="S124" i="52"/>
  <c r="Q124" i="52"/>
  <c r="P124" i="52"/>
  <c r="L124" i="52"/>
  <c r="K124" i="52"/>
  <c r="I124" i="52"/>
  <c r="G124" i="52"/>
  <c r="H124" i="52" s="1"/>
  <c r="D124" i="52"/>
  <c r="AA123" i="52"/>
  <c r="W123" i="52"/>
  <c r="T123" i="52"/>
  <c r="S123" i="52"/>
  <c r="Q123" i="52"/>
  <c r="P123" i="52"/>
  <c r="L123" i="52"/>
  <c r="X123" i="52" s="1"/>
  <c r="K123" i="52"/>
  <c r="I123" i="52"/>
  <c r="G123" i="52"/>
  <c r="H123" i="52" s="1"/>
  <c r="D123" i="52"/>
  <c r="AA122" i="52"/>
  <c r="W122" i="52"/>
  <c r="T122" i="52"/>
  <c r="S122" i="52"/>
  <c r="Q122" i="52"/>
  <c r="P122" i="52"/>
  <c r="L122" i="52"/>
  <c r="K122" i="52"/>
  <c r="I122" i="52"/>
  <c r="G122" i="52"/>
  <c r="H122" i="52" s="1"/>
  <c r="D122" i="52"/>
  <c r="AA121" i="52"/>
  <c r="W121" i="52"/>
  <c r="T121" i="52"/>
  <c r="S121" i="52"/>
  <c r="Q121" i="52"/>
  <c r="P121" i="52"/>
  <c r="L121" i="52"/>
  <c r="AB121" i="52" s="1"/>
  <c r="K121" i="52"/>
  <c r="I121" i="52"/>
  <c r="G121" i="52"/>
  <c r="H121" i="52" s="1"/>
  <c r="D121" i="52"/>
  <c r="AA120" i="52"/>
  <c r="W120" i="52"/>
  <c r="T120" i="52"/>
  <c r="S120" i="52"/>
  <c r="Q120" i="52"/>
  <c r="P120" i="52"/>
  <c r="L120" i="52"/>
  <c r="X120" i="52" s="1"/>
  <c r="K120" i="52"/>
  <c r="I120" i="52"/>
  <c r="G120" i="52"/>
  <c r="H120" i="52" s="1"/>
  <c r="D120" i="52"/>
  <c r="AA119" i="52"/>
  <c r="W119" i="52"/>
  <c r="T119" i="52"/>
  <c r="S119" i="52"/>
  <c r="Q119" i="52"/>
  <c r="P119" i="52"/>
  <c r="L119" i="52"/>
  <c r="X119" i="52" s="1"/>
  <c r="K119" i="52"/>
  <c r="I119" i="52"/>
  <c r="G119" i="52"/>
  <c r="H119" i="52" s="1"/>
  <c r="D119" i="52"/>
  <c r="AA118" i="52"/>
  <c r="W118" i="52"/>
  <c r="T118" i="52"/>
  <c r="S118" i="52"/>
  <c r="Q118" i="52"/>
  <c r="P118" i="52"/>
  <c r="L118" i="52"/>
  <c r="X118" i="52" s="1"/>
  <c r="K118" i="52"/>
  <c r="I118" i="52"/>
  <c r="G118" i="52"/>
  <c r="H118" i="52" s="1"/>
  <c r="D118" i="52"/>
  <c r="AA117" i="52"/>
  <c r="W117" i="52"/>
  <c r="T117" i="52"/>
  <c r="S117" i="52"/>
  <c r="Q117" i="52"/>
  <c r="P117" i="52"/>
  <c r="L117" i="52"/>
  <c r="AB117" i="52" s="1"/>
  <c r="K117" i="52"/>
  <c r="I117" i="52"/>
  <c r="G117" i="52"/>
  <c r="H117" i="52" s="1"/>
  <c r="D117" i="52"/>
  <c r="AA116" i="52"/>
  <c r="W116" i="52"/>
  <c r="T116" i="52"/>
  <c r="S116" i="52"/>
  <c r="Q116" i="52"/>
  <c r="P116" i="52"/>
  <c r="L116" i="52"/>
  <c r="X116" i="52" s="1"/>
  <c r="K116" i="52"/>
  <c r="I116" i="52"/>
  <c r="G116" i="52"/>
  <c r="H116" i="52" s="1"/>
  <c r="D116" i="52"/>
  <c r="AA115" i="52"/>
  <c r="W115" i="52"/>
  <c r="T115" i="52"/>
  <c r="S115" i="52"/>
  <c r="Q115" i="52"/>
  <c r="P115" i="52"/>
  <c r="L115" i="52"/>
  <c r="X115" i="52" s="1"/>
  <c r="K115" i="52"/>
  <c r="I115" i="52"/>
  <c r="G115" i="52"/>
  <c r="H115" i="52" s="1"/>
  <c r="D115" i="52"/>
  <c r="AA114" i="52"/>
  <c r="W114" i="52"/>
  <c r="T114" i="52"/>
  <c r="S114" i="52"/>
  <c r="Q114" i="52"/>
  <c r="P114" i="52"/>
  <c r="L114" i="52"/>
  <c r="X114" i="52" s="1"/>
  <c r="K114" i="52"/>
  <c r="I114" i="52"/>
  <c r="G114" i="52"/>
  <c r="H114" i="52" s="1"/>
  <c r="D114" i="52"/>
  <c r="AA113" i="52"/>
  <c r="W113" i="52"/>
  <c r="T113" i="52"/>
  <c r="S113" i="52"/>
  <c r="Q113" i="52"/>
  <c r="P113" i="52"/>
  <c r="L113" i="52"/>
  <c r="X113" i="52" s="1"/>
  <c r="K113" i="52"/>
  <c r="I113" i="52"/>
  <c r="G113" i="52"/>
  <c r="H113" i="52" s="1"/>
  <c r="D113" i="52"/>
  <c r="AA112" i="52"/>
  <c r="W112" i="52"/>
  <c r="T112" i="52"/>
  <c r="S112" i="52"/>
  <c r="Q112" i="52"/>
  <c r="P112" i="52"/>
  <c r="L112" i="52"/>
  <c r="X112" i="52" s="1"/>
  <c r="K112" i="52"/>
  <c r="I112" i="52"/>
  <c r="G112" i="52"/>
  <c r="H112" i="52" s="1"/>
  <c r="D112" i="52"/>
  <c r="AA111" i="52"/>
  <c r="W111" i="52"/>
  <c r="T111" i="52"/>
  <c r="S111" i="52"/>
  <c r="Q111" i="52"/>
  <c r="P111" i="52"/>
  <c r="L111" i="52"/>
  <c r="X111" i="52" s="1"/>
  <c r="K111" i="52"/>
  <c r="I111" i="52"/>
  <c r="G111" i="52"/>
  <c r="H111" i="52" s="1"/>
  <c r="D111" i="52"/>
  <c r="AA110" i="52"/>
  <c r="W110" i="52"/>
  <c r="T110" i="52"/>
  <c r="S110" i="52"/>
  <c r="Q110" i="52"/>
  <c r="P110" i="52"/>
  <c r="L110" i="52"/>
  <c r="X110" i="52" s="1"/>
  <c r="K110" i="52"/>
  <c r="I110" i="52"/>
  <c r="G110" i="52"/>
  <c r="H110" i="52" s="1"/>
  <c r="D110" i="52"/>
  <c r="AA109" i="52"/>
  <c r="W109" i="52"/>
  <c r="T109" i="52"/>
  <c r="S109" i="52"/>
  <c r="Q109" i="52"/>
  <c r="P109" i="52"/>
  <c r="L109" i="52"/>
  <c r="K109" i="52"/>
  <c r="I109" i="52"/>
  <c r="G109" i="52"/>
  <c r="H109" i="52" s="1"/>
  <c r="D109" i="52"/>
  <c r="AA108" i="52"/>
  <c r="W108" i="52"/>
  <c r="T108" i="52"/>
  <c r="S108" i="52"/>
  <c r="Q108" i="52"/>
  <c r="P108" i="52"/>
  <c r="L108" i="52"/>
  <c r="X108" i="52" s="1"/>
  <c r="K108" i="52"/>
  <c r="I108" i="52"/>
  <c r="G108" i="52"/>
  <c r="H108" i="52" s="1"/>
  <c r="D108" i="52"/>
  <c r="AA107" i="52"/>
  <c r="W107" i="52"/>
  <c r="T107" i="52"/>
  <c r="S107" i="52"/>
  <c r="Q107" i="52"/>
  <c r="P107" i="52"/>
  <c r="L107" i="52"/>
  <c r="X107" i="52" s="1"/>
  <c r="K107" i="52"/>
  <c r="I107" i="52"/>
  <c r="G107" i="52"/>
  <c r="H107" i="52" s="1"/>
  <c r="D107" i="52"/>
  <c r="AA106" i="52"/>
  <c r="W106" i="52"/>
  <c r="T106" i="52"/>
  <c r="S106" i="52"/>
  <c r="Q106" i="52"/>
  <c r="P106" i="52"/>
  <c r="L106" i="52"/>
  <c r="X106" i="52" s="1"/>
  <c r="K106" i="52"/>
  <c r="I106" i="52"/>
  <c r="G106" i="52"/>
  <c r="H106" i="52" s="1"/>
  <c r="D106" i="52"/>
  <c r="AA105" i="52"/>
  <c r="W105" i="52"/>
  <c r="T105" i="52"/>
  <c r="S105" i="52"/>
  <c r="Q105" i="52"/>
  <c r="P105" i="52"/>
  <c r="L105" i="52"/>
  <c r="AB105" i="52" s="1"/>
  <c r="K105" i="52"/>
  <c r="I105" i="52"/>
  <c r="G105" i="52"/>
  <c r="H105" i="52" s="1"/>
  <c r="D105" i="52"/>
  <c r="AA104" i="52"/>
  <c r="W104" i="52"/>
  <c r="T104" i="52"/>
  <c r="S104" i="52"/>
  <c r="Q104" i="52"/>
  <c r="P104" i="52"/>
  <c r="L104" i="52"/>
  <c r="X104" i="52" s="1"/>
  <c r="K104" i="52"/>
  <c r="I104" i="52"/>
  <c r="G104" i="52"/>
  <c r="H104" i="52" s="1"/>
  <c r="D104" i="52"/>
  <c r="AA103" i="52"/>
  <c r="W103" i="52"/>
  <c r="T103" i="52"/>
  <c r="S103" i="52"/>
  <c r="Q103" i="52"/>
  <c r="P103" i="52"/>
  <c r="L103" i="52"/>
  <c r="X103" i="52" s="1"/>
  <c r="K103" i="52"/>
  <c r="I103" i="52"/>
  <c r="G103" i="52"/>
  <c r="H103" i="52" s="1"/>
  <c r="D103" i="52"/>
  <c r="AA102" i="52"/>
  <c r="W102" i="52"/>
  <c r="T102" i="52"/>
  <c r="S102" i="52"/>
  <c r="Q102" i="52"/>
  <c r="P102" i="52"/>
  <c r="L102" i="52"/>
  <c r="X102" i="52" s="1"/>
  <c r="K102" i="52"/>
  <c r="I102" i="52"/>
  <c r="G102" i="52"/>
  <c r="H102" i="52" s="1"/>
  <c r="D102" i="52"/>
  <c r="AA101" i="52"/>
  <c r="W101" i="52"/>
  <c r="T101" i="52"/>
  <c r="S101" i="52"/>
  <c r="Q101" i="52"/>
  <c r="P101" i="52"/>
  <c r="L101" i="52"/>
  <c r="K101" i="52"/>
  <c r="I101" i="52"/>
  <c r="G101" i="52"/>
  <c r="H101" i="52" s="1"/>
  <c r="D101" i="52"/>
  <c r="AA100" i="52"/>
  <c r="W100" i="52"/>
  <c r="T100" i="52"/>
  <c r="S100" i="52"/>
  <c r="Q100" i="52"/>
  <c r="P100" i="52"/>
  <c r="L100" i="52"/>
  <c r="X100" i="52" s="1"/>
  <c r="K100" i="52"/>
  <c r="I100" i="52"/>
  <c r="G100" i="52"/>
  <c r="H100" i="52" s="1"/>
  <c r="D100" i="52"/>
  <c r="AA99" i="52"/>
  <c r="W99" i="52"/>
  <c r="T99" i="52"/>
  <c r="S99" i="52"/>
  <c r="Q99" i="52"/>
  <c r="P99" i="52"/>
  <c r="L99" i="52"/>
  <c r="X99" i="52" s="1"/>
  <c r="K99" i="52"/>
  <c r="I99" i="52"/>
  <c r="G99" i="52"/>
  <c r="H99" i="52" s="1"/>
  <c r="D99" i="52"/>
  <c r="AA98" i="52"/>
  <c r="W98" i="52"/>
  <c r="T98" i="52"/>
  <c r="S98" i="52"/>
  <c r="Q98" i="52"/>
  <c r="P98" i="52"/>
  <c r="L98" i="52"/>
  <c r="AB98" i="52" s="1"/>
  <c r="K98" i="52"/>
  <c r="I98" i="52"/>
  <c r="G98" i="52"/>
  <c r="H98" i="52" s="1"/>
  <c r="D98" i="52"/>
  <c r="AA97" i="52"/>
  <c r="W97" i="52"/>
  <c r="T97" i="52"/>
  <c r="S97" i="52"/>
  <c r="Q97" i="52"/>
  <c r="P97" i="52"/>
  <c r="L97" i="52"/>
  <c r="K97" i="52"/>
  <c r="I97" i="52"/>
  <c r="G97" i="52"/>
  <c r="H97" i="52" s="1"/>
  <c r="D97" i="52"/>
  <c r="AA96" i="52"/>
  <c r="W96" i="52"/>
  <c r="T96" i="52"/>
  <c r="S96" i="52"/>
  <c r="Q96" i="52"/>
  <c r="P96" i="52"/>
  <c r="L96" i="52"/>
  <c r="AB96" i="52" s="1"/>
  <c r="K96" i="52"/>
  <c r="I96" i="52"/>
  <c r="G96" i="52"/>
  <c r="H96" i="52" s="1"/>
  <c r="D96" i="52"/>
  <c r="AA95" i="52"/>
  <c r="W95" i="52"/>
  <c r="T95" i="52"/>
  <c r="S95" i="52"/>
  <c r="Q95" i="52"/>
  <c r="P95" i="52"/>
  <c r="L95" i="52"/>
  <c r="AB95" i="52" s="1"/>
  <c r="K95" i="52"/>
  <c r="I95" i="52"/>
  <c r="G95" i="52"/>
  <c r="H95" i="52" s="1"/>
  <c r="D95" i="52"/>
  <c r="AA94" i="52"/>
  <c r="W94" i="52"/>
  <c r="T94" i="52"/>
  <c r="S94" i="52"/>
  <c r="Q94" i="52"/>
  <c r="P94" i="52"/>
  <c r="L94" i="52"/>
  <c r="AB94" i="52" s="1"/>
  <c r="K94" i="52"/>
  <c r="I94" i="52"/>
  <c r="G94" i="52"/>
  <c r="H94" i="52" s="1"/>
  <c r="D94" i="52"/>
  <c r="AA93" i="52"/>
  <c r="W93" i="52"/>
  <c r="T93" i="52"/>
  <c r="S93" i="52"/>
  <c r="Q93" i="52"/>
  <c r="P93" i="52"/>
  <c r="L93" i="52"/>
  <c r="AB93" i="52" s="1"/>
  <c r="K93" i="52"/>
  <c r="I93" i="52"/>
  <c r="G93" i="52"/>
  <c r="H93" i="52" s="1"/>
  <c r="D93" i="52"/>
  <c r="AA92" i="52"/>
  <c r="W92" i="52"/>
  <c r="T92" i="52"/>
  <c r="S92" i="52"/>
  <c r="Q92" i="52"/>
  <c r="P92" i="52"/>
  <c r="L92" i="52"/>
  <c r="AB92" i="52" s="1"/>
  <c r="K92" i="52"/>
  <c r="I92" i="52"/>
  <c r="G92" i="52"/>
  <c r="H92" i="52" s="1"/>
  <c r="D92" i="52"/>
  <c r="AA91" i="52"/>
  <c r="W91" i="52"/>
  <c r="T91" i="52"/>
  <c r="S91" i="52"/>
  <c r="Q91" i="52"/>
  <c r="P91" i="52"/>
  <c r="L91" i="52"/>
  <c r="AB91" i="52" s="1"/>
  <c r="K91" i="52"/>
  <c r="I91" i="52"/>
  <c r="G91" i="52"/>
  <c r="H91" i="52" s="1"/>
  <c r="D91" i="52"/>
  <c r="AA90" i="52"/>
  <c r="W90" i="52"/>
  <c r="T90" i="52"/>
  <c r="S90" i="52"/>
  <c r="Q90" i="52"/>
  <c r="P90" i="52"/>
  <c r="L90" i="52"/>
  <c r="AB90" i="52" s="1"/>
  <c r="K90" i="52"/>
  <c r="I90" i="52"/>
  <c r="G90" i="52"/>
  <c r="H90" i="52" s="1"/>
  <c r="D90" i="52"/>
  <c r="AA89" i="52"/>
  <c r="W89" i="52"/>
  <c r="T89" i="52"/>
  <c r="S89" i="52"/>
  <c r="Q89" i="52"/>
  <c r="P89" i="52"/>
  <c r="L89" i="52"/>
  <c r="K89" i="52"/>
  <c r="I89" i="52"/>
  <c r="G89" i="52"/>
  <c r="H89" i="52" s="1"/>
  <c r="D89" i="52"/>
  <c r="AA88" i="52"/>
  <c r="W88" i="52"/>
  <c r="T88" i="52"/>
  <c r="S88" i="52"/>
  <c r="Q88" i="52"/>
  <c r="P88" i="52"/>
  <c r="L88" i="52"/>
  <c r="AB88" i="52" s="1"/>
  <c r="K88" i="52"/>
  <c r="I88" i="52"/>
  <c r="G88" i="52"/>
  <c r="H88" i="52" s="1"/>
  <c r="D88" i="52"/>
  <c r="AA87" i="52"/>
  <c r="W87" i="52"/>
  <c r="T87" i="52"/>
  <c r="S87" i="52"/>
  <c r="Q87" i="52"/>
  <c r="P87" i="52"/>
  <c r="L87" i="52"/>
  <c r="AB87" i="52" s="1"/>
  <c r="K87" i="52"/>
  <c r="I87" i="52"/>
  <c r="G87" i="52"/>
  <c r="H87" i="52" s="1"/>
  <c r="D87" i="52"/>
  <c r="AA86" i="52"/>
  <c r="W86" i="52"/>
  <c r="T86" i="52"/>
  <c r="S86" i="52"/>
  <c r="Q86" i="52"/>
  <c r="P86" i="52"/>
  <c r="L86" i="52"/>
  <c r="X86" i="52" s="1"/>
  <c r="K86" i="52"/>
  <c r="I86" i="52"/>
  <c r="G86" i="52"/>
  <c r="H86" i="52" s="1"/>
  <c r="D86" i="52"/>
  <c r="AA85" i="52"/>
  <c r="W85" i="52"/>
  <c r="T85" i="52"/>
  <c r="S85" i="52"/>
  <c r="Q85" i="52"/>
  <c r="P85" i="52"/>
  <c r="L85" i="52"/>
  <c r="AB85" i="52" s="1"/>
  <c r="K85" i="52"/>
  <c r="I85" i="52"/>
  <c r="G85" i="52"/>
  <c r="H85" i="52" s="1"/>
  <c r="D85" i="52"/>
  <c r="AA84" i="52"/>
  <c r="W84" i="52"/>
  <c r="T84" i="52"/>
  <c r="S84" i="52"/>
  <c r="Q84" i="52"/>
  <c r="P84" i="52"/>
  <c r="L84" i="52"/>
  <c r="X84" i="52" s="1"/>
  <c r="K84" i="52"/>
  <c r="I84" i="52"/>
  <c r="G84" i="52"/>
  <c r="H84" i="52" s="1"/>
  <c r="D84" i="52"/>
  <c r="AA83" i="52"/>
  <c r="W83" i="52"/>
  <c r="T83" i="52"/>
  <c r="S83" i="52"/>
  <c r="Q83" i="52"/>
  <c r="P83" i="52"/>
  <c r="L83" i="52"/>
  <c r="K83" i="52"/>
  <c r="I83" i="52"/>
  <c r="G83" i="52"/>
  <c r="H83" i="52" s="1"/>
  <c r="D83" i="52"/>
  <c r="AA82" i="52"/>
  <c r="W82" i="52"/>
  <c r="T82" i="52"/>
  <c r="S82" i="52"/>
  <c r="Q82" i="52"/>
  <c r="P82" i="52"/>
  <c r="L82" i="52"/>
  <c r="X82" i="52" s="1"/>
  <c r="K82" i="52"/>
  <c r="I82" i="52"/>
  <c r="G82" i="52"/>
  <c r="H82" i="52" s="1"/>
  <c r="D82" i="52"/>
  <c r="AA81" i="52"/>
  <c r="W81" i="52"/>
  <c r="T81" i="52"/>
  <c r="S81" i="52"/>
  <c r="Q81" i="52"/>
  <c r="P81" i="52"/>
  <c r="L81" i="52"/>
  <c r="K81" i="52"/>
  <c r="I81" i="52"/>
  <c r="G81" i="52"/>
  <c r="H81" i="52" s="1"/>
  <c r="D81" i="52"/>
  <c r="AA80" i="52"/>
  <c r="W80" i="52"/>
  <c r="T80" i="52"/>
  <c r="S80" i="52"/>
  <c r="Q80" i="52"/>
  <c r="P80" i="52"/>
  <c r="L80" i="52"/>
  <c r="X80" i="52" s="1"/>
  <c r="K80" i="52"/>
  <c r="I80" i="52"/>
  <c r="G80" i="52"/>
  <c r="H80" i="52" s="1"/>
  <c r="D80" i="52"/>
  <c r="AA79" i="52"/>
  <c r="W79" i="52"/>
  <c r="T79" i="52"/>
  <c r="S79" i="52"/>
  <c r="Q79" i="52"/>
  <c r="P79" i="52"/>
  <c r="L79" i="52"/>
  <c r="K79" i="52"/>
  <c r="I79" i="52"/>
  <c r="G79" i="52"/>
  <c r="H79" i="52" s="1"/>
  <c r="D79" i="52"/>
  <c r="AA78" i="52"/>
  <c r="W78" i="52"/>
  <c r="T78" i="52"/>
  <c r="S78" i="52"/>
  <c r="Q78" i="52"/>
  <c r="P78" i="52"/>
  <c r="L78" i="52"/>
  <c r="AB78" i="52" s="1"/>
  <c r="K78" i="52"/>
  <c r="I78" i="52"/>
  <c r="G78" i="52"/>
  <c r="H78" i="52" s="1"/>
  <c r="D78" i="52"/>
  <c r="AA77" i="52"/>
  <c r="W77" i="52"/>
  <c r="T77" i="52"/>
  <c r="S77" i="52"/>
  <c r="Q77" i="52"/>
  <c r="P77" i="52"/>
  <c r="L77" i="52"/>
  <c r="AB77" i="52" s="1"/>
  <c r="K77" i="52"/>
  <c r="I77" i="52"/>
  <c r="G77" i="52"/>
  <c r="H77" i="52" s="1"/>
  <c r="D77" i="52"/>
  <c r="AA76" i="52"/>
  <c r="W76" i="52"/>
  <c r="T76" i="52"/>
  <c r="S76" i="52"/>
  <c r="Q76" i="52"/>
  <c r="P76" i="52"/>
  <c r="L76" i="52"/>
  <c r="AB76" i="52" s="1"/>
  <c r="K76" i="52"/>
  <c r="I76" i="52"/>
  <c r="G76" i="52"/>
  <c r="H76" i="52" s="1"/>
  <c r="D76" i="52"/>
  <c r="AA75" i="52"/>
  <c r="W75" i="52"/>
  <c r="T75" i="52"/>
  <c r="S75" i="52"/>
  <c r="Q75" i="52"/>
  <c r="P75" i="52"/>
  <c r="L75" i="52"/>
  <c r="AB75" i="52" s="1"/>
  <c r="K75" i="52"/>
  <c r="I75" i="52"/>
  <c r="G75" i="52"/>
  <c r="H75" i="52" s="1"/>
  <c r="D75" i="52"/>
  <c r="AA74" i="52"/>
  <c r="W74" i="52"/>
  <c r="T74" i="52"/>
  <c r="S74" i="52"/>
  <c r="Q74" i="52"/>
  <c r="P74" i="52"/>
  <c r="L74" i="52"/>
  <c r="AB74" i="52" s="1"/>
  <c r="K74" i="52"/>
  <c r="I74" i="52"/>
  <c r="G74" i="52"/>
  <c r="H74" i="52" s="1"/>
  <c r="D74" i="52"/>
  <c r="AA73" i="52"/>
  <c r="W73" i="52"/>
  <c r="T73" i="52"/>
  <c r="S73" i="52"/>
  <c r="Q73" i="52"/>
  <c r="P73" i="52"/>
  <c r="L73" i="52"/>
  <c r="AB73" i="52" s="1"/>
  <c r="K73" i="52"/>
  <c r="I73" i="52"/>
  <c r="G73" i="52"/>
  <c r="H73" i="52" s="1"/>
  <c r="D73" i="52"/>
  <c r="AA72" i="52"/>
  <c r="W72" i="52"/>
  <c r="T72" i="52"/>
  <c r="S72" i="52"/>
  <c r="Q72" i="52"/>
  <c r="P72" i="52"/>
  <c r="L72" i="52"/>
  <c r="X72" i="52" s="1"/>
  <c r="K72" i="52"/>
  <c r="I72" i="52"/>
  <c r="G72" i="52"/>
  <c r="H72" i="52" s="1"/>
  <c r="D72" i="52"/>
  <c r="AA71" i="52"/>
  <c r="W71" i="52"/>
  <c r="T71" i="52"/>
  <c r="S71" i="52"/>
  <c r="Q71" i="52"/>
  <c r="P71" i="52"/>
  <c r="L71" i="52"/>
  <c r="AB71" i="52" s="1"/>
  <c r="K71" i="52"/>
  <c r="I71" i="52"/>
  <c r="G71" i="52"/>
  <c r="H71" i="52" s="1"/>
  <c r="D71" i="52"/>
  <c r="AA70" i="52"/>
  <c r="W70" i="52"/>
  <c r="T70" i="52"/>
  <c r="S70" i="52"/>
  <c r="Q70" i="52"/>
  <c r="P70" i="52"/>
  <c r="L70" i="52"/>
  <c r="X70" i="52" s="1"/>
  <c r="K70" i="52"/>
  <c r="I70" i="52"/>
  <c r="G70" i="52"/>
  <c r="H70" i="52" s="1"/>
  <c r="D70" i="52"/>
  <c r="AA69" i="52"/>
  <c r="W69" i="52"/>
  <c r="T69" i="52"/>
  <c r="S69" i="52"/>
  <c r="Q69" i="52"/>
  <c r="P69" i="52"/>
  <c r="L69" i="52"/>
  <c r="AB69" i="52" s="1"/>
  <c r="K69" i="52"/>
  <c r="I69" i="52"/>
  <c r="G69" i="52"/>
  <c r="H69" i="52" s="1"/>
  <c r="D69" i="52"/>
  <c r="AA68" i="52"/>
  <c r="W68" i="52"/>
  <c r="T68" i="52"/>
  <c r="S68" i="52"/>
  <c r="Q68" i="52"/>
  <c r="P68" i="52"/>
  <c r="L68" i="52"/>
  <c r="X68" i="52" s="1"/>
  <c r="K68" i="52"/>
  <c r="I68" i="52"/>
  <c r="G68" i="52"/>
  <c r="H68" i="52" s="1"/>
  <c r="D68" i="52"/>
  <c r="AA67" i="52"/>
  <c r="W67" i="52"/>
  <c r="T67" i="52"/>
  <c r="S67" i="52"/>
  <c r="Q67" i="52"/>
  <c r="P67" i="52"/>
  <c r="L67" i="52"/>
  <c r="AB67" i="52" s="1"/>
  <c r="K67" i="52"/>
  <c r="I67" i="52"/>
  <c r="G67" i="52"/>
  <c r="H67" i="52" s="1"/>
  <c r="D67" i="52"/>
  <c r="AA66" i="52"/>
  <c r="W66" i="52"/>
  <c r="T66" i="52"/>
  <c r="S66" i="52"/>
  <c r="Q66" i="52"/>
  <c r="P66" i="52"/>
  <c r="L66" i="52"/>
  <c r="X66" i="52" s="1"/>
  <c r="K66" i="52"/>
  <c r="I66" i="52"/>
  <c r="G66" i="52"/>
  <c r="H66" i="52" s="1"/>
  <c r="D66" i="52"/>
  <c r="AA65" i="52"/>
  <c r="W65" i="52"/>
  <c r="T65" i="52"/>
  <c r="S65" i="52"/>
  <c r="Q65" i="52"/>
  <c r="P65" i="52"/>
  <c r="L65" i="52"/>
  <c r="AB65" i="52" s="1"/>
  <c r="K65" i="52"/>
  <c r="I65" i="52"/>
  <c r="G65" i="52"/>
  <c r="H65" i="52" s="1"/>
  <c r="D65" i="52"/>
  <c r="AA64" i="52"/>
  <c r="W64" i="52"/>
  <c r="T64" i="52"/>
  <c r="S64" i="52"/>
  <c r="Q64" i="52"/>
  <c r="P64" i="52"/>
  <c r="L64" i="52"/>
  <c r="X64" i="52" s="1"/>
  <c r="K64" i="52"/>
  <c r="I64" i="52"/>
  <c r="G64" i="52"/>
  <c r="H64" i="52" s="1"/>
  <c r="D64" i="52"/>
  <c r="AA63" i="52"/>
  <c r="W63" i="52"/>
  <c r="T63" i="52"/>
  <c r="S63" i="52"/>
  <c r="Q63" i="52"/>
  <c r="P63" i="52"/>
  <c r="L63" i="52"/>
  <c r="AB63" i="52" s="1"/>
  <c r="K63" i="52"/>
  <c r="I63" i="52"/>
  <c r="G63" i="52"/>
  <c r="H63" i="52" s="1"/>
  <c r="D63" i="52"/>
  <c r="AA62" i="52"/>
  <c r="W62" i="52"/>
  <c r="T62" i="52"/>
  <c r="S62" i="52"/>
  <c r="Q62" i="52"/>
  <c r="P62" i="52"/>
  <c r="L62" i="52"/>
  <c r="X62" i="52" s="1"/>
  <c r="K62" i="52"/>
  <c r="I62" i="52"/>
  <c r="G62" i="52"/>
  <c r="H62" i="52" s="1"/>
  <c r="D62" i="52"/>
  <c r="AA61" i="52"/>
  <c r="W61" i="52"/>
  <c r="T61" i="52"/>
  <c r="S61" i="52"/>
  <c r="Q61" i="52"/>
  <c r="P61" i="52"/>
  <c r="L61" i="52"/>
  <c r="AB61" i="52" s="1"/>
  <c r="K61" i="52"/>
  <c r="I61" i="52"/>
  <c r="G61" i="52"/>
  <c r="H61" i="52" s="1"/>
  <c r="D61" i="52"/>
  <c r="AA60" i="52"/>
  <c r="W60" i="52"/>
  <c r="T60" i="52"/>
  <c r="S60" i="52"/>
  <c r="Q60" i="52"/>
  <c r="P60" i="52"/>
  <c r="L60" i="52"/>
  <c r="X60" i="52" s="1"/>
  <c r="K60" i="52"/>
  <c r="I60" i="52"/>
  <c r="G60" i="52"/>
  <c r="H60" i="52" s="1"/>
  <c r="D60" i="52"/>
  <c r="AA59" i="52"/>
  <c r="W59" i="52"/>
  <c r="T59" i="52"/>
  <c r="S59" i="52"/>
  <c r="Q59" i="52"/>
  <c r="P59" i="52"/>
  <c r="L59" i="52"/>
  <c r="K59" i="52"/>
  <c r="I59" i="52"/>
  <c r="G59" i="52"/>
  <c r="H59" i="52" s="1"/>
  <c r="D59" i="52"/>
  <c r="AA58" i="52"/>
  <c r="W58" i="52"/>
  <c r="T58" i="52"/>
  <c r="S58" i="52"/>
  <c r="Q58" i="52"/>
  <c r="P58" i="52"/>
  <c r="L58" i="52"/>
  <c r="X58" i="52" s="1"/>
  <c r="K58" i="52"/>
  <c r="I58" i="52"/>
  <c r="G58" i="52"/>
  <c r="H58" i="52" s="1"/>
  <c r="D58" i="52"/>
  <c r="AA57" i="52"/>
  <c r="W57" i="52"/>
  <c r="T57" i="52"/>
  <c r="S57" i="52"/>
  <c r="Q57" i="52"/>
  <c r="P57" i="52"/>
  <c r="L57" i="52"/>
  <c r="K57" i="52"/>
  <c r="I57" i="52"/>
  <c r="G57" i="52"/>
  <c r="H57" i="52" s="1"/>
  <c r="D57" i="52"/>
  <c r="AA56" i="52"/>
  <c r="W56" i="52"/>
  <c r="T56" i="52"/>
  <c r="S56" i="52"/>
  <c r="Q56" i="52"/>
  <c r="P56" i="52"/>
  <c r="L56" i="52"/>
  <c r="X56" i="52" s="1"/>
  <c r="K56" i="52"/>
  <c r="I56" i="52"/>
  <c r="G56" i="52"/>
  <c r="H56" i="52" s="1"/>
  <c r="D56" i="52"/>
  <c r="AA55" i="52"/>
  <c r="W55" i="52"/>
  <c r="T55" i="52"/>
  <c r="S55" i="52"/>
  <c r="Q55" i="52"/>
  <c r="P55" i="52"/>
  <c r="L55" i="52"/>
  <c r="AB55" i="52" s="1"/>
  <c r="K55" i="52"/>
  <c r="I55" i="52"/>
  <c r="G55" i="52"/>
  <c r="H55" i="52" s="1"/>
  <c r="D55" i="52"/>
  <c r="AA54" i="52"/>
  <c r="W54" i="52"/>
  <c r="T54" i="52"/>
  <c r="S54" i="52"/>
  <c r="Q54" i="52"/>
  <c r="P54" i="52"/>
  <c r="L54" i="52"/>
  <c r="X54" i="52" s="1"/>
  <c r="K54" i="52"/>
  <c r="I54" i="52"/>
  <c r="G54" i="52"/>
  <c r="H54" i="52" s="1"/>
  <c r="D54" i="52"/>
  <c r="AA53" i="52"/>
  <c r="W53" i="52"/>
  <c r="T53" i="52"/>
  <c r="S53" i="52"/>
  <c r="Q53" i="52"/>
  <c r="P53" i="52"/>
  <c r="L53" i="52"/>
  <c r="AB53" i="52" s="1"/>
  <c r="K53" i="52"/>
  <c r="I53" i="52"/>
  <c r="G53" i="52"/>
  <c r="H53" i="52" s="1"/>
  <c r="D53" i="52"/>
  <c r="AA52" i="52"/>
  <c r="W52" i="52"/>
  <c r="T52" i="52"/>
  <c r="S52" i="52"/>
  <c r="Q52" i="52"/>
  <c r="P52" i="52"/>
  <c r="L52" i="52"/>
  <c r="X52" i="52" s="1"/>
  <c r="K52" i="52"/>
  <c r="I52" i="52"/>
  <c r="G52" i="52"/>
  <c r="H52" i="52" s="1"/>
  <c r="D52" i="52"/>
  <c r="AA51" i="52"/>
  <c r="W51" i="52"/>
  <c r="T51" i="52"/>
  <c r="S51" i="52"/>
  <c r="Q51" i="52"/>
  <c r="P51" i="52"/>
  <c r="L51" i="52"/>
  <c r="K51" i="52"/>
  <c r="I51" i="52"/>
  <c r="G51" i="52"/>
  <c r="H51" i="52" s="1"/>
  <c r="D51" i="52"/>
  <c r="AA50" i="52"/>
  <c r="W50" i="52"/>
  <c r="T50" i="52"/>
  <c r="S50" i="52"/>
  <c r="Q50" i="52"/>
  <c r="P50" i="52"/>
  <c r="L50" i="52"/>
  <c r="X50" i="52" s="1"/>
  <c r="K50" i="52"/>
  <c r="I50" i="52"/>
  <c r="G50" i="52"/>
  <c r="H50" i="52" s="1"/>
  <c r="D50" i="52"/>
  <c r="AA49" i="52"/>
  <c r="W49" i="52"/>
  <c r="T49" i="52"/>
  <c r="S49" i="52"/>
  <c r="Q49" i="52"/>
  <c r="P49" i="52"/>
  <c r="L49" i="52"/>
  <c r="K49" i="52"/>
  <c r="I49" i="52"/>
  <c r="G49" i="52"/>
  <c r="H49" i="52" s="1"/>
  <c r="D49" i="52"/>
  <c r="AA48" i="52"/>
  <c r="W48" i="52"/>
  <c r="T48" i="52"/>
  <c r="S48" i="52"/>
  <c r="Q48" i="52"/>
  <c r="P48" i="52"/>
  <c r="L48" i="52"/>
  <c r="AB48" i="52" s="1"/>
  <c r="K48" i="52"/>
  <c r="I48" i="52"/>
  <c r="G48" i="52"/>
  <c r="H48" i="52" s="1"/>
  <c r="D48" i="52"/>
  <c r="AA47" i="52"/>
  <c r="W47" i="52"/>
  <c r="T47" i="52"/>
  <c r="S47" i="52"/>
  <c r="Q47" i="52"/>
  <c r="P47" i="52"/>
  <c r="L47" i="52"/>
  <c r="AB47" i="52" s="1"/>
  <c r="K47" i="52"/>
  <c r="I47" i="52"/>
  <c r="G47" i="52"/>
  <c r="H47" i="52" s="1"/>
  <c r="D47" i="52"/>
  <c r="AA46" i="52"/>
  <c r="W46" i="52"/>
  <c r="T46" i="52"/>
  <c r="S46" i="52"/>
  <c r="Q46" i="52"/>
  <c r="P46" i="52"/>
  <c r="L46" i="52"/>
  <c r="AB46" i="52" s="1"/>
  <c r="K46" i="52"/>
  <c r="I46" i="52"/>
  <c r="G46" i="52"/>
  <c r="H46" i="52" s="1"/>
  <c r="D46" i="52"/>
  <c r="AA45" i="52"/>
  <c r="W45" i="52"/>
  <c r="T45" i="52"/>
  <c r="S45" i="52"/>
  <c r="Q45" i="52"/>
  <c r="P45" i="52"/>
  <c r="L45" i="52"/>
  <c r="AB45" i="52" s="1"/>
  <c r="K45" i="52"/>
  <c r="I45" i="52"/>
  <c r="G45" i="52"/>
  <c r="H45" i="52" s="1"/>
  <c r="D45" i="52"/>
  <c r="AA44" i="52"/>
  <c r="W44" i="52"/>
  <c r="T44" i="52"/>
  <c r="S44" i="52"/>
  <c r="Q44" i="52"/>
  <c r="P44" i="52"/>
  <c r="L44" i="52"/>
  <c r="AB44" i="52" s="1"/>
  <c r="K44" i="52"/>
  <c r="I44" i="52"/>
  <c r="G44" i="52"/>
  <c r="H44" i="52" s="1"/>
  <c r="D44" i="52"/>
  <c r="AA43" i="52"/>
  <c r="W43" i="52"/>
  <c r="T43" i="52"/>
  <c r="S43" i="52"/>
  <c r="Q43" i="52"/>
  <c r="P43" i="52"/>
  <c r="L43" i="52"/>
  <c r="AB43" i="52" s="1"/>
  <c r="K43" i="52"/>
  <c r="I43" i="52"/>
  <c r="G43" i="52"/>
  <c r="H43" i="52" s="1"/>
  <c r="D43" i="52"/>
  <c r="AA42" i="52"/>
  <c r="W42" i="52"/>
  <c r="T42" i="52"/>
  <c r="S42" i="52"/>
  <c r="Q42" i="52"/>
  <c r="P42" i="52"/>
  <c r="L42" i="52"/>
  <c r="AB42" i="52" s="1"/>
  <c r="K42" i="52"/>
  <c r="I42" i="52"/>
  <c r="G42" i="52"/>
  <c r="H42" i="52" s="1"/>
  <c r="D42" i="52"/>
  <c r="AA41" i="52"/>
  <c r="W41" i="52"/>
  <c r="T41" i="52"/>
  <c r="S41" i="52"/>
  <c r="Q41" i="52"/>
  <c r="P41" i="52"/>
  <c r="L41" i="52"/>
  <c r="AB41" i="52" s="1"/>
  <c r="K41" i="52"/>
  <c r="I41" i="52"/>
  <c r="G41" i="52"/>
  <c r="H41" i="52" s="1"/>
  <c r="D41" i="52"/>
  <c r="AA40" i="52"/>
  <c r="W40" i="52"/>
  <c r="T40" i="52"/>
  <c r="S40" i="52"/>
  <c r="Q40" i="52"/>
  <c r="P40" i="52"/>
  <c r="L40" i="52"/>
  <c r="AB40" i="52" s="1"/>
  <c r="K40" i="52"/>
  <c r="I40" i="52"/>
  <c r="G40" i="52"/>
  <c r="H40" i="52" s="1"/>
  <c r="D40" i="52"/>
  <c r="AA39" i="52"/>
  <c r="W39" i="52"/>
  <c r="T39" i="52"/>
  <c r="S39" i="52"/>
  <c r="Q39" i="52"/>
  <c r="P39" i="52"/>
  <c r="L39" i="52"/>
  <c r="AB39" i="52" s="1"/>
  <c r="K39" i="52"/>
  <c r="I39" i="52"/>
  <c r="G39" i="52"/>
  <c r="H39" i="52" s="1"/>
  <c r="D39" i="52"/>
  <c r="AA38" i="52"/>
  <c r="W38" i="52"/>
  <c r="T38" i="52"/>
  <c r="S38" i="52"/>
  <c r="Q38" i="52"/>
  <c r="P38" i="52"/>
  <c r="L38" i="52"/>
  <c r="AB38" i="52" s="1"/>
  <c r="K38" i="52"/>
  <c r="I38" i="52"/>
  <c r="G38" i="52"/>
  <c r="H38" i="52" s="1"/>
  <c r="D38" i="52"/>
  <c r="AA37" i="52"/>
  <c r="W37" i="52"/>
  <c r="T37" i="52"/>
  <c r="S37" i="52"/>
  <c r="Q37" i="52"/>
  <c r="P37" i="52"/>
  <c r="L37" i="52"/>
  <c r="AB37" i="52" s="1"/>
  <c r="K37" i="52"/>
  <c r="I37" i="52"/>
  <c r="G37" i="52"/>
  <c r="H37" i="52" s="1"/>
  <c r="D37" i="52"/>
  <c r="AA36" i="52"/>
  <c r="W36" i="52"/>
  <c r="T36" i="52"/>
  <c r="S36" i="52"/>
  <c r="Q36" i="52"/>
  <c r="P36" i="52"/>
  <c r="L36" i="52"/>
  <c r="AB36" i="52" s="1"/>
  <c r="K36" i="52"/>
  <c r="I36" i="52"/>
  <c r="G36" i="52"/>
  <c r="H36" i="52" s="1"/>
  <c r="D36" i="52"/>
  <c r="AA35" i="52"/>
  <c r="W35" i="52"/>
  <c r="T35" i="52"/>
  <c r="S35" i="52"/>
  <c r="Q35" i="52"/>
  <c r="P35" i="52"/>
  <c r="L35" i="52"/>
  <c r="K35" i="52"/>
  <c r="I35" i="52"/>
  <c r="G35" i="52"/>
  <c r="H35" i="52" s="1"/>
  <c r="D35" i="52"/>
  <c r="AA34" i="52"/>
  <c r="W34" i="52"/>
  <c r="T34" i="52"/>
  <c r="S34" i="52"/>
  <c r="Q34" i="52"/>
  <c r="P34" i="52"/>
  <c r="L34" i="52"/>
  <c r="AB34" i="52" s="1"/>
  <c r="K34" i="52"/>
  <c r="I34" i="52"/>
  <c r="G34" i="52"/>
  <c r="H34" i="52" s="1"/>
  <c r="D34" i="52"/>
  <c r="AA33" i="52"/>
  <c r="W33" i="52"/>
  <c r="T33" i="52"/>
  <c r="S33" i="52"/>
  <c r="Q33" i="52"/>
  <c r="P33" i="52"/>
  <c r="L33" i="52"/>
  <c r="AB33" i="52" s="1"/>
  <c r="K33" i="52"/>
  <c r="I33" i="52"/>
  <c r="G33" i="52"/>
  <c r="H33" i="52" s="1"/>
  <c r="D33" i="52"/>
  <c r="AA32" i="52"/>
  <c r="W32" i="52"/>
  <c r="T32" i="52"/>
  <c r="S32" i="52"/>
  <c r="Q32" i="52"/>
  <c r="P32" i="52"/>
  <c r="L32" i="52"/>
  <c r="AB32" i="52" s="1"/>
  <c r="K32" i="52"/>
  <c r="I32" i="52"/>
  <c r="G32" i="52"/>
  <c r="H32" i="52" s="1"/>
  <c r="D32" i="52"/>
  <c r="AA31" i="52"/>
  <c r="W31" i="52"/>
  <c r="T31" i="52"/>
  <c r="S31" i="52"/>
  <c r="Q31" i="52"/>
  <c r="P31" i="52"/>
  <c r="L31" i="52"/>
  <c r="AB31" i="52" s="1"/>
  <c r="K31" i="52"/>
  <c r="I31" i="52"/>
  <c r="G31" i="52"/>
  <c r="H31" i="52" s="1"/>
  <c r="D31" i="52"/>
  <c r="AA30" i="52"/>
  <c r="W30" i="52"/>
  <c r="T30" i="52"/>
  <c r="S30" i="52"/>
  <c r="Q30" i="52"/>
  <c r="P30" i="52"/>
  <c r="L30" i="52"/>
  <c r="AB30" i="52" s="1"/>
  <c r="K30" i="52"/>
  <c r="I30" i="52"/>
  <c r="G30" i="52"/>
  <c r="H30" i="52" s="1"/>
  <c r="D30" i="52"/>
  <c r="AA29" i="52"/>
  <c r="W29" i="52"/>
  <c r="T29" i="52"/>
  <c r="S29" i="52"/>
  <c r="Q29" i="52"/>
  <c r="P29" i="52"/>
  <c r="L29" i="52"/>
  <c r="AB29" i="52" s="1"/>
  <c r="K29" i="52"/>
  <c r="I29" i="52"/>
  <c r="G29" i="52"/>
  <c r="H29" i="52" s="1"/>
  <c r="D29" i="52"/>
  <c r="AA28" i="52"/>
  <c r="W28" i="52"/>
  <c r="T28" i="52"/>
  <c r="S28" i="52"/>
  <c r="Q28" i="52"/>
  <c r="P28" i="52"/>
  <c r="L28" i="52"/>
  <c r="AB28" i="52" s="1"/>
  <c r="K28" i="52"/>
  <c r="I28" i="52"/>
  <c r="G28" i="52"/>
  <c r="H28" i="52" s="1"/>
  <c r="D28" i="52"/>
  <c r="AA27" i="52"/>
  <c r="W27" i="52"/>
  <c r="T27" i="52"/>
  <c r="S27" i="52"/>
  <c r="Q27" i="52"/>
  <c r="P27" i="52"/>
  <c r="L27" i="52"/>
  <c r="K27" i="52"/>
  <c r="I27" i="52"/>
  <c r="G27" i="52"/>
  <c r="H27" i="52" s="1"/>
  <c r="D27" i="52"/>
  <c r="AA26" i="52"/>
  <c r="W26" i="52"/>
  <c r="T26" i="52"/>
  <c r="S26" i="52"/>
  <c r="Q26" i="52"/>
  <c r="P26" i="52"/>
  <c r="L26" i="52"/>
  <c r="AB26" i="52" s="1"/>
  <c r="K26" i="52"/>
  <c r="I26" i="52"/>
  <c r="G26" i="52"/>
  <c r="H26" i="52" s="1"/>
  <c r="D26" i="52"/>
  <c r="AA25" i="52"/>
  <c r="W25" i="52"/>
  <c r="T25" i="52"/>
  <c r="S25" i="52"/>
  <c r="Q25" i="52"/>
  <c r="P25" i="52"/>
  <c r="L25" i="52"/>
  <c r="AB25" i="52" s="1"/>
  <c r="K25" i="52"/>
  <c r="I25" i="52"/>
  <c r="G25" i="52"/>
  <c r="H25" i="52" s="1"/>
  <c r="D25" i="52"/>
  <c r="AA24" i="52"/>
  <c r="W24" i="52"/>
  <c r="T24" i="52"/>
  <c r="S24" i="52"/>
  <c r="Q24" i="52"/>
  <c r="P24" i="52"/>
  <c r="L24" i="52"/>
  <c r="AB24" i="52" s="1"/>
  <c r="K24" i="52"/>
  <c r="I24" i="52"/>
  <c r="G24" i="52"/>
  <c r="H24" i="52" s="1"/>
  <c r="D24" i="52"/>
  <c r="AA23" i="52"/>
  <c r="W23" i="52"/>
  <c r="T23" i="52"/>
  <c r="S23" i="52"/>
  <c r="Q23" i="52"/>
  <c r="P23" i="52"/>
  <c r="L23" i="52"/>
  <c r="AB23" i="52" s="1"/>
  <c r="K23" i="52"/>
  <c r="I23" i="52"/>
  <c r="G23" i="52"/>
  <c r="H23" i="52" s="1"/>
  <c r="D23" i="52"/>
  <c r="AA22" i="52"/>
  <c r="W22" i="52"/>
  <c r="T22" i="52"/>
  <c r="S22" i="52"/>
  <c r="Q22" i="52"/>
  <c r="P22" i="52"/>
  <c r="L22" i="52"/>
  <c r="AB22" i="52" s="1"/>
  <c r="K22" i="52"/>
  <c r="I22" i="52"/>
  <c r="G22" i="52"/>
  <c r="H22" i="52" s="1"/>
  <c r="D22" i="52"/>
  <c r="AA21" i="52"/>
  <c r="W21" i="52"/>
  <c r="T21" i="52"/>
  <c r="S21" i="52"/>
  <c r="Q21" i="52"/>
  <c r="P21" i="52"/>
  <c r="L21" i="52"/>
  <c r="AB21" i="52" s="1"/>
  <c r="K21" i="52"/>
  <c r="I21" i="52"/>
  <c r="G21" i="52"/>
  <c r="H21" i="52" s="1"/>
  <c r="D21" i="52"/>
  <c r="AA20" i="52"/>
  <c r="W20" i="52"/>
  <c r="T20" i="52"/>
  <c r="S20" i="52"/>
  <c r="Q20" i="52"/>
  <c r="P20" i="52"/>
  <c r="L20" i="52"/>
  <c r="AB20" i="52" s="1"/>
  <c r="K20" i="52"/>
  <c r="I20" i="52"/>
  <c r="G20" i="52"/>
  <c r="H20" i="52" s="1"/>
  <c r="D20" i="52"/>
  <c r="AA19" i="52"/>
  <c r="W19" i="52"/>
  <c r="T19" i="52"/>
  <c r="S19" i="52"/>
  <c r="Q19" i="52"/>
  <c r="P19" i="52"/>
  <c r="L19" i="52"/>
  <c r="K19" i="52"/>
  <c r="I19" i="52"/>
  <c r="G19" i="52"/>
  <c r="H19" i="52" s="1"/>
  <c r="D19" i="52"/>
  <c r="AA18" i="52"/>
  <c r="W18" i="52"/>
  <c r="T18" i="52"/>
  <c r="S18" i="52"/>
  <c r="Q18" i="52"/>
  <c r="P18" i="52"/>
  <c r="L18" i="52"/>
  <c r="AB18" i="52" s="1"/>
  <c r="K18" i="52"/>
  <c r="I18" i="52"/>
  <c r="G18" i="52"/>
  <c r="H18" i="52" s="1"/>
  <c r="D18" i="52"/>
  <c r="AA17" i="52"/>
  <c r="W17" i="52"/>
  <c r="T17" i="52"/>
  <c r="S17" i="52"/>
  <c r="Q17" i="52"/>
  <c r="P17" i="52"/>
  <c r="L17" i="52"/>
  <c r="AB17" i="52" s="1"/>
  <c r="K17" i="52"/>
  <c r="I17" i="52"/>
  <c r="G17" i="52"/>
  <c r="H17" i="52" s="1"/>
  <c r="D17" i="52"/>
  <c r="AA16" i="52"/>
  <c r="W16" i="52"/>
  <c r="T16" i="52"/>
  <c r="S16" i="52"/>
  <c r="Q16" i="52"/>
  <c r="P16" i="52"/>
  <c r="L16" i="52"/>
  <c r="AB16" i="52" s="1"/>
  <c r="K16" i="52"/>
  <c r="I16" i="52"/>
  <c r="G16" i="52"/>
  <c r="H16" i="52" s="1"/>
  <c r="D16" i="52"/>
  <c r="AA15" i="52"/>
  <c r="W15" i="52"/>
  <c r="T15" i="52"/>
  <c r="S15" i="52"/>
  <c r="Q15" i="52"/>
  <c r="P15" i="52"/>
  <c r="L15" i="52"/>
  <c r="AB15" i="52" s="1"/>
  <c r="K15" i="52"/>
  <c r="I15" i="52"/>
  <c r="G15" i="52"/>
  <c r="H15" i="52" s="1"/>
  <c r="D15" i="52"/>
  <c r="AA14" i="52"/>
  <c r="W14" i="52"/>
  <c r="T14" i="52"/>
  <c r="S14" i="52"/>
  <c r="Q14" i="52"/>
  <c r="P14" i="52"/>
  <c r="L14" i="52"/>
  <c r="AB14" i="52" s="1"/>
  <c r="K14" i="52"/>
  <c r="I14" i="52"/>
  <c r="G14" i="52"/>
  <c r="H14" i="52" s="1"/>
  <c r="D14" i="52"/>
  <c r="AA13" i="52"/>
  <c r="W13" i="52"/>
  <c r="T13" i="52"/>
  <c r="S13" i="52"/>
  <c r="Q13" i="52"/>
  <c r="P13" i="52"/>
  <c r="L13" i="52"/>
  <c r="AB13" i="52" s="1"/>
  <c r="K13" i="52"/>
  <c r="I13" i="52"/>
  <c r="G13" i="52"/>
  <c r="H13" i="52" s="1"/>
  <c r="D13" i="52"/>
  <c r="AA12" i="52"/>
  <c r="W12" i="52"/>
  <c r="T12" i="52"/>
  <c r="S12" i="52"/>
  <c r="Q12" i="52"/>
  <c r="P12" i="52"/>
  <c r="L12" i="52"/>
  <c r="AB12" i="52" s="1"/>
  <c r="K12" i="52"/>
  <c r="I12" i="52"/>
  <c r="G12" i="52"/>
  <c r="H12" i="52" s="1"/>
  <c r="D12" i="52"/>
  <c r="AA11" i="52"/>
  <c r="W11" i="52"/>
  <c r="T11" i="52"/>
  <c r="S11" i="52"/>
  <c r="Q11" i="52"/>
  <c r="P11" i="52"/>
  <c r="L11" i="52"/>
  <c r="K11" i="52"/>
  <c r="I11" i="52"/>
  <c r="G11" i="52"/>
  <c r="H11" i="52" s="1"/>
  <c r="D11" i="52"/>
  <c r="AA10" i="52"/>
  <c r="W10" i="52"/>
  <c r="T10" i="52"/>
  <c r="S10" i="52"/>
  <c r="Q10" i="52"/>
  <c r="P10" i="52"/>
  <c r="L10" i="52"/>
  <c r="AB10" i="52" s="1"/>
  <c r="K10" i="52"/>
  <c r="I10" i="52"/>
  <c r="G10" i="52"/>
  <c r="H10" i="52" s="1"/>
  <c r="D10" i="52"/>
  <c r="AA9" i="52"/>
  <c r="W9" i="52"/>
  <c r="T9" i="52"/>
  <c r="S9" i="52"/>
  <c r="Q9" i="52"/>
  <c r="P9" i="52"/>
  <c r="L9" i="52"/>
  <c r="AB9" i="52" s="1"/>
  <c r="K9" i="52"/>
  <c r="I9" i="52"/>
  <c r="G9" i="52"/>
  <c r="H9" i="52" s="1"/>
  <c r="D9" i="52"/>
  <c r="AA8" i="52"/>
  <c r="W8" i="52"/>
  <c r="T8" i="52"/>
  <c r="S8" i="52"/>
  <c r="Q8" i="52"/>
  <c r="P8" i="52"/>
  <c r="L8" i="52"/>
  <c r="AB8" i="52" s="1"/>
  <c r="K8" i="52"/>
  <c r="I8" i="52"/>
  <c r="G8" i="52"/>
  <c r="H8" i="52" s="1"/>
  <c r="D8" i="52"/>
  <c r="AA7" i="52"/>
  <c r="W7" i="52"/>
  <c r="T7" i="52"/>
  <c r="S7" i="52"/>
  <c r="Q7" i="52"/>
  <c r="P7" i="52"/>
  <c r="L7" i="52"/>
  <c r="AB7" i="52" s="1"/>
  <c r="K7" i="52"/>
  <c r="I7" i="52"/>
  <c r="G7" i="52"/>
  <c r="H7" i="52" s="1"/>
  <c r="D7" i="52"/>
  <c r="AA6" i="52"/>
  <c r="W6" i="52"/>
  <c r="T6" i="52"/>
  <c r="S6" i="52"/>
  <c r="Q6" i="52"/>
  <c r="P6" i="52"/>
  <c r="L6" i="52"/>
  <c r="AB6" i="52" s="1"/>
  <c r="K6" i="52"/>
  <c r="I6" i="52"/>
  <c r="G6" i="52"/>
  <c r="H6" i="52" s="1"/>
  <c r="D6" i="52"/>
  <c r="BM315" i="51"/>
  <c r="BK315" i="51"/>
  <c r="AA315" i="51"/>
  <c r="Y315" i="51"/>
  <c r="V315" i="51"/>
  <c r="T315" i="51"/>
  <c r="I315" i="51"/>
  <c r="J315" i="51" s="1"/>
  <c r="BK314" i="51"/>
  <c r="BI314" i="51"/>
  <c r="AA314" i="51"/>
  <c r="Y314" i="51"/>
  <c r="V314" i="51"/>
  <c r="T314" i="51"/>
  <c r="I314" i="51"/>
  <c r="J314" i="51" s="1"/>
  <c r="BK313" i="51"/>
  <c r="BI313" i="51"/>
  <c r="AA313" i="51"/>
  <c r="Y313" i="51"/>
  <c r="V313" i="51"/>
  <c r="T313" i="51"/>
  <c r="I313" i="51"/>
  <c r="J313" i="51" s="1"/>
  <c r="BK312" i="51"/>
  <c r="BI312" i="51"/>
  <c r="AA312" i="51"/>
  <c r="Y312" i="51"/>
  <c r="V312" i="51"/>
  <c r="T312" i="51"/>
  <c r="I312" i="51"/>
  <c r="J312" i="51" s="1"/>
  <c r="BK311" i="51"/>
  <c r="BI311" i="51"/>
  <c r="AA311" i="51"/>
  <c r="Y311" i="51"/>
  <c r="V311" i="51"/>
  <c r="T311" i="51"/>
  <c r="I311" i="51"/>
  <c r="J311" i="51" s="1"/>
  <c r="BK310" i="51"/>
  <c r="BI310" i="51"/>
  <c r="AA310" i="51"/>
  <c r="Y310" i="51"/>
  <c r="V310" i="51"/>
  <c r="T310" i="51"/>
  <c r="I310" i="51"/>
  <c r="J310" i="51" s="1"/>
  <c r="BK309" i="51"/>
  <c r="BI309" i="51"/>
  <c r="AA309" i="51"/>
  <c r="Y309" i="51"/>
  <c r="V309" i="51"/>
  <c r="T309" i="51"/>
  <c r="I309" i="51"/>
  <c r="J309" i="51" s="1"/>
  <c r="BK308" i="51"/>
  <c r="BI308" i="51"/>
  <c r="AA308" i="51"/>
  <c r="Y308" i="51"/>
  <c r="V308" i="51"/>
  <c r="T308" i="51"/>
  <c r="I308" i="51"/>
  <c r="BK307" i="51"/>
  <c r="BI307" i="51"/>
  <c r="AA307" i="51"/>
  <c r="Y307" i="51"/>
  <c r="V307" i="51"/>
  <c r="T307" i="51"/>
  <c r="I307" i="51"/>
  <c r="BK306" i="51"/>
  <c r="BI306" i="51"/>
  <c r="AA306" i="51"/>
  <c r="Y306" i="51"/>
  <c r="V306" i="51"/>
  <c r="T306" i="51"/>
  <c r="I306" i="51"/>
  <c r="J306" i="51" s="1"/>
  <c r="BK305" i="51"/>
  <c r="BI305" i="51"/>
  <c r="AA305" i="51"/>
  <c r="Y305" i="51"/>
  <c r="V305" i="51"/>
  <c r="T305" i="51"/>
  <c r="I305" i="51"/>
  <c r="BK304" i="51"/>
  <c r="BI304" i="51"/>
  <c r="AA304" i="51"/>
  <c r="Y304" i="51"/>
  <c r="V304" i="51"/>
  <c r="T304" i="51"/>
  <c r="I304" i="51"/>
  <c r="BK303" i="51"/>
  <c r="BI303" i="51"/>
  <c r="AA303" i="51"/>
  <c r="Y303" i="51"/>
  <c r="V303" i="51"/>
  <c r="T303" i="51"/>
  <c r="I303" i="51"/>
  <c r="BK302" i="51"/>
  <c r="BI302" i="51"/>
  <c r="AA302" i="51"/>
  <c r="Y302" i="51"/>
  <c r="V302" i="51"/>
  <c r="T302" i="51"/>
  <c r="I302" i="51"/>
  <c r="J302" i="51" s="1"/>
  <c r="BK301" i="51"/>
  <c r="BI301" i="51"/>
  <c r="AA301" i="51"/>
  <c r="Y301" i="51"/>
  <c r="V301" i="51"/>
  <c r="T301" i="51"/>
  <c r="I301" i="51"/>
  <c r="BK300" i="51"/>
  <c r="BI300" i="51"/>
  <c r="AA300" i="51"/>
  <c r="Y300" i="51"/>
  <c r="V300" i="51"/>
  <c r="T300" i="51"/>
  <c r="I300" i="51"/>
  <c r="BK299" i="51"/>
  <c r="BI299" i="51"/>
  <c r="AA299" i="51"/>
  <c r="Y299" i="51"/>
  <c r="V299" i="51"/>
  <c r="T299" i="51"/>
  <c r="I299" i="51"/>
  <c r="BK298" i="51"/>
  <c r="BI298" i="51"/>
  <c r="AA298" i="51"/>
  <c r="Y298" i="51"/>
  <c r="V298" i="51"/>
  <c r="T298" i="51"/>
  <c r="I298" i="51"/>
  <c r="J298" i="51" s="1"/>
  <c r="BK297" i="51"/>
  <c r="BI297" i="51"/>
  <c r="AA297" i="51"/>
  <c r="Y297" i="51"/>
  <c r="V297" i="51"/>
  <c r="T297" i="51"/>
  <c r="I297" i="51"/>
  <c r="BK296" i="51"/>
  <c r="BI296" i="51"/>
  <c r="AA296" i="51"/>
  <c r="Y296" i="51"/>
  <c r="V296" i="51"/>
  <c r="T296" i="51"/>
  <c r="I296" i="51"/>
  <c r="J296" i="51" s="1"/>
  <c r="BK295" i="51"/>
  <c r="BI295" i="51"/>
  <c r="AA295" i="51"/>
  <c r="Y295" i="51"/>
  <c r="V295" i="51"/>
  <c r="T295" i="51"/>
  <c r="I295" i="51"/>
  <c r="J295" i="51" s="1"/>
  <c r="BK294" i="51"/>
  <c r="BI294" i="51"/>
  <c r="AA294" i="51"/>
  <c r="Y294" i="51"/>
  <c r="V294" i="51"/>
  <c r="T294" i="51"/>
  <c r="I294" i="51"/>
  <c r="J294" i="51" s="1"/>
  <c r="BK293" i="51"/>
  <c r="BI293" i="51"/>
  <c r="AA293" i="51"/>
  <c r="Y293" i="51"/>
  <c r="V293" i="51"/>
  <c r="T293" i="51"/>
  <c r="I293" i="51"/>
  <c r="J293" i="51" s="1"/>
  <c r="BK292" i="51"/>
  <c r="BI292" i="51"/>
  <c r="AA292" i="51"/>
  <c r="Y292" i="51"/>
  <c r="V292" i="51"/>
  <c r="T292" i="51"/>
  <c r="I292" i="51"/>
  <c r="J292" i="51" s="1"/>
  <c r="BK291" i="51"/>
  <c r="BI291" i="51"/>
  <c r="AA291" i="51"/>
  <c r="Y291" i="51"/>
  <c r="V291" i="51"/>
  <c r="T291" i="51"/>
  <c r="I291" i="51"/>
  <c r="J291" i="51" s="1"/>
  <c r="BK290" i="51"/>
  <c r="BI290" i="51"/>
  <c r="AA290" i="51"/>
  <c r="Y290" i="51"/>
  <c r="V290" i="51"/>
  <c r="T290" i="51"/>
  <c r="I290" i="51"/>
  <c r="J290" i="51" s="1"/>
  <c r="BK289" i="51"/>
  <c r="BI289" i="51"/>
  <c r="AA289" i="51"/>
  <c r="Y289" i="51"/>
  <c r="V289" i="51"/>
  <c r="T289" i="51"/>
  <c r="I289" i="51"/>
  <c r="J289" i="51" s="1"/>
  <c r="BK288" i="51"/>
  <c r="BI288" i="51"/>
  <c r="AA288" i="51"/>
  <c r="Y288" i="51"/>
  <c r="V288" i="51"/>
  <c r="T288" i="51"/>
  <c r="I288" i="51"/>
  <c r="J288" i="51" s="1"/>
  <c r="BK287" i="51"/>
  <c r="BI287" i="51"/>
  <c r="AA287" i="51"/>
  <c r="Y287" i="51"/>
  <c r="V287" i="51"/>
  <c r="T287" i="51"/>
  <c r="I287" i="51"/>
  <c r="J287" i="51" s="1"/>
  <c r="BK286" i="51"/>
  <c r="BI286" i="51"/>
  <c r="AA286" i="51"/>
  <c r="Y286" i="51"/>
  <c r="V286" i="51"/>
  <c r="T286" i="51"/>
  <c r="I286" i="51"/>
  <c r="J286" i="51" s="1"/>
  <c r="BK285" i="51"/>
  <c r="BI285" i="51"/>
  <c r="AA285" i="51"/>
  <c r="Y285" i="51"/>
  <c r="V285" i="51"/>
  <c r="T285" i="51"/>
  <c r="I285" i="51"/>
  <c r="J285" i="51" s="1"/>
  <c r="BK284" i="51"/>
  <c r="BI284" i="51"/>
  <c r="AA284" i="51"/>
  <c r="Y284" i="51"/>
  <c r="V284" i="51"/>
  <c r="T284" i="51"/>
  <c r="I284" i="51"/>
  <c r="J284" i="51" s="1"/>
  <c r="BK283" i="51"/>
  <c r="BI283" i="51"/>
  <c r="AA283" i="51"/>
  <c r="Y283" i="51"/>
  <c r="V283" i="51"/>
  <c r="T283" i="51"/>
  <c r="I283" i="51"/>
  <c r="J283" i="51" s="1"/>
  <c r="BK282" i="51"/>
  <c r="BI282" i="51"/>
  <c r="AA282" i="51"/>
  <c r="Y282" i="51"/>
  <c r="V282" i="51"/>
  <c r="T282" i="51"/>
  <c r="I282" i="51"/>
  <c r="J282" i="51" s="1"/>
  <c r="BK281" i="51"/>
  <c r="BI281" i="51"/>
  <c r="AA281" i="51"/>
  <c r="Y281" i="51"/>
  <c r="V281" i="51"/>
  <c r="T281" i="51"/>
  <c r="BK280" i="51"/>
  <c r="BI280" i="51"/>
  <c r="AA280" i="51"/>
  <c r="Y280" i="51"/>
  <c r="V280" i="51"/>
  <c r="T280" i="51"/>
  <c r="I280" i="51"/>
  <c r="J280" i="51" s="1"/>
  <c r="BK279" i="51"/>
  <c r="BI279" i="51"/>
  <c r="AA279" i="51"/>
  <c r="Y279" i="51"/>
  <c r="V279" i="51"/>
  <c r="T279" i="51"/>
  <c r="I279" i="51"/>
  <c r="BK278" i="51"/>
  <c r="BI278" i="51"/>
  <c r="AA278" i="51"/>
  <c r="Y278" i="51"/>
  <c r="V278" i="51"/>
  <c r="T278" i="51"/>
  <c r="I278" i="51"/>
  <c r="J278" i="51" s="1"/>
  <c r="BK277" i="51"/>
  <c r="BI277" i="51"/>
  <c r="AA277" i="51"/>
  <c r="Y277" i="51"/>
  <c r="V277" i="51"/>
  <c r="T277" i="51"/>
  <c r="I277" i="51"/>
  <c r="J277" i="51" s="1"/>
  <c r="BK276" i="51"/>
  <c r="BI276" i="51"/>
  <c r="AA276" i="51"/>
  <c r="Y276" i="51"/>
  <c r="V276" i="51"/>
  <c r="T276" i="51"/>
  <c r="I276" i="51"/>
  <c r="J276" i="51" s="1"/>
  <c r="BK275" i="51"/>
  <c r="BI275" i="51"/>
  <c r="AA275" i="51"/>
  <c r="Y275" i="51"/>
  <c r="V275" i="51"/>
  <c r="T275" i="51"/>
  <c r="I275" i="51"/>
  <c r="BK274" i="51"/>
  <c r="BI274" i="51"/>
  <c r="AA274" i="51"/>
  <c r="Y274" i="51"/>
  <c r="V274" i="51"/>
  <c r="T274" i="51"/>
  <c r="I274" i="51"/>
  <c r="J274" i="51" s="1"/>
  <c r="BK273" i="51"/>
  <c r="BI273" i="51"/>
  <c r="AA273" i="51"/>
  <c r="Y273" i="51"/>
  <c r="V273" i="51"/>
  <c r="T273" i="51"/>
  <c r="BK272" i="51"/>
  <c r="BI272" i="51"/>
  <c r="AA272" i="51"/>
  <c r="Y272" i="51"/>
  <c r="V272" i="51"/>
  <c r="T272" i="51"/>
  <c r="I272" i="51"/>
  <c r="J272" i="51" s="1"/>
  <c r="BK271" i="51"/>
  <c r="BI271" i="51"/>
  <c r="AA271" i="51"/>
  <c r="Y271" i="51"/>
  <c r="V271" i="51"/>
  <c r="T271" i="51"/>
  <c r="BK270" i="51"/>
  <c r="BI270" i="51"/>
  <c r="AA270" i="51"/>
  <c r="Y270" i="51"/>
  <c r="V270" i="51"/>
  <c r="T270" i="51"/>
  <c r="I270" i="51"/>
  <c r="BK269" i="51"/>
  <c r="BI269" i="51"/>
  <c r="AA269" i="51"/>
  <c r="Y269" i="51"/>
  <c r="V269" i="51"/>
  <c r="T269" i="51"/>
  <c r="I269" i="51"/>
  <c r="BK268" i="51"/>
  <c r="BI268" i="51"/>
  <c r="AA268" i="51"/>
  <c r="Y268" i="51"/>
  <c r="V268" i="51"/>
  <c r="T268" i="51"/>
  <c r="BK267" i="51"/>
  <c r="BI267" i="51"/>
  <c r="AA267" i="51"/>
  <c r="Y267" i="51"/>
  <c r="V267" i="51"/>
  <c r="T267" i="51"/>
  <c r="BK266" i="51"/>
  <c r="BI266" i="51"/>
  <c r="AA266" i="51"/>
  <c r="Y266" i="51"/>
  <c r="V266" i="51"/>
  <c r="T266" i="51"/>
  <c r="I266" i="51"/>
  <c r="J266" i="51" s="1"/>
  <c r="BK265" i="51"/>
  <c r="BI265" i="51"/>
  <c r="AA265" i="51"/>
  <c r="Y265" i="51"/>
  <c r="V265" i="51"/>
  <c r="T265" i="51"/>
  <c r="BK264" i="51"/>
  <c r="BI264" i="51"/>
  <c r="AA264" i="51"/>
  <c r="Y264" i="51"/>
  <c r="V264" i="51"/>
  <c r="T264" i="51"/>
  <c r="I264" i="51"/>
  <c r="BK263" i="51"/>
  <c r="BI263" i="51"/>
  <c r="AA263" i="51"/>
  <c r="Y263" i="51"/>
  <c r="V263" i="51"/>
  <c r="T263" i="51"/>
  <c r="I263" i="51"/>
  <c r="BK262" i="51"/>
  <c r="BI262" i="51"/>
  <c r="AA262" i="51"/>
  <c r="Y262" i="51"/>
  <c r="V262" i="51"/>
  <c r="T262" i="51"/>
  <c r="I262" i="51"/>
  <c r="J262" i="51" s="1"/>
  <c r="BK261" i="51"/>
  <c r="BI261" i="51"/>
  <c r="AA261" i="51"/>
  <c r="Y261" i="51"/>
  <c r="V261" i="51"/>
  <c r="T261" i="51"/>
  <c r="I261" i="51"/>
  <c r="J261" i="51" s="1"/>
  <c r="BK260" i="51"/>
  <c r="BI260" i="51"/>
  <c r="AA260" i="51"/>
  <c r="Y260" i="51"/>
  <c r="V260" i="51"/>
  <c r="T260" i="51"/>
  <c r="I260" i="51"/>
  <c r="BK259" i="51"/>
  <c r="BI259" i="51"/>
  <c r="AA259" i="51"/>
  <c r="Y259" i="51"/>
  <c r="V259" i="51"/>
  <c r="T259" i="51"/>
  <c r="I259" i="51"/>
  <c r="J259" i="51" s="1"/>
  <c r="BK258" i="51"/>
  <c r="BI258" i="51"/>
  <c r="AA258" i="51"/>
  <c r="Y258" i="51"/>
  <c r="V258" i="51"/>
  <c r="T258" i="51"/>
  <c r="I258" i="51"/>
  <c r="BK257" i="51"/>
  <c r="BI257" i="51"/>
  <c r="AA257" i="51"/>
  <c r="Y257" i="51"/>
  <c r="V257" i="51"/>
  <c r="T257" i="51"/>
  <c r="I257" i="51"/>
  <c r="J257" i="51" s="1"/>
  <c r="BK256" i="51"/>
  <c r="BI256" i="51"/>
  <c r="AA256" i="51"/>
  <c r="Y256" i="51"/>
  <c r="V256" i="51"/>
  <c r="T256" i="51"/>
  <c r="I256" i="51"/>
  <c r="BK255" i="51"/>
  <c r="BI255" i="51"/>
  <c r="AA255" i="51"/>
  <c r="Y255" i="51"/>
  <c r="V255" i="51"/>
  <c r="T255" i="51"/>
  <c r="BK254" i="51"/>
  <c r="BI254" i="51"/>
  <c r="AA254" i="51"/>
  <c r="Y254" i="51"/>
  <c r="V254" i="51"/>
  <c r="T254" i="51"/>
  <c r="I254" i="51"/>
  <c r="BK253" i="51"/>
  <c r="BI253" i="51"/>
  <c r="AA253" i="51"/>
  <c r="Y253" i="51"/>
  <c r="V253" i="51"/>
  <c r="T253" i="51"/>
  <c r="BK252" i="51"/>
  <c r="BI252" i="51"/>
  <c r="AA252" i="51"/>
  <c r="Y252" i="51"/>
  <c r="V252" i="51"/>
  <c r="T252" i="51"/>
  <c r="I252" i="51"/>
  <c r="J252" i="51" s="1"/>
  <c r="BK251" i="51"/>
  <c r="BI251" i="51"/>
  <c r="AA251" i="51"/>
  <c r="Y251" i="51"/>
  <c r="V251" i="51"/>
  <c r="T251" i="51"/>
  <c r="I251" i="51"/>
  <c r="J251" i="51" s="1"/>
  <c r="BK250" i="51"/>
  <c r="BI250" i="51"/>
  <c r="AA250" i="51"/>
  <c r="Y250" i="51"/>
  <c r="V250" i="51"/>
  <c r="T250" i="51"/>
  <c r="I250" i="51"/>
  <c r="J250" i="51" s="1"/>
  <c r="BK249" i="51"/>
  <c r="BI249" i="51"/>
  <c r="AA249" i="51"/>
  <c r="Y249" i="51"/>
  <c r="V249" i="51"/>
  <c r="T249" i="51"/>
  <c r="I249" i="51"/>
  <c r="J249" i="51" s="1"/>
  <c r="BK248" i="51"/>
  <c r="BI248" i="51"/>
  <c r="AA248" i="51"/>
  <c r="Y248" i="51"/>
  <c r="V248" i="51"/>
  <c r="T248" i="51"/>
  <c r="I248" i="51"/>
  <c r="J248" i="51" s="1"/>
  <c r="BK247" i="51"/>
  <c r="BI247" i="51"/>
  <c r="AA247" i="51"/>
  <c r="Y247" i="51"/>
  <c r="V247" i="51"/>
  <c r="T247" i="51"/>
  <c r="I247" i="51"/>
  <c r="J247" i="51" s="1"/>
  <c r="BK246" i="51"/>
  <c r="BI246" i="51"/>
  <c r="AA246" i="51"/>
  <c r="Y246" i="51"/>
  <c r="V246" i="51"/>
  <c r="T246" i="51"/>
  <c r="I246" i="51"/>
  <c r="J246" i="51" s="1"/>
  <c r="BK245" i="51"/>
  <c r="BI245" i="51"/>
  <c r="AA245" i="51"/>
  <c r="Y245" i="51"/>
  <c r="V245" i="51"/>
  <c r="T245" i="51"/>
  <c r="I245" i="51"/>
  <c r="J245" i="51" s="1"/>
  <c r="BK244" i="51"/>
  <c r="BI244" i="51"/>
  <c r="AA244" i="51"/>
  <c r="Y244" i="51"/>
  <c r="V244" i="51"/>
  <c r="T244" i="51"/>
  <c r="I244" i="51"/>
  <c r="J244" i="51" s="1"/>
  <c r="BK243" i="51"/>
  <c r="BI243" i="51"/>
  <c r="AA243" i="51"/>
  <c r="Y243" i="51"/>
  <c r="V243" i="51"/>
  <c r="T243" i="51"/>
  <c r="I243" i="51"/>
  <c r="J243" i="51" s="1"/>
  <c r="BK242" i="51"/>
  <c r="BI242" i="51"/>
  <c r="AA242" i="51"/>
  <c r="Y242" i="51"/>
  <c r="V242" i="51"/>
  <c r="T242" i="51"/>
  <c r="I242" i="51"/>
  <c r="J242" i="51" s="1"/>
  <c r="BK241" i="51"/>
  <c r="BI241" i="51"/>
  <c r="AA241" i="51"/>
  <c r="Y241" i="51"/>
  <c r="V241" i="51"/>
  <c r="T241" i="51"/>
  <c r="I241" i="51"/>
  <c r="J241" i="51" s="1"/>
  <c r="BK240" i="51"/>
  <c r="BI240" i="51"/>
  <c r="AA240" i="51"/>
  <c r="Y240" i="51"/>
  <c r="V240" i="51"/>
  <c r="T240" i="51"/>
  <c r="I240" i="51"/>
  <c r="BK239" i="51"/>
  <c r="BI239" i="51"/>
  <c r="AA239" i="51"/>
  <c r="Y239" i="51"/>
  <c r="V239" i="51"/>
  <c r="T239" i="51"/>
  <c r="I239" i="51"/>
  <c r="J239" i="51" s="1"/>
  <c r="BK238" i="51"/>
  <c r="BI238" i="51"/>
  <c r="AA238" i="51"/>
  <c r="Y238" i="51"/>
  <c r="V238" i="51"/>
  <c r="T238" i="51"/>
  <c r="I238" i="51"/>
  <c r="J238" i="51" s="1"/>
  <c r="BK237" i="51"/>
  <c r="BI237" i="51"/>
  <c r="AA237" i="51"/>
  <c r="Y237" i="51"/>
  <c r="V237" i="51"/>
  <c r="T237" i="51"/>
  <c r="BK236" i="51"/>
  <c r="BI236" i="51"/>
  <c r="AA236" i="51"/>
  <c r="Y236" i="51"/>
  <c r="V236" i="51"/>
  <c r="T236" i="51"/>
  <c r="BK235" i="51"/>
  <c r="BI235" i="51"/>
  <c r="AA235" i="51"/>
  <c r="Y235" i="51"/>
  <c r="V235" i="51"/>
  <c r="T235" i="51"/>
  <c r="I235" i="51"/>
  <c r="J235" i="51" s="1"/>
  <c r="BK234" i="51"/>
  <c r="BI234" i="51"/>
  <c r="AA234" i="51"/>
  <c r="Y234" i="51"/>
  <c r="V234" i="51"/>
  <c r="T234" i="51"/>
  <c r="I234" i="51"/>
  <c r="J234" i="51" s="1"/>
  <c r="BK233" i="51"/>
  <c r="BI233" i="51"/>
  <c r="AA233" i="51"/>
  <c r="Y233" i="51"/>
  <c r="V233" i="51"/>
  <c r="T233" i="51"/>
  <c r="I233" i="51"/>
  <c r="J233" i="51" s="1"/>
  <c r="BK232" i="51"/>
  <c r="BI232" i="51"/>
  <c r="AA232" i="51"/>
  <c r="Y232" i="51"/>
  <c r="V232" i="51"/>
  <c r="T232" i="51"/>
  <c r="I232" i="51"/>
  <c r="J232" i="51" s="1"/>
  <c r="BK231" i="51"/>
  <c r="BI231" i="51"/>
  <c r="AA231" i="51"/>
  <c r="Y231" i="51"/>
  <c r="V231" i="51"/>
  <c r="T231" i="51"/>
  <c r="I231" i="51"/>
  <c r="J231" i="51" s="1"/>
  <c r="BK230" i="51"/>
  <c r="BI230" i="51"/>
  <c r="AA230" i="51"/>
  <c r="Y230" i="51"/>
  <c r="V230" i="51"/>
  <c r="T230" i="51"/>
  <c r="I230" i="51"/>
  <c r="J230" i="51" s="1"/>
  <c r="BK229" i="51"/>
  <c r="BI229" i="51"/>
  <c r="AA229" i="51"/>
  <c r="Y229" i="51"/>
  <c r="V229" i="51"/>
  <c r="T229" i="51"/>
  <c r="I229" i="51"/>
  <c r="J229" i="51" s="1"/>
  <c r="BK228" i="51"/>
  <c r="BI228" i="51"/>
  <c r="AA228" i="51"/>
  <c r="Y228" i="51"/>
  <c r="V228" i="51"/>
  <c r="T228" i="51"/>
  <c r="I228" i="51"/>
  <c r="J228" i="51" s="1"/>
  <c r="BK227" i="51"/>
  <c r="BI227" i="51"/>
  <c r="AA227" i="51"/>
  <c r="Y227" i="51"/>
  <c r="V227" i="51"/>
  <c r="T227" i="51"/>
  <c r="I227" i="51"/>
  <c r="J227" i="51" s="1"/>
  <c r="BK226" i="51"/>
  <c r="BI226" i="51"/>
  <c r="AA226" i="51"/>
  <c r="Y226" i="51"/>
  <c r="V226" i="51"/>
  <c r="T226" i="51"/>
  <c r="I226" i="51"/>
  <c r="J226" i="51" s="1"/>
  <c r="BK225" i="51"/>
  <c r="BI225" i="51"/>
  <c r="AA225" i="51"/>
  <c r="Y225" i="51"/>
  <c r="V225" i="51"/>
  <c r="T225" i="51"/>
  <c r="I225" i="51"/>
  <c r="J225" i="51" s="1"/>
  <c r="BK224" i="51"/>
  <c r="BI224" i="51"/>
  <c r="AA224" i="51"/>
  <c r="Y224" i="51"/>
  <c r="V224" i="51"/>
  <c r="T224" i="51"/>
  <c r="I224" i="51"/>
  <c r="J224" i="51" s="1"/>
  <c r="BK223" i="51"/>
  <c r="BI223" i="51"/>
  <c r="AA223" i="51"/>
  <c r="Y223" i="51"/>
  <c r="V223" i="51"/>
  <c r="T223" i="51"/>
  <c r="I223" i="51"/>
  <c r="J223" i="51" s="1"/>
  <c r="BK222" i="51"/>
  <c r="BI222" i="51"/>
  <c r="AA222" i="51"/>
  <c r="Y222" i="51"/>
  <c r="V222" i="51"/>
  <c r="T222" i="51"/>
  <c r="I222" i="51"/>
  <c r="J222" i="51" s="1"/>
  <c r="BK221" i="51"/>
  <c r="BI221" i="51"/>
  <c r="AA221" i="51"/>
  <c r="Y221" i="51"/>
  <c r="V221" i="51"/>
  <c r="T221" i="51"/>
  <c r="I221" i="51"/>
  <c r="J221" i="51" s="1"/>
  <c r="BK220" i="51"/>
  <c r="BI220" i="51"/>
  <c r="AA220" i="51"/>
  <c r="Y220" i="51"/>
  <c r="V220" i="51"/>
  <c r="T220" i="51"/>
  <c r="I220" i="51"/>
  <c r="J220" i="51" s="1"/>
  <c r="BK219" i="51"/>
  <c r="BI219" i="51"/>
  <c r="AA219" i="51"/>
  <c r="Y219" i="51"/>
  <c r="V219" i="51"/>
  <c r="T219" i="51"/>
  <c r="BK218" i="51"/>
  <c r="BI218" i="51"/>
  <c r="AA218" i="51"/>
  <c r="Y218" i="51"/>
  <c r="V218" i="51"/>
  <c r="T218" i="51"/>
  <c r="I218" i="51"/>
  <c r="BK217" i="51"/>
  <c r="BI217" i="51"/>
  <c r="AA217" i="51"/>
  <c r="Y217" i="51"/>
  <c r="V217" i="51"/>
  <c r="T217" i="51"/>
  <c r="I217" i="51"/>
  <c r="BK216" i="51"/>
  <c r="BI216" i="51"/>
  <c r="AA216" i="51"/>
  <c r="Y216" i="51"/>
  <c r="V216" i="51"/>
  <c r="T216" i="51"/>
  <c r="I216" i="51"/>
  <c r="BK215" i="51"/>
  <c r="BI215" i="51"/>
  <c r="AA215" i="51"/>
  <c r="Y215" i="51"/>
  <c r="V215" i="51"/>
  <c r="T215" i="51"/>
  <c r="I215" i="51"/>
  <c r="BK214" i="51"/>
  <c r="BI214" i="51"/>
  <c r="AA214" i="51"/>
  <c r="Y214" i="51"/>
  <c r="V214" i="51"/>
  <c r="T214" i="51"/>
  <c r="I214" i="51"/>
  <c r="BK213" i="51"/>
  <c r="BI213" i="51"/>
  <c r="AA213" i="51"/>
  <c r="Y213" i="51"/>
  <c r="V213" i="51"/>
  <c r="T213" i="51"/>
  <c r="BK212" i="51"/>
  <c r="BI212" i="51"/>
  <c r="AA212" i="51"/>
  <c r="Y212" i="51"/>
  <c r="V212" i="51"/>
  <c r="T212" i="51"/>
  <c r="I212" i="51"/>
  <c r="J212" i="51" s="1"/>
  <c r="BK211" i="51"/>
  <c r="BI211" i="51"/>
  <c r="AA211" i="51"/>
  <c r="Y211" i="51"/>
  <c r="V211" i="51"/>
  <c r="T211" i="51"/>
  <c r="I211" i="51"/>
  <c r="J211" i="51" s="1"/>
  <c r="BK210" i="51"/>
  <c r="BI210" i="51"/>
  <c r="AA210" i="51"/>
  <c r="Y210" i="51"/>
  <c r="V210" i="51"/>
  <c r="T210" i="51"/>
  <c r="I210" i="51"/>
  <c r="J210" i="51" s="1"/>
  <c r="BK209" i="51"/>
  <c r="BI209" i="51"/>
  <c r="AA209" i="51"/>
  <c r="Y209" i="51"/>
  <c r="V209" i="51"/>
  <c r="T209" i="51"/>
  <c r="BK208" i="51"/>
  <c r="BI208" i="51"/>
  <c r="AA208" i="51"/>
  <c r="Y208" i="51"/>
  <c r="V208" i="51"/>
  <c r="T208" i="51"/>
  <c r="I208" i="51"/>
  <c r="J208" i="51" s="1"/>
  <c r="BK207" i="51"/>
  <c r="BI207" i="51"/>
  <c r="AA207" i="51"/>
  <c r="Y207" i="51"/>
  <c r="V207" i="51"/>
  <c r="T207" i="51"/>
  <c r="I207" i="51"/>
  <c r="J207" i="51" s="1"/>
  <c r="BK206" i="51"/>
  <c r="BI206" i="51"/>
  <c r="AA206" i="51"/>
  <c r="Y206" i="51"/>
  <c r="V206" i="51"/>
  <c r="T206" i="51"/>
  <c r="I206" i="51"/>
  <c r="BK205" i="51"/>
  <c r="BI205" i="51"/>
  <c r="AA205" i="51"/>
  <c r="Y205" i="51"/>
  <c r="V205" i="51"/>
  <c r="T205" i="51"/>
  <c r="I205" i="51"/>
  <c r="J205" i="51" s="1"/>
  <c r="BK204" i="51"/>
  <c r="BI204" i="51"/>
  <c r="AA204" i="51"/>
  <c r="Y204" i="51"/>
  <c r="V204" i="51"/>
  <c r="T204" i="51"/>
  <c r="I204" i="51"/>
  <c r="BK203" i="51"/>
  <c r="BI203" i="51"/>
  <c r="AA203" i="51"/>
  <c r="Y203" i="51"/>
  <c r="V203" i="51"/>
  <c r="T203" i="51"/>
  <c r="I203" i="51"/>
  <c r="J203" i="51" s="1"/>
  <c r="BK202" i="51"/>
  <c r="BI202" i="51"/>
  <c r="AA202" i="51"/>
  <c r="Y202" i="51"/>
  <c r="V202" i="51"/>
  <c r="T202" i="51"/>
  <c r="I202" i="51"/>
  <c r="BK201" i="51"/>
  <c r="BI201" i="51"/>
  <c r="AA201" i="51"/>
  <c r="Y201" i="51"/>
  <c r="V201" i="51"/>
  <c r="T201" i="51"/>
  <c r="BK200" i="51"/>
  <c r="BI200" i="51"/>
  <c r="AA200" i="51"/>
  <c r="Y200" i="51"/>
  <c r="V200" i="51"/>
  <c r="T200" i="51"/>
  <c r="I200" i="51"/>
  <c r="BK199" i="51"/>
  <c r="BI199" i="51"/>
  <c r="AA199" i="51"/>
  <c r="Y199" i="51"/>
  <c r="V199" i="51"/>
  <c r="T199" i="51"/>
  <c r="BK198" i="51"/>
  <c r="BI198" i="51"/>
  <c r="AA198" i="51"/>
  <c r="Y198" i="51"/>
  <c r="V198" i="51"/>
  <c r="T198" i="51"/>
  <c r="I198" i="51"/>
  <c r="J198" i="51" s="1"/>
  <c r="BK197" i="51"/>
  <c r="BI197" i="51"/>
  <c r="AA197" i="51"/>
  <c r="Y197" i="51"/>
  <c r="V197" i="51"/>
  <c r="T197" i="51"/>
  <c r="I197" i="51"/>
  <c r="J197" i="51" s="1"/>
  <c r="BK196" i="51"/>
  <c r="BI196" i="51"/>
  <c r="AA196" i="51"/>
  <c r="Y196" i="51"/>
  <c r="V196" i="51"/>
  <c r="T196" i="51"/>
  <c r="I196" i="51"/>
  <c r="J196" i="51" s="1"/>
  <c r="BK195" i="51"/>
  <c r="BI195" i="51"/>
  <c r="AA195" i="51"/>
  <c r="Y195" i="51"/>
  <c r="V195" i="51"/>
  <c r="T195" i="51"/>
  <c r="I195" i="51"/>
  <c r="J195" i="51" s="1"/>
  <c r="BK194" i="51"/>
  <c r="BI194" i="51"/>
  <c r="AA194" i="51"/>
  <c r="Y194" i="51"/>
  <c r="V194" i="51"/>
  <c r="T194" i="51"/>
  <c r="I194" i="51"/>
  <c r="J194" i="51" s="1"/>
  <c r="BK193" i="51"/>
  <c r="BI193" i="51"/>
  <c r="AA193" i="51"/>
  <c r="Y193" i="51"/>
  <c r="V193" i="51"/>
  <c r="T193" i="51"/>
  <c r="I193" i="51"/>
  <c r="J193" i="51" s="1"/>
  <c r="BK192" i="51"/>
  <c r="BI192" i="51"/>
  <c r="AA192" i="51"/>
  <c r="Y192" i="51"/>
  <c r="V192" i="51"/>
  <c r="T192" i="51"/>
  <c r="I192" i="51"/>
  <c r="J192" i="51" s="1"/>
  <c r="BK191" i="51"/>
  <c r="BI191" i="51"/>
  <c r="AA191" i="51"/>
  <c r="Y191" i="51"/>
  <c r="V191" i="51"/>
  <c r="T191" i="51"/>
  <c r="I191" i="51"/>
  <c r="J191" i="51" s="1"/>
  <c r="BK190" i="51"/>
  <c r="BI190" i="51"/>
  <c r="AA190" i="51"/>
  <c r="Y190" i="51"/>
  <c r="V190" i="51"/>
  <c r="T190" i="51"/>
  <c r="I190" i="51"/>
  <c r="J190" i="51" s="1"/>
  <c r="BK189" i="51"/>
  <c r="BI189" i="51"/>
  <c r="AA189" i="51"/>
  <c r="Y189" i="51"/>
  <c r="V189" i="51"/>
  <c r="T189" i="51"/>
  <c r="I189" i="51"/>
  <c r="J189" i="51" s="1"/>
  <c r="BK188" i="51"/>
  <c r="BI188" i="51"/>
  <c r="AA188" i="51"/>
  <c r="Y188" i="51"/>
  <c r="V188" i="51"/>
  <c r="T188" i="51"/>
  <c r="BK187" i="51"/>
  <c r="BI187" i="51"/>
  <c r="AA187" i="51"/>
  <c r="Y187" i="51"/>
  <c r="V187" i="51"/>
  <c r="T187" i="51"/>
  <c r="I187" i="51"/>
  <c r="J187" i="51" s="1"/>
  <c r="BK186" i="51"/>
  <c r="BI186" i="51"/>
  <c r="AA186" i="51"/>
  <c r="Y186" i="51"/>
  <c r="V186" i="51"/>
  <c r="T186" i="51"/>
  <c r="I186" i="51"/>
  <c r="J186" i="51" s="1"/>
  <c r="BM185" i="51"/>
  <c r="BK185" i="51"/>
  <c r="AA185" i="51"/>
  <c r="Y185" i="51"/>
  <c r="V185" i="51"/>
  <c r="T185" i="51"/>
  <c r="I185" i="51"/>
  <c r="J185" i="51" s="1"/>
  <c r="BK184" i="51"/>
  <c r="BI184" i="51"/>
  <c r="AA184" i="51"/>
  <c r="Y184" i="51"/>
  <c r="V184" i="51"/>
  <c r="T184" i="51"/>
  <c r="I184" i="51"/>
  <c r="J184" i="51" s="1"/>
  <c r="BK183" i="51"/>
  <c r="BI183" i="51"/>
  <c r="AA183" i="51"/>
  <c r="Y183" i="51"/>
  <c r="V183" i="51"/>
  <c r="T183" i="51"/>
  <c r="I183" i="51"/>
  <c r="J183" i="51" s="1"/>
  <c r="BK182" i="51"/>
  <c r="BI182" i="51"/>
  <c r="AA182" i="51"/>
  <c r="Y182" i="51"/>
  <c r="V182" i="51"/>
  <c r="T182" i="51"/>
  <c r="I182" i="51"/>
  <c r="J182" i="51" s="1"/>
  <c r="BK181" i="51"/>
  <c r="BI181" i="51"/>
  <c r="AA181" i="51"/>
  <c r="Y181" i="51"/>
  <c r="V181" i="51"/>
  <c r="T181" i="51"/>
  <c r="I181" i="51"/>
  <c r="J181" i="51" s="1"/>
  <c r="BK180" i="51"/>
  <c r="BI180" i="51"/>
  <c r="AA180" i="51"/>
  <c r="Y180" i="51"/>
  <c r="V180" i="51"/>
  <c r="T180" i="51"/>
  <c r="I180" i="51"/>
  <c r="J180" i="51" s="1"/>
  <c r="BK179" i="51"/>
  <c r="BI179" i="51"/>
  <c r="AA179" i="51"/>
  <c r="Y179" i="51"/>
  <c r="V179" i="51"/>
  <c r="T179" i="51"/>
  <c r="I179" i="51"/>
  <c r="J179" i="51" s="1"/>
  <c r="BK178" i="51"/>
  <c r="BI178" i="51"/>
  <c r="AA178" i="51"/>
  <c r="Y178" i="51"/>
  <c r="V178" i="51"/>
  <c r="T178" i="51"/>
  <c r="I178" i="51"/>
  <c r="J178" i="51" s="1"/>
  <c r="BK177" i="51"/>
  <c r="BI177" i="51"/>
  <c r="AA177" i="51"/>
  <c r="Y177" i="51"/>
  <c r="V177" i="51"/>
  <c r="T177" i="51"/>
  <c r="I177" i="51"/>
  <c r="J177" i="51" s="1"/>
  <c r="BK176" i="51"/>
  <c r="BI176" i="51"/>
  <c r="AA176" i="51"/>
  <c r="Y176" i="51"/>
  <c r="V176" i="51"/>
  <c r="T176" i="51"/>
  <c r="I176" i="51"/>
  <c r="J176" i="51" s="1"/>
  <c r="BK175" i="51"/>
  <c r="BI175" i="51"/>
  <c r="AA175" i="51"/>
  <c r="Y175" i="51"/>
  <c r="V175" i="51"/>
  <c r="T175" i="51"/>
  <c r="BK174" i="51"/>
  <c r="BI174" i="51"/>
  <c r="AA174" i="51"/>
  <c r="Y174" i="51"/>
  <c r="V174" i="51"/>
  <c r="T174" i="51"/>
  <c r="I174" i="51"/>
  <c r="J174" i="51" s="1"/>
  <c r="BK173" i="51"/>
  <c r="BI173" i="51"/>
  <c r="AA173" i="51"/>
  <c r="Y173" i="51"/>
  <c r="V173" i="51"/>
  <c r="T173" i="51"/>
  <c r="I173" i="51"/>
  <c r="BK172" i="51"/>
  <c r="BI172" i="51"/>
  <c r="AA172" i="51"/>
  <c r="Y172" i="51"/>
  <c r="V172" i="51"/>
  <c r="T172" i="51"/>
  <c r="I172" i="51"/>
  <c r="BK171" i="51"/>
  <c r="BI171" i="51"/>
  <c r="AA171" i="51"/>
  <c r="Y171" i="51"/>
  <c r="V171" i="51"/>
  <c r="T171" i="51"/>
  <c r="I171" i="51"/>
  <c r="J171" i="51" s="1"/>
  <c r="BK170" i="51"/>
  <c r="BI170" i="51"/>
  <c r="AA170" i="51"/>
  <c r="Y170" i="51"/>
  <c r="V170" i="51"/>
  <c r="T170" i="51"/>
  <c r="I170" i="51"/>
  <c r="J170" i="51" s="1"/>
  <c r="BK169" i="51"/>
  <c r="BI169" i="51"/>
  <c r="AA169" i="51"/>
  <c r="Y169" i="51"/>
  <c r="V169" i="51"/>
  <c r="T169" i="51"/>
  <c r="I169" i="51"/>
  <c r="BK168" i="51"/>
  <c r="BI168" i="51"/>
  <c r="AA168" i="51"/>
  <c r="Y168" i="51"/>
  <c r="V168" i="51"/>
  <c r="T168" i="51"/>
  <c r="BK167" i="51"/>
  <c r="BI167" i="51"/>
  <c r="AA167" i="51"/>
  <c r="Y167" i="51"/>
  <c r="V167" i="51"/>
  <c r="T167" i="51"/>
  <c r="I167" i="51"/>
  <c r="BK166" i="51"/>
  <c r="BI166" i="51"/>
  <c r="AA166" i="51"/>
  <c r="Y166" i="51"/>
  <c r="V166" i="51"/>
  <c r="T166" i="51"/>
  <c r="I166" i="51"/>
  <c r="J166" i="51" s="1"/>
  <c r="BK165" i="51"/>
  <c r="BI165" i="51"/>
  <c r="AA165" i="51"/>
  <c r="Y165" i="51"/>
  <c r="V165" i="51"/>
  <c r="T165" i="51"/>
  <c r="BK164" i="51"/>
  <c r="BI164" i="51"/>
  <c r="AA164" i="51"/>
  <c r="Y164" i="51"/>
  <c r="V164" i="51"/>
  <c r="T164" i="51"/>
  <c r="I164" i="51"/>
  <c r="BK163" i="51"/>
  <c r="BI163" i="51"/>
  <c r="AA163" i="51"/>
  <c r="Y163" i="51"/>
  <c r="V163" i="51"/>
  <c r="T163" i="51"/>
  <c r="I163" i="51"/>
  <c r="J163" i="51" s="1"/>
  <c r="BK162" i="51"/>
  <c r="BI162" i="51"/>
  <c r="AA162" i="51"/>
  <c r="Y162" i="51"/>
  <c r="V162" i="51"/>
  <c r="T162" i="51"/>
  <c r="I162" i="51"/>
  <c r="BK161" i="51"/>
  <c r="BI161" i="51"/>
  <c r="AA161" i="51"/>
  <c r="Y161" i="51"/>
  <c r="V161" i="51"/>
  <c r="T161" i="51"/>
  <c r="I161" i="51"/>
  <c r="J161" i="51" s="1"/>
  <c r="BK160" i="51"/>
  <c r="BI160" i="51"/>
  <c r="AA160" i="51"/>
  <c r="Y160" i="51"/>
  <c r="V160" i="51"/>
  <c r="T160" i="51"/>
  <c r="I160" i="51"/>
  <c r="BK159" i="51"/>
  <c r="BI159" i="51"/>
  <c r="AA159" i="51"/>
  <c r="Y159" i="51"/>
  <c r="V159" i="51"/>
  <c r="T159" i="51"/>
  <c r="I159" i="51"/>
  <c r="J159" i="51" s="1"/>
  <c r="BK158" i="51"/>
  <c r="BI158" i="51"/>
  <c r="AA158" i="51"/>
  <c r="Y158" i="51"/>
  <c r="V158" i="51"/>
  <c r="T158" i="51"/>
  <c r="I158" i="51"/>
  <c r="BK157" i="51"/>
  <c r="BI157" i="51"/>
  <c r="AA157" i="51"/>
  <c r="Y157" i="51"/>
  <c r="V157" i="51"/>
  <c r="T157" i="51"/>
  <c r="I157" i="51"/>
  <c r="J157" i="51" s="1"/>
  <c r="BK156" i="51"/>
  <c r="BI156" i="51"/>
  <c r="AA156" i="51"/>
  <c r="Y156" i="51"/>
  <c r="V156" i="51"/>
  <c r="T156" i="51"/>
  <c r="I156" i="51"/>
  <c r="BK155" i="51"/>
  <c r="BI155" i="51"/>
  <c r="AA155" i="51"/>
  <c r="Y155" i="51"/>
  <c r="V155" i="51"/>
  <c r="T155" i="51"/>
  <c r="I155" i="51"/>
  <c r="J155" i="51" s="1"/>
  <c r="BK154" i="51"/>
  <c r="BI154" i="51"/>
  <c r="AA154" i="51"/>
  <c r="Y154" i="51"/>
  <c r="V154" i="51"/>
  <c r="T154" i="51"/>
  <c r="I154" i="51"/>
  <c r="BK153" i="51"/>
  <c r="BI153" i="51"/>
  <c r="AA153" i="51"/>
  <c r="Y153" i="51"/>
  <c r="V153" i="51"/>
  <c r="T153" i="51"/>
  <c r="I153" i="51"/>
  <c r="J153" i="51" s="1"/>
  <c r="BK152" i="51"/>
  <c r="BI152" i="51"/>
  <c r="AA152" i="51"/>
  <c r="Y152" i="51"/>
  <c r="V152" i="51"/>
  <c r="T152" i="51"/>
  <c r="I152" i="51"/>
  <c r="BK151" i="51"/>
  <c r="BI151" i="51"/>
  <c r="AA151" i="51"/>
  <c r="Y151" i="51"/>
  <c r="V151" i="51"/>
  <c r="T151" i="51"/>
  <c r="I151" i="51"/>
  <c r="J151" i="51" s="1"/>
  <c r="BK150" i="51"/>
  <c r="BI150" i="51"/>
  <c r="AA150" i="51"/>
  <c r="Y150" i="51"/>
  <c r="V150" i="51"/>
  <c r="T150" i="51"/>
  <c r="I150" i="51"/>
  <c r="BK149" i="51"/>
  <c r="BI149" i="51"/>
  <c r="AA149" i="51"/>
  <c r="Y149" i="51"/>
  <c r="V149" i="51"/>
  <c r="T149" i="51"/>
  <c r="BK148" i="51"/>
  <c r="BI148" i="51"/>
  <c r="AA148" i="51"/>
  <c r="Y148" i="51"/>
  <c r="V148" i="51"/>
  <c r="T148" i="51"/>
  <c r="I148" i="51"/>
  <c r="J148" i="51" s="1"/>
  <c r="BK147" i="51"/>
  <c r="BI147" i="51"/>
  <c r="AA147" i="51"/>
  <c r="Y147" i="51"/>
  <c r="V147" i="51"/>
  <c r="T147" i="51"/>
  <c r="I147" i="51"/>
  <c r="J147" i="51" s="1"/>
  <c r="BK146" i="51"/>
  <c r="BI146" i="51"/>
  <c r="AA146" i="51"/>
  <c r="Y146" i="51"/>
  <c r="V146" i="51"/>
  <c r="T146" i="51"/>
  <c r="I146" i="51"/>
  <c r="J146" i="51" s="1"/>
  <c r="BK145" i="51"/>
  <c r="BI145" i="51"/>
  <c r="AA145" i="51"/>
  <c r="Y145" i="51"/>
  <c r="V145" i="51"/>
  <c r="T145" i="51"/>
  <c r="I145" i="51"/>
  <c r="J145" i="51" s="1"/>
  <c r="BK144" i="51"/>
  <c r="BI144" i="51"/>
  <c r="AA144" i="51"/>
  <c r="Y144" i="51"/>
  <c r="V144" i="51"/>
  <c r="T144" i="51"/>
  <c r="I144" i="51"/>
  <c r="J144" i="51" s="1"/>
  <c r="BM143" i="51"/>
  <c r="BK143" i="51"/>
  <c r="AA143" i="51"/>
  <c r="Y143" i="51"/>
  <c r="V143" i="51"/>
  <c r="T143" i="51"/>
  <c r="BK142" i="51"/>
  <c r="BI142" i="51"/>
  <c r="AA142" i="51"/>
  <c r="Y142" i="51"/>
  <c r="V142" i="51"/>
  <c r="T142" i="51"/>
  <c r="I142" i="51"/>
  <c r="J142" i="51" s="1"/>
  <c r="BM141" i="51"/>
  <c r="BK141" i="51"/>
  <c r="AA141" i="51"/>
  <c r="Y141" i="51"/>
  <c r="V141" i="51"/>
  <c r="T141" i="51"/>
  <c r="BK140" i="51"/>
  <c r="BI140" i="51"/>
  <c r="AA140" i="51"/>
  <c r="Y140" i="51"/>
  <c r="V140" i="51"/>
  <c r="T140" i="51"/>
  <c r="I140" i="51"/>
  <c r="J140" i="51" s="1"/>
  <c r="BK139" i="51"/>
  <c r="BI139" i="51"/>
  <c r="AA139" i="51"/>
  <c r="Y139" i="51"/>
  <c r="V139" i="51"/>
  <c r="T139" i="51"/>
  <c r="I139" i="51"/>
  <c r="J139" i="51" s="1"/>
  <c r="BK138" i="51"/>
  <c r="BI138" i="51"/>
  <c r="AA138" i="51"/>
  <c r="Y138" i="51"/>
  <c r="V138" i="51"/>
  <c r="T138" i="51"/>
  <c r="I138" i="51"/>
  <c r="J138" i="51" s="1"/>
  <c r="BK137" i="51"/>
  <c r="BI137" i="51"/>
  <c r="AA137" i="51"/>
  <c r="Y137" i="51"/>
  <c r="V137" i="51"/>
  <c r="T137" i="51"/>
  <c r="I137" i="51"/>
  <c r="J137" i="51" s="1"/>
  <c r="BK136" i="51"/>
  <c r="BI136" i="51"/>
  <c r="AA136" i="51"/>
  <c r="Y136" i="51"/>
  <c r="V136" i="51"/>
  <c r="T136" i="51"/>
  <c r="I136" i="51"/>
  <c r="J136" i="51" s="1"/>
  <c r="BK135" i="51"/>
  <c r="BI135" i="51"/>
  <c r="AA135" i="51"/>
  <c r="Y135" i="51"/>
  <c r="V135" i="51"/>
  <c r="T135" i="51"/>
  <c r="I135" i="51"/>
  <c r="J135" i="51" s="1"/>
  <c r="BK134" i="51"/>
  <c r="BI134" i="51"/>
  <c r="AA134" i="51"/>
  <c r="Y134" i="51"/>
  <c r="V134" i="51"/>
  <c r="T134" i="51"/>
  <c r="I134" i="51"/>
  <c r="J134" i="51" s="1"/>
  <c r="BK133" i="51"/>
  <c r="BI133" i="51"/>
  <c r="AA133" i="51"/>
  <c r="Y133" i="51"/>
  <c r="V133" i="51"/>
  <c r="T133" i="51"/>
  <c r="I133" i="51"/>
  <c r="J133" i="51" s="1"/>
  <c r="BK132" i="51"/>
  <c r="BI132" i="51"/>
  <c r="AA132" i="51"/>
  <c r="Y132" i="51"/>
  <c r="V132" i="51"/>
  <c r="T132" i="51"/>
  <c r="I132" i="51"/>
  <c r="J132" i="51" s="1"/>
  <c r="BK131" i="51"/>
  <c r="BI131" i="51"/>
  <c r="AA131" i="51"/>
  <c r="Y131" i="51"/>
  <c r="V131" i="51"/>
  <c r="T131" i="51"/>
  <c r="I131" i="51"/>
  <c r="J131" i="51" s="1"/>
  <c r="BK130" i="51"/>
  <c r="BI130" i="51"/>
  <c r="AA130" i="51"/>
  <c r="Y130" i="51"/>
  <c r="V130" i="51"/>
  <c r="T130" i="51"/>
  <c r="I130" i="51"/>
  <c r="J130" i="51" s="1"/>
  <c r="BK129" i="51"/>
  <c r="BI129" i="51"/>
  <c r="AA129" i="51"/>
  <c r="Y129" i="51"/>
  <c r="V129" i="51"/>
  <c r="T129" i="51"/>
  <c r="I129" i="51"/>
  <c r="J129" i="51" s="1"/>
  <c r="BK128" i="51"/>
  <c r="BI128" i="51"/>
  <c r="AA128" i="51"/>
  <c r="Y128" i="51"/>
  <c r="V128" i="51"/>
  <c r="T128" i="51"/>
  <c r="I128" i="51"/>
  <c r="J128" i="51" s="1"/>
  <c r="BK127" i="51"/>
  <c r="BI127" i="51"/>
  <c r="AA127" i="51"/>
  <c r="Y127" i="51"/>
  <c r="V127" i="51"/>
  <c r="T127" i="51"/>
  <c r="BK126" i="51"/>
  <c r="BI126" i="51"/>
  <c r="AA126" i="51"/>
  <c r="Y126" i="51"/>
  <c r="V126" i="51"/>
  <c r="T126" i="51"/>
  <c r="I126" i="51"/>
  <c r="J126" i="51" s="1"/>
  <c r="BK125" i="51"/>
  <c r="BI125" i="51"/>
  <c r="AA125" i="51"/>
  <c r="Y125" i="51"/>
  <c r="V125" i="51"/>
  <c r="T125" i="51"/>
  <c r="I125" i="51"/>
  <c r="J125" i="51" s="1"/>
  <c r="BK124" i="51"/>
  <c r="BI124" i="51"/>
  <c r="AA124" i="51"/>
  <c r="Y124" i="51"/>
  <c r="V124" i="51"/>
  <c r="T124" i="51"/>
  <c r="I124" i="51"/>
  <c r="J124" i="51" s="1"/>
  <c r="BK123" i="51"/>
  <c r="BI123" i="51"/>
  <c r="AA123" i="51"/>
  <c r="Y123" i="51"/>
  <c r="V123" i="51"/>
  <c r="T123" i="51"/>
  <c r="I123" i="51"/>
  <c r="J123" i="51" s="1"/>
  <c r="BK122" i="51"/>
  <c r="BI122" i="51"/>
  <c r="AA122" i="51"/>
  <c r="Y122" i="51"/>
  <c r="V122" i="51"/>
  <c r="T122" i="51"/>
  <c r="I122" i="51"/>
  <c r="J122" i="51" s="1"/>
  <c r="BK121" i="51"/>
  <c r="BI121" i="51"/>
  <c r="AA121" i="51"/>
  <c r="Y121" i="51"/>
  <c r="V121" i="51"/>
  <c r="T121" i="51"/>
  <c r="I121" i="51"/>
  <c r="J121" i="51" s="1"/>
  <c r="BK120" i="51"/>
  <c r="BI120" i="51"/>
  <c r="AA120" i="51"/>
  <c r="Y120" i="51"/>
  <c r="V120" i="51"/>
  <c r="T120" i="51"/>
  <c r="I120" i="51"/>
  <c r="J120" i="51" s="1"/>
  <c r="BK119" i="51"/>
  <c r="BI119" i="51"/>
  <c r="AA119" i="51"/>
  <c r="Y119" i="51"/>
  <c r="V119" i="51"/>
  <c r="T119" i="51"/>
  <c r="I119" i="51"/>
  <c r="J119" i="51" s="1"/>
  <c r="BK118" i="51"/>
  <c r="BI118" i="51"/>
  <c r="AA118" i="51"/>
  <c r="Y118" i="51"/>
  <c r="V118" i="51"/>
  <c r="T118" i="51"/>
  <c r="I118" i="51"/>
  <c r="J118" i="51" s="1"/>
  <c r="BK117" i="51"/>
  <c r="BI117" i="51"/>
  <c r="AA117" i="51"/>
  <c r="Y117" i="51"/>
  <c r="V117" i="51"/>
  <c r="T117" i="51"/>
  <c r="I117" i="51"/>
  <c r="J117" i="51" s="1"/>
  <c r="BK116" i="51"/>
  <c r="BI116" i="51"/>
  <c r="AA116" i="51"/>
  <c r="Y116" i="51"/>
  <c r="V116" i="51"/>
  <c r="T116" i="51"/>
  <c r="I116" i="51"/>
  <c r="J116" i="51" s="1"/>
  <c r="BK115" i="51"/>
  <c r="BI115" i="51"/>
  <c r="AA115" i="51"/>
  <c r="Y115" i="51"/>
  <c r="V115" i="51"/>
  <c r="T115" i="51"/>
  <c r="I115" i="51"/>
  <c r="J115" i="51" s="1"/>
  <c r="BK114" i="51"/>
  <c r="BI114" i="51"/>
  <c r="AA114" i="51"/>
  <c r="Y114" i="51"/>
  <c r="V114" i="51"/>
  <c r="T114" i="51"/>
  <c r="I114" i="51"/>
  <c r="J114" i="51" s="1"/>
  <c r="BK113" i="51"/>
  <c r="BI113" i="51"/>
  <c r="AA113" i="51"/>
  <c r="Y113" i="51"/>
  <c r="V113" i="51"/>
  <c r="T113" i="51"/>
  <c r="I113" i="51"/>
  <c r="J113" i="51" s="1"/>
  <c r="BK112" i="51"/>
  <c r="BI112" i="51"/>
  <c r="AA112" i="51"/>
  <c r="Y112" i="51"/>
  <c r="V112" i="51"/>
  <c r="T112" i="51"/>
  <c r="I112" i="51"/>
  <c r="J112" i="51" s="1"/>
  <c r="BK111" i="51"/>
  <c r="BI111" i="51"/>
  <c r="AA111" i="51"/>
  <c r="Y111" i="51"/>
  <c r="V111" i="51"/>
  <c r="T111" i="51"/>
  <c r="I111" i="51"/>
  <c r="J111" i="51" s="1"/>
  <c r="BK110" i="51"/>
  <c r="BI110" i="51"/>
  <c r="AA110" i="51"/>
  <c r="Y110" i="51"/>
  <c r="V110" i="51"/>
  <c r="T110" i="51"/>
  <c r="I110" i="51"/>
  <c r="J110" i="51" s="1"/>
  <c r="BK109" i="51"/>
  <c r="BI109" i="51"/>
  <c r="AA109" i="51"/>
  <c r="Y109" i="51"/>
  <c r="V109" i="51"/>
  <c r="T109" i="51"/>
  <c r="I109" i="51"/>
  <c r="J109" i="51" s="1"/>
  <c r="BK108" i="51"/>
  <c r="BI108" i="51"/>
  <c r="AA108" i="51"/>
  <c r="Y108" i="51"/>
  <c r="V108" i="51"/>
  <c r="T108" i="51"/>
  <c r="I108" i="51"/>
  <c r="J108" i="51" s="1"/>
  <c r="BK107" i="51"/>
  <c r="BI107" i="51"/>
  <c r="AA107" i="51"/>
  <c r="Y107" i="51"/>
  <c r="V107" i="51"/>
  <c r="T107" i="51"/>
  <c r="I107" i="51"/>
  <c r="J107" i="51" s="1"/>
  <c r="BK106" i="51"/>
  <c r="BI106" i="51"/>
  <c r="AA106" i="51"/>
  <c r="Y106" i="51"/>
  <c r="V106" i="51"/>
  <c r="T106" i="51"/>
  <c r="I106" i="51"/>
  <c r="J106" i="51" s="1"/>
  <c r="BK105" i="51"/>
  <c r="BI105" i="51"/>
  <c r="AA105" i="51"/>
  <c r="Y105" i="51"/>
  <c r="V105" i="51"/>
  <c r="T105" i="51"/>
  <c r="BK104" i="51"/>
  <c r="BI104" i="51"/>
  <c r="AA104" i="51"/>
  <c r="Y104" i="51"/>
  <c r="V104" i="51"/>
  <c r="T104" i="51"/>
  <c r="I104" i="51"/>
  <c r="J104" i="51" s="1"/>
  <c r="BK103" i="51"/>
  <c r="BI103" i="51"/>
  <c r="AA103" i="51"/>
  <c r="Y103" i="51"/>
  <c r="V103" i="51"/>
  <c r="T103" i="51"/>
  <c r="I103" i="51"/>
  <c r="BK102" i="51"/>
  <c r="BI102" i="51"/>
  <c r="AA102" i="51"/>
  <c r="Y102" i="51"/>
  <c r="V102" i="51"/>
  <c r="T102" i="51"/>
  <c r="I102" i="51"/>
  <c r="J102" i="51" s="1"/>
  <c r="BK101" i="51"/>
  <c r="BI101" i="51"/>
  <c r="AA101" i="51"/>
  <c r="Y101" i="51"/>
  <c r="V101" i="51"/>
  <c r="T101" i="51"/>
  <c r="I101" i="51"/>
  <c r="J101" i="51" s="1"/>
  <c r="BK100" i="51"/>
  <c r="BI100" i="51"/>
  <c r="AA100" i="51"/>
  <c r="Y100" i="51"/>
  <c r="V100" i="51"/>
  <c r="T100" i="51"/>
  <c r="I100" i="51"/>
  <c r="J100" i="51" s="1"/>
  <c r="BK99" i="51"/>
  <c r="BI99" i="51"/>
  <c r="AA99" i="51"/>
  <c r="Y99" i="51"/>
  <c r="V99" i="51"/>
  <c r="T99" i="51"/>
  <c r="BK98" i="51"/>
  <c r="BI98" i="51"/>
  <c r="AA98" i="51"/>
  <c r="Y98" i="51"/>
  <c r="V98" i="51"/>
  <c r="T98" i="51"/>
  <c r="I98" i="51"/>
  <c r="J98" i="51" s="1"/>
  <c r="BK97" i="51"/>
  <c r="BI97" i="51"/>
  <c r="AA97" i="51"/>
  <c r="Y97" i="51"/>
  <c r="V97" i="51"/>
  <c r="T97" i="51"/>
  <c r="I97" i="51"/>
  <c r="J97" i="51" s="1"/>
  <c r="BK96" i="51"/>
  <c r="BI96" i="51"/>
  <c r="AA96" i="51"/>
  <c r="Y96" i="51"/>
  <c r="V96" i="51"/>
  <c r="T96" i="51"/>
  <c r="I96" i="51"/>
  <c r="J96" i="51" s="1"/>
  <c r="BK95" i="51"/>
  <c r="BI95" i="51"/>
  <c r="AA95" i="51"/>
  <c r="Y95" i="51"/>
  <c r="V95" i="51"/>
  <c r="T95" i="51"/>
  <c r="I95" i="51"/>
  <c r="J95" i="51" s="1"/>
  <c r="BK94" i="51"/>
  <c r="BI94" i="51"/>
  <c r="AA94" i="51"/>
  <c r="Y94" i="51"/>
  <c r="V94" i="51"/>
  <c r="T94" i="51"/>
  <c r="BK93" i="51"/>
  <c r="BI93" i="51"/>
  <c r="AA93" i="51"/>
  <c r="Y93" i="51"/>
  <c r="V93" i="51"/>
  <c r="T93" i="51"/>
  <c r="I93" i="51"/>
  <c r="BK92" i="51"/>
  <c r="BI92" i="51"/>
  <c r="AA92" i="51"/>
  <c r="Y92" i="51"/>
  <c r="V92" i="51"/>
  <c r="T92" i="51"/>
  <c r="I92" i="51"/>
  <c r="BK91" i="51"/>
  <c r="BI91" i="51"/>
  <c r="AA91" i="51"/>
  <c r="Y91" i="51"/>
  <c r="V91" i="51"/>
  <c r="T91" i="51"/>
  <c r="I91" i="51"/>
  <c r="BK90" i="51"/>
  <c r="BI90" i="51"/>
  <c r="AA90" i="51"/>
  <c r="Y90" i="51"/>
  <c r="V90" i="51"/>
  <c r="T90" i="51"/>
  <c r="I90" i="51"/>
  <c r="BK89" i="51"/>
  <c r="BI89" i="51"/>
  <c r="AA89" i="51"/>
  <c r="Y89" i="51"/>
  <c r="V89" i="51"/>
  <c r="T89" i="51"/>
  <c r="I89" i="51"/>
  <c r="BK88" i="51"/>
  <c r="BI88" i="51"/>
  <c r="AA88" i="51"/>
  <c r="Y88" i="51"/>
  <c r="V88" i="51"/>
  <c r="T88" i="51"/>
  <c r="I88" i="51"/>
  <c r="BK87" i="51"/>
  <c r="BI87" i="51"/>
  <c r="AA87" i="51"/>
  <c r="Y87" i="51"/>
  <c r="V87" i="51"/>
  <c r="T87" i="51"/>
  <c r="I87" i="51"/>
  <c r="BK86" i="51"/>
  <c r="BI86" i="51"/>
  <c r="AA86" i="51"/>
  <c r="Y86" i="51"/>
  <c r="V86" i="51"/>
  <c r="T86" i="51"/>
  <c r="I86" i="51"/>
  <c r="BK85" i="51"/>
  <c r="BI85" i="51"/>
  <c r="AA85" i="51"/>
  <c r="Y85" i="51"/>
  <c r="V85" i="51"/>
  <c r="T85" i="51"/>
  <c r="I85" i="51"/>
  <c r="BK84" i="51"/>
  <c r="BI84" i="51"/>
  <c r="AA84" i="51"/>
  <c r="Y84" i="51"/>
  <c r="V84" i="51"/>
  <c r="T84" i="51"/>
  <c r="I84" i="51"/>
  <c r="BK83" i="51"/>
  <c r="BI83" i="51"/>
  <c r="AA83" i="51"/>
  <c r="Y83" i="51"/>
  <c r="V83" i="51"/>
  <c r="T83" i="51"/>
  <c r="BK82" i="51"/>
  <c r="BI82" i="51"/>
  <c r="AA82" i="51"/>
  <c r="Y82" i="51"/>
  <c r="V82" i="51"/>
  <c r="T82" i="51"/>
  <c r="BK81" i="51"/>
  <c r="BI81" i="51"/>
  <c r="AA81" i="51"/>
  <c r="Y81" i="51"/>
  <c r="V81" i="51"/>
  <c r="T81" i="51"/>
  <c r="I81" i="51"/>
  <c r="J81" i="51" s="1"/>
  <c r="BK80" i="51"/>
  <c r="BI80" i="51"/>
  <c r="AA80" i="51"/>
  <c r="Y80" i="51"/>
  <c r="V80" i="51"/>
  <c r="T80" i="51"/>
  <c r="BK79" i="51"/>
  <c r="BI79" i="51"/>
  <c r="AA79" i="51"/>
  <c r="Y79" i="51"/>
  <c r="V79" i="51"/>
  <c r="T79" i="51"/>
  <c r="I79" i="51"/>
  <c r="J79" i="51" s="1"/>
  <c r="BK78" i="51"/>
  <c r="BI78" i="51"/>
  <c r="AA78" i="51"/>
  <c r="Y78" i="51"/>
  <c r="V78" i="51"/>
  <c r="T78" i="51"/>
  <c r="I78" i="51"/>
  <c r="J78" i="51" s="1"/>
  <c r="BK77" i="51"/>
  <c r="BI77" i="51"/>
  <c r="AA77" i="51"/>
  <c r="Y77" i="51"/>
  <c r="V77" i="51"/>
  <c r="T77" i="51"/>
  <c r="I77" i="51"/>
  <c r="J77" i="51" s="1"/>
  <c r="BK76" i="51"/>
  <c r="BI76" i="51"/>
  <c r="AA76" i="51"/>
  <c r="Y76" i="51"/>
  <c r="V76" i="51"/>
  <c r="T76" i="51"/>
  <c r="I76" i="51"/>
  <c r="J76" i="51" s="1"/>
  <c r="BK75" i="51"/>
  <c r="BI75" i="51"/>
  <c r="AA75" i="51"/>
  <c r="Y75" i="51"/>
  <c r="V75" i="51"/>
  <c r="T75" i="51"/>
  <c r="I75" i="51"/>
  <c r="J75" i="51" s="1"/>
  <c r="BK74" i="51"/>
  <c r="BI74" i="51"/>
  <c r="AA74" i="51"/>
  <c r="Y74" i="51"/>
  <c r="V74" i="51"/>
  <c r="T74" i="51"/>
  <c r="BK73" i="51"/>
  <c r="BI73" i="51"/>
  <c r="AA73" i="51"/>
  <c r="Y73" i="51"/>
  <c r="V73" i="51"/>
  <c r="T73" i="51"/>
  <c r="I73" i="51"/>
  <c r="BK72" i="51"/>
  <c r="BI72" i="51"/>
  <c r="AA72" i="51"/>
  <c r="Y72" i="51"/>
  <c r="V72" i="51"/>
  <c r="T72" i="51"/>
  <c r="I72" i="51"/>
  <c r="BK71" i="51"/>
  <c r="BI71" i="51"/>
  <c r="AA71" i="51"/>
  <c r="Y71" i="51"/>
  <c r="V71" i="51"/>
  <c r="T71" i="51"/>
  <c r="I71" i="51"/>
  <c r="BK70" i="51"/>
  <c r="BI70" i="51"/>
  <c r="AA70" i="51"/>
  <c r="Y70" i="51"/>
  <c r="V70" i="51"/>
  <c r="T70" i="51"/>
  <c r="I70" i="51"/>
  <c r="BK69" i="51"/>
  <c r="BI69" i="51"/>
  <c r="AA69" i="51"/>
  <c r="Y69" i="51"/>
  <c r="V69" i="51"/>
  <c r="T69" i="51"/>
  <c r="I69" i="51"/>
  <c r="BK68" i="51"/>
  <c r="BI68" i="51"/>
  <c r="AA68" i="51"/>
  <c r="Y68" i="51"/>
  <c r="V68" i="51"/>
  <c r="T68" i="51"/>
  <c r="I68" i="51"/>
  <c r="J68" i="51" s="1"/>
  <c r="BK67" i="51"/>
  <c r="BI67" i="51"/>
  <c r="AA67" i="51"/>
  <c r="Y67" i="51"/>
  <c r="V67" i="51"/>
  <c r="T67" i="51"/>
  <c r="BK66" i="51"/>
  <c r="BI66" i="51"/>
  <c r="AA66" i="51"/>
  <c r="Y66" i="51"/>
  <c r="V66" i="51"/>
  <c r="T66" i="51"/>
  <c r="I66" i="51"/>
  <c r="J66" i="51" s="1"/>
  <c r="BK65" i="51"/>
  <c r="BI65" i="51"/>
  <c r="AA65" i="51"/>
  <c r="Y65" i="51"/>
  <c r="V65" i="51"/>
  <c r="T65" i="51"/>
  <c r="I65" i="51"/>
  <c r="J65" i="51" s="1"/>
  <c r="BK64" i="51"/>
  <c r="BI64" i="51"/>
  <c r="AA64" i="51"/>
  <c r="Y64" i="51"/>
  <c r="V64" i="51"/>
  <c r="T64" i="51"/>
  <c r="I64" i="51"/>
  <c r="BK63" i="51"/>
  <c r="BI63" i="51"/>
  <c r="AA63" i="51"/>
  <c r="Y63" i="51"/>
  <c r="V63" i="51"/>
  <c r="T63" i="51"/>
  <c r="I63" i="51"/>
  <c r="BK62" i="51"/>
  <c r="BI62" i="51"/>
  <c r="AA62" i="51"/>
  <c r="Y62" i="51"/>
  <c r="V62" i="51"/>
  <c r="T62" i="51"/>
  <c r="BK61" i="51"/>
  <c r="BI61" i="51"/>
  <c r="AA61" i="51"/>
  <c r="Y61" i="51"/>
  <c r="V61" i="51"/>
  <c r="T61" i="51"/>
  <c r="I61" i="51"/>
  <c r="BK60" i="51"/>
  <c r="BI60" i="51"/>
  <c r="AA60" i="51"/>
  <c r="Y60" i="51"/>
  <c r="V60" i="51"/>
  <c r="T60" i="51"/>
  <c r="BK59" i="51"/>
  <c r="BI59" i="51"/>
  <c r="AA59" i="51"/>
  <c r="Y59" i="51"/>
  <c r="V59" i="51"/>
  <c r="T59" i="51"/>
  <c r="I59" i="51"/>
  <c r="J59" i="51" s="1"/>
  <c r="BK58" i="51"/>
  <c r="BI58" i="51"/>
  <c r="AA58" i="51"/>
  <c r="Y58" i="51"/>
  <c r="V58" i="51"/>
  <c r="T58" i="51"/>
  <c r="I58" i="51"/>
  <c r="J58" i="51" s="1"/>
  <c r="BM57" i="51"/>
  <c r="BK57" i="51"/>
  <c r="AA57" i="51"/>
  <c r="Y57" i="51"/>
  <c r="V57" i="51"/>
  <c r="T57" i="51"/>
  <c r="BK56" i="51"/>
  <c r="BI56" i="51"/>
  <c r="AA56" i="51"/>
  <c r="Y56" i="51"/>
  <c r="V56" i="51"/>
  <c r="T56" i="51"/>
  <c r="BK55" i="51"/>
  <c r="BI55" i="51"/>
  <c r="AA55" i="51"/>
  <c r="Y55" i="51"/>
  <c r="V55" i="51"/>
  <c r="T55" i="51"/>
  <c r="I55" i="51"/>
  <c r="BK54" i="51"/>
  <c r="BI54" i="51"/>
  <c r="AA54" i="51"/>
  <c r="Y54" i="51"/>
  <c r="V54" i="51"/>
  <c r="T54" i="51"/>
  <c r="I54" i="51"/>
  <c r="BK53" i="51"/>
  <c r="BI53" i="51"/>
  <c r="AA53" i="51"/>
  <c r="Y53" i="51"/>
  <c r="V53" i="51"/>
  <c r="T53" i="51"/>
  <c r="BK52" i="51"/>
  <c r="BI52" i="51"/>
  <c r="AA52" i="51"/>
  <c r="Y52" i="51"/>
  <c r="V52" i="51"/>
  <c r="T52" i="51"/>
  <c r="I52" i="51"/>
  <c r="J52" i="51" s="1"/>
  <c r="BK51" i="51"/>
  <c r="BI51" i="51"/>
  <c r="AA51" i="51"/>
  <c r="Y51" i="51"/>
  <c r="V51" i="51"/>
  <c r="T51" i="51"/>
  <c r="BK50" i="51"/>
  <c r="BI50" i="51"/>
  <c r="AA50" i="51"/>
  <c r="Y50" i="51"/>
  <c r="V50" i="51"/>
  <c r="T50" i="51"/>
  <c r="I50" i="51"/>
  <c r="J50" i="51" s="1"/>
  <c r="BK49" i="51"/>
  <c r="BI49" i="51"/>
  <c r="AA49" i="51"/>
  <c r="Y49" i="51"/>
  <c r="V49" i="51"/>
  <c r="T49" i="51"/>
  <c r="I49" i="51"/>
  <c r="J49" i="51" s="1"/>
  <c r="BK48" i="51"/>
  <c r="BI48" i="51"/>
  <c r="AA48" i="51"/>
  <c r="Y48" i="51"/>
  <c r="V48" i="51"/>
  <c r="T48" i="51"/>
  <c r="I48" i="51"/>
  <c r="J48" i="51" s="1"/>
  <c r="BK47" i="51"/>
  <c r="BI47" i="51"/>
  <c r="AA47" i="51"/>
  <c r="Y47" i="51"/>
  <c r="V47" i="51"/>
  <c r="T47" i="51"/>
  <c r="I47" i="51"/>
  <c r="J47" i="51" s="1"/>
  <c r="BK46" i="51"/>
  <c r="BI46" i="51"/>
  <c r="AA46" i="51"/>
  <c r="Y46" i="51"/>
  <c r="V46" i="51"/>
  <c r="T46" i="51"/>
  <c r="I46" i="51"/>
  <c r="J46" i="51" s="1"/>
  <c r="BK45" i="51"/>
  <c r="BI45" i="51"/>
  <c r="AA45" i="51"/>
  <c r="Y45" i="51"/>
  <c r="V45" i="51"/>
  <c r="T45" i="51"/>
  <c r="I45" i="51"/>
  <c r="J45" i="51" s="1"/>
  <c r="BK44" i="51"/>
  <c r="BI44" i="51"/>
  <c r="AA44" i="51"/>
  <c r="Y44" i="51"/>
  <c r="V44" i="51"/>
  <c r="T44" i="51"/>
  <c r="I44" i="51"/>
  <c r="J44" i="51" s="1"/>
  <c r="BK43" i="51"/>
  <c r="BI43" i="51"/>
  <c r="AA43" i="51"/>
  <c r="Y43" i="51"/>
  <c r="V43" i="51"/>
  <c r="T43" i="51"/>
  <c r="I43" i="51"/>
  <c r="J43" i="51" s="1"/>
  <c r="BK42" i="51"/>
  <c r="BI42" i="51"/>
  <c r="AA42" i="51"/>
  <c r="Y42" i="51"/>
  <c r="V42" i="51"/>
  <c r="T42" i="51"/>
  <c r="I42" i="51"/>
  <c r="J42" i="51" s="1"/>
  <c r="BK41" i="51"/>
  <c r="BI41" i="51"/>
  <c r="AA41" i="51"/>
  <c r="Y41" i="51"/>
  <c r="V41" i="51"/>
  <c r="T41" i="51"/>
  <c r="I41" i="51"/>
  <c r="J41" i="51" s="1"/>
  <c r="BK40" i="51"/>
  <c r="BI40" i="51"/>
  <c r="AA40" i="51"/>
  <c r="Y40" i="51"/>
  <c r="V40" i="51"/>
  <c r="T40" i="51"/>
  <c r="I40" i="51"/>
  <c r="J40" i="51" s="1"/>
  <c r="BK39" i="51"/>
  <c r="BI39" i="51"/>
  <c r="AA39" i="51"/>
  <c r="Y39" i="51"/>
  <c r="V39" i="51"/>
  <c r="T39" i="51"/>
  <c r="I39" i="51"/>
  <c r="J39" i="51" s="1"/>
  <c r="BK38" i="51"/>
  <c r="BI38" i="51"/>
  <c r="AA38" i="51"/>
  <c r="Y38" i="51"/>
  <c r="V38" i="51"/>
  <c r="T38" i="51"/>
  <c r="BK37" i="51"/>
  <c r="BI37" i="51"/>
  <c r="AA37" i="51"/>
  <c r="Y37" i="51"/>
  <c r="V37" i="51"/>
  <c r="T37" i="51"/>
  <c r="I37" i="51"/>
  <c r="BK36" i="51"/>
  <c r="BI36" i="51"/>
  <c r="AA36" i="51"/>
  <c r="Y36" i="51"/>
  <c r="V36" i="51"/>
  <c r="T36" i="51"/>
  <c r="I36" i="51"/>
  <c r="BM35" i="51"/>
  <c r="BK35" i="51"/>
  <c r="AA35" i="51"/>
  <c r="Y35" i="51"/>
  <c r="V35" i="51"/>
  <c r="T35" i="51"/>
  <c r="I35" i="51"/>
  <c r="BK34" i="51"/>
  <c r="BI34" i="51"/>
  <c r="AA34" i="51"/>
  <c r="Y34" i="51"/>
  <c r="V34" i="51"/>
  <c r="T34" i="51"/>
  <c r="I34" i="51"/>
  <c r="BK33" i="51"/>
  <c r="BI33" i="51"/>
  <c r="AA33" i="51"/>
  <c r="Y33" i="51"/>
  <c r="V33" i="51"/>
  <c r="T33" i="51"/>
  <c r="I33" i="51"/>
  <c r="BK32" i="51"/>
  <c r="BI32" i="51"/>
  <c r="AA32" i="51"/>
  <c r="Y32" i="51"/>
  <c r="V32" i="51"/>
  <c r="T32" i="51"/>
  <c r="I32" i="51"/>
  <c r="BK31" i="51"/>
  <c r="BI31" i="51"/>
  <c r="AA31" i="51"/>
  <c r="Y31" i="51"/>
  <c r="V31" i="51"/>
  <c r="T31" i="51"/>
  <c r="I31" i="51"/>
  <c r="BK30" i="51"/>
  <c r="BI30" i="51"/>
  <c r="AA30" i="51"/>
  <c r="Y30" i="51"/>
  <c r="V30" i="51"/>
  <c r="T30" i="51"/>
  <c r="I30" i="51"/>
  <c r="BK29" i="51"/>
  <c r="BI29" i="51"/>
  <c r="AA29" i="51"/>
  <c r="Y29" i="51"/>
  <c r="V29" i="51"/>
  <c r="T29" i="51"/>
  <c r="I29" i="51"/>
  <c r="BK28" i="51"/>
  <c r="BI28" i="51"/>
  <c r="AA28" i="51"/>
  <c r="Y28" i="51"/>
  <c r="V28" i="51"/>
  <c r="T28" i="51"/>
  <c r="I28" i="51"/>
  <c r="BK27" i="51"/>
  <c r="BI27" i="51"/>
  <c r="AA27" i="51"/>
  <c r="Y27" i="51"/>
  <c r="V27" i="51"/>
  <c r="T27" i="51"/>
  <c r="I27" i="51"/>
  <c r="BK26" i="51"/>
  <c r="BI26" i="51"/>
  <c r="AA26" i="51"/>
  <c r="Y26" i="51"/>
  <c r="V26" i="51"/>
  <c r="T26" i="51"/>
  <c r="I26" i="51"/>
  <c r="BK25" i="51"/>
  <c r="BI25" i="51"/>
  <c r="AA25" i="51"/>
  <c r="Y25" i="51"/>
  <c r="V25" i="51"/>
  <c r="T25" i="51"/>
  <c r="I25" i="51"/>
  <c r="BK24" i="51"/>
  <c r="BI24" i="51"/>
  <c r="AA24" i="51"/>
  <c r="Y24" i="51"/>
  <c r="V24" i="51"/>
  <c r="T24" i="51"/>
  <c r="I24" i="51"/>
  <c r="BK23" i="51"/>
  <c r="BI23" i="51"/>
  <c r="AA23" i="51"/>
  <c r="Y23" i="51"/>
  <c r="V23" i="51"/>
  <c r="T23" i="51"/>
  <c r="I23" i="51"/>
  <c r="BK22" i="51"/>
  <c r="BI22" i="51"/>
  <c r="AA22" i="51"/>
  <c r="Y22" i="51"/>
  <c r="V22" i="51"/>
  <c r="T22" i="51"/>
  <c r="I22" i="51"/>
  <c r="BK21" i="51"/>
  <c r="BI21" i="51"/>
  <c r="AA21" i="51"/>
  <c r="Y21" i="51"/>
  <c r="V21" i="51"/>
  <c r="T21" i="51"/>
  <c r="I21" i="51"/>
  <c r="BK20" i="51"/>
  <c r="BI20" i="51"/>
  <c r="AA20" i="51"/>
  <c r="Y20" i="51"/>
  <c r="V20" i="51"/>
  <c r="T20" i="51"/>
  <c r="I20" i="51"/>
  <c r="BK19" i="51"/>
  <c r="BI19" i="51"/>
  <c r="AA19" i="51"/>
  <c r="Y19" i="51"/>
  <c r="V19" i="51"/>
  <c r="T19" i="51"/>
  <c r="I19" i="51"/>
  <c r="BK18" i="51"/>
  <c r="BI18" i="51"/>
  <c r="AA18" i="51"/>
  <c r="Y18" i="51"/>
  <c r="V18" i="51"/>
  <c r="T18" i="51"/>
  <c r="I18" i="51"/>
  <c r="BK17" i="51"/>
  <c r="BI17" i="51"/>
  <c r="AA17" i="51"/>
  <c r="Y17" i="51"/>
  <c r="V17" i="51"/>
  <c r="T17" i="51"/>
  <c r="I17" i="51"/>
  <c r="BK16" i="51"/>
  <c r="BI16" i="51"/>
  <c r="AA16" i="51"/>
  <c r="Y16" i="51"/>
  <c r="V16" i="51"/>
  <c r="T16" i="51"/>
  <c r="I16" i="51"/>
  <c r="BK15" i="51"/>
  <c r="BI15" i="51"/>
  <c r="AA15" i="51"/>
  <c r="Y15" i="51"/>
  <c r="V15" i="51"/>
  <c r="T15" i="51"/>
  <c r="BK14" i="51"/>
  <c r="BI14" i="51"/>
  <c r="AA14" i="51"/>
  <c r="Y14" i="51"/>
  <c r="V14" i="51"/>
  <c r="T14" i="51"/>
  <c r="I14" i="51"/>
  <c r="BK13" i="51"/>
  <c r="BI13" i="51"/>
  <c r="AA13" i="51"/>
  <c r="Y13" i="51"/>
  <c r="V13" i="51"/>
  <c r="T13" i="51"/>
  <c r="I13" i="51"/>
  <c r="J13" i="51" s="1"/>
  <c r="BK12" i="51"/>
  <c r="BI12" i="51"/>
  <c r="AA12" i="51"/>
  <c r="Y12" i="51"/>
  <c r="V12" i="51"/>
  <c r="T12" i="51"/>
  <c r="I12" i="51"/>
  <c r="J12" i="51" s="1"/>
  <c r="BM11" i="51"/>
  <c r="BK11" i="51"/>
  <c r="AA11" i="51"/>
  <c r="Y11" i="51"/>
  <c r="V11" i="51"/>
  <c r="T11" i="51"/>
  <c r="I11" i="51"/>
  <c r="J11" i="51" s="1"/>
  <c r="BK10" i="51"/>
  <c r="BI10" i="51"/>
  <c r="AA10" i="51"/>
  <c r="Y10" i="51"/>
  <c r="V10" i="51"/>
  <c r="T10" i="51"/>
  <c r="BK9" i="51"/>
  <c r="BI9" i="51"/>
  <c r="AA9" i="51"/>
  <c r="Y9" i="51"/>
  <c r="V9" i="51"/>
  <c r="T9" i="51"/>
  <c r="I9" i="51"/>
  <c r="J9" i="51" s="1"/>
  <c r="BK8" i="51"/>
  <c r="BI8" i="51"/>
  <c r="AA8" i="51"/>
  <c r="Y8" i="51"/>
  <c r="V8" i="51"/>
  <c r="T8" i="51"/>
  <c r="BB7" i="51"/>
  <c r="AX7" i="51"/>
  <c r="AV7" i="51"/>
  <c r="AW49" i="51" s="1"/>
  <c r="AU7" i="51"/>
  <c r="AS7" i="51"/>
  <c r="AT12" i="51" s="1"/>
  <c r="AR7" i="51"/>
  <c r="AP7" i="51"/>
  <c r="AQ140" i="51" s="1"/>
  <c r="AO7" i="51"/>
  <c r="AM7" i="51"/>
  <c r="AN141" i="51" s="1"/>
  <c r="AL7" i="51"/>
  <c r="AJ7" i="51"/>
  <c r="AK143" i="51" s="1"/>
  <c r="AG7" i="51"/>
  <c r="AH7" i="51" s="1"/>
  <c r="AE7" i="51"/>
  <c r="AF56" i="51" s="1"/>
  <c r="AB7" i="51"/>
  <c r="X7" i="51"/>
  <c r="W7" i="51"/>
  <c r="S7" i="51"/>
  <c r="P7" i="51"/>
  <c r="N7" i="51"/>
  <c r="O158" i="51" s="1"/>
  <c r="M7" i="51"/>
  <c r="K7" i="51"/>
  <c r="L118" i="51" s="1"/>
  <c r="H7" i="51"/>
  <c r="G7" i="51"/>
  <c r="G62" i="51" s="1"/>
  <c r="I62" i="51" s="1"/>
  <c r="F7" i="51"/>
  <c r="F53" i="51" s="1"/>
  <c r="E7" i="51"/>
  <c r="E8" i="51" s="1"/>
  <c r="I8" i="51" s="1"/>
  <c r="D7" i="51"/>
  <c r="D83" i="51" s="1"/>
  <c r="I83" i="51" s="1"/>
  <c r="C7" i="51"/>
  <c r="K64" i="47"/>
  <c r="J60" i="47"/>
  <c r="K60" i="47" s="1"/>
  <c r="J59" i="47"/>
  <c r="K59" i="47" s="1"/>
  <c r="J58" i="47"/>
  <c r="K58" i="47" s="1"/>
  <c r="J57" i="47"/>
  <c r="D57" i="47"/>
  <c r="J56" i="47"/>
  <c r="K56" i="47" s="1"/>
  <c r="J55" i="47"/>
  <c r="K55" i="47" s="1"/>
  <c r="J54" i="47"/>
  <c r="K54" i="47" s="1"/>
  <c r="J53" i="47"/>
  <c r="K53" i="47" s="1"/>
  <c r="J52" i="47"/>
  <c r="J51" i="47"/>
  <c r="K51" i="47" s="1"/>
  <c r="E50" i="47"/>
  <c r="J50" i="47" s="1"/>
  <c r="D50" i="47"/>
  <c r="G49" i="47"/>
  <c r="F49" i="47"/>
  <c r="J48" i="47"/>
  <c r="K48" i="47" s="1"/>
  <c r="J47" i="47"/>
  <c r="K47" i="47" s="1"/>
  <c r="J46" i="47"/>
  <c r="K46" i="47" s="1"/>
  <c r="J45" i="47"/>
  <c r="K45" i="47" s="1"/>
  <c r="J44" i="47"/>
  <c r="D44" i="47"/>
  <c r="J43" i="47"/>
  <c r="K43" i="47" s="1"/>
  <c r="J36" i="47"/>
  <c r="K36" i="47" s="1"/>
  <c r="J35" i="47"/>
  <c r="K35" i="47" s="1"/>
  <c r="J34" i="47"/>
  <c r="K34" i="47" s="1"/>
  <c r="J33" i="47"/>
  <c r="K33" i="47" s="1"/>
  <c r="J32" i="47"/>
  <c r="K32" i="47" s="1"/>
  <c r="J31" i="47"/>
  <c r="D31" i="47"/>
  <c r="F30" i="47"/>
  <c r="J30" i="47" s="1"/>
  <c r="D30" i="47"/>
  <c r="J29" i="47"/>
  <c r="D29" i="47"/>
  <c r="J28" i="47"/>
  <c r="K28" i="47" s="1"/>
  <c r="J27" i="47"/>
  <c r="K27" i="47" s="1"/>
  <c r="J26" i="47"/>
  <c r="D26" i="47"/>
  <c r="J25" i="47"/>
  <c r="D25" i="47"/>
  <c r="J24" i="47"/>
  <c r="D24" i="47"/>
  <c r="J23" i="47"/>
  <c r="D23" i="47"/>
  <c r="J22" i="47"/>
  <c r="D22" i="47"/>
  <c r="J16" i="47"/>
  <c r="K16" i="47" s="1"/>
  <c r="J15" i="47"/>
  <c r="K15" i="47" s="1"/>
  <c r="J14" i="47"/>
  <c r="K14" i="47" s="1"/>
  <c r="J13" i="47"/>
  <c r="K13" i="47" s="1"/>
  <c r="J12" i="47"/>
  <c r="K12" i="47" s="1"/>
  <c r="J11" i="47"/>
  <c r="K11" i="47" s="1"/>
  <c r="J10" i="47"/>
  <c r="K10" i="47" s="1"/>
  <c r="J9" i="47"/>
  <c r="K9" i="47" s="1"/>
  <c r="J8" i="47"/>
  <c r="D8" i="47"/>
  <c r="J7" i="47"/>
  <c r="K7" i="47" s="1"/>
  <c r="J6" i="47"/>
  <c r="D6" i="47"/>
  <c r="G58" i="46"/>
  <c r="G56" i="46"/>
  <c r="G54" i="46"/>
  <c r="E53" i="46"/>
  <c r="G52" i="46"/>
  <c r="E51" i="46"/>
  <c r="G50" i="46"/>
  <c r="E49" i="46"/>
  <c r="G48" i="46"/>
  <c r="N28" i="46"/>
  <c r="M28" i="46"/>
  <c r="L28" i="46"/>
  <c r="K28" i="46"/>
  <c r="D28" i="46"/>
  <c r="N27" i="46"/>
  <c r="M27" i="46"/>
  <c r="L27" i="46"/>
  <c r="K27" i="46"/>
  <c r="N26" i="46"/>
  <c r="M26" i="46"/>
  <c r="L26" i="46"/>
  <c r="K26" i="46"/>
  <c r="N25" i="46"/>
  <c r="M25" i="46"/>
  <c r="L25" i="46"/>
  <c r="K25" i="46"/>
  <c r="H25" i="46"/>
  <c r="D25" i="46"/>
  <c r="N24" i="46"/>
  <c r="M24" i="46"/>
  <c r="L24" i="46"/>
  <c r="K24" i="46"/>
  <c r="H24" i="46"/>
  <c r="D24" i="46"/>
  <c r="N23" i="46"/>
  <c r="M23" i="46"/>
  <c r="L23" i="46"/>
  <c r="K23" i="46"/>
  <c r="H23" i="46"/>
  <c r="D23" i="46"/>
  <c r="N22" i="46"/>
  <c r="M22" i="46"/>
  <c r="L22" i="46"/>
  <c r="K22" i="46"/>
  <c r="H22" i="46"/>
  <c r="D22" i="46"/>
  <c r="N21" i="46"/>
  <c r="M21" i="46"/>
  <c r="L21" i="46"/>
  <c r="K21" i="46"/>
  <c r="H21" i="46"/>
  <c r="D21" i="46"/>
  <c r="N20" i="46"/>
  <c r="M20" i="46"/>
  <c r="L20" i="46"/>
  <c r="K20" i="46"/>
  <c r="H20" i="46"/>
  <c r="D20" i="46"/>
  <c r="N19" i="46"/>
  <c r="M19" i="46"/>
  <c r="L19" i="46"/>
  <c r="K19" i="46"/>
  <c r="H19" i="46"/>
  <c r="D19" i="46"/>
  <c r="N18" i="46"/>
  <c r="M18" i="46"/>
  <c r="L18" i="46"/>
  <c r="K18" i="46"/>
  <c r="H18" i="46"/>
  <c r="D18" i="46"/>
  <c r="N17" i="46"/>
  <c r="M17" i="46"/>
  <c r="L17" i="46"/>
  <c r="K17" i="46"/>
  <c r="H17" i="46"/>
  <c r="F17" i="46"/>
  <c r="D17" i="46"/>
  <c r="J28" i="46"/>
  <c r="I28" i="46"/>
  <c r="E58" i="46"/>
  <c r="G28" i="46"/>
  <c r="F28" i="46"/>
  <c r="E28" i="46"/>
  <c r="C58" i="46"/>
  <c r="H57" i="46"/>
  <c r="G57" i="46"/>
  <c r="F57" i="46"/>
  <c r="E57" i="46"/>
  <c r="G27" i="46"/>
  <c r="F27" i="46"/>
  <c r="E27" i="46"/>
  <c r="D27" i="46"/>
  <c r="C57" i="46"/>
  <c r="J26" i="46"/>
  <c r="I26" i="46"/>
  <c r="E56" i="46"/>
  <c r="G26" i="46"/>
  <c r="F26" i="46"/>
  <c r="E26" i="46"/>
  <c r="D26" i="46"/>
  <c r="C56" i="46"/>
  <c r="H55" i="46"/>
  <c r="G55" i="46"/>
  <c r="F55" i="46"/>
  <c r="E55" i="46"/>
  <c r="G25" i="46"/>
  <c r="F25" i="46"/>
  <c r="J24" i="46"/>
  <c r="I24" i="46"/>
  <c r="E54" i="46"/>
  <c r="F24" i="46"/>
  <c r="E25" i="46"/>
  <c r="G53" i="46"/>
  <c r="F53" i="46"/>
  <c r="F23" i="46"/>
  <c r="E23" i="46"/>
  <c r="J22" i="46"/>
  <c r="I22" i="46"/>
  <c r="E52" i="46"/>
  <c r="F22" i="46"/>
  <c r="E22" i="46"/>
  <c r="G51" i="46"/>
  <c r="F51" i="46"/>
  <c r="F21" i="46"/>
  <c r="E21" i="46"/>
  <c r="J20" i="46"/>
  <c r="I20" i="46"/>
  <c r="E50" i="46"/>
  <c r="F20" i="46"/>
  <c r="E20" i="46"/>
  <c r="G49" i="46"/>
  <c r="F49" i="46"/>
  <c r="F19" i="46"/>
  <c r="E19" i="46"/>
  <c r="J18" i="46"/>
  <c r="I18" i="46"/>
  <c r="E48" i="46"/>
  <c r="F18" i="46"/>
  <c r="E18" i="46"/>
  <c r="R17" i="46"/>
  <c r="Q17" i="46"/>
  <c r="P17" i="46"/>
  <c r="G47" i="46"/>
  <c r="F47" i="46"/>
  <c r="G17" i="46"/>
  <c r="E17" i="46"/>
  <c r="C47" i="46"/>
  <c r="D176" i="45"/>
  <c r="C176" i="45"/>
  <c r="F175" i="45"/>
  <c r="E175" i="45"/>
  <c r="F174" i="45"/>
  <c r="E174" i="45"/>
  <c r="F173" i="45"/>
  <c r="E173" i="45"/>
  <c r="F172" i="45"/>
  <c r="E172" i="45"/>
  <c r="F171" i="45"/>
  <c r="E171" i="45"/>
  <c r="F170" i="45"/>
  <c r="F169" i="45"/>
  <c r="E169" i="45"/>
  <c r="F168" i="45"/>
  <c r="E168" i="45"/>
  <c r="F167" i="45"/>
  <c r="E167" i="45"/>
  <c r="F166" i="45"/>
  <c r="E166" i="45"/>
  <c r="F165" i="45"/>
  <c r="E165" i="45"/>
  <c r="F164" i="45"/>
  <c r="E164" i="45"/>
  <c r="F163" i="45"/>
  <c r="E163" i="45"/>
  <c r="F162" i="45"/>
  <c r="E162" i="45"/>
  <c r="F161" i="45"/>
  <c r="E161" i="45"/>
  <c r="F160" i="45"/>
  <c r="E160" i="45"/>
  <c r="F159" i="45"/>
  <c r="E159" i="45"/>
  <c r="F158" i="45"/>
  <c r="E158" i="45"/>
  <c r="F157" i="45"/>
  <c r="E157" i="45"/>
  <c r="F156" i="45"/>
  <c r="E156" i="45"/>
  <c r="F155" i="45"/>
  <c r="E155" i="45"/>
  <c r="F154" i="45"/>
  <c r="E154" i="45"/>
  <c r="F153" i="45"/>
  <c r="R147" i="45"/>
  <c r="Q147" i="45"/>
  <c r="P147" i="45"/>
  <c r="O147" i="45"/>
  <c r="N147" i="45"/>
  <c r="M147" i="45"/>
  <c r="L147" i="45"/>
  <c r="K147" i="45"/>
  <c r="J147" i="45"/>
  <c r="I147" i="45"/>
  <c r="H147" i="45"/>
  <c r="G147" i="45"/>
  <c r="D147" i="45"/>
  <c r="C147" i="45"/>
  <c r="E146" i="45"/>
  <c r="E145" i="45"/>
  <c r="E144" i="45"/>
  <c r="E143" i="45"/>
  <c r="E142" i="45"/>
  <c r="E141" i="45"/>
  <c r="E140" i="45"/>
  <c r="E139" i="45"/>
  <c r="E138" i="45"/>
  <c r="E137" i="45"/>
  <c r="E136" i="45"/>
  <c r="E135" i="45"/>
  <c r="E134" i="45"/>
  <c r="E133" i="45"/>
  <c r="E132" i="45"/>
  <c r="E131" i="45"/>
  <c r="E130" i="45"/>
  <c r="E129" i="45"/>
  <c r="E128" i="45"/>
  <c r="E127" i="45"/>
  <c r="E126" i="45"/>
  <c r="E125" i="45"/>
  <c r="E124" i="45"/>
  <c r="R118" i="45"/>
  <c r="Q118" i="45"/>
  <c r="P118" i="45"/>
  <c r="O118" i="45"/>
  <c r="N118" i="45"/>
  <c r="M118" i="45"/>
  <c r="L118" i="45"/>
  <c r="K118" i="45"/>
  <c r="J118" i="45"/>
  <c r="I118" i="45"/>
  <c r="H118" i="45"/>
  <c r="G118" i="45"/>
  <c r="D118" i="45"/>
  <c r="C118" i="45"/>
  <c r="F117" i="45"/>
  <c r="E117" i="45"/>
  <c r="F116" i="45"/>
  <c r="E116" i="45"/>
  <c r="F115" i="45"/>
  <c r="E115" i="45"/>
  <c r="F114" i="45"/>
  <c r="E114" i="45"/>
  <c r="F113" i="45"/>
  <c r="E113" i="45"/>
  <c r="F112" i="45"/>
  <c r="E112" i="45"/>
  <c r="F111" i="45"/>
  <c r="E111" i="45"/>
  <c r="F110" i="45"/>
  <c r="E110" i="45"/>
  <c r="F109" i="45"/>
  <c r="E109" i="45"/>
  <c r="F108" i="45"/>
  <c r="E108" i="45"/>
  <c r="F107" i="45"/>
  <c r="E107" i="45"/>
  <c r="F106" i="45"/>
  <c r="E106" i="45"/>
  <c r="F105" i="45"/>
  <c r="E105" i="45"/>
  <c r="F104" i="45"/>
  <c r="E104" i="45"/>
  <c r="F103" i="45"/>
  <c r="E103" i="45"/>
  <c r="F102" i="45"/>
  <c r="E102" i="45"/>
  <c r="F101" i="45"/>
  <c r="E101" i="45"/>
  <c r="F100" i="45"/>
  <c r="E100" i="45"/>
  <c r="F99" i="45"/>
  <c r="E99" i="45"/>
  <c r="F98" i="45"/>
  <c r="E98" i="45"/>
  <c r="F97" i="45"/>
  <c r="E97" i="45"/>
  <c r="F96" i="45"/>
  <c r="E96" i="45"/>
  <c r="F95" i="45"/>
  <c r="E95" i="45"/>
  <c r="R89" i="45"/>
  <c r="Q89" i="45"/>
  <c r="P89" i="45"/>
  <c r="O89" i="45"/>
  <c r="N89" i="45"/>
  <c r="M89" i="45"/>
  <c r="L89" i="45"/>
  <c r="K89" i="45"/>
  <c r="J89" i="45"/>
  <c r="I89" i="45"/>
  <c r="H89" i="45"/>
  <c r="G89" i="45"/>
  <c r="D89" i="45"/>
  <c r="C89" i="45"/>
  <c r="F88" i="45"/>
  <c r="E88" i="45"/>
  <c r="F87" i="45"/>
  <c r="E87" i="45"/>
  <c r="F86" i="45"/>
  <c r="E86" i="45"/>
  <c r="F85" i="45"/>
  <c r="E85" i="45"/>
  <c r="F84" i="45"/>
  <c r="E84" i="45"/>
  <c r="F83" i="45"/>
  <c r="E83" i="45"/>
  <c r="F82" i="45"/>
  <c r="E82" i="45"/>
  <c r="F81" i="45"/>
  <c r="E81" i="45"/>
  <c r="F80" i="45"/>
  <c r="E80" i="45"/>
  <c r="F79" i="45"/>
  <c r="E79" i="45"/>
  <c r="F78" i="45"/>
  <c r="E78" i="45"/>
  <c r="F77" i="45"/>
  <c r="E77" i="45"/>
  <c r="F76" i="45"/>
  <c r="E76" i="45"/>
  <c r="F75" i="45"/>
  <c r="E75" i="45"/>
  <c r="F74" i="45"/>
  <c r="E74" i="45"/>
  <c r="F73" i="45"/>
  <c r="E73" i="45"/>
  <c r="F72" i="45"/>
  <c r="E72" i="45"/>
  <c r="F71" i="45"/>
  <c r="E71" i="45"/>
  <c r="F70" i="45"/>
  <c r="E70" i="45"/>
  <c r="F69" i="45"/>
  <c r="E69" i="45"/>
  <c r="F68" i="45"/>
  <c r="E68" i="45"/>
  <c r="F67" i="45"/>
  <c r="E67" i="45"/>
  <c r="F66" i="45"/>
  <c r="E66" i="45"/>
  <c r="R59" i="45"/>
  <c r="Q59" i="45"/>
  <c r="P59" i="45"/>
  <c r="O59" i="45"/>
  <c r="N59" i="45"/>
  <c r="M59" i="45"/>
  <c r="L59" i="45"/>
  <c r="K59" i="45"/>
  <c r="J59" i="45"/>
  <c r="I59" i="45"/>
  <c r="H59" i="45"/>
  <c r="G59" i="45"/>
  <c r="D59" i="45"/>
  <c r="C59" i="45"/>
  <c r="F58" i="45"/>
  <c r="E58" i="45"/>
  <c r="F57" i="45"/>
  <c r="E57" i="45"/>
  <c r="F56" i="45"/>
  <c r="E56" i="45"/>
  <c r="F55" i="45"/>
  <c r="E55" i="45"/>
  <c r="F54" i="45"/>
  <c r="E54" i="45"/>
  <c r="F53" i="45"/>
  <c r="E53" i="45"/>
  <c r="F52" i="45"/>
  <c r="E52" i="45"/>
  <c r="F51" i="45"/>
  <c r="E51" i="45"/>
  <c r="F50" i="45"/>
  <c r="E50" i="45"/>
  <c r="F49" i="45"/>
  <c r="E49" i="45"/>
  <c r="F48" i="45"/>
  <c r="E48" i="45"/>
  <c r="F47" i="45"/>
  <c r="E47" i="45"/>
  <c r="F46" i="45"/>
  <c r="E46" i="45"/>
  <c r="F45" i="45"/>
  <c r="E45" i="45"/>
  <c r="F44" i="45"/>
  <c r="E44" i="45"/>
  <c r="F43" i="45"/>
  <c r="E43" i="45"/>
  <c r="F42" i="45"/>
  <c r="E42" i="45"/>
  <c r="F41" i="45"/>
  <c r="E41" i="45"/>
  <c r="F40" i="45"/>
  <c r="E40" i="45"/>
  <c r="F39" i="45"/>
  <c r="E39" i="45"/>
  <c r="F38" i="45"/>
  <c r="E38" i="45"/>
  <c r="F37" i="45"/>
  <c r="E37" i="45"/>
  <c r="F36" i="45"/>
  <c r="E36" i="45"/>
  <c r="R29" i="45"/>
  <c r="Q29" i="45"/>
  <c r="P29" i="45"/>
  <c r="O29" i="45"/>
  <c r="N29" i="45"/>
  <c r="M29" i="45"/>
  <c r="L29" i="45"/>
  <c r="K29" i="45"/>
  <c r="J29" i="45"/>
  <c r="I29" i="45"/>
  <c r="H29" i="45"/>
  <c r="G29" i="45"/>
  <c r="D29" i="45"/>
  <c r="C29" i="45"/>
  <c r="F28" i="45"/>
  <c r="E28" i="45"/>
  <c r="F27" i="45"/>
  <c r="E27" i="45"/>
  <c r="F26" i="45"/>
  <c r="E26" i="45"/>
  <c r="F25" i="45"/>
  <c r="E25" i="45"/>
  <c r="F24" i="45"/>
  <c r="E24" i="45"/>
  <c r="F23" i="45"/>
  <c r="E23" i="45"/>
  <c r="F22" i="45"/>
  <c r="E22" i="45"/>
  <c r="F21" i="45"/>
  <c r="E21" i="45"/>
  <c r="F20" i="45"/>
  <c r="E20" i="45"/>
  <c r="F19" i="45"/>
  <c r="E19" i="45"/>
  <c r="F18" i="45"/>
  <c r="E18" i="45"/>
  <c r="F17" i="45"/>
  <c r="E17" i="45"/>
  <c r="F16" i="45"/>
  <c r="E16" i="45"/>
  <c r="F15" i="45"/>
  <c r="E15" i="45"/>
  <c r="F14" i="45"/>
  <c r="E14" i="45"/>
  <c r="F13" i="45"/>
  <c r="E13" i="45"/>
  <c r="F12" i="45"/>
  <c r="E12" i="45"/>
  <c r="F11" i="45"/>
  <c r="E11" i="45"/>
  <c r="F10" i="45"/>
  <c r="E10" i="45"/>
  <c r="F9" i="45"/>
  <c r="E9" i="45"/>
  <c r="F8" i="45"/>
  <c r="E8" i="45"/>
  <c r="F7" i="45"/>
  <c r="E7" i="45"/>
  <c r="F6" i="45"/>
  <c r="E6" i="45"/>
  <c r="R131" i="44"/>
  <c r="Q131" i="44"/>
  <c r="P131" i="44"/>
  <c r="O131" i="44"/>
  <c r="N131" i="44"/>
  <c r="M131" i="44"/>
  <c r="L131" i="44"/>
  <c r="K131" i="44"/>
  <c r="J131" i="44"/>
  <c r="I131" i="44"/>
  <c r="H131" i="44"/>
  <c r="G131" i="44"/>
  <c r="R128" i="44"/>
  <c r="Q128" i="44"/>
  <c r="P128" i="44"/>
  <c r="O128" i="44"/>
  <c r="N128" i="44"/>
  <c r="M128" i="44"/>
  <c r="L128" i="44"/>
  <c r="K128" i="44"/>
  <c r="J128" i="44"/>
  <c r="I128" i="44"/>
  <c r="H128" i="44"/>
  <c r="G128" i="44"/>
  <c r="R125" i="44"/>
  <c r="Q125" i="44"/>
  <c r="P125" i="44"/>
  <c r="O125" i="44"/>
  <c r="N125" i="44"/>
  <c r="M125" i="44"/>
  <c r="L125" i="44"/>
  <c r="K125" i="44"/>
  <c r="J125" i="44"/>
  <c r="I125" i="44"/>
  <c r="H125" i="44"/>
  <c r="G125" i="44"/>
  <c r="G112" i="44"/>
  <c r="G59" i="44" s="1"/>
  <c r="G60" i="44" s="1"/>
  <c r="C10" i="44" s="1"/>
  <c r="D111" i="44"/>
  <c r="F108" i="44" s="1"/>
  <c r="F110" i="44"/>
  <c r="S110" i="44" s="1"/>
  <c r="F109" i="44"/>
  <c r="Q109" i="44" s="1"/>
  <c r="D107" i="44"/>
  <c r="F106" i="44"/>
  <c r="L106" i="44" s="1"/>
  <c r="F105" i="44"/>
  <c r="N105" i="44" s="1"/>
  <c r="F103" i="44"/>
  <c r="D102" i="44"/>
  <c r="F102" i="44" s="1"/>
  <c r="M102" i="44" s="1"/>
  <c r="F101" i="44"/>
  <c r="Q101" i="44" s="1"/>
  <c r="F100" i="44"/>
  <c r="F99" i="44"/>
  <c r="R99" i="44" s="1"/>
  <c r="F98" i="44"/>
  <c r="F97" i="44"/>
  <c r="T97" i="44" s="1"/>
  <c r="F96" i="44"/>
  <c r="F95" i="44"/>
  <c r="F94" i="44"/>
  <c r="F93" i="44"/>
  <c r="T93" i="44" s="1"/>
  <c r="F92" i="44"/>
  <c r="T92" i="44" s="1"/>
  <c r="F91" i="44"/>
  <c r="T91" i="44" s="1"/>
  <c r="F90" i="44"/>
  <c r="T90" i="44" s="1"/>
  <c r="P79" i="44"/>
  <c r="O79" i="44"/>
  <c r="N79" i="44"/>
  <c r="M79" i="44"/>
  <c r="L79" i="44"/>
  <c r="K79" i="44"/>
  <c r="J79" i="44"/>
  <c r="I79" i="44"/>
  <c r="H79" i="44"/>
  <c r="G79" i="44"/>
  <c r="Q78" i="44"/>
  <c r="Q79" i="44" s="1"/>
  <c r="R72" i="44"/>
  <c r="R79" i="44" s="1"/>
  <c r="R55" i="44"/>
  <c r="Q55" i="44"/>
  <c r="P55" i="44"/>
  <c r="L9" i="44" s="1"/>
  <c r="O55" i="44"/>
  <c r="K9" i="44" s="1"/>
  <c r="N55" i="44"/>
  <c r="J9" i="44" s="1"/>
  <c r="M55" i="44"/>
  <c r="I9" i="44" s="1"/>
  <c r="L55" i="44"/>
  <c r="H9" i="44" s="1"/>
  <c r="K55" i="44"/>
  <c r="G9" i="44" s="1"/>
  <c r="J55" i="44"/>
  <c r="F9" i="44" s="1"/>
  <c r="I55" i="44"/>
  <c r="E9" i="44" s="1"/>
  <c r="H55" i="44"/>
  <c r="D9" i="44" s="1"/>
  <c r="G55" i="44"/>
  <c r="C9" i="44" s="1"/>
  <c r="R52" i="44"/>
  <c r="N8" i="44" s="1"/>
  <c r="O13" i="44" s="1"/>
  <c r="Q52" i="44"/>
  <c r="M8" i="44" s="1"/>
  <c r="P52" i="44"/>
  <c r="L8" i="44" s="1"/>
  <c r="O52" i="44"/>
  <c r="K8" i="44" s="1"/>
  <c r="N52" i="44"/>
  <c r="J8" i="44" s="1"/>
  <c r="M52" i="44"/>
  <c r="I8" i="44" s="1"/>
  <c r="L52" i="44"/>
  <c r="H8" i="44" s="1"/>
  <c r="K52" i="44"/>
  <c r="G8" i="44" s="1"/>
  <c r="J52" i="44"/>
  <c r="F8" i="44" s="1"/>
  <c r="I52" i="44"/>
  <c r="E8" i="44" s="1"/>
  <c r="H52" i="44"/>
  <c r="D8" i="44" s="1"/>
  <c r="G52" i="44"/>
  <c r="C8" i="44" s="1"/>
  <c r="N9" i="44"/>
  <c r="M9" i="44"/>
  <c r="R190" i="43"/>
  <c r="Q190" i="43"/>
  <c r="P190" i="43"/>
  <c r="O190" i="43"/>
  <c r="N190" i="43"/>
  <c r="M190" i="43"/>
  <c r="L190" i="43"/>
  <c r="K190" i="43"/>
  <c r="J190" i="43"/>
  <c r="I190" i="43"/>
  <c r="H190" i="43"/>
  <c r="R187" i="43"/>
  <c r="Q187" i="43"/>
  <c r="P187" i="43"/>
  <c r="O187" i="43"/>
  <c r="N187" i="43"/>
  <c r="M187" i="43"/>
  <c r="L187" i="43"/>
  <c r="K187" i="43"/>
  <c r="J187" i="43"/>
  <c r="I187" i="43"/>
  <c r="H187" i="43"/>
  <c r="G187" i="43"/>
  <c r="R180" i="43"/>
  <c r="Q180" i="43"/>
  <c r="P180" i="43"/>
  <c r="O180" i="43"/>
  <c r="N180" i="43"/>
  <c r="M180" i="43"/>
  <c r="L180" i="43"/>
  <c r="K180" i="43"/>
  <c r="J180" i="43"/>
  <c r="I180" i="43"/>
  <c r="H180" i="43"/>
  <c r="G180" i="43"/>
  <c r="K170" i="43"/>
  <c r="K102" i="43" s="1"/>
  <c r="K103" i="43" s="1"/>
  <c r="G11" i="43" s="1"/>
  <c r="J170" i="43"/>
  <c r="J102" i="43" s="1"/>
  <c r="J103" i="43" s="1"/>
  <c r="F11" i="43" s="1"/>
  <c r="I170" i="43"/>
  <c r="I102" i="43" s="1"/>
  <c r="I103" i="43" s="1"/>
  <c r="E11" i="43" s="1"/>
  <c r="H170" i="43"/>
  <c r="H102" i="43" s="1"/>
  <c r="H103" i="43" s="1"/>
  <c r="D11" i="43" s="1"/>
  <c r="G170" i="43"/>
  <c r="G102" i="43" s="1"/>
  <c r="G103" i="43" s="1"/>
  <c r="C11" i="43" s="1"/>
  <c r="D169" i="43"/>
  <c r="F167" i="43"/>
  <c r="D166" i="43"/>
  <c r="F161" i="43" s="1"/>
  <c r="D160" i="43"/>
  <c r="F157" i="43" s="1"/>
  <c r="D156" i="43"/>
  <c r="F153" i="43" s="1"/>
  <c r="D150" i="43"/>
  <c r="D152" i="43" s="1"/>
  <c r="F150" i="43" s="1"/>
  <c r="D149" i="43"/>
  <c r="F147" i="43" s="1"/>
  <c r="D146" i="43"/>
  <c r="F145" i="43"/>
  <c r="F144" i="43"/>
  <c r="Q144" i="43" s="1"/>
  <c r="D143" i="43"/>
  <c r="F141" i="43" s="1"/>
  <c r="Q141" i="43" s="1"/>
  <c r="F140" i="43"/>
  <c r="D139" i="43"/>
  <c r="F138" i="43"/>
  <c r="S138" i="43" s="1"/>
  <c r="F137" i="43"/>
  <c r="U137" i="43" s="1"/>
  <c r="D136" i="43"/>
  <c r="F135" i="43"/>
  <c r="T135" i="43" s="1"/>
  <c r="F134" i="43"/>
  <c r="U134" i="43" s="1"/>
  <c r="F133" i="43"/>
  <c r="R133" i="43" s="1"/>
  <c r="F132" i="43"/>
  <c r="S132" i="43" s="1"/>
  <c r="P115" i="43"/>
  <c r="O115" i="43"/>
  <c r="N115" i="43"/>
  <c r="M115" i="43"/>
  <c r="L115" i="43"/>
  <c r="K115" i="43"/>
  <c r="J115" i="43"/>
  <c r="I115" i="43"/>
  <c r="H115" i="43"/>
  <c r="G115" i="43"/>
  <c r="R113" i="43"/>
  <c r="R111" i="43"/>
  <c r="Q111" i="43"/>
  <c r="Q115" i="43" s="1"/>
  <c r="R109" i="43"/>
  <c r="R108" i="43"/>
  <c r="R98" i="43"/>
  <c r="N10" i="43" s="1"/>
  <c r="Q98" i="43"/>
  <c r="M10" i="43" s="1"/>
  <c r="P98" i="43"/>
  <c r="L10" i="43" s="1"/>
  <c r="O98" i="43"/>
  <c r="K10" i="43" s="1"/>
  <c r="N98" i="43"/>
  <c r="J10" i="43" s="1"/>
  <c r="M98" i="43"/>
  <c r="I10" i="43" s="1"/>
  <c r="L98" i="43"/>
  <c r="H10" i="43" s="1"/>
  <c r="K98" i="43"/>
  <c r="G10" i="43" s="1"/>
  <c r="J98" i="43"/>
  <c r="F10" i="43" s="1"/>
  <c r="I98" i="43"/>
  <c r="E10" i="43" s="1"/>
  <c r="H98" i="43"/>
  <c r="D10" i="43" s="1"/>
  <c r="G98" i="43"/>
  <c r="C10" i="43" s="1"/>
  <c r="R94" i="43"/>
  <c r="N9" i="43" s="1"/>
  <c r="O15" i="43" s="1"/>
  <c r="Q94" i="43"/>
  <c r="M9" i="43" s="1"/>
  <c r="P94" i="43"/>
  <c r="L9" i="43" s="1"/>
  <c r="O94" i="43"/>
  <c r="K9" i="43" s="1"/>
  <c r="N94" i="43"/>
  <c r="J9" i="43" s="1"/>
  <c r="M94" i="43"/>
  <c r="I9" i="43" s="1"/>
  <c r="L94" i="43"/>
  <c r="H9" i="43" s="1"/>
  <c r="K94" i="43"/>
  <c r="G9" i="43" s="1"/>
  <c r="J94" i="43"/>
  <c r="F9" i="43" s="1"/>
  <c r="I94" i="43"/>
  <c r="E9" i="43" s="1"/>
  <c r="H94" i="43"/>
  <c r="D9" i="43" s="1"/>
  <c r="G94" i="43"/>
  <c r="C9" i="43" s="1"/>
  <c r="R58" i="43"/>
  <c r="N8" i="43" s="1"/>
  <c r="O14" i="43" s="1"/>
  <c r="Q58" i="43"/>
  <c r="M8" i="43" s="1"/>
  <c r="P58" i="43"/>
  <c r="L8" i="43" s="1"/>
  <c r="O58" i="43"/>
  <c r="K8" i="43" s="1"/>
  <c r="N58" i="43"/>
  <c r="J8" i="43" s="1"/>
  <c r="M58" i="43"/>
  <c r="I8" i="43" s="1"/>
  <c r="L58" i="43"/>
  <c r="H8" i="43" s="1"/>
  <c r="K58" i="43"/>
  <c r="G8" i="43" s="1"/>
  <c r="J58" i="43"/>
  <c r="I58" i="43"/>
  <c r="E8" i="43" s="1"/>
  <c r="H58" i="43"/>
  <c r="D8" i="43" s="1"/>
  <c r="G58" i="43"/>
  <c r="C8" i="43" s="1"/>
  <c r="X597" i="42"/>
  <c r="W597" i="42"/>
  <c r="V597" i="42"/>
  <c r="U597" i="42"/>
  <c r="T597" i="42"/>
  <c r="S597" i="42"/>
  <c r="R597" i="42"/>
  <c r="Q597" i="42"/>
  <c r="P597" i="42"/>
  <c r="O597" i="42"/>
  <c r="N597" i="42"/>
  <c r="M597" i="42"/>
  <c r="X594" i="42"/>
  <c r="W594" i="42"/>
  <c r="V594" i="42"/>
  <c r="U594" i="42"/>
  <c r="T594" i="42"/>
  <c r="S594" i="42"/>
  <c r="R594" i="42"/>
  <c r="Q594" i="42"/>
  <c r="P594" i="42"/>
  <c r="O594" i="42"/>
  <c r="N594" i="42"/>
  <c r="M594" i="42"/>
  <c r="X588" i="42"/>
  <c r="W588" i="42"/>
  <c r="V588" i="42"/>
  <c r="U588" i="42"/>
  <c r="T588" i="42"/>
  <c r="S588" i="42"/>
  <c r="R588" i="42"/>
  <c r="Q588" i="42"/>
  <c r="P588" i="42"/>
  <c r="O588" i="42"/>
  <c r="N588" i="42"/>
  <c r="M588" i="42"/>
  <c r="Z568" i="42"/>
  <c r="Z538" i="42" s="1"/>
  <c r="Z539" i="42" s="1"/>
  <c r="Y568" i="42"/>
  <c r="Y538" i="42" s="1"/>
  <c r="Y539" i="42" s="1"/>
  <c r="X568" i="42"/>
  <c r="X538" i="42" s="1"/>
  <c r="X539" i="42" s="1"/>
  <c r="S438" i="42" s="1"/>
  <c r="W568" i="42"/>
  <c r="W538" i="42" s="1"/>
  <c r="W539" i="42" s="1"/>
  <c r="R438" i="42" s="1"/>
  <c r="N568" i="42"/>
  <c r="N538" i="42" s="1"/>
  <c r="N539" i="42" s="1"/>
  <c r="I438" i="42" s="1"/>
  <c r="M568" i="42"/>
  <c r="M538" i="42" s="1"/>
  <c r="M539" i="42" s="1"/>
  <c r="H438" i="42" s="1"/>
  <c r="J566" i="42"/>
  <c r="L565" i="42"/>
  <c r="R565" i="42" s="1"/>
  <c r="L563" i="42"/>
  <c r="T563" i="42" s="1"/>
  <c r="L561" i="42"/>
  <c r="U561" i="42" s="1"/>
  <c r="L559" i="42"/>
  <c r="L557" i="42"/>
  <c r="T557" i="42" s="1"/>
  <c r="X545" i="42"/>
  <c r="W545" i="42"/>
  <c r="V545" i="42"/>
  <c r="U545" i="42"/>
  <c r="T545" i="42"/>
  <c r="S545" i="42"/>
  <c r="R545" i="42"/>
  <c r="Q545" i="42"/>
  <c r="P545" i="42"/>
  <c r="O545" i="42"/>
  <c r="N545" i="42"/>
  <c r="M545" i="42"/>
  <c r="S534" i="42"/>
  <c r="N437" i="42" s="1"/>
  <c r="R534" i="42"/>
  <c r="M437" i="42" s="1"/>
  <c r="Q534" i="42"/>
  <c r="L437" i="42" s="1"/>
  <c r="P534" i="42"/>
  <c r="K437" i="42" s="1"/>
  <c r="O534" i="42"/>
  <c r="J437" i="42" s="1"/>
  <c r="N534" i="42"/>
  <c r="I437" i="42" s="1"/>
  <c r="M534" i="42"/>
  <c r="H437" i="42" s="1"/>
  <c r="X533" i="42"/>
  <c r="X534" i="42" s="1"/>
  <c r="S437" i="42" s="1"/>
  <c r="W533" i="42"/>
  <c r="W534" i="42" s="1"/>
  <c r="R437" i="42" s="1"/>
  <c r="V533" i="42"/>
  <c r="V534" i="42" s="1"/>
  <c r="Q437" i="42" s="1"/>
  <c r="U533" i="42"/>
  <c r="U534" i="42" s="1"/>
  <c r="P437" i="42" s="1"/>
  <c r="T533" i="42"/>
  <c r="T534" i="42" s="1"/>
  <c r="O437" i="42" s="1"/>
  <c r="V521" i="42"/>
  <c r="Q436" i="42" s="1"/>
  <c r="U521" i="42"/>
  <c r="P436" i="42" s="1"/>
  <c r="T521" i="42"/>
  <c r="O436" i="42" s="1"/>
  <c r="S521" i="42"/>
  <c r="N436" i="42" s="1"/>
  <c r="R521" i="42"/>
  <c r="M436" i="42" s="1"/>
  <c r="Q521" i="42"/>
  <c r="L436" i="42" s="1"/>
  <c r="P521" i="42"/>
  <c r="K436" i="42" s="1"/>
  <c r="O521" i="42"/>
  <c r="J436" i="42" s="1"/>
  <c r="N521" i="42"/>
  <c r="I436" i="42" s="1"/>
  <c r="M521" i="42"/>
  <c r="H436" i="42" s="1"/>
  <c r="W495" i="42"/>
  <c r="X491" i="42"/>
  <c r="W491" i="42"/>
  <c r="X479" i="42"/>
  <c r="W479" i="42"/>
  <c r="X489" i="42"/>
  <c r="W486" i="42"/>
  <c r="X476" i="42"/>
  <c r="S435" i="42" s="1"/>
  <c r="T440" i="42" s="1"/>
  <c r="W476" i="42"/>
  <c r="V476" i="42"/>
  <c r="Q435" i="42" s="1"/>
  <c r="U476" i="42"/>
  <c r="P435" i="42" s="1"/>
  <c r="T476" i="42"/>
  <c r="O435" i="42" s="1"/>
  <c r="S476" i="42"/>
  <c r="R476" i="42"/>
  <c r="M435" i="42" s="1"/>
  <c r="Q476" i="42"/>
  <c r="L435" i="42" s="1"/>
  <c r="P476" i="42"/>
  <c r="K435" i="42" s="1"/>
  <c r="O476" i="42"/>
  <c r="N476" i="42"/>
  <c r="I435" i="42" s="1"/>
  <c r="M476" i="42"/>
  <c r="H435" i="42" s="1"/>
  <c r="X423" i="42"/>
  <c r="W423" i="42"/>
  <c r="V423" i="42"/>
  <c r="U423" i="42"/>
  <c r="T423" i="42"/>
  <c r="S423" i="42"/>
  <c r="R423" i="42"/>
  <c r="Q423" i="42"/>
  <c r="P423" i="42"/>
  <c r="O423" i="42"/>
  <c r="N423" i="42"/>
  <c r="M423" i="42"/>
  <c r="X420" i="42"/>
  <c r="W420" i="42"/>
  <c r="V420" i="42"/>
  <c r="U420" i="42"/>
  <c r="T420" i="42"/>
  <c r="S420" i="42"/>
  <c r="R420" i="42"/>
  <c r="Q420" i="42"/>
  <c r="P420" i="42"/>
  <c r="O420" i="42"/>
  <c r="N420" i="42"/>
  <c r="M420" i="42"/>
  <c r="V416" i="42"/>
  <c r="U416" i="42"/>
  <c r="T416" i="42"/>
  <c r="S416" i="42"/>
  <c r="R416" i="42"/>
  <c r="Q416" i="42"/>
  <c r="P416" i="42"/>
  <c r="O416" i="42"/>
  <c r="N416" i="42"/>
  <c r="M416" i="42"/>
  <c r="X409" i="42"/>
  <c r="X416" i="42" s="1"/>
  <c r="W409" i="42"/>
  <c r="W416" i="42" s="1"/>
  <c r="M400" i="42"/>
  <c r="M323" i="42" s="1"/>
  <c r="M324" i="42" s="1"/>
  <c r="H235" i="42" s="1"/>
  <c r="J399" i="42"/>
  <c r="L397" i="42"/>
  <c r="U397" i="42" s="1"/>
  <c r="L396" i="42"/>
  <c r="O396" i="42" s="1"/>
  <c r="J395" i="42"/>
  <c r="L390" i="42" s="1"/>
  <c r="R390" i="42" s="1"/>
  <c r="L391" i="42"/>
  <c r="R391" i="42" s="1"/>
  <c r="J389" i="42"/>
  <c r="L389" i="42" s="1"/>
  <c r="J388" i="42"/>
  <c r="L384" i="42" s="1"/>
  <c r="T384" i="42" s="1"/>
  <c r="J383" i="42"/>
  <c r="L382" i="42"/>
  <c r="U382" i="42" s="1"/>
  <c r="L381" i="42"/>
  <c r="U381" i="42" s="1"/>
  <c r="J380" i="42"/>
  <c r="L377" i="42" s="1"/>
  <c r="L376" i="42"/>
  <c r="L374" i="42"/>
  <c r="W374" i="42" s="1"/>
  <c r="L372" i="42"/>
  <c r="W372" i="42" s="1"/>
  <c r="J371" i="42"/>
  <c r="L368" i="42"/>
  <c r="U368" i="42" s="1"/>
  <c r="J367" i="42"/>
  <c r="L366" i="42"/>
  <c r="X366" i="42" s="1"/>
  <c r="J365" i="42"/>
  <c r="L365" i="42" s="1"/>
  <c r="L364" i="42"/>
  <c r="L363" i="42"/>
  <c r="L362" i="42"/>
  <c r="L361" i="42"/>
  <c r="L360" i="42"/>
  <c r="L359" i="42"/>
  <c r="L358" i="42"/>
  <c r="L357" i="42"/>
  <c r="AB356" i="42"/>
  <c r="AA356" i="42"/>
  <c r="Z356" i="42"/>
  <c r="Y356" i="42"/>
  <c r="L356" i="42"/>
  <c r="X356" i="42" s="1"/>
  <c r="L355" i="42"/>
  <c r="AA355" i="42" s="1"/>
  <c r="J354" i="42"/>
  <c r="L354" i="42" s="1"/>
  <c r="AB354" i="42" s="1"/>
  <c r="X340" i="42"/>
  <c r="V340" i="42"/>
  <c r="U340" i="42"/>
  <c r="T340" i="42"/>
  <c r="S340" i="42"/>
  <c r="R340" i="42"/>
  <c r="Q340" i="42"/>
  <c r="P340" i="42"/>
  <c r="O340" i="42"/>
  <c r="N340" i="42"/>
  <c r="M340" i="42"/>
  <c r="W339" i="42"/>
  <c r="W340" i="42" s="1"/>
  <c r="X319" i="42"/>
  <c r="S234" i="42" s="1"/>
  <c r="W319" i="42"/>
  <c r="R234" i="42" s="1"/>
  <c r="V319" i="42"/>
  <c r="Q234" i="42" s="1"/>
  <c r="U319" i="42"/>
  <c r="P234" i="42" s="1"/>
  <c r="T319" i="42"/>
  <c r="O234" i="42" s="1"/>
  <c r="S319" i="42"/>
  <c r="N234" i="42" s="1"/>
  <c r="R319" i="42"/>
  <c r="M234" i="42" s="1"/>
  <c r="Q319" i="42"/>
  <c r="L234" i="42" s="1"/>
  <c r="P319" i="42"/>
  <c r="K234" i="42" s="1"/>
  <c r="O319" i="42"/>
  <c r="J234" i="42" s="1"/>
  <c r="N319" i="42"/>
  <c r="I234" i="42" s="1"/>
  <c r="M319" i="42"/>
  <c r="H234" i="42" s="1"/>
  <c r="X315" i="42"/>
  <c r="S233" i="42" s="1"/>
  <c r="T238" i="42" s="1"/>
  <c r="W315" i="42"/>
  <c r="R233" i="42" s="1"/>
  <c r="V315" i="42"/>
  <c r="Q233" i="42" s="1"/>
  <c r="U315" i="42"/>
  <c r="P233" i="42" s="1"/>
  <c r="T315" i="42"/>
  <c r="O233" i="42" s="1"/>
  <c r="S315" i="42"/>
  <c r="N233" i="42" s="1"/>
  <c r="R315" i="42"/>
  <c r="M233" i="42" s="1"/>
  <c r="Q315" i="42"/>
  <c r="L233" i="42" s="1"/>
  <c r="P315" i="42"/>
  <c r="K233" i="42" s="1"/>
  <c r="O315" i="42"/>
  <c r="J233" i="42" s="1"/>
  <c r="N315" i="42"/>
  <c r="I233" i="42" s="1"/>
  <c r="M315" i="42"/>
  <c r="H233" i="42" s="1"/>
  <c r="X262" i="42"/>
  <c r="S232" i="42" s="1"/>
  <c r="T237" i="42" s="1"/>
  <c r="W262" i="42"/>
  <c r="R232" i="42" s="1"/>
  <c r="V262" i="42"/>
  <c r="Q232" i="42" s="1"/>
  <c r="U262" i="42"/>
  <c r="P232" i="42" s="1"/>
  <c r="T262" i="42"/>
  <c r="O232" i="42" s="1"/>
  <c r="S262" i="42"/>
  <c r="N232" i="42" s="1"/>
  <c r="R262" i="42"/>
  <c r="M232" i="42" s="1"/>
  <c r="Q262" i="42"/>
  <c r="L232" i="42" s="1"/>
  <c r="P262" i="42"/>
  <c r="K232" i="42" s="1"/>
  <c r="O262" i="42"/>
  <c r="J232" i="42" s="1"/>
  <c r="N262" i="42"/>
  <c r="I232" i="42" s="1"/>
  <c r="M262" i="42"/>
  <c r="H232" i="42" s="1"/>
  <c r="X221" i="42"/>
  <c r="W221" i="42"/>
  <c r="V221" i="42"/>
  <c r="U221" i="42"/>
  <c r="T221" i="42"/>
  <c r="S221" i="42"/>
  <c r="R221" i="42"/>
  <c r="Q221" i="42"/>
  <c r="P221" i="42"/>
  <c r="O221" i="42"/>
  <c r="N221" i="42"/>
  <c r="M221" i="42"/>
  <c r="X218" i="42"/>
  <c r="W218" i="42"/>
  <c r="V218" i="42"/>
  <c r="U218" i="42"/>
  <c r="T218" i="42"/>
  <c r="S218" i="42"/>
  <c r="R218" i="42"/>
  <c r="Q218" i="42"/>
  <c r="P218" i="42"/>
  <c r="O218" i="42"/>
  <c r="N218" i="42"/>
  <c r="M218" i="42"/>
  <c r="G218" i="42"/>
  <c r="F218" i="42"/>
  <c r="E218" i="42"/>
  <c r="D218" i="42"/>
  <c r="C218" i="42"/>
  <c r="X213" i="42"/>
  <c r="W213" i="42"/>
  <c r="V213" i="42"/>
  <c r="U213" i="42"/>
  <c r="T213" i="42"/>
  <c r="S213" i="42"/>
  <c r="R213" i="42"/>
  <c r="Q213" i="42"/>
  <c r="P213" i="42"/>
  <c r="O213" i="42"/>
  <c r="N213" i="42"/>
  <c r="M213" i="42"/>
  <c r="G213" i="42"/>
  <c r="F213" i="42"/>
  <c r="E213" i="42"/>
  <c r="D213" i="42"/>
  <c r="C213" i="42"/>
  <c r="C195" i="42"/>
  <c r="C133" i="42" s="1"/>
  <c r="C134" i="42" s="1"/>
  <c r="C29" i="42" s="1"/>
  <c r="J194" i="42"/>
  <c r="L192" i="42"/>
  <c r="L191" i="42"/>
  <c r="Q191" i="42" s="1"/>
  <c r="L190" i="42"/>
  <c r="Q190" i="42" s="1"/>
  <c r="J189" i="42"/>
  <c r="L187" i="42" s="1"/>
  <c r="L186" i="42"/>
  <c r="P186" i="42" s="1"/>
  <c r="J185" i="42"/>
  <c r="L183" i="42"/>
  <c r="P183" i="42" s="1"/>
  <c r="L182" i="42"/>
  <c r="J181" i="42"/>
  <c r="L179" i="42" s="1"/>
  <c r="J178" i="42"/>
  <c r="L176" i="42"/>
  <c r="S176" i="42" s="1"/>
  <c r="L175" i="42"/>
  <c r="V175" i="42" s="1"/>
  <c r="L174" i="42"/>
  <c r="Q174" i="42" s="1"/>
  <c r="J173" i="42"/>
  <c r="L172" i="42"/>
  <c r="U172" i="42" s="1"/>
  <c r="L171" i="42"/>
  <c r="U171" i="42" s="1"/>
  <c r="L170" i="42"/>
  <c r="J169" i="42"/>
  <c r="L167" i="42" s="1"/>
  <c r="J163" i="42"/>
  <c r="J166" i="42" s="1"/>
  <c r="L163" i="42" s="1"/>
  <c r="J162" i="42"/>
  <c r="L160" i="42" s="1"/>
  <c r="U160" i="42" s="1"/>
  <c r="J158" i="42"/>
  <c r="J159" i="42" s="1"/>
  <c r="L157" i="42" s="1"/>
  <c r="J155" i="42"/>
  <c r="J156" i="42" s="1"/>
  <c r="L154" i="42"/>
  <c r="Y154" i="42" s="1"/>
  <c r="L153" i="42"/>
  <c r="L152" i="42"/>
  <c r="AA142" i="42"/>
  <c r="W139" i="42"/>
  <c r="V139" i="42"/>
  <c r="U139" i="42"/>
  <c r="R139" i="42"/>
  <c r="Q139" i="42"/>
  <c r="P139" i="42"/>
  <c r="O139" i="42"/>
  <c r="N139" i="42"/>
  <c r="M139" i="42"/>
  <c r="X138" i="42"/>
  <c r="T138" i="42"/>
  <c r="T139" i="42" s="1"/>
  <c r="S138" i="42"/>
  <c r="S139" i="42" s="1"/>
  <c r="X137" i="42"/>
  <c r="X129" i="42"/>
  <c r="S28" i="42" s="1"/>
  <c r="W129" i="42"/>
  <c r="R28" i="42" s="1"/>
  <c r="V129" i="42"/>
  <c r="Q28" i="42" s="1"/>
  <c r="U129" i="42"/>
  <c r="P28" i="42" s="1"/>
  <c r="T129" i="42"/>
  <c r="O28" i="42" s="1"/>
  <c r="S129" i="42"/>
  <c r="N28" i="42" s="1"/>
  <c r="R129" i="42"/>
  <c r="M28" i="42" s="1"/>
  <c r="Q129" i="42"/>
  <c r="L28" i="42" s="1"/>
  <c r="P129" i="42"/>
  <c r="K28" i="42" s="1"/>
  <c r="O129" i="42"/>
  <c r="J28" i="42" s="1"/>
  <c r="N129" i="42"/>
  <c r="I28" i="42" s="1"/>
  <c r="M129" i="42"/>
  <c r="H28" i="42" s="1"/>
  <c r="G129" i="42"/>
  <c r="G28" i="42" s="1"/>
  <c r="F129" i="42"/>
  <c r="F28" i="42" s="1"/>
  <c r="E129" i="42"/>
  <c r="E28" i="42" s="1"/>
  <c r="D129" i="42"/>
  <c r="D28" i="42" s="1"/>
  <c r="C129" i="42"/>
  <c r="C28" i="42" s="1"/>
  <c r="X124" i="42"/>
  <c r="S27" i="42" s="1"/>
  <c r="T32" i="42" s="1"/>
  <c r="W124" i="42"/>
  <c r="R27" i="42" s="1"/>
  <c r="V124" i="42"/>
  <c r="Q27" i="42" s="1"/>
  <c r="U124" i="42"/>
  <c r="P27" i="42" s="1"/>
  <c r="T124" i="42"/>
  <c r="O27" i="42" s="1"/>
  <c r="S124" i="42"/>
  <c r="N27" i="42" s="1"/>
  <c r="R124" i="42"/>
  <c r="M27" i="42" s="1"/>
  <c r="Q124" i="42"/>
  <c r="L27" i="42" s="1"/>
  <c r="O124" i="42"/>
  <c r="J27" i="42" s="1"/>
  <c r="N124" i="42"/>
  <c r="I27" i="42" s="1"/>
  <c r="M124" i="42"/>
  <c r="H27" i="42" s="1"/>
  <c r="G124" i="42"/>
  <c r="G27" i="42" s="1"/>
  <c r="F124" i="42"/>
  <c r="F27" i="42" s="1"/>
  <c r="E124" i="42"/>
  <c r="E27" i="42" s="1"/>
  <c r="D124" i="42"/>
  <c r="D27" i="42" s="1"/>
  <c r="C124" i="42"/>
  <c r="C27" i="42" s="1"/>
  <c r="P84" i="42"/>
  <c r="P124" i="42" s="1"/>
  <c r="K27" i="42" s="1"/>
  <c r="K32" i="42" s="1"/>
  <c r="X76" i="42"/>
  <c r="S26" i="42" s="1"/>
  <c r="T31" i="42" s="1"/>
  <c r="W76" i="42"/>
  <c r="R26" i="42" s="1"/>
  <c r="V76" i="42"/>
  <c r="Q26" i="42" s="1"/>
  <c r="U76" i="42"/>
  <c r="T76" i="42"/>
  <c r="O26" i="42" s="1"/>
  <c r="S76" i="42"/>
  <c r="N26" i="42" s="1"/>
  <c r="R76" i="42"/>
  <c r="M26" i="42" s="1"/>
  <c r="Q76" i="42"/>
  <c r="P76" i="42"/>
  <c r="K26" i="42" s="1"/>
  <c r="O76" i="42"/>
  <c r="J26" i="42" s="1"/>
  <c r="N76" i="42"/>
  <c r="I26" i="42" s="1"/>
  <c r="M76" i="42"/>
  <c r="G76" i="42"/>
  <c r="G26" i="42" s="1"/>
  <c r="F76" i="42"/>
  <c r="F26" i="42" s="1"/>
  <c r="E76" i="42"/>
  <c r="E26" i="42" s="1"/>
  <c r="D76" i="42"/>
  <c r="C76" i="42"/>
  <c r="C26" i="42" s="1"/>
  <c r="H7" i="42"/>
  <c r="R269" i="41"/>
  <c r="Q269" i="41"/>
  <c r="P269" i="41"/>
  <c r="O269" i="41"/>
  <c r="N269" i="41"/>
  <c r="M269" i="41"/>
  <c r="L269" i="41"/>
  <c r="K269" i="41"/>
  <c r="J269" i="41"/>
  <c r="I269" i="41"/>
  <c r="H269" i="41"/>
  <c r="G269" i="41"/>
  <c r="R266" i="41"/>
  <c r="Q266" i="41"/>
  <c r="P266" i="41"/>
  <c r="M266" i="41"/>
  <c r="L266" i="41"/>
  <c r="K266" i="41"/>
  <c r="J266" i="41"/>
  <c r="I266" i="41"/>
  <c r="H266" i="41"/>
  <c r="G266" i="41"/>
  <c r="O261" i="41"/>
  <c r="O266" i="41" s="1"/>
  <c r="N261" i="41"/>
  <c r="N266" i="41" s="1"/>
  <c r="R255" i="41"/>
  <c r="Q255" i="41"/>
  <c r="P255" i="41"/>
  <c r="O255" i="41"/>
  <c r="N255" i="41"/>
  <c r="M255" i="41"/>
  <c r="K255" i="41"/>
  <c r="J255" i="41"/>
  <c r="I255" i="41"/>
  <c r="H255" i="41"/>
  <c r="G255" i="41"/>
  <c r="L251" i="41"/>
  <c r="L255" i="41" s="1"/>
  <c r="D240" i="41"/>
  <c r="D241" i="41" s="1"/>
  <c r="F238" i="41" s="1"/>
  <c r="D237" i="41"/>
  <c r="F234" i="41" s="1"/>
  <c r="H234" i="41" s="1"/>
  <c r="D233" i="41"/>
  <c r="F231" i="41" s="1"/>
  <c r="L231" i="41" s="1"/>
  <c r="D230" i="41"/>
  <c r="D225" i="41"/>
  <c r="D226" i="41" s="1"/>
  <c r="F223" i="41" s="1"/>
  <c r="M223" i="41" s="1"/>
  <c r="L219" i="41"/>
  <c r="D219" i="41"/>
  <c r="D222" i="41" s="1"/>
  <c r="F219" i="41" s="1"/>
  <c r="F218" i="41"/>
  <c r="D215" i="41"/>
  <c r="F215" i="41" s="1"/>
  <c r="D213" i="41"/>
  <c r="D212" i="41"/>
  <c r="D211" i="41"/>
  <c r="F211" i="41" s="1"/>
  <c r="P211" i="41" s="1"/>
  <c r="D210" i="41"/>
  <c r="F208" i="41"/>
  <c r="Q208" i="41" s="1"/>
  <c r="F207" i="41"/>
  <c r="D205" i="41"/>
  <c r="F205" i="41" s="1"/>
  <c r="P205" i="41" s="1"/>
  <c r="F204" i="41"/>
  <c r="F202" i="41"/>
  <c r="Q202" i="41" s="1"/>
  <c r="F201" i="41"/>
  <c r="Q201" i="41" s="1"/>
  <c r="F200" i="41"/>
  <c r="V200" i="41" s="1"/>
  <c r="F198" i="41"/>
  <c r="U198" i="41" s="1"/>
  <c r="R186" i="41"/>
  <c r="Q186" i="41"/>
  <c r="P186" i="41"/>
  <c r="O186" i="41"/>
  <c r="M186" i="41"/>
  <c r="L186" i="41"/>
  <c r="J186" i="41"/>
  <c r="I186" i="41"/>
  <c r="H186" i="41"/>
  <c r="N185" i="41"/>
  <c r="N186" i="41" s="1"/>
  <c r="K182" i="41"/>
  <c r="G182" i="41"/>
  <c r="G186" i="41" s="1"/>
  <c r="K180" i="41"/>
  <c r="R170" i="41"/>
  <c r="N10" i="41" s="1"/>
  <c r="Q170" i="41"/>
  <c r="M10" i="41" s="1"/>
  <c r="P170" i="41"/>
  <c r="L10" i="41" s="1"/>
  <c r="O170" i="41"/>
  <c r="K10" i="41" s="1"/>
  <c r="N170" i="41"/>
  <c r="J10" i="41" s="1"/>
  <c r="M170" i="41"/>
  <c r="I10" i="41" s="1"/>
  <c r="L170" i="41"/>
  <c r="H10" i="41" s="1"/>
  <c r="K170" i="41"/>
  <c r="G10" i="41" s="1"/>
  <c r="J170" i="41"/>
  <c r="F10" i="41" s="1"/>
  <c r="I170" i="41"/>
  <c r="E10" i="41" s="1"/>
  <c r="H170" i="41"/>
  <c r="D10" i="41" s="1"/>
  <c r="G170" i="41"/>
  <c r="C10" i="41" s="1"/>
  <c r="R163" i="41"/>
  <c r="N9" i="41" s="1"/>
  <c r="O15" i="41" s="1"/>
  <c r="Q163" i="41"/>
  <c r="M9" i="41" s="1"/>
  <c r="P163" i="41"/>
  <c r="L9" i="41" s="1"/>
  <c r="O163" i="41"/>
  <c r="K9" i="41" s="1"/>
  <c r="N163" i="41"/>
  <c r="J9" i="41" s="1"/>
  <c r="M163" i="41"/>
  <c r="I9" i="41" s="1"/>
  <c r="L163" i="41"/>
  <c r="H9" i="41" s="1"/>
  <c r="K163" i="41"/>
  <c r="G9" i="41" s="1"/>
  <c r="J163" i="41"/>
  <c r="F9" i="41" s="1"/>
  <c r="I163" i="41"/>
  <c r="E9" i="41" s="1"/>
  <c r="H163" i="41"/>
  <c r="D9" i="41" s="1"/>
  <c r="G163" i="41"/>
  <c r="C9" i="41" s="1"/>
  <c r="R90" i="41"/>
  <c r="N8" i="41" s="1"/>
  <c r="O14" i="41" s="1"/>
  <c r="Q90" i="41"/>
  <c r="M8" i="41" s="1"/>
  <c r="P90" i="41"/>
  <c r="O90" i="41"/>
  <c r="K8" i="41" s="1"/>
  <c r="N90" i="41"/>
  <c r="J8" i="41" s="1"/>
  <c r="L90" i="41"/>
  <c r="H8" i="41" s="1"/>
  <c r="K90" i="41"/>
  <c r="G8" i="41" s="1"/>
  <c r="J90" i="41"/>
  <c r="F8" i="41" s="1"/>
  <c r="I90" i="41"/>
  <c r="E8" i="41" s="1"/>
  <c r="H90" i="41"/>
  <c r="G90" i="41"/>
  <c r="C8" i="41" s="1"/>
  <c r="M63" i="41"/>
  <c r="M62" i="41"/>
  <c r="S175" i="40"/>
  <c r="R175" i="40"/>
  <c r="Q175" i="40"/>
  <c r="P175" i="40"/>
  <c r="O175" i="40"/>
  <c r="N175" i="40"/>
  <c r="M175" i="40"/>
  <c r="L175" i="40"/>
  <c r="K175" i="40"/>
  <c r="J175" i="40"/>
  <c r="I175" i="40"/>
  <c r="H175" i="40"/>
  <c r="S172" i="40"/>
  <c r="Q172" i="40"/>
  <c r="P172" i="40"/>
  <c r="N172" i="40"/>
  <c r="M172" i="40"/>
  <c r="L172" i="40"/>
  <c r="K172" i="40"/>
  <c r="J172" i="40"/>
  <c r="I172" i="40"/>
  <c r="H172" i="40"/>
  <c r="O171" i="40"/>
  <c r="O172" i="40" s="1"/>
  <c r="R170" i="40"/>
  <c r="R172" i="40" s="1"/>
  <c r="S168" i="40"/>
  <c r="R168" i="40"/>
  <c r="Q168" i="40"/>
  <c r="P168" i="40"/>
  <c r="O168" i="40"/>
  <c r="N168" i="40"/>
  <c r="M168" i="40"/>
  <c r="L168" i="40"/>
  <c r="K168" i="40"/>
  <c r="J168" i="40"/>
  <c r="I168" i="40"/>
  <c r="H168" i="40"/>
  <c r="N143" i="40"/>
  <c r="N99" i="40" s="1"/>
  <c r="N100" i="40" s="1"/>
  <c r="I11" i="40" s="1"/>
  <c r="M143" i="40"/>
  <c r="M99" i="40" s="1"/>
  <c r="M100" i="40" s="1"/>
  <c r="H11" i="40" s="1"/>
  <c r="L143" i="40"/>
  <c r="L99" i="40" s="1"/>
  <c r="L100" i="40" s="1"/>
  <c r="G11" i="40" s="1"/>
  <c r="K143" i="40"/>
  <c r="K99" i="40" s="1"/>
  <c r="K100" i="40" s="1"/>
  <c r="F11" i="40" s="1"/>
  <c r="J143" i="40"/>
  <c r="J99" i="40" s="1"/>
  <c r="J100" i="40" s="1"/>
  <c r="E11" i="40" s="1"/>
  <c r="I143" i="40"/>
  <c r="I99" i="40" s="1"/>
  <c r="I100" i="40" s="1"/>
  <c r="D11" i="40" s="1"/>
  <c r="H143" i="40"/>
  <c r="H99" i="40" s="1"/>
  <c r="H100" i="40" s="1"/>
  <c r="C11" i="40" s="1"/>
  <c r="G137" i="40"/>
  <c r="E136" i="40"/>
  <c r="E139" i="40" s="1"/>
  <c r="G135" i="40"/>
  <c r="E134" i="40"/>
  <c r="G131" i="40" s="1"/>
  <c r="G133" i="40"/>
  <c r="T133" i="40" s="1"/>
  <c r="G129" i="40"/>
  <c r="S129" i="40" s="1"/>
  <c r="E128" i="40"/>
  <c r="E130" i="40" s="1"/>
  <c r="E126" i="40"/>
  <c r="G126" i="40" s="1"/>
  <c r="E124" i="40"/>
  <c r="E127" i="40" s="1"/>
  <c r="G124" i="40" s="1"/>
  <c r="E122" i="40"/>
  <c r="E121" i="40"/>
  <c r="E120" i="40"/>
  <c r="G120" i="40" s="1"/>
  <c r="V120" i="40" s="1"/>
  <c r="G119" i="40"/>
  <c r="R119" i="40" s="1"/>
  <c r="G118" i="40"/>
  <c r="T118" i="40" s="1"/>
  <c r="G117" i="40"/>
  <c r="E116" i="40"/>
  <c r="S107" i="40" s="1"/>
  <c r="S108" i="40" s="1"/>
  <c r="R108" i="40"/>
  <c r="P108" i="40"/>
  <c r="O108" i="40"/>
  <c r="N108" i="40"/>
  <c r="M108" i="40"/>
  <c r="L108" i="40"/>
  <c r="J108" i="40"/>
  <c r="I108" i="40"/>
  <c r="H108" i="40"/>
  <c r="Q107" i="40"/>
  <c r="Q108" i="40" s="1"/>
  <c r="K103" i="40"/>
  <c r="K108" i="40" s="1"/>
  <c r="S95" i="40"/>
  <c r="N10" i="40" s="1"/>
  <c r="R95" i="40"/>
  <c r="M10" i="40" s="1"/>
  <c r="Q95" i="40"/>
  <c r="L10" i="40" s="1"/>
  <c r="P95" i="40"/>
  <c r="K10" i="40" s="1"/>
  <c r="O95" i="40"/>
  <c r="J10" i="40" s="1"/>
  <c r="N95" i="40"/>
  <c r="I10" i="40" s="1"/>
  <c r="M95" i="40"/>
  <c r="H10" i="40" s="1"/>
  <c r="L95" i="40"/>
  <c r="G10" i="40" s="1"/>
  <c r="K95" i="40"/>
  <c r="F10" i="40" s="1"/>
  <c r="J95" i="40"/>
  <c r="E10" i="40" s="1"/>
  <c r="I95" i="40"/>
  <c r="D10" i="40" s="1"/>
  <c r="H95" i="40"/>
  <c r="C10" i="40" s="1"/>
  <c r="S90" i="40"/>
  <c r="N9" i="40" s="1"/>
  <c r="O15" i="40" s="1"/>
  <c r="R90" i="40"/>
  <c r="M9" i="40" s="1"/>
  <c r="Q90" i="40"/>
  <c r="L9" i="40" s="1"/>
  <c r="P90" i="40"/>
  <c r="K9" i="40" s="1"/>
  <c r="O90" i="40"/>
  <c r="J9" i="40" s="1"/>
  <c r="N90" i="40"/>
  <c r="I9" i="40" s="1"/>
  <c r="M90" i="40"/>
  <c r="H9" i="40" s="1"/>
  <c r="L90" i="40"/>
  <c r="G9" i="40" s="1"/>
  <c r="K90" i="40"/>
  <c r="F9" i="40" s="1"/>
  <c r="J90" i="40"/>
  <c r="E9" i="40" s="1"/>
  <c r="I90" i="40"/>
  <c r="D9" i="40" s="1"/>
  <c r="H90" i="40"/>
  <c r="C9" i="40" s="1"/>
  <c r="S46" i="40"/>
  <c r="N8" i="40" s="1"/>
  <c r="O14" i="40" s="1"/>
  <c r="R46" i="40"/>
  <c r="M8" i="40" s="1"/>
  <c r="Q46" i="40"/>
  <c r="P46" i="40"/>
  <c r="K8" i="40" s="1"/>
  <c r="O46" i="40"/>
  <c r="J8" i="40" s="1"/>
  <c r="N46" i="40"/>
  <c r="I8" i="40" s="1"/>
  <c r="M46" i="40"/>
  <c r="L46" i="40"/>
  <c r="G8" i="40" s="1"/>
  <c r="K46" i="40"/>
  <c r="F8" i="40" s="1"/>
  <c r="J46" i="40"/>
  <c r="E8" i="40" s="1"/>
  <c r="I46" i="40"/>
  <c r="H46" i="40"/>
  <c r="C8" i="40" s="1"/>
  <c r="S186" i="39"/>
  <c r="R186" i="39"/>
  <c r="Q186" i="39"/>
  <c r="P186" i="39"/>
  <c r="O186" i="39"/>
  <c r="N186" i="39"/>
  <c r="M186" i="39"/>
  <c r="L186" i="39"/>
  <c r="K186" i="39"/>
  <c r="J186" i="39"/>
  <c r="I186" i="39"/>
  <c r="H186" i="39"/>
  <c r="S183" i="39"/>
  <c r="R183" i="39"/>
  <c r="Q183" i="39"/>
  <c r="P183" i="39"/>
  <c r="O183" i="39"/>
  <c r="N183" i="39"/>
  <c r="M183" i="39"/>
  <c r="L183" i="39"/>
  <c r="K183" i="39"/>
  <c r="J183" i="39"/>
  <c r="I183" i="39"/>
  <c r="H183" i="39"/>
  <c r="S173" i="39"/>
  <c r="R173" i="39"/>
  <c r="Q173" i="39"/>
  <c r="P173" i="39"/>
  <c r="O173" i="39"/>
  <c r="N173" i="39"/>
  <c r="M173" i="39"/>
  <c r="L173" i="39"/>
  <c r="K173" i="39"/>
  <c r="J173" i="39"/>
  <c r="I173" i="39"/>
  <c r="H173" i="39"/>
  <c r="W110" i="39"/>
  <c r="M157" i="39"/>
  <c r="L157" i="39"/>
  <c r="K157" i="39"/>
  <c r="J157" i="39"/>
  <c r="I157" i="39"/>
  <c r="H157" i="39"/>
  <c r="E152" i="39"/>
  <c r="E156" i="39" s="1"/>
  <c r="G152" i="39" s="1"/>
  <c r="G151" i="39"/>
  <c r="E150" i="39"/>
  <c r="G147" i="39" s="1"/>
  <c r="E146" i="39"/>
  <c r="G143" i="39" s="1"/>
  <c r="E142" i="39"/>
  <c r="G140" i="39" s="1"/>
  <c r="E139" i="39"/>
  <c r="G137" i="39" s="1"/>
  <c r="E136" i="39"/>
  <c r="G134" i="39" s="1"/>
  <c r="G133" i="39"/>
  <c r="G132" i="39"/>
  <c r="T132" i="39" s="1"/>
  <c r="G131" i="39"/>
  <c r="G130" i="39"/>
  <c r="U130" i="39" s="1"/>
  <c r="G129" i="39"/>
  <c r="G128" i="39"/>
  <c r="S117" i="39"/>
  <c r="R117" i="39"/>
  <c r="Q117" i="39"/>
  <c r="P117" i="39"/>
  <c r="O117" i="39"/>
  <c r="N117" i="39"/>
  <c r="M117" i="39"/>
  <c r="L117" i="39"/>
  <c r="K117" i="39"/>
  <c r="J117" i="39"/>
  <c r="I117" i="39"/>
  <c r="H117" i="39"/>
  <c r="S104" i="39"/>
  <c r="N10" i="39" s="1"/>
  <c r="R104" i="39"/>
  <c r="M10" i="39" s="1"/>
  <c r="Q104" i="39"/>
  <c r="L10" i="39" s="1"/>
  <c r="P104" i="39"/>
  <c r="K10" i="39" s="1"/>
  <c r="O104" i="39"/>
  <c r="J10" i="39" s="1"/>
  <c r="N104" i="39"/>
  <c r="I10" i="39" s="1"/>
  <c r="M104" i="39"/>
  <c r="H10" i="39" s="1"/>
  <c r="L104" i="39"/>
  <c r="G10" i="39" s="1"/>
  <c r="K104" i="39"/>
  <c r="F10" i="39" s="1"/>
  <c r="J104" i="39"/>
  <c r="E10" i="39" s="1"/>
  <c r="I104" i="39"/>
  <c r="D10" i="39" s="1"/>
  <c r="H104" i="39"/>
  <c r="C10" i="39" s="1"/>
  <c r="S97" i="39"/>
  <c r="N9" i="39" s="1"/>
  <c r="O15" i="39" s="1"/>
  <c r="R97" i="39"/>
  <c r="M9" i="39" s="1"/>
  <c r="Q97" i="39"/>
  <c r="L9" i="39" s="1"/>
  <c r="P97" i="39"/>
  <c r="K9" i="39" s="1"/>
  <c r="O97" i="39"/>
  <c r="J9" i="39" s="1"/>
  <c r="N97" i="39"/>
  <c r="I9" i="39" s="1"/>
  <c r="M97" i="39"/>
  <c r="H9" i="39" s="1"/>
  <c r="L97" i="39"/>
  <c r="G9" i="39" s="1"/>
  <c r="K97" i="39"/>
  <c r="F9" i="39" s="1"/>
  <c r="J97" i="39"/>
  <c r="E9" i="39" s="1"/>
  <c r="I97" i="39"/>
  <c r="D9" i="39" s="1"/>
  <c r="H97" i="39"/>
  <c r="C9" i="39" s="1"/>
  <c r="S58" i="39"/>
  <c r="N8" i="39" s="1"/>
  <c r="O14" i="39" s="1"/>
  <c r="R58" i="39"/>
  <c r="Q58" i="39"/>
  <c r="L8" i="39" s="1"/>
  <c r="P58" i="39"/>
  <c r="K8" i="39" s="1"/>
  <c r="O58" i="39"/>
  <c r="J8" i="39" s="1"/>
  <c r="N58" i="39"/>
  <c r="M58" i="39"/>
  <c r="H8" i="39" s="1"/>
  <c r="L58" i="39"/>
  <c r="G8" i="39" s="1"/>
  <c r="K58" i="39"/>
  <c r="J58" i="39"/>
  <c r="I58" i="39"/>
  <c r="D8" i="39" s="1"/>
  <c r="H58" i="39"/>
  <c r="R142" i="38"/>
  <c r="Q142" i="38"/>
  <c r="P142" i="38"/>
  <c r="O142" i="38"/>
  <c r="N142" i="38"/>
  <c r="M142" i="38"/>
  <c r="L142" i="38"/>
  <c r="K142" i="38"/>
  <c r="J142" i="38"/>
  <c r="I142" i="38"/>
  <c r="H142" i="38"/>
  <c r="G142" i="38"/>
  <c r="R138" i="38"/>
  <c r="Q138" i="38"/>
  <c r="P138" i="38"/>
  <c r="O138" i="38"/>
  <c r="N138" i="38"/>
  <c r="M138" i="38"/>
  <c r="L138" i="38"/>
  <c r="K138" i="38"/>
  <c r="J138" i="38"/>
  <c r="I138" i="38"/>
  <c r="H138" i="38"/>
  <c r="G138" i="38"/>
  <c r="R133" i="38"/>
  <c r="Q133" i="38"/>
  <c r="P133" i="38"/>
  <c r="O133" i="38"/>
  <c r="N133" i="38"/>
  <c r="M133" i="38"/>
  <c r="L133" i="38"/>
  <c r="K133" i="38"/>
  <c r="J133" i="38"/>
  <c r="I133" i="38"/>
  <c r="H133" i="38"/>
  <c r="G133" i="38"/>
  <c r="U119" i="38"/>
  <c r="T119" i="38"/>
  <c r="S119" i="38"/>
  <c r="S88" i="38" s="1"/>
  <c r="S89" i="38" s="1"/>
  <c r="M119" i="38"/>
  <c r="M88" i="38" s="1"/>
  <c r="M89" i="38" s="1"/>
  <c r="H11" i="38" s="1"/>
  <c r="K119" i="38"/>
  <c r="K88" i="38" s="1"/>
  <c r="K89" i="38" s="1"/>
  <c r="F11" i="38" s="1"/>
  <c r="J119" i="38"/>
  <c r="J88" i="38" s="1"/>
  <c r="J89" i="38" s="1"/>
  <c r="E11" i="38" s="1"/>
  <c r="I119" i="38"/>
  <c r="I88" i="38" s="1"/>
  <c r="I89" i="38" s="1"/>
  <c r="D11" i="38" s="1"/>
  <c r="H119" i="38"/>
  <c r="H88" i="38" s="1"/>
  <c r="H89" i="38" s="1"/>
  <c r="C11" i="38" s="1"/>
  <c r="G119" i="38"/>
  <c r="G88" i="38" s="1"/>
  <c r="G89" i="38" s="1"/>
  <c r="B11" i="38" s="1"/>
  <c r="D118" i="38"/>
  <c r="F115" i="38" s="1"/>
  <c r="D114" i="38"/>
  <c r="F111" i="38" s="1"/>
  <c r="D110" i="38"/>
  <c r="F107" i="38" s="1"/>
  <c r="F106" i="38"/>
  <c r="L104" i="38"/>
  <c r="L119" i="38" s="1"/>
  <c r="L88" i="38" s="1"/>
  <c r="L89" i="38" s="1"/>
  <c r="G11" i="38" s="1"/>
  <c r="F104" i="38"/>
  <c r="F103" i="38"/>
  <c r="F102" i="38"/>
  <c r="P102" i="38" s="1"/>
  <c r="P119" i="38" s="1"/>
  <c r="P88" i="38" s="1"/>
  <c r="P89" i="38" s="1"/>
  <c r="K11" i="38" s="1"/>
  <c r="F101" i="38"/>
  <c r="R96" i="38"/>
  <c r="P96" i="38"/>
  <c r="O96" i="38"/>
  <c r="N96" i="38"/>
  <c r="M96" i="38"/>
  <c r="L96" i="38"/>
  <c r="K96" i="38"/>
  <c r="J96" i="38"/>
  <c r="I96" i="38"/>
  <c r="H96" i="38"/>
  <c r="G96" i="38"/>
  <c r="Q94" i="38"/>
  <c r="Q96" i="38" s="1"/>
  <c r="R84" i="38"/>
  <c r="M10" i="38" s="1"/>
  <c r="Q84" i="38"/>
  <c r="L10" i="38" s="1"/>
  <c r="P84" i="38"/>
  <c r="K10" i="38" s="1"/>
  <c r="O84" i="38"/>
  <c r="J10" i="38" s="1"/>
  <c r="N84" i="38"/>
  <c r="I10" i="38" s="1"/>
  <c r="M84" i="38"/>
  <c r="H10" i="38" s="1"/>
  <c r="L84" i="38"/>
  <c r="G10" i="38" s="1"/>
  <c r="K84" i="38"/>
  <c r="F10" i="38" s="1"/>
  <c r="J84" i="38"/>
  <c r="E10" i="38" s="1"/>
  <c r="I84" i="38"/>
  <c r="D10" i="38" s="1"/>
  <c r="H84" i="38"/>
  <c r="C10" i="38" s="1"/>
  <c r="G84" i="38"/>
  <c r="B10" i="38" s="1"/>
  <c r="R79" i="38"/>
  <c r="M9" i="38" s="1"/>
  <c r="N15" i="38" s="1"/>
  <c r="Q79" i="38"/>
  <c r="L9" i="38" s="1"/>
  <c r="P79" i="38"/>
  <c r="K9" i="38" s="1"/>
  <c r="O79" i="38"/>
  <c r="J9" i="38" s="1"/>
  <c r="N79" i="38"/>
  <c r="I9" i="38" s="1"/>
  <c r="M79" i="38"/>
  <c r="H9" i="38" s="1"/>
  <c r="L79" i="38"/>
  <c r="G9" i="38" s="1"/>
  <c r="K79" i="38"/>
  <c r="F9" i="38" s="1"/>
  <c r="J79" i="38"/>
  <c r="E9" i="38" s="1"/>
  <c r="I79" i="38"/>
  <c r="D9" i="38" s="1"/>
  <c r="H79" i="38"/>
  <c r="C9" i="38" s="1"/>
  <c r="G79" i="38"/>
  <c r="B9" i="38" s="1"/>
  <c r="R53" i="38"/>
  <c r="M8" i="38" s="1"/>
  <c r="N14" i="38" s="1"/>
  <c r="Q53" i="38"/>
  <c r="L8" i="38" s="1"/>
  <c r="P53" i="38"/>
  <c r="O53" i="38"/>
  <c r="J8" i="38" s="1"/>
  <c r="N53" i="38"/>
  <c r="I8" i="38" s="1"/>
  <c r="M53" i="38"/>
  <c r="H8" i="38" s="1"/>
  <c r="L53" i="38"/>
  <c r="K53" i="38"/>
  <c r="F8" i="38" s="1"/>
  <c r="J53" i="38"/>
  <c r="I53" i="38"/>
  <c r="D8" i="38" s="1"/>
  <c r="H53" i="38"/>
  <c r="G53" i="38"/>
  <c r="S182" i="37"/>
  <c r="R182" i="37"/>
  <c r="Q182" i="37"/>
  <c r="P182" i="37"/>
  <c r="O182" i="37"/>
  <c r="N182" i="37"/>
  <c r="M182" i="37"/>
  <c r="L182" i="37"/>
  <c r="K182" i="37"/>
  <c r="J182" i="37"/>
  <c r="I182" i="37"/>
  <c r="S179" i="37"/>
  <c r="R179" i="37"/>
  <c r="Q179" i="37"/>
  <c r="N179" i="37"/>
  <c r="M179" i="37"/>
  <c r="L179" i="37"/>
  <c r="K179" i="37"/>
  <c r="J179" i="37"/>
  <c r="I179" i="37"/>
  <c r="H179" i="37"/>
  <c r="P177" i="37"/>
  <c r="P179" i="37" s="1"/>
  <c r="O177" i="37"/>
  <c r="O174" i="37"/>
  <c r="S170" i="37"/>
  <c r="R170" i="37"/>
  <c r="Q170" i="37"/>
  <c r="P170" i="37"/>
  <c r="O170" i="37"/>
  <c r="N170" i="37"/>
  <c r="M170" i="37"/>
  <c r="L170" i="37"/>
  <c r="K170" i="37"/>
  <c r="J170" i="37"/>
  <c r="H170" i="37"/>
  <c r="I166" i="37"/>
  <c r="I170" i="37" s="1"/>
  <c r="E148" i="37"/>
  <c r="G146" i="37"/>
  <c r="G145" i="37"/>
  <c r="G143" i="37"/>
  <c r="T142" i="37" s="1"/>
  <c r="E142" i="37"/>
  <c r="E144" i="37" s="1"/>
  <c r="G141" i="37"/>
  <c r="G140" i="37"/>
  <c r="G139" i="37"/>
  <c r="E138" i="37"/>
  <c r="G137" i="37"/>
  <c r="G136" i="37"/>
  <c r="G134" i="37"/>
  <c r="R134" i="37" s="1"/>
  <c r="G133" i="37"/>
  <c r="R133" i="37" s="1"/>
  <c r="G132" i="37"/>
  <c r="G131" i="37"/>
  <c r="Q122" i="37"/>
  <c r="P122" i="37"/>
  <c r="O122" i="37"/>
  <c r="N122" i="37"/>
  <c r="M122" i="37"/>
  <c r="L122" i="37"/>
  <c r="K122" i="37"/>
  <c r="J122" i="37"/>
  <c r="I122" i="37"/>
  <c r="H122" i="37"/>
  <c r="S121" i="37"/>
  <c r="R121" i="37"/>
  <c r="S119" i="37"/>
  <c r="R119" i="37"/>
  <c r="S108" i="37"/>
  <c r="M10" i="37" s="1"/>
  <c r="R108" i="37"/>
  <c r="L10" i="37" s="1"/>
  <c r="Q108" i="37"/>
  <c r="P108" i="37"/>
  <c r="O108" i="37"/>
  <c r="I10" i="37" s="1"/>
  <c r="N108" i="37"/>
  <c r="H10" i="37" s="1"/>
  <c r="M108" i="37"/>
  <c r="G10" i="37" s="1"/>
  <c r="L108" i="37"/>
  <c r="F10" i="37" s="1"/>
  <c r="K108" i="37"/>
  <c r="E10" i="37" s="1"/>
  <c r="J108" i="37"/>
  <c r="D10" i="37" s="1"/>
  <c r="I108" i="37"/>
  <c r="C10" i="37" s="1"/>
  <c r="H108" i="37"/>
  <c r="B10" i="37" s="1"/>
  <c r="S103" i="37"/>
  <c r="M9" i="37" s="1"/>
  <c r="N15" i="37" s="1"/>
  <c r="R103" i="37"/>
  <c r="L9" i="37" s="1"/>
  <c r="Q103" i="37"/>
  <c r="K9" i="37" s="1"/>
  <c r="P103" i="37"/>
  <c r="J9" i="37" s="1"/>
  <c r="H103" i="37"/>
  <c r="B9" i="37" s="1"/>
  <c r="N99" i="37"/>
  <c r="M99" i="37"/>
  <c r="K99" i="37"/>
  <c r="J99" i="37"/>
  <c r="I99" i="37"/>
  <c r="N97" i="37"/>
  <c r="L97" i="37"/>
  <c r="K97" i="37"/>
  <c r="N96" i="37"/>
  <c r="M96" i="37"/>
  <c r="L96" i="37"/>
  <c r="I96" i="37"/>
  <c r="N95" i="37"/>
  <c r="M95" i="37"/>
  <c r="L95" i="37"/>
  <c r="K95" i="37"/>
  <c r="J95" i="37"/>
  <c r="I95" i="37"/>
  <c r="I94" i="37"/>
  <c r="N89" i="37"/>
  <c r="N86" i="37"/>
  <c r="I86" i="37"/>
  <c r="N83" i="37"/>
  <c r="M83" i="37"/>
  <c r="L83" i="37"/>
  <c r="K83" i="37"/>
  <c r="J83" i="37"/>
  <c r="I83" i="37"/>
  <c r="O81" i="37"/>
  <c r="O103" i="37" s="1"/>
  <c r="I9" i="37" s="1"/>
  <c r="N81" i="37"/>
  <c r="M81" i="37"/>
  <c r="J81" i="37"/>
  <c r="I81" i="37"/>
  <c r="N78" i="37"/>
  <c r="I78" i="37"/>
  <c r="N77" i="37"/>
  <c r="M77" i="37"/>
  <c r="I77" i="37"/>
  <c r="N76" i="37"/>
  <c r="M76" i="37"/>
  <c r="L76" i="37"/>
  <c r="K76" i="37"/>
  <c r="J76" i="37"/>
  <c r="I76" i="37"/>
  <c r="N74" i="37"/>
  <c r="M74" i="37"/>
  <c r="L74" i="37"/>
  <c r="K74" i="37"/>
  <c r="J74" i="37"/>
  <c r="J72" i="37"/>
  <c r="I72" i="37"/>
  <c r="I71" i="37"/>
  <c r="I70" i="37"/>
  <c r="N68" i="37"/>
  <c r="K68" i="37"/>
  <c r="J68" i="37"/>
  <c r="N67" i="37"/>
  <c r="L67" i="37"/>
  <c r="K67" i="37"/>
  <c r="J67" i="37"/>
  <c r="I67" i="37"/>
  <c r="S65" i="37"/>
  <c r="M8" i="37" s="1"/>
  <c r="N14" i="37" s="1"/>
  <c r="R65" i="37"/>
  <c r="L8" i="37" s="1"/>
  <c r="Q65" i="37"/>
  <c r="N65" i="37"/>
  <c r="H8" i="37" s="1"/>
  <c r="M65" i="37"/>
  <c r="L65" i="37"/>
  <c r="F8" i="37" s="1"/>
  <c r="K65" i="37"/>
  <c r="E8" i="37" s="1"/>
  <c r="J65" i="37"/>
  <c r="D8" i="37" s="1"/>
  <c r="I65" i="37"/>
  <c r="H65" i="37"/>
  <c r="P37" i="37"/>
  <c r="P65" i="37" s="1"/>
  <c r="O28" i="37"/>
  <c r="O65" i="37" s="1"/>
  <c r="K10" i="37"/>
  <c r="J10" i="37"/>
  <c r="W11" i="36"/>
  <c r="L11" i="36"/>
  <c r="K11" i="36"/>
  <c r="I11" i="36"/>
  <c r="G11" i="36"/>
  <c r="F11" i="36"/>
  <c r="E11" i="36"/>
  <c r="C11" i="36"/>
  <c r="B11" i="36"/>
  <c r="W10" i="36"/>
  <c r="O10" i="36"/>
  <c r="N10" i="36"/>
  <c r="M10" i="36"/>
  <c r="L10" i="36"/>
  <c r="K10" i="36"/>
  <c r="I10" i="36"/>
  <c r="G10" i="36"/>
  <c r="F10" i="36"/>
  <c r="E10" i="36"/>
  <c r="D10" i="36"/>
  <c r="C10" i="36"/>
  <c r="B10" i="36"/>
  <c r="V9" i="36"/>
  <c r="U9" i="36"/>
  <c r="O9" i="36"/>
  <c r="N9" i="36"/>
  <c r="M9" i="36"/>
  <c r="L9" i="36"/>
  <c r="K9" i="36"/>
  <c r="I9" i="36"/>
  <c r="G9" i="36"/>
  <c r="F9" i="36"/>
  <c r="C9" i="36"/>
  <c r="B9" i="36"/>
  <c r="V8" i="36"/>
  <c r="U8" i="36"/>
  <c r="O8" i="36"/>
  <c r="N8" i="36"/>
  <c r="M8" i="36"/>
  <c r="L8" i="36"/>
  <c r="I8" i="36"/>
  <c r="G8" i="36"/>
  <c r="F8" i="36"/>
  <c r="D8" i="36"/>
  <c r="C8" i="36"/>
  <c r="B8" i="36"/>
  <c r="V7" i="36"/>
  <c r="U7" i="36"/>
  <c r="O7" i="36"/>
  <c r="N7" i="36"/>
  <c r="M7" i="36"/>
  <c r="I7" i="36"/>
  <c r="G7" i="36"/>
  <c r="F7" i="36"/>
  <c r="D7" i="36"/>
  <c r="C7" i="36"/>
  <c r="B7" i="36"/>
  <c r="W6" i="36"/>
  <c r="P6" i="36"/>
  <c r="O6" i="36"/>
  <c r="N6" i="36"/>
  <c r="M6" i="36"/>
  <c r="I6" i="36"/>
  <c r="G6" i="36"/>
  <c r="F6" i="36"/>
  <c r="D6" i="36"/>
  <c r="C6" i="36"/>
  <c r="B6" i="36"/>
  <c r="W5" i="36"/>
  <c r="O5" i="36"/>
  <c r="N5" i="36"/>
  <c r="M5" i="36"/>
  <c r="I5" i="36"/>
  <c r="G5" i="36"/>
  <c r="F5" i="36"/>
  <c r="D5" i="36"/>
  <c r="C5" i="36"/>
  <c r="B5" i="36"/>
  <c r="W4" i="36"/>
  <c r="O4" i="36"/>
  <c r="N4" i="36"/>
  <c r="M4" i="36"/>
  <c r="I4" i="36"/>
  <c r="G4" i="36"/>
  <c r="F4" i="36"/>
  <c r="C4" i="36"/>
  <c r="B4" i="36"/>
  <c r="S218" i="35"/>
  <c r="R218" i="35"/>
  <c r="Q218" i="35"/>
  <c r="P218" i="35"/>
  <c r="O218" i="35"/>
  <c r="N218" i="35"/>
  <c r="M218" i="35"/>
  <c r="L218" i="35"/>
  <c r="K218" i="35"/>
  <c r="J218" i="35"/>
  <c r="I218" i="35"/>
  <c r="H218" i="35"/>
  <c r="S215" i="35"/>
  <c r="R215" i="35"/>
  <c r="Q215" i="35"/>
  <c r="P215" i="35"/>
  <c r="N215" i="35"/>
  <c r="M215" i="35"/>
  <c r="L215" i="35"/>
  <c r="K215" i="35"/>
  <c r="J215" i="35"/>
  <c r="I215" i="35"/>
  <c r="H215" i="35"/>
  <c r="O209" i="35"/>
  <c r="O215" i="35" s="1"/>
  <c r="S205" i="35"/>
  <c r="R205" i="35"/>
  <c r="Q205" i="35"/>
  <c r="P205" i="35"/>
  <c r="O205" i="35"/>
  <c r="N205" i="35"/>
  <c r="M205" i="35"/>
  <c r="L205" i="35"/>
  <c r="K205" i="35"/>
  <c r="J205" i="35"/>
  <c r="I205" i="35"/>
  <c r="H205" i="35"/>
  <c r="O185" i="35"/>
  <c r="O160" i="35" s="1"/>
  <c r="O161" i="35" s="1"/>
  <c r="J11" i="35" s="1"/>
  <c r="N185" i="35"/>
  <c r="N160" i="35" s="1"/>
  <c r="N161" i="35" s="1"/>
  <c r="I11" i="35" s="1"/>
  <c r="M185" i="35"/>
  <c r="M160" i="35" s="1"/>
  <c r="M161" i="35" s="1"/>
  <c r="H11" i="35" s="1"/>
  <c r="L185" i="35"/>
  <c r="L160" i="35" s="1"/>
  <c r="L161" i="35" s="1"/>
  <c r="G11" i="35" s="1"/>
  <c r="K185" i="35"/>
  <c r="K160" i="35" s="1"/>
  <c r="K161" i="35" s="1"/>
  <c r="F11" i="35" s="1"/>
  <c r="J185" i="35"/>
  <c r="J160" i="35" s="1"/>
  <c r="J161" i="35" s="1"/>
  <c r="E11" i="35" s="1"/>
  <c r="I185" i="35"/>
  <c r="I160" i="35" s="1"/>
  <c r="I161" i="35" s="1"/>
  <c r="D11" i="35" s="1"/>
  <c r="H185" i="35"/>
  <c r="H160" i="35" s="1"/>
  <c r="H161" i="35" s="1"/>
  <c r="C11" i="35" s="1"/>
  <c r="E184" i="35"/>
  <c r="G183" i="35"/>
  <c r="G181" i="35"/>
  <c r="G180" i="35"/>
  <c r="G179" i="35"/>
  <c r="E178" i="35"/>
  <c r="G178" i="35" s="1"/>
  <c r="G177" i="35"/>
  <c r="U177" i="35" s="1"/>
  <c r="U185" i="35" s="1"/>
  <c r="U160" i="35" s="1"/>
  <c r="U161" i="35" s="1"/>
  <c r="E176" i="35"/>
  <c r="G176" i="35" s="1"/>
  <c r="G175" i="35"/>
  <c r="R169" i="35"/>
  <c r="Q169" i="35"/>
  <c r="P169" i="35"/>
  <c r="O169" i="35"/>
  <c r="N169" i="35"/>
  <c r="M169" i="35"/>
  <c r="L169" i="35"/>
  <c r="K169" i="35"/>
  <c r="J169" i="35"/>
  <c r="I169" i="35"/>
  <c r="H169" i="35"/>
  <c r="S166" i="35"/>
  <c r="S169" i="35" s="1"/>
  <c r="R156" i="35"/>
  <c r="M10" i="35" s="1"/>
  <c r="Q156" i="35"/>
  <c r="L10" i="35" s="1"/>
  <c r="P156" i="35"/>
  <c r="K10" i="35" s="1"/>
  <c r="O156" i="35"/>
  <c r="J10" i="35" s="1"/>
  <c r="N156" i="35"/>
  <c r="I10" i="35" s="1"/>
  <c r="M156" i="35"/>
  <c r="H10" i="35" s="1"/>
  <c r="L156" i="35"/>
  <c r="G10" i="35" s="1"/>
  <c r="K156" i="35"/>
  <c r="F10" i="35" s="1"/>
  <c r="J156" i="35"/>
  <c r="E10" i="35" s="1"/>
  <c r="I156" i="35"/>
  <c r="D10" i="35" s="1"/>
  <c r="H156" i="35"/>
  <c r="C10" i="35" s="1"/>
  <c r="S147" i="35"/>
  <c r="S156" i="35" s="1"/>
  <c r="N10" i="35" s="1"/>
  <c r="S139" i="35"/>
  <c r="N9" i="35" s="1"/>
  <c r="O15" i="35" s="1"/>
  <c r="R139" i="35"/>
  <c r="M9" i="35" s="1"/>
  <c r="N139" i="35"/>
  <c r="I9" i="35" s="1"/>
  <c r="M139" i="35"/>
  <c r="H9" i="35" s="1"/>
  <c r="L139" i="35"/>
  <c r="G9" i="35" s="1"/>
  <c r="K139" i="35"/>
  <c r="F9" i="35" s="1"/>
  <c r="J139" i="35"/>
  <c r="E9" i="35" s="1"/>
  <c r="I139" i="35"/>
  <c r="D9" i="35" s="1"/>
  <c r="H139" i="35"/>
  <c r="C9" i="35" s="1"/>
  <c r="P99" i="35"/>
  <c r="O99" i="35"/>
  <c r="Q86" i="35"/>
  <c r="P86" i="35"/>
  <c r="O86" i="35"/>
  <c r="P85" i="35"/>
  <c r="O85" i="35"/>
  <c r="Q84" i="35"/>
  <c r="P84" i="35"/>
  <c r="S82" i="35"/>
  <c r="N8" i="35" s="1"/>
  <c r="O14" i="35" s="1"/>
  <c r="R82" i="35"/>
  <c r="M8" i="35" s="1"/>
  <c r="Q82" i="35"/>
  <c r="L8" i="35" s="1"/>
  <c r="O82" i="35"/>
  <c r="J8" i="35" s="1"/>
  <c r="N82" i="35"/>
  <c r="M82" i="35"/>
  <c r="H8" i="35" s="1"/>
  <c r="L82" i="35"/>
  <c r="G8" i="35" s="1"/>
  <c r="K82" i="35"/>
  <c r="F8" i="35" s="1"/>
  <c r="J82" i="35"/>
  <c r="E8" i="35" s="1"/>
  <c r="I82" i="35"/>
  <c r="D8" i="35" s="1"/>
  <c r="H82" i="35"/>
  <c r="C8" i="35" s="1"/>
  <c r="P49" i="35"/>
  <c r="P82" i="35" s="1"/>
  <c r="K8" i="35" s="1"/>
  <c r="K268" i="45" l="1"/>
  <c r="I268" i="45"/>
  <c r="L268" i="45"/>
  <c r="Q268" i="45"/>
  <c r="M268" i="45"/>
  <c r="J268" i="45"/>
  <c r="N268" i="45"/>
  <c r="R268" i="45"/>
  <c r="G268" i="45"/>
  <c r="O268" i="45"/>
  <c r="P268" i="45"/>
  <c r="H268" i="45"/>
  <c r="P237" i="45"/>
  <c r="H237" i="45"/>
  <c r="K237" i="45"/>
  <c r="J237" i="45"/>
  <c r="R237" i="45"/>
  <c r="N237" i="45"/>
  <c r="L237" i="45"/>
  <c r="M237" i="45"/>
  <c r="G237" i="45"/>
  <c r="I237" i="45"/>
  <c r="O237" i="45"/>
  <c r="Q237" i="45"/>
  <c r="Q207" i="45"/>
  <c r="P207" i="45"/>
  <c r="O207" i="45"/>
  <c r="N207" i="45"/>
  <c r="R207" i="45"/>
  <c r="W9" i="36"/>
  <c r="M34" i="46"/>
  <c r="S145" i="37"/>
  <c r="V145" i="37"/>
  <c r="V149" i="37" s="1"/>
  <c r="V112" i="37" s="1"/>
  <c r="V113" i="37" s="1"/>
  <c r="W145" i="37"/>
  <c r="W149" i="37" s="1"/>
  <c r="U145" i="37"/>
  <c r="U149" i="37" s="1"/>
  <c r="U112" i="37" s="1"/>
  <c r="U113" i="37" s="1"/>
  <c r="U114" i="37" s="1"/>
  <c r="M108" i="39"/>
  <c r="M109" i="39" s="1"/>
  <c r="H11" i="39" s="1"/>
  <c r="H12" i="39" s="1"/>
  <c r="S15" i="62"/>
  <c r="L108" i="39"/>
  <c r="L109" i="39" s="1"/>
  <c r="I108" i="39"/>
  <c r="I109" i="39" s="1"/>
  <c r="N11" i="38"/>
  <c r="N12" i="38" s="1"/>
  <c r="S90" i="38"/>
  <c r="N4" i="38" s="1"/>
  <c r="N6" i="38" s="1"/>
  <c r="J108" i="39"/>
  <c r="J109" i="39" s="1"/>
  <c r="K108" i="39"/>
  <c r="K109" i="39" s="1"/>
  <c r="T438" i="42"/>
  <c r="Y540" i="42"/>
  <c r="T431" i="42" s="1"/>
  <c r="U438" i="42"/>
  <c r="V442" i="42" s="1"/>
  <c r="Z540" i="42"/>
  <c r="U431" i="42" s="1"/>
  <c r="F227" i="41"/>
  <c r="J227" i="41" s="1"/>
  <c r="P11" i="35"/>
  <c r="U162" i="35"/>
  <c r="P4" i="35" s="1"/>
  <c r="P6" i="35" s="1"/>
  <c r="S176" i="40"/>
  <c r="N5" i="40" s="1"/>
  <c r="U519" i="52"/>
  <c r="R525" i="52"/>
  <c r="M143" i="38"/>
  <c r="H5" i="38" s="1"/>
  <c r="AB123" i="52"/>
  <c r="AC123" i="52" s="1"/>
  <c r="U180" i="52"/>
  <c r="R388" i="52"/>
  <c r="U398" i="52"/>
  <c r="U232" i="52"/>
  <c r="U240" i="52"/>
  <c r="Y249" i="52"/>
  <c r="Y257" i="52"/>
  <c r="R576" i="52"/>
  <c r="M132" i="44"/>
  <c r="I5" i="44" s="1"/>
  <c r="U427" i="52"/>
  <c r="R587" i="52"/>
  <c r="U589" i="52"/>
  <c r="H148" i="45"/>
  <c r="R239" i="52"/>
  <c r="R255" i="52"/>
  <c r="R315" i="52"/>
  <c r="U94" i="52"/>
  <c r="R100" i="52"/>
  <c r="U102" i="52"/>
  <c r="U118" i="52"/>
  <c r="U187" i="52"/>
  <c r="R281" i="52"/>
  <c r="U349" i="52"/>
  <c r="U158" i="52"/>
  <c r="J176" i="40"/>
  <c r="E5" i="40" s="1"/>
  <c r="AC125" i="52"/>
  <c r="AC141" i="52"/>
  <c r="R208" i="52"/>
  <c r="R224" i="52"/>
  <c r="M29" i="52"/>
  <c r="R71" i="52"/>
  <c r="M72" i="52"/>
  <c r="R539" i="52"/>
  <c r="U549" i="52"/>
  <c r="U557" i="52"/>
  <c r="N143" i="38"/>
  <c r="I5" i="38" s="1"/>
  <c r="U58" i="52"/>
  <c r="S219" i="35"/>
  <c r="N5" i="35" s="1"/>
  <c r="O187" i="39"/>
  <c r="J5" i="39" s="1"/>
  <c r="M571" i="52"/>
  <c r="M606" i="52"/>
  <c r="AC606" i="52"/>
  <c r="Y561" i="52"/>
  <c r="R600" i="52"/>
  <c r="AF14" i="55"/>
  <c r="M416" i="52"/>
  <c r="AC416" i="52"/>
  <c r="M588" i="52"/>
  <c r="M18" i="52"/>
  <c r="M26" i="52"/>
  <c r="R118" i="52"/>
  <c r="R155" i="52"/>
  <c r="R163" i="52"/>
  <c r="R171" i="52"/>
  <c r="AC342" i="52"/>
  <c r="U444" i="52"/>
  <c r="R500" i="52"/>
  <c r="AB517" i="52"/>
  <c r="AC517" i="52" s="1"/>
  <c r="U12" i="52"/>
  <c r="AC69" i="52"/>
  <c r="AC560" i="52"/>
  <c r="U257" i="52"/>
  <c r="G143" i="38"/>
  <c r="B5" i="38" s="1"/>
  <c r="M33" i="52"/>
  <c r="R127" i="52"/>
  <c r="M373" i="52"/>
  <c r="M434" i="52"/>
  <c r="Y498" i="52"/>
  <c r="U329" i="52"/>
  <c r="R343" i="52"/>
  <c r="AC439" i="52"/>
  <c r="U81" i="52"/>
  <c r="M88" i="52"/>
  <c r="R111" i="52"/>
  <c r="R444" i="52"/>
  <c r="R465" i="52"/>
  <c r="M466" i="52"/>
  <c r="R473" i="52"/>
  <c r="M474" i="52"/>
  <c r="R497" i="52"/>
  <c r="R505" i="52"/>
  <c r="R513" i="52"/>
  <c r="R98" i="52"/>
  <c r="R244" i="52"/>
  <c r="U254" i="52"/>
  <c r="U262" i="52"/>
  <c r="U333" i="52"/>
  <c r="U351" i="52"/>
  <c r="U417" i="52"/>
  <c r="W8" i="36"/>
  <c r="M52" i="52"/>
  <c r="U82" i="52"/>
  <c r="R112" i="52"/>
  <c r="U114" i="52"/>
  <c r="U122" i="52"/>
  <c r="U244" i="52"/>
  <c r="U370" i="52"/>
  <c r="AC509" i="52"/>
  <c r="W20" i="62"/>
  <c r="AR140" i="51"/>
  <c r="U11" i="52"/>
  <c r="U48" i="52"/>
  <c r="R54" i="52"/>
  <c r="U130" i="52"/>
  <c r="AB190" i="52"/>
  <c r="AC190" i="52" s="1"/>
  <c r="U191" i="52"/>
  <c r="U199" i="52"/>
  <c r="R229" i="52"/>
  <c r="U231" i="52"/>
  <c r="R324" i="52"/>
  <c r="R340" i="52"/>
  <c r="U405" i="52"/>
  <c r="U607" i="52"/>
  <c r="M359" i="52"/>
  <c r="M412" i="52"/>
  <c r="M420" i="52"/>
  <c r="G182" i="62"/>
  <c r="L207" i="45"/>
  <c r="M207" i="45"/>
  <c r="J207" i="45"/>
  <c r="H207" i="45"/>
  <c r="G207" i="45"/>
  <c r="F207" i="45"/>
  <c r="I207" i="45"/>
  <c r="K207" i="45"/>
  <c r="AC71" i="52"/>
  <c r="R267" i="52"/>
  <c r="Y373" i="52"/>
  <c r="M386" i="52"/>
  <c r="AC386" i="52"/>
  <c r="AC388" i="52"/>
  <c r="U400" i="52"/>
  <c r="R401" i="52"/>
  <c r="M402" i="52"/>
  <c r="R472" i="52"/>
  <c r="Y540" i="52"/>
  <c r="R560" i="52"/>
  <c r="M561" i="52"/>
  <c r="M187" i="39"/>
  <c r="H5" i="39" s="1"/>
  <c r="D17" i="47"/>
  <c r="AC31" i="52"/>
  <c r="U56" i="52"/>
  <c r="R219" i="52"/>
  <c r="R234" i="52"/>
  <c r="AC332" i="52"/>
  <c r="R385" i="52"/>
  <c r="M444" i="52"/>
  <c r="U527" i="52"/>
  <c r="R562" i="52"/>
  <c r="AO141" i="51"/>
  <c r="AC21" i="52"/>
  <c r="AC55" i="52"/>
  <c r="M128" i="52"/>
  <c r="R143" i="52"/>
  <c r="M152" i="52"/>
  <c r="R159" i="52"/>
  <c r="M160" i="52"/>
  <c r="R175" i="52"/>
  <c r="M176" i="52"/>
  <c r="U177" i="52"/>
  <c r="R201" i="52"/>
  <c r="AB246" i="52"/>
  <c r="AC246" i="52" s="1"/>
  <c r="U247" i="52"/>
  <c r="R306" i="52"/>
  <c r="U308" i="52"/>
  <c r="AC431" i="52"/>
  <c r="U432" i="52"/>
  <c r="U538" i="52"/>
  <c r="R544" i="52"/>
  <c r="M545" i="52"/>
  <c r="U554" i="52"/>
  <c r="R585" i="52"/>
  <c r="U604" i="52"/>
  <c r="R345" i="52"/>
  <c r="K30" i="47"/>
  <c r="J49" i="47"/>
  <c r="K49" i="47" s="1"/>
  <c r="AC95" i="52"/>
  <c r="R125" i="52"/>
  <c r="U188" i="52"/>
  <c r="U196" i="52"/>
  <c r="U212" i="52"/>
  <c r="U248" i="52"/>
  <c r="U272" i="52"/>
  <c r="AB292" i="52"/>
  <c r="AC292" i="52" s="1"/>
  <c r="R299" i="52"/>
  <c r="Y315" i="52"/>
  <c r="R319" i="52"/>
  <c r="M382" i="52"/>
  <c r="U410" i="52"/>
  <c r="M448" i="52"/>
  <c r="Y464" i="52"/>
  <c r="U531" i="52"/>
  <c r="R558" i="52"/>
  <c r="R73" i="52"/>
  <c r="R486" i="52"/>
  <c r="U86" i="52"/>
  <c r="U120" i="52"/>
  <c r="M383" i="52"/>
  <c r="M435" i="52"/>
  <c r="R264" i="52"/>
  <c r="N598" i="42"/>
  <c r="I432" i="42" s="1"/>
  <c r="AC41" i="52"/>
  <c r="U50" i="52"/>
  <c r="AC77" i="52"/>
  <c r="AC85" i="52"/>
  <c r="R95" i="52"/>
  <c r="U220" i="52"/>
  <c r="U316" i="52"/>
  <c r="U322" i="52"/>
  <c r="U327" i="52"/>
  <c r="U343" i="52"/>
  <c r="U353" i="52"/>
  <c r="R356" i="52"/>
  <c r="U428" i="52"/>
  <c r="U439" i="52"/>
  <c r="R455" i="52"/>
  <c r="R458" i="52"/>
  <c r="U595" i="52"/>
  <c r="U339" i="52"/>
  <c r="Q271" i="41"/>
  <c r="M5" i="41" s="1"/>
  <c r="O598" i="42"/>
  <c r="J432" i="42" s="1"/>
  <c r="W598" i="42"/>
  <c r="R432" i="42" s="1"/>
  <c r="G191" i="43"/>
  <c r="C5" i="43" s="1"/>
  <c r="H132" i="44"/>
  <c r="D5" i="44" s="1"/>
  <c r="P132" i="44"/>
  <c r="L5" i="44" s="1"/>
  <c r="M597" i="52"/>
  <c r="H143" i="38"/>
  <c r="C5" i="38" s="1"/>
  <c r="P143" i="38"/>
  <c r="K5" i="38" s="1"/>
  <c r="H187" i="39"/>
  <c r="C5" i="39" s="1"/>
  <c r="P187" i="39"/>
  <c r="K5" i="39" s="1"/>
  <c r="V7" i="51"/>
  <c r="AL143" i="51"/>
  <c r="AX49" i="51"/>
  <c r="M15" i="52"/>
  <c r="U16" i="52"/>
  <c r="AC17" i="52"/>
  <c r="AC25" i="52"/>
  <c r="AC37" i="52"/>
  <c r="U46" i="52"/>
  <c r="U51" i="52"/>
  <c r="AC87" i="52"/>
  <c r="R89" i="52"/>
  <c r="U98" i="52"/>
  <c r="AC117" i="52"/>
  <c r="R119" i="52"/>
  <c r="U132" i="52"/>
  <c r="M136" i="52"/>
  <c r="U140" i="52"/>
  <c r="U172" i="52"/>
  <c r="U183" i="52"/>
  <c r="U221" i="52"/>
  <c r="R273" i="52"/>
  <c r="U320" i="52"/>
  <c r="U350" i="52"/>
  <c r="AC356" i="52"/>
  <c r="U357" i="52"/>
  <c r="U379" i="52"/>
  <c r="R380" i="52"/>
  <c r="M399" i="52"/>
  <c r="M407" i="52"/>
  <c r="X424" i="52"/>
  <c r="Y424" i="52" s="1"/>
  <c r="M428" i="52"/>
  <c r="U442" i="52"/>
  <c r="AC446" i="52"/>
  <c r="U447" i="52"/>
  <c r="M451" i="52"/>
  <c r="R529" i="52"/>
  <c r="M563" i="52"/>
  <c r="AB568" i="52"/>
  <c r="AC568" i="52" s="1"/>
  <c r="R572" i="52"/>
  <c r="AC601" i="52"/>
  <c r="Y205" i="52"/>
  <c r="Q143" i="38"/>
  <c r="L5" i="38" s="1"/>
  <c r="Q187" i="39"/>
  <c r="L5" i="39" s="1"/>
  <c r="M48" i="52"/>
  <c r="M73" i="52"/>
  <c r="X73" i="52"/>
  <c r="Y73" i="52" s="1"/>
  <c r="U154" i="52"/>
  <c r="M164" i="52"/>
  <c r="Y213" i="52"/>
  <c r="R222" i="52"/>
  <c r="U318" i="52"/>
  <c r="M374" i="52"/>
  <c r="X374" i="52"/>
  <c r="Y374" i="52" s="1"/>
  <c r="M379" i="52"/>
  <c r="M454" i="52"/>
  <c r="R466" i="52"/>
  <c r="R482" i="52"/>
  <c r="M486" i="52"/>
  <c r="Y486" i="52"/>
  <c r="M515" i="52"/>
  <c r="M595" i="52"/>
  <c r="AB597" i="52"/>
  <c r="AC597" i="52" s="1"/>
  <c r="M605" i="52"/>
  <c r="X605" i="52"/>
  <c r="Y605" i="52" s="1"/>
  <c r="D184" i="62"/>
  <c r="R598" i="42"/>
  <c r="M432" i="42" s="1"/>
  <c r="K132" i="44"/>
  <c r="G5" i="44" s="1"/>
  <c r="G37" i="46"/>
  <c r="K143" i="38"/>
  <c r="F5" i="38" s="1"/>
  <c r="K187" i="39"/>
  <c r="F5" i="39" s="1"/>
  <c r="S187" i="39"/>
  <c r="N5" i="39" s="1"/>
  <c r="M9" i="52"/>
  <c r="X9" i="52"/>
  <c r="Y9" i="52" s="1"/>
  <c r="AC33" i="52"/>
  <c r="AC43" i="52"/>
  <c r="U44" i="52"/>
  <c r="M46" i="52"/>
  <c r="X46" i="52"/>
  <c r="Y46" i="52" s="1"/>
  <c r="R50" i="52"/>
  <c r="U52" i="52"/>
  <c r="U57" i="52"/>
  <c r="Y58" i="52"/>
  <c r="AC63" i="52"/>
  <c r="M78" i="52"/>
  <c r="M116" i="52"/>
  <c r="Y118" i="52"/>
  <c r="M121" i="52"/>
  <c r="X121" i="52"/>
  <c r="Y121" i="52" s="1"/>
  <c r="X125" i="52"/>
  <c r="Y125" i="52" s="1"/>
  <c r="M167" i="52"/>
  <c r="U184" i="52"/>
  <c r="U222" i="52"/>
  <c r="U242" i="52"/>
  <c r="Y253" i="52"/>
  <c r="Y261" i="52"/>
  <c r="U276" i="52"/>
  <c r="Y277" i="52"/>
  <c r="M288" i="52"/>
  <c r="X288" i="52"/>
  <c r="Y288" i="52" s="1"/>
  <c r="R292" i="52"/>
  <c r="AB303" i="52"/>
  <c r="AC303" i="52" s="1"/>
  <c r="M323" i="52"/>
  <c r="AC323" i="52"/>
  <c r="AC340" i="52"/>
  <c r="U341" i="52"/>
  <c r="M355" i="52"/>
  <c r="AC355" i="52"/>
  <c r="U365" i="52"/>
  <c r="M367" i="52"/>
  <c r="AC367" i="52"/>
  <c r="R373" i="52"/>
  <c r="M400" i="52"/>
  <c r="AC400" i="52"/>
  <c r="U401" i="52"/>
  <c r="U440" i="52"/>
  <c r="M452" i="52"/>
  <c r="X452" i="52"/>
  <c r="Y452" i="52" s="1"/>
  <c r="M473" i="52"/>
  <c r="M481" i="52"/>
  <c r="U503" i="52"/>
  <c r="U511" i="52"/>
  <c r="R517" i="52"/>
  <c r="R535" i="52"/>
  <c r="R551" i="52"/>
  <c r="Y555" i="52"/>
  <c r="U558" i="52"/>
  <c r="U578" i="52"/>
  <c r="R581" i="52"/>
  <c r="R588" i="52"/>
  <c r="R592" i="52"/>
  <c r="U606" i="52"/>
  <c r="H13" i="59"/>
  <c r="C182" i="62"/>
  <c r="M91" i="52"/>
  <c r="X91" i="52"/>
  <c r="Y91" i="52" s="1"/>
  <c r="M244" i="52"/>
  <c r="M278" i="52"/>
  <c r="X278" i="52"/>
  <c r="Y278" i="52" s="1"/>
  <c r="Y309" i="52"/>
  <c r="AC328" i="52"/>
  <c r="M343" i="52"/>
  <c r="M403" i="52"/>
  <c r="X418" i="52"/>
  <c r="Y418" i="52" s="1"/>
  <c r="M427" i="52"/>
  <c r="X427" i="52"/>
  <c r="Y541" i="52"/>
  <c r="M555" i="52"/>
  <c r="M593" i="52"/>
  <c r="C47" i="67"/>
  <c r="U598" i="42"/>
  <c r="P432" i="42" s="1"/>
  <c r="U8" i="52"/>
  <c r="AC9" i="52"/>
  <c r="M12" i="52"/>
  <c r="R13" i="52"/>
  <c r="M14" i="52"/>
  <c r="U15" i="52"/>
  <c r="U23" i="52"/>
  <c r="R26" i="52"/>
  <c r="AC29" i="52"/>
  <c r="R31" i="52"/>
  <c r="U70" i="52"/>
  <c r="U74" i="52"/>
  <c r="U90" i="52"/>
  <c r="M96" i="52"/>
  <c r="U112" i="52"/>
  <c r="M114" i="52"/>
  <c r="U134" i="52"/>
  <c r="AC149" i="52"/>
  <c r="U166" i="52"/>
  <c r="AC173" i="52"/>
  <c r="U200" i="52"/>
  <c r="U228" i="52"/>
  <c r="Y229" i="52"/>
  <c r="M232" i="52"/>
  <c r="X232" i="52"/>
  <c r="Y232" i="52" s="1"/>
  <c r="M234" i="52"/>
  <c r="U235" i="52"/>
  <c r="R241" i="52"/>
  <c r="M296" i="52"/>
  <c r="Y299" i="52"/>
  <c r="Y304" i="52"/>
  <c r="M385" i="52"/>
  <c r="M398" i="52"/>
  <c r="R405" i="52"/>
  <c r="M411" i="52"/>
  <c r="X411" i="52"/>
  <c r="Y411" i="52" s="1"/>
  <c r="M425" i="52"/>
  <c r="X425" i="52"/>
  <c r="Y425" i="52" s="1"/>
  <c r="Y435" i="52"/>
  <c r="U438" i="52"/>
  <c r="M440" i="52"/>
  <c r="U446" i="52"/>
  <c r="M500" i="52"/>
  <c r="M508" i="52"/>
  <c r="X529" i="52"/>
  <c r="Y529" i="52" s="1"/>
  <c r="R533" i="52"/>
  <c r="Y545" i="52"/>
  <c r="M550" i="52"/>
  <c r="X560" i="52"/>
  <c r="Y560" i="52" s="1"/>
  <c r="AB580" i="52"/>
  <c r="AC580" i="52" s="1"/>
  <c r="M598" i="52"/>
  <c r="AC598" i="52"/>
  <c r="U599" i="52"/>
  <c r="T20" i="62"/>
  <c r="M10" i="52"/>
  <c r="M47" i="52"/>
  <c r="M65" i="52"/>
  <c r="R78" i="52"/>
  <c r="R280" i="52"/>
  <c r="R288" i="52"/>
  <c r="M324" i="52"/>
  <c r="X324" i="52"/>
  <c r="Y324" i="52" s="1"/>
  <c r="M329" i="52"/>
  <c r="M351" i="52"/>
  <c r="AC351" i="52"/>
  <c r="M356" i="52"/>
  <c r="X356" i="52"/>
  <c r="Y356" i="52" s="1"/>
  <c r="M404" i="52"/>
  <c r="AC404" i="52"/>
  <c r="U426" i="52"/>
  <c r="M438" i="52"/>
  <c r="M453" i="52"/>
  <c r="M461" i="52"/>
  <c r="AC529" i="52"/>
  <c r="M594" i="52"/>
  <c r="T355" i="70"/>
  <c r="U354" i="70" s="1"/>
  <c r="V269" i="70" s="1"/>
  <c r="U163" i="70"/>
  <c r="U423" i="70"/>
  <c r="V339" i="70" s="1"/>
  <c r="U249" i="70"/>
  <c r="E176" i="45"/>
  <c r="M6" i="52"/>
  <c r="M25" i="52"/>
  <c r="M34" i="52"/>
  <c r="M38" i="52"/>
  <c r="M41" i="52"/>
  <c r="X41" i="52"/>
  <c r="Y41" i="52" s="1"/>
  <c r="M43" i="52"/>
  <c r="AC47" i="52"/>
  <c r="M60" i="52"/>
  <c r="AC65" i="52"/>
  <c r="R69" i="52"/>
  <c r="M70" i="52"/>
  <c r="U84" i="52"/>
  <c r="U136" i="52"/>
  <c r="R141" i="52"/>
  <c r="R202" i="52"/>
  <c r="R220" i="52"/>
  <c r="M228" i="52"/>
  <c r="AB254" i="52"/>
  <c r="AC254" i="52" s="1"/>
  <c r="X254" i="52"/>
  <c r="Y254" i="52" s="1"/>
  <c r="M256" i="52"/>
  <c r="Q219" i="35"/>
  <c r="L5" i="35" s="1"/>
  <c r="L143" i="38"/>
  <c r="G5" i="38" s="1"/>
  <c r="L187" i="39"/>
  <c r="G5" i="39" s="1"/>
  <c r="L132" i="44"/>
  <c r="H5" i="44" s="1"/>
  <c r="R8" i="52"/>
  <c r="M17" i="52"/>
  <c r="X17" i="52"/>
  <c r="Y17" i="52" s="1"/>
  <c r="M21" i="52"/>
  <c r="AC23" i="52"/>
  <c r="R36" i="52"/>
  <c r="M37" i="52"/>
  <c r="X37" i="52"/>
  <c r="Y37" i="52" s="1"/>
  <c r="M39" i="52"/>
  <c r="U40" i="52"/>
  <c r="R42" i="52"/>
  <c r="AC45" i="52"/>
  <c r="M62" i="52"/>
  <c r="R63" i="52"/>
  <c r="M66" i="52"/>
  <c r="M68" i="52"/>
  <c r="R76" i="52"/>
  <c r="M79" i="52"/>
  <c r="U80" i="52"/>
  <c r="R85" i="52"/>
  <c r="M86" i="52"/>
  <c r="U89" i="52"/>
  <c r="M97" i="52"/>
  <c r="U107" i="52"/>
  <c r="Y116" i="52"/>
  <c r="R135" i="52"/>
  <c r="M140" i="52"/>
  <c r="U150" i="52"/>
  <c r="R153" i="52"/>
  <c r="U160" i="52"/>
  <c r="R161" i="52"/>
  <c r="M169" i="52"/>
  <c r="U174" i="52"/>
  <c r="AC175" i="52"/>
  <c r="U179" i="52"/>
  <c r="R182" i="52"/>
  <c r="AB194" i="52"/>
  <c r="U195" i="52"/>
  <c r="R198" i="52"/>
  <c r="Y221" i="52"/>
  <c r="U234" i="52"/>
  <c r="M240" i="52"/>
  <c r="AB250" i="52"/>
  <c r="AC250" i="52" s="1"/>
  <c r="U251" i="52"/>
  <c r="AB252" i="52"/>
  <c r="AC252" i="52" s="1"/>
  <c r="X252" i="52"/>
  <c r="Y252" i="52" s="1"/>
  <c r="U20" i="52"/>
  <c r="U27" i="52"/>
  <c r="R45" i="52"/>
  <c r="U54" i="52"/>
  <c r="U67" i="52"/>
  <c r="AB99" i="52"/>
  <c r="AC99" i="52" s="1"/>
  <c r="R113" i="52"/>
  <c r="U119" i="52"/>
  <c r="R133" i="52"/>
  <c r="U135" i="52"/>
  <c r="U143" i="52"/>
  <c r="R151" i="52"/>
  <c r="AB169" i="52"/>
  <c r="AC169" i="52" s="1"/>
  <c r="U170" i="52"/>
  <c r="U182" i="52"/>
  <c r="AB192" i="52"/>
  <c r="AC192" i="52" s="1"/>
  <c r="U193" i="52"/>
  <c r="U198" i="52"/>
  <c r="U214" i="52"/>
  <c r="U258" i="52"/>
  <c r="W7" i="36"/>
  <c r="T7" i="51"/>
  <c r="U14" i="51" s="1"/>
  <c r="W14" i="51" s="1"/>
  <c r="R10" i="52"/>
  <c r="M22" i="52"/>
  <c r="M30" i="52"/>
  <c r="U36" i="52"/>
  <c r="M44" i="52"/>
  <c r="M56" i="52"/>
  <c r="M61" i="52"/>
  <c r="X61" i="52"/>
  <c r="Y61" i="52" s="1"/>
  <c r="M64" i="52"/>
  <c r="M77" i="52"/>
  <c r="M89" i="52"/>
  <c r="M95" i="52"/>
  <c r="M107" i="52"/>
  <c r="Y110" i="52"/>
  <c r="M112" i="52"/>
  <c r="M139" i="52"/>
  <c r="M141" i="52"/>
  <c r="X141" i="52"/>
  <c r="Y141" i="52" s="1"/>
  <c r="R149" i="52"/>
  <c r="U168" i="52"/>
  <c r="M186" i="52"/>
  <c r="X186" i="52"/>
  <c r="Y186" i="52" s="1"/>
  <c r="R194" i="52"/>
  <c r="U210" i="52"/>
  <c r="M216" i="52"/>
  <c r="X216" i="52"/>
  <c r="Y216" i="52" s="1"/>
  <c r="X218" i="52"/>
  <c r="Y218" i="52" s="1"/>
  <c r="U256" i="52"/>
  <c r="Y258" i="52"/>
  <c r="AC7" i="52"/>
  <c r="U10" i="52"/>
  <c r="AC13" i="52"/>
  <c r="M20" i="52"/>
  <c r="U28" i="52"/>
  <c r="X29" i="52"/>
  <c r="Y29" i="52" s="1"/>
  <c r="M54" i="52"/>
  <c r="U60" i="52"/>
  <c r="M67" i="52"/>
  <c r="X67" i="52"/>
  <c r="Y67" i="52" s="1"/>
  <c r="AC73" i="52"/>
  <c r="AC75" i="52"/>
  <c r="R82" i="52"/>
  <c r="M85" i="52"/>
  <c r="AC91" i="52"/>
  <c r="AC93" i="52"/>
  <c r="M98" i="52"/>
  <c r="M100" i="52"/>
  <c r="Y102" i="52"/>
  <c r="R104" i="52"/>
  <c r="M105" i="52"/>
  <c r="X105" i="52"/>
  <c r="Y105" i="52" s="1"/>
  <c r="R109" i="52"/>
  <c r="M110" i="52"/>
  <c r="R116" i="52"/>
  <c r="U124" i="52"/>
  <c r="U128" i="52"/>
  <c r="R129" i="52"/>
  <c r="AB139" i="52"/>
  <c r="AC139" i="52" s="1"/>
  <c r="M148" i="52"/>
  <c r="U156" i="52"/>
  <c r="R157" i="52"/>
  <c r="M172" i="52"/>
  <c r="R178" i="52"/>
  <c r="M182" i="52"/>
  <c r="X182" i="52"/>
  <c r="Y182" i="52" s="1"/>
  <c r="M198" i="52"/>
  <c r="X198" i="52"/>
  <c r="Y198" i="52" s="1"/>
  <c r="U208" i="52"/>
  <c r="U215" i="52"/>
  <c r="R227" i="52"/>
  <c r="R236" i="52"/>
  <c r="U274" i="52"/>
  <c r="M280" i="52"/>
  <c r="R282" i="52"/>
  <c r="R11" i="52"/>
  <c r="R51" i="52"/>
  <c r="U66" i="52"/>
  <c r="U68" i="52"/>
  <c r="R75" i="52"/>
  <c r="U79" i="52"/>
  <c r="U88" i="52"/>
  <c r="U97" i="52"/>
  <c r="AC98" i="52"/>
  <c r="U99" i="52"/>
  <c r="R102" i="52"/>
  <c r="U106" i="52"/>
  <c r="R123" i="52"/>
  <c r="AB137" i="52"/>
  <c r="AC137" i="52" s="1"/>
  <c r="U138" i="52"/>
  <c r="R165" i="52"/>
  <c r="U171" i="52"/>
  <c r="R176" i="52"/>
  <c r="U178" i="52"/>
  <c r="R207" i="52"/>
  <c r="U224" i="52"/>
  <c r="Y225" i="52"/>
  <c r="N31" i="46"/>
  <c r="K29" i="47"/>
  <c r="AB212" i="52"/>
  <c r="AC212" i="52" s="1"/>
  <c r="R246" i="52"/>
  <c r="AB256" i="52"/>
  <c r="AC256" i="52" s="1"/>
  <c r="Y237" i="52"/>
  <c r="AB244" i="52"/>
  <c r="AC244" i="52" s="1"/>
  <c r="U245" i="52"/>
  <c r="R252" i="52"/>
  <c r="U268" i="52"/>
  <c r="M272" i="52"/>
  <c r="X272" i="52"/>
  <c r="Y272" i="52" s="1"/>
  <c r="U275" i="52"/>
  <c r="R290" i="52"/>
  <c r="Y294" i="52"/>
  <c r="M304" i="52"/>
  <c r="R308" i="52"/>
  <c r="M309" i="52"/>
  <c r="R313" i="52"/>
  <c r="R317" i="52"/>
  <c r="R320" i="52"/>
  <c r="M335" i="52"/>
  <c r="R339" i="52"/>
  <c r="M340" i="52"/>
  <c r="X340" i="52"/>
  <c r="Y340" i="52" s="1"/>
  <c r="R344" i="52"/>
  <c r="M347" i="52"/>
  <c r="R360" i="52"/>
  <c r="U366" i="52"/>
  <c r="U375" i="52"/>
  <c r="X379" i="52"/>
  <c r="Y379" i="52" s="1"/>
  <c r="U406" i="52"/>
  <c r="AC411" i="52"/>
  <c r="U412" i="52"/>
  <c r="R415" i="52"/>
  <c r="M431" i="52"/>
  <c r="X431" i="52"/>
  <c r="Y431" i="52" s="1"/>
  <c r="R437" i="52"/>
  <c r="X440" i="52"/>
  <c r="Y440" i="52" s="1"/>
  <c r="M446" i="52"/>
  <c r="Y450" i="52"/>
  <c r="R452" i="52"/>
  <c r="R456" i="52"/>
  <c r="M457" i="52"/>
  <c r="R484" i="52"/>
  <c r="Y495" i="52"/>
  <c r="U524" i="52"/>
  <c r="AB525" i="52"/>
  <c r="AC525" i="52" s="1"/>
  <c r="R566" i="52"/>
  <c r="S20" i="62"/>
  <c r="I174" i="62"/>
  <c r="Q174" i="62"/>
  <c r="F159" i="67"/>
  <c r="R269" i="52"/>
  <c r="U271" i="52"/>
  <c r="U273" i="52"/>
  <c r="R276" i="52"/>
  <c r="R301" i="52"/>
  <c r="AB304" i="52"/>
  <c r="AC304" i="52" s="1"/>
  <c r="M312" i="52"/>
  <c r="M372" i="52"/>
  <c r="AC438" i="52"/>
  <c r="M455" i="52"/>
  <c r="X455" i="52"/>
  <c r="Y455" i="52" s="1"/>
  <c r="AB457" i="52"/>
  <c r="AC457" i="52" s="1"/>
  <c r="R469" i="52"/>
  <c r="M488" i="52"/>
  <c r="R492" i="52"/>
  <c r="M496" i="52"/>
  <c r="X501" i="52"/>
  <c r="Y501" i="52" s="1"/>
  <c r="U559" i="52"/>
  <c r="U561" i="52"/>
  <c r="R574" i="52"/>
  <c r="M600" i="52"/>
  <c r="I148" i="62"/>
  <c r="U278" i="52"/>
  <c r="U280" i="52"/>
  <c r="R286" i="52"/>
  <c r="R328" i="52"/>
  <c r="U330" i="52"/>
  <c r="U371" i="52"/>
  <c r="R372" i="52"/>
  <c r="R374" i="52"/>
  <c r="R389" i="52"/>
  <c r="U390" i="52"/>
  <c r="R391" i="52"/>
  <c r="R393" i="52"/>
  <c r="U394" i="52"/>
  <c r="R395" i="52"/>
  <c r="R397" i="52"/>
  <c r="R418" i="52"/>
  <c r="U424" i="52"/>
  <c r="U430" i="52"/>
  <c r="R440" i="52"/>
  <c r="U452" i="52"/>
  <c r="U456" i="52"/>
  <c r="Y476" i="52"/>
  <c r="R480" i="52"/>
  <c r="R490" i="52"/>
  <c r="Y494" i="52"/>
  <c r="M511" i="52"/>
  <c r="AC513" i="52"/>
  <c r="R527" i="52"/>
  <c r="U544" i="52"/>
  <c r="Y563" i="52"/>
  <c r="U574" i="52"/>
  <c r="Y576" i="52"/>
  <c r="R577" i="52"/>
  <c r="M583" i="52"/>
  <c r="M585" i="52"/>
  <c r="AC593" i="52"/>
  <c r="R604" i="52"/>
  <c r="J155" i="67"/>
  <c r="U307" i="70"/>
  <c r="M364" i="52"/>
  <c r="X364" i="52"/>
  <c r="Y364" i="52" s="1"/>
  <c r="AC366" i="52"/>
  <c r="X406" i="52"/>
  <c r="Y406" i="52" s="1"/>
  <c r="M443" i="52"/>
  <c r="M445" i="52"/>
  <c r="X445" i="52"/>
  <c r="M460" i="52"/>
  <c r="M468" i="52"/>
  <c r="M476" i="52"/>
  <c r="Y484" i="52"/>
  <c r="M494" i="52"/>
  <c r="M504" i="52"/>
  <c r="M509" i="52"/>
  <c r="X509" i="52"/>
  <c r="Y509" i="52" s="1"/>
  <c r="R233" i="52"/>
  <c r="R240" i="52"/>
  <c r="U246" i="52"/>
  <c r="M252" i="52"/>
  <c r="M258" i="52"/>
  <c r="R262" i="52"/>
  <c r="U264" i="52"/>
  <c r="Y265" i="52"/>
  <c r="R279" i="52"/>
  <c r="R284" i="52"/>
  <c r="R289" i="52"/>
  <c r="U296" i="52"/>
  <c r="U301" i="52"/>
  <c r="M303" i="52"/>
  <c r="R309" i="52"/>
  <c r="M313" i="52"/>
  <c r="M317" i="52"/>
  <c r="U323" i="52"/>
  <c r="AC324" i="52"/>
  <c r="U325" i="52"/>
  <c r="M332" i="52"/>
  <c r="X332" i="52"/>
  <c r="Y332" i="52" s="1"/>
  <c r="AC334" i="52"/>
  <c r="R352" i="52"/>
  <c r="M353" i="52"/>
  <c r="U354" i="52"/>
  <c r="AC364" i="52"/>
  <c r="AC368" i="52"/>
  <c r="M371" i="52"/>
  <c r="M378" i="52"/>
  <c r="AC378" i="52"/>
  <c r="R383" i="52"/>
  <c r="M384" i="52"/>
  <c r="X384" i="52"/>
  <c r="Y384" i="52" s="1"/>
  <c r="M401" i="52"/>
  <c r="AC403" i="52"/>
  <c r="U409" i="52"/>
  <c r="M415" i="52"/>
  <c r="X415" i="52"/>
  <c r="Y415" i="52" s="1"/>
  <c r="M421" i="52"/>
  <c r="U422" i="52"/>
  <c r="AC425" i="52"/>
  <c r="AC427" i="52"/>
  <c r="R436" i="52"/>
  <c r="M437" i="52"/>
  <c r="X437" i="52"/>
  <c r="Y437" i="52" s="1"/>
  <c r="AB443" i="52"/>
  <c r="AC443" i="52" s="1"/>
  <c r="AC445" i="52"/>
  <c r="R457" i="52"/>
  <c r="R462" i="52"/>
  <c r="Y466" i="52"/>
  <c r="R470" i="52"/>
  <c r="Y474" i="52"/>
  <c r="R478" i="52"/>
  <c r="M484" i="52"/>
  <c r="R488" i="52"/>
  <c r="U498" i="52"/>
  <c r="M507" i="52"/>
  <c r="U520" i="52"/>
  <c r="U523" i="52"/>
  <c r="M529" i="52"/>
  <c r="R530" i="52"/>
  <c r="M531" i="52"/>
  <c r="U542" i="52"/>
  <c r="U547" i="52"/>
  <c r="U562" i="52"/>
  <c r="AB576" i="52"/>
  <c r="AC576" i="52" s="1"/>
  <c r="U582" i="52"/>
  <c r="Y586" i="52"/>
  <c r="M601" i="52"/>
  <c r="X601" i="52"/>
  <c r="Y601" i="52" s="1"/>
  <c r="B148" i="63"/>
  <c r="C137" i="63" s="1"/>
  <c r="C136" i="63" s="1"/>
  <c r="M308" i="52"/>
  <c r="M344" i="52"/>
  <c r="X344" i="52"/>
  <c r="Y344" i="52" s="1"/>
  <c r="AC358" i="52"/>
  <c r="M360" i="52"/>
  <c r="X360" i="52"/>
  <c r="Y360" i="52" s="1"/>
  <c r="M369" i="52"/>
  <c r="AB419" i="52"/>
  <c r="AC419" i="52" s="1"/>
  <c r="M482" i="52"/>
  <c r="Y482" i="52"/>
  <c r="R570" i="52"/>
  <c r="R573" i="52"/>
  <c r="U580" i="52"/>
  <c r="R583" i="52"/>
  <c r="M586" i="52"/>
  <c r="E26" i="58"/>
  <c r="L20" i="62"/>
  <c r="R300" i="52"/>
  <c r="R322" i="52"/>
  <c r="AC344" i="52"/>
  <c r="U347" i="52"/>
  <c r="R348" i="52"/>
  <c r="U359" i="52"/>
  <c r="AC360" i="52"/>
  <c r="U361" i="52"/>
  <c r="U363" i="52"/>
  <c r="U377" i="52"/>
  <c r="AC384" i="52"/>
  <c r="M390" i="52"/>
  <c r="M392" i="52"/>
  <c r="M394" i="52"/>
  <c r="M396" i="52"/>
  <c r="M408" i="52"/>
  <c r="U414" i="52"/>
  <c r="M419" i="52"/>
  <c r="R425" i="52"/>
  <c r="R427" i="52"/>
  <c r="U436" i="52"/>
  <c r="AC437" i="52"/>
  <c r="R449" i="52"/>
  <c r="U455" i="52"/>
  <c r="R460" i="52"/>
  <c r="R468" i="52"/>
  <c r="R476" i="52"/>
  <c r="U493" i="52"/>
  <c r="R494" i="52"/>
  <c r="R509" i="52"/>
  <c r="R514" i="52"/>
  <c r="R526" i="52"/>
  <c r="M536" i="52"/>
  <c r="U545" i="52"/>
  <c r="R563" i="52"/>
  <c r="U570" i="52"/>
  <c r="U596" i="52"/>
  <c r="U600" i="52"/>
  <c r="L428" i="70"/>
  <c r="AC399" i="52"/>
  <c r="X165" i="52"/>
  <c r="Y165" i="52" s="1"/>
  <c r="AB165" i="52"/>
  <c r="AC165" i="52" s="1"/>
  <c r="C8" i="39"/>
  <c r="D14" i="39" s="1"/>
  <c r="R6" i="52"/>
  <c r="U19" i="52"/>
  <c r="R23" i="52"/>
  <c r="U26" i="52"/>
  <c r="M31" i="52"/>
  <c r="U32" i="52"/>
  <c r="X33" i="52"/>
  <c r="Y33" i="52" s="1"/>
  <c r="U39" i="52"/>
  <c r="R44" i="52"/>
  <c r="X47" i="52"/>
  <c r="Y47" i="52" s="1"/>
  <c r="AC61" i="52"/>
  <c r="X71" i="52"/>
  <c r="Y71" i="52" s="1"/>
  <c r="U78" i="52"/>
  <c r="M82" i="52"/>
  <c r="R86" i="52"/>
  <c r="R90" i="52"/>
  <c r="U96" i="52"/>
  <c r="U116" i="52"/>
  <c r="Y120" i="52"/>
  <c r="M122" i="52"/>
  <c r="AB129" i="52"/>
  <c r="AC129" i="52" s="1"/>
  <c r="AB131" i="52"/>
  <c r="AC131" i="52" s="1"/>
  <c r="AB133" i="52"/>
  <c r="AC133" i="52" s="1"/>
  <c r="AB147" i="52"/>
  <c r="AC147" i="52" s="1"/>
  <c r="X149" i="52"/>
  <c r="Y149" i="52" s="1"/>
  <c r="R186" i="52"/>
  <c r="U192" i="52"/>
  <c r="AB226" i="52"/>
  <c r="AC226" i="52" s="1"/>
  <c r="X226" i="52"/>
  <c r="Y226" i="52" s="1"/>
  <c r="AB262" i="52"/>
  <c r="AC262" i="52" s="1"/>
  <c r="R302" i="52"/>
  <c r="R312" i="52"/>
  <c r="R316" i="52"/>
  <c r="U404" i="52"/>
  <c r="AB505" i="52"/>
  <c r="AC505" i="52" s="1"/>
  <c r="X505" i="52"/>
  <c r="Y505" i="52" s="1"/>
  <c r="X609" i="52"/>
  <c r="Y609" i="52" s="1"/>
  <c r="M609" i="52"/>
  <c r="J11" i="36"/>
  <c r="G148" i="45"/>
  <c r="X13" i="52"/>
  <c r="R27" i="52"/>
  <c r="M28" i="52"/>
  <c r="R40" i="52"/>
  <c r="R57" i="52"/>
  <c r="M58" i="52"/>
  <c r="R61" i="52"/>
  <c r="U62" i="52"/>
  <c r="X63" i="52"/>
  <c r="Y63" i="52" s="1"/>
  <c r="U75" i="52"/>
  <c r="M80" i="52"/>
  <c r="X87" i="52"/>
  <c r="Y87" i="52" s="1"/>
  <c r="U93" i="52"/>
  <c r="R97" i="52"/>
  <c r="R99" i="52"/>
  <c r="U110" i="52"/>
  <c r="M120" i="52"/>
  <c r="M124" i="52"/>
  <c r="AB145" i="52"/>
  <c r="AC145" i="52" s="1"/>
  <c r="U146" i="52"/>
  <c r="AB153" i="52"/>
  <c r="AC153" i="52" s="1"/>
  <c r="AB155" i="52"/>
  <c r="AC155" i="52" s="1"/>
  <c r="AB157" i="52"/>
  <c r="AC157" i="52" s="1"/>
  <c r="AB161" i="52"/>
  <c r="AC161" i="52" s="1"/>
  <c r="R169" i="52"/>
  <c r="AB178" i="52"/>
  <c r="AC178" i="52" s="1"/>
  <c r="AB214" i="52"/>
  <c r="AC214" i="52" s="1"/>
  <c r="AB222" i="52"/>
  <c r="AC222" i="52" s="1"/>
  <c r="AB260" i="52"/>
  <c r="AC260" i="52" s="1"/>
  <c r="U261" i="52"/>
  <c r="X300" i="52"/>
  <c r="Y300" i="52" s="1"/>
  <c r="AB300" i="52"/>
  <c r="AC300" i="52" s="1"/>
  <c r="U337" i="52"/>
  <c r="AB453" i="52"/>
  <c r="AC453" i="52" s="1"/>
  <c r="U489" i="52"/>
  <c r="AB336" i="52"/>
  <c r="AC336" i="52" s="1"/>
  <c r="X336" i="52"/>
  <c r="Y336" i="52" s="1"/>
  <c r="BK7" i="51"/>
  <c r="R9" i="52"/>
  <c r="M13" i="52"/>
  <c r="M42" i="52"/>
  <c r="M63" i="52"/>
  <c r="R64" i="52"/>
  <c r="M74" i="52"/>
  <c r="M84" i="52"/>
  <c r="M87" i="52"/>
  <c r="M92" i="52"/>
  <c r="U152" i="52"/>
  <c r="X159" i="52"/>
  <c r="Y159" i="52" s="1"/>
  <c r="AB159" i="52"/>
  <c r="AC159" i="52" s="1"/>
  <c r="U164" i="52"/>
  <c r="M220" i="52"/>
  <c r="M327" i="52"/>
  <c r="AB596" i="52"/>
  <c r="X596" i="52"/>
  <c r="Y596" i="52" s="1"/>
  <c r="AB602" i="52"/>
  <c r="M602" i="52"/>
  <c r="D27" i="58"/>
  <c r="D23" i="58" s="1"/>
  <c r="D11" i="58"/>
  <c r="AI7" i="51"/>
  <c r="AA314" i="52"/>
  <c r="AA321" i="52" s="1"/>
  <c r="U7" i="52"/>
  <c r="AC15" i="52"/>
  <c r="R18" i="52"/>
  <c r="X21" i="52"/>
  <c r="Y21" i="52" s="1"/>
  <c r="R28" i="52"/>
  <c r="U34" i="52"/>
  <c r="M36" i="52"/>
  <c r="U45" i="52"/>
  <c r="R49" i="52"/>
  <c r="M50" i="52"/>
  <c r="U53" i="52"/>
  <c r="Y54" i="52"/>
  <c r="R58" i="52"/>
  <c r="U64" i="52"/>
  <c r="X65" i="52"/>
  <c r="Y65" i="52" s="1"/>
  <c r="Y68" i="52"/>
  <c r="U72" i="52"/>
  <c r="M75" i="52"/>
  <c r="U76" i="52"/>
  <c r="M93" i="52"/>
  <c r="M208" i="52"/>
  <c r="R216" i="52"/>
  <c r="U285" i="52"/>
  <c r="J6" i="36"/>
  <c r="R6" i="36" s="1"/>
  <c r="S184" i="37"/>
  <c r="M5" i="37" s="1"/>
  <c r="U18" i="52"/>
  <c r="M23" i="52"/>
  <c r="U24" i="52"/>
  <c r="X25" i="52"/>
  <c r="Y25" i="52" s="1"/>
  <c r="U31" i="52"/>
  <c r="AC39" i="52"/>
  <c r="M55" i="52"/>
  <c r="X55" i="52"/>
  <c r="Y55" i="52" s="1"/>
  <c r="R68" i="52"/>
  <c r="M69" i="52"/>
  <c r="X69" i="52"/>
  <c r="Y69" i="52" s="1"/>
  <c r="X77" i="52"/>
  <c r="Y77" i="52" s="1"/>
  <c r="M90" i="52"/>
  <c r="X95" i="52"/>
  <c r="Y95" i="52" s="1"/>
  <c r="M108" i="52"/>
  <c r="M117" i="52"/>
  <c r="M144" i="52"/>
  <c r="R274" i="52"/>
  <c r="AB284" i="52"/>
  <c r="AC284" i="52" s="1"/>
  <c r="X284" i="52"/>
  <c r="Y284" i="52" s="1"/>
  <c r="AB441" i="52"/>
  <c r="AC441" i="52" s="1"/>
  <c r="M441" i="52"/>
  <c r="X441" i="52"/>
  <c r="Y441" i="52" s="1"/>
  <c r="AB220" i="52"/>
  <c r="AC220" i="52" s="1"/>
  <c r="J143" i="38"/>
  <c r="E5" i="38" s="1"/>
  <c r="R143" i="38"/>
  <c r="M5" i="38" s="1"/>
  <c r="J187" i="39"/>
  <c r="E5" i="39" s="1"/>
  <c r="R187" i="39"/>
  <c r="M5" i="39" s="1"/>
  <c r="I132" i="44"/>
  <c r="E5" i="44" s="1"/>
  <c r="Q132" i="44"/>
  <c r="M5" i="44" s="1"/>
  <c r="M31" i="46"/>
  <c r="R12" i="52"/>
  <c r="R19" i="52"/>
  <c r="R32" i="52"/>
  <c r="U35" i="52"/>
  <c r="R37" i="52"/>
  <c r="R39" i="52"/>
  <c r="U42" i="52"/>
  <c r="X43" i="52"/>
  <c r="Y43" i="52" s="1"/>
  <c r="U49" i="52"/>
  <c r="R52" i="52"/>
  <c r="X85" i="52"/>
  <c r="Y85" i="52" s="1"/>
  <c r="U92" i="52"/>
  <c r="M99" i="52"/>
  <c r="U104" i="52"/>
  <c r="R105" i="52"/>
  <c r="Y113" i="52"/>
  <c r="M115" i="52"/>
  <c r="AC121" i="52"/>
  <c r="X175" i="52"/>
  <c r="Y175" i="52" s="1"/>
  <c r="AB188" i="52"/>
  <c r="AC188" i="52" s="1"/>
  <c r="U189" i="52"/>
  <c r="U236" i="52"/>
  <c r="M268" i="52"/>
  <c r="X280" i="52"/>
  <c r="Y280" i="52" s="1"/>
  <c r="M7" i="52"/>
  <c r="M45" i="52"/>
  <c r="M53" i="52"/>
  <c r="M76" i="52"/>
  <c r="X76" i="52"/>
  <c r="Y76" i="52" s="1"/>
  <c r="M94" i="52"/>
  <c r="X94" i="52"/>
  <c r="Y94" i="52" s="1"/>
  <c r="M106" i="52"/>
  <c r="M131" i="52"/>
  <c r="M133" i="52"/>
  <c r="U194" i="52"/>
  <c r="U206" i="52"/>
  <c r="AB266" i="52"/>
  <c r="AC266" i="52" s="1"/>
  <c r="X266" i="52"/>
  <c r="Y266" i="52" s="1"/>
  <c r="AB331" i="52"/>
  <c r="AC331" i="52" s="1"/>
  <c r="M331" i="52"/>
  <c r="AB426" i="52"/>
  <c r="AC426" i="52" s="1"/>
  <c r="M426" i="52"/>
  <c r="M123" i="52"/>
  <c r="M125" i="52"/>
  <c r="U127" i="52"/>
  <c r="M132" i="52"/>
  <c r="M159" i="52"/>
  <c r="M161" i="52"/>
  <c r="U163" i="52"/>
  <c r="M168" i="52"/>
  <c r="U186" i="52"/>
  <c r="R190" i="52"/>
  <c r="AB196" i="52"/>
  <c r="AC196" i="52" s="1"/>
  <c r="U197" i="52"/>
  <c r="R204" i="52"/>
  <c r="Y220" i="52"/>
  <c r="Y222" i="52"/>
  <c r="R225" i="52"/>
  <c r="M226" i="52"/>
  <c r="U233" i="52"/>
  <c r="R238" i="52"/>
  <c r="R248" i="52"/>
  <c r="U255" i="52"/>
  <c r="Y260" i="52"/>
  <c r="Y262" i="52"/>
  <c r="R265" i="52"/>
  <c r="M266" i="52"/>
  <c r="M284" i="52"/>
  <c r="U291" i="52"/>
  <c r="M300" i="52"/>
  <c r="U305" i="52"/>
  <c r="M307" i="52"/>
  <c r="R311" i="52"/>
  <c r="M319" i="52"/>
  <c r="Y319" i="52"/>
  <c r="U331" i="52"/>
  <c r="M336" i="52"/>
  <c r="AB352" i="52"/>
  <c r="AC352" i="52" s="1"/>
  <c r="X352" i="52"/>
  <c r="Y352" i="52" s="1"/>
  <c r="AB497" i="52"/>
  <c r="AC497" i="52" s="1"/>
  <c r="X497" i="52"/>
  <c r="Y497" i="52" s="1"/>
  <c r="R586" i="52"/>
  <c r="R137" i="52"/>
  <c r="R139" i="52"/>
  <c r="M147" i="52"/>
  <c r="M149" i="52"/>
  <c r="U151" i="52"/>
  <c r="M156" i="52"/>
  <c r="M162" i="52"/>
  <c r="R173" i="52"/>
  <c r="M178" i="52"/>
  <c r="R179" i="52"/>
  <c r="U190" i="52"/>
  <c r="AB200" i="52"/>
  <c r="AC200" i="52" s="1"/>
  <c r="U201" i="52"/>
  <c r="U219" i="52"/>
  <c r="M222" i="52"/>
  <c r="R223" i="52"/>
  <c r="R232" i="52"/>
  <c r="U238" i="52"/>
  <c r="U250" i="52"/>
  <c r="M260" i="52"/>
  <c r="M262" i="52"/>
  <c r="R263" i="52"/>
  <c r="R272" i="52"/>
  <c r="U279" i="52"/>
  <c r="R285" i="52"/>
  <c r="U287" i="52"/>
  <c r="U289" i="52"/>
  <c r="R297" i="52"/>
  <c r="Y303" i="52"/>
  <c r="R304" i="52"/>
  <c r="Y313" i="52"/>
  <c r="M322" i="52"/>
  <c r="U326" i="52"/>
  <c r="AC327" i="52"/>
  <c r="R332" i="52"/>
  <c r="U335" i="52"/>
  <c r="AB348" i="52"/>
  <c r="AC348" i="52" s="1"/>
  <c r="X348" i="52"/>
  <c r="Y348" i="52" s="1"/>
  <c r="M363" i="52"/>
  <c r="AB407" i="52"/>
  <c r="AC407" i="52" s="1"/>
  <c r="X407" i="52"/>
  <c r="Y407" i="52" s="1"/>
  <c r="R521" i="52"/>
  <c r="R567" i="52"/>
  <c r="U603" i="52"/>
  <c r="AB604" i="52"/>
  <c r="X604" i="52"/>
  <c r="Y604" i="52" s="1"/>
  <c r="S610" i="52"/>
  <c r="D610" i="52"/>
  <c r="U144" i="52"/>
  <c r="R145" i="52"/>
  <c r="U148" i="52"/>
  <c r="M155" i="52"/>
  <c r="M157" i="52"/>
  <c r="M158" i="52"/>
  <c r="AB167" i="52"/>
  <c r="AC167" i="52" s="1"/>
  <c r="AB180" i="52"/>
  <c r="AC180" i="52" s="1"/>
  <c r="U181" i="52"/>
  <c r="M190" i="52"/>
  <c r="R209" i="52"/>
  <c r="M212" i="52"/>
  <c r="U218" i="52"/>
  <c r="R226" i="52"/>
  <c r="R228" i="52"/>
  <c r="U230" i="52"/>
  <c r="R237" i="52"/>
  <c r="AC238" i="52"/>
  <c r="U243" i="52"/>
  <c r="R245" i="52"/>
  <c r="Y246" i="52"/>
  <c r="M250" i="52"/>
  <c r="R251" i="52"/>
  <c r="R260" i="52"/>
  <c r="R266" i="52"/>
  <c r="R268" i="52"/>
  <c r="U270" i="52"/>
  <c r="U281" i="52"/>
  <c r="Y292" i="52"/>
  <c r="R293" i="52"/>
  <c r="M294" i="52"/>
  <c r="U297" i="52"/>
  <c r="R298" i="52"/>
  <c r="M299" i="52"/>
  <c r="R307" i="52"/>
  <c r="R310" i="52"/>
  <c r="M311" i="52"/>
  <c r="U312" i="52"/>
  <c r="R314" i="52"/>
  <c r="M315" i="52"/>
  <c r="AC326" i="52"/>
  <c r="U334" i="52"/>
  <c r="AC335" i="52"/>
  <c r="AC343" i="52"/>
  <c r="M345" i="52"/>
  <c r="U346" i="52"/>
  <c r="AC347" i="52"/>
  <c r="R368" i="52"/>
  <c r="AB382" i="52"/>
  <c r="AC382" i="52" s="1"/>
  <c r="X382" i="52"/>
  <c r="Y382" i="52" s="1"/>
  <c r="R414" i="52"/>
  <c r="R439" i="52"/>
  <c r="X513" i="52"/>
  <c r="Y513" i="52" s="1"/>
  <c r="U516" i="52"/>
  <c r="R538" i="52"/>
  <c r="U553" i="52"/>
  <c r="F25" i="58"/>
  <c r="F11" i="58"/>
  <c r="R174" i="52"/>
  <c r="AB184" i="52"/>
  <c r="AC184" i="52" s="1"/>
  <c r="U185" i="52"/>
  <c r="M194" i="52"/>
  <c r="M204" i="52"/>
  <c r="AC206" i="52"/>
  <c r="U211" i="52"/>
  <c r="M214" i="52"/>
  <c r="R215" i="52"/>
  <c r="Y217" i="52"/>
  <c r="U226" i="52"/>
  <c r="M236" i="52"/>
  <c r="M246" i="52"/>
  <c r="U266" i="52"/>
  <c r="U286" i="52"/>
  <c r="U295" i="52"/>
  <c r="AC296" i="52"/>
  <c r="AB299" i="52"/>
  <c r="AC299" i="52" s="1"/>
  <c r="R303" i="52"/>
  <c r="R305" i="52"/>
  <c r="M318" i="52"/>
  <c r="M328" i="52"/>
  <c r="X328" i="52"/>
  <c r="Y328" i="52" s="1"/>
  <c r="M337" i="52"/>
  <c r="U342" i="52"/>
  <c r="U387" i="52"/>
  <c r="U449" i="52"/>
  <c r="X535" i="52"/>
  <c r="Y535" i="52" s="1"/>
  <c r="L16" i="68"/>
  <c r="L91" i="68" s="1"/>
  <c r="I28" i="68"/>
  <c r="K28" i="68" s="1"/>
  <c r="E77" i="68"/>
  <c r="Y269" i="52"/>
  <c r="AB450" i="52"/>
  <c r="AC450" i="52" s="1"/>
  <c r="M450" i="52"/>
  <c r="T99" i="68"/>
  <c r="U260" i="52"/>
  <c r="R296" i="52"/>
  <c r="M339" i="52"/>
  <c r="AC535" i="52"/>
  <c r="R605" i="52"/>
  <c r="U338" i="52"/>
  <c r="AC339" i="52"/>
  <c r="U345" i="52"/>
  <c r="AC350" i="52"/>
  <c r="U358" i="52"/>
  <c r="AC359" i="52"/>
  <c r="R364" i="52"/>
  <c r="U367" i="52"/>
  <c r="R369" i="52"/>
  <c r="AB373" i="52"/>
  <c r="AC373" i="52" s="1"/>
  <c r="U376" i="52"/>
  <c r="R381" i="52"/>
  <c r="AB383" i="52"/>
  <c r="AC383" i="52" s="1"/>
  <c r="X386" i="52"/>
  <c r="Y386" i="52" s="1"/>
  <c r="X398" i="52"/>
  <c r="Y398" i="52" s="1"/>
  <c r="M405" i="52"/>
  <c r="M436" i="52"/>
  <c r="AC454" i="52"/>
  <c r="X456" i="52"/>
  <c r="Y456" i="52" s="1"/>
  <c r="M470" i="52"/>
  <c r="Y478" i="52"/>
  <c r="M485" i="52"/>
  <c r="M490" i="52"/>
  <c r="M495" i="52"/>
  <c r="X544" i="52"/>
  <c r="Y544" i="52" s="1"/>
  <c r="R555" i="52"/>
  <c r="AB572" i="52"/>
  <c r="AC572" i="52" s="1"/>
  <c r="Y580" i="52"/>
  <c r="AB586" i="52"/>
  <c r="AC586" i="52" s="1"/>
  <c r="R593" i="52"/>
  <c r="U602" i="52"/>
  <c r="E24" i="58"/>
  <c r="O10" i="62"/>
  <c r="F148" i="62"/>
  <c r="Q10" i="62"/>
  <c r="O99" i="68"/>
  <c r="T406" i="70"/>
  <c r="M352" i="52"/>
  <c r="R355" i="52"/>
  <c r="M361" i="52"/>
  <c r="U362" i="52"/>
  <c r="AC363" i="52"/>
  <c r="U369" i="52"/>
  <c r="AB377" i="52"/>
  <c r="AC377" i="52" s="1"/>
  <c r="AC380" i="52"/>
  <c r="U381" i="52"/>
  <c r="M388" i="52"/>
  <c r="U389" i="52"/>
  <c r="AC390" i="52"/>
  <c r="U391" i="52"/>
  <c r="AC392" i="52"/>
  <c r="U393" i="52"/>
  <c r="AC394" i="52"/>
  <c r="U395" i="52"/>
  <c r="AC396" i="52"/>
  <c r="U397" i="52"/>
  <c r="AC412" i="52"/>
  <c r="U413" i="52"/>
  <c r="AB429" i="52"/>
  <c r="AC429" i="52" s="1"/>
  <c r="Y443" i="52"/>
  <c r="R464" i="52"/>
  <c r="M465" i="52"/>
  <c r="Y468" i="52"/>
  <c r="R477" i="52"/>
  <c r="M478" i="52"/>
  <c r="Y488" i="52"/>
  <c r="U491" i="52"/>
  <c r="R498" i="52"/>
  <c r="M503" i="52"/>
  <c r="M513" i="52"/>
  <c r="R518" i="52"/>
  <c r="M519" i="52"/>
  <c r="AB521" i="52"/>
  <c r="AC521" i="52" s="1"/>
  <c r="AB536" i="52"/>
  <c r="AC536" i="52" s="1"/>
  <c r="U537" i="52"/>
  <c r="R540" i="52"/>
  <c r="AB542" i="52"/>
  <c r="AC542" i="52" s="1"/>
  <c r="M565" i="52"/>
  <c r="U566" i="52"/>
  <c r="Y568" i="52"/>
  <c r="R569" i="52"/>
  <c r="M570" i="52"/>
  <c r="M575" i="52"/>
  <c r="U576" i="52"/>
  <c r="R579" i="52"/>
  <c r="M580" i="52"/>
  <c r="U585" i="52"/>
  <c r="M589" i="52"/>
  <c r="U591" i="52"/>
  <c r="U594" i="52"/>
  <c r="M596" i="52"/>
  <c r="U608" i="52"/>
  <c r="AD8" i="55"/>
  <c r="E25" i="58"/>
  <c r="G9" i="59"/>
  <c r="H9" i="59" s="1"/>
  <c r="P10" i="62"/>
  <c r="K174" i="62"/>
  <c r="R10" i="62"/>
  <c r="B128" i="63"/>
  <c r="U339" i="70"/>
  <c r="U355" i="52"/>
  <c r="R375" i="52"/>
  <c r="R419" i="52"/>
  <c r="U496" i="52"/>
  <c r="AC501" i="52"/>
  <c r="U504" i="52"/>
  <c r="U512" i="52"/>
  <c r="U534" i="52"/>
  <c r="R536" i="52"/>
  <c r="U540" i="52"/>
  <c r="R554" i="52"/>
  <c r="R565" i="52"/>
  <c r="U572" i="52"/>
  <c r="R575" i="52"/>
  <c r="R582" i="52"/>
  <c r="R589" i="52"/>
  <c r="U592" i="52"/>
  <c r="X593" i="52"/>
  <c r="Y593" i="52" s="1"/>
  <c r="R596" i="52"/>
  <c r="R597" i="52"/>
  <c r="U598" i="52"/>
  <c r="M608" i="52"/>
  <c r="X608" i="52"/>
  <c r="Y608" i="52" s="1"/>
  <c r="O20" i="62"/>
  <c r="K32" i="62"/>
  <c r="K146" i="62" s="1"/>
  <c r="B109" i="63"/>
  <c r="U349" i="70"/>
  <c r="V264" i="70" s="1"/>
  <c r="AB371" i="52"/>
  <c r="AC371" i="52" s="1"/>
  <c r="U373" i="52"/>
  <c r="U383" i="52"/>
  <c r="U408" i="52"/>
  <c r="U420" i="52"/>
  <c r="R453" i="52"/>
  <c r="AC455" i="52"/>
  <c r="U487" i="52"/>
  <c r="R503" i="52"/>
  <c r="U506" i="52"/>
  <c r="U508" i="52"/>
  <c r="R519" i="52"/>
  <c r="Y539" i="52"/>
  <c r="R549" i="52"/>
  <c r="R580" i="52"/>
  <c r="E17" i="58"/>
  <c r="P20" i="62"/>
  <c r="N10" i="62"/>
  <c r="J152" i="67"/>
  <c r="R365" i="52"/>
  <c r="AC374" i="52"/>
  <c r="X378" i="52"/>
  <c r="Y378" i="52" s="1"/>
  <c r="U380" i="52"/>
  <c r="U388" i="52"/>
  <c r="U392" i="52"/>
  <c r="U396" i="52"/>
  <c r="X399" i="52"/>
  <c r="Y399" i="52" s="1"/>
  <c r="AC415" i="52"/>
  <c r="M422" i="52"/>
  <c r="R428" i="52"/>
  <c r="M430" i="52"/>
  <c r="M432" i="52"/>
  <c r="R433" i="52"/>
  <c r="R441" i="52"/>
  <c r="U454" i="52"/>
  <c r="M464" i="52"/>
  <c r="M472" i="52"/>
  <c r="Y472" i="52"/>
  <c r="M477" i="52"/>
  <c r="Y480" i="52"/>
  <c r="M492" i="52"/>
  <c r="Y492" i="52"/>
  <c r="M498" i="52"/>
  <c r="Y500" i="52"/>
  <c r="M527" i="52"/>
  <c r="U532" i="52"/>
  <c r="U536" i="52"/>
  <c r="Y550" i="52"/>
  <c r="R568" i="52"/>
  <c r="Y572" i="52"/>
  <c r="M574" i="52"/>
  <c r="M579" i="52"/>
  <c r="P77" i="68"/>
  <c r="L42" i="68"/>
  <c r="M42" i="68" s="1"/>
  <c r="M88" i="68" s="1"/>
  <c r="M348" i="52"/>
  <c r="M368" i="52"/>
  <c r="X368" i="52"/>
  <c r="Y368" i="52" s="1"/>
  <c r="M377" i="52"/>
  <c r="U402" i="52"/>
  <c r="X403" i="52"/>
  <c r="Y403" i="52" s="1"/>
  <c r="AC408" i="52"/>
  <c r="R411" i="52"/>
  <c r="U418" i="52"/>
  <c r="AC420" i="52"/>
  <c r="U421" i="52"/>
  <c r="AC422" i="52"/>
  <c r="U423" i="52"/>
  <c r="M429" i="52"/>
  <c r="AC430" i="52"/>
  <c r="U431" i="52"/>
  <c r="U433" i="52"/>
  <c r="X434" i="52"/>
  <c r="Y434" i="52" s="1"/>
  <c r="M439" i="52"/>
  <c r="X439" i="52"/>
  <c r="Y439" i="52" s="1"/>
  <c r="U443" i="52"/>
  <c r="AC447" i="52"/>
  <c r="U448" i="52"/>
  <c r="M456" i="52"/>
  <c r="Y470" i="52"/>
  <c r="M480" i="52"/>
  <c r="Y490" i="52"/>
  <c r="U499" i="52"/>
  <c r="U507" i="52"/>
  <c r="R511" i="52"/>
  <c r="U515" i="52"/>
  <c r="M521" i="52"/>
  <c r="R522" i="52"/>
  <c r="U528" i="52"/>
  <c r="R537" i="52"/>
  <c r="AB540" i="52"/>
  <c r="AC540" i="52" s="1"/>
  <c r="U541" i="52"/>
  <c r="M542" i="52"/>
  <c r="R547" i="52"/>
  <c r="Y553" i="52"/>
  <c r="M558" i="52"/>
  <c r="M567" i="52"/>
  <c r="U568" i="52"/>
  <c r="R571" i="52"/>
  <c r="M572" i="52"/>
  <c r="R578" i="52"/>
  <c r="R601" i="52"/>
  <c r="E174" i="62"/>
  <c r="U174" i="62"/>
  <c r="C55" i="67"/>
  <c r="L46" i="68"/>
  <c r="M46" i="68" s="1"/>
  <c r="M85" i="68" s="1"/>
  <c r="U167" i="70"/>
  <c r="AB6" i="55"/>
  <c r="AB10" i="55"/>
  <c r="L14" i="55"/>
  <c r="D18" i="55"/>
  <c r="L18" i="55"/>
  <c r="L11" i="55"/>
  <c r="AF16" i="55"/>
  <c r="Z6" i="55"/>
  <c r="X8" i="55"/>
  <c r="D17" i="55"/>
  <c r="L17" i="55"/>
  <c r="AF18" i="55"/>
  <c r="X20" i="55"/>
  <c r="AF20" i="55"/>
  <c r="AF22" i="55"/>
  <c r="D20" i="55"/>
  <c r="L20" i="55"/>
  <c r="D22" i="55"/>
  <c r="L22" i="55"/>
  <c r="AD10" i="55"/>
  <c r="X15" i="55"/>
  <c r="T187" i="62"/>
  <c r="G39" i="46"/>
  <c r="G41" i="46"/>
  <c r="F43" i="46"/>
  <c r="G45" i="46"/>
  <c r="G35" i="46"/>
  <c r="G43" i="46"/>
  <c r="L31" i="46"/>
  <c r="K176" i="40"/>
  <c r="F5" i="40" s="1"/>
  <c r="E16" i="40"/>
  <c r="N176" i="40"/>
  <c r="I5" i="40" s="1"/>
  <c r="C12" i="40"/>
  <c r="I16" i="40"/>
  <c r="H101" i="40"/>
  <c r="C4" i="40" s="1"/>
  <c r="Q119" i="40"/>
  <c r="I101" i="40"/>
  <c r="D4" i="40" s="1"/>
  <c r="M101" i="40"/>
  <c r="H4" i="40" s="1"/>
  <c r="N101" i="40"/>
  <c r="I4" i="40" s="1"/>
  <c r="F15" i="40"/>
  <c r="G16" i="40"/>
  <c r="Q118" i="40"/>
  <c r="E123" i="40"/>
  <c r="G121" i="40"/>
  <c r="U121" i="40" s="1"/>
  <c r="I176" i="40"/>
  <c r="D5" i="40" s="1"/>
  <c r="M176" i="40"/>
  <c r="H5" i="40" s="1"/>
  <c r="Q176" i="40"/>
  <c r="L5" i="40" s="1"/>
  <c r="S598" i="42"/>
  <c r="N432" i="42" s="1"/>
  <c r="T598" i="42"/>
  <c r="O432" i="42" s="1"/>
  <c r="Q598" i="42"/>
  <c r="L432" i="42" s="1"/>
  <c r="P598" i="42"/>
  <c r="K432" i="42" s="1"/>
  <c r="M598" i="42"/>
  <c r="H432" i="42" s="1"/>
  <c r="S31" i="42"/>
  <c r="X598" i="42"/>
  <c r="S432" i="42" s="1"/>
  <c r="D191" i="42"/>
  <c r="D195" i="42" s="1"/>
  <c r="D133" i="42" s="1"/>
  <c r="D134" i="42" s="1"/>
  <c r="D29" i="42" s="1"/>
  <c r="D33" i="42" s="1"/>
  <c r="N9" i="42"/>
  <c r="P9" i="42"/>
  <c r="V598" i="42"/>
  <c r="Q432" i="42" s="1"/>
  <c r="U374" i="42"/>
  <c r="R381" i="42"/>
  <c r="X139" i="42"/>
  <c r="M424" i="42"/>
  <c r="H229" i="42" s="1"/>
  <c r="Q424" i="42"/>
  <c r="L229" i="42" s="1"/>
  <c r="U424" i="42"/>
  <c r="P229" i="42" s="1"/>
  <c r="L32" i="42"/>
  <c r="L9" i="42"/>
  <c r="S442" i="42"/>
  <c r="X424" i="42"/>
  <c r="S229" i="42" s="1"/>
  <c r="K441" i="42"/>
  <c r="S10" i="42"/>
  <c r="V372" i="42"/>
  <c r="O8" i="42"/>
  <c r="S8" i="42"/>
  <c r="T13" i="42" s="1"/>
  <c r="F191" i="42"/>
  <c r="J9" i="42"/>
  <c r="N10" i="42"/>
  <c r="S32" i="42"/>
  <c r="J10" i="42"/>
  <c r="R10" i="42"/>
  <c r="O175" i="42"/>
  <c r="K238" i="42"/>
  <c r="S238" i="42"/>
  <c r="O10" i="42"/>
  <c r="R382" i="42"/>
  <c r="M440" i="42"/>
  <c r="Q565" i="42"/>
  <c r="O32" i="42"/>
  <c r="K10" i="42"/>
  <c r="S382" i="42"/>
  <c r="W424" i="42"/>
  <c r="R229" i="42" s="1"/>
  <c r="W521" i="42"/>
  <c r="R436" i="42" s="1"/>
  <c r="R9" i="42" s="1"/>
  <c r="I441" i="42"/>
  <c r="M441" i="42"/>
  <c r="Q441" i="42"/>
  <c r="O441" i="42"/>
  <c r="H10" i="42"/>
  <c r="R31" i="42"/>
  <c r="L10" i="42"/>
  <c r="M183" i="42"/>
  <c r="R191" i="42"/>
  <c r="F222" i="42"/>
  <c r="F23" i="42" s="1"/>
  <c r="O222" i="42"/>
  <c r="J23" i="42" s="1"/>
  <c r="S222" i="42"/>
  <c r="N23" i="42" s="1"/>
  <c r="W222" i="42"/>
  <c r="R23" i="42" s="1"/>
  <c r="S237" i="42"/>
  <c r="Q8" i="42"/>
  <c r="M238" i="42"/>
  <c r="I10" i="42"/>
  <c r="M10" i="42"/>
  <c r="Q10" i="42"/>
  <c r="V381" i="42"/>
  <c r="T382" i="42"/>
  <c r="X521" i="42"/>
  <c r="S436" i="42" s="1"/>
  <c r="M9" i="42"/>
  <c r="M14" i="42" s="1"/>
  <c r="Q32" i="42"/>
  <c r="Q9" i="42"/>
  <c r="I238" i="42"/>
  <c r="I9" i="42"/>
  <c r="I8" i="42"/>
  <c r="P441" i="42"/>
  <c r="X142" i="42"/>
  <c r="S175" i="42"/>
  <c r="Q183" i="42"/>
  <c r="G191" i="42"/>
  <c r="C222" i="42"/>
  <c r="C23" i="42" s="1"/>
  <c r="G222" i="42"/>
  <c r="G23" i="42" s="1"/>
  <c r="P222" i="42"/>
  <c r="K23" i="42" s="1"/>
  <c r="T222" i="42"/>
  <c r="O23" i="42" s="1"/>
  <c r="X222" i="42"/>
  <c r="S23" i="42" s="1"/>
  <c r="V366" i="42"/>
  <c r="N540" i="42"/>
  <c r="I431" i="42" s="1"/>
  <c r="R563" i="42"/>
  <c r="S565" i="42"/>
  <c r="N424" i="42"/>
  <c r="I229" i="42" s="1"/>
  <c r="V424" i="42"/>
  <c r="Q229" i="42" s="1"/>
  <c r="I440" i="42"/>
  <c r="L441" i="42"/>
  <c r="R424" i="42"/>
  <c r="M229" i="42" s="1"/>
  <c r="P10" i="42"/>
  <c r="K9" i="42"/>
  <c r="O9" i="42"/>
  <c r="G31" i="42"/>
  <c r="L155" i="42"/>
  <c r="W155" i="42" s="1"/>
  <c r="P176" i="42"/>
  <c r="E191" i="42"/>
  <c r="N191" i="42"/>
  <c r="E222" i="42"/>
  <c r="E23" i="42" s="1"/>
  <c r="N222" i="42"/>
  <c r="I23" i="42" s="1"/>
  <c r="R222" i="42"/>
  <c r="M23" i="42" s="1"/>
  <c r="V222" i="42"/>
  <c r="Q23" i="42" s="1"/>
  <c r="L237" i="42"/>
  <c r="P238" i="42"/>
  <c r="M325" i="42"/>
  <c r="H228" i="42" s="1"/>
  <c r="U372" i="42"/>
  <c r="T381" i="42"/>
  <c r="T561" i="42"/>
  <c r="T568" i="42" s="1"/>
  <c r="T538" i="42" s="1"/>
  <c r="T539" i="42" s="1"/>
  <c r="O565" i="42"/>
  <c r="O568" i="42" s="1"/>
  <c r="O538" i="42" s="1"/>
  <c r="O539" i="42" s="1"/>
  <c r="J438" i="42" s="1"/>
  <c r="J442" i="42" s="1"/>
  <c r="I143" i="38"/>
  <c r="D5" i="38" s="1"/>
  <c r="J90" i="38"/>
  <c r="E4" i="38" s="1"/>
  <c r="M15" i="38"/>
  <c r="F16" i="38"/>
  <c r="I14" i="38"/>
  <c r="G90" i="38"/>
  <c r="B4" i="38" s="1"/>
  <c r="K90" i="38"/>
  <c r="F4" i="38" s="1"/>
  <c r="C16" i="38"/>
  <c r="E8" i="38"/>
  <c r="E12" i="38" s="1"/>
  <c r="P90" i="38"/>
  <c r="K4" i="38" s="1"/>
  <c r="B8" i="38"/>
  <c r="B12" i="38" s="1"/>
  <c r="F12" i="38"/>
  <c r="F15" i="38"/>
  <c r="H90" i="38"/>
  <c r="C4" i="38" s="1"/>
  <c r="O143" i="38"/>
  <c r="J5" i="38" s="1"/>
  <c r="M14" i="38"/>
  <c r="G16" i="38"/>
  <c r="N187" i="39"/>
  <c r="I5" i="39" s="1"/>
  <c r="G157" i="39"/>
  <c r="H109" i="39" s="1"/>
  <c r="C11" i="39" s="1"/>
  <c r="D15" i="39"/>
  <c r="I187" i="39"/>
  <c r="D5" i="39" s="1"/>
  <c r="H14" i="39"/>
  <c r="H15" i="39"/>
  <c r="L14" i="39"/>
  <c r="L15" i="39"/>
  <c r="F8" i="39"/>
  <c r="G14" i="39" s="1"/>
  <c r="Q132" i="39"/>
  <c r="R130" i="39"/>
  <c r="J19" i="57"/>
  <c r="I36" i="57"/>
  <c r="I38" i="57" s="1"/>
  <c r="K17" i="57"/>
  <c r="K19" i="57" s="1"/>
  <c r="J36" i="57"/>
  <c r="J38" i="57" s="1"/>
  <c r="L17" i="57"/>
  <c r="L19" i="57" s="1"/>
  <c r="K36" i="57"/>
  <c r="K38" i="57" s="1"/>
  <c r="M17" i="57"/>
  <c r="M19" i="57" s="1"/>
  <c r="L36" i="57"/>
  <c r="L38" i="57" s="1"/>
  <c r="N17" i="57"/>
  <c r="N19" i="57" s="1"/>
  <c r="M36" i="57"/>
  <c r="M38" i="57" s="1"/>
  <c r="C38" i="57"/>
  <c r="C36" i="57"/>
  <c r="N36" i="57"/>
  <c r="N38" i="57" s="1"/>
  <c r="P20" i="46"/>
  <c r="S126" i="40"/>
  <c r="T126" i="40"/>
  <c r="P126" i="40"/>
  <c r="M187" i="42"/>
  <c r="F187" i="42"/>
  <c r="N187" i="42"/>
  <c r="K31" i="42"/>
  <c r="K8" i="42"/>
  <c r="O179" i="42"/>
  <c r="P179" i="42"/>
  <c r="N179" i="42"/>
  <c r="S389" i="42"/>
  <c r="Q389" i="42"/>
  <c r="I12" i="40"/>
  <c r="U118" i="40"/>
  <c r="U119" i="40"/>
  <c r="T129" i="40"/>
  <c r="U133" i="40"/>
  <c r="D32" i="42"/>
  <c r="P32" i="42"/>
  <c r="Z152" i="42"/>
  <c r="Y171" i="42"/>
  <c r="S172" i="42"/>
  <c r="G186" i="42"/>
  <c r="F190" i="42"/>
  <c r="J238" i="42"/>
  <c r="N238" i="42"/>
  <c r="R238" i="42"/>
  <c r="X354" i="42"/>
  <c r="AB355" i="42"/>
  <c r="T372" i="42"/>
  <c r="Y372" i="42"/>
  <c r="Y374" i="42"/>
  <c r="T391" i="42"/>
  <c r="P396" i="42"/>
  <c r="P397" i="42"/>
  <c r="P424" i="42"/>
  <c r="K229" i="42" s="1"/>
  <c r="T424" i="42"/>
  <c r="O229" i="42" s="1"/>
  <c r="U563" i="42"/>
  <c r="U568" i="42" s="1"/>
  <c r="U538" i="42" s="1"/>
  <c r="U539" i="42" s="1"/>
  <c r="I119" i="45"/>
  <c r="M119" i="45"/>
  <c r="Q119" i="45"/>
  <c r="L148" i="45"/>
  <c r="P148" i="45"/>
  <c r="AY7" i="51"/>
  <c r="AZ7" i="51" s="1"/>
  <c r="O11" i="51"/>
  <c r="P11" i="51" s="1"/>
  <c r="AT13" i="51"/>
  <c r="AU13" i="51" s="1"/>
  <c r="O14" i="51"/>
  <c r="P14" i="51" s="1"/>
  <c r="AQ42" i="51"/>
  <c r="AF44" i="51"/>
  <c r="AG44" i="51" s="1"/>
  <c r="AH44" i="51" s="1"/>
  <c r="AI44" i="51" s="1"/>
  <c r="AF46" i="51"/>
  <c r="AG46" i="51" s="1"/>
  <c r="AH46" i="51" s="1"/>
  <c r="AI46" i="51" s="1"/>
  <c r="AT96" i="51"/>
  <c r="L126" i="51"/>
  <c r="M126" i="51" s="1"/>
  <c r="G141" i="51"/>
  <c r="AB11" i="52"/>
  <c r="AC11" i="52" s="1"/>
  <c r="X11" i="52"/>
  <c r="Y11" i="52" s="1"/>
  <c r="AB19" i="52"/>
  <c r="AC19" i="52" s="1"/>
  <c r="X19" i="52"/>
  <c r="Y19" i="52" s="1"/>
  <c r="AB27" i="52"/>
  <c r="AC27" i="52" s="1"/>
  <c r="X27" i="52"/>
  <c r="Y27" i="52" s="1"/>
  <c r="AB35" i="52"/>
  <c r="AC35" i="52" s="1"/>
  <c r="X35" i="52"/>
  <c r="Y35" i="52" s="1"/>
  <c r="AB51" i="52"/>
  <c r="AC51" i="52" s="1"/>
  <c r="X51" i="52"/>
  <c r="Y51" i="52" s="1"/>
  <c r="AB83" i="52"/>
  <c r="AC83" i="52" s="1"/>
  <c r="X83" i="52"/>
  <c r="Y83" i="52" s="1"/>
  <c r="AB109" i="52"/>
  <c r="AC109" i="52" s="1"/>
  <c r="X109" i="52"/>
  <c r="Y109" i="52" s="1"/>
  <c r="AB242" i="52"/>
  <c r="AC242" i="52" s="1"/>
  <c r="X242" i="52"/>
  <c r="Y242" i="52" s="1"/>
  <c r="X248" i="52"/>
  <c r="Y248" i="52" s="1"/>
  <c r="AB248" i="52"/>
  <c r="AC248" i="52" s="1"/>
  <c r="C15" i="38"/>
  <c r="G15" i="38"/>
  <c r="K15" i="38"/>
  <c r="G15" i="39"/>
  <c r="K15" i="39"/>
  <c r="P176" i="40"/>
  <c r="K5" i="40" s="1"/>
  <c r="Q238" i="42"/>
  <c r="R396" i="42"/>
  <c r="R397" i="42"/>
  <c r="R561" i="42"/>
  <c r="Q563" i="42"/>
  <c r="J119" i="45"/>
  <c r="N119" i="45"/>
  <c r="R119" i="45"/>
  <c r="I148" i="45"/>
  <c r="M148" i="45"/>
  <c r="Q148" i="45"/>
  <c r="K57" i="47"/>
  <c r="AT11" i="51"/>
  <c r="AU11" i="51" s="1"/>
  <c r="AN14" i="51"/>
  <c r="AO14" i="51" s="1"/>
  <c r="L38" i="51"/>
  <c r="M38" i="51" s="1"/>
  <c r="AQ46" i="51"/>
  <c r="AR46" i="51" s="1"/>
  <c r="AN60" i="51"/>
  <c r="AO60" i="51" s="1"/>
  <c r="O61" i="51"/>
  <c r="AB49" i="52"/>
  <c r="AC49" i="52" s="1"/>
  <c r="X49" i="52"/>
  <c r="Y49" i="52" s="1"/>
  <c r="AB59" i="52"/>
  <c r="AC59" i="52" s="1"/>
  <c r="X59" i="52"/>
  <c r="Y59" i="52" s="1"/>
  <c r="AB81" i="52"/>
  <c r="AC81" i="52" s="1"/>
  <c r="X81" i="52"/>
  <c r="Y81" i="52" s="1"/>
  <c r="AB101" i="52"/>
  <c r="AC101" i="52" s="1"/>
  <c r="X101" i="52"/>
  <c r="Y101" i="52" s="1"/>
  <c r="X135" i="52"/>
  <c r="Y135" i="52" s="1"/>
  <c r="AB135" i="52"/>
  <c r="AC135" i="52" s="1"/>
  <c r="X171" i="52"/>
  <c r="Y171" i="52" s="1"/>
  <c r="AB171" i="52"/>
  <c r="AC171" i="52" s="1"/>
  <c r="J15" i="40"/>
  <c r="N15" i="40"/>
  <c r="H176" i="40"/>
  <c r="C5" i="40" s="1"/>
  <c r="L176" i="40"/>
  <c r="G5" i="40" s="1"/>
  <c r="C135" i="42"/>
  <c r="C22" i="42" s="1"/>
  <c r="N32" i="42"/>
  <c r="R32" i="42"/>
  <c r="Q171" i="42"/>
  <c r="Q172" i="42"/>
  <c r="M186" i="42"/>
  <c r="N190" i="42"/>
  <c r="X355" i="42"/>
  <c r="T397" i="42"/>
  <c r="G119" i="45"/>
  <c r="K119" i="45"/>
  <c r="O119" i="45"/>
  <c r="J148" i="45"/>
  <c r="N148" i="45"/>
  <c r="R148" i="45"/>
  <c r="K25" i="47"/>
  <c r="AA7" i="51"/>
  <c r="G10" i="51"/>
  <c r="I10" i="51" s="1"/>
  <c r="J10" i="51" s="1"/>
  <c r="AN12" i="51"/>
  <c r="AO12" i="51" s="1"/>
  <c r="AT14" i="51"/>
  <c r="AF38" i="51"/>
  <c r="AG38" i="51" s="1"/>
  <c r="AH38" i="51" s="1"/>
  <c r="AI38" i="51" s="1"/>
  <c r="L40" i="51"/>
  <c r="M40" i="51" s="1"/>
  <c r="L42" i="51"/>
  <c r="M42" i="51" s="1"/>
  <c r="AT61" i="51"/>
  <c r="AT74" i="51"/>
  <c r="O100" i="51"/>
  <c r="P100" i="51" s="1"/>
  <c r="AN101" i="51"/>
  <c r="AO101" i="51" s="1"/>
  <c r="L110" i="51"/>
  <c r="M110" i="51" s="1"/>
  <c r="U6" i="52"/>
  <c r="M11" i="52"/>
  <c r="U14" i="52"/>
  <c r="M19" i="52"/>
  <c r="U22" i="52"/>
  <c r="M27" i="52"/>
  <c r="U30" i="52"/>
  <c r="M35" i="52"/>
  <c r="U38" i="52"/>
  <c r="M51" i="52"/>
  <c r="AB57" i="52"/>
  <c r="AC57" i="52" s="1"/>
  <c r="X57" i="52"/>
  <c r="Y57" i="52" s="1"/>
  <c r="AB79" i="52"/>
  <c r="AC79" i="52" s="1"/>
  <c r="X79" i="52"/>
  <c r="Y79" i="52" s="1"/>
  <c r="AB89" i="52"/>
  <c r="AC89" i="52" s="1"/>
  <c r="X89" i="52"/>
  <c r="Y89" i="52" s="1"/>
  <c r="AB97" i="52"/>
  <c r="AC97" i="52" s="1"/>
  <c r="X97" i="52"/>
  <c r="Y97" i="52" s="1"/>
  <c r="J15" i="38"/>
  <c r="I15" i="39"/>
  <c r="S118" i="40"/>
  <c r="S119" i="40"/>
  <c r="S133" i="40"/>
  <c r="J31" i="42"/>
  <c r="O31" i="42"/>
  <c r="H32" i="42"/>
  <c r="F32" i="42"/>
  <c r="J32" i="42"/>
  <c r="Y152" i="42"/>
  <c r="R172" i="42"/>
  <c r="R174" i="42"/>
  <c r="W175" i="42"/>
  <c r="E190" i="42"/>
  <c r="R190" i="42"/>
  <c r="H236" i="42"/>
  <c r="L238" i="42"/>
  <c r="Z355" i="42"/>
  <c r="X372" i="42"/>
  <c r="V382" i="42"/>
  <c r="N396" i="42"/>
  <c r="N397" i="42"/>
  <c r="V397" i="42"/>
  <c r="O424" i="42"/>
  <c r="J229" i="42" s="1"/>
  <c r="S424" i="42"/>
  <c r="N229" i="42" s="1"/>
  <c r="J441" i="42"/>
  <c r="N441" i="42"/>
  <c r="V561" i="42"/>
  <c r="V568" i="42" s="1"/>
  <c r="V538" i="42" s="1"/>
  <c r="V539" i="42" s="1"/>
  <c r="Q438" i="42" s="1"/>
  <c r="Q439" i="42" s="1"/>
  <c r="S563" i="42"/>
  <c r="H119" i="45"/>
  <c r="L119" i="45"/>
  <c r="P119" i="45"/>
  <c r="K148" i="45"/>
  <c r="O148" i="45"/>
  <c r="R177" i="45"/>
  <c r="L177" i="45"/>
  <c r="I177" i="45"/>
  <c r="J177" i="45"/>
  <c r="N177" i="45"/>
  <c r="H177" i="45"/>
  <c r="O177" i="45"/>
  <c r="M177" i="45"/>
  <c r="K177" i="45"/>
  <c r="P177" i="45"/>
  <c r="Q177" i="45"/>
  <c r="G177" i="45"/>
  <c r="AN9" i="51"/>
  <c r="AO9" i="51" s="1"/>
  <c r="AT10" i="51"/>
  <c r="AU10" i="51" s="1"/>
  <c r="AN13" i="51"/>
  <c r="AO13" i="51" s="1"/>
  <c r="AQ38" i="51"/>
  <c r="AF40" i="51"/>
  <c r="AF42" i="51"/>
  <c r="AG42" i="51" s="1"/>
  <c r="AH42" i="51" s="1"/>
  <c r="AI42" i="51" s="1"/>
  <c r="L44" i="51"/>
  <c r="M44" i="51" s="1"/>
  <c r="L46" i="51"/>
  <c r="Y7" i="51"/>
  <c r="Z311" i="51" s="1"/>
  <c r="AB311" i="51" s="1"/>
  <c r="AQ69" i="51"/>
  <c r="AR69" i="51" s="1"/>
  <c r="AQ113" i="51"/>
  <c r="M8" i="52"/>
  <c r="X8" i="52"/>
  <c r="Y8" i="52" s="1"/>
  <c r="M16" i="52"/>
  <c r="X16" i="52"/>
  <c r="Y16" i="52" s="1"/>
  <c r="M24" i="52"/>
  <c r="X24" i="52"/>
  <c r="Y24" i="52" s="1"/>
  <c r="M32" i="52"/>
  <c r="X32" i="52"/>
  <c r="Y32" i="52" s="1"/>
  <c r="M40" i="52"/>
  <c r="X40" i="52"/>
  <c r="Y40" i="52" s="1"/>
  <c r="M49" i="52"/>
  <c r="M81" i="52"/>
  <c r="AB523" i="52"/>
  <c r="AC523" i="52" s="1"/>
  <c r="X523" i="52"/>
  <c r="Y523" i="52" s="1"/>
  <c r="X578" i="52"/>
  <c r="Y578" i="52" s="1"/>
  <c r="AB578" i="52"/>
  <c r="AC578" i="52" s="1"/>
  <c r="Q584" i="52"/>
  <c r="R584" i="52" s="1"/>
  <c r="T584" i="52"/>
  <c r="AB592" i="52"/>
  <c r="X592" i="52"/>
  <c r="Y592" i="52" s="1"/>
  <c r="R7" i="52"/>
  <c r="X7" i="52"/>
  <c r="Y7" i="52" s="1"/>
  <c r="AC8" i="52"/>
  <c r="X10" i="52"/>
  <c r="Y10" i="52" s="1"/>
  <c r="U13" i="52"/>
  <c r="R14" i="52"/>
  <c r="R15" i="52"/>
  <c r="X15" i="52"/>
  <c r="Y15" i="52" s="1"/>
  <c r="AC16" i="52"/>
  <c r="R17" i="52"/>
  <c r="X18" i="52"/>
  <c r="Y18" i="52" s="1"/>
  <c r="R20" i="52"/>
  <c r="U21" i="52"/>
  <c r="R22" i="52"/>
  <c r="X23" i="52"/>
  <c r="Y23" i="52" s="1"/>
  <c r="AC24" i="52"/>
  <c r="R25" i="52"/>
  <c r="X26" i="52"/>
  <c r="Y26" i="52" s="1"/>
  <c r="U29" i="52"/>
  <c r="R30" i="52"/>
  <c r="X31" i="52"/>
  <c r="Y31" i="52" s="1"/>
  <c r="AC32" i="52"/>
  <c r="R33" i="52"/>
  <c r="X34" i="52"/>
  <c r="Y34" i="52" s="1"/>
  <c r="U37" i="52"/>
  <c r="R38" i="52"/>
  <c r="X39" i="52"/>
  <c r="Y39" i="52" s="1"/>
  <c r="AC40" i="52"/>
  <c r="R41" i="52"/>
  <c r="X42" i="52"/>
  <c r="Y42" i="52" s="1"/>
  <c r="U43" i="52"/>
  <c r="X45" i="52"/>
  <c r="Y45" i="52" s="1"/>
  <c r="AC46" i="52"/>
  <c r="R47" i="52"/>
  <c r="X48" i="52"/>
  <c r="Y48" i="52" s="1"/>
  <c r="Y50" i="52"/>
  <c r="Y52" i="52"/>
  <c r="R53" i="52"/>
  <c r="X53" i="52"/>
  <c r="Y53" i="52" s="1"/>
  <c r="U55" i="52"/>
  <c r="R56" i="52"/>
  <c r="R59" i="52"/>
  <c r="Y60" i="52"/>
  <c r="Y62" i="52"/>
  <c r="R65" i="52"/>
  <c r="R67" i="52"/>
  <c r="U69" i="52"/>
  <c r="R70" i="52"/>
  <c r="U71" i="52"/>
  <c r="R72" i="52"/>
  <c r="U73" i="52"/>
  <c r="R74" i="52"/>
  <c r="X75" i="52"/>
  <c r="Y75" i="52" s="1"/>
  <c r="AC76" i="52"/>
  <c r="R77" i="52"/>
  <c r="X78" i="52"/>
  <c r="Y78" i="52" s="1"/>
  <c r="R80" i="52"/>
  <c r="Y80" i="52"/>
  <c r="Y82" i="52"/>
  <c r="R83" i="52"/>
  <c r="Y84" i="52"/>
  <c r="R87" i="52"/>
  <c r="X88" i="52"/>
  <c r="Y88" i="52" s="1"/>
  <c r="U91" i="52"/>
  <c r="R92" i="52"/>
  <c r="R93" i="52"/>
  <c r="X93" i="52"/>
  <c r="Y93" i="52" s="1"/>
  <c r="AC94" i="52"/>
  <c r="X96" i="52"/>
  <c r="Y96" i="52" s="1"/>
  <c r="U100" i="52"/>
  <c r="R101" i="52"/>
  <c r="M104" i="52"/>
  <c r="Y104" i="52"/>
  <c r="R114" i="52"/>
  <c r="R115" i="52"/>
  <c r="R117" i="52"/>
  <c r="R120" i="52"/>
  <c r="U126" i="52"/>
  <c r="X127" i="52"/>
  <c r="Y127" i="52" s="1"/>
  <c r="AB127" i="52"/>
  <c r="AC127" i="52" s="1"/>
  <c r="R147" i="52"/>
  <c r="U162" i="52"/>
  <c r="X163" i="52"/>
  <c r="Y163" i="52" s="1"/>
  <c r="AB163" i="52"/>
  <c r="AC163" i="52" s="1"/>
  <c r="AB176" i="52"/>
  <c r="AC176" i="52" s="1"/>
  <c r="X12" i="52"/>
  <c r="Y12" i="52" s="1"/>
  <c r="X20" i="52"/>
  <c r="Y20" i="52" s="1"/>
  <c r="X28" i="52"/>
  <c r="Y28" i="52" s="1"/>
  <c r="X36" i="52"/>
  <c r="Y36" i="52" s="1"/>
  <c r="AC42" i="52"/>
  <c r="M57" i="52"/>
  <c r="M59" i="52"/>
  <c r="M83" i="52"/>
  <c r="X90" i="52"/>
  <c r="Y90" i="52" s="1"/>
  <c r="Y100" i="52"/>
  <c r="M101" i="52"/>
  <c r="X151" i="52"/>
  <c r="Y151" i="52" s="1"/>
  <c r="AB151" i="52"/>
  <c r="AC151" i="52" s="1"/>
  <c r="AB341" i="52"/>
  <c r="AC341" i="52" s="1"/>
  <c r="X341" i="52"/>
  <c r="Y341" i="52" s="1"/>
  <c r="AB354" i="52"/>
  <c r="AC354" i="52" s="1"/>
  <c r="M354" i="52"/>
  <c r="X354" i="52"/>
  <c r="Y354" i="52" s="1"/>
  <c r="AB387" i="52"/>
  <c r="AC387" i="52" s="1"/>
  <c r="X387" i="52"/>
  <c r="Y387" i="52" s="1"/>
  <c r="AB410" i="52"/>
  <c r="AC410" i="52" s="1"/>
  <c r="X410" i="52"/>
  <c r="Y410" i="52" s="1"/>
  <c r="X6" i="52"/>
  <c r="Y6" i="52" s="1"/>
  <c r="U9" i="52"/>
  <c r="AC12" i="52"/>
  <c r="Y13" i="52"/>
  <c r="X14" i="52"/>
  <c r="Y14" i="52" s="1"/>
  <c r="R16" i="52"/>
  <c r="U17" i="52"/>
  <c r="AC20" i="52"/>
  <c r="R21" i="52"/>
  <c r="X22" i="52"/>
  <c r="Y22" i="52" s="1"/>
  <c r="R24" i="52"/>
  <c r="U25" i="52"/>
  <c r="AC28" i="52"/>
  <c r="R29" i="52"/>
  <c r="X30" i="52"/>
  <c r="Y30" i="52" s="1"/>
  <c r="U33" i="52"/>
  <c r="R34" i="52"/>
  <c r="R35" i="52"/>
  <c r="AC36" i="52"/>
  <c r="X38" i="52"/>
  <c r="Y38" i="52" s="1"/>
  <c r="U41" i="52"/>
  <c r="R43" i="52"/>
  <c r="X44" i="52"/>
  <c r="Y44" i="52" s="1"/>
  <c r="R46" i="52"/>
  <c r="U47" i="52"/>
  <c r="R48" i="52"/>
  <c r="AC53" i="52"/>
  <c r="R55" i="52"/>
  <c r="Y56" i="52"/>
  <c r="U59" i="52"/>
  <c r="R60" i="52"/>
  <c r="U61" i="52"/>
  <c r="R62" i="52"/>
  <c r="U63" i="52"/>
  <c r="U65" i="52"/>
  <c r="R66" i="52"/>
  <c r="AC67" i="52"/>
  <c r="Y70" i="52"/>
  <c r="M71" i="52"/>
  <c r="Y72" i="52"/>
  <c r="X74" i="52"/>
  <c r="Y74" i="52" s="1"/>
  <c r="U77" i="52"/>
  <c r="R79" i="52"/>
  <c r="R81" i="52"/>
  <c r="U83" i="52"/>
  <c r="R84" i="52"/>
  <c r="U85" i="52"/>
  <c r="U87" i="52"/>
  <c r="R88" i="52"/>
  <c r="AC90" i="52"/>
  <c r="R91" i="52"/>
  <c r="X92" i="52"/>
  <c r="Y92" i="52" s="1"/>
  <c r="R94" i="52"/>
  <c r="U95" i="52"/>
  <c r="R96" i="52"/>
  <c r="Y99" i="52"/>
  <c r="U103" i="52"/>
  <c r="R131" i="52"/>
  <c r="U142" i="52"/>
  <c r="X143" i="52"/>
  <c r="Y143" i="52" s="1"/>
  <c r="AB143" i="52"/>
  <c r="AC143" i="52" s="1"/>
  <c r="R167" i="52"/>
  <c r="X202" i="52"/>
  <c r="Y202" i="52" s="1"/>
  <c r="AB202" i="52"/>
  <c r="AC202" i="52" s="1"/>
  <c r="X98" i="52"/>
  <c r="Y98" i="52" s="1"/>
  <c r="M102" i="52"/>
  <c r="R103" i="52"/>
  <c r="AC105" i="52"/>
  <c r="Y106" i="52"/>
  <c r="Y107" i="52"/>
  <c r="U108" i="52"/>
  <c r="U111" i="52"/>
  <c r="Y112" i="52"/>
  <c r="M113" i="52"/>
  <c r="U115" i="52"/>
  <c r="X117" i="52"/>
  <c r="Y117" i="52" s="1"/>
  <c r="M118" i="52"/>
  <c r="U125" i="52"/>
  <c r="R126" i="52"/>
  <c r="M129" i="52"/>
  <c r="Y129" i="52"/>
  <c r="U133" i="52"/>
  <c r="R134" i="52"/>
  <c r="M137" i="52"/>
  <c r="Y137" i="52"/>
  <c r="U141" i="52"/>
  <c r="R142" i="52"/>
  <c r="M145" i="52"/>
  <c r="Y145" i="52"/>
  <c r="U149" i="52"/>
  <c r="R150" i="52"/>
  <c r="M153" i="52"/>
  <c r="Y153" i="52"/>
  <c r="U157" i="52"/>
  <c r="U161" i="52"/>
  <c r="R162" i="52"/>
  <c r="M165" i="52"/>
  <c r="U169" i="52"/>
  <c r="R170" i="52"/>
  <c r="M173" i="52"/>
  <c r="U175" i="52"/>
  <c r="U176" i="52"/>
  <c r="M180" i="52"/>
  <c r="R180" i="52"/>
  <c r="Y180" i="52"/>
  <c r="M184" i="52"/>
  <c r="R184" i="52"/>
  <c r="Y184" i="52"/>
  <c r="M188" i="52"/>
  <c r="R188" i="52"/>
  <c r="Y188" i="52"/>
  <c r="M192" i="52"/>
  <c r="R192" i="52"/>
  <c r="Y192" i="52"/>
  <c r="M196" i="52"/>
  <c r="R196" i="52"/>
  <c r="Y196" i="52"/>
  <c r="M200" i="52"/>
  <c r="Y201" i="52"/>
  <c r="X230" i="52"/>
  <c r="Y230" i="52" s="1"/>
  <c r="AB230" i="52"/>
  <c r="AC230" i="52" s="1"/>
  <c r="AB234" i="52"/>
  <c r="AC234" i="52" s="1"/>
  <c r="AB236" i="52"/>
  <c r="AC236" i="52" s="1"/>
  <c r="X236" i="52"/>
  <c r="Y236" i="52" s="1"/>
  <c r="X264" i="52"/>
  <c r="Y264" i="52" s="1"/>
  <c r="M264" i="52"/>
  <c r="AB264" i="52"/>
  <c r="AC264" i="52" s="1"/>
  <c r="AB333" i="52"/>
  <c r="AC333" i="52" s="1"/>
  <c r="X333" i="52"/>
  <c r="Y333" i="52" s="1"/>
  <c r="AB346" i="52"/>
  <c r="AC346" i="52" s="1"/>
  <c r="M346" i="52"/>
  <c r="X346" i="52"/>
  <c r="Y346" i="52" s="1"/>
  <c r="AB365" i="52"/>
  <c r="AC365" i="52" s="1"/>
  <c r="X365" i="52"/>
  <c r="Y365" i="52" s="1"/>
  <c r="R106" i="52"/>
  <c r="R107" i="52"/>
  <c r="R108" i="52"/>
  <c r="Y108" i="52"/>
  <c r="M109" i="52"/>
  <c r="R110" i="52"/>
  <c r="Y114" i="52"/>
  <c r="Y115" i="52"/>
  <c r="U123" i="52"/>
  <c r="M127" i="52"/>
  <c r="U131" i="52"/>
  <c r="M135" i="52"/>
  <c r="M138" i="52"/>
  <c r="U139" i="52"/>
  <c r="M143" i="52"/>
  <c r="U147" i="52"/>
  <c r="M151" i="52"/>
  <c r="U155" i="52"/>
  <c r="U159" i="52"/>
  <c r="M163" i="52"/>
  <c r="U167" i="52"/>
  <c r="M171" i="52"/>
  <c r="X173" i="52"/>
  <c r="Y173" i="52" s="1"/>
  <c r="M202" i="52"/>
  <c r="X204" i="52"/>
  <c r="Y204" i="52" s="1"/>
  <c r="AB204" i="52"/>
  <c r="AC204" i="52" s="1"/>
  <c r="U204" i="52"/>
  <c r="M248" i="52"/>
  <c r="AB274" i="52"/>
  <c r="AC274" i="52" s="1"/>
  <c r="X276" i="52"/>
  <c r="Y276" i="52" s="1"/>
  <c r="AB276" i="52"/>
  <c r="AC276" i="52" s="1"/>
  <c r="AB325" i="52"/>
  <c r="AC325" i="52" s="1"/>
  <c r="X325" i="52"/>
  <c r="Y325" i="52" s="1"/>
  <c r="AB338" i="52"/>
  <c r="AC338" i="52" s="1"/>
  <c r="M338" i="52"/>
  <c r="X338" i="52"/>
  <c r="Y338" i="52" s="1"/>
  <c r="AB357" i="52"/>
  <c r="AC357" i="52" s="1"/>
  <c r="X357" i="52"/>
  <c r="Y357" i="52" s="1"/>
  <c r="AB370" i="52"/>
  <c r="AC370" i="52" s="1"/>
  <c r="M370" i="52"/>
  <c r="X370" i="52"/>
  <c r="Y370" i="52" s="1"/>
  <c r="AB376" i="52"/>
  <c r="AC376" i="52" s="1"/>
  <c r="M376" i="52"/>
  <c r="X376" i="52"/>
  <c r="Y376" i="52" s="1"/>
  <c r="AB414" i="52"/>
  <c r="X414" i="52"/>
  <c r="Y414" i="52" s="1"/>
  <c r="X607" i="52"/>
  <c r="Y607" i="52" s="1"/>
  <c r="AB607" i="52"/>
  <c r="AC607" i="52" s="1"/>
  <c r="R121" i="52"/>
  <c r="R122" i="52"/>
  <c r="U129" i="52"/>
  <c r="R130" i="52"/>
  <c r="Y133" i="52"/>
  <c r="U137" i="52"/>
  <c r="R138" i="52"/>
  <c r="U145" i="52"/>
  <c r="R146" i="52"/>
  <c r="U153" i="52"/>
  <c r="R154" i="52"/>
  <c r="Y157" i="52"/>
  <c r="R158" i="52"/>
  <c r="Y161" i="52"/>
  <c r="U165" i="52"/>
  <c r="R166" i="52"/>
  <c r="Y169" i="52"/>
  <c r="U173" i="52"/>
  <c r="Y178" i="52"/>
  <c r="Y190" i="52"/>
  <c r="Y194" i="52"/>
  <c r="U202" i="52"/>
  <c r="AB210" i="52"/>
  <c r="AC210" i="52" s="1"/>
  <c r="X210" i="52"/>
  <c r="Y210" i="52" s="1"/>
  <c r="X224" i="52"/>
  <c r="Y224" i="52" s="1"/>
  <c r="M224" i="52"/>
  <c r="AB224" i="52"/>
  <c r="Y234" i="52"/>
  <c r="AB282" i="52"/>
  <c r="AC282" i="52" s="1"/>
  <c r="X282" i="52"/>
  <c r="Y282" i="52" s="1"/>
  <c r="T314" i="52"/>
  <c r="U314" i="52" s="1"/>
  <c r="AB330" i="52"/>
  <c r="AC330" i="52" s="1"/>
  <c r="M330" i="52"/>
  <c r="X330" i="52"/>
  <c r="Y330" i="52" s="1"/>
  <c r="AB349" i="52"/>
  <c r="AC349" i="52" s="1"/>
  <c r="X349" i="52"/>
  <c r="Y349" i="52" s="1"/>
  <c r="AB362" i="52"/>
  <c r="AC362" i="52" s="1"/>
  <c r="M362" i="52"/>
  <c r="X362" i="52"/>
  <c r="Y362" i="52" s="1"/>
  <c r="AB389" i="52"/>
  <c r="AC389" i="52" s="1"/>
  <c r="X389" i="52"/>
  <c r="Y389" i="52" s="1"/>
  <c r="AB391" i="52"/>
  <c r="AC391" i="52" s="1"/>
  <c r="X391" i="52"/>
  <c r="Y391" i="52" s="1"/>
  <c r="AB393" i="52"/>
  <c r="AC393" i="52" s="1"/>
  <c r="X393" i="52"/>
  <c r="Y393" i="52" s="1"/>
  <c r="AB395" i="52"/>
  <c r="AC395" i="52" s="1"/>
  <c r="X395" i="52"/>
  <c r="Y395" i="52" s="1"/>
  <c r="AB397" i="52"/>
  <c r="AC397" i="52" s="1"/>
  <c r="X397" i="52"/>
  <c r="Y397" i="52" s="1"/>
  <c r="AB413" i="52"/>
  <c r="AC413" i="52" s="1"/>
  <c r="X413" i="52"/>
  <c r="Y413" i="52" s="1"/>
  <c r="AB442" i="52"/>
  <c r="AC442" i="52" s="1"/>
  <c r="X442" i="52"/>
  <c r="Y442" i="52" s="1"/>
  <c r="M442" i="52"/>
  <c r="X599" i="52"/>
  <c r="Y599" i="52" s="1"/>
  <c r="AB599" i="52"/>
  <c r="AC599" i="52" s="1"/>
  <c r="M274" i="52"/>
  <c r="Y274" i="52"/>
  <c r="M276" i="52"/>
  <c r="M282" i="52"/>
  <c r="AB285" i="52"/>
  <c r="AC285" i="52" s="1"/>
  <c r="M291" i="52"/>
  <c r="AB307" i="52"/>
  <c r="AC307" i="52" s="1"/>
  <c r="AB309" i="52"/>
  <c r="AC309" i="52" s="1"/>
  <c r="AB311" i="52"/>
  <c r="AC311" i="52" s="1"/>
  <c r="AB313" i="52"/>
  <c r="AC313" i="52" s="1"/>
  <c r="L584" i="52"/>
  <c r="L590" i="52" s="1"/>
  <c r="M325" i="52"/>
  <c r="M333" i="52"/>
  <c r="M341" i="52"/>
  <c r="M349" i="52"/>
  <c r="M357" i="52"/>
  <c r="M365" i="52"/>
  <c r="AC375" i="52"/>
  <c r="X381" i="52"/>
  <c r="Y381" i="52" s="1"/>
  <c r="AB381" i="52"/>
  <c r="AC381" i="52" s="1"/>
  <c r="M387" i="52"/>
  <c r="M389" i="52"/>
  <c r="M391" i="52"/>
  <c r="M393" i="52"/>
  <c r="M395" i="52"/>
  <c r="M397" i="52"/>
  <c r="AB405" i="52"/>
  <c r="AC405" i="52" s="1"/>
  <c r="X405" i="52"/>
  <c r="Y405" i="52" s="1"/>
  <c r="M410" i="52"/>
  <c r="M413" i="52"/>
  <c r="M414" i="52"/>
  <c r="AB421" i="52"/>
  <c r="AC421" i="52" s="1"/>
  <c r="X421" i="52"/>
  <c r="Y421" i="52" s="1"/>
  <c r="X449" i="52"/>
  <c r="Y449" i="52" s="1"/>
  <c r="AB449" i="52"/>
  <c r="AC449" i="52" s="1"/>
  <c r="M449" i="52"/>
  <c r="X461" i="52"/>
  <c r="Y461" i="52" s="1"/>
  <c r="AB461" i="52"/>
  <c r="AC461" i="52" s="1"/>
  <c r="AB507" i="52"/>
  <c r="AC507" i="52" s="1"/>
  <c r="X507" i="52"/>
  <c r="Y507" i="52" s="1"/>
  <c r="AB515" i="52"/>
  <c r="AC515" i="52" s="1"/>
  <c r="X515" i="52"/>
  <c r="Y515" i="52" s="1"/>
  <c r="M523" i="52"/>
  <c r="AB531" i="52"/>
  <c r="AC531" i="52" s="1"/>
  <c r="X531" i="52"/>
  <c r="Y531" i="52" s="1"/>
  <c r="M547" i="52"/>
  <c r="X570" i="52"/>
  <c r="Y570" i="52" s="1"/>
  <c r="AB570" i="52"/>
  <c r="AC570" i="52" s="1"/>
  <c r="M578" i="52"/>
  <c r="M592" i="52"/>
  <c r="M599" i="52"/>
  <c r="M607" i="52"/>
  <c r="X19" i="55"/>
  <c r="X18" i="55"/>
  <c r="X23" i="55"/>
  <c r="X22" i="55"/>
  <c r="M175" i="52"/>
  <c r="U203" i="52"/>
  <c r="U205" i="52"/>
  <c r="M206" i="52"/>
  <c r="R206" i="52"/>
  <c r="X206" i="52"/>
  <c r="Y206" i="52" s="1"/>
  <c r="R211" i="52"/>
  <c r="U213" i="52"/>
  <c r="R214" i="52"/>
  <c r="Y214" i="52"/>
  <c r="U216" i="52"/>
  <c r="U223" i="52"/>
  <c r="U225" i="52"/>
  <c r="X228" i="52"/>
  <c r="Y228" i="52" s="1"/>
  <c r="M238" i="52"/>
  <c r="X238" i="52"/>
  <c r="Y238" i="52" s="1"/>
  <c r="R243" i="52"/>
  <c r="Y245" i="52"/>
  <c r="U249" i="52"/>
  <c r="R250" i="52"/>
  <c r="Y250" i="52"/>
  <c r="U252" i="52"/>
  <c r="R257" i="52"/>
  <c r="AB258" i="52"/>
  <c r="AC258" i="52" s="1"/>
  <c r="U259" i="52"/>
  <c r="U263" i="52"/>
  <c r="U265" i="52"/>
  <c r="X268" i="52"/>
  <c r="Y268" i="52" s="1"/>
  <c r="AB270" i="52"/>
  <c r="AC270" i="52" s="1"/>
  <c r="U282" i="52"/>
  <c r="Y286" i="52"/>
  <c r="Y289" i="52"/>
  <c r="U293" i="52"/>
  <c r="R318" i="52"/>
  <c r="Y322" i="52"/>
  <c r="X323" i="52"/>
  <c r="Y323" i="52" s="1"/>
  <c r="M326" i="52"/>
  <c r="X331" i="52"/>
  <c r="Y331" i="52" s="1"/>
  <c r="M334" i="52"/>
  <c r="R336" i="52"/>
  <c r="X339" i="52"/>
  <c r="Y339" i="52" s="1"/>
  <c r="M342" i="52"/>
  <c r="X347" i="52"/>
  <c r="Y347" i="52" s="1"/>
  <c r="M350" i="52"/>
  <c r="X355" i="52"/>
  <c r="Y355" i="52" s="1"/>
  <c r="M358" i="52"/>
  <c r="X363" i="52"/>
  <c r="Y363" i="52" s="1"/>
  <c r="M366" i="52"/>
  <c r="AB372" i="52"/>
  <c r="AC372" i="52" s="1"/>
  <c r="X372" i="52"/>
  <c r="Y372" i="52" s="1"/>
  <c r="U372" i="52"/>
  <c r="M375" i="52"/>
  <c r="R378" i="52"/>
  <c r="M380" i="52"/>
  <c r="X380" i="52"/>
  <c r="Y380" i="52" s="1"/>
  <c r="M381" i="52"/>
  <c r="Y383" i="52"/>
  <c r="Y385" i="52"/>
  <c r="AB401" i="52"/>
  <c r="AC401" i="52" s="1"/>
  <c r="X401" i="52"/>
  <c r="Y401" i="52" s="1"/>
  <c r="M406" i="52"/>
  <c r="M409" i="52"/>
  <c r="M417" i="52"/>
  <c r="M418" i="52"/>
  <c r="M424" i="52"/>
  <c r="AB432" i="52"/>
  <c r="AC432" i="52" s="1"/>
  <c r="X432" i="52"/>
  <c r="Y432" i="52" s="1"/>
  <c r="AB433" i="52"/>
  <c r="AC433" i="52" s="1"/>
  <c r="M433" i="52"/>
  <c r="X433" i="52"/>
  <c r="AB448" i="52"/>
  <c r="AC448" i="52" s="1"/>
  <c r="X448" i="52"/>
  <c r="Y448" i="52" s="1"/>
  <c r="X458" i="52"/>
  <c r="Y458" i="52" s="1"/>
  <c r="AB458" i="52"/>
  <c r="AC458" i="52" s="1"/>
  <c r="M458" i="52"/>
  <c r="R200" i="52"/>
  <c r="Y200" i="52"/>
  <c r="R203" i="52"/>
  <c r="R205" i="52"/>
  <c r="X208" i="52"/>
  <c r="Y208" i="52" s="1"/>
  <c r="Y209" i="52"/>
  <c r="R212" i="52"/>
  <c r="Y212" i="52"/>
  <c r="R217" i="52"/>
  <c r="AC218" i="52"/>
  <c r="R231" i="52"/>
  <c r="Y233" i="52"/>
  <c r="U237" i="52"/>
  <c r="X240" i="52"/>
  <c r="Y240" i="52" s="1"/>
  <c r="Y241" i="52"/>
  <c r="R253" i="52"/>
  <c r="R256" i="52"/>
  <c r="R258" i="52"/>
  <c r="R271" i="52"/>
  <c r="Y273" i="52"/>
  <c r="U277" i="52"/>
  <c r="R278" i="52"/>
  <c r="Y281" i="52"/>
  <c r="R283" i="52"/>
  <c r="U284" i="52"/>
  <c r="U290" i="52"/>
  <c r="AB290" i="52"/>
  <c r="AC290" i="52" s="1"/>
  <c r="R291" i="52"/>
  <c r="Y291" i="52"/>
  <c r="X296" i="52"/>
  <c r="Y296" i="52" s="1"/>
  <c r="X326" i="52"/>
  <c r="Y326" i="52" s="1"/>
  <c r="X327" i="52"/>
  <c r="Y327" i="52" s="1"/>
  <c r="X329" i="52"/>
  <c r="Y329" i="52" s="1"/>
  <c r="R333" i="52"/>
  <c r="X334" i="52"/>
  <c r="Y334" i="52" s="1"/>
  <c r="X335" i="52"/>
  <c r="Y335" i="52" s="1"/>
  <c r="X337" i="52"/>
  <c r="Y337" i="52" s="1"/>
  <c r="R341" i="52"/>
  <c r="X342" i="52"/>
  <c r="Y342" i="52" s="1"/>
  <c r="X343" i="52"/>
  <c r="Y343" i="52" s="1"/>
  <c r="X345" i="52"/>
  <c r="Y345" i="52" s="1"/>
  <c r="X350" i="52"/>
  <c r="Y350" i="52" s="1"/>
  <c r="X351" i="52"/>
  <c r="Y351" i="52" s="1"/>
  <c r="X353" i="52"/>
  <c r="Y353" i="52" s="1"/>
  <c r="X358" i="52"/>
  <c r="Y358" i="52" s="1"/>
  <c r="X359" i="52"/>
  <c r="Y359" i="52" s="1"/>
  <c r="X361" i="52"/>
  <c r="Y361" i="52" s="1"/>
  <c r="X366" i="52"/>
  <c r="Y366" i="52" s="1"/>
  <c r="X367" i="52"/>
  <c r="Y367" i="52" s="1"/>
  <c r="X369" i="52"/>
  <c r="Y369" i="52" s="1"/>
  <c r="X375" i="52"/>
  <c r="Y375" i="52" s="1"/>
  <c r="R377" i="52"/>
  <c r="Y377" i="52"/>
  <c r="R379" i="52"/>
  <c r="U385" i="52"/>
  <c r="X388" i="52"/>
  <c r="Y388" i="52" s="1"/>
  <c r="X402" i="52"/>
  <c r="Y402" i="52" s="1"/>
  <c r="AB409" i="52"/>
  <c r="AC409" i="52" s="1"/>
  <c r="X409" i="52"/>
  <c r="Y409" i="52" s="1"/>
  <c r="U416" i="52"/>
  <c r="X417" i="52"/>
  <c r="Y417" i="52" s="1"/>
  <c r="AB417" i="52"/>
  <c r="AC417" i="52" s="1"/>
  <c r="X436" i="52"/>
  <c r="Y436" i="52" s="1"/>
  <c r="R474" i="52"/>
  <c r="M16" i="62"/>
  <c r="U207" i="52"/>
  <c r="U209" i="52"/>
  <c r="M210" i="52"/>
  <c r="R210" i="52"/>
  <c r="R213" i="52"/>
  <c r="U217" i="52"/>
  <c r="M218" i="52"/>
  <c r="R218" i="52"/>
  <c r="R221" i="52"/>
  <c r="U227" i="52"/>
  <c r="U229" i="52"/>
  <c r="M230" i="52"/>
  <c r="R230" i="52"/>
  <c r="R235" i="52"/>
  <c r="U239" i="52"/>
  <c r="U241" i="52"/>
  <c r="M242" i="52"/>
  <c r="R242" i="52"/>
  <c r="Y244" i="52"/>
  <c r="R247" i="52"/>
  <c r="R249" i="52"/>
  <c r="U253" i="52"/>
  <c r="M254" i="52"/>
  <c r="R254" i="52"/>
  <c r="Y256" i="52"/>
  <c r="R259" i="52"/>
  <c r="R261" i="52"/>
  <c r="U267" i="52"/>
  <c r="U269" i="52"/>
  <c r="M270" i="52"/>
  <c r="R270" i="52"/>
  <c r="Y270" i="52"/>
  <c r="R275" i="52"/>
  <c r="R277" i="52"/>
  <c r="AC278" i="52"/>
  <c r="U283" i="52"/>
  <c r="M286" i="52"/>
  <c r="AC288" i="52"/>
  <c r="U288" i="52"/>
  <c r="M289" i="52"/>
  <c r="R294" i="52"/>
  <c r="R295" i="52"/>
  <c r="U298" i="52"/>
  <c r="U299" i="52"/>
  <c r="U302" i="52"/>
  <c r="U303" i="52"/>
  <c r="U307" i="52"/>
  <c r="U309" i="52"/>
  <c r="U311" i="52"/>
  <c r="U313" i="52"/>
  <c r="U315" i="52"/>
  <c r="AB315" i="52"/>
  <c r="AC315" i="52" s="1"/>
  <c r="U317" i="52"/>
  <c r="AB317" i="52"/>
  <c r="AC317" i="52" s="1"/>
  <c r="U319" i="52"/>
  <c r="AB319" i="52"/>
  <c r="AC319" i="52" s="1"/>
  <c r="U324" i="52"/>
  <c r="R326" i="52"/>
  <c r="U328" i="52"/>
  <c r="AC329" i="52"/>
  <c r="R330" i="52"/>
  <c r="R331" i="52"/>
  <c r="U332" i="52"/>
  <c r="R334" i="52"/>
  <c r="U336" i="52"/>
  <c r="AC337" i="52"/>
  <c r="R338" i="52"/>
  <c r="U340" i="52"/>
  <c r="R342" i="52"/>
  <c r="U344" i="52"/>
  <c r="AC345" i="52"/>
  <c r="R346" i="52"/>
  <c r="R347" i="52"/>
  <c r="U348" i="52"/>
  <c r="R350" i="52"/>
  <c r="U352" i="52"/>
  <c r="AC353" i="52"/>
  <c r="R354" i="52"/>
  <c r="U356" i="52"/>
  <c r="R358" i="52"/>
  <c r="U360" i="52"/>
  <c r="AC361" i="52"/>
  <c r="R362" i="52"/>
  <c r="R363" i="52"/>
  <c r="U364" i="52"/>
  <c r="R366" i="52"/>
  <c r="R367" i="52"/>
  <c r="U368" i="52"/>
  <c r="AC369" i="52"/>
  <c r="R370" i="52"/>
  <c r="R371" i="52"/>
  <c r="Y371" i="52"/>
  <c r="U374" i="52"/>
  <c r="R376" i="52"/>
  <c r="U378" i="52"/>
  <c r="AC379" i="52"/>
  <c r="R382" i="52"/>
  <c r="U384" i="52"/>
  <c r="AB385" i="52"/>
  <c r="AC385" i="52" s="1"/>
  <c r="R386" i="52"/>
  <c r="R387" i="52"/>
  <c r="X390" i="52"/>
  <c r="Y390" i="52" s="1"/>
  <c r="X394" i="52"/>
  <c r="Y394" i="52" s="1"/>
  <c r="AC398" i="52"/>
  <c r="R399" i="52"/>
  <c r="X400" i="52"/>
  <c r="Y400" i="52" s="1"/>
  <c r="U403" i="52"/>
  <c r="AC406" i="52"/>
  <c r="R407" i="52"/>
  <c r="X408" i="52"/>
  <c r="Y408" i="52" s="1"/>
  <c r="U411" i="52"/>
  <c r="R413" i="52"/>
  <c r="U415" i="52"/>
  <c r="X416" i="52"/>
  <c r="Y416" i="52" s="1"/>
  <c r="R421" i="52"/>
  <c r="AC423" i="52"/>
  <c r="R429" i="52"/>
  <c r="R431" i="52"/>
  <c r="R432" i="52"/>
  <c r="U434" i="52"/>
  <c r="AC434" i="52"/>
  <c r="U441" i="52"/>
  <c r="X444" i="52"/>
  <c r="Y444" i="52" s="1"/>
  <c r="U451" i="52"/>
  <c r="AB451" i="52"/>
  <c r="AC451" i="52" s="1"/>
  <c r="R459" i="52"/>
  <c r="Y459" i="52"/>
  <c r="R463" i="52"/>
  <c r="R471" i="52"/>
  <c r="M489" i="52"/>
  <c r="R499" i="52"/>
  <c r="R507" i="52"/>
  <c r="U510" i="52"/>
  <c r="X511" i="52"/>
  <c r="Y511" i="52" s="1"/>
  <c r="AB511" i="52"/>
  <c r="AC511" i="52" s="1"/>
  <c r="R515" i="52"/>
  <c r="X527" i="52"/>
  <c r="Y527" i="52" s="1"/>
  <c r="AB527" i="52"/>
  <c r="AC527" i="52" s="1"/>
  <c r="R531" i="52"/>
  <c r="M538" i="52"/>
  <c r="X546" i="52"/>
  <c r="Y546" i="52" s="1"/>
  <c r="AB546" i="52"/>
  <c r="AC546" i="52" s="1"/>
  <c r="Y547" i="52"/>
  <c r="M552" i="52"/>
  <c r="M553" i="52"/>
  <c r="M566" i="52"/>
  <c r="X574" i="52"/>
  <c r="Y574" i="52" s="1"/>
  <c r="AB574" i="52"/>
  <c r="AC574" i="52" s="1"/>
  <c r="M582" i="52"/>
  <c r="X588" i="52"/>
  <c r="Y588" i="52" s="1"/>
  <c r="AB588" i="52"/>
  <c r="AC588" i="52" s="1"/>
  <c r="I610" i="52"/>
  <c r="M591" i="52"/>
  <c r="AA610" i="52"/>
  <c r="AB600" i="52"/>
  <c r="AC600" i="52" s="1"/>
  <c r="X600" i="52"/>
  <c r="Y600" i="52" s="1"/>
  <c r="U382" i="52"/>
  <c r="R384" i="52"/>
  <c r="U386" i="52"/>
  <c r="X392" i="52"/>
  <c r="Y392" i="52" s="1"/>
  <c r="X396" i="52"/>
  <c r="Y396" i="52" s="1"/>
  <c r="U399" i="52"/>
  <c r="AC402" i="52"/>
  <c r="R403" i="52"/>
  <c r="X404" i="52"/>
  <c r="Y404" i="52" s="1"/>
  <c r="U407" i="52"/>
  <c r="R409" i="52"/>
  <c r="X412" i="52"/>
  <c r="Y412" i="52" s="1"/>
  <c r="R417" i="52"/>
  <c r="U419" i="52"/>
  <c r="X420" i="52"/>
  <c r="Y420" i="52" s="1"/>
  <c r="M423" i="52"/>
  <c r="R423" i="52"/>
  <c r="X423" i="52"/>
  <c r="Y423" i="52" s="1"/>
  <c r="AC424" i="52"/>
  <c r="R426" i="52"/>
  <c r="X428" i="52"/>
  <c r="Y428" i="52" s="1"/>
  <c r="U435" i="52"/>
  <c r="AB435" i="52"/>
  <c r="AC435" i="52" s="1"/>
  <c r="R445" i="52"/>
  <c r="M447" i="52"/>
  <c r="R447" i="52"/>
  <c r="X447" i="52"/>
  <c r="Y447" i="52" s="1"/>
  <c r="R448" i="52"/>
  <c r="U450" i="52"/>
  <c r="Y451" i="52"/>
  <c r="U457" i="52"/>
  <c r="U459" i="52"/>
  <c r="X460" i="52"/>
  <c r="Y460" i="52" s="1"/>
  <c r="AB460" i="52"/>
  <c r="AC460" i="52" s="1"/>
  <c r="R461" i="52"/>
  <c r="R467" i="52"/>
  <c r="M469" i="52"/>
  <c r="R475" i="52"/>
  <c r="M493" i="52"/>
  <c r="U502" i="52"/>
  <c r="X503" i="52"/>
  <c r="Y503" i="52" s="1"/>
  <c r="AB503" i="52"/>
  <c r="AC503" i="52" s="1"/>
  <c r="X519" i="52"/>
  <c r="Y519" i="52" s="1"/>
  <c r="AB519" i="52"/>
  <c r="AC519" i="52" s="1"/>
  <c r="R523" i="52"/>
  <c r="AB538" i="52"/>
  <c r="AC538" i="52" s="1"/>
  <c r="X538" i="52"/>
  <c r="Y538" i="52" s="1"/>
  <c r="AB552" i="52"/>
  <c r="AC552" i="52" s="1"/>
  <c r="X552" i="52"/>
  <c r="Y552" i="52" s="1"/>
  <c r="X566" i="52"/>
  <c r="Y566" i="52" s="1"/>
  <c r="AB566" i="52"/>
  <c r="AC566" i="52" s="1"/>
  <c r="X582" i="52"/>
  <c r="Y582" i="52" s="1"/>
  <c r="AB582" i="52"/>
  <c r="AC582" i="52" s="1"/>
  <c r="L610" i="52"/>
  <c r="X591" i="52"/>
  <c r="Y591" i="52" s="1"/>
  <c r="AB591" i="52"/>
  <c r="AC591" i="52" s="1"/>
  <c r="X422" i="52"/>
  <c r="Y422" i="52" s="1"/>
  <c r="U425" i="52"/>
  <c r="X426" i="52"/>
  <c r="Y426" i="52" s="1"/>
  <c r="U429" i="52"/>
  <c r="X430" i="52"/>
  <c r="Y430" i="52" s="1"/>
  <c r="R435" i="52"/>
  <c r="U437" i="52"/>
  <c r="X438" i="52"/>
  <c r="Y438" i="52" s="1"/>
  <c r="R443" i="52"/>
  <c r="U445" i="52"/>
  <c r="X446" i="52"/>
  <c r="Y446" i="52" s="1"/>
  <c r="R451" i="52"/>
  <c r="U453" i="52"/>
  <c r="X454" i="52"/>
  <c r="Y454" i="52" s="1"/>
  <c r="U461" i="52"/>
  <c r="U463" i="52"/>
  <c r="U464" i="52"/>
  <c r="AB464" i="52"/>
  <c r="AC464" i="52" s="1"/>
  <c r="U465" i="52"/>
  <c r="U466" i="52"/>
  <c r="AB466" i="52"/>
  <c r="AC466" i="52" s="1"/>
  <c r="U467" i="52"/>
  <c r="U468" i="52"/>
  <c r="AB468" i="52"/>
  <c r="AC468" i="52" s="1"/>
  <c r="U469" i="52"/>
  <c r="U470" i="52"/>
  <c r="AB470" i="52"/>
  <c r="AC470" i="52" s="1"/>
  <c r="U471" i="52"/>
  <c r="U472" i="52"/>
  <c r="AB472" i="52"/>
  <c r="AC472" i="52" s="1"/>
  <c r="U473" i="52"/>
  <c r="U474" i="52"/>
  <c r="AB474" i="52"/>
  <c r="U475" i="52"/>
  <c r="U476" i="52"/>
  <c r="AB476" i="52"/>
  <c r="U477" i="52"/>
  <c r="U478" i="52"/>
  <c r="AB478" i="52"/>
  <c r="AC478" i="52" s="1"/>
  <c r="U479" i="52"/>
  <c r="U480" i="52"/>
  <c r="AB480" i="52"/>
  <c r="AC480" i="52" s="1"/>
  <c r="U481" i="52"/>
  <c r="U482" i="52"/>
  <c r="AB482" i="52"/>
  <c r="AC482" i="52" s="1"/>
  <c r="U483" i="52"/>
  <c r="U484" i="52"/>
  <c r="AB484" i="52"/>
  <c r="AC484" i="52" s="1"/>
  <c r="U485" i="52"/>
  <c r="U486" i="52"/>
  <c r="AB486" i="52"/>
  <c r="AC486" i="52" s="1"/>
  <c r="U488" i="52"/>
  <c r="AB488" i="52"/>
  <c r="AC488" i="52" s="1"/>
  <c r="U490" i="52"/>
  <c r="AB490" i="52"/>
  <c r="AC490" i="52" s="1"/>
  <c r="U492" i="52"/>
  <c r="AB492" i="52"/>
  <c r="AC492" i="52" s="1"/>
  <c r="U494" i="52"/>
  <c r="AB494" i="52"/>
  <c r="AC494" i="52" s="1"/>
  <c r="U495" i="52"/>
  <c r="R496" i="52"/>
  <c r="Y496" i="52"/>
  <c r="M497" i="52"/>
  <c r="U500" i="52"/>
  <c r="R501" i="52"/>
  <c r="R502" i="52"/>
  <c r="M505" i="52"/>
  <c r="U509" i="52"/>
  <c r="R510" i="52"/>
  <c r="U513" i="52"/>
  <c r="R516" i="52"/>
  <c r="M517" i="52"/>
  <c r="Y517" i="52"/>
  <c r="U518" i="52"/>
  <c r="U521" i="52"/>
  <c r="R524" i="52"/>
  <c r="M525" i="52"/>
  <c r="Y525" i="52"/>
  <c r="U526" i="52"/>
  <c r="U529" i="52"/>
  <c r="R532" i="52"/>
  <c r="M533" i="52"/>
  <c r="Y533" i="52"/>
  <c r="M540" i="52"/>
  <c r="R542" i="52"/>
  <c r="Y542" i="52"/>
  <c r="M544" i="52"/>
  <c r="R545" i="52"/>
  <c r="R546" i="52"/>
  <c r="R548" i="52"/>
  <c r="U550" i="52"/>
  <c r="U551" i="52"/>
  <c r="R552" i="52"/>
  <c r="M568" i="52"/>
  <c r="M576" i="52"/>
  <c r="G610" i="52"/>
  <c r="H610" i="52" s="1"/>
  <c r="H591" i="52"/>
  <c r="G622" i="52" s="1"/>
  <c r="P610" i="52"/>
  <c r="W610" i="52"/>
  <c r="AB595" i="52"/>
  <c r="AC595" i="52" s="1"/>
  <c r="X595" i="52"/>
  <c r="Y595" i="52" s="1"/>
  <c r="M603" i="52"/>
  <c r="M604" i="52"/>
  <c r="AC605" i="52"/>
  <c r="R29" i="55"/>
  <c r="L19" i="55"/>
  <c r="L21" i="55"/>
  <c r="L23" i="55"/>
  <c r="R479" i="52"/>
  <c r="R481" i="52"/>
  <c r="R483" i="52"/>
  <c r="R485" i="52"/>
  <c r="R487" i="52"/>
  <c r="R489" i="52"/>
  <c r="R491" i="52"/>
  <c r="R493" i="52"/>
  <c r="R495" i="52"/>
  <c r="U505" i="52"/>
  <c r="R506" i="52"/>
  <c r="R512" i="52"/>
  <c r="U514" i="52"/>
  <c r="U517" i="52"/>
  <c r="R520" i="52"/>
  <c r="Y521" i="52"/>
  <c r="U522" i="52"/>
  <c r="U525" i="52"/>
  <c r="R528" i="52"/>
  <c r="U530" i="52"/>
  <c r="U533" i="52"/>
  <c r="AB533" i="52"/>
  <c r="AC533" i="52" s="1"/>
  <c r="U535" i="52"/>
  <c r="Y537" i="52"/>
  <c r="U543" i="52"/>
  <c r="AC544" i="52"/>
  <c r="U546" i="52"/>
  <c r="U552" i="52"/>
  <c r="S584" i="52"/>
  <c r="D584" i="52"/>
  <c r="C590" i="52"/>
  <c r="S590" i="52" s="1"/>
  <c r="AB603" i="52"/>
  <c r="AC603" i="52" s="1"/>
  <c r="X603" i="52"/>
  <c r="Y603" i="52" s="1"/>
  <c r="Q610" i="52"/>
  <c r="T610" i="52"/>
  <c r="L15" i="55"/>
  <c r="L16" i="55"/>
  <c r="U555" i="52"/>
  <c r="R556" i="52"/>
  <c r="R557" i="52"/>
  <c r="U560" i="52"/>
  <c r="U563" i="52"/>
  <c r="R564" i="52"/>
  <c r="R595" i="52"/>
  <c r="U597" i="52"/>
  <c r="X598" i="52"/>
  <c r="Y598" i="52" s="1"/>
  <c r="R603" i="52"/>
  <c r="U605" i="52"/>
  <c r="X606" i="52"/>
  <c r="Y606" i="52" s="1"/>
  <c r="U609" i="52"/>
  <c r="AB609" i="52"/>
  <c r="AC609" i="52" s="1"/>
  <c r="AE5" i="55"/>
  <c r="AD6" i="55"/>
  <c r="Z9" i="55"/>
  <c r="Z10" i="55"/>
  <c r="X10" i="55"/>
  <c r="X21" i="55"/>
  <c r="R534" i="52"/>
  <c r="M535" i="52"/>
  <c r="R541" i="52"/>
  <c r="R543" i="52"/>
  <c r="R550" i="52"/>
  <c r="R553" i="52"/>
  <c r="Y558" i="52"/>
  <c r="R559" i="52"/>
  <c r="Y559" i="52"/>
  <c r="M560" i="52"/>
  <c r="R561" i="52"/>
  <c r="U565" i="52"/>
  <c r="U567" i="52"/>
  <c r="U569" i="52"/>
  <c r="U571" i="52"/>
  <c r="U573" i="52"/>
  <c r="U575" i="52"/>
  <c r="U577" i="52"/>
  <c r="U579" i="52"/>
  <c r="U581" i="52"/>
  <c r="U583" i="52"/>
  <c r="U586" i="52"/>
  <c r="U588" i="52"/>
  <c r="R591" i="52"/>
  <c r="U593" i="52"/>
  <c r="X594" i="52"/>
  <c r="Y594" i="52" s="1"/>
  <c r="Y597" i="52"/>
  <c r="R598" i="52"/>
  <c r="R599" i="52"/>
  <c r="U601" i="52"/>
  <c r="X602" i="52"/>
  <c r="Y602" i="52" s="1"/>
  <c r="R606" i="52"/>
  <c r="R607" i="52"/>
  <c r="Z612" i="52"/>
  <c r="X7" i="55"/>
  <c r="L9" i="55"/>
  <c r="AB11" i="55"/>
  <c r="L6" i="55"/>
  <c r="Z8" i="55"/>
  <c r="AE8" i="55"/>
  <c r="X9" i="55"/>
  <c r="AD9" i="55"/>
  <c r="X11" i="55"/>
  <c r="L13" i="55"/>
  <c r="AF15" i="55"/>
  <c r="D19" i="55"/>
  <c r="D21" i="55"/>
  <c r="H26" i="55"/>
  <c r="C44" i="55"/>
  <c r="B23" i="58"/>
  <c r="P94" i="68"/>
  <c r="P99" i="68" s="1"/>
  <c r="R608" i="52"/>
  <c r="R609" i="52"/>
  <c r="X6" i="55"/>
  <c r="L7" i="55"/>
  <c r="AB7" i="55"/>
  <c r="AB8" i="55"/>
  <c r="L10" i="55"/>
  <c r="X12" i="55"/>
  <c r="X13" i="55"/>
  <c r="AF17" i="55"/>
  <c r="AF19" i="55"/>
  <c r="AF21" i="55"/>
  <c r="AF23" i="55"/>
  <c r="H27" i="55"/>
  <c r="B44" i="55"/>
  <c r="E42" i="57"/>
  <c r="G42" i="57"/>
  <c r="B11" i="58"/>
  <c r="E11" i="58"/>
  <c r="E27" i="58"/>
  <c r="E28" i="58"/>
  <c r="H10" i="59"/>
  <c r="M10" i="62"/>
  <c r="U15" i="62"/>
  <c r="Q16" i="62"/>
  <c r="U16" i="62"/>
  <c r="M19" i="62"/>
  <c r="Q19" i="62"/>
  <c r="U19" i="62"/>
  <c r="G148" i="62"/>
  <c r="L72" i="62"/>
  <c r="M69" i="62" s="1"/>
  <c r="M72" i="62" s="1"/>
  <c r="N69" i="62" s="1"/>
  <c r="N72" i="62" s="1"/>
  <c r="O69" i="62" s="1"/>
  <c r="O72" i="62" s="1"/>
  <c r="P69" i="62" s="1"/>
  <c r="P72" i="62" s="1"/>
  <c r="Q69" i="62" s="1"/>
  <c r="Q72" i="62" s="1"/>
  <c r="R69" i="62" s="1"/>
  <c r="C172" i="62"/>
  <c r="F174" i="62"/>
  <c r="J174" i="62"/>
  <c r="N174" i="62"/>
  <c r="R174" i="62"/>
  <c r="V174" i="62"/>
  <c r="I182" i="62"/>
  <c r="E184" i="62"/>
  <c r="I184" i="62"/>
  <c r="E159" i="67"/>
  <c r="D43" i="67"/>
  <c r="C145" i="67" s="1"/>
  <c r="J145" i="67" s="1"/>
  <c r="J150" i="67"/>
  <c r="G159" i="67"/>
  <c r="Q77" i="68"/>
  <c r="Q80" i="68" s="1"/>
  <c r="R5" i="68" s="1"/>
  <c r="I42" i="68"/>
  <c r="K42" i="68" s="1"/>
  <c r="M90" i="68"/>
  <c r="U220" i="70"/>
  <c r="T344" i="70"/>
  <c r="H6" i="59"/>
  <c r="C96" i="61"/>
  <c r="G96" i="61"/>
  <c r="K96" i="61"/>
  <c r="O96" i="61"/>
  <c r="V15" i="62"/>
  <c r="N16" i="62"/>
  <c r="N20" i="62" s="1"/>
  <c r="R16" i="62"/>
  <c r="R20" i="62" s="1"/>
  <c r="V16" i="62"/>
  <c r="V20" i="62" s="1"/>
  <c r="H148" i="62"/>
  <c r="M148" i="62"/>
  <c r="Q148" i="62"/>
  <c r="S74" i="62"/>
  <c r="S148" i="62" s="1"/>
  <c r="C174" i="62"/>
  <c r="G174" i="62"/>
  <c r="O174" i="62"/>
  <c r="S174" i="62"/>
  <c r="W174" i="62"/>
  <c r="F184" i="62"/>
  <c r="J184" i="62"/>
  <c r="M127" i="62"/>
  <c r="M174" i="62" s="1"/>
  <c r="D122" i="63"/>
  <c r="D155" i="63"/>
  <c r="D20" i="67"/>
  <c r="C142" i="67" s="1"/>
  <c r="J142" i="67" s="1"/>
  <c r="D37" i="67"/>
  <c r="D148" i="67"/>
  <c r="D159" i="67" s="1"/>
  <c r="L35" i="68"/>
  <c r="M35" i="68" s="1"/>
  <c r="M86" i="68" s="1"/>
  <c r="I35" i="68"/>
  <c r="K35" i="68" s="1"/>
  <c r="M93" i="68"/>
  <c r="M97" i="68"/>
  <c r="M89" i="68"/>
  <c r="U8" i="70"/>
  <c r="U187" i="70"/>
  <c r="U224" i="70"/>
  <c r="U264" i="70"/>
  <c r="U311" i="70"/>
  <c r="S428" i="70"/>
  <c r="U390" i="70"/>
  <c r="V307" i="70" s="1"/>
  <c r="S10" i="62"/>
  <c r="I172" i="62"/>
  <c r="D174" i="62"/>
  <c r="P174" i="62"/>
  <c r="T174" i="62"/>
  <c r="H184" i="62"/>
  <c r="P187" i="62"/>
  <c r="C17" i="67"/>
  <c r="C80" i="67"/>
  <c r="J151" i="67"/>
  <c r="K15" i="68"/>
  <c r="L28" i="68"/>
  <c r="L94" i="68" s="1"/>
  <c r="M95" i="68"/>
  <c r="N99" i="68"/>
  <c r="U182" i="70"/>
  <c r="U253" i="70"/>
  <c r="U269" i="70"/>
  <c r="W336" i="70"/>
  <c r="Q92" i="61"/>
  <c r="F45" i="46"/>
  <c r="E63" i="61"/>
  <c r="I63" i="61"/>
  <c r="M63" i="61"/>
  <c r="Q63" i="61"/>
  <c r="E68" i="61"/>
  <c r="I68" i="61"/>
  <c r="Q68" i="61"/>
  <c r="C77" i="61"/>
  <c r="G77" i="61"/>
  <c r="K77" i="61"/>
  <c r="O77" i="61"/>
  <c r="E80" i="61"/>
  <c r="I80" i="61"/>
  <c r="M80" i="61"/>
  <c r="Q80" i="61"/>
  <c r="D60" i="61"/>
  <c r="I60" i="61"/>
  <c r="F33" i="63"/>
  <c r="C57" i="61"/>
  <c r="K57" i="61"/>
  <c r="Q60" i="61"/>
  <c r="F63" i="61"/>
  <c r="D77" i="61"/>
  <c r="I271" i="41"/>
  <c r="E5" i="41" s="1"/>
  <c r="N271" i="41"/>
  <c r="J5" i="41" s="1"/>
  <c r="M90" i="41"/>
  <c r="I8" i="41" s="1"/>
  <c r="J14" i="41" s="1"/>
  <c r="R271" i="41"/>
  <c r="N5" i="41" s="1"/>
  <c r="P271" i="41"/>
  <c r="L5" i="41" s="1"/>
  <c r="F212" i="41"/>
  <c r="P212" i="41" s="1"/>
  <c r="O271" i="41"/>
  <c r="K5" i="41" s="1"/>
  <c r="M271" i="41"/>
  <c r="I5" i="41" s="1"/>
  <c r="G132" i="44"/>
  <c r="C5" i="44" s="1"/>
  <c r="O132" i="44"/>
  <c r="K5" i="44" s="1"/>
  <c r="E13" i="44"/>
  <c r="I13" i="44"/>
  <c r="M13" i="44"/>
  <c r="J13" i="44"/>
  <c r="R93" i="44"/>
  <c r="N101" i="44"/>
  <c r="R91" i="44"/>
  <c r="H110" i="44"/>
  <c r="O99" i="44"/>
  <c r="Q97" i="44"/>
  <c r="I110" i="44"/>
  <c r="S92" i="44"/>
  <c r="J109" i="44"/>
  <c r="P110" i="44"/>
  <c r="J132" i="44"/>
  <c r="F5" i="44" s="1"/>
  <c r="N132" i="44"/>
  <c r="J5" i="44" s="1"/>
  <c r="R132" i="44"/>
  <c r="N5" i="44" s="1"/>
  <c r="R90" i="44"/>
  <c r="S91" i="44"/>
  <c r="R97" i="44"/>
  <c r="P99" i="44"/>
  <c r="R101" i="44"/>
  <c r="N109" i="44"/>
  <c r="Q110" i="44"/>
  <c r="G61" i="44"/>
  <c r="C4" i="44" s="1"/>
  <c r="S90" i="44"/>
  <c r="K105" i="44"/>
  <c r="R109" i="44"/>
  <c r="L110" i="44"/>
  <c r="T110" i="44"/>
  <c r="R92" i="44"/>
  <c r="S93" i="44"/>
  <c r="L105" i="44"/>
  <c r="M110" i="44"/>
  <c r="K219" i="35"/>
  <c r="F5" i="35" s="1"/>
  <c r="F12" i="35"/>
  <c r="P139" i="35"/>
  <c r="K9" i="35" s="1"/>
  <c r="D14" i="35"/>
  <c r="K14" i="35"/>
  <c r="G14" i="35"/>
  <c r="G15" i="35"/>
  <c r="I162" i="35"/>
  <c r="D4" i="35" s="1"/>
  <c r="M162" i="35"/>
  <c r="H4" i="35" s="1"/>
  <c r="N15" i="35"/>
  <c r="F16" i="35"/>
  <c r="J16" i="35"/>
  <c r="T177" i="35"/>
  <c r="J219" i="35"/>
  <c r="E5" i="35" s="1"/>
  <c r="N219" i="35"/>
  <c r="I5" i="35" s="1"/>
  <c r="H12" i="35"/>
  <c r="N162" i="35"/>
  <c r="I4" i="35" s="1"/>
  <c r="O139" i="35"/>
  <c r="J9" i="35" s="1"/>
  <c r="J15" i="35" s="1"/>
  <c r="Q139" i="35"/>
  <c r="L9" i="35" s="1"/>
  <c r="M15" i="35" s="1"/>
  <c r="G16" i="35"/>
  <c r="V177" i="35"/>
  <c r="V185" i="35" s="1"/>
  <c r="V160" i="35" s="1"/>
  <c r="V161" i="35" s="1"/>
  <c r="P219" i="35"/>
  <c r="K5" i="35" s="1"/>
  <c r="F15" i="35"/>
  <c r="R219" i="35"/>
  <c r="M5" i="35" s="1"/>
  <c r="K162" i="35"/>
  <c r="F4" i="35" s="1"/>
  <c r="I219" i="35"/>
  <c r="D5" i="35" s="1"/>
  <c r="M219" i="35"/>
  <c r="H5" i="35" s="1"/>
  <c r="H219" i="35"/>
  <c r="C5" i="35" s="1"/>
  <c r="L219" i="35"/>
  <c r="G5" i="35" s="1"/>
  <c r="N191" i="43"/>
  <c r="J5" i="43" s="1"/>
  <c r="R191" i="43"/>
  <c r="N5" i="43" s="1"/>
  <c r="H191" i="43"/>
  <c r="D5" i="43" s="1"/>
  <c r="L191" i="43"/>
  <c r="H5" i="43" s="1"/>
  <c r="P191" i="43"/>
  <c r="L5" i="43" s="1"/>
  <c r="K191" i="43"/>
  <c r="G5" i="43" s="1"/>
  <c r="O191" i="43"/>
  <c r="K5" i="43" s="1"/>
  <c r="I191" i="43"/>
  <c r="E5" i="43" s="1"/>
  <c r="Q191" i="43"/>
  <c r="M5" i="43" s="1"/>
  <c r="J191" i="43"/>
  <c r="F5" i="43" s="1"/>
  <c r="C12" i="43"/>
  <c r="L15" i="43"/>
  <c r="M191" i="43"/>
  <c r="I5" i="43" s="1"/>
  <c r="J105" i="43"/>
  <c r="F4" i="43" s="1"/>
  <c r="I105" i="43"/>
  <c r="E4" i="43" s="1"/>
  <c r="G16" i="43"/>
  <c r="N15" i="43"/>
  <c r="D16" i="43"/>
  <c r="F8" i="43"/>
  <c r="H14" i="43"/>
  <c r="D14" i="43"/>
  <c r="H15" i="43"/>
  <c r="M15" i="43"/>
  <c r="H105" i="43"/>
  <c r="D4" i="43" s="1"/>
  <c r="E12" i="43"/>
  <c r="D15" i="43"/>
  <c r="F12" i="43"/>
  <c r="L14" i="43"/>
  <c r="N144" i="43"/>
  <c r="E15" i="43"/>
  <c r="T132" i="43"/>
  <c r="F15" i="43"/>
  <c r="R134" i="43"/>
  <c r="S133" i="43"/>
  <c r="J15" i="43"/>
  <c r="I15" i="43"/>
  <c r="R144" i="43"/>
  <c r="G15" i="43"/>
  <c r="K15" i="43"/>
  <c r="R115" i="43"/>
  <c r="R132" i="43"/>
  <c r="F16" i="43"/>
  <c r="T134" i="43"/>
  <c r="R137" i="43"/>
  <c r="P144" i="43"/>
  <c r="B8" i="37"/>
  <c r="K145" i="37"/>
  <c r="H184" i="37"/>
  <c r="B5" i="37" s="1"/>
  <c r="P184" i="37"/>
  <c r="J5" i="37" s="1"/>
  <c r="O142" i="37"/>
  <c r="Q142" i="37"/>
  <c r="S142" i="37"/>
  <c r="L15" i="37"/>
  <c r="R184" i="37"/>
  <c r="L5" i="37" s="1"/>
  <c r="R142" i="37"/>
  <c r="P145" i="37"/>
  <c r="J15" i="37"/>
  <c r="L103" i="37"/>
  <c r="F9" i="37" s="1"/>
  <c r="M184" i="37"/>
  <c r="G5" i="37" s="1"/>
  <c r="Q184" i="37"/>
  <c r="K5" i="37" s="1"/>
  <c r="M15" i="37"/>
  <c r="F14" i="37"/>
  <c r="K103" i="37"/>
  <c r="E9" i="37" s="1"/>
  <c r="P142" i="37"/>
  <c r="P149" i="37" s="1"/>
  <c r="P112" i="37" s="1"/>
  <c r="P113" i="37" s="1"/>
  <c r="J11" i="37" s="1"/>
  <c r="Q145" i="37"/>
  <c r="I184" i="37"/>
  <c r="C5" i="37" s="1"/>
  <c r="M103" i="37"/>
  <c r="G9" i="37" s="1"/>
  <c r="J184" i="37"/>
  <c r="D5" i="37" s="1"/>
  <c r="N184" i="37"/>
  <c r="H5" i="37" s="1"/>
  <c r="M14" i="37"/>
  <c r="K15" i="37"/>
  <c r="I103" i="37"/>
  <c r="C9" i="37" s="1"/>
  <c r="C15" i="37" s="1"/>
  <c r="N103" i="37"/>
  <c r="H9" i="37" s="1"/>
  <c r="R122" i="37"/>
  <c r="T145" i="37"/>
  <c r="T149" i="37" s="1"/>
  <c r="T112" i="37" s="1"/>
  <c r="T113" i="37" s="1"/>
  <c r="K184" i="37"/>
  <c r="E5" i="37" s="1"/>
  <c r="L184" i="37"/>
  <c r="F5" i="37" s="1"/>
  <c r="J103" i="37"/>
  <c r="D9" i="37" s="1"/>
  <c r="S122" i="37"/>
  <c r="O179" i="37"/>
  <c r="O184" i="37" s="1"/>
  <c r="I5" i="37" s="1"/>
  <c r="T200" i="41"/>
  <c r="V198" i="41"/>
  <c r="V242" i="41" s="1"/>
  <c r="F15" i="41"/>
  <c r="J15" i="41"/>
  <c r="N15" i="41"/>
  <c r="L271" i="41"/>
  <c r="H5" i="41" s="1"/>
  <c r="K186" i="41"/>
  <c r="H271" i="41"/>
  <c r="D5" i="41" s="1"/>
  <c r="K15" i="41"/>
  <c r="K14" i="41"/>
  <c r="R198" i="41"/>
  <c r="S200" i="41"/>
  <c r="J271" i="41"/>
  <c r="F5" i="41" s="1"/>
  <c r="G14" i="41"/>
  <c r="G15" i="41"/>
  <c r="I231" i="41"/>
  <c r="G271" i="41"/>
  <c r="C5" i="41" s="1"/>
  <c r="K271" i="41"/>
  <c r="G5" i="41" s="1"/>
  <c r="R200" i="41"/>
  <c r="D214" i="41"/>
  <c r="M231" i="41"/>
  <c r="F19" i="63"/>
  <c r="J143" i="67"/>
  <c r="D11" i="67"/>
  <c r="C141" i="67" s="1"/>
  <c r="J141" i="67" s="1"/>
  <c r="J144" i="67"/>
  <c r="D73" i="67"/>
  <c r="C149" i="67" s="1"/>
  <c r="J149" i="67" s="1"/>
  <c r="C146" i="67"/>
  <c r="C41" i="67"/>
  <c r="J153" i="67"/>
  <c r="J147" i="67"/>
  <c r="I159" i="67"/>
  <c r="B68" i="61"/>
  <c r="I92" i="61"/>
  <c r="U185" i="62"/>
  <c r="V182" i="62" s="1"/>
  <c r="V185" i="62" s="1"/>
  <c r="W182" i="62" s="1"/>
  <c r="W185" i="62" s="1"/>
  <c r="L187" i="62"/>
  <c r="N187" i="62"/>
  <c r="R187" i="62"/>
  <c r="V187" i="62"/>
  <c r="J68" i="61"/>
  <c r="H5" i="59"/>
  <c r="H7" i="59"/>
  <c r="H12" i="59"/>
  <c r="D24" i="59"/>
  <c r="H8" i="59"/>
  <c r="H11" i="59"/>
  <c r="D38" i="47"/>
  <c r="J17" i="47"/>
  <c r="K26" i="47"/>
  <c r="K8" i="47"/>
  <c r="K31" i="47"/>
  <c r="K23" i="47"/>
  <c r="K44" i="47"/>
  <c r="D61" i="47"/>
  <c r="K24" i="47"/>
  <c r="F147" i="45"/>
  <c r="F148" i="45" s="1"/>
  <c r="H30" i="45"/>
  <c r="E59" i="45"/>
  <c r="G30" i="45"/>
  <c r="L30" i="45"/>
  <c r="H60" i="45"/>
  <c r="L60" i="45"/>
  <c r="P60" i="45"/>
  <c r="F29" i="45"/>
  <c r="F30" i="45" s="1"/>
  <c r="F59" i="45"/>
  <c r="F60" i="45" s="1"/>
  <c r="F89" i="45"/>
  <c r="F90" i="45" s="1"/>
  <c r="I90" i="45"/>
  <c r="Q90" i="45"/>
  <c r="F118" i="45"/>
  <c r="F119" i="45" s="1"/>
  <c r="K30" i="45"/>
  <c r="P30" i="45"/>
  <c r="G60" i="45"/>
  <c r="K60" i="45"/>
  <c r="O60" i="45"/>
  <c r="G90" i="45"/>
  <c r="K90" i="45"/>
  <c r="O90" i="45"/>
  <c r="F176" i="45"/>
  <c r="F177" i="45" s="1"/>
  <c r="I30" i="45"/>
  <c r="M30" i="45"/>
  <c r="Q30" i="45"/>
  <c r="O30" i="45"/>
  <c r="H90" i="45"/>
  <c r="L90" i="45"/>
  <c r="P90" i="45"/>
  <c r="M90" i="45"/>
  <c r="E29" i="45"/>
  <c r="J30" i="45"/>
  <c r="N30" i="45"/>
  <c r="R30" i="45"/>
  <c r="I60" i="45"/>
  <c r="M60" i="45"/>
  <c r="Q60" i="45"/>
  <c r="E89" i="45"/>
  <c r="E118" i="45"/>
  <c r="E147" i="45"/>
  <c r="J60" i="45"/>
  <c r="N60" i="45"/>
  <c r="R60" i="45"/>
  <c r="J90" i="45"/>
  <c r="N90" i="45"/>
  <c r="R90" i="45"/>
  <c r="H34" i="58"/>
  <c r="P26" i="46"/>
  <c r="H36" i="58"/>
  <c r="G38" i="58"/>
  <c r="H37" i="58"/>
  <c r="D38" i="58"/>
  <c r="C38" i="58"/>
  <c r="E38" i="58"/>
  <c r="G57" i="61"/>
  <c r="O57" i="61"/>
  <c r="E60" i="61"/>
  <c r="M60" i="61"/>
  <c r="B63" i="61"/>
  <c r="J63" i="61"/>
  <c r="R63" i="61"/>
  <c r="F68" i="61"/>
  <c r="N68" i="61"/>
  <c r="P77" i="61"/>
  <c r="E92" i="61"/>
  <c r="M92" i="61"/>
  <c r="D96" i="61"/>
  <c r="F31" i="63"/>
  <c r="F32" i="63"/>
  <c r="R68" i="61"/>
  <c r="P22" i="46"/>
  <c r="P23" i="46"/>
  <c r="P24" i="46"/>
  <c r="D71" i="61"/>
  <c r="H71" i="61"/>
  <c r="L71" i="61"/>
  <c r="P96" i="61"/>
  <c r="C7" i="61"/>
  <c r="C11" i="61"/>
  <c r="C15" i="61"/>
  <c r="D6" i="61"/>
  <c r="D10" i="61"/>
  <c r="D14" i="61"/>
  <c r="C60" i="61"/>
  <c r="G60" i="61"/>
  <c r="K60" i="61"/>
  <c r="O60" i="61"/>
  <c r="D4" i="61"/>
  <c r="D8" i="61"/>
  <c r="D12" i="61"/>
  <c r="D16" i="61"/>
  <c r="B71" i="61"/>
  <c r="F71" i="61"/>
  <c r="J71" i="61"/>
  <c r="R71" i="61"/>
  <c r="B83" i="61"/>
  <c r="F83" i="61"/>
  <c r="J83" i="61"/>
  <c r="R83" i="61"/>
  <c r="B88" i="61"/>
  <c r="F88" i="61"/>
  <c r="J88" i="61"/>
  <c r="N88" i="61"/>
  <c r="R88" i="61"/>
  <c r="M88" i="61"/>
  <c r="C92" i="61"/>
  <c r="G92" i="61"/>
  <c r="K92" i="61"/>
  <c r="O92" i="61"/>
  <c r="F24" i="63"/>
  <c r="F26" i="63"/>
  <c r="F28" i="63"/>
  <c r="P18" i="46"/>
  <c r="R23" i="46"/>
  <c r="J56" i="46"/>
  <c r="J58" i="46"/>
  <c r="P57" i="61"/>
  <c r="N63" i="61"/>
  <c r="E74" i="61"/>
  <c r="I74" i="61"/>
  <c r="M74" i="61"/>
  <c r="Q74" i="61"/>
  <c r="C80" i="61"/>
  <c r="G80" i="61"/>
  <c r="K80" i="61"/>
  <c r="O80" i="61"/>
  <c r="E83" i="61"/>
  <c r="I83" i="61"/>
  <c r="M83" i="61"/>
  <c r="E88" i="61"/>
  <c r="I88" i="61"/>
  <c r="Q88" i="61"/>
  <c r="H96" i="61"/>
  <c r="L96" i="61"/>
  <c r="P19" i="46"/>
  <c r="N71" i="61"/>
  <c r="N83" i="61"/>
  <c r="P21" i="46"/>
  <c r="H60" i="61"/>
  <c r="M68" i="61"/>
  <c r="P71" i="61"/>
  <c r="H77" i="61"/>
  <c r="L77" i="61"/>
  <c r="R21" i="46"/>
  <c r="R22" i="46"/>
  <c r="Q25" i="46"/>
  <c r="Q26" i="46"/>
  <c r="Q27" i="46"/>
  <c r="Q28" i="46"/>
  <c r="D68" i="61"/>
  <c r="H68" i="61"/>
  <c r="L68" i="61"/>
  <c r="P68" i="61"/>
  <c r="Q83" i="61"/>
  <c r="D88" i="61"/>
  <c r="H88" i="61"/>
  <c r="L88" i="61"/>
  <c r="P88" i="61"/>
  <c r="F27" i="63"/>
  <c r="R18" i="46"/>
  <c r="R24" i="46"/>
  <c r="Q18" i="46"/>
  <c r="Q19" i="46"/>
  <c r="Q20" i="46"/>
  <c r="Q21" i="46"/>
  <c r="Q22" i="46"/>
  <c r="Q23" i="46"/>
  <c r="Q24" i="46"/>
  <c r="R25" i="46"/>
  <c r="R26" i="46"/>
  <c r="R27" i="46"/>
  <c r="R28" i="46"/>
  <c r="C10" i="61"/>
  <c r="D5" i="61"/>
  <c r="D9" i="61"/>
  <c r="D13" i="61"/>
  <c r="D17" i="61"/>
  <c r="D57" i="61"/>
  <c r="B60" i="61"/>
  <c r="J60" i="61"/>
  <c r="N60" i="61"/>
  <c r="R60" i="61"/>
  <c r="C71" i="61"/>
  <c r="G71" i="61"/>
  <c r="K71" i="61"/>
  <c r="O71" i="61"/>
  <c r="D74" i="61"/>
  <c r="H74" i="61"/>
  <c r="L74" i="61"/>
  <c r="P74" i="61"/>
  <c r="B77" i="61"/>
  <c r="F77" i="61"/>
  <c r="J77" i="61"/>
  <c r="N77" i="61"/>
  <c r="R77" i="61"/>
  <c r="D80" i="61"/>
  <c r="H80" i="61"/>
  <c r="L80" i="61"/>
  <c r="P80" i="61"/>
  <c r="B92" i="61"/>
  <c r="F92" i="61"/>
  <c r="J92" i="61"/>
  <c r="N92" i="61"/>
  <c r="R92" i="61"/>
  <c r="B96" i="61"/>
  <c r="F96" i="61"/>
  <c r="J96" i="61"/>
  <c r="N96" i="61"/>
  <c r="R96" i="61"/>
  <c r="R20" i="46"/>
  <c r="H57" i="61"/>
  <c r="J55" i="46"/>
  <c r="J57" i="46"/>
  <c r="P28" i="46"/>
  <c r="L57" i="61"/>
  <c r="P60" i="61"/>
  <c r="D63" i="61"/>
  <c r="H63" i="61"/>
  <c r="L63" i="61"/>
  <c r="P63" i="61"/>
  <c r="C68" i="61"/>
  <c r="G68" i="61"/>
  <c r="K68" i="61"/>
  <c r="O68" i="61"/>
  <c r="E71" i="61"/>
  <c r="I71" i="61"/>
  <c r="M71" i="61"/>
  <c r="Q71" i="61"/>
  <c r="B74" i="61"/>
  <c r="F74" i="61"/>
  <c r="J74" i="61"/>
  <c r="N74" i="61"/>
  <c r="R74" i="61"/>
  <c r="B80" i="61"/>
  <c r="F80" i="61"/>
  <c r="J80" i="61"/>
  <c r="N80" i="61"/>
  <c r="R80" i="61"/>
  <c r="D83" i="61"/>
  <c r="H83" i="61"/>
  <c r="L83" i="61"/>
  <c r="P83" i="61"/>
  <c r="C88" i="61"/>
  <c r="G88" i="61"/>
  <c r="K88" i="61"/>
  <c r="O88" i="61"/>
  <c r="D92" i="61"/>
  <c r="H92" i="61"/>
  <c r="L92" i="61"/>
  <c r="P92" i="61"/>
  <c r="C13" i="61"/>
  <c r="U138" i="70"/>
  <c r="U50" i="70"/>
  <c r="U14" i="70"/>
  <c r="U80" i="70"/>
  <c r="U54" i="70"/>
  <c r="U97" i="70"/>
  <c r="U76" i="70"/>
  <c r="T171" i="70"/>
  <c r="U134" i="70"/>
  <c r="G198" i="63"/>
  <c r="G206" i="63" s="1"/>
  <c r="F198" i="63"/>
  <c r="J198" i="63"/>
  <c r="J197" i="63" s="1"/>
  <c r="J200" i="63" s="1"/>
  <c r="J204" i="63" s="1"/>
  <c r="F25" i="63"/>
  <c r="F29" i="63"/>
  <c r="I198" i="63"/>
  <c r="I197" i="63" s="1"/>
  <c r="I200" i="63" s="1"/>
  <c r="I204" i="63" s="1"/>
  <c r="F23" i="63"/>
  <c r="F30" i="63"/>
  <c r="W171" i="70"/>
  <c r="T84" i="70"/>
  <c r="U91" i="70"/>
  <c r="T257" i="70"/>
  <c r="I16" i="68"/>
  <c r="I46" i="68"/>
  <c r="K46" i="68" s="1"/>
  <c r="M66" i="68"/>
  <c r="M83" i="68" s="1"/>
  <c r="Q94" i="68"/>
  <c r="Q99" i="68" s="1"/>
  <c r="T77" i="68"/>
  <c r="H159" i="67"/>
  <c r="J140" i="67"/>
  <c r="C27" i="67"/>
  <c r="C9" i="67"/>
  <c r="C35" i="67"/>
  <c r="C117" i="63"/>
  <c r="B79" i="63"/>
  <c r="B91" i="63" s="1"/>
  <c r="T73" i="62"/>
  <c r="T72" i="62"/>
  <c r="U69" i="62" s="1"/>
  <c r="L143" i="62"/>
  <c r="L4" i="62" s="1"/>
  <c r="J169" i="62"/>
  <c r="J125" i="62"/>
  <c r="Q182" i="62"/>
  <c r="R185" i="62"/>
  <c r="D143" i="62"/>
  <c r="D32" i="62"/>
  <c r="K143" i="62"/>
  <c r="I143" i="62"/>
  <c r="I72" i="62"/>
  <c r="J69" i="62" s="1"/>
  <c r="J143" i="62" s="1"/>
  <c r="D156" i="62"/>
  <c r="D84" i="62"/>
  <c r="N92" i="62"/>
  <c r="J146" i="62"/>
  <c r="K170" i="62"/>
  <c r="K95" i="62"/>
  <c r="C159" i="62"/>
  <c r="F182" i="62"/>
  <c r="M29" i="62"/>
  <c r="L52" i="62"/>
  <c r="M49" i="62" s="1"/>
  <c r="M52" i="62" s="1"/>
  <c r="N49" i="62" s="1"/>
  <c r="N52" i="62" s="1"/>
  <c r="O49" i="62" s="1"/>
  <c r="O52" i="62" s="1"/>
  <c r="P49" i="62" s="1"/>
  <c r="P52" i="62" s="1"/>
  <c r="Q49" i="62" s="1"/>
  <c r="Q52" i="62" s="1"/>
  <c r="R49" i="62" s="1"/>
  <c r="R52" i="62" s="1"/>
  <c r="S49" i="62" s="1"/>
  <c r="S52" i="62" s="1"/>
  <c r="T49" i="62" s="1"/>
  <c r="T52" i="62" s="1"/>
  <c r="U49" i="62" s="1"/>
  <c r="U52" i="62" s="1"/>
  <c r="L115" i="62"/>
  <c r="M112" i="62" s="1"/>
  <c r="K148" i="62"/>
  <c r="O148" i="62"/>
  <c r="L145" i="62"/>
  <c r="L6" i="62" s="1"/>
  <c r="L10" i="62" s="1"/>
  <c r="L74" i="62"/>
  <c r="L148" i="62" s="1"/>
  <c r="K102" i="62"/>
  <c r="K105" i="62" s="1"/>
  <c r="H169" i="62"/>
  <c r="H115" i="62"/>
  <c r="H182" i="62" s="1"/>
  <c r="P148" i="62"/>
  <c r="C146" i="62"/>
  <c r="D92" i="62"/>
  <c r="O187" i="62"/>
  <c r="S187" i="62"/>
  <c r="H174" i="62"/>
  <c r="D182" i="62"/>
  <c r="J148" i="62"/>
  <c r="N148" i="62"/>
  <c r="R148" i="62"/>
  <c r="K84" i="62"/>
  <c r="L95" i="62"/>
  <c r="E182" i="62"/>
  <c r="C184" i="62"/>
  <c r="G184" i="62"/>
  <c r="K184" i="62"/>
  <c r="I169" i="62"/>
  <c r="T185" i="62"/>
  <c r="M187" i="62"/>
  <c r="Q187" i="62"/>
  <c r="U187" i="62"/>
  <c r="L127" i="62"/>
  <c r="L174" i="62" s="1"/>
  <c r="C63" i="61"/>
  <c r="G63" i="61"/>
  <c r="K63" i="61"/>
  <c r="O63" i="61"/>
  <c r="C83" i="61"/>
  <c r="G83" i="61"/>
  <c r="K83" i="61"/>
  <c r="O83" i="61"/>
  <c r="B57" i="61"/>
  <c r="F57" i="61"/>
  <c r="J57" i="61"/>
  <c r="N57" i="61"/>
  <c r="R57" i="61"/>
  <c r="D7" i="61"/>
  <c r="D11" i="61"/>
  <c r="D15" i="61"/>
  <c r="E77" i="61"/>
  <c r="I77" i="61"/>
  <c r="M77" i="61"/>
  <c r="Q77" i="61"/>
  <c r="E96" i="61"/>
  <c r="I96" i="61"/>
  <c r="M96" i="61"/>
  <c r="Q96" i="61"/>
  <c r="E57" i="61"/>
  <c r="I57" i="61"/>
  <c r="M57" i="61"/>
  <c r="Q57" i="61"/>
  <c r="F24" i="58"/>
  <c r="B38" i="58"/>
  <c r="H33" i="58"/>
  <c r="F38" i="58"/>
  <c r="C23" i="58"/>
  <c r="H35" i="58"/>
  <c r="C11" i="58"/>
  <c r="E5" i="58"/>
  <c r="D42" i="57"/>
  <c r="H42" i="57"/>
  <c r="F42" i="57"/>
  <c r="O29" i="55"/>
  <c r="X16" i="55"/>
  <c r="X17" i="55"/>
  <c r="AE6" i="55"/>
  <c r="Z7" i="55"/>
  <c r="AD7" i="55"/>
  <c r="L8" i="55"/>
  <c r="AB9" i="55"/>
  <c r="AE10" i="55"/>
  <c r="Z11" i="55"/>
  <c r="AD11" i="55"/>
  <c r="L12" i="55"/>
  <c r="AB12" i="55"/>
  <c r="AF13" i="55"/>
  <c r="X14" i="55"/>
  <c r="D16" i="55"/>
  <c r="D23" i="55"/>
  <c r="D28" i="55" s="1"/>
  <c r="K24" i="55"/>
  <c r="L24" i="55" s="1"/>
  <c r="AF24" i="55"/>
  <c r="H25" i="55"/>
  <c r="J26" i="55"/>
  <c r="AE9" i="55"/>
  <c r="K25" i="55"/>
  <c r="AE7" i="55"/>
  <c r="AE11" i="55"/>
  <c r="AC10" i="52"/>
  <c r="AC18" i="52"/>
  <c r="AC26" i="52"/>
  <c r="AC34" i="52"/>
  <c r="AC48" i="52"/>
  <c r="AC78" i="52"/>
  <c r="AC88" i="52"/>
  <c r="AC96" i="52"/>
  <c r="Y103" i="52"/>
  <c r="Y119" i="52"/>
  <c r="AC14" i="52"/>
  <c r="AC22" i="52"/>
  <c r="AC30" i="52"/>
  <c r="AC38" i="52"/>
  <c r="AC44" i="52"/>
  <c r="Y64" i="52"/>
  <c r="Y66" i="52"/>
  <c r="AC74" i="52"/>
  <c r="Y86" i="52"/>
  <c r="AC92" i="52"/>
  <c r="Y111" i="52"/>
  <c r="G616" i="52"/>
  <c r="G620" i="52"/>
  <c r="AB103" i="52"/>
  <c r="AC103" i="52" s="1"/>
  <c r="AB111" i="52"/>
  <c r="AC111" i="52" s="1"/>
  <c r="AB106" i="52"/>
  <c r="AC106" i="52" s="1"/>
  <c r="AB114" i="52"/>
  <c r="AC114" i="52" s="1"/>
  <c r="AB119" i="52"/>
  <c r="AC119" i="52" s="1"/>
  <c r="X130" i="52"/>
  <c r="Y130" i="52" s="1"/>
  <c r="AB130" i="52"/>
  <c r="AC130" i="52" s="1"/>
  <c r="X146" i="52"/>
  <c r="Y146" i="52" s="1"/>
  <c r="AB146" i="52"/>
  <c r="AC146" i="52" s="1"/>
  <c r="X154" i="52"/>
  <c r="Y154" i="52" s="1"/>
  <c r="AB154" i="52"/>
  <c r="AC154" i="52" s="1"/>
  <c r="X170" i="52"/>
  <c r="Y170" i="52" s="1"/>
  <c r="AB170" i="52"/>
  <c r="AC170" i="52" s="1"/>
  <c r="AB179" i="52"/>
  <c r="AC179" i="52" s="1"/>
  <c r="X179" i="52"/>
  <c r="Y179" i="52" s="1"/>
  <c r="M179" i="52"/>
  <c r="AB183" i="52"/>
  <c r="AC183" i="52" s="1"/>
  <c r="X183" i="52"/>
  <c r="Y183" i="52" s="1"/>
  <c r="M183" i="52"/>
  <c r="AB187" i="52"/>
  <c r="AC187" i="52" s="1"/>
  <c r="X187" i="52"/>
  <c r="Y187" i="52" s="1"/>
  <c r="M187" i="52"/>
  <c r="AB195" i="52"/>
  <c r="AC195" i="52" s="1"/>
  <c r="X195" i="52"/>
  <c r="Y195" i="52" s="1"/>
  <c r="M195" i="52"/>
  <c r="AB203" i="52"/>
  <c r="AC203" i="52" s="1"/>
  <c r="M203" i="52"/>
  <c r="X203" i="52"/>
  <c r="Y203" i="52" s="1"/>
  <c r="AB211" i="52"/>
  <c r="AC211" i="52" s="1"/>
  <c r="M211" i="52"/>
  <c r="X211" i="52"/>
  <c r="Y211" i="52" s="1"/>
  <c r="AB215" i="52"/>
  <c r="AC215" i="52" s="1"/>
  <c r="M215" i="52"/>
  <c r="X215" i="52"/>
  <c r="Y215" i="52" s="1"/>
  <c r="AB223" i="52"/>
  <c r="AC223" i="52" s="1"/>
  <c r="M223" i="52"/>
  <c r="X223" i="52"/>
  <c r="Y223" i="52" s="1"/>
  <c r="AB231" i="52"/>
  <c r="AC231" i="52" s="1"/>
  <c r="M231" i="52"/>
  <c r="X231" i="52"/>
  <c r="Y231" i="52" s="1"/>
  <c r="AB251" i="52"/>
  <c r="AC251" i="52" s="1"/>
  <c r="M251" i="52"/>
  <c r="X251" i="52"/>
  <c r="Y251" i="52" s="1"/>
  <c r="AB259" i="52"/>
  <c r="AC259" i="52" s="1"/>
  <c r="M259" i="52"/>
  <c r="X259" i="52"/>
  <c r="Y259" i="52" s="1"/>
  <c r="I314" i="52"/>
  <c r="I321" i="52" s="1"/>
  <c r="W314" i="52"/>
  <c r="W321" i="52" s="1"/>
  <c r="AB50" i="52"/>
  <c r="AC50" i="52" s="1"/>
  <c r="AB52" i="52"/>
  <c r="AC52" i="52" s="1"/>
  <c r="AB54" i="52"/>
  <c r="AC54" i="52" s="1"/>
  <c r="AB56" i="52"/>
  <c r="AC56" i="52" s="1"/>
  <c r="AB58" i="52"/>
  <c r="AC58" i="52" s="1"/>
  <c r="AB60" i="52"/>
  <c r="AC60" i="52" s="1"/>
  <c r="AB62" i="52"/>
  <c r="AC62" i="52" s="1"/>
  <c r="AB64" i="52"/>
  <c r="AC64" i="52" s="1"/>
  <c r="AB66" i="52"/>
  <c r="AC66" i="52" s="1"/>
  <c r="AB68" i="52"/>
  <c r="AC68" i="52" s="1"/>
  <c r="AB70" i="52"/>
  <c r="AC70" i="52" s="1"/>
  <c r="AB72" i="52"/>
  <c r="AC72" i="52" s="1"/>
  <c r="AB80" i="52"/>
  <c r="AC80" i="52" s="1"/>
  <c r="AB82" i="52"/>
  <c r="AC82" i="52" s="1"/>
  <c r="AB84" i="52"/>
  <c r="AC84" i="52" s="1"/>
  <c r="AB86" i="52"/>
  <c r="AC86" i="52" s="1"/>
  <c r="AB100" i="52"/>
  <c r="AC100" i="52" s="1"/>
  <c r="U101" i="52"/>
  <c r="AB108" i="52"/>
  <c r="AC108" i="52" s="1"/>
  <c r="U109" i="52"/>
  <c r="AB113" i="52"/>
  <c r="AC113" i="52" s="1"/>
  <c r="AB116" i="52"/>
  <c r="AC116" i="52" s="1"/>
  <c r="U117" i="52"/>
  <c r="X124" i="52"/>
  <c r="Y124" i="52" s="1"/>
  <c r="AB124" i="52"/>
  <c r="AC124" i="52" s="1"/>
  <c r="R128" i="52"/>
  <c r="M130" i="52"/>
  <c r="X132" i="52"/>
  <c r="Y132" i="52" s="1"/>
  <c r="AB132" i="52"/>
  <c r="AC132" i="52" s="1"/>
  <c r="R136" i="52"/>
  <c r="X140" i="52"/>
  <c r="Y140" i="52" s="1"/>
  <c r="AB140" i="52"/>
  <c r="AC140" i="52" s="1"/>
  <c r="R144" i="52"/>
  <c r="M146" i="52"/>
  <c r="X148" i="52"/>
  <c r="Y148" i="52" s="1"/>
  <c r="AB148" i="52"/>
  <c r="AC148" i="52" s="1"/>
  <c r="R152" i="52"/>
  <c r="M154" i="52"/>
  <c r="X156" i="52"/>
  <c r="Y156" i="52" s="1"/>
  <c r="AB156" i="52"/>
  <c r="AC156" i="52" s="1"/>
  <c r="R160" i="52"/>
  <c r="X164" i="52"/>
  <c r="Y164" i="52" s="1"/>
  <c r="AB164" i="52"/>
  <c r="AC164" i="52" s="1"/>
  <c r="Y167" i="52"/>
  <c r="R168" i="52"/>
  <c r="M170" i="52"/>
  <c r="X172" i="52"/>
  <c r="Y172" i="52" s="1"/>
  <c r="AB172" i="52"/>
  <c r="AC172" i="52" s="1"/>
  <c r="AC182" i="52"/>
  <c r="R183" i="52"/>
  <c r="AC186" i="52"/>
  <c r="R187" i="52"/>
  <c r="R191" i="52"/>
  <c r="AC194" i="52"/>
  <c r="R195" i="52"/>
  <c r="AC198" i="52"/>
  <c r="R199" i="52"/>
  <c r="Y290" i="52"/>
  <c r="X295" i="52"/>
  <c r="Y295" i="52" s="1"/>
  <c r="M295" i="52"/>
  <c r="AB295" i="52"/>
  <c r="AC295" i="52" s="1"/>
  <c r="X310" i="52"/>
  <c r="Y310" i="52" s="1"/>
  <c r="AB310" i="52"/>
  <c r="AC310" i="52" s="1"/>
  <c r="X122" i="52"/>
  <c r="Y122" i="52" s="1"/>
  <c r="AB122" i="52"/>
  <c r="AC122" i="52" s="1"/>
  <c r="X138" i="52"/>
  <c r="Y138" i="52" s="1"/>
  <c r="AB138" i="52"/>
  <c r="AC138" i="52" s="1"/>
  <c r="X162" i="52"/>
  <c r="Y162" i="52" s="1"/>
  <c r="AB162" i="52"/>
  <c r="AC162" i="52" s="1"/>
  <c r="AB191" i="52"/>
  <c r="AC191" i="52" s="1"/>
  <c r="X191" i="52"/>
  <c r="Y191" i="52" s="1"/>
  <c r="M191" i="52"/>
  <c r="AB199" i="52"/>
  <c r="AC199" i="52" s="1"/>
  <c r="X199" i="52"/>
  <c r="Y199" i="52" s="1"/>
  <c r="M199" i="52"/>
  <c r="AB207" i="52"/>
  <c r="AC207" i="52" s="1"/>
  <c r="M207" i="52"/>
  <c r="X207" i="52"/>
  <c r="Y207" i="52" s="1"/>
  <c r="AB219" i="52"/>
  <c r="AC219" i="52" s="1"/>
  <c r="M219" i="52"/>
  <c r="X219" i="52"/>
  <c r="Y219" i="52" s="1"/>
  <c r="AB227" i="52"/>
  <c r="AC227" i="52" s="1"/>
  <c r="M227" i="52"/>
  <c r="X227" i="52"/>
  <c r="Y227" i="52" s="1"/>
  <c r="AB235" i="52"/>
  <c r="AC235" i="52" s="1"/>
  <c r="M235" i="52"/>
  <c r="X235" i="52"/>
  <c r="Y235" i="52" s="1"/>
  <c r="AB239" i="52"/>
  <c r="AC239" i="52" s="1"/>
  <c r="M239" i="52"/>
  <c r="X239" i="52"/>
  <c r="Y239" i="52" s="1"/>
  <c r="AB243" i="52"/>
  <c r="AC243" i="52" s="1"/>
  <c r="M243" i="52"/>
  <c r="X243" i="52"/>
  <c r="Y243" i="52" s="1"/>
  <c r="AB247" i="52"/>
  <c r="AC247" i="52" s="1"/>
  <c r="M247" i="52"/>
  <c r="X247" i="52"/>
  <c r="Y247" i="52" s="1"/>
  <c r="AB255" i="52"/>
  <c r="AC255" i="52" s="1"/>
  <c r="M255" i="52"/>
  <c r="X255" i="52"/>
  <c r="Y255" i="52" s="1"/>
  <c r="AB263" i="52"/>
  <c r="AC263" i="52" s="1"/>
  <c r="M263" i="52"/>
  <c r="X263" i="52"/>
  <c r="Y263" i="52" s="1"/>
  <c r="AB267" i="52"/>
  <c r="AC267" i="52" s="1"/>
  <c r="M267" i="52"/>
  <c r="X267" i="52"/>
  <c r="Y267" i="52" s="1"/>
  <c r="AB271" i="52"/>
  <c r="AC271" i="52" s="1"/>
  <c r="M271" i="52"/>
  <c r="X271" i="52"/>
  <c r="Y271" i="52" s="1"/>
  <c r="AB275" i="52"/>
  <c r="AC275" i="52" s="1"/>
  <c r="M275" i="52"/>
  <c r="X275" i="52"/>
  <c r="Y275" i="52" s="1"/>
  <c r="AB279" i="52"/>
  <c r="AC279" i="52" s="1"/>
  <c r="M279" i="52"/>
  <c r="X279" i="52"/>
  <c r="Y279" i="52" s="1"/>
  <c r="AB283" i="52"/>
  <c r="AC283" i="52" s="1"/>
  <c r="M283" i="52"/>
  <c r="X283" i="52"/>
  <c r="Y283" i="52" s="1"/>
  <c r="K314" i="52"/>
  <c r="K321" i="52" s="1"/>
  <c r="AC6" i="52"/>
  <c r="AB102" i="52"/>
  <c r="AC102" i="52" s="1"/>
  <c r="M103" i="52"/>
  <c r="AB107" i="52"/>
  <c r="AC107" i="52" s="1"/>
  <c r="AB110" i="52"/>
  <c r="AC110" i="52" s="1"/>
  <c r="M111" i="52"/>
  <c r="AB115" i="52"/>
  <c r="AC115" i="52" s="1"/>
  <c r="AB118" i="52"/>
  <c r="AC118" i="52" s="1"/>
  <c r="M119" i="52"/>
  <c r="X126" i="52"/>
  <c r="Y126" i="52" s="1"/>
  <c r="AB126" i="52"/>
  <c r="AC126" i="52" s="1"/>
  <c r="X134" i="52"/>
  <c r="Y134" i="52" s="1"/>
  <c r="AB134" i="52"/>
  <c r="AC134" i="52" s="1"/>
  <c r="X142" i="52"/>
  <c r="Y142" i="52" s="1"/>
  <c r="AB142" i="52"/>
  <c r="AC142" i="52" s="1"/>
  <c r="X150" i="52"/>
  <c r="Y150" i="52" s="1"/>
  <c r="AB150" i="52"/>
  <c r="AC150" i="52" s="1"/>
  <c r="X158" i="52"/>
  <c r="Y158" i="52" s="1"/>
  <c r="AB158" i="52"/>
  <c r="AC158" i="52" s="1"/>
  <c r="X166" i="52"/>
  <c r="Y166" i="52" s="1"/>
  <c r="AB166" i="52"/>
  <c r="AC166" i="52" s="1"/>
  <c r="X174" i="52"/>
  <c r="Y174" i="52" s="1"/>
  <c r="AB174" i="52"/>
  <c r="AC174" i="52" s="1"/>
  <c r="AB177" i="52"/>
  <c r="AC177" i="52" s="1"/>
  <c r="X177" i="52"/>
  <c r="Y177" i="52" s="1"/>
  <c r="M177" i="52"/>
  <c r="AB181" i="52"/>
  <c r="AC181" i="52" s="1"/>
  <c r="X181" i="52"/>
  <c r="Y181" i="52" s="1"/>
  <c r="M181" i="52"/>
  <c r="AB185" i="52"/>
  <c r="AC185" i="52" s="1"/>
  <c r="X185" i="52"/>
  <c r="Y185" i="52" s="1"/>
  <c r="M185" i="52"/>
  <c r="AB189" i="52"/>
  <c r="AC189" i="52" s="1"/>
  <c r="X189" i="52"/>
  <c r="Y189" i="52" s="1"/>
  <c r="M189" i="52"/>
  <c r="AB193" i="52"/>
  <c r="AC193" i="52" s="1"/>
  <c r="X193" i="52"/>
  <c r="Y193" i="52" s="1"/>
  <c r="M193" i="52"/>
  <c r="AB197" i="52"/>
  <c r="AC197" i="52" s="1"/>
  <c r="X197" i="52"/>
  <c r="Y197" i="52" s="1"/>
  <c r="M197" i="52"/>
  <c r="AB201" i="52"/>
  <c r="AC201" i="52" s="1"/>
  <c r="M201" i="52"/>
  <c r="X293" i="52"/>
  <c r="Y293" i="52" s="1"/>
  <c r="AB293" i="52"/>
  <c r="AC293" i="52" s="1"/>
  <c r="X320" i="52"/>
  <c r="Y320" i="52" s="1"/>
  <c r="AB320" i="52"/>
  <c r="AC320" i="52" s="1"/>
  <c r="G314" i="52"/>
  <c r="L314" i="52"/>
  <c r="L321" i="52" s="1"/>
  <c r="AB104" i="52"/>
  <c r="AC104" i="52" s="1"/>
  <c r="U105" i="52"/>
  <c r="AB112" i="52"/>
  <c r="AC112" i="52" s="1"/>
  <c r="U113" i="52"/>
  <c r="AB120" i="52"/>
  <c r="AC120" i="52" s="1"/>
  <c r="U121" i="52"/>
  <c r="Y123" i="52"/>
  <c r="R124" i="52"/>
  <c r="M126" i="52"/>
  <c r="X128" i="52"/>
  <c r="Y128" i="52" s="1"/>
  <c r="AB128" i="52"/>
  <c r="AC128" i="52" s="1"/>
  <c r="Y131" i="52"/>
  <c r="R132" i="52"/>
  <c r="M134" i="52"/>
  <c r="X136" i="52"/>
  <c r="Y136" i="52" s="1"/>
  <c r="AB136" i="52"/>
  <c r="AC136" i="52" s="1"/>
  <c r="Y139" i="52"/>
  <c r="R140" i="52"/>
  <c r="M142" i="52"/>
  <c r="X144" i="52"/>
  <c r="Y144" i="52" s="1"/>
  <c r="AB144" i="52"/>
  <c r="AC144" i="52" s="1"/>
  <c r="Y147" i="52"/>
  <c r="R148" i="52"/>
  <c r="M150" i="52"/>
  <c r="X152" i="52"/>
  <c r="Y152" i="52" s="1"/>
  <c r="AB152" i="52"/>
  <c r="AC152" i="52" s="1"/>
  <c r="Y155" i="52"/>
  <c r="R156" i="52"/>
  <c r="X160" i="52"/>
  <c r="Y160" i="52" s="1"/>
  <c r="AB160" i="52"/>
  <c r="AC160" i="52" s="1"/>
  <c r="R164" i="52"/>
  <c r="M166" i="52"/>
  <c r="X168" i="52"/>
  <c r="Y168" i="52" s="1"/>
  <c r="AB168" i="52"/>
  <c r="AC168" i="52" s="1"/>
  <c r="R172" i="52"/>
  <c r="M174" i="52"/>
  <c r="R177" i="52"/>
  <c r="R181" i="52"/>
  <c r="R185" i="52"/>
  <c r="R189" i="52"/>
  <c r="R193" i="52"/>
  <c r="R197" i="52"/>
  <c r="M293" i="52"/>
  <c r="Y176" i="52"/>
  <c r="AB205" i="52"/>
  <c r="AC205" i="52" s="1"/>
  <c r="M205" i="52"/>
  <c r="AB209" i="52"/>
  <c r="AC209" i="52" s="1"/>
  <c r="M209" i="52"/>
  <c r="AB213" i="52"/>
  <c r="AC213" i="52" s="1"/>
  <c r="M213" i="52"/>
  <c r="AB217" i="52"/>
  <c r="AC217" i="52" s="1"/>
  <c r="M217" i="52"/>
  <c r="AB221" i="52"/>
  <c r="AC221" i="52" s="1"/>
  <c r="M221" i="52"/>
  <c r="AB225" i="52"/>
  <c r="AC225" i="52" s="1"/>
  <c r="M225" i="52"/>
  <c r="AB229" i="52"/>
  <c r="AC229" i="52" s="1"/>
  <c r="M229" i="52"/>
  <c r="AB233" i="52"/>
  <c r="AC233" i="52" s="1"/>
  <c r="M233" i="52"/>
  <c r="AB237" i="52"/>
  <c r="AC237" i="52" s="1"/>
  <c r="M237" i="52"/>
  <c r="AB241" i="52"/>
  <c r="AC241" i="52" s="1"/>
  <c r="M241" i="52"/>
  <c r="AB245" i="52"/>
  <c r="AC245" i="52" s="1"/>
  <c r="M245" i="52"/>
  <c r="AB249" i="52"/>
  <c r="AC249" i="52" s="1"/>
  <c r="M249" i="52"/>
  <c r="AB253" i="52"/>
  <c r="AC253" i="52" s="1"/>
  <c r="M253" i="52"/>
  <c r="AB257" i="52"/>
  <c r="AC257" i="52" s="1"/>
  <c r="M257" i="52"/>
  <c r="AB261" i="52"/>
  <c r="AC261" i="52" s="1"/>
  <c r="M261" i="52"/>
  <c r="AB265" i="52"/>
  <c r="AC265" i="52" s="1"/>
  <c r="M265" i="52"/>
  <c r="AB269" i="52"/>
  <c r="AC269" i="52" s="1"/>
  <c r="M269" i="52"/>
  <c r="AB273" i="52"/>
  <c r="AC273" i="52" s="1"/>
  <c r="M273" i="52"/>
  <c r="AB277" i="52"/>
  <c r="AC277" i="52" s="1"/>
  <c r="M277" i="52"/>
  <c r="AB281" i="52"/>
  <c r="AC281" i="52" s="1"/>
  <c r="M281" i="52"/>
  <c r="Y285" i="52"/>
  <c r="X287" i="52"/>
  <c r="Y287" i="52" s="1"/>
  <c r="M287" i="52"/>
  <c r="AB287" i="52"/>
  <c r="AC287" i="52" s="1"/>
  <c r="X297" i="52"/>
  <c r="Y297" i="52" s="1"/>
  <c r="AB297" i="52"/>
  <c r="AC297" i="52" s="1"/>
  <c r="X301" i="52"/>
  <c r="Y301" i="52" s="1"/>
  <c r="AB301" i="52"/>
  <c r="AC301" i="52" s="1"/>
  <c r="X305" i="52"/>
  <c r="Y305" i="52" s="1"/>
  <c r="AB305" i="52"/>
  <c r="AC305" i="52" s="1"/>
  <c r="X316" i="52"/>
  <c r="Y316" i="52" s="1"/>
  <c r="AB316" i="52"/>
  <c r="AC316" i="52" s="1"/>
  <c r="R323" i="52"/>
  <c r="R325" i="52"/>
  <c r="R327" i="52"/>
  <c r="R329" i="52"/>
  <c r="R335" i="52"/>
  <c r="R337" i="52"/>
  <c r="R349" i="52"/>
  <c r="R351" i="52"/>
  <c r="R353" i="52"/>
  <c r="R357" i="52"/>
  <c r="R359" i="52"/>
  <c r="R361" i="52"/>
  <c r="AC208" i="52"/>
  <c r="AC216" i="52"/>
  <c r="AC224" i="52"/>
  <c r="AC228" i="52"/>
  <c r="AC232" i="52"/>
  <c r="AC240" i="52"/>
  <c r="AC268" i="52"/>
  <c r="AC272" i="52"/>
  <c r="AC280" i="52"/>
  <c r="M285" i="52"/>
  <c r="R287" i="52"/>
  <c r="U294" i="52"/>
  <c r="X298" i="52"/>
  <c r="Y298" i="52" s="1"/>
  <c r="AB298" i="52"/>
  <c r="AC298" i="52" s="1"/>
  <c r="X302" i="52"/>
  <c r="Y302" i="52" s="1"/>
  <c r="AB302" i="52"/>
  <c r="AC302" i="52" s="1"/>
  <c r="X306" i="52"/>
  <c r="Y306" i="52" s="1"/>
  <c r="AB306" i="52"/>
  <c r="AC306" i="52" s="1"/>
  <c r="Y317" i="52"/>
  <c r="P321" i="52"/>
  <c r="D321" i="52"/>
  <c r="K584" i="52"/>
  <c r="AB286" i="52"/>
  <c r="AC286" i="52" s="1"/>
  <c r="AB289" i="52"/>
  <c r="AC289" i="52" s="1"/>
  <c r="M290" i="52"/>
  <c r="AB294" i="52"/>
  <c r="AC294" i="52" s="1"/>
  <c r="M298" i="52"/>
  <c r="M302" i="52"/>
  <c r="M306" i="52"/>
  <c r="X308" i="52"/>
  <c r="Y308" i="52" s="1"/>
  <c r="AB308" i="52"/>
  <c r="AC308" i="52" s="1"/>
  <c r="M310" i="52"/>
  <c r="X312" i="52"/>
  <c r="Y312" i="52" s="1"/>
  <c r="AB312" i="52"/>
  <c r="AC312" i="52" s="1"/>
  <c r="AB291" i="52"/>
  <c r="AC291" i="52" s="1"/>
  <c r="M292" i="52"/>
  <c r="U292" i="52"/>
  <c r="M297" i="52"/>
  <c r="U300" i="52"/>
  <c r="M301" i="52"/>
  <c r="U304" i="52"/>
  <c r="M305" i="52"/>
  <c r="U306" i="52"/>
  <c r="Y307" i="52"/>
  <c r="U310" i="52"/>
  <c r="Y311" i="52"/>
  <c r="J321" i="52"/>
  <c r="L620" i="52" s="1"/>
  <c r="M316" i="52"/>
  <c r="X318" i="52"/>
  <c r="Y318" i="52" s="1"/>
  <c r="AB318" i="52"/>
  <c r="AC318" i="52" s="1"/>
  <c r="M320" i="52"/>
  <c r="G584" i="52"/>
  <c r="R390" i="52"/>
  <c r="R392" i="52"/>
  <c r="R394" i="52"/>
  <c r="R396" i="52"/>
  <c r="R398" i="52"/>
  <c r="R400" i="52"/>
  <c r="R402" i="52"/>
  <c r="R404" i="52"/>
  <c r="R406" i="52"/>
  <c r="R408" i="52"/>
  <c r="R410" i="52"/>
  <c r="R412" i="52"/>
  <c r="AC414" i="52"/>
  <c r="Y419" i="52"/>
  <c r="R420" i="52"/>
  <c r="R422" i="52"/>
  <c r="R424" i="52"/>
  <c r="AC428" i="52"/>
  <c r="Y433" i="52"/>
  <c r="R434" i="52"/>
  <c r="AC436" i="52"/>
  <c r="R442" i="52"/>
  <c r="AC444" i="52"/>
  <c r="R450" i="52"/>
  <c r="AC452" i="52"/>
  <c r="Y457" i="52"/>
  <c r="E321" i="52"/>
  <c r="G621" i="52"/>
  <c r="G617" i="52"/>
  <c r="AA584" i="52"/>
  <c r="AA590" i="52" s="1"/>
  <c r="I584" i="52"/>
  <c r="I590" i="52" s="1"/>
  <c r="W584" i="52"/>
  <c r="W590" i="52" s="1"/>
  <c r="AB322" i="52"/>
  <c r="R416" i="52"/>
  <c r="AC418" i="52"/>
  <c r="Y427" i="52"/>
  <c r="Y429" i="52"/>
  <c r="R430" i="52"/>
  <c r="R438" i="52"/>
  <c r="AC440" i="52"/>
  <c r="Y445" i="52"/>
  <c r="R446" i="52"/>
  <c r="Y453" i="52"/>
  <c r="R454" i="52"/>
  <c r="AC456" i="52"/>
  <c r="X462" i="52"/>
  <c r="Y462" i="52" s="1"/>
  <c r="AB462" i="52"/>
  <c r="AC462" i="52" s="1"/>
  <c r="U458" i="52"/>
  <c r="M459" i="52"/>
  <c r="AB459" i="52"/>
  <c r="AC459" i="52" s="1"/>
  <c r="U462" i="52"/>
  <c r="M463" i="52"/>
  <c r="X465" i="52"/>
  <c r="Y465" i="52" s="1"/>
  <c r="AB465" i="52"/>
  <c r="AC465" i="52" s="1"/>
  <c r="M467" i="52"/>
  <c r="X469" i="52"/>
  <c r="Y469" i="52" s="1"/>
  <c r="AB469" i="52"/>
  <c r="AC469" i="52" s="1"/>
  <c r="M471" i="52"/>
  <c r="X473" i="52"/>
  <c r="Y473" i="52" s="1"/>
  <c r="AB473" i="52"/>
  <c r="AC473" i="52" s="1"/>
  <c r="AC474" i="52"/>
  <c r="M475" i="52"/>
  <c r="X477" i="52"/>
  <c r="Y477" i="52" s="1"/>
  <c r="AB477" i="52"/>
  <c r="AC477" i="52" s="1"/>
  <c r="M479" i="52"/>
  <c r="X481" i="52"/>
  <c r="Y481" i="52" s="1"/>
  <c r="AB481" i="52"/>
  <c r="AC481" i="52" s="1"/>
  <c r="M483" i="52"/>
  <c r="X485" i="52"/>
  <c r="Y485" i="52" s="1"/>
  <c r="AB485" i="52"/>
  <c r="AC485" i="52" s="1"/>
  <c r="M487" i="52"/>
  <c r="X489" i="52"/>
  <c r="Y489" i="52" s="1"/>
  <c r="AB489" i="52"/>
  <c r="AC489" i="52" s="1"/>
  <c r="M491" i="52"/>
  <c r="X493" i="52"/>
  <c r="Y493" i="52" s="1"/>
  <c r="AB493" i="52"/>
  <c r="AC493" i="52" s="1"/>
  <c r="Y499" i="52"/>
  <c r="X526" i="52"/>
  <c r="Y526" i="52" s="1"/>
  <c r="AB526" i="52"/>
  <c r="AC526" i="52" s="1"/>
  <c r="M526" i="52"/>
  <c r="M462" i="52"/>
  <c r="X502" i="52"/>
  <c r="Y502" i="52" s="1"/>
  <c r="AB502" i="52"/>
  <c r="AC502" i="52" s="1"/>
  <c r="M502" i="52"/>
  <c r="X510" i="52"/>
  <c r="Y510" i="52" s="1"/>
  <c r="AB510" i="52"/>
  <c r="AC510" i="52" s="1"/>
  <c r="M510" i="52"/>
  <c r="U460" i="52"/>
  <c r="X463" i="52"/>
  <c r="Y463" i="52" s="1"/>
  <c r="AB463" i="52"/>
  <c r="AC463" i="52" s="1"/>
  <c r="X467" i="52"/>
  <c r="Y467" i="52" s="1"/>
  <c r="AB467" i="52"/>
  <c r="AC467" i="52" s="1"/>
  <c r="X471" i="52"/>
  <c r="Y471" i="52" s="1"/>
  <c r="AB471" i="52"/>
  <c r="AC471" i="52" s="1"/>
  <c r="X475" i="52"/>
  <c r="Y475" i="52" s="1"/>
  <c r="AB475" i="52"/>
  <c r="AC475" i="52" s="1"/>
  <c r="AC476" i="52"/>
  <c r="X479" i="52"/>
  <c r="Y479" i="52" s="1"/>
  <c r="AB479" i="52"/>
  <c r="AC479" i="52" s="1"/>
  <c r="X483" i="52"/>
  <c r="Y483" i="52" s="1"/>
  <c r="AB483" i="52"/>
  <c r="AC483" i="52" s="1"/>
  <c r="X487" i="52"/>
  <c r="Y487" i="52" s="1"/>
  <c r="AB487" i="52"/>
  <c r="AC487" i="52" s="1"/>
  <c r="X491" i="52"/>
  <c r="Y491" i="52" s="1"/>
  <c r="AB491" i="52"/>
  <c r="AC491" i="52" s="1"/>
  <c r="AB499" i="52"/>
  <c r="AC499" i="52" s="1"/>
  <c r="X518" i="52"/>
  <c r="Y518" i="52" s="1"/>
  <c r="AB518" i="52"/>
  <c r="AC518" i="52" s="1"/>
  <c r="M518" i="52"/>
  <c r="X534" i="52"/>
  <c r="Y534" i="52" s="1"/>
  <c r="AB534" i="52"/>
  <c r="AC534" i="52" s="1"/>
  <c r="M534" i="52"/>
  <c r="AB496" i="52"/>
  <c r="AC496" i="52" s="1"/>
  <c r="U497" i="52"/>
  <c r="X504" i="52"/>
  <c r="Y504" i="52" s="1"/>
  <c r="AB504" i="52"/>
  <c r="AC504" i="52" s="1"/>
  <c r="R508" i="52"/>
  <c r="X516" i="52"/>
  <c r="Y516" i="52" s="1"/>
  <c r="AB516" i="52"/>
  <c r="AC516" i="52" s="1"/>
  <c r="M516" i="52"/>
  <c r="X524" i="52"/>
  <c r="Y524" i="52" s="1"/>
  <c r="AB524" i="52"/>
  <c r="AC524" i="52" s="1"/>
  <c r="M524" i="52"/>
  <c r="X532" i="52"/>
  <c r="Y532" i="52" s="1"/>
  <c r="AB532" i="52"/>
  <c r="AC532" i="52" s="1"/>
  <c r="M532" i="52"/>
  <c r="AB495" i="52"/>
  <c r="AC495" i="52" s="1"/>
  <c r="AB498" i="52"/>
  <c r="AC498" i="52" s="1"/>
  <c r="M499" i="52"/>
  <c r="X506" i="52"/>
  <c r="Y506" i="52" s="1"/>
  <c r="AB506" i="52"/>
  <c r="AC506" i="52" s="1"/>
  <c r="X514" i="52"/>
  <c r="Y514" i="52" s="1"/>
  <c r="AB514" i="52"/>
  <c r="AC514" i="52" s="1"/>
  <c r="M514" i="52"/>
  <c r="X522" i="52"/>
  <c r="Y522" i="52" s="1"/>
  <c r="AB522" i="52"/>
  <c r="AC522" i="52" s="1"/>
  <c r="M522" i="52"/>
  <c r="X530" i="52"/>
  <c r="Y530" i="52" s="1"/>
  <c r="AB530" i="52"/>
  <c r="AC530" i="52" s="1"/>
  <c r="M530" i="52"/>
  <c r="X548" i="52"/>
  <c r="Y548" i="52" s="1"/>
  <c r="AB548" i="52"/>
  <c r="AC548" i="52" s="1"/>
  <c r="AB500" i="52"/>
  <c r="AC500" i="52" s="1"/>
  <c r="M501" i="52"/>
  <c r="U501" i="52"/>
  <c r="R504" i="52"/>
  <c r="M506" i="52"/>
  <c r="X508" i="52"/>
  <c r="Y508" i="52" s="1"/>
  <c r="AB508" i="52"/>
  <c r="AC508" i="52" s="1"/>
  <c r="X512" i="52"/>
  <c r="Y512" i="52" s="1"/>
  <c r="AB512" i="52"/>
  <c r="AC512" i="52" s="1"/>
  <c r="M512" i="52"/>
  <c r="X520" i="52"/>
  <c r="Y520" i="52" s="1"/>
  <c r="AB520" i="52"/>
  <c r="AC520" i="52" s="1"/>
  <c r="M520" i="52"/>
  <c r="X528" i="52"/>
  <c r="Y528" i="52" s="1"/>
  <c r="AB528" i="52"/>
  <c r="AC528" i="52" s="1"/>
  <c r="M528" i="52"/>
  <c r="X581" i="52"/>
  <c r="Y581" i="52" s="1"/>
  <c r="AB581" i="52"/>
  <c r="AC581" i="52" s="1"/>
  <c r="Y536" i="52"/>
  <c r="AB537" i="52"/>
  <c r="AC537" i="52" s="1"/>
  <c r="M537" i="52"/>
  <c r="AB541" i="52"/>
  <c r="AC541" i="52" s="1"/>
  <c r="M541" i="52"/>
  <c r="Y549" i="52"/>
  <c r="X551" i="52"/>
  <c r="Y551" i="52" s="1"/>
  <c r="M551" i="52"/>
  <c r="AB551" i="52"/>
  <c r="AC551" i="52" s="1"/>
  <c r="AB554" i="52"/>
  <c r="AC554" i="52" s="1"/>
  <c r="Y556" i="52"/>
  <c r="AB562" i="52"/>
  <c r="AC562" i="52" s="1"/>
  <c r="Y564" i="52"/>
  <c r="X569" i="52"/>
  <c r="Y569" i="52" s="1"/>
  <c r="AB569" i="52"/>
  <c r="AC569" i="52" s="1"/>
  <c r="X587" i="52"/>
  <c r="Y587" i="52" s="1"/>
  <c r="AB587" i="52"/>
  <c r="AC587" i="52" s="1"/>
  <c r="M549" i="52"/>
  <c r="X573" i="52"/>
  <c r="Y573" i="52" s="1"/>
  <c r="AB573" i="52"/>
  <c r="AC573" i="52" s="1"/>
  <c r="AB539" i="52"/>
  <c r="AC539" i="52" s="1"/>
  <c r="M539" i="52"/>
  <c r="U539" i="52"/>
  <c r="X543" i="52"/>
  <c r="Y543" i="52" s="1"/>
  <c r="M543" i="52"/>
  <c r="AB543" i="52"/>
  <c r="AC543" i="52" s="1"/>
  <c r="AB549" i="52"/>
  <c r="AC549" i="52" s="1"/>
  <c r="Y554" i="52"/>
  <c r="X557" i="52"/>
  <c r="Y557" i="52" s="1"/>
  <c r="M557" i="52"/>
  <c r="AB557" i="52"/>
  <c r="AC557" i="52" s="1"/>
  <c r="Y562" i="52"/>
  <c r="X577" i="52"/>
  <c r="Y577" i="52" s="1"/>
  <c r="AB577" i="52"/>
  <c r="AC577" i="52" s="1"/>
  <c r="AB556" i="52"/>
  <c r="AC556" i="52" s="1"/>
  <c r="AB559" i="52"/>
  <c r="AC559" i="52" s="1"/>
  <c r="AB564" i="52"/>
  <c r="AC564" i="52" s="1"/>
  <c r="J590" i="52"/>
  <c r="L621" i="52" s="1"/>
  <c r="AB545" i="52"/>
  <c r="AC545" i="52" s="1"/>
  <c r="M546" i="52"/>
  <c r="AB550" i="52"/>
  <c r="AC550" i="52" s="1"/>
  <c r="AB553" i="52"/>
  <c r="AC553" i="52" s="1"/>
  <c r="M554" i="52"/>
  <c r="AB558" i="52"/>
  <c r="AC558" i="52" s="1"/>
  <c r="M559" i="52"/>
  <c r="AB561" i="52"/>
  <c r="AC561" i="52" s="1"/>
  <c r="M562" i="52"/>
  <c r="X567" i="52"/>
  <c r="Y567" i="52" s="1"/>
  <c r="AB567" i="52"/>
  <c r="AC567" i="52" s="1"/>
  <c r="M569" i="52"/>
  <c r="X571" i="52"/>
  <c r="Y571" i="52" s="1"/>
  <c r="AB571" i="52"/>
  <c r="AC571" i="52" s="1"/>
  <c r="M573" i="52"/>
  <c r="X575" i="52"/>
  <c r="Y575" i="52" s="1"/>
  <c r="AB575" i="52"/>
  <c r="AC575" i="52" s="1"/>
  <c r="M577" i="52"/>
  <c r="X579" i="52"/>
  <c r="Y579" i="52" s="1"/>
  <c r="AB579" i="52"/>
  <c r="AC579" i="52" s="1"/>
  <c r="M581" i="52"/>
  <c r="AB583" i="52"/>
  <c r="AC583" i="52" s="1"/>
  <c r="X583" i="52"/>
  <c r="Y583" i="52" s="1"/>
  <c r="AB547" i="52"/>
  <c r="AC547" i="52" s="1"/>
  <c r="M548" i="52"/>
  <c r="U548" i="52"/>
  <c r="AB555" i="52"/>
  <c r="AC555" i="52" s="1"/>
  <c r="M556" i="52"/>
  <c r="U556" i="52"/>
  <c r="AB563" i="52"/>
  <c r="AC563" i="52" s="1"/>
  <c r="M564" i="52"/>
  <c r="U564" i="52"/>
  <c r="X565" i="52"/>
  <c r="Y565" i="52" s="1"/>
  <c r="AB565" i="52"/>
  <c r="AC565" i="52" s="1"/>
  <c r="AC608" i="52"/>
  <c r="X585" i="52"/>
  <c r="Y585" i="52" s="1"/>
  <c r="AB585" i="52"/>
  <c r="AC585" i="52" s="1"/>
  <c r="M587" i="52"/>
  <c r="X589" i="52"/>
  <c r="Y589" i="52" s="1"/>
  <c r="AB589" i="52"/>
  <c r="AC589" i="52" s="1"/>
  <c r="AC594" i="52"/>
  <c r="AC602" i="52"/>
  <c r="U587" i="52"/>
  <c r="R594" i="52"/>
  <c r="AC596" i="52"/>
  <c r="R602" i="52"/>
  <c r="AC604" i="52"/>
  <c r="V612" i="52"/>
  <c r="E590" i="52"/>
  <c r="J62" i="51"/>
  <c r="J8" i="51"/>
  <c r="Z313" i="51"/>
  <c r="AB313" i="51" s="1"/>
  <c r="Z266" i="51"/>
  <c r="AB266" i="51" s="1"/>
  <c r="Z273" i="51"/>
  <c r="AB273" i="51" s="1"/>
  <c r="Z254" i="51"/>
  <c r="AB254" i="51" s="1"/>
  <c r="Z186" i="51"/>
  <c r="AB186" i="51" s="1"/>
  <c r="Z299" i="51"/>
  <c r="AB299" i="51" s="1"/>
  <c r="Z249" i="51"/>
  <c r="AB249" i="51" s="1"/>
  <c r="Z222" i="51"/>
  <c r="AB222" i="51" s="1"/>
  <c r="Z294" i="51"/>
  <c r="AB294" i="51" s="1"/>
  <c r="Z292" i="51"/>
  <c r="AB292" i="51" s="1"/>
  <c r="Z286" i="51"/>
  <c r="AB286" i="51" s="1"/>
  <c r="Z284" i="51"/>
  <c r="AB284" i="51" s="1"/>
  <c r="Z251" i="51"/>
  <c r="AB251" i="51" s="1"/>
  <c r="Z226" i="51"/>
  <c r="AB226" i="51" s="1"/>
  <c r="Z291" i="51"/>
  <c r="AB291" i="51" s="1"/>
  <c r="Z287" i="51"/>
  <c r="AB287" i="51" s="1"/>
  <c r="Z293" i="51"/>
  <c r="AB293" i="51" s="1"/>
  <c r="Z289" i="51"/>
  <c r="AB289" i="51" s="1"/>
  <c r="Z234" i="51"/>
  <c r="AB234" i="51" s="1"/>
  <c r="Z231" i="51"/>
  <c r="AB231" i="51" s="1"/>
  <c r="Z212" i="51"/>
  <c r="AB212" i="51" s="1"/>
  <c r="Z211" i="51"/>
  <c r="AB211" i="51" s="1"/>
  <c r="Z192" i="51"/>
  <c r="AB192" i="51" s="1"/>
  <c r="Z191" i="51"/>
  <c r="AB191" i="51" s="1"/>
  <c r="Z243" i="51"/>
  <c r="AB243" i="51" s="1"/>
  <c r="Z224" i="51"/>
  <c r="AB224" i="51" s="1"/>
  <c r="Z177" i="51"/>
  <c r="AB177" i="51" s="1"/>
  <c r="Z176" i="51"/>
  <c r="AB176" i="51" s="1"/>
  <c r="Z144" i="51"/>
  <c r="AB144" i="51" s="1"/>
  <c r="Z193" i="51"/>
  <c r="AB193" i="51" s="1"/>
  <c r="Z165" i="51"/>
  <c r="AB165" i="51" s="1"/>
  <c r="Z145" i="51"/>
  <c r="AB145" i="51" s="1"/>
  <c r="Z197" i="51"/>
  <c r="AB197" i="51" s="1"/>
  <c r="Z183" i="51"/>
  <c r="AB183" i="51" s="1"/>
  <c r="Z147" i="51"/>
  <c r="AB147" i="51" s="1"/>
  <c r="Z167" i="51"/>
  <c r="AB167" i="51" s="1"/>
  <c r="Z124" i="51"/>
  <c r="AB124" i="51" s="1"/>
  <c r="Z123" i="51"/>
  <c r="AB123" i="51" s="1"/>
  <c r="Z120" i="51"/>
  <c r="AB120" i="51" s="1"/>
  <c r="Z119" i="51"/>
  <c r="AB119" i="51" s="1"/>
  <c r="Z116" i="51"/>
  <c r="AB116" i="51" s="1"/>
  <c r="Z115" i="51"/>
  <c r="AB115" i="51" s="1"/>
  <c r="Z112" i="51"/>
  <c r="AB112" i="51" s="1"/>
  <c r="Z111" i="51"/>
  <c r="AB111" i="51" s="1"/>
  <c r="Z108" i="51"/>
  <c r="AB108" i="51" s="1"/>
  <c r="Z107" i="51"/>
  <c r="AB107" i="51" s="1"/>
  <c r="Z97" i="51"/>
  <c r="AB97" i="51" s="1"/>
  <c r="Z95" i="51"/>
  <c r="AB95" i="51" s="1"/>
  <c r="Z91" i="51"/>
  <c r="AB91" i="51" s="1"/>
  <c r="Z90" i="51"/>
  <c r="AB90" i="51" s="1"/>
  <c r="Z87" i="51"/>
  <c r="AB87" i="51" s="1"/>
  <c r="Z86" i="51"/>
  <c r="AB86" i="51" s="1"/>
  <c r="Z83" i="51"/>
  <c r="AB83" i="51" s="1"/>
  <c r="Z79" i="51"/>
  <c r="AB79" i="51" s="1"/>
  <c r="Z70" i="51"/>
  <c r="AB70" i="51" s="1"/>
  <c r="Z69" i="51"/>
  <c r="AB69" i="51" s="1"/>
  <c r="Z138" i="51"/>
  <c r="AB138" i="51" s="1"/>
  <c r="Z135" i="51"/>
  <c r="AB135" i="51" s="1"/>
  <c r="Z129" i="51"/>
  <c r="AB129" i="51" s="1"/>
  <c r="Z127" i="51"/>
  <c r="AB127" i="51" s="1"/>
  <c r="Z50" i="51"/>
  <c r="AB50" i="51" s="1"/>
  <c r="Z49" i="51"/>
  <c r="AB49" i="51" s="1"/>
  <c r="Z178" i="51"/>
  <c r="AB178" i="51" s="1"/>
  <c r="Z143" i="51"/>
  <c r="AB143" i="51" s="1"/>
  <c r="Z65" i="51"/>
  <c r="AB65" i="51" s="1"/>
  <c r="Z37" i="51"/>
  <c r="AB37" i="51" s="1"/>
  <c r="Z134" i="51"/>
  <c r="AB134" i="51" s="1"/>
  <c r="Z132" i="51"/>
  <c r="AB132" i="51" s="1"/>
  <c r="Z98" i="51"/>
  <c r="AB98" i="51" s="1"/>
  <c r="Z82" i="51"/>
  <c r="AB82" i="51" s="1"/>
  <c r="Z52" i="51"/>
  <c r="AB52" i="51" s="1"/>
  <c r="Z137" i="51"/>
  <c r="AB137" i="51" s="1"/>
  <c r="Z14" i="51"/>
  <c r="AB14" i="51" s="1"/>
  <c r="Z12" i="51"/>
  <c r="AB12" i="51" s="1"/>
  <c r="Z8" i="51"/>
  <c r="AB8" i="51" s="1"/>
  <c r="Z11" i="51"/>
  <c r="AB11" i="51" s="1"/>
  <c r="Z51" i="51"/>
  <c r="AB51" i="51" s="1"/>
  <c r="Z13" i="51"/>
  <c r="AB13" i="51" s="1"/>
  <c r="U310" i="51"/>
  <c r="W310" i="51" s="1"/>
  <c r="U314" i="51"/>
  <c r="W314" i="51" s="1"/>
  <c r="U266" i="51"/>
  <c r="W266" i="51" s="1"/>
  <c r="U265" i="51"/>
  <c r="W265" i="51" s="1"/>
  <c r="U301" i="51"/>
  <c r="W301" i="51" s="1"/>
  <c r="U297" i="51"/>
  <c r="W297" i="51" s="1"/>
  <c r="U248" i="51"/>
  <c r="W248" i="51" s="1"/>
  <c r="U187" i="51"/>
  <c r="W187" i="51" s="1"/>
  <c r="U186" i="51"/>
  <c r="W186" i="51" s="1"/>
  <c r="U296" i="51"/>
  <c r="W296" i="51" s="1"/>
  <c r="U294" i="51"/>
  <c r="W294" i="51" s="1"/>
  <c r="U290" i="51"/>
  <c r="W290" i="51" s="1"/>
  <c r="U288" i="51"/>
  <c r="W288" i="51" s="1"/>
  <c r="U286" i="51"/>
  <c r="W286" i="51" s="1"/>
  <c r="U284" i="51"/>
  <c r="W284" i="51" s="1"/>
  <c r="U282" i="51"/>
  <c r="W282" i="51" s="1"/>
  <c r="U252" i="51"/>
  <c r="W252" i="51" s="1"/>
  <c r="U246" i="51"/>
  <c r="W246" i="51" s="1"/>
  <c r="U210" i="51"/>
  <c r="W210" i="51" s="1"/>
  <c r="U267" i="51"/>
  <c r="W267" i="51" s="1"/>
  <c r="U245" i="51"/>
  <c r="W245" i="51" s="1"/>
  <c r="U229" i="51"/>
  <c r="W229" i="51" s="1"/>
  <c r="U211" i="51"/>
  <c r="W211" i="51" s="1"/>
  <c r="U254" i="51"/>
  <c r="W254" i="51" s="1"/>
  <c r="U293" i="51"/>
  <c r="W293" i="51" s="1"/>
  <c r="U285" i="51"/>
  <c r="W285" i="51" s="1"/>
  <c r="U281" i="51"/>
  <c r="W281" i="51" s="1"/>
  <c r="U274" i="51"/>
  <c r="W274" i="51" s="1"/>
  <c r="U295" i="51"/>
  <c r="W295" i="51" s="1"/>
  <c r="U200" i="51"/>
  <c r="W200" i="51" s="1"/>
  <c r="U291" i="51"/>
  <c r="W291" i="51" s="1"/>
  <c r="U221" i="51"/>
  <c r="W221" i="51" s="1"/>
  <c r="U213" i="51"/>
  <c r="W213" i="51" s="1"/>
  <c r="U209" i="51"/>
  <c r="W209" i="51" s="1"/>
  <c r="U196" i="51"/>
  <c r="W196" i="51" s="1"/>
  <c r="U195" i="51"/>
  <c r="W195" i="51" s="1"/>
  <c r="U194" i="51"/>
  <c r="W194" i="51" s="1"/>
  <c r="U287" i="51"/>
  <c r="W287" i="51" s="1"/>
  <c r="U273" i="51"/>
  <c r="W273" i="51" s="1"/>
  <c r="U198" i="51"/>
  <c r="W198" i="51" s="1"/>
  <c r="U244" i="51"/>
  <c r="W244" i="51" s="1"/>
  <c r="U212" i="51"/>
  <c r="W212" i="51" s="1"/>
  <c r="U184" i="51"/>
  <c r="W184" i="51" s="1"/>
  <c r="U180" i="51"/>
  <c r="W180" i="51" s="1"/>
  <c r="U177" i="51"/>
  <c r="W177" i="51" s="1"/>
  <c r="U176" i="51"/>
  <c r="W176" i="51" s="1"/>
  <c r="U161" i="51"/>
  <c r="W161" i="51" s="1"/>
  <c r="U157" i="51"/>
  <c r="W157" i="51" s="1"/>
  <c r="U153" i="51"/>
  <c r="W153" i="51" s="1"/>
  <c r="U149" i="51"/>
  <c r="W149" i="51" s="1"/>
  <c r="U145" i="51"/>
  <c r="W145" i="51" s="1"/>
  <c r="U192" i="51"/>
  <c r="W192" i="51" s="1"/>
  <c r="U191" i="51"/>
  <c r="W191" i="51" s="1"/>
  <c r="U179" i="51"/>
  <c r="W179" i="51" s="1"/>
  <c r="U164" i="51"/>
  <c r="W164" i="51" s="1"/>
  <c r="U160" i="51"/>
  <c r="W160" i="51" s="1"/>
  <c r="U156" i="51"/>
  <c r="W156" i="51" s="1"/>
  <c r="U152" i="51"/>
  <c r="W152" i="51" s="1"/>
  <c r="U146" i="51"/>
  <c r="W146" i="51" s="1"/>
  <c r="U283" i="51"/>
  <c r="W283" i="51" s="1"/>
  <c r="U222" i="51"/>
  <c r="W222" i="51" s="1"/>
  <c r="U182" i="51"/>
  <c r="W182" i="51" s="1"/>
  <c r="U178" i="51"/>
  <c r="W178" i="51" s="1"/>
  <c r="U163" i="51"/>
  <c r="W163" i="51" s="1"/>
  <c r="U159" i="51"/>
  <c r="W159" i="51" s="1"/>
  <c r="U155" i="51"/>
  <c r="W155" i="51" s="1"/>
  <c r="U151" i="51"/>
  <c r="W151" i="51" s="1"/>
  <c r="U154" i="51"/>
  <c r="W154" i="51" s="1"/>
  <c r="U148" i="51"/>
  <c r="W148" i="51" s="1"/>
  <c r="U144" i="51"/>
  <c r="W144" i="51" s="1"/>
  <c r="U223" i="51"/>
  <c r="W223" i="51" s="1"/>
  <c r="U190" i="51"/>
  <c r="W190" i="51" s="1"/>
  <c r="U188" i="51"/>
  <c r="W188" i="51" s="1"/>
  <c r="U158" i="51"/>
  <c r="W158" i="51" s="1"/>
  <c r="U125" i="51"/>
  <c r="W125" i="51" s="1"/>
  <c r="U124" i="51"/>
  <c r="W124" i="51" s="1"/>
  <c r="U123" i="51"/>
  <c r="W123" i="51" s="1"/>
  <c r="U122" i="51"/>
  <c r="W122" i="51" s="1"/>
  <c r="U121" i="51"/>
  <c r="W121" i="51" s="1"/>
  <c r="U120" i="51"/>
  <c r="W120" i="51" s="1"/>
  <c r="U119" i="51"/>
  <c r="W119" i="51" s="1"/>
  <c r="U117" i="51"/>
  <c r="W117" i="51" s="1"/>
  <c r="U116" i="51"/>
  <c r="W116" i="51" s="1"/>
  <c r="U115" i="51"/>
  <c r="W115" i="51" s="1"/>
  <c r="U114" i="51"/>
  <c r="W114" i="51" s="1"/>
  <c r="U113" i="51"/>
  <c r="W113" i="51" s="1"/>
  <c r="U112" i="51"/>
  <c r="W112" i="51" s="1"/>
  <c r="U111" i="51"/>
  <c r="W111" i="51" s="1"/>
  <c r="U109" i="51"/>
  <c r="W109" i="51" s="1"/>
  <c r="U108" i="51"/>
  <c r="W108" i="51" s="1"/>
  <c r="U107" i="51"/>
  <c r="W107" i="51" s="1"/>
  <c r="U106" i="51"/>
  <c r="W106" i="51" s="1"/>
  <c r="U105" i="51"/>
  <c r="W105" i="51" s="1"/>
  <c r="U97" i="51"/>
  <c r="W97" i="51" s="1"/>
  <c r="U95" i="51"/>
  <c r="W95" i="51" s="1"/>
  <c r="U185" i="51"/>
  <c r="W185" i="51" s="1"/>
  <c r="U162" i="51"/>
  <c r="W162" i="51" s="1"/>
  <c r="U181" i="51"/>
  <c r="W181" i="51" s="1"/>
  <c r="U150" i="51"/>
  <c r="W150" i="51" s="1"/>
  <c r="U143" i="51"/>
  <c r="W143" i="51" s="1"/>
  <c r="U78" i="51"/>
  <c r="W78" i="51" s="1"/>
  <c r="U56" i="51"/>
  <c r="W56" i="51" s="1"/>
  <c r="U49" i="51"/>
  <c r="W49" i="51" s="1"/>
  <c r="U48" i="51"/>
  <c r="W48" i="51" s="1"/>
  <c r="U47" i="51"/>
  <c r="W47" i="51" s="1"/>
  <c r="U98" i="51"/>
  <c r="W98" i="51" s="1"/>
  <c r="U82" i="51"/>
  <c r="W82" i="51" s="1"/>
  <c r="U76" i="51"/>
  <c r="W76" i="51" s="1"/>
  <c r="U65" i="51"/>
  <c r="W65" i="51" s="1"/>
  <c r="U96" i="51"/>
  <c r="W96" i="51" s="1"/>
  <c r="U74" i="51"/>
  <c r="W74" i="51" s="1"/>
  <c r="U11" i="51"/>
  <c r="W11" i="51" s="1"/>
  <c r="U18" i="51"/>
  <c r="W18" i="51" s="1"/>
  <c r="U30" i="51"/>
  <c r="W30" i="51" s="1"/>
  <c r="Z36" i="51"/>
  <c r="AB36" i="51" s="1"/>
  <c r="Z38" i="51"/>
  <c r="AB38" i="51" s="1"/>
  <c r="AK43" i="51"/>
  <c r="AL43" i="51" s="1"/>
  <c r="AK49" i="51"/>
  <c r="AL49" i="51" s="1"/>
  <c r="AW56" i="51"/>
  <c r="AX56" i="51" s="1"/>
  <c r="U70" i="51"/>
  <c r="W70" i="51" s="1"/>
  <c r="U165" i="51"/>
  <c r="W165" i="51" s="1"/>
  <c r="E253" i="51"/>
  <c r="I253" i="51" s="1"/>
  <c r="E236" i="51"/>
  <c r="I236" i="51" s="1"/>
  <c r="E213" i="51"/>
  <c r="E188" i="51"/>
  <c r="I188" i="51" s="1"/>
  <c r="E149" i="51"/>
  <c r="I149" i="51" s="1"/>
  <c r="E271" i="51"/>
  <c r="I271" i="51" s="1"/>
  <c r="E165" i="51"/>
  <c r="I165" i="51" s="1"/>
  <c r="E99" i="51"/>
  <c r="I99" i="51" s="1"/>
  <c r="E82" i="51"/>
  <c r="I82" i="51" s="1"/>
  <c r="I7" i="51"/>
  <c r="J7" i="51" s="1"/>
  <c r="M118" i="51"/>
  <c r="M46" i="51"/>
  <c r="Q7" i="51"/>
  <c r="R7" i="51" s="1"/>
  <c r="AC7" i="51"/>
  <c r="AD7" i="51" s="1"/>
  <c r="AG56" i="51"/>
  <c r="AH56" i="51" s="1"/>
  <c r="AI56" i="51" s="1"/>
  <c r="AG40" i="51"/>
  <c r="AH40" i="51" s="1"/>
  <c r="AI40" i="51" s="1"/>
  <c r="AT314" i="51"/>
  <c r="AU314" i="51" s="1"/>
  <c r="AT310" i="51"/>
  <c r="AU310" i="51" s="1"/>
  <c r="AT308" i="51"/>
  <c r="AU308" i="51" s="1"/>
  <c r="AT306" i="51"/>
  <c r="AU306" i="51" s="1"/>
  <c r="AT304" i="51"/>
  <c r="AU304" i="51" s="1"/>
  <c r="AT302" i="51"/>
  <c r="AU302" i="51" s="1"/>
  <c r="AT300" i="51"/>
  <c r="AU300" i="51" s="1"/>
  <c r="AT298" i="51"/>
  <c r="AU298" i="51" s="1"/>
  <c r="AT296" i="51"/>
  <c r="AU296" i="51" s="1"/>
  <c r="AT295" i="51"/>
  <c r="AU295" i="51" s="1"/>
  <c r="AT294" i="51"/>
  <c r="AU294" i="51" s="1"/>
  <c r="AT293" i="51"/>
  <c r="AU293" i="51" s="1"/>
  <c r="AT292" i="51"/>
  <c r="AU292" i="51" s="1"/>
  <c r="AT291" i="51"/>
  <c r="AU291" i="51" s="1"/>
  <c r="AT290" i="51"/>
  <c r="AU290" i="51" s="1"/>
  <c r="AT289" i="51"/>
  <c r="AU289" i="51" s="1"/>
  <c r="AT288" i="51"/>
  <c r="AU288" i="51" s="1"/>
  <c r="AT287" i="51"/>
  <c r="AU287" i="51" s="1"/>
  <c r="AT286" i="51"/>
  <c r="AU286" i="51" s="1"/>
  <c r="AT285" i="51"/>
  <c r="AU285" i="51" s="1"/>
  <c r="AT284" i="51"/>
  <c r="AU284" i="51" s="1"/>
  <c r="AT283" i="51"/>
  <c r="AU283" i="51" s="1"/>
  <c r="AT282" i="51"/>
  <c r="AU282" i="51" s="1"/>
  <c r="AT281" i="51"/>
  <c r="AU281" i="51" s="1"/>
  <c r="AT315" i="51"/>
  <c r="AU315" i="51" s="1"/>
  <c r="AT313" i="51"/>
  <c r="AU313" i="51" s="1"/>
  <c r="AT279" i="51"/>
  <c r="AU279" i="51" s="1"/>
  <c r="AT275" i="51"/>
  <c r="AU275" i="51" s="1"/>
  <c r="AT274" i="51"/>
  <c r="AU274" i="51" s="1"/>
  <c r="AT273" i="51"/>
  <c r="AU273" i="51" s="1"/>
  <c r="AT266" i="51"/>
  <c r="AU266" i="51" s="1"/>
  <c r="AT265" i="51"/>
  <c r="AU265" i="51" s="1"/>
  <c r="AT307" i="51"/>
  <c r="AU307" i="51" s="1"/>
  <c r="AT303" i="51"/>
  <c r="AU303" i="51" s="1"/>
  <c r="AT299" i="51"/>
  <c r="AU299" i="51" s="1"/>
  <c r="AT312" i="51"/>
  <c r="AU312" i="51" s="1"/>
  <c r="AT280" i="51"/>
  <c r="AU280" i="51" s="1"/>
  <c r="AT270" i="51"/>
  <c r="AU270" i="51" s="1"/>
  <c r="AT268" i="51"/>
  <c r="AU268" i="51" s="1"/>
  <c r="AT264" i="51"/>
  <c r="AU264" i="51" s="1"/>
  <c r="AT260" i="51"/>
  <c r="AU260" i="51" s="1"/>
  <c r="AT256" i="51"/>
  <c r="AU256" i="51" s="1"/>
  <c r="AT253" i="51"/>
  <c r="AU253" i="51" s="1"/>
  <c r="AT297" i="51"/>
  <c r="AU297" i="51" s="1"/>
  <c r="AT272" i="51"/>
  <c r="AU272" i="51" s="1"/>
  <c r="AT267" i="51"/>
  <c r="AU267" i="51" s="1"/>
  <c r="AT258" i="51"/>
  <c r="AU258" i="51" s="1"/>
  <c r="AT252" i="51"/>
  <c r="AU252" i="51" s="1"/>
  <c r="AT248" i="51"/>
  <c r="AU248" i="51" s="1"/>
  <c r="AT244" i="51"/>
  <c r="AU244" i="51" s="1"/>
  <c r="AT240" i="51"/>
  <c r="AU240" i="51" s="1"/>
  <c r="AT236" i="51"/>
  <c r="AU236" i="51" s="1"/>
  <c r="AT212" i="51"/>
  <c r="AU212" i="51" s="1"/>
  <c r="AT211" i="51"/>
  <c r="AU211" i="51" s="1"/>
  <c r="AT210" i="51"/>
  <c r="AU210" i="51" s="1"/>
  <c r="AT209" i="51"/>
  <c r="AU209" i="51" s="1"/>
  <c r="AT187" i="51"/>
  <c r="AU187" i="51" s="1"/>
  <c r="AT186" i="51"/>
  <c r="AU186" i="51" s="1"/>
  <c r="AT185" i="51"/>
  <c r="AU185" i="51" s="1"/>
  <c r="AT184" i="51"/>
  <c r="AU184" i="51" s="1"/>
  <c r="AT183" i="51"/>
  <c r="AU183" i="51" s="1"/>
  <c r="AT182" i="51"/>
  <c r="AU182" i="51" s="1"/>
  <c r="AT181" i="51"/>
  <c r="AU181" i="51" s="1"/>
  <c r="AT180" i="51"/>
  <c r="AU180" i="51" s="1"/>
  <c r="AT179" i="51"/>
  <c r="AU179" i="51" s="1"/>
  <c r="AT178" i="51"/>
  <c r="AU178" i="51" s="1"/>
  <c r="AT177" i="51"/>
  <c r="AU177" i="51" s="1"/>
  <c r="AT176" i="51"/>
  <c r="AU176" i="51" s="1"/>
  <c r="AT175" i="51"/>
  <c r="AU175" i="51" s="1"/>
  <c r="AT148" i="51"/>
  <c r="AU148" i="51" s="1"/>
  <c r="AT147" i="51"/>
  <c r="AU147" i="51" s="1"/>
  <c r="AT146" i="51"/>
  <c r="AU146" i="51" s="1"/>
  <c r="AT145" i="51"/>
  <c r="AU145" i="51" s="1"/>
  <c r="AT144" i="51"/>
  <c r="AU144" i="51" s="1"/>
  <c r="AT143" i="51"/>
  <c r="AU143" i="51" s="1"/>
  <c r="AT277" i="51"/>
  <c r="AU277" i="51" s="1"/>
  <c r="AT255" i="51"/>
  <c r="AU255" i="51" s="1"/>
  <c r="AT251" i="51"/>
  <c r="AU251" i="51" s="1"/>
  <c r="AT238" i="51"/>
  <c r="AU238" i="51" s="1"/>
  <c r="AT233" i="51"/>
  <c r="AU233" i="51" s="1"/>
  <c r="AT229" i="51"/>
  <c r="AU229" i="51" s="1"/>
  <c r="AT225" i="51"/>
  <c r="AU225" i="51" s="1"/>
  <c r="AT221" i="51"/>
  <c r="AU221" i="51" s="1"/>
  <c r="AT218" i="51"/>
  <c r="AU218" i="51" s="1"/>
  <c r="AT216" i="51"/>
  <c r="AU216" i="51" s="1"/>
  <c r="AT214" i="51"/>
  <c r="AU214" i="51" s="1"/>
  <c r="AT206" i="51"/>
  <c r="AU206" i="51" s="1"/>
  <c r="AT202" i="51"/>
  <c r="AU202" i="51" s="1"/>
  <c r="AT199" i="51"/>
  <c r="AU199" i="51" s="1"/>
  <c r="AT173" i="51"/>
  <c r="AU173" i="51" s="1"/>
  <c r="AT169" i="51"/>
  <c r="AU169" i="51" s="1"/>
  <c r="AT166" i="51"/>
  <c r="AU166" i="51" s="1"/>
  <c r="AT140" i="51"/>
  <c r="AU140" i="51" s="1"/>
  <c r="AT139" i="51"/>
  <c r="AU139" i="51" s="1"/>
  <c r="AT138" i="51"/>
  <c r="AU138" i="51" s="1"/>
  <c r="AT137" i="51"/>
  <c r="AU137" i="51" s="1"/>
  <c r="AT136" i="51"/>
  <c r="AU136" i="51" s="1"/>
  <c r="AT126" i="51"/>
  <c r="AU126" i="51" s="1"/>
  <c r="AT125" i="51"/>
  <c r="AU125" i="51" s="1"/>
  <c r="AT124" i="51"/>
  <c r="AU124" i="51" s="1"/>
  <c r="AT123" i="51"/>
  <c r="AU123" i="51" s="1"/>
  <c r="AT122" i="51"/>
  <c r="AU122" i="51" s="1"/>
  <c r="AT121" i="51"/>
  <c r="AU121" i="51" s="1"/>
  <c r="AT120" i="51"/>
  <c r="AU120" i="51" s="1"/>
  <c r="AT119" i="51"/>
  <c r="AU119" i="51" s="1"/>
  <c r="AT118" i="51"/>
  <c r="AU118" i="51" s="1"/>
  <c r="AT117" i="51"/>
  <c r="AU117" i="51" s="1"/>
  <c r="AT116" i="51"/>
  <c r="AU116" i="51" s="1"/>
  <c r="AT115" i="51"/>
  <c r="AU115" i="51" s="1"/>
  <c r="AT114" i="51"/>
  <c r="AU114" i="51" s="1"/>
  <c r="AT113" i="51"/>
  <c r="AU113" i="51" s="1"/>
  <c r="AT112" i="51"/>
  <c r="AU112" i="51" s="1"/>
  <c r="AT111" i="51"/>
  <c r="AU111" i="51" s="1"/>
  <c r="AT110" i="51"/>
  <c r="AU110" i="51" s="1"/>
  <c r="AT109" i="51"/>
  <c r="AU109" i="51" s="1"/>
  <c r="AT108" i="51"/>
  <c r="AU108" i="51" s="1"/>
  <c r="AT107" i="51"/>
  <c r="AU107" i="51" s="1"/>
  <c r="AT106" i="51"/>
  <c r="AU106" i="51" s="1"/>
  <c r="AT105" i="51"/>
  <c r="AU105" i="51" s="1"/>
  <c r="AT82" i="51"/>
  <c r="AU82" i="51" s="1"/>
  <c r="AT311" i="51"/>
  <c r="AU311" i="51" s="1"/>
  <c r="AT309" i="51"/>
  <c r="AU309" i="51" s="1"/>
  <c r="AT301" i="51"/>
  <c r="AU301" i="51" s="1"/>
  <c r="AT278" i="51"/>
  <c r="AU278" i="51" s="1"/>
  <c r="AT276" i="51"/>
  <c r="AU276" i="51" s="1"/>
  <c r="AT259" i="51"/>
  <c r="AU259" i="51" s="1"/>
  <c r="AT239" i="51"/>
  <c r="AU239" i="51" s="1"/>
  <c r="AT237" i="51"/>
  <c r="AU237" i="51" s="1"/>
  <c r="AT231" i="51"/>
  <c r="AU231" i="51" s="1"/>
  <c r="AT230" i="51"/>
  <c r="AU230" i="51" s="1"/>
  <c r="AT228" i="51"/>
  <c r="AU228" i="51" s="1"/>
  <c r="AT204" i="51"/>
  <c r="AU204" i="51" s="1"/>
  <c r="AT198" i="51"/>
  <c r="AU198" i="51" s="1"/>
  <c r="AT194" i="51"/>
  <c r="AU194" i="51" s="1"/>
  <c r="AT190" i="51"/>
  <c r="AU190" i="51" s="1"/>
  <c r="AT269" i="51"/>
  <c r="AU269" i="51" s="1"/>
  <c r="AT263" i="51"/>
  <c r="AU263" i="51" s="1"/>
  <c r="AT257" i="51"/>
  <c r="AU257" i="51" s="1"/>
  <c r="AT247" i="51"/>
  <c r="AU247" i="51" s="1"/>
  <c r="AT246" i="51"/>
  <c r="AU246" i="51" s="1"/>
  <c r="AT243" i="51"/>
  <c r="AU243" i="51" s="1"/>
  <c r="AT241" i="51"/>
  <c r="AU241" i="51" s="1"/>
  <c r="AT235" i="51"/>
  <c r="AU235" i="51" s="1"/>
  <c r="AT234" i="51"/>
  <c r="AU234" i="51" s="1"/>
  <c r="AT232" i="51"/>
  <c r="AU232" i="51" s="1"/>
  <c r="AT215" i="51"/>
  <c r="AU215" i="51" s="1"/>
  <c r="AT205" i="51"/>
  <c r="AU205" i="51" s="1"/>
  <c r="AT242" i="51"/>
  <c r="AU242" i="51" s="1"/>
  <c r="AT305" i="51"/>
  <c r="AU305" i="51" s="1"/>
  <c r="AT261" i="51"/>
  <c r="AU261" i="51" s="1"/>
  <c r="AT249" i="51"/>
  <c r="AU249" i="51" s="1"/>
  <c r="AT271" i="51"/>
  <c r="AU271" i="51" s="1"/>
  <c r="AT254" i="51"/>
  <c r="AU254" i="51" s="1"/>
  <c r="AT250" i="51"/>
  <c r="AU250" i="51" s="1"/>
  <c r="AT245" i="51"/>
  <c r="AU245" i="51" s="1"/>
  <c r="AT227" i="51"/>
  <c r="AU227" i="51" s="1"/>
  <c r="AT207" i="51"/>
  <c r="AU207" i="51" s="1"/>
  <c r="AT223" i="51"/>
  <c r="AU223" i="51" s="1"/>
  <c r="AT222" i="51"/>
  <c r="AU222" i="51" s="1"/>
  <c r="AT220" i="51"/>
  <c r="AU220" i="51" s="1"/>
  <c r="AT219" i="51"/>
  <c r="AU219" i="51" s="1"/>
  <c r="AT201" i="51"/>
  <c r="AU201" i="51" s="1"/>
  <c r="AT197" i="51"/>
  <c r="AU197" i="51" s="1"/>
  <c r="AT226" i="51"/>
  <c r="AU226" i="51" s="1"/>
  <c r="AT217" i="51"/>
  <c r="AU217" i="51" s="1"/>
  <c r="AT213" i="51"/>
  <c r="AU213" i="51" s="1"/>
  <c r="AT200" i="51"/>
  <c r="AU200" i="51" s="1"/>
  <c r="AT188" i="51"/>
  <c r="AU188" i="51" s="1"/>
  <c r="AT262" i="51"/>
  <c r="AU262" i="51" s="1"/>
  <c r="AT203" i="51"/>
  <c r="AU203" i="51" s="1"/>
  <c r="AT195" i="51"/>
  <c r="AU195" i="51" s="1"/>
  <c r="AT171" i="51"/>
  <c r="AU171" i="51" s="1"/>
  <c r="AT165" i="51"/>
  <c r="AU165" i="51" s="1"/>
  <c r="AT162" i="51"/>
  <c r="AU162" i="51" s="1"/>
  <c r="AT158" i="51"/>
  <c r="AU158" i="51" s="1"/>
  <c r="AT154" i="51"/>
  <c r="AU154" i="51" s="1"/>
  <c r="AT150" i="51"/>
  <c r="AU150" i="51" s="1"/>
  <c r="AT208" i="51"/>
  <c r="AU208" i="51" s="1"/>
  <c r="AT193" i="51"/>
  <c r="AU193" i="51" s="1"/>
  <c r="AT172" i="51"/>
  <c r="AU172" i="51" s="1"/>
  <c r="AT170" i="51"/>
  <c r="AU170" i="51" s="1"/>
  <c r="AT161" i="51"/>
  <c r="AU161" i="51" s="1"/>
  <c r="AT157" i="51"/>
  <c r="AU157" i="51" s="1"/>
  <c r="AT153" i="51"/>
  <c r="AU153" i="51" s="1"/>
  <c r="AT149" i="51"/>
  <c r="AU149" i="51" s="1"/>
  <c r="AT224" i="51"/>
  <c r="AU224" i="51" s="1"/>
  <c r="AT196" i="51"/>
  <c r="AU196" i="51" s="1"/>
  <c r="AT167" i="51"/>
  <c r="AU167" i="51" s="1"/>
  <c r="AT164" i="51"/>
  <c r="AU164" i="51" s="1"/>
  <c r="AT160" i="51"/>
  <c r="AU160" i="51" s="1"/>
  <c r="AT156" i="51"/>
  <c r="AU156" i="51" s="1"/>
  <c r="AT152" i="51"/>
  <c r="AU152" i="51" s="1"/>
  <c r="AT142" i="51"/>
  <c r="AU142" i="51" s="1"/>
  <c r="AT163" i="51"/>
  <c r="AU163" i="51" s="1"/>
  <c r="AT135" i="51"/>
  <c r="AU135" i="51" s="1"/>
  <c r="AT134" i="51"/>
  <c r="AU134" i="51" s="1"/>
  <c r="AT133" i="51"/>
  <c r="AU133" i="51" s="1"/>
  <c r="AT132" i="51"/>
  <c r="AU132" i="51" s="1"/>
  <c r="AT131" i="51"/>
  <c r="AU131" i="51" s="1"/>
  <c r="AT130" i="51"/>
  <c r="AU130" i="51" s="1"/>
  <c r="AT129" i="51"/>
  <c r="AU129" i="51" s="1"/>
  <c r="AT128" i="51"/>
  <c r="AU128" i="51" s="1"/>
  <c r="AT127" i="51"/>
  <c r="AU127" i="51" s="1"/>
  <c r="AT101" i="51"/>
  <c r="AU101" i="51" s="1"/>
  <c r="AT80" i="51"/>
  <c r="AU80" i="51" s="1"/>
  <c r="AT191" i="51"/>
  <c r="AU191" i="51" s="1"/>
  <c r="AT151" i="51"/>
  <c r="AU151" i="51" s="1"/>
  <c r="AT141" i="51"/>
  <c r="AU141" i="51" s="1"/>
  <c r="AT104" i="51"/>
  <c r="AU104" i="51" s="1"/>
  <c r="AT100" i="51"/>
  <c r="AU100" i="51" s="1"/>
  <c r="AT97" i="51"/>
  <c r="AU97" i="51" s="1"/>
  <c r="AT95" i="51"/>
  <c r="AU95" i="51" s="1"/>
  <c r="AT79" i="51"/>
  <c r="AU79" i="51" s="1"/>
  <c r="AT77" i="51"/>
  <c r="AU77" i="51" s="1"/>
  <c r="AT75" i="51"/>
  <c r="AU75" i="51" s="1"/>
  <c r="AT67" i="51"/>
  <c r="AU67" i="51" s="1"/>
  <c r="AT174" i="51"/>
  <c r="AU174" i="51" s="1"/>
  <c r="AT168" i="51"/>
  <c r="AU168" i="51" s="1"/>
  <c r="AT155" i="51"/>
  <c r="AU155" i="51" s="1"/>
  <c r="AT103" i="51"/>
  <c r="AU103" i="51" s="1"/>
  <c r="AT99" i="51"/>
  <c r="AU99" i="51" s="1"/>
  <c r="AT93" i="51"/>
  <c r="AU93" i="51" s="1"/>
  <c r="AT92" i="51"/>
  <c r="AU92" i="51" s="1"/>
  <c r="AT91" i="51"/>
  <c r="AU91" i="51" s="1"/>
  <c r="AT90" i="51"/>
  <c r="AU90" i="51" s="1"/>
  <c r="AT89" i="51"/>
  <c r="AU89" i="51" s="1"/>
  <c r="AT88" i="51"/>
  <c r="AU88" i="51" s="1"/>
  <c r="AT87" i="51"/>
  <c r="AU87" i="51" s="1"/>
  <c r="AT86" i="51"/>
  <c r="AU86" i="51" s="1"/>
  <c r="AT85" i="51"/>
  <c r="AU85" i="51" s="1"/>
  <c r="AT84" i="51"/>
  <c r="AU84" i="51" s="1"/>
  <c r="AT83" i="51"/>
  <c r="AU83" i="51" s="1"/>
  <c r="AT73" i="51"/>
  <c r="AU73" i="51" s="1"/>
  <c r="AT72" i="51"/>
  <c r="AU72" i="51" s="1"/>
  <c r="AT71" i="51"/>
  <c r="AU71" i="51" s="1"/>
  <c r="AT70" i="51"/>
  <c r="AU70" i="51" s="1"/>
  <c r="AT69" i="51"/>
  <c r="AU69" i="51" s="1"/>
  <c r="AT68" i="51"/>
  <c r="AU68" i="51" s="1"/>
  <c r="AT192" i="51"/>
  <c r="AU192" i="51" s="1"/>
  <c r="AT159" i="51"/>
  <c r="AU159" i="51" s="1"/>
  <c r="AT102" i="51"/>
  <c r="AU102" i="51" s="1"/>
  <c r="AT94" i="51"/>
  <c r="AU94" i="51" s="1"/>
  <c r="AT66" i="51"/>
  <c r="AU66" i="51" s="1"/>
  <c r="AT59" i="51"/>
  <c r="AU59" i="51" s="1"/>
  <c r="AT58" i="51"/>
  <c r="AU58" i="51" s="1"/>
  <c r="AT57" i="51"/>
  <c r="AU57" i="51" s="1"/>
  <c r="AT52" i="51"/>
  <c r="AU52" i="51" s="1"/>
  <c r="AT51" i="51"/>
  <c r="AU51" i="51" s="1"/>
  <c r="AT189" i="51"/>
  <c r="AU189" i="51" s="1"/>
  <c r="AT78" i="51"/>
  <c r="AU78" i="51" s="1"/>
  <c r="AT56" i="51"/>
  <c r="AU56" i="51" s="1"/>
  <c r="AT50" i="51"/>
  <c r="AU50" i="51" s="1"/>
  <c r="AT49" i="51"/>
  <c r="AU49" i="51" s="1"/>
  <c r="AT48" i="51"/>
  <c r="AU48" i="51" s="1"/>
  <c r="AT47" i="51"/>
  <c r="AU47" i="51" s="1"/>
  <c r="AT46" i="51"/>
  <c r="AU46" i="51" s="1"/>
  <c r="AT45" i="51"/>
  <c r="AU45" i="51" s="1"/>
  <c r="AT44" i="51"/>
  <c r="AU44" i="51" s="1"/>
  <c r="AT43" i="51"/>
  <c r="AU43" i="51" s="1"/>
  <c r="AT42" i="51"/>
  <c r="AU42" i="51" s="1"/>
  <c r="AT41" i="51"/>
  <c r="AU41" i="51" s="1"/>
  <c r="AT40" i="51"/>
  <c r="AU40" i="51" s="1"/>
  <c r="AT39" i="51"/>
  <c r="AU39" i="51" s="1"/>
  <c r="AT38" i="51"/>
  <c r="AU38" i="51" s="1"/>
  <c r="AT98" i="51"/>
  <c r="AU98" i="51" s="1"/>
  <c r="AT81" i="51"/>
  <c r="AU81" i="51" s="1"/>
  <c r="AT76" i="51"/>
  <c r="AU76" i="51" s="1"/>
  <c r="AT65" i="51"/>
  <c r="AU65" i="51" s="1"/>
  <c r="AT64" i="51"/>
  <c r="AU64" i="51" s="1"/>
  <c r="AT63" i="51"/>
  <c r="AU63" i="51" s="1"/>
  <c r="AT62" i="51"/>
  <c r="AU62" i="51" s="1"/>
  <c r="AT55" i="51"/>
  <c r="AU55" i="51" s="1"/>
  <c r="AT54" i="51"/>
  <c r="AU54" i="51" s="1"/>
  <c r="AT53" i="51"/>
  <c r="AU53" i="51" s="1"/>
  <c r="AT37" i="51"/>
  <c r="AU37" i="51" s="1"/>
  <c r="AT36" i="51"/>
  <c r="AU36" i="51" s="1"/>
  <c r="AT35" i="51"/>
  <c r="AU35" i="51" s="1"/>
  <c r="AT34" i="51"/>
  <c r="AU34" i="51" s="1"/>
  <c r="AT33" i="51"/>
  <c r="AU33" i="51" s="1"/>
  <c r="AT32" i="51"/>
  <c r="AU32" i="51" s="1"/>
  <c r="AT31" i="51"/>
  <c r="AU31" i="51" s="1"/>
  <c r="AT30" i="51"/>
  <c r="AU30" i="51" s="1"/>
  <c r="AT29" i="51"/>
  <c r="AU29" i="51" s="1"/>
  <c r="AT28" i="51"/>
  <c r="AU28" i="51" s="1"/>
  <c r="AT27" i="51"/>
  <c r="AU27" i="51" s="1"/>
  <c r="AT26" i="51"/>
  <c r="AU26" i="51" s="1"/>
  <c r="AT25" i="51"/>
  <c r="AU25" i="51" s="1"/>
  <c r="AT24" i="51"/>
  <c r="AU24" i="51" s="1"/>
  <c r="AT23" i="51"/>
  <c r="AU23" i="51" s="1"/>
  <c r="AT22" i="51"/>
  <c r="AU22" i="51" s="1"/>
  <c r="AT21" i="51"/>
  <c r="AU21" i="51" s="1"/>
  <c r="AT20" i="51"/>
  <c r="AU20" i="51" s="1"/>
  <c r="AT19" i="51"/>
  <c r="AU19" i="51" s="1"/>
  <c r="AT18" i="51"/>
  <c r="AU18" i="51" s="1"/>
  <c r="AT17" i="51"/>
  <c r="AU17" i="51" s="1"/>
  <c r="AT16" i="51"/>
  <c r="AU16" i="51" s="1"/>
  <c r="AT15" i="51"/>
  <c r="AU15" i="51" s="1"/>
  <c r="O8" i="51"/>
  <c r="P8" i="51" s="1"/>
  <c r="AN8" i="51"/>
  <c r="AT8" i="51"/>
  <c r="O9" i="51"/>
  <c r="P9" i="51" s="1"/>
  <c r="AW9" i="51"/>
  <c r="AX9" i="51" s="1"/>
  <c r="AN11" i="51"/>
  <c r="AO11" i="51" s="1"/>
  <c r="Z16" i="51"/>
  <c r="AB16" i="51" s="1"/>
  <c r="U17" i="51"/>
  <c r="W17" i="51" s="1"/>
  <c r="U21" i="51"/>
  <c r="W21" i="51" s="1"/>
  <c r="Z24" i="51"/>
  <c r="AB24" i="51" s="1"/>
  <c r="U25" i="51"/>
  <c r="W25" i="51" s="1"/>
  <c r="U29" i="51"/>
  <c r="W29" i="51" s="1"/>
  <c r="Z32" i="51"/>
  <c r="AB32" i="51" s="1"/>
  <c r="U33" i="51"/>
  <c r="W33" i="51" s="1"/>
  <c r="U36" i="51"/>
  <c r="W36" i="51" s="1"/>
  <c r="AW38" i="51"/>
  <c r="AX38" i="51" s="1"/>
  <c r="L39" i="51"/>
  <c r="M39" i="51" s="1"/>
  <c r="AQ39" i="51"/>
  <c r="AR39" i="51" s="1"/>
  <c r="AK40" i="51"/>
  <c r="AL40" i="51" s="1"/>
  <c r="U41" i="51"/>
  <c r="W41" i="51" s="1"/>
  <c r="AF41" i="51"/>
  <c r="AG41" i="51" s="1"/>
  <c r="AH41" i="51" s="1"/>
  <c r="AI41" i="51" s="1"/>
  <c r="AW42" i="51"/>
  <c r="AX42" i="51" s="1"/>
  <c r="L43" i="51"/>
  <c r="M43" i="51" s="1"/>
  <c r="Z43" i="51"/>
  <c r="AB43" i="51" s="1"/>
  <c r="AQ43" i="51"/>
  <c r="AR43" i="51" s="1"/>
  <c r="AK44" i="51"/>
  <c r="AL44" i="51" s="1"/>
  <c r="U45" i="51"/>
  <c r="W45" i="51" s="1"/>
  <c r="AF45" i="51"/>
  <c r="AG45" i="51" s="1"/>
  <c r="AH45" i="51" s="1"/>
  <c r="AI45" i="51" s="1"/>
  <c r="AW46" i="51"/>
  <c r="AX46" i="51" s="1"/>
  <c r="L47" i="51"/>
  <c r="M47" i="51" s="1"/>
  <c r="AQ47" i="51"/>
  <c r="AR47" i="51" s="1"/>
  <c r="AF48" i="51"/>
  <c r="AG48" i="51" s="1"/>
  <c r="AH48" i="51" s="1"/>
  <c r="AI48" i="51" s="1"/>
  <c r="L49" i="51"/>
  <c r="M49" i="51" s="1"/>
  <c r="AQ49" i="51"/>
  <c r="AR49" i="51" s="1"/>
  <c r="AF50" i="51"/>
  <c r="AG50" i="51" s="1"/>
  <c r="AH50" i="51" s="1"/>
  <c r="AI50" i="51" s="1"/>
  <c r="U53" i="51"/>
  <c r="W53" i="51" s="1"/>
  <c r="O60" i="51"/>
  <c r="P60" i="51" s="1"/>
  <c r="AT60" i="51"/>
  <c r="AU60" i="51" s="1"/>
  <c r="U61" i="51"/>
  <c r="W61" i="51" s="1"/>
  <c r="U62" i="51"/>
  <c r="W62" i="51" s="1"/>
  <c r="O66" i="51"/>
  <c r="P66" i="51" s="1"/>
  <c r="AK67" i="51"/>
  <c r="AL67" i="51" s="1"/>
  <c r="AQ71" i="51"/>
  <c r="AR71" i="51" s="1"/>
  <c r="U72" i="51"/>
  <c r="W72" i="51" s="1"/>
  <c r="J73" i="51"/>
  <c r="O76" i="51"/>
  <c r="P76" i="51" s="1"/>
  <c r="L114" i="51"/>
  <c r="M114" i="51" s="1"/>
  <c r="AQ117" i="51"/>
  <c r="AR117" i="51" s="1"/>
  <c r="U127" i="51"/>
  <c r="W127" i="51" s="1"/>
  <c r="AN128" i="51"/>
  <c r="AO128" i="51" s="1"/>
  <c r="U129" i="51"/>
  <c r="W129" i="51" s="1"/>
  <c r="AN130" i="51"/>
  <c r="AO130" i="51" s="1"/>
  <c r="U131" i="51"/>
  <c r="W131" i="51" s="1"/>
  <c r="AN132" i="51"/>
  <c r="AO132" i="51" s="1"/>
  <c r="U133" i="51"/>
  <c r="W133" i="51" s="1"/>
  <c r="AN134" i="51"/>
  <c r="AO134" i="51" s="1"/>
  <c r="U135" i="51"/>
  <c r="W135" i="51" s="1"/>
  <c r="AQ136" i="51"/>
  <c r="AR136" i="51" s="1"/>
  <c r="H199" i="51"/>
  <c r="I199" i="51" s="1"/>
  <c r="H141" i="51"/>
  <c r="I141" i="51" s="1"/>
  <c r="H213" i="51"/>
  <c r="H209" i="51"/>
  <c r="I209" i="51" s="1"/>
  <c r="H57" i="51"/>
  <c r="I57" i="51" s="1"/>
  <c r="H51" i="51"/>
  <c r="I51" i="51" s="1"/>
  <c r="H143" i="51"/>
  <c r="I143" i="51" s="1"/>
  <c r="H56" i="51"/>
  <c r="I56" i="51" s="1"/>
  <c r="H38" i="51"/>
  <c r="I38" i="51" s="1"/>
  <c r="AK308" i="51"/>
  <c r="AL308" i="51" s="1"/>
  <c r="AK307" i="51"/>
  <c r="AL307" i="51" s="1"/>
  <c r="AK306" i="51"/>
  <c r="AL306" i="51" s="1"/>
  <c r="AK305" i="51"/>
  <c r="AL305" i="51" s="1"/>
  <c r="AK304" i="51"/>
  <c r="AL304" i="51" s="1"/>
  <c r="AK303" i="51"/>
  <c r="AL303" i="51" s="1"/>
  <c r="AK302" i="51"/>
  <c r="AL302" i="51" s="1"/>
  <c r="AK301" i="51"/>
  <c r="AL301" i="51" s="1"/>
  <c r="AK300" i="51"/>
  <c r="AL300" i="51" s="1"/>
  <c r="AK299" i="51"/>
  <c r="AL299" i="51" s="1"/>
  <c r="AK298" i="51"/>
  <c r="AL298" i="51" s="1"/>
  <c r="AK297" i="51"/>
  <c r="AL297" i="51" s="1"/>
  <c r="AK313" i="51"/>
  <c r="AL313" i="51" s="1"/>
  <c r="AK309" i="51"/>
  <c r="AL309" i="51" s="1"/>
  <c r="AK296" i="51"/>
  <c r="AL296" i="51" s="1"/>
  <c r="AK295" i="51"/>
  <c r="AL295" i="51" s="1"/>
  <c r="AK294" i="51"/>
  <c r="AL294" i="51" s="1"/>
  <c r="AK293" i="51"/>
  <c r="AL293" i="51" s="1"/>
  <c r="AK292" i="51"/>
  <c r="AL292" i="51" s="1"/>
  <c r="AK291" i="51"/>
  <c r="AL291" i="51" s="1"/>
  <c r="AK290" i="51"/>
  <c r="AL290" i="51" s="1"/>
  <c r="AK289" i="51"/>
  <c r="AL289" i="51" s="1"/>
  <c r="AK288" i="51"/>
  <c r="AL288" i="51" s="1"/>
  <c r="AK287" i="51"/>
  <c r="AL287" i="51" s="1"/>
  <c r="AK286" i="51"/>
  <c r="AL286" i="51" s="1"/>
  <c r="AK285" i="51"/>
  <c r="AL285" i="51" s="1"/>
  <c r="AK284" i="51"/>
  <c r="AL284" i="51" s="1"/>
  <c r="AK283" i="51"/>
  <c r="AL283" i="51" s="1"/>
  <c r="AK282" i="51"/>
  <c r="AL282" i="51" s="1"/>
  <c r="AK281" i="51"/>
  <c r="AL281" i="51" s="1"/>
  <c r="AK280" i="51"/>
  <c r="AL280" i="51" s="1"/>
  <c r="AK276" i="51"/>
  <c r="AL276" i="51" s="1"/>
  <c r="AK270" i="51"/>
  <c r="AL270" i="51" s="1"/>
  <c r="AK269" i="51"/>
  <c r="AL269" i="51" s="1"/>
  <c r="AK268" i="51"/>
  <c r="AL268" i="51" s="1"/>
  <c r="AK254" i="51"/>
  <c r="AL254" i="51" s="1"/>
  <c r="AK253" i="51"/>
  <c r="AL253" i="51" s="1"/>
  <c r="AK312" i="51"/>
  <c r="AL312" i="51" s="1"/>
  <c r="AK311" i="51"/>
  <c r="AL311" i="51" s="1"/>
  <c r="AK310" i="51"/>
  <c r="AL310" i="51" s="1"/>
  <c r="AK279" i="51"/>
  <c r="AL279" i="51" s="1"/>
  <c r="AK271" i="51"/>
  <c r="AL271" i="51" s="1"/>
  <c r="AK261" i="51"/>
  <c r="AL261" i="51" s="1"/>
  <c r="AK257" i="51"/>
  <c r="AL257" i="51" s="1"/>
  <c r="AK236" i="51"/>
  <c r="AL236" i="51" s="1"/>
  <c r="AK315" i="51"/>
  <c r="AL315" i="51" s="1"/>
  <c r="AK278" i="51"/>
  <c r="AL278" i="51" s="1"/>
  <c r="AK272" i="51"/>
  <c r="AL272" i="51" s="1"/>
  <c r="AK266" i="51"/>
  <c r="AL266" i="51" s="1"/>
  <c r="AK258" i="51"/>
  <c r="AL258" i="51" s="1"/>
  <c r="AK251" i="51"/>
  <c r="AL251" i="51" s="1"/>
  <c r="AK247" i="51"/>
  <c r="AL247" i="51" s="1"/>
  <c r="AK243" i="51"/>
  <c r="AL243" i="51" s="1"/>
  <c r="AK237" i="51"/>
  <c r="AL237" i="51" s="1"/>
  <c r="AK218" i="51"/>
  <c r="AL218" i="51" s="1"/>
  <c r="AK217" i="51"/>
  <c r="AL217" i="51" s="1"/>
  <c r="AK216" i="51"/>
  <c r="AL216" i="51" s="1"/>
  <c r="AK215" i="51"/>
  <c r="AL215" i="51" s="1"/>
  <c r="AK214" i="51"/>
  <c r="AL214" i="51" s="1"/>
  <c r="AK213" i="51"/>
  <c r="AL213" i="51" s="1"/>
  <c r="AK200" i="51"/>
  <c r="AL200" i="51" s="1"/>
  <c r="AK199" i="51"/>
  <c r="AL199" i="51" s="1"/>
  <c r="AK167" i="51"/>
  <c r="AL167" i="51" s="1"/>
  <c r="AK166" i="51"/>
  <c r="AL166" i="51" s="1"/>
  <c r="AK165" i="51"/>
  <c r="AL165" i="51" s="1"/>
  <c r="AK273" i="51"/>
  <c r="AL273" i="51" s="1"/>
  <c r="AK260" i="51"/>
  <c r="AL260" i="51" s="1"/>
  <c r="AK246" i="51"/>
  <c r="AL246" i="51" s="1"/>
  <c r="AK245" i="51"/>
  <c r="AL245" i="51" s="1"/>
  <c r="AK238" i="51"/>
  <c r="AL238" i="51" s="1"/>
  <c r="AK232" i="51"/>
  <c r="AL232" i="51" s="1"/>
  <c r="AK228" i="51"/>
  <c r="AL228" i="51" s="1"/>
  <c r="AK224" i="51"/>
  <c r="AL224" i="51" s="1"/>
  <c r="AK220" i="51"/>
  <c r="AL220" i="51" s="1"/>
  <c r="AK219" i="51"/>
  <c r="AL219" i="51" s="1"/>
  <c r="AK207" i="51"/>
  <c r="AL207" i="51" s="1"/>
  <c r="AK203" i="51"/>
  <c r="AL203" i="51" s="1"/>
  <c r="AK185" i="51"/>
  <c r="AL185" i="51" s="1"/>
  <c r="AK184" i="51"/>
  <c r="AL184" i="51" s="1"/>
  <c r="AK183" i="51"/>
  <c r="AL183" i="51" s="1"/>
  <c r="AK182" i="51"/>
  <c r="AL182" i="51" s="1"/>
  <c r="AK181" i="51"/>
  <c r="AL181" i="51" s="1"/>
  <c r="AK180" i="51"/>
  <c r="AL180" i="51" s="1"/>
  <c r="AK179" i="51"/>
  <c r="AL179" i="51" s="1"/>
  <c r="AK178" i="51"/>
  <c r="AL178" i="51" s="1"/>
  <c r="AK177" i="51"/>
  <c r="AL177" i="51" s="1"/>
  <c r="AK176" i="51"/>
  <c r="AL176" i="51" s="1"/>
  <c r="AK175" i="51"/>
  <c r="AL175" i="51" s="1"/>
  <c r="AK174" i="51"/>
  <c r="AL174" i="51" s="1"/>
  <c r="AK170" i="51"/>
  <c r="AL170" i="51" s="1"/>
  <c r="AK140" i="51"/>
  <c r="AL140" i="51" s="1"/>
  <c r="AK139" i="51"/>
  <c r="AL139" i="51" s="1"/>
  <c r="AK138" i="51"/>
  <c r="AL138" i="51" s="1"/>
  <c r="AK137" i="51"/>
  <c r="AL137" i="51" s="1"/>
  <c r="AK136" i="51"/>
  <c r="AL136" i="51" s="1"/>
  <c r="AK98" i="51"/>
  <c r="AL98" i="51" s="1"/>
  <c r="AK97" i="51"/>
  <c r="AL97" i="51" s="1"/>
  <c r="AK96" i="51"/>
  <c r="AL96" i="51" s="1"/>
  <c r="AK95" i="51"/>
  <c r="AL95" i="51" s="1"/>
  <c r="AK94" i="51"/>
  <c r="AL94" i="51" s="1"/>
  <c r="AK79" i="51"/>
  <c r="AL79" i="51" s="1"/>
  <c r="AK78" i="51"/>
  <c r="AL78" i="51" s="1"/>
  <c r="AK77" i="51"/>
  <c r="AL77" i="51" s="1"/>
  <c r="AK76" i="51"/>
  <c r="AL76" i="51" s="1"/>
  <c r="AK75" i="51"/>
  <c r="AL75" i="51" s="1"/>
  <c r="AK74" i="51"/>
  <c r="AL74" i="51" s="1"/>
  <c r="AK267" i="51"/>
  <c r="AL267" i="51" s="1"/>
  <c r="AK265" i="51"/>
  <c r="AL265" i="51" s="1"/>
  <c r="AK264" i="51"/>
  <c r="AL264" i="51" s="1"/>
  <c r="AK263" i="51"/>
  <c r="AL263" i="51" s="1"/>
  <c r="AK314" i="51"/>
  <c r="AL314" i="51" s="1"/>
  <c r="AK275" i="51"/>
  <c r="AL275" i="51" s="1"/>
  <c r="AK262" i="51"/>
  <c r="AL262" i="51" s="1"/>
  <c r="AK249" i="51"/>
  <c r="AL249" i="51" s="1"/>
  <c r="AK242" i="51"/>
  <c r="AL242" i="51" s="1"/>
  <c r="AK233" i="51"/>
  <c r="AL233" i="51" s="1"/>
  <c r="AK223" i="51"/>
  <c r="AL223" i="51" s="1"/>
  <c r="AK222" i="51"/>
  <c r="AL222" i="51" s="1"/>
  <c r="AK210" i="51"/>
  <c r="AL210" i="51" s="1"/>
  <c r="AK204" i="51"/>
  <c r="AL204" i="51" s="1"/>
  <c r="AK197" i="51"/>
  <c r="AL197" i="51" s="1"/>
  <c r="AK193" i="51"/>
  <c r="AL193" i="51" s="1"/>
  <c r="AK189" i="51"/>
  <c r="AL189" i="51" s="1"/>
  <c r="AK255" i="51"/>
  <c r="AL255" i="51" s="1"/>
  <c r="AK248" i="51"/>
  <c r="AL248" i="51" s="1"/>
  <c r="AK244" i="51"/>
  <c r="AL244" i="51" s="1"/>
  <c r="AK227" i="51"/>
  <c r="AL227" i="51" s="1"/>
  <c r="AK226" i="51"/>
  <c r="AL226" i="51" s="1"/>
  <c r="AK221" i="51"/>
  <c r="AL221" i="51" s="1"/>
  <c r="AK211" i="51"/>
  <c r="AL211" i="51" s="1"/>
  <c r="AK205" i="51"/>
  <c r="AL205" i="51" s="1"/>
  <c r="AK241" i="51"/>
  <c r="AL241" i="51" s="1"/>
  <c r="AK256" i="51"/>
  <c r="AL256" i="51" s="1"/>
  <c r="AK252" i="51"/>
  <c r="AL252" i="51" s="1"/>
  <c r="AK277" i="51"/>
  <c r="AL277" i="51" s="1"/>
  <c r="AK274" i="51"/>
  <c r="AL274" i="51" s="1"/>
  <c r="AK259" i="51"/>
  <c r="AL259" i="51" s="1"/>
  <c r="AK235" i="51"/>
  <c r="AL235" i="51" s="1"/>
  <c r="AK225" i="51"/>
  <c r="AL225" i="51" s="1"/>
  <c r="AK209" i="51"/>
  <c r="AL209" i="51" s="1"/>
  <c r="AK206" i="51"/>
  <c r="AL206" i="51" s="1"/>
  <c r="AK202" i="51"/>
  <c r="AL202" i="51" s="1"/>
  <c r="AK201" i="51"/>
  <c r="AL201" i="51" s="1"/>
  <c r="AK198" i="51"/>
  <c r="AL198" i="51" s="1"/>
  <c r="AK240" i="51"/>
  <c r="AL240" i="51" s="1"/>
  <c r="AK231" i="51"/>
  <c r="AL231" i="51" s="1"/>
  <c r="AK230" i="51"/>
  <c r="AL230" i="51" s="1"/>
  <c r="AK229" i="51"/>
  <c r="AL229" i="51" s="1"/>
  <c r="AK212" i="51"/>
  <c r="AL212" i="51" s="1"/>
  <c r="AK208" i="51"/>
  <c r="AL208" i="51" s="1"/>
  <c r="AK192" i="51"/>
  <c r="AL192" i="51" s="1"/>
  <c r="AK191" i="51"/>
  <c r="AL191" i="51" s="1"/>
  <c r="AK250" i="51"/>
  <c r="AL250" i="51" s="1"/>
  <c r="AK234" i="51"/>
  <c r="AL234" i="51" s="1"/>
  <c r="AK196" i="51"/>
  <c r="AL196" i="51" s="1"/>
  <c r="AK195" i="51"/>
  <c r="AL195" i="51" s="1"/>
  <c r="AK190" i="51"/>
  <c r="AL190" i="51" s="1"/>
  <c r="AK239" i="51"/>
  <c r="AL239" i="51" s="1"/>
  <c r="AK171" i="51"/>
  <c r="AL171" i="51" s="1"/>
  <c r="AK161" i="51"/>
  <c r="AL161" i="51" s="1"/>
  <c r="AK157" i="51"/>
  <c r="AL157" i="51" s="1"/>
  <c r="AK153" i="51"/>
  <c r="AL153" i="51" s="1"/>
  <c r="AK149" i="51"/>
  <c r="AL149" i="51" s="1"/>
  <c r="AK145" i="51"/>
  <c r="AL145" i="51" s="1"/>
  <c r="AK188" i="51"/>
  <c r="AL188" i="51" s="1"/>
  <c r="AK187" i="51"/>
  <c r="AL187" i="51" s="1"/>
  <c r="AK172" i="51"/>
  <c r="AL172" i="51" s="1"/>
  <c r="AK169" i="51"/>
  <c r="AL169" i="51" s="1"/>
  <c r="AK164" i="51"/>
  <c r="AL164" i="51" s="1"/>
  <c r="AK160" i="51"/>
  <c r="AL160" i="51" s="1"/>
  <c r="AK156" i="51"/>
  <c r="AL156" i="51" s="1"/>
  <c r="AK152" i="51"/>
  <c r="AL152" i="51" s="1"/>
  <c r="AK146" i="51"/>
  <c r="AL146" i="51" s="1"/>
  <c r="AK194" i="51"/>
  <c r="AL194" i="51" s="1"/>
  <c r="AK186" i="51"/>
  <c r="AL186" i="51" s="1"/>
  <c r="AK163" i="51"/>
  <c r="AL163" i="51" s="1"/>
  <c r="AK159" i="51"/>
  <c r="AL159" i="51" s="1"/>
  <c r="AK155" i="51"/>
  <c r="AL155" i="51" s="1"/>
  <c r="AK151" i="51"/>
  <c r="AL151" i="51" s="1"/>
  <c r="AK147" i="51"/>
  <c r="AL147" i="51" s="1"/>
  <c r="AK142" i="51"/>
  <c r="AL142" i="51" s="1"/>
  <c r="AK158" i="51"/>
  <c r="AL158" i="51" s="1"/>
  <c r="AK148" i="51"/>
  <c r="AL148" i="51" s="1"/>
  <c r="AK135" i="51"/>
  <c r="AL135" i="51" s="1"/>
  <c r="AK134" i="51"/>
  <c r="AL134" i="51" s="1"/>
  <c r="AK133" i="51"/>
  <c r="AL133" i="51" s="1"/>
  <c r="AK132" i="51"/>
  <c r="AL132" i="51" s="1"/>
  <c r="AK131" i="51"/>
  <c r="AL131" i="51" s="1"/>
  <c r="AK130" i="51"/>
  <c r="AL130" i="51" s="1"/>
  <c r="AK129" i="51"/>
  <c r="AL129" i="51" s="1"/>
  <c r="AK128" i="51"/>
  <c r="AL128" i="51" s="1"/>
  <c r="AK127" i="51"/>
  <c r="AL127" i="51" s="1"/>
  <c r="AK102" i="51"/>
  <c r="AL102" i="51" s="1"/>
  <c r="AK82" i="51"/>
  <c r="AL82" i="51" s="1"/>
  <c r="AK81" i="51"/>
  <c r="AL81" i="51" s="1"/>
  <c r="AK66" i="51"/>
  <c r="AL66" i="51" s="1"/>
  <c r="AK162" i="51"/>
  <c r="AL162" i="51" s="1"/>
  <c r="AK141" i="51"/>
  <c r="AL141" i="51" s="1"/>
  <c r="AK101" i="51"/>
  <c r="AL101" i="51" s="1"/>
  <c r="AK80" i="51"/>
  <c r="AL80" i="51" s="1"/>
  <c r="AK150" i="51"/>
  <c r="AL150" i="51" s="1"/>
  <c r="AK126" i="51"/>
  <c r="AL126" i="51" s="1"/>
  <c r="AK125" i="51"/>
  <c r="AL125" i="51" s="1"/>
  <c r="AK124" i="51"/>
  <c r="AL124" i="51" s="1"/>
  <c r="AK123" i="51"/>
  <c r="AL123" i="51" s="1"/>
  <c r="AK122" i="51"/>
  <c r="AL122" i="51" s="1"/>
  <c r="AK121" i="51"/>
  <c r="AL121" i="51" s="1"/>
  <c r="AK120" i="51"/>
  <c r="AL120" i="51" s="1"/>
  <c r="AK119" i="51"/>
  <c r="AL119" i="51" s="1"/>
  <c r="AK118" i="51"/>
  <c r="AL118" i="51" s="1"/>
  <c r="AK117" i="51"/>
  <c r="AL117" i="51" s="1"/>
  <c r="AK116" i="51"/>
  <c r="AL116" i="51" s="1"/>
  <c r="AK115" i="51"/>
  <c r="AL115" i="51" s="1"/>
  <c r="AK114" i="51"/>
  <c r="AL114" i="51" s="1"/>
  <c r="AK113" i="51"/>
  <c r="AL113" i="51" s="1"/>
  <c r="AK112" i="51"/>
  <c r="AL112" i="51" s="1"/>
  <c r="AK111" i="51"/>
  <c r="AL111" i="51" s="1"/>
  <c r="AK110" i="51"/>
  <c r="AL110" i="51" s="1"/>
  <c r="AK109" i="51"/>
  <c r="AL109" i="51" s="1"/>
  <c r="AK108" i="51"/>
  <c r="AL108" i="51" s="1"/>
  <c r="AK107" i="51"/>
  <c r="AL107" i="51" s="1"/>
  <c r="AK106" i="51"/>
  <c r="AL106" i="51" s="1"/>
  <c r="AK105" i="51"/>
  <c r="AL105" i="51" s="1"/>
  <c r="AK104" i="51"/>
  <c r="AL104" i="51" s="1"/>
  <c r="AK100" i="51"/>
  <c r="AL100" i="51" s="1"/>
  <c r="AK93" i="51"/>
  <c r="AL93" i="51" s="1"/>
  <c r="AK92" i="51"/>
  <c r="AL92" i="51" s="1"/>
  <c r="AK91" i="51"/>
  <c r="AL91" i="51" s="1"/>
  <c r="AK90" i="51"/>
  <c r="AL90" i="51" s="1"/>
  <c r="AK89" i="51"/>
  <c r="AL89" i="51" s="1"/>
  <c r="AK88" i="51"/>
  <c r="AL88" i="51" s="1"/>
  <c r="AK87" i="51"/>
  <c r="AL87" i="51" s="1"/>
  <c r="AK86" i="51"/>
  <c r="AL86" i="51" s="1"/>
  <c r="AK85" i="51"/>
  <c r="AL85" i="51" s="1"/>
  <c r="AK84" i="51"/>
  <c r="AL84" i="51" s="1"/>
  <c r="AK83" i="51"/>
  <c r="AL83" i="51" s="1"/>
  <c r="AK73" i="51"/>
  <c r="AL73" i="51" s="1"/>
  <c r="AK72" i="51"/>
  <c r="AL72" i="51" s="1"/>
  <c r="AK71" i="51"/>
  <c r="AL71" i="51" s="1"/>
  <c r="AK70" i="51"/>
  <c r="AL70" i="51" s="1"/>
  <c r="AK69" i="51"/>
  <c r="AL69" i="51" s="1"/>
  <c r="AK68" i="51"/>
  <c r="AL68" i="51" s="1"/>
  <c r="AK168" i="51"/>
  <c r="AL168" i="51" s="1"/>
  <c r="AK144" i="51"/>
  <c r="AL144" i="51" s="1"/>
  <c r="AK99" i="51"/>
  <c r="AL99" i="51" s="1"/>
  <c r="AK65" i="51"/>
  <c r="AL65" i="51" s="1"/>
  <c r="AK64" i="51"/>
  <c r="AL64" i="51" s="1"/>
  <c r="AK63" i="51"/>
  <c r="AL63" i="51" s="1"/>
  <c r="AK62" i="51"/>
  <c r="AL62" i="51" s="1"/>
  <c r="AK55" i="51"/>
  <c r="AL55" i="51" s="1"/>
  <c r="AK54" i="51"/>
  <c r="AL54" i="51" s="1"/>
  <c r="AK53" i="51"/>
  <c r="AL53" i="51" s="1"/>
  <c r="AK37" i="51"/>
  <c r="AL37" i="51" s="1"/>
  <c r="AK36" i="51"/>
  <c r="AL36" i="51" s="1"/>
  <c r="AK35" i="51"/>
  <c r="AL35" i="51" s="1"/>
  <c r="AK34" i="51"/>
  <c r="AL34" i="51" s="1"/>
  <c r="AK33" i="51"/>
  <c r="AL33" i="51" s="1"/>
  <c r="AK32" i="51"/>
  <c r="AL32" i="51" s="1"/>
  <c r="AK31" i="51"/>
  <c r="AL31" i="51" s="1"/>
  <c r="AK30" i="51"/>
  <c r="AL30" i="51" s="1"/>
  <c r="AK29" i="51"/>
  <c r="AL29" i="51" s="1"/>
  <c r="AK28" i="51"/>
  <c r="AL28" i="51" s="1"/>
  <c r="AK27" i="51"/>
  <c r="AL27" i="51" s="1"/>
  <c r="AK26" i="51"/>
  <c r="AL26" i="51" s="1"/>
  <c r="AK25" i="51"/>
  <c r="AL25" i="51" s="1"/>
  <c r="AK24" i="51"/>
  <c r="AL24" i="51" s="1"/>
  <c r="AK23" i="51"/>
  <c r="AL23" i="51" s="1"/>
  <c r="AK22" i="51"/>
  <c r="AL22" i="51" s="1"/>
  <c r="AK21" i="51"/>
  <c r="AL21" i="51" s="1"/>
  <c r="AK20" i="51"/>
  <c r="AL20" i="51" s="1"/>
  <c r="AK19" i="51"/>
  <c r="AL19" i="51" s="1"/>
  <c r="AK18" i="51"/>
  <c r="AL18" i="51" s="1"/>
  <c r="AK17" i="51"/>
  <c r="AL17" i="51" s="1"/>
  <c r="AK16" i="51"/>
  <c r="AL16" i="51" s="1"/>
  <c r="AK15" i="51"/>
  <c r="AL15" i="51" s="1"/>
  <c r="AK61" i="51"/>
  <c r="AL61" i="51" s="1"/>
  <c r="AK60" i="51"/>
  <c r="AL60" i="51" s="1"/>
  <c r="AK14" i="51"/>
  <c r="AL14" i="51" s="1"/>
  <c r="AK13" i="51"/>
  <c r="AL13" i="51" s="1"/>
  <c r="AK12" i="51"/>
  <c r="AL12" i="51" s="1"/>
  <c r="AK11" i="51"/>
  <c r="AL11" i="51" s="1"/>
  <c r="AK10" i="51"/>
  <c r="AL10" i="51" s="1"/>
  <c r="AK173" i="51"/>
  <c r="AL173" i="51" s="1"/>
  <c r="AK154" i="51"/>
  <c r="AL154" i="51" s="1"/>
  <c r="AK103" i="51"/>
  <c r="AL103" i="51" s="1"/>
  <c r="AK59" i="51"/>
  <c r="AL59" i="51" s="1"/>
  <c r="AK58" i="51"/>
  <c r="AL58" i="51" s="1"/>
  <c r="AK57" i="51"/>
  <c r="AL57" i="51" s="1"/>
  <c r="AK52" i="51"/>
  <c r="AL52" i="51" s="1"/>
  <c r="AK51" i="51"/>
  <c r="AL51" i="51" s="1"/>
  <c r="D15" i="51"/>
  <c r="I15" i="51" s="1"/>
  <c r="U26" i="51"/>
  <c r="W26" i="51" s="1"/>
  <c r="Z29" i="51"/>
  <c r="AB29" i="51" s="1"/>
  <c r="U34" i="51"/>
  <c r="W34" i="51" s="1"/>
  <c r="U40" i="51"/>
  <c r="W40" i="51" s="1"/>
  <c r="Z42" i="51"/>
  <c r="AB42" i="51" s="1"/>
  <c r="U44" i="51"/>
  <c r="W44" i="51" s="1"/>
  <c r="AW45" i="51"/>
  <c r="AX45" i="51" s="1"/>
  <c r="AK47" i="51"/>
  <c r="AL47" i="51" s="1"/>
  <c r="U52" i="51"/>
  <c r="W52" i="51" s="1"/>
  <c r="U54" i="51"/>
  <c r="W54" i="51" s="1"/>
  <c r="U58" i="51"/>
  <c r="W58" i="51" s="1"/>
  <c r="Z60" i="51"/>
  <c r="AB60" i="51" s="1"/>
  <c r="U63" i="51"/>
  <c r="W63" i="51" s="1"/>
  <c r="AR113" i="51"/>
  <c r="O312" i="51"/>
  <c r="P312" i="51" s="1"/>
  <c r="O308" i="51"/>
  <c r="P308" i="51" s="1"/>
  <c r="O306" i="51"/>
  <c r="P306" i="51" s="1"/>
  <c r="O304" i="51"/>
  <c r="P304" i="51" s="1"/>
  <c r="O302" i="51"/>
  <c r="P302" i="51" s="1"/>
  <c r="O300" i="51"/>
  <c r="P300" i="51" s="1"/>
  <c r="O298" i="51"/>
  <c r="P298" i="51" s="1"/>
  <c r="O296" i="51"/>
  <c r="P296" i="51" s="1"/>
  <c r="O295" i="51"/>
  <c r="P295" i="51" s="1"/>
  <c r="O294" i="51"/>
  <c r="P294" i="51" s="1"/>
  <c r="O293" i="51"/>
  <c r="P293" i="51" s="1"/>
  <c r="O292" i="51"/>
  <c r="P292" i="51" s="1"/>
  <c r="O291" i="51"/>
  <c r="P291" i="51" s="1"/>
  <c r="O290" i="51"/>
  <c r="P290" i="51" s="1"/>
  <c r="O289" i="51"/>
  <c r="P289" i="51" s="1"/>
  <c r="O288" i="51"/>
  <c r="P288" i="51" s="1"/>
  <c r="O287" i="51"/>
  <c r="P287" i="51" s="1"/>
  <c r="O286" i="51"/>
  <c r="P286" i="51" s="1"/>
  <c r="O285" i="51"/>
  <c r="P285" i="51" s="1"/>
  <c r="O284" i="51"/>
  <c r="P284" i="51" s="1"/>
  <c r="O283" i="51"/>
  <c r="P283" i="51" s="1"/>
  <c r="O282" i="51"/>
  <c r="P282" i="51" s="1"/>
  <c r="O281" i="51"/>
  <c r="P281" i="51" s="1"/>
  <c r="O314" i="51"/>
  <c r="P314" i="51" s="1"/>
  <c r="O313" i="51"/>
  <c r="P313" i="51" s="1"/>
  <c r="O307" i="51"/>
  <c r="P307" i="51" s="1"/>
  <c r="O303" i="51"/>
  <c r="P303" i="51" s="1"/>
  <c r="O299" i="51"/>
  <c r="P299" i="51" s="1"/>
  <c r="O277" i="51"/>
  <c r="P277" i="51" s="1"/>
  <c r="O274" i="51"/>
  <c r="P274" i="51" s="1"/>
  <c r="O273" i="51"/>
  <c r="P273" i="51" s="1"/>
  <c r="O266" i="51"/>
  <c r="P266" i="51" s="1"/>
  <c r="O265" i="51"/>
  <c r="P265" i="51" s="1"/>
  <c r="O315" i="51"/>
  <c r="P315" i="51" s="1"/>
  <c r="O309" i="51"/>
  <c r="P309" i="51" s="1"/>
  <c r="O305" i="51"/>
  <c r="P305" i="51" s="1"/>
  <c r="O301" i="51"/>
  <c r="P301" i="51" s="1"/>
  <c r="O272" i="51"/>
  <c r="P272" i="51" s="1"/>
  <c r="O270" i="51"/>
  <c r="P270" i="51" s="1"/>
  <c r="O268" i="51"/>
  <c r="P268" i="51" s="1"/>
  <c r="O262" i="51"/>
  <c r="P262" i="51" s="1"/>
  <c r="O258" i="51"/>
  <c r="P258" i="51" s="1"/>
  <c r="O253" i="51"/>
  <c r="P253" i="51" s="1"/>
  <c r="O276" i="51"/>
  <c r="P276" i="51" s="1"/>
  <c r="O275" i="51"/>
  <c r="P275" i="51" s="1"/>
  <c r="O264" i="51"/>
  <c r="P264" i="51" s="1"/>
  <c r="O261" i="51"/>
  <c r="P261" i="51" s="1"/>
  <c r="O256" i="51"/>
  <c r="P256" i="51" s="1"/>
  <c r="O250" i="51"/>
  <c r="P250" i="51" s="1"/>
  <c r="O246" i="51"/>
  <c r="P246" i="51" s="1"/>
  <c r="O242" i="51"/>
  <c r="P242" i="51" s="1"/>
  <c r="O238" i="51"/>
  <c r="P238" i="51" s="1"/>
  <c r="O236" i="51"/>
  <c r="P236" i="51" s="1"/>
  <c r="O212" i="51"/>
  <c r="P212" i="51" s="1"/>
  <c r="O211" i="51"/>
  <c r="P211" i="51" s="1"/>
  <c r="O210" i="51"/>
  <c r="P210" i="51" s="1"/>
  <c r="O209" i="51"/>
  <c r="P209" i="51" s="1"/>
  <c r="O187" i="51"/>
  <c r="P187" i="51" s="1"/>
  <c r="O186" i="51"/>
  <c r="P186" i="51" s="1"/>
  <c r="O185" i="51"/>
  <c r="P185" i="51" s="1"/>
  <c r="O184" i="51"/>
  <c r="P184" i="51" s="1"/>
  <c r="O183" i="51"/>
  <c r="P183" i="51" s="1"/>
  <c r="O182" i="51"/>
  <c r="P182" i="51" s="1"/>
  <c r="O181" i="51"/>
  <c r="P181" i="51" s="1"/>
  <c r="O180" i="51"/>
  <c r="P180" i="51" s="1"/>
  <c r="O179" i="51"/>
  <c r="P179" i="51" s="1"/>
  <c r="O178" i="51"/>
  <c r="P178" i="51" s="1"/>
  <c r="O177" i="51"/>
  <c r="P177" i="51" s="1"/>
  <c r="O176" i="51"/>
  <c r="P176" i="51" s="1"/>
  <c r="O175" i="51"/>
  <c r="P175" i="51" s="1"/>
  <c r="O148" i="51"/>
  <c r="P148" i="51" s="1"/>
  <c r="O147" i="51"/>
  <c r="P147" i="51" s="1"/>
  <c r="O146" i="51"/>
  <c r="P146" i="51" s="1"/>
  <c r="O145" i="51"/>
  <c r="P145" i="51" s="1"/>
  <c r="O144" i="51"/>
  <c r="P144" i="51" s="1"/>
  <c r="O143" i="51"/>
  <c r="P143" i="51" s="1"/>
  <c r="O297" i="51"/>
  <c r="P297" i="51" s="1"/>
  <c r="O279" i="51"/>
  <c r="P279" i="51" s="1"/>
  <c r="O263" i="51"/>
  <c r="P263" i="51" s="1"/>
  <c r="O252" i="51"/>
  <c r="P252" i="51" s="1"/>
  <c r="O251" i="51"/>
  <c r="P251" i="51" s="1"/>
  <c r="O241" i="51"/>
  <c r="P241" i="51" s="1"/>
  <c r="O235" i="51"/>
  <c r="P235" i="51" s="1"/>
  <c r="O231" i="51"/>
  <c r="P231" i="51" s="1"/>
  <c r="O227" i="51"/>
  <c r="P227" i="51" s="1"/>
  <c r="O223" i="51"/>
  <c r="P223" i="51" s="1"/>
  <c r="O218" i="51"/>
  <c r="P218" i="51" s="1"/>
  <c r="O216" i="51"/>
  <c r="P216" i="51" s="1"/>
  <c r="O214" i="51"/>
  <c r="P214" i="51" s="1"/>
  <c r="O208" i="51"/>
  <c r="P208" i="51" s="1"/>
  <c r="O204" i="51"/>
  <c r="P204" i="51" s="1"/>
  <c r="O199" i="51"/>
  <c r="P199" i="51" s="1"/>
  <c r="O171" i="51"/>
  <c r="P171" i="51" s="1"/>
  <c r="O166" i="51"/>
  <c r="P166" i="51" s="1"/>
  <c r="O141" i="51"/>
  <c r="P141" i="51" s="1"/>
  <c r="O126" i="51"/>
  <c r="P126" i="51" s="1"/>
  <c r="O125" i="51"/>
  <c r="P125" i="51" s="1"/>
  <c r="O124" i="51"/>
  <c r="P124" i="51" s="1"/>
  <c r="O123" i="51"/>
  <c r="P123" i="51" s="1"/>
  <c r="O122" i="51"/>
  <c r="P122" i="51" s="1"/>
  <c r="O121" i="51"/>
  <c r="P121" i="51" s="1"/>
  <c r="O120" i="51"/>
  <c r="P120" i="51" s="1"/>
  <c r="O119" i="51"/>
  <c r="P119" i="51" s="1"/>
  <c r="O118" i="51"/>
  <c r="P118" i="51" s="1"/>
  <c r="O117" i="51"/>
  <c r="P117" i="51" s="1"/>
  <c r="O116" i="51"/>
  <c r="P116" i="51" s="1"/>
  <c r="O115" i="51"/>
  <c r="P115" i="51" s="1"/>
  <c r="O114" i="51"/>
  <c r="P114" i="51" s="1"/>
  <c r="O113" i="51"/>
  <c r="P113" i="51" s="1"/>
  <c r="O112" i="51"/>
  <c r="P112" i="51" s="1"/>
  <c r="O111" i="51"/>
  <c r="P111" i="51" s="1"/>
  <c r="O110" i="51"/>
  <c r="P110" i="51" s="1"/>
  <c r="O109" i="51"/>
  <c r="P109" i="51" s="1"/>
  <c r="O108" i="51"/>
  <c r="P108" i="51" s="1"/>
  <c r="O107" i="51"/>
  <c r="P107" i="51" s="1"/>
  <c r="O106" i="51"/>
  <c r="P106" i="51" s="1"/>
  <c r="O105" i="51"/>
  <c r="P105" i="51" s="1"/>
  <c r="O82" i="51"/>
  <c r="P82" i="51" s="1"/>
  <c r="O280" i="51"/>
  <c r="P280" i="51" s="1"/>
  <c r="O278" i="51"/>
  <c r="P278" i="51" s="1"/>
  <c r="O271" i="51"/>
  <c r="P271" i="51" s="1"/>
  <c r="O249" i="51"/>
  <c r="P249" i="51" s="1"/>
  <c r="O248" i="51"/>
  <c r="P248" i="51" s="1"/>
  <c r="O243" i="51"/>
  <c r="P243" i="51" s="1"/>
  <c r="O240" i="51"/>
  <c r="P240" i="51" s="1"/>
  <c r="O239" i="51"/>
  <c r="P239" i="51" s="1"/>
  <c r="O234" i="51"/>
  <c r="P234" i="51" s="1"/>
  <c r="O229" i="51"/>
  <c r="P229" i="51" s="1"/>
  <c r="O228" i="51"/>
  <c r="P228" i="51" s="1"/>
  <c r="O215" i="51"/>
  <c r="P215" i="51" s="1"/>
  <c r="O207" i="51"/>
  <c r="P207" i="51" s="1"/>
  <c r="O202" i="51"/>
  <c r="P202" i="51" s="1"/>
  <c r="O196" i="51"/>
  <c r="P196" i="51" s="1"/>
  <c r="O192" i="51"/>
  <c r="P192" i="51" s="1"/>
  <c r="O188" i="51"/>
  <c r="P188" i="51" s="1"/>
  <c r="O311" i="51"/>
  <c r="P311" i="51" s="1"/>
  <c r="O269" i="51"/>
  <c r="P269" i="51" s="1"/>
  <c r="O260" i="51"/>
  <c r="P260" i="51" s="1"/>
  <c r="O254" i="51"/>
  <c r="P254" i="51" s="1"/>
  <c r="O233" i="51"/>
  <c r="P233" i="51" s="1"/>
  <c r="O232" i="51"/>
  <c r="P232" i="51" s="1"/>
  <c r="O222" i="51"/>
  <c r="P222" i="51" s="1"/>
  <c r="O205" i="51"/>
  <c r="P205" i="51" s="1"/>
  <c r="O259" i="51"/>
  <c r="P259" i="51" s="1"/>
  <c r="O244" i="51"/>
  <c r="P244" i="51" s="1"/>
  <c r="O310" i="51"/>
  <c r="P310" i="51" s="1"/>
  <c r="O257" i="51"/>
  <c r="P257" i="51" s="1"/>
  <c r="O255" i="51"/>
  <c r="P255" i="51" s="1"/>
  <c r="O245" i="51"/>
  <c r="P245" i="51" s="1"/>
  <c r="O247" i="51"/>
  <c r="P247" i="51" s="1"/>
  <c r="O267" i="51"/>
  <c r="P267" i="51" s="1"/>
  <c r="O237" i="51"/>
  <c r="P237" i="51" s="1"/>
  <c r="O230" i="51"/>
  <c r="P230" i="51" s="1"/>
  <c r="O224" i="51"/>
  <c r="P224" i="51" s="1"/>
  <c r="O206" i="51"/>
  <c r="P206" i="51" s="1"/>
  <c r="O226" i="51"/>
  <c r="P226" i="51" s="1"/>
  <c r="O220" i="51"/>
  <c r="P220" i="51" s="1"/>
  <c r="O198" i="51"/>
  <c r="P198" i="51" s="1"/>
  <c r="O197" i="51"/>
  <c r="P197" i="51" s="1"/>
  <c r="O219" i="51"/>
  <c r="P219" i="51" s="1"/>
  <c r="O203" i="51"/>
  <c r="P203" i="51" s="1"/>
  <c r="O200" i="51"/>
  <c r="P200" i="51" s="1"/>
  <c r="O191" i="51"/>
  <c r="P191" i="51" s="1"/>
  <c r="O174" i="51"/>
  <c r="P174" i="51" s="1"/>
  <c r="O169" i="51"/>
  <c r="P169" i="51" s="1"/>
  <c r="O161" i="51"/>
  <c r="P161" i="51" s="1"/>
  <c r="O157" i="51"/>
  <c r="P157" i="51" s="1"/>
  <c r="O153" i="51"/>
  <c r="P153" i="51" s="1"/>
  <c r="O149" i="51"/>
  <c r="P149" i="51" s="1"/>
  <c r="O225" i="51"/>
  <c r="P225" i="51" s="1"/>
  <c r="O221" i="51"/>
  <c r="P221" i="51" s="1"/>
  <c r="O217" i="51"/>
  <c r="P217" i="51" s="1"/>
  <c r="O213" i="51"/>
  <c r="P213" i="51" s="1"/>
  <c r="O201" i="51"/>
  <c r="P201" i="51" s="1"/>
  <c r="O194" i="51"/>
  <c r="P194" i="51" s="1"/>
  <c r="O190" i="51"/>
  <c r="P190" i="51" s="1"/>
  <c r="O172" i="51"/>
  <c r="P172" i="51" s="1"/>
  <c r="O167" i="51"/>
  <c r="P167" i="51" s="1"/>
  <c r="O164" i="51"/>
  <c r="P164" i="51" s="1"/>
  <c r="O160" i="51"/>
  <c r="P160" i="51" s="1"/>
  <c r="O156" i="51"/>
  <c r="P156" i="51" s="1"/>
  <c r="O152" i="51"/>
  <c r="P152" i="51" s="1"/>
  <c r="O193" i="51"/>
  <c r="P193" i="51" s="1"/>
  <c r="O173" i="51"/>
  <c r="P173" i="51" s="1"/>
  <c r="O170" i="51"/>
  <c r="P170" i="51" s="1"/>
  <c r="O163" i="51"/>
  <c r="P163" i="51" s="1"/>
  <c r="O159" i="51"/>
  <c r="P159" i="51" s="1"/>
  <c r="O155" i="51"/>
  <c r="P155" i="51" s="1"/>
  <c r="O151" i="51"/>
  <c r="P151" i="51" s="1"/>
  <c r="O142" i="51"/>
  <c r="P142" i="51" s="1"/>
  <c r="O189" i="51"/>
  <c r="P189" i="51" s="1"/>
  <c r="O165" i="51"/>
  <c r="P165" i="51" s="1"/>
  <c r="O162" i="51"/>
  <c r="P162" i="51" s="1"/>
  <c r="O103" i="51"/>
  <c r="P103" i="51" s="1"/>
  <c r="O99" i="51"/>
  <c r="P99" i="51" s="1"/>
  <c r="O93" i="51"/>
  <c r="P93" i="51" s="1"/>
  <c r="O92" i="51"/>
  <c r="P92" i="51" s="1"/>
  <c r="O91" i="51"/>
  <c r="P91" i="51" s="1"/>
  <c r="O90" i="51"/>
  <c r="P90" i="51" s="1"/>
  <c r="O89" i="51"/>
  <c r="P89" i="51" s="1"/>
  <c r="O88" i="51"/>
  <c r="P88" i="51" s="1"/>
  <c r="O87" i="51"/>
  <c r="P87" i="51" s="1"/>
  <c r="O86" i="51"/>
  <c r="P86" i="51" s="1"/>
  <c r="O85" i="51"/>
  <c r="P85" i="51" s="1"/>
  <c r="O84" i="51"/>
  <c r="P84" i="51" s="1"/>
  <c r="O83" i="51"/>
  <c r="P83" i="51" s="1"/>
  <c r="O73" i="51"/>
  <c r="P73" i="51" s="1"/>
  <c r="O72" i="51"/>
  <c r="P72" i="51" s="1"/>
  <c r="O71" i="51"/>
  <c r="P71" i="51" s="1"/>
  <c r="O70" i="51"/>
  <c r="P70" i="51" s="1"/>
  <c r="O69" i="51"/>
  <c r="P69" i="51" s="1"/>
  <c r="O195" i="51"/>
  <c r="P195" i="51" s="1"/>
  <c r="O168" i="51"/>
  <c r="P168" i="51" s="1"/>
  <c r="O150" i="51"/>
  <c r="P150" i="51" s="1"/>
  <c r="O140" i="51"/>
  <c r="P140" i="51" s="1"/>
  <c r="O139" i="51"/>
  <c r="P139" i="51" s="1"/>
  <c r="O138" i="51"/>
  <c r="P138" i="51" s="1"/>
  <c r="O137" i="51"/>
  <c r="P137" i="51" s="1"/>
  <c r="O102" i="51"/>
  <c r="P102" i="51" s="1"/>
  <c r="O97" i="51"/>
  <c r="P97" i="51" s="1"/>
  <c r="O95" i="51"/>
  <c r="P95" i="51" s="1"/>
  <c r="O81" i="51"/>
  <c r="P81" i="51" s="1"/>
  <c r="O79" i="51"/>
  <c r="P79" i="51" s="1"/>
  <c r="O77" i="51"/>
  <c r="P77" i="51" s="1"/>
  <c r="O75" i="51"/>
  <c r="P75" i="51" s="1"/>
  <c r="O68" i="51"/>
  <c r="P68" i="51" s="1"/>
  <c r="O67" i="51"/>
  <c r="P67" i="51" s="1"/>
  <c r="O154" i="51"/>
  <c r="P154" i="51" s="1"/>
  <c r="O136" i="51"/>
  <c r="P136" i="51" s="1"/>
  <c r="O135" i="51"/>
  <c r="P135" i="51" s="1"/>
  <c r="O134" i="51"/>
  <c r="P134" i="51" s="1"/>
  <c r="O133" i="51"/>
  <c r="P133" i="51" s="1"/>
  <c r="O132" i="51"/>
  <c r="P132" i="51" s="1"/>
  <c r="O131" i="51"/>
  <c r="P131" i="51" s="1"/>
  <c r="O130" i="51"/>
  <c r="P130" i="51" s="1"/>
  <c r="O129" i="51"/>
  <c r="P129" i="51" s="1"/>
  <c r="O128" i="51"/>
  <c r="P128" i="51" s="1"/>
  <c r="O127" i="51"/>
  <c r="P127" i="51" s="1"/>
  <c r="O101" i="51"/>
  <c r="P101" i="51" s="1"/>
  <c r="O80" i="51"/>
  <c r="P80" i="51" s="1"/>
  <c r="O96" i="51"/>
  <c r="P96" i="51" s="1"/>
  <c r="O74" i="51"/>
  <c r="P74" i="51" s="1"/>
  <c r="O59" i="51"/>
  <c r="P59" i="51" s="1"/>
  <c r="O58" i="51"/>
  <c r="P58" i="51" s="1"/>
  <c r="O57" i="51"/>
  <c r="P57" i="51" s="1"/>
  <c r="O52" i="51"/>
  <c r="P52" i="51" s="1"/>
  <c r="O51" i="51"/>
  <c r="P51" i="51" s="1"/>
  <c r="O104" i="51"/>
  <c r="P104" i="51" s="1"/>
  <c r="O94" i="51"/>
  <c r="P94" i="51" s="1"/>
  <c r="O56" i="51"/>
  <c r="P56" i="51" s="1"/>
  <c r="O50" i="51"/>
  <c r="P50" i="51" s="1"/>
  <c r="O49" i="51"/>
  <c r="P49" i="51" s="1"/>
  <c r="O48" i="51"/>
  <c r="P48" i="51" s="1"/>
  <c r="O47" i="51"/>
  <c r="P47" i="51" s="1"/>
  <c r="O46" i="51"/>
  <c r="P46" i="51" s="1"/>
  <c r="O45" i="51"/>
  <c r="P45" i="51" s="1"/>
  <c r="O44" i="51"/>
  <c r="P44" i="51" s="1"/>
  <c r="O43" i="51"/>
  <c r="P43" i="51" s="1"/>
  <c r="O42" i="51"/>
  <c r="P42" i="51" s="1"/>
  <c r="O41" i="51"/>
  <c r="P41" i="51" s="1"/>
  <c r="O40" i="51"/>
  <c r="P40" i="51" s="1"/>
  <c r="O39" i="51"/>
  <c r="P39" i="51" s="1"/>
  <c r="O38" i="51"/>
  <c r="P38" i="51" s="1"/>
  <c r="O78" i="51"/>
  <c r="P78" i="51" s="1"/>
  <c r="O65" i="51"/>
  <c r="P65" i="51" s="1"/>
  <c r="O64" i="51"/>
  <c r="P64" i="51" s="1"/>
  <c r="O63" i="51"/>
  <c r="P63" i="51" s="1"/>
  <c r="O62" i="51"/>
  <c r="P62" i="51" s="1"/>
  <c r="O55" i="51"/>
  <c r="P55" i="51" s="1"/>
  <c r="O54" i="51"/>
  <c r="P54" i="51" s="1"/>
  <c r="O53" i="51"/>
  <c r="P53" i="51" s="1"/>
  <c r="O37" i="51"/>
  <c r="P37" i="51" s="1"/>
  <c r="O36" i="51"/>
  <c r="P36" i="51" s="1"/>
  <c r="O35" i="51"/>
  <c r="P35" i="51" s="1"/>
  <c r="O34" i="51"/>
  <c r="P34" i="51" s="1"/>
  <c r="O33" i="51"/>
  <c r="P33" i="51" s="1"/>
  <c r="O32" i="51"/>
  <c r="P32" i="51" s="1"/>
  <c r="O31" i="51"/>
  <c r="P31" i="51" s="1"/>
  <c r="O30" i="51"/>
  <c r="P30" i="51" s="1"/>
  <c r="O29" i="51"/>
  <c r="P29" i="51" s="1"/>
  <c r="O28" i="51"/>
  <c r="P28" i="51" s="1"/>
  <c r="O27" i="51"/>
  <c r="P27" i="51" s="1"/>
  <c r="O26" i="51"/>
  <c r="P26" i="51" s="1"/>
  <c r="O25" i="51"/>
  <c r="P25" i="51" s="1"/>
  <c r="O24" i="51"/>
  <c r="P24" i="51" s="1"/>
  <c r="O23" i="51"/>
  <c r="P23" i="51" s="1"/>
  <c r="O22" i="51"/>
  <c r="P22" i="51" s="1"/>
  <c r="O21" i="51"/>
  <c r="P21" i="51" s="1"/>
  <c r="O20" i="51"/>
  <c r="P20" i="51" s="1"/>
  <c r="O19" i="51"/>
  <c r="P19" i="51" s="1"/>
  <c r="O18" i="51"/>
  <c r="P18" i="51" s="1"/>
  <c r="O17" i="51"/>
  <c r="P17" i="51" s="1"/>
  <c r="O16" i="51"/>
  <c r="P16" i="51" s="1"/>
  <c r="O15" i="51"/>
  <c r="P15" i="51" s="1"/>
  <c r="AQ315" i="51"/>
  <c r="AR315" i="51" s="1"/>
  <c r="AQ314" i="51"/>
  <c r="AR314" i="51" s="1"/>
  <c r="AQ313" i="51"/>
  <c r="AR313" i="51" s="1"/>
  <c r="AQ312" i="51"/>
  <c r="AR312" i="51" s="1"/>
  <c r="AQ311" i="51"/>
  <c r="AR311" i="51" s="1"/>
  <c r="AQ310" i="51"/>
  <c r="AR310" i="51" s="1"/>
  <c r="AQ309" i="51"/>
  <c r="AR309" i="51" s="1"/>
  <c r="AQ308" i="51"/>
  <c r="AR308" i="51" s="1"/>
  <c r="AQ307" i="51"/>
  <c r="AR307" i="51" s="1"/>
  <c r="AQ306" i="51"/>
  <c r="AR306" i="51" s="1"/>
  <c r="AQ305" i="51"/>
  <c r="AR305" i="51" s="1"/>
  <c r="AQ304" i="51"/>
  <c r="AR304" i="51" s="1"/>
  <c r="AQ303" i="51"/>
  <c r="AR303" i="51" s="1"/>
  <c r="AQ302" i="51"/>
  <c r="AR302" i="51" s="1"/>
  <c r="AQ301" i="51"/>
  <c r="AR301" i="51" s="1"/>
  <c r="AQ300" i="51"/>
  <c r="AR300" i="51" s="1"/>
  <c r="AQ299" i="51"/>
  <c r="AR299" i="51" s="1"/>
  <c r="AQ298" i="51"/>
  <c r="AR298" i="51" s="1"/>
  <c r="AQ297" i="51"/>
  <c r="AR297" i="51" s="1"/>
  <c r="AQ277" i="51"/>
  <c r="AR277" i="51" s="1"/>
  <c r="AQ270" i="51"/>
  <c r="AR270" i="51" s="1"/>
  <c r="AQ269" i="51"/>
  <c r="AR269" i="51" s="1"/>
  <c r="AQ268" i="51"/>
  <c r="AR268" i="51" s="1"/>
  <c r="AQ254" i="51"/>
  <c r="AR254" i="51" s="1"/>
  <c r="AQ253" i="51"/>
  <c r="AR253" i="51" s="1"/>
  <c r="AQ278" i="51"/>
  <c r="AR278" i="51" s="1"/>
  <c r="AQ275" i="51"/>
  <c r="AR275" i="51" s="1"/>
  <c r="AQ274" i="51"/>
  <c r="AR274" i="51" s="1"/>
  <c r="AQ273" i="51"/>
  <c r="AR273" i="51" s="1"/>
  <c r="AQ272" i="51"/>
  <c r="AR272" i="51" s="1"/>
  <c r="AQ267" i="51"/>
  <c r="AR267" i="51" s="1"/>
  <c r="AQ262" i="51"/>
  <c r="AR262" i="51" s="1"/>
  <c r="AQ258" i="51"/>
  <c r="AR258" i="51" s="1"/>
  <c r="AQ252" i="51"/>
  <c r="AR252" i="51" s="1"/>
  <c r="AQ251" i="51"/>
  <c r="AR251" i="51" s="1"/>
  <c r="AQ250" i="51"/>
  <c r="AR250" i="51" s="1"/>
  <c r="AQ249" i="51"/>
  <c r="AR249" i="51" s="1"/>
  <c r="AQ248" i="51"/>
  <c r="AR248" i="51" s="1"/>
  <c r="AQ247" i="51"/>
  <c r="AR247" i="51" s="1"/>
  <c r="AQ246" i="51"/>
  <c r="AR246" i="51" s="1"/>
  <c r="AQ245" i="51"/>
  <c r="AR245" i="51" s="1"/>
  <c r="AQ244" i="51"/>
  <c r="AR244" i="51" s="1"/>
  <c r="AQ243" i="51"/>
  <c r="AR243" i="51" s="1"/>
  <c r="AQ242" i="51"/>
  <c r="AR242" i="51" s="1"/>
  <c r="AQ241" i="51"/>
  <c r="AR241" i="51" s="1"/>
  <c r="AQ236" i="51"/>
  <c r="AR236" i="51" s="1"/>
  <c r="AQ296" i="51"/>
  <c r="AR296" i="51" s="1"/>
  <c r="AQ295" i="51"/>
  <c r="AR295" i="51" s="1"/>
  <c r="AQ294" i="51"/>
  <c r="AR294" i="51" s="1"/>
  <c r="AQ293" i="51"/>
  <c r="AR293" i="51" s="1"/>
  <c r="AQ292" i="51"/>
  <c r="AR292" i="51" s="1"/>
  <c r="AQ291" i="51"/>
  <c r="AR291" i="51" s="1"/>
  <c r="AQ290" i="51"/>
  <c r="AR290" i="51" s="1"/>
  <c r="AQ289" i="51"/>
  <c r="AR289" i="51" s="1"/>
  <c r="AQ288" i="51"/>
  <c r="AR288" i="51" s="1"/>
  <c r="AQ287" i="51"/>
  <c r="AR287" i="51" s="1"/>
  <c r="AQ286" i="51"/>
  <c r="AR286" i="51" s="1"/>
  <c r="AQ285" i="51"/>
  <c r="AR285" i="51" s="1"/>
  <c r="AQ284" i="51"/>
  <c r="AR284" i="51" s="1"/>
  <c r="AQ283" i="51"/>
  <c r="AR283" i="51" s="1"/>
  <c r="AQ282" i="51"/>
  <c r="AR282" i="51" s="1"/>
  <c r="AQ281" i="51"/>
  <c r="AR281" i="51" s="1"/>
  <c r="AQ261" i="51"/>
  <c r="AR261" i="51" s="1"/>
  <c r="AQ238" i="51"/>
  <c r="AR238" i="51" s="1"/>
  <c r="AQ235" i="51"/>
  <c r="AR235" i="51" s="1"/>
  <c r="AQ234" i="51"/>
  <c r="AR234" i="51" s="1"/>
  <c r="AQ233" i="51"/>
  <c r="AR233" i="51" s="1"/>
  <c r="AQ232" i="51"/>
  <c r="AR232" i="51" s="1"/>
  <c r="AQ231" i="51"/>
  <c r="AR231" i="51" s="1"/>
  <c r="AQ230" i="51"/>
  <c r="AR230" i="51" s="1"/>
  <c r="AQ229" i="51"/>
  <c r="AR229" i="51" s="1"/>
  <c r="AQ228" i="51"/>
  <c r="AR228" i="51" s="1"/>
  <c r="AQ227" i="51"/>
  <c r="AR227" i="51" s="1"/>
  <c r="AQ226" i="51"/>
  <c r="AR226" i="51" s="1"/>
  <c r="AQ225" i="51"/>
  <c r="AR225" i="51" s="1"/>
  <c r="AQ224" i="51"/>
  <c r="AR224" i="51" s="1"/>
  <c r="AQ223" i="51"/>
  <c r="AR223" i="51" s="1"/>
  <c r="AQ222" i="51"/>
  <c r="AR222" i="51" s="1"/>
  <c r="AQ221" i="51"/>
  <c r="AR221" i="51" s="1"/>
  <c r="AQ220" i="51"/>
  <c r="AR220" i="51" s="1"/>
  <c r="AQ218" i="51"/>
  <c r="AR218" i="51" s="1"/>
  <c r="AQ217" i="51"/>
  <c r="AR217" i="51" s="1"/>
  <c r="AQ216" i="51"/>
  <c r="AR216" i="51" s="1"/>
  <c r="AQ215" i="51"/>
  <c r="AR215" i="51" s="1"/>
  <c r="AQ214" i="51"/>
  <c r="AR214" i="51" s="1"/>
  <c r="AQ213" i="51"/>
  <c r="AR213" i="51" s="1"/>
  <c r="AQ200" i="51"/>
  <c r="AR200" i="51" s="1"/>
  <c r="AQ199" i="51"/>
  <c r="AR199" i="51" s="1"/>
  <c r="AQ167" i="51"/>
  <c r="AR167" i="51" s="1"/>
  <c r="AQ166" i="51"/>
  <c r="AR166" i="51" s="1"/>
  <c r="AQ165" i="51"/>
  <c r="AR165" i="51" s="1"/>
  <c r="AQ264" i="51"/>
  <c r="AR264" i="51" s="1"/>
  <c r="AQ259" i="51"/>
  <c r="AR259" i="51" s="1"/>
  <c r="AQ212" i="51"/>
  <c r="AR212" i="51" s="1"/>
  <c r="AQ211" i="51"/>
  <c r="AR211" i="51" s="1"/>
  <c r="AQ210" i="51"/>
  <c r="AR210" i="51" s="1"/>
  <c r="AQ209" i="51"/>
  <c r="AR209" i="51" s="1"/>
  <c r="AQ208" i="51"/>
  <c r="AR208" i="51" s="1"/>
  <c r="AQ204" i="51"/>
  <c r="AR204" i="51" s="1"/>
  <c r="AQ198" i="51"/>
  <c r="AR198" i="51" s="1"/>
  <c r="AQ197" i="51"/>
  <c r="AR197" i="51" s="1"/>
  <c r="AQ196" i="51"/>
  <c r="AR196" i="51" s="1"/>
  <c r="AQ195" i="51"/>
  <c r="AR195" i="51" s="1"/>
  <c r="AQ194" i="51"/>
  <c r="AR194" i="51" s="1"/>
  <c r="AQ193" i="51"/>
  <c r="AR193" i="51" s="1"/>
  <c r="AQ192" i="51"/>
  <c r="AR192" i="51" s="1"/>
  <c r="AQ191" i="51"/>
  <c r="AR191" i="51" s="1"/>
  <c r="AQ190" i="51"/>
  <c r="AR190" i="51" s="1"/>
  <c r="AQ189" i="51"/>
  <c r="AR189" i="51" s="1"/>
  <c r="AQ188" i="51"/>
  <c r="AR188" i="51" s="1"/>
  <c r="AQ171" i="51"/>
  <c r="AR171" i="51" s="1"/>
  <c r="AQ148" i="51"/>
  <c r="AR148" i="51" s="1"/>
  <c r="AQ147" i="51"/>
  <c r="AR147" i="51" s="1"/>
  <c r="AQ146" i="51"/>
  <c r="AR146" i="51" s="1"/>
  <c r="AQ145" i="51"/>
  <c r="AR145" i="51" s="1"/>
  <c r="AQ144" i="51"/>
  <c r="AR144" i="51" s="1"/>
  <c r="AQ141" i="51"/>
  <c r="AR141" i="51" s="1"/>
  <c r="AQ98" i="51"/>
  <c r="AR98" i="51" s="1"/>
  <c r="AQ97" i="51"/>
  <c r="AR97" i="51" s="1"/>
  <c r="AQ96" i="51"/>
  <c r="AR96" i="51" s="1"/>
  <c r="AQ95" i="51"/>
  <c r="AR95" i="51" s="1"/>
  <c r="AQ94" i="51"/>
  <c r="AR94" i="51" s="1"/>
  <c r="AQ79" i="51"/>
  <c r="AR79" i="51" s="1"/>
  <c r="AQ78" i="51"/>
  <c r="AR78" i="51" s="1"/>
  <c r="AQ77" i="51"/>
  <c r="AR77" i="51" s="1"/>
  <c r="AQ76" i="51"/>
  <c r="AR76" i="51" s="1"/>
  <c r="AQ75" i="51"/>
  <c r="AR75" i="51" s="1"/>
  <c r="AQ74" i="51"/>
  <c r="AR74" i="51" s="1"/>
  <c r="AQ280" i="51"/>
  <c r="AR280" i="51" s="1"/>
  <c r="AQ240" i="51"/>
  <c r="AR240" i="51" s="1"/>
  <c r="AQ207" i="51"/>
  <c r="AR207" i="51" s="1"/>
  <c r="AQ187" i="51"/>
  <c r="AR187" i="51" s="1"/>
  <c r="AQ256" i="51"/>
  <c r="AR256" i="51" s="1"/>
  <c r="AQ237" i="51"/>
  <c r="AR237" i="51" s="1"/>
  <c r="AQ206" i="51"/>
  <c r="AR206" i="51" s="1"/>
  <c r="AQ279" i="51"/>
  <c r="AR279" i="51" s="1"/>
  <c r="AQ260" i="51"/>
  <c r="AR260" i="51" s="1"/>
  <c r="AQ276" i="51"/>
  <c r="AR276" i="51" s="1"/>
  <c r="AQ265" i="51"/>
  <c r="AR265" i="51" s="1"/>
  <c r="AQ263" i="51"/>
  <c r="AR263" i="51" s="1"/>
  <c r="AQ255" i="51"/>
  <c r="AR255" i="51" s="1"/>
  <c r="AQ266" i="51"/>
  <c r="AR266" i="51" s="1"/>
  <c r="AQ203" i="51"/>
  <c r="AR203" i="51" s="1"/>
  <c r="AQ239" i="51"/>
  <c r="AR239" i="51" s="1"/>
  <c r="AQ219" i="51"/>
  <c r="AR219" i="51" s="1"/>
  <c r="AQ201" i="51"/>
  <c r="AR201" i="51" s="1"/>
  <c r="AQ202" i="51"/>
  <c r="AR202" i="51" s="1"/>
  <c r="AQ183" i="51"/>
  <c r="AR183" i="51" s="1"/>
  <c r="AQ179" i="51"/>
  <c r="AR179" i="51" s="1"/>
  <c r="AQ176" i="51"/>
  <c r="AR176" i="51" s="1"/>
  <c r="AQ175" i="51"/>
  <c r="AR175" i="51" s="1"/>
  <c r="AQ174" i="51"/>
  <c r="AR174" i="51" s="1"/>
  <c r="AQ163" i="51"/>
  <c r="AR163" i="51" s="1"/>
  <c r="AQ159" i="51"/>
  <c r="AR159" i="51" s="1"/>
  <c r="AQ155" i="51"/>
  <c r="AR155" i="51" s="1"/>
  <c r="AQ151" i="51"/>
  <c r="AR151" i="51" s="1"/>
  <c r="AQ142" i="51"/>
  <c r="AR142" i="51" s="1"/>
  <c r="AQ271" i="51"/>
  <c r="AR271" i="51" s="1"/>
  <c r="AQ186" i="51"/>
  <c r="AR186" i="51" s="1"/>
  <c r="AQ182" i="51"/>
  <c r="AR182" i="51" s="1"/>
  <c r="AQ178" i="51"/>
  <c r="AR178" i="51" s="1"/>
  <c r="AQ173" i="51"/>
  <c r="AR173" i="51" s="1"/>
  <c r="AQ168" i="51"/>
  <c r="AR168" i="51" s="1"/>
  <c r="AQ162" i="51"/>
  <c r="AR162" i="51" s="1"/>
  <c r="AQ158" i="51"/>
  <c r="AR158" i="51" s="1"/>
  <c r="AQ154" i="51"/>
  <c r="AR154" i="51" s="1"/>
  <c r="AQ150" i="51"/>
  <c r="AR150" i="51" s="1"/>
  <c r="AQ185" i="51"/>
  <c r="AR185" i="51" s="1"/>
  <c r="AQ181" i="51"/>
  <c r="AR181" i="51" s="1"/>
  <c r="AQ177" i="51"/>
  <c r="AR177" i="51" s="1"/>
  <c r="AQ170" i="51"/>
  <c r="AR170" i="51" s="1"/>
  <c r="AQ161" i="51"/>
  <c r="AR161" i="51" s="1"/>
  <c r="AQ157" i="51"/>
  <c r="AR157" i="51" s="1"/>
  <c r="AQ153" i="51"/>
  <c r="AR153" i="51" s="1"/>
  <c r="AQ149" i="51"/>
  <c r="AR149" i="51" s="1"/>
  <c r="AQ257" i="51"/>
  <c r="AR257" i="51" s="1"/>
  <c r="AQ180" i="51"/>
  <c r="AR180" i="51" s="1"/>
  <c r="AQ172" i="51"/>
  <c r="AR172" i="51" s="1"/>
  <c r="AQ160" i="51"/>
  <c r="AR160" i="51" s="1"/>
  <c r="AQ103" i="51"/>
  <c r="AR103" i="51" s="1"/>
  <c r="AQ99" i="51"/>
  <c r="AR99" i="51" s="1"/>
  <c r="AQ66" i="51"/>
  <c r="AR66" i="51" s="1"/>
  <c r="AQ164" i="51"/>
  <c r="AR164" i="51" s="1"/>
  <c r="AQ135" i="51"/>
  <c r="AR135" i="51" s="1"/>
  <c r="AQ134" i="51"/>
  <c r="AR134" i="51" s="1"/>
  <c r="AQ133" i="51"/>
  <c r="AR133" i="51" s="1"/>
  <c r="AQ132" i="51"/>
  <c r="AR132" i="51" s="1"/>
  <c r="AQ131" i="51"/>
  <c r="AR131" i="51" s="1"/>
  <c r="AQ130" i="51"/>
  <c r="AR130" i="51" s="1"/>
  <c r="AQ129" i="51"/>
  <c r="AR129" i="51" s="1"/>
  <c r="AQ128" i="51"/>
  <c r="AR128" i="51" s="1"/>
  <c r="AQ127" i="51"/>
  <c r="AR127" i="51" s="1"/>
  <c r="AQ102" i="51"/>
  <c r="AR102" i="51" s="1"/>
  <c r="AQ82" i="51"/>
  <c r="AR82" i="51" s="1"/>
  <c r="AQ81" i="51"/>
  <c r="AR81" i="51" s="1"/>
  <c r="AQ169" i="51"/>
  <c r="AR169" i="51" s="1"/>
  <c r="AQ152" i="51"/>
  <c r="AR152" i="51" s="1"/>
  <c r="AQ143" i="51"/>
  <c r="AR143" i="51" s="1"/>
  <c r="AQ101" i="51"/>
  <c r="AR101" i="51" s="1"/>
  <c r="AQ80" i="51"/>
  <c r="AR80" i="51" s="1"/>
  <c r="AQ137" i="51"/>
  <c r="AR137" i="51" s="1"/>
  <c r="AQ124" i="51"/>
  <c r="AR124" i="51" s="1"/>
  <c r="AQ120" i="51"/>
  <c r="AR120" i="51" s="1"/>
  <c r="AQ116" i="51"/>
  <c r="AR116" i="51" s="1"/>
  <c r="AQ112" i="51"/>
  <c r="AR112" i="51" s="1"/>
  <c r="AQ108" i="51"/>
  <c r="AR108" i="51" s="1"/>
  <c r="AQ100" i="51"/>
  <c r="AR100" i="51" s="1"/>
  <c r="AQ93" i="51"/>
  <c r="AR93" i="51" s="1"/>
  <c r="AQ91" i="51"/>
  <c r="AR91" i="51" s="1"/>
  <c r="AQ89" i="51"/>
  <c r="AR89" i="51" s="1"/>
  <c r="AQ87" i="51"/>
  <c r="AR87" i="51" s="1"/>
  <c r="AQ85" i="51"/>
  <c r="AR85" i="51" s="1"/>
  <c r="AQ83" i="51"/>
  <c r="AR83" i="51" s="1"/>
  <c r="AQ65" i="51"/>
  <c r="AR65" i="51" s="1"/>
  <c r="AQ64" i="51"/>
  <c r="AR64" i="51" s="1"/>
  <c r="AQ63" i="51"/>
  <c r="AR63" i="51" s="1"/>
  <c r="AQ62" i="51"/>
  <c r="AR62" i="51" s="1"/>
  <c r="AQ55" i="51"/>
  <c r="AR55" i="51" s="1"/>
  <c r="AQ54" i="51"/>
  <c r="AR54" i="51" s="1"/>
  <c r="AQ53" i="51"/>
  <c r="AR53" i="51" s="1"/>
  <c r="AQ37" i="51"/>
  <c r="AR37" i="51" s="1"/>
  <c r="AQ36" i="51"/>
  <c r="AR36" i="51" s="1"/>
  <c r="AQ35" i="51"/>
  <c r="AR35" i="51" s="1"/>
  <c r="AQ34" i="51"/>
  <c r="AR34" i="51" s="1"/>
  <c r="AQ33" i="51"/>
  <c r="AR33" i="51" s="1"/>
  <c r="AQ32" i="51"/>
  <c r="AR32" i="51" s="1"/>
  <c r="AQ31" i="51"/>
  <c r="AR31" i="51" s="1"/>
  <c r="AQ30" i="51"/>
  <c r="AR30" i="51" s="1"/>
  <c r="AQ29" i="51"/>
  <c r="AR29" i="51" s="1"/>
  <c r="AQ28" i="51"/>
  <c r="AR28" i="51" s="1"/>
  <c r="AQ27" i="51"/>
  <c r="AR27" i="51" s="1"/>
  <c r="AQ26" i="51"/>
  <c r="AR26" i="51" s="1"/>
  <c r="AQ25" i="51"/>
  <c r="AR25" i="51" s="1"/>
  <c r="AQ24" i="51"/>
  <c r="AR24" i="51" s="1"/>
  <c r="AQ23" i="51"/>
  <c r="AR23" i="51" s="1"/>
  <c r="AQ22" i="51"/>
  <c r="AR22" i="51" s="1"/>
  <c r="AQ21" i="51"/>
  <c r="AR21" i="51" s="1"/>
  <c r="AQ20" i="51"/>
  <c r="AR20" i="51" s="1"/>
  <c r="AQ19" i="51"/>
  <c r="AR19" i="51" s="1"/>
  <c r="AQ18" i="51"/>
  <c r="AR18" i="51" s="1"/>
  <c r="AQ17" i="51"/>
  <c r="AR17" i="51" s="1"/>
  <c r="AQ16" i="51"/>
  <c r="AR16" i="51" s="1"/>
  <c r="AQ15" i="51"/>
  <c r="AR15" i="51" s="1"/>
  <c r="AQ205" i="51"/>
  <c r="AR205" i="51" s="1"/>
  <c r="AQ184" i="51"/>
  <c r="AR184" i="51" s="1"/>
  <c r="AQ156" i="51"/>
  <c r="AR156" i="51" s="1"/>
  <c r="AQ138" i="51"/>
  <c r="AR138" i="51" s="1"/>
  <c r="AQ123" i="51"/>
  <c r="AR123" i="51" s="1"/>
  <c r="AQ119" i="51"/>
  <c r="AR119" i="51" s="1"/>
  <c r="AQ115" i="51"/>
  <c r="AR115" i="51" s="1"/>
  <c r="AQ111" i="51"/>
  <c r="AR111" i="51" s="1"/>
  <c r="AQ107" i="51"/>
  <c r="AR107" i="51" s="1"/>
  <c r="AQ72" i="51"/>
  <c r="AR72" i="51" s="1"/>
  <c r="AQ70" i="51"/>
  <c r="AR70" i="51" s="1"/>
  <c r="AQ68" i="51"/>
  <c r="AR68" i="51" s="1"/>
  <c r="AQ61" i="51"/>
  <c r="AR61" i="51" s="1"/>
  <c r="AQ60" i="51"/>
  <c r="AR60" i="51" s="1"/>
  <c r="AQ14" i="51"/>
  <c r="AR14" i="51" s="1"/>
  <c r="AQ13" i="51"/>
  <c r="AR13" i="51" s="1"/>
  <c r="AQ12" i="51"/>
  <c r="AR12" i="51" s="1"/>
  <c r="AQ11" i="51"/>
  <c r="AR11" i="51" s="1"/>
  <c r="AQ10" i="51"/>
  <c r="AR10" i="51" s="1"/>
  <c r="AQ139" i="51"/>
  <c r="AR139" i="51" s="1"/>
  <c r="AQ126" i="51"/>
  <c r="AR126" i="51" s="1"/>
  <c r="AQ122" i="51"/>
  <c r="AR122" i="51" s="1"/>
  <c r="AQ118" i="51"/>
  <c r="AR118" i="51" s="1"/>
  <c r="AQ114" i="51"/>
  <c r="AR114" i="51" s="1"/>
  <c r="AQ110" i="51"/>
  <c r="AR110" i="51" s="1"/>
  <c r="AQ106" i="51"/>
  <c r="AR106" i="51" s="1"/>
  <c r="AQ104" i="51"/>
  <c r="AR104" i="51" s="1"/>
  <c r="AQ92" i="51"/>
  <c r="AR92" i="51" s="1"/>
  <c r="AQ90" i="51"/>
  <c r="AR90" i="51" s="1"/>
  <c r="AQ88" i="51"/>
  <c r="AR88" i="51" s="1"/>
  <c r="AQ86" i="51"/>
  <c r="AR86" i="51" s="1"/>
  <c r="AQ84" i="51"/>
  <c r="AR84" i="51" s="1"/>
  <c r="AQ67" i="51"/>
  <c r="AR67" i="51" s="1"/>
  <c r="AQ59" i="51"/>
  <c r="AR59" i="51" s="1"/>
  <c r="AQ58" i="51"/>
  <c r="AR58" i="51" s="1"/>
  <c r="AQ57" i="51"/>
  <c r="AR57" i="51" s="1"/>
  <c r="AQ52" i="51"/>
  <c r="AR52" i="51" s="1"/>
  <c r="AQ51" i="51"/>
  <c r="AR51" i="51" s="1"/>
  <c r="U8" i="51"/>
  <c r="U9" i="51"/>
  <c r="W9" i="51" s="1"/>
  <c r="AQ9" i="51"/>
  <c r="AR9" i="51" s="1"/>
  <c r="O10" i="51"/>
  <c r="P10" i="51" s="1"/>
  <c r="U10" i="51"/>
  <c r="W10" i="51" s="1"/>
  <c r="O12" i="51"/>
  <c r="P12" i="51" s="1"/>
  <c r="U12" i="51"/>
  <c r="W12" i="51" s="1"/>
  <c r="O13" i="51"/>
  <c r="P13" i="51" s="1"/>
  <c r="U16" i="51"/>
  <c r="W16" i="51" s="1"/>
  <c r="Z19" i="51"/>
  <c r="AB19" i="51" s="1"/>
  <c r="U20" i="51"/>
  <c r="W20" i="51" s="1"/>
  <c r="U24" i="51"/>
  <c r="W24" i="51" s="1"/>
  <c r="Z27" i="51"/>
  <c r="AB27" i="51" s="1"/>
  <c r="U28" i="51"/>
  <c r="W28" i="51" s="1"/>
  <c r="U32" i="51"/>
  <c r="W32" i="51" s="1"/>
  <c r="Z35" i="51"/>
  <c r="AB35" i="51" s="1"/>
  <c r="U38" i="51"/>
  <c r="W38" i="51" s="1"/>
  <c r="AW39" i="51"/>
  <c r="AX39" i="51" s="1"/>
  <c r="Z40" i="51"/>
  <c r="AB40" i="51" s="1"/>
  <c r="AQ40" i="51"/>
  <c r="AR40" i="51" s="1"/>
  <c r="AK41" i="51"/>
  <c r="AL41" i="51" s="1"/>
  <c r="U42" i="51"/>
  <c r="W42" i="51" s="1"/>
  <c r="AW43" i="51"/>
  <c r="AX43" i="51" s="1"/>
  <c r="Z44" i="51"/>
  <c r="AB44" i="51" s="1"/>
  <c r="AQ44" i="51"/>
  <c r="AR44" i="51" s="1"/>
  <c r="AK45" i="51"/>
  <c r="AL45" i="51" s="1"/>
  <c r="U46" i="51"/>
  <c r="W46" i="51" s="1"/>
  <c r="AW47" i="51"/>
  <c r="AX47" i="51" s="1"/>
  <c r="AK48" i="51"/>
  <c r="AL48" i="51" s="1"/>
  <c r="AK50" i="51"/>
  <c r="AL50" i="51" s="1"/>
  <c r="U51" i="51"/>
  <c r="W51" i="51" s="1"/>
  <c r="H53" i="51"/>
  <c r="I53" i="51" s="1"/>
  <c r="AK56" i="51"/>
  <c r="AL56" i="51" s="1"/>
  <c r="U57" i="51"/>
  <c r="W57" i="51" s="1"/>
  <c r="U59" i="51"/>
  <c r="W59" i="51" s="1"/>
  <c r="U60" i="51"/>
  <c r="W60" i="51" s="1"/>
  <c r="AQ73" i="51"/>
  <c r="AR73" i="51" s="1"/>
  <c r="Z75" i="51"/>
  <c r="AB75" i="51" s="1"/>
  <c r="AQ105" i="51"/>
  <c r="AR105" i="51" s="1"/>
  <c r="AQ121" i="51"/>
  <c r="AR121" i="51" s="1"/>
  <c r="U138" i="51"/>
  <c r="W138" i="51" s="1"/>
  <c r="J83" i="51"/>
  <c r="P158" i="51"/>
  <c r="P61" i="51"/>
  <c r="AW308" i="51"/>
  <c r="AX308" i="51" s="1"/>
  <c r="AW307" i="51"/>
  <c r="AX307" i="51" s="1"/>
  <c r="AW306" i="51"/>
  <c r="AX306" i="51" s="1"/>
  <c r="AW305" i="51"/>
  <c r="AX305" i="51" s="1"/>
  <c r="AW304" i="51"/>
  <c r="AX304" i="51" s="1"/>
  <c r="AW303" i="51"/>
  <c r="AX303" i="51" s="1"/>
  <c r="AW302" i="51"/>
  <c r="AX302" i="51" s="1"/>
  <c r="AW301" i="51"/>
  <c r="AX301" i="51" s="1"/>
  <c r="AW300" i="51"/>
  <c r="AX300" i="51" s="1"/>
  <c r="AW299" i="51"/>
  <c r="AX299" i="51" s="1"/>
  <c r="AW298" i="51"/>
  <c r="AX298" i="51" s="1"/>
  <c r="AW297" i="51"/>
  <c r="AX297" i="51" s="1"/>
  <c r="AW312" i="51"/>
  <c r="AX312" i="51" s="1"/>
  <c r="AW278" i="51"/>
  <c r="AX278" i="51" s="1"/>
  <c r="AW270" i="51"/>
  <c r="AX270" i="51" s="1"/>
  <c r="AW269" i="51"/>
  <c r="AX269" i="51" s="1"/>
  <c r="AW268" i="51"/>
  <c r="AX268" i="51" s="1"/>
  <c r="AW254" i="51"/>
  <c r="AX254" i="51" s="1"/>
  <c r="AW253" i="51"/>
  <c r="AX253" i="51" s="1"/>
  <c r="AW311" i="51"/>
  <c r="AX311" i="51" s="1"/>
  <c r="AW313" i="51"/>
  <c r="AX313" i="51" s="1"/>
  <c r="AW279" i="51"/>
  <c r="AX279" i="51" s="1"/>
  <c r="AW277" i="51"/>
  <c r="AX277" i="51" s="1"/>
  <c r="AW263" i="51"/>
  <c r="AX263" i="51" s="1"/>
  <c r="AW259" i="51"/>
  <c r="AX259" i="51" s="1"/>
  <c r="AW255" i="51"/>
  <c r="AX255" i="51" s="1"/>
  <c r="AW236" i="51"/>
  <c r="AX236" i="51" s="1"/>
  <c r="AW314" i="51"/>
  <c r="AX314" i="51" s="1"/>
  <c r="AW276" i="51"/>
  <c r="AX276" i="51" s="1"/>
  <c r="AW275" i="51"/>
  <c r="AX275" i="51" s="1"/>
  <c r="AW273" i="51"/>
  <c r="AX273" i="51" s="1"/>
  <c r="AW271" i="51"/>
  <c r="AX271" i="51" s="1"/>
  <c r="AW266" i="51"/>
  <c r="AX266" i="51" s="1"/>
  <c r="AW257" i="51"/>
  <c r="AX257" i="51" s="1"/>
  <c r="AW250" i="51"/>
  <c r="AX250" i="51" s="1"/>
  <c r="AW246" i="51"/>
  <c r="AX246" i="51" s="1"/>
  <c r="AW242" i="51"/>
  <c r="AX242" i="51" s="1"/>
  <c r="AW239" i="51"/>
  <c r="AX239" i="51" s="1"/>
  <c r="AW218" i="51"/>
  <c r="AX218" i="51" s="1"/>
  <c r="AW217" i="51"/>
  <c r="AX217" i="51" s="1"/>
  <c r="AW216" i="51"/>
  <c r="AX216" i="51" s="1"/>
  <c r="AW215" i="51"/>
  <c r="AX215" i="51" s="1"/>
  <c r="AW214" i="51"/>
  <c r="AX214" i="51" s="1"/>
  <c r="AW213" i="51"/>
  <c r="AX213" i="51" s="1"/>
  <c r="AW200" i="51"/>
  <c r="AX200" i="51" s="1"/>
  <c r="AW199" i="51"/>
  <c r="AX199" i="51" s="1"/>
  <c r="AW167" i="51"/>
  <c r="AX167" i="51" s="1"/>
  <c r="AW166" i="51"/>
  <c r="AX166" i="51" s="1"/>
  <c r="AW165" i="51"/>
  <c r="AX165" i="51" s="1"/>
  <c r="AW309" i="51"/>
  <c r="AX309" i="51" s="1"/>
  <c r="AW280" i="51"/>
  <c r="AX280" i="51" s="1"/>
  <c r="AW256" i="51"/>
  <c r="AX256" i="51" s="1"/>
  <c r="AW245" i="51"/>
  <c r="AX245" i="51" s="1"/>
  <c r="AW237" i="51"/>
  <c r="AX237" i="51" s="1"/>
  <c r="AW235" i="51"/>
  <c r="AX235" i="51" s="1"/>
  <c r="AW231" i="51"/>
  <c r="AX231" i="51" s="1"/>
  <c r="AW227" i="51"/>
  <c r="AX227" i="51" s="1"/>
  <c r="AW223" i="51"/>
  <c r="AX223" i="51" s="1"/>
  <c r="AW205" i="51"/>
  <c r="AX205" i="51" s="1"/>
  <c r="AW201" i="51"/>
  <c r="AX201" i="51" s="1"/>
  <c r="AW172" i="51"/>
  <c r="AX172" i="51" s="1"/>
  <c r="AW168" i="51"/>
  <c r="AX168" i="51" s="1"/>
  <c r="AW143" i="51"/>
  <c r="AX143" i="51" s="1"/>
  <c r="AW142" i="51"/>
  <c r="AX142" i="51" s="1"/>
  <c r="AW98" i="51"/>
  <c r="AX98" i="51" s="1"/>
  <c r="AW97" i="51"/>
  <c r="AX97" i="51" s="1"/>
  <c r="AW96" i="51"/>
  <c r="AX96" i="51" s="1"/>
  <c r="AW95" i="51"/>
  <c r="AX95" i="51" s="1"/>
  <c r="AW94" i="51"/>
  <c r="AX94" i="51" s="1"/>
  <c r="AW79" i="51"/>
  <c r="AX79" i="51" s="1"/>
  <c r="AW78" i="51"/>
  <c r="AX78" i="51" s="1"/>
  <c r="AW77" i="51"/>
  <c r="AX77" i="51" s="1"/>
  <c r="AW76" i="51"/>
  <c r="AX76" i="51" s="1"/>
  <c r="AW75" i="51"/>
  <c r="AX75" i="51" s="1"/>
  <c r="AW74" i="51"/>
  <c r="AX74" i="51" s="1"/>
  <c r="AW296" i="51"/>
  <c r="AX296" i="51" s="1"/>
  <c r="AW295" i="51"/>
  <c r="AX295" i="51" s="1"/>
  <c r="AW294" i="51"/>
  <c r="AX294" i="51" s="1"/>
  <c r="AW293" i="51"/>
  <c r="AX293" i="51" s="1"/>
  <c r="AW292" i="51"/>
  <c r="AX292" i="51" s="1"/>
  <c r="AW291" i="51"/>
  <c r="AX291" i="51" s="1"/>
  <c r="AW290" i="51"/>
  <c r="AX290" i="51" s="1"/>
  <c r="AW289" i="51"/>
  <c r="AX289" i="51" s="1"/>
  <c r="AW288" i="51"/>
  <c r="AX288" i="51" s="1"/>
  <c r="AW287" i="51"/>
  <c r="AX287" i="51" s="1"/>
  <c r="AW286" i="51"/>
  <c r="AX286" i="51" s="1"/>
  <c r="AW285" i="51"/>
  <c r="AX285" i="51" s="1"/>
  <c r="AW284" i="51"/>
  <c r="AX284" i="51" s="1"/>
  <c r="AW283" i="51"/>
  <c r="AX283" i="51" s="1"/>
  <c r="AW282" i="51"/>
  <c r="AX282" i="51" s="1"/>
  <c r="AW281" i="51"/>
  <c r="AX281" i="51" s="1"/>
  <c r="AW267" i="51"/>
  <c r="AX267" i="51" s="1"/>
  <c r="AW261" i="51"/>
  <c r="AX261" i="51" s="1"/>
  <c r="AW274" i="51"/>
  <c r="AX274" i="51" s="1"/>
  <c r="AW272" i="51"/>
  <c r="AX272" i="51" s="1"/>
  <c r="AW252" i="51"/>
  <c r="AX252" i="51" s="1"/>
  <c r="AW247" i="51"/>
  <c r="AX247" i="51" s="1"/>
  <c r="AW243" i="51"/>
  <c r="AX243" i="51" s="1"/>
  <c r="AW241" i="51"/>
  <c r="AX241" i="51" s="1"/>
  <c r="AW238" i="51"/>
  <c r="AX238" i="51" s="1"/>
  <c r="AW233" i="51"/>
  <c r="AX233" i="51" s="1"/>
  <c r="AW232" i="51"/>
  <c r="AX232" i="51" s="1"/>
  <c r="AW222" i="51"/>
  <c r="AX222" i="51" s="1"/>
  <c r="AW211" i="51"/>
  <c r="AX211" i="51" s="1"/>
  <c r="AW203" i="51"/>
  <c r="AX203" i="51" s="1"/>
  <c r="AW196" i="51"/>
  <c r="AX196" i="51" s="1"/>
  <c r="AW192" i="51"/>
  <c r="AX192" i="51" s="1"/>
  <c r="AW188" i="51"/>
  <c r="AX188" i="51" s="1"/>
  <c r="AW185" i="51"/>
  <c r="AX185" i="51" s="1"/>
  <c r="AW184" i="51"/>
  <c r="AX184" i="51" s="1"/>
  <c r="AW183" i="51"/>
  <c r="AX183" i="51" s="1"/>
  <c r="AW182" i="51"/>
  <c r="AX182" i="51" s="1"/>
  <c r="AW181" i="51"/>
  <c r="AX181" i="51" s="1"/>
  <c r="AW180" i="51"/>
  <c r="AX180" i="51" s="1"/>
  <c r="AW179" i="51"/>
  <c r="AX179" i="51" s="1"/>
  <c r="AW178" i="51"/>
  <c r="AX178" i="51" s="1"/>
  <c r="AW177" i="51"/>
  <c r="AX177" i="51" s="1"/>
  <c r="AW260" i="51"/>
  <c r="AX260" i="51" s="1"/>
  <c r="AW258" i="51"/>
  <c r="AX258" i="51" s="1"/>
  <c r="AW249" i="51"/>
  <c r="AX249" i="51" s="1"/>
  <c r="AW226" i="51"/>
  <c r="AX226" i="51" s="1"/>
  <c r="AW221" i="51"/>
  <c r="AX221" i="51" s="1"/>
  <c r="AW220" i="51"/>
  <c r="AX220" i="51" s="1"/>
  <c r="AW219" i="51"/>
  <c r="AX219" i="51" s="1"/>
  <c r="AW212" i="51"/>
  <c r="AX212" i="51" s="1"/>
  <c r="AW208" i="51"/>
  <c r="AX208" i="51" s="1"/>
  <c r="AW310" i="51"/>
  <c r="AX310" i="51" s="1"/>
  <c r="AW265" i="51"/>
  <c r="AX265" i="51" s="1"/>
  <c r="AW264" i="51"/>
  <c r="AX264" i="51" s="1"/>
  <c r="AW262" i="51"/>
  <c r="AX262" i="51" s="1"/>
  <c r="AW251" i="51"/>
  <c r="AX251" i="51" s="1"/>
  <c r="AW248" i="51"/>
  <c r="AX248" i="51" s="1"/>
  <c r="AW240" i="51"/>
  <c r="AX240" i="51" s="1"/>
  <c r="AW234" i="51"/>
  <c r="AX234" i="51" s="1"/>
  <c r="AW228" i="51"/>
  <c r="AX228" i="51" s="1"/>
  <c r="AW204" i="51"/>
  <c r="AX204" i="51" s="1"/>
  <c r="AW198" i="51"/>
  <c r="AX198" i="51" s="1"/>
  <c r="AW244" i="51"/>
  <c r="AX244" i="51" s="1"/>
  <c r="AW209" i="51"/>
  <c r="AX209" i="51" s="1"/>
  <c r="AW202" i="51"/>
  <c r="AX202" i="51" s="1"/>
  <c r="AW191" i="51"/>
  <c r="AX191" i="51" s="1"/>
  <c r="AW315" i="51"/>
  <c r="AX315" i="51" s="1"/>
  <c r="AW225" i="51"/>
  <c r="AX225" i="51" s="1"/>
  <c r="AW224" i="51"/>
  <c r="AX224" i="51" s="1"/>
  <c r="AW210" i="51"/>
  <c r="AX210" i="51" s="1"/>
  <c r="AW206" i="51"/>
  <c r="AX206" i="51" s="1"/>
  <c r="AW195" i="51"/>
  <c r="AX195" i="51" s="1"/>
  <c r="AW190" i="51"/>
  <c r="AX190" i="51" s="1"/>
  <c r="AW189" i="51"/>
  <c r="AX189" i="51" s="1"/>
  <c r="AW229" i="51"/>
  <c r="AX229" i="51" s="1"/>
  <c r="AW194" i="51"/>
  <c r="AX194" i="51" s="1"/>
  <c r="AW193" i="51"/>
  <c r="AX193" i="51" s="1"/>
  <c r="AW170" i="51"/>
  <c r="AX170" i="51" s="1"/>
  <c r="AW161" i="51"/>
  <c r="AX161" i="51" s="1"/>
  <c r="AW157" i="51"/>
  <c r="AX157" i="51" s="1"/>
  <c r="AW153" i="51"/>
  <c r="AX153" i="51" s="1"/>
  <c r="AW149" i="51"/>
  <c r="AX149" i="51" s="1"/>
  <c r="AW146" i="51"/>
  <c r="AX146" i="51" s="1"/>
  <c r="AW141" i="51"/>
  <c r="AX141" i="51" s="1"/>
  <c r="AW169" i="51"/>
  <c r="AX169" i="51" s="1"/>
  <c r="AW164" i="51"/>
  <c r="AX164" i="51" s="1"/>
  <c r="AW160" i="51"/>
  <c r="AX160" i="51" s="1"/>
  <c r="AW156" i="51"/>
  <c r="AX156" i="51" s="1"/>
  <c r="AW152" i="51"/>
  <c r="AX152" i="51" s="1"/>
  <c r="AW147" i="51"/>
  <c r="AX147" i="51" s="1"/>
  <c r="AW230" i="51"/>
  <c r="AX230" i="51" s="1"/>
  <c r="AW207" i="51"/>
  <c r="AX207" i="51" s="1"/>
  <c r="AW197" i="51"/>
  <c r="AX197" i="51" s="1"/>
  <c r="AW187" i="51"/>
  <c r="AX187" i="51" s="1"/>
  <c r="AW176" i="51"/>
  <c r="AX176" i="51" s="1"/>
  <c r="AW175" i="51"/>
  <c r="AX175" i="51" s="1"/>
  <c r="AW174" i="51"/>
  <c r="AX174" i="51" s="1"/>
  <c r="AW163" i="51"/>
  <c r="AX163" i="51" s="1"/>
  <c r="AW159" i="51"/>
  <c r="AX159" i="51" s="1"/>
  <c r="AW155" i="51"/>
  <c r="AX155" i="51" s="1"/>
  <c r="AW151" i="51"/>
  <c r="AX151" i="51" s="1"/>
  <c r="AW148" i="51"/>
  <c r="AX148" i="51" s="1"/>
  <c r="AW144" i="51"/>
  <c r="AX144" i="51" s="1"/>
  <c r="AW186" i="51"/>
  <c r="AX186" i="51" s="1"/>
  <c r="AW171" i="51"/>
  <c r="AX171" i="51" s="1"/>
  <c r="AW162" i="51"/>
  <c r="AX162" i="51" s="1"/>
  <c r="AW145" i="51"/>
  <c r="AX145" i="51" s="1"/>
  <c r="AW126" i="51"/>
  <c r="AX126" i="51" s="1"/>
  <c r="AW125" i="51"/>
  <c r="AX125" i="51" s="1"/>
  <c r="AW124" i="51"/>
  <c r="AX124" i="51" s="1"/>
  <c r="AW123" i="51"/>
  <c r="AX123" i="51" s="1"/>
  <c r="AW122" i="51"/>
  <c r="AX122" i="51" s="1"/>
  <c r="AW121" i="51"/>
  <c r="AX121" i="51" s="1"/>
  <c r="AW120" i="51"/>
  <c r="AX120" i="51" s="1"/>
  <c r="AW119" i="51"/>
  <c r="AX119" i="51" s="1"/>
  <c r="AW118" i="51"/>
  <c r="AX118" i="51" s="1"/>
  <c r="AW117" i="51"/>
  <c r="AX117" i="51" s="1"/>
  <c r="AW116" i="51"/>
  <c r="AX116" i="51" s="1"/>
  <c r="AW115" i="51"/>
  <c r="AX115" i="51" s="1"/>
  <c r="AW114" i="51"/>
  <c r="AX114" i="51" s="1"/>
  <c r="AW113" i="51"/>
  <c r="AX113" i="51" s="1"/>
  <c r="AW112" i="51"/>
  <c r="AX112" i="51" s="1"/>
  <c r="AW111" i="51"/>
  <c r="AX111" i="51" s="1"/>
  <c r="AW110" i="51"/>
  <c r="AX110" i="51" s="1"/>
  <c r="AW109" i="51"/>
  <c r="AX109" i="51" s="1"/>
  <c r="AW108" i="51"/>
  <c r="AX108" i="51" s="1"/>
  <c r="AW107" i="51"/>
  <c r="AX107" i="51" s="1"/>
  <c r="AW106" i="51"/>
  <c r="AX106" i="51" s="1"/>
  <c r="AW105" i="51"/>
  <c r="AX105" i="51" s="1"/>
  <c r="AW104" i="51"/>
  <c r="AX104" i="51" s="1"/>
  <c r="AW100" i="51"/>
  <c r="AX100" i="51" s="1"/>
  <c r="AW93" i="51"/>
  <c r="AX93" i="51" s="1"/>
  <c r="AW92" i="51"/>
  <c r="AX92" i="51" s="1"/>
  <c r="AW91" i="51"/>
  <c r="AX91" i="51" s="1"/>
  <c r="AW90" i="51"/>
  <c r="AX90" i="51" s="1"/>
  <c r="AW89" i="51"/>
  <c r="AX89" i="51" s="1"/>
  <c r="AW88" i="51"/>
  <c r="AX88" i="51" s="1"/>
  <c r="AW87" i="51"/>
  <c r="AX87" i="51" s="1"/>
  <c r="AW86" i="51"/>
  <c r="AX86" i="51" s="1"/>
  <c r="AW85" i="51"/>
  <c r="AX85" i="51" s="1"/>
  <c r="AW84" i="51"/>
  <c r="AX84" i="51" s="1"/>
  <c r="AW83" i="51"/>
  <c r="AX83" i="51" s="1"/>
  <c r="AW73" i="51"/>
  <c r="AX73" i="51" s="1"/>
  <c r="AW72" i="51"/>
  <c r="AX72" i="51" s="1"/>
  <c r="AW71" i="51"/>
  <c r="AX71" i="51" s="1"/>
  <c r="AW70" i="51"/>
  <c r="AX70" i="51" s="1"/>
  <c r="AW69" i="51"/>
  <c r="AX69" i="51" s="1"/>
  <c r="AW68" i="51"/>
  <c r="AX68" i="51" s="1"/>
  <c r="AW66" i="51"/>
  <c r="AX66" i="51" s="1"/>
  <c r="AW150" i="51"/>
  <c r="AX150" i="51" s="1"/>
  <c r="AW140" i="51"/>
  <c r="AX140" i="51" s="1"/>
  <c r="AW139" i="51"/>
  <c r="AX139" i="51" s="1"/>
  <c r="AW138" i="51"/>
  <c r="AX138" i="51" s="1"/>
  <c r="AW137" i="51"/>
  <c r="AX137" i="51" s="1"/>
  <c r="AW136" i="51"/>
  <c r="AX136" i="51" s="1"/>
  <c r="AW103" i="51"/>
  <c r="AX103" i="51" s="1"/>
  <c r="AW99" i="51"/>
  <c r="AX99" i="51" s="1"/>
  <c r="AW173" i="51"/>
  <c r="AX173" i="51" s="1"/>
  <c r="AW154" i="51"/>
  <c r="AX154" i="51" s="1"/>
  <c r="AW135" i="51"/>
  <c r="AX135" i="51" s="1"/>
  <c r="AW134" i="51"/>
  <c r="AX134" i="51" s="1"/>
  <c r="AW133" i="51"/>
  <c r="AX133" i="51" s="1"/>
  <c r="AW132" i="51"/>
  <c r="AX132" i="51" s="1"/>
  <c r="AW131" i="51"/>
  <c r="AX131" i="51" s="1"/>
  <c r="AW130" i="51"/>
  <c r="AX130" i="51" s="1"/>
  <c r="AW129" i="51"/>
  <c r="AX129" i="51" s="1"/>
  <c r="AW128" i="51"/>
  <c r="AX128" i="51" s="1"/>
  <c r="AW127" i="51"/>
  <c r="AX127" i="51" s="1"/>
  <c r="AW102" i="51"/>
  <c r="AX102" i="51" s="1"/>
  <c r="AW82" i="51"/>
  <c r="AX82" i="51" s="1"/>
  <c r="AW81" i="51"/>
  <c r="AX81" i="51" s="1"/>
  <c r="AW80" i="51"/>
  <c r="AX80" i="51" s="1"/>
  <c r="AW65" i="51"/>
  <c r="AX65" i="51" s="1"/>
  <c r="AW64" i="51"/>
  <c r="AX64" i="51" s="1"/>
  <c r="AW63" i="51"/>
  <c r="AX63" i="51" s="1"/>
  <c r="AW62" i="51"/>
  <c r="AX62" i="51" s="1"/>
  <c r="AW55" i="51"/>
  <c r="AX55" i="51" s="1"/>
  <c r="AW54" i="51"/>
  <c r="AX54" i="51" s="1"/>
  <c r="AW53" i="51"/>
  <c r="AX53" i="51" s="1"/>
  <c r="AW37" i="51"/>
  <c r="AX37" i="51" s="1"/>
  <c r="AW36" i="51"/>
  <c r="AX36" i="51" s="1"/>
  <c r="AW35" i="51"/>
  <c r="AX35" i="51" s="1"/>
  <c r="AW34" i="51"/>
  <c r="AX34" i="51" s="1"/>
  <c r="AW33" i="51"/>
  <c r="AX33" i="51" s="1"/>
  <c r="AW32" i="51"/>
  <c r="AX32" i="51" s="1"/>
  <c r="AW31" i="51"/>
  <c r="AX31" i="51" s="1"/>
  <c r="AW30" i="51"/>
  <c r="AX30" i="51" s="1"/>
  <c r="AW29" i="51"/>
  <c r="AX29" i="51" s="1"/>
  <c r="AW28" i="51"/>
  <c r="AX28" i="51" s="1"/>
  <c r="AW27" i="51"/>
  <c r="AX27" i="51" s="1"/>
  <c r="AW26" i="51"/>
  <c r="AX26" i="51" s="1"/>
  <c r="AW25" i="51"/>
  <c r="AX25" i="51" s="1"/>
  <c r="AW24" i="51"/>
  <c r="AX24" i="51" s="1"/>
  <c r="AW23" i="51"/>
  <c r="AX23" i="51" s="1"/>
  <c r="AW22" i="51"/>
  <c r="AX22" i="51" s="1"/>
  <c r="AW21" i="51"/>
  <c r="AX21" i="51" s="1"/>
  <c r="AW20" i="51"/>
  <c r="AX20" i="51" s="1"/>
  <c r="AW19" i="51"/>
  <c r="AX19" i="51" s="1"/>
  <c r="AW18" i="51"/>
  <c r="AX18" i="51" s="1"/>
  <c r="AW17" i="51"/>
  <c r="AX17" i="51" s="1"/>
  <c r="AW16" i="51"/>
  <c r="AX16" i="51" s="1"/>
  <c r="AW15" i="51"/>
  <c r="AX15" i="51" s="1"/>
  <c r="AW67" i="51"/>
  <c r="AX67" i="51" s="1"/>
  <c r="AW61" i="51"/>
  <c r="AX61" i="51" s="1"/>
  <c r="AW60" i="51"/>
  <c r="AX60" i="51" s="1"/>
  <c r="AW14" i="51"/>
  <c r="AX14" i="51" s="1"/>
  <c r="AW13" i="51"/>
  <c r="AX13" i="51" s="1"/>
  <c r="AW12" i="51"/>
  <c r="AX12" i="51" s="1"/>
  <c r="AW11" i="51"/>
  <c r="AX11" i="51" s="1"/>
  <c r="AW10" i="51"/>
  <c r="AX10" i="51" s="1"/>
  <c r="AW158" i="51"/>
  <c r="AX158" i="51" s="1"/>
  <c r="AW101" i="51"/>
  <c r="AX101" i="51" s="1"/>
  <c r="AW59" i="51"/>
  <c r="AX59" i="51" s="1"/>
  <c r="AW58" i="51"/>
  <c r="AX58" i="51" s="1"/>
  <c r="AW57" i="51"/>
  <c r="AX57" i="51" s="1"/>
  <c r="AW52" i="51"/>
  <c r="AX52" i="51" s="1"/>
  <c r="AW51" i="51"/>
  <c r="AX51" i="51" s="1"/>
  <c r="U22" i="51"/>
  <c r="W22" i="51" s="1"/>
  <c r="Z25" i="51"/>
  <c r="AB25" i="51" s="1"/>
  <c r="AR38" i="51"/>
  <c r="AK39" i="51"/>
  <c r="AL39" i="51" s="1"/>
  <c r="AW41" i="51"/>
  <c r="AX41" i="51" s="1"/>
  <c r="AR42" i="51"/>
  <c r="AW48" i="51"/>
  <c r="AX48" i="51" s="1"/>
  <c r="AW50" i="51"/>
  <c r="AX50" i="51" s="1"/>
  <c r="Z53" i="51"/>
  <c r="AB53" i="51" s="1"/>
  <c r="J71" i="51"/>
  <c r="G267" i="51"/>
  <c r="I267" i="51" s="1"/>
  <c r="G281" i="51"/>
  <c r="I281" i="51" s="1"/>
  <c r="G268" i="51"/>
  <c r="I268" i="51" s="1"/>
  <c r="G265" i="51"/>
  <c r="I265" i="51" s="1"/>
  <c r="G273" i="51"/>
  <c r="I273" i="51" s="1"/>
  <c r="G255" i="51"/>
  <c r="I255" i="51" s="1"/>
  <c r="G127" i="51"/>
  <c r="I127" i="51" s="1"/>
  <c r="G237" i="51"/>
  <c r="I237" i="51" s="1"/>
  <c r="G201" i="51"/>
  <c r="I201" i="51" s="1"/>
  <c r="G168" i="51"/>
  <c r="I168" i="51" s="1"/>
  <c r="G219" i="51"/>
  <c r="I219" i="51" s="1"/>
  <c r="G105" i="51"/>
  <c r="I105" i="51" s="1"/>
  <c r="G175" i="51"/>
  <c r="I175" i="51" s="1"/>
  <c r="G80" i="51"/>
  <c r="I80" i="51" s="1"/>
  <c r="G67" i="51"/>
  <c r="I67" i="51" s="1"/>
  <c r="G60" i="51"/>
  <c r="I60" i="51" s="1"/>
  <c r="G74" i="51"/>
  <c r="I74" i="51" s="1"/>
  <c r="G94" i="51"/>
  <c r="I94" i="51" s="1"/>
  <c r="L308" i="51"/>
  <c r="M308" i="51" s="1"/>
  <c r="L307" i="51"/>
  <c r="M307" i="51" s="1"/>
  <c r="L306" i="51"/>
  <c r="M306" i="51" s="1"/>
  <c r="L305" i="51"/>
  <c r="M305" i="51" s="1"/>
  <c r="L304" i="51"/>
  <c r="M304" i="51" s="1"/>
  <c r="L303" i="51"/>
  <c r="M303" i="51" s="1"/>
  <c r="L302" i="51"/>
  <c r="M302" i="51" s="1"/>
  <c r="L301" i="51"/>
  <c r="M301" i="51" s="1"/>
  <c r="L300" i="51"/>
  <c r="M300" i="51" s="1"/>
  <c r="L299" i="51"/>
  <c r="M299" i="51" s="1"/>
  <c r="L298" i="51"/>
  <c r="M298" i="51" s="1"/>
  <c r="L297" i="51"/>
  <c r="M297" i="51" s="1"/>
  <c r="L313" i="51"/>
  <c r="M313" i="51" s="1"/>
  <c r="L309" i="51"/>
  <c r="M309" i="51" s="1"/>
  <c r="L315" i="51"/>
  <c r="M315" i="51" s="1"/>
  <c r="L310" i="51"/>
  <c r="M310" i="51" s="1"/>
  <c r="L279" i="51"/>
  <c r="M279" i="51" s="1"/>
  <c r="L275" i="51"/>
  <c r="M275" i="51" s="1"/>
  <c r="L270" i="51"/>
  <c r="M270" i="51" s="1"/>
  <c r="L269" i="51"/>
  <c r="M269" i="51" s="1"/>
  <c r="L268" i="51"/>
  <c r="M268" i="51" s="1"/>
  <c r="L254" i="51"/>
  <c r="M254" i="51" s="1"/>
  <c r="L253" i="51"/>
  <c r="M253" i="51" s="1"/>
  <c r="L314" i="51"/>
  <c r="M314" i="51" s="1"/>
  <c r="L312" i="51"/>
  <c r="M312" i="51" s="1"/>
  <c r="L274" i="51"/>
  <c r="M274" i="51" s="1"/>
  <c r="L273" i="51"/>
  <c r="M273" i="51" s="1"/>
  <c r="L264" i="51"/>
  <c r="M264" i="51" s="1"/>
  <c r="L260" i="51"/>
  <c r="M260" i="51" s="1"/>
  <c r="L256" i="51"/>
  <c r="M256" i="51" s="1"/>
  <c r="L236" i="51"/>
  <c r="M236" i="51" s="1"/>
  <c r="L272" i="51"/>
  <c r="M272" i="51" s="1"/>
  <c r="L271" i="51"/>
  <c r="M271" i="51" s="1"/>
  <c r="L265" i="51"/>
  <c r="M265" i="51" s="1"/>
  <c r="L263" i="51"/>
  <c r="M263" i="51" s="1"/>
  <c r="L258" i="51"/>
  <c r="M258" i="51" s="1"/>
  <c r="L257" i="51"/>
  <c r="M257" i="51" s="1"/>
  <c r="L255" i="51"/>
  <c r="M255" i="51" s="1"/>
  <c r="L251" i="51"/>
  <c r="M251" i="51" s="1"/>
  <c r="L247" i="51"/>
  <c r="M247" i="51" s="1"/>
  <c r="L243" i="51"/>
  <c r="M243" i="51" s="1"/>
  <c r="L240" i="51"/>
  <c r="M240" i="51" s="1"/>
  <c r="L218" i="51"/>
  <c r="M218" i="51" s="1"/>
  <c r="L217" i="51"/>
  <c r="M217" i="51" s="1"/>
  <c r="L216" i="51"/>
  <c r="M216" i="51" s="1"/>
  <c r="L215" i="51"/>
  <c r="M215" i="51" s="1"/>
  <c r="L214" i="51"/>
  <c r="M214" i="51" s="1"/>
  <c r="L213" i="51"/>
  <c r="M213" i="51" s="1"/>
  <c r="L200" i="51"/>
  <c r="M200" i="51" s="1"/>
  <c r="L199" i="51"/>
  <c r="M199" i="51" s="1"/>
  <c r="L167" i="51"/>
  <c r="M167" i="51" s="1"/>
  <c r="L166" i="51"/>
  <c r="M166" i="51" s="1"/>
  <c r="L165" i="51"/>
  <c r="M165" i="51" s="1"/>
  <c r="L277" i="51"/>
  <c r="M277" i="51" s="1"/>
  <c r="L248" i="51"/>
  <c r="M248" i="51" s="1"/>
  <c r="L238" i="51"/>
  <c r="M238" i="51" s="1"/>
  <c r="L237" i="51"/>
  <c r="M237" i="51" s="1"/>
  <c r="L232" i="51"/>
  <c r="M232" i="51" s="1"/>
  <c r="L228" i="51"/>
  <c r="M228" i="51" s="1"/>
  <c r="L224" i="51"/>
  <c r="M224" i="51" s="1"/>
  <c r="L220" i="51"/>
  <c r="M220" i="51" s="1"/>
  <c r="L212" i="51"/>
  <c r="M212" i="51" s="1"/>
  <c r="L211" i="51"/>
  <c r="M211" i="51" s="1"/>
  <c r="L210" i="51"/>
  <c r="M210" i="51" s="1"/>
  <c r="L209" i="51"/>
  <c r="M209" i="51" s="1"/>
  <c r="L206" i="51"/>
  <c r="M206" i="51" s="1"/>
  <c r="L202" i="51"/>
  <c r="M202" i="51" s="1"/>
  <c r="L173" i="51"/>
  <c r="M173" i="51" s="1"/>
  <c r="L169" i="51"/>
  <c r="M169" i="51" s="1"/>
  <c r="L164" i="51"/>
  <c r="M164" i="51" s="1"/>
  <c r="L163" i="51"/>
  <c r="M163" i="51" s="1"/>
  <c r="L162" i="51"/>
  <c r="M162" i="51" s="1"/>
  <c r="L161" i="51"/>
  <c r="M161" i="51" s="1"/>
  <c r="L160" i="51"/>
  <c r="M160" i="51" s="1"/>
  <c r="L159" i="51"/>
  <c r="M159" i="51" s="1"/>
  <c r="L158" i="51"/>
  <c r="M158" i="51" s="1"/>
  <c r="L157" i="51"/>
  <c r="M157" i="51" s="1"/>
  <c r="L156" i="51"/>
  <c r="M156" i="51" s="1"/>
  <c r="L155" i="51"/>
  <c r="M155" i="51" s="1"/>
  <c r="L154" i="51"/>
  <c r="M154" i="51" s="1"/>
  <c r="L153" i="51"/>
  <c r="M153" i="51" s="1"/>
  <c r="L152" i="51"/>
  <c r="M152" i="51" s="1"/>
  <c r="L151" i="51"/>
  <c r="M151" i="51" s="1"/>
  <c r="L150" i="51"/>
  <c r="M150" i="51" s="1"/>
  <c r="L149" i="51"/>
  <c r="M149" i="51" s="1"/>
  <c r="L148" i="51"/>
  <c r="M148" i="51" s="1"/>
  <c r="L147" i="51"/>
  <c r="M147" i="51" s="1"/>
  <c r="L146" i="51"/>
  <c r="M146" i="51" s="1"/>
  <c r="L145" i="51"/>
  <c r="M145" i="51" s="1"/>
  <c r="L144" i="51"/>
  <c r="M144" i="51" s="1"/>
  <c r="L98" i="51"/>
  <c r="M98" i="51" s="1"/>
  <c r="L97" i="51"/>
  <c r="M97" i="51" s="1"/>
  <c r="L96" i="51"/>
  <c r="M96" i="51" s="1"/>
  <c r="L95" i="51"/>
  <c r="M95" i="51" s="1"/>
  <c r="L94" i="51"/>
  <c r="M94" i="51" s="1"/>
  <c r="L79" i="51"/>
  <c r="M79" i="51" s="1"/>
  <c r="L78" i="51"/>
  <c r="M78" i="51" s="1"/>
  <c r="L77" i="51"/>
  <c r="M77" i="51" s="1"/>
  <c r="L76" i="51"/>
  <c r="M76" i="51" s="1"/>
  <c r="L75" i="51"/>
  <c r="M75" i="51" s="1"/>
  <c r="L74" i="51"/>
  <c r="M74" i="51" s="1"/>
  <c r="L267" i="51"/>
  <c r="M267" i="51" s="1"/>
  <c r="L261" i="51"/>
  <c r="M261" i="51" s="1"/>
  <c r="L250" i="51"/>
  <c r="M250" i="51" s="1"/>
  <c r="L245" i="51"/>
  <c r="M245" i="51" s="1"/>
  <c r="L242" i="51"/>
  <c r="M242" i="51" s="1"/>
  <c r="L241" i="51"/>
  <c r="M241" i="51" s="1"/>
  <c r="L231" i="51"/>
  <c r="M231" i="51" s="1"/>
  <c r="L230" i="51"/>
  <c r="M230" i="51" s="1"/>
  <c r="L225" i="51"/>
  <c r="M225" i="51" s="1"/>
  <c r="L204" i="51"/>
  <c r="M204" i="51" s="1"/>
  <c r="L203" i="51"/>
  <c r="M203" i="51" s="1"/>
  <c r="L201" i="51"/>
  <c r="M201" i="51" s="1"/>
  <c r="L197" i="51"/>
  <c r="M197" i="51" s="1"/>
  <c r="L193" i="51"/>
  <c r="M193" i="51" s="1"/>
  <c r="L189" i="51"/>
  <c r="M189" i="51" s="1"/>
  <c r="L295" i="51"/>
  <c r="M295" i="51" s="1"/>
  <c r="L293" i="51"/>
  <c r="M293" i="51" s="1"/>
  <c r="L291" i="51"/>
  <c r="M291" i="51" s="1"/>
  <c r="L289" i="51"/>
  <c r="M289" i="51" s="1"/>
  <c r="L287" i="51"/>
  <c r="M287" i="51" s="1"/>
  <c r="L285" i="51"/>
  <c r="M285" i="51" s="1"/>
  <c r="L283" i="51"/>
  <c r="M283" i="51" s="1"/>
  <c r="L281" i="51"/>
  <c r="M281" i="51" s="1"/>
  <c r="L276" i="51"/>
  <c r="M276" i="51" s="1"/>
  <c r="L266" i="51"/>
  <c r="M266" i="51" s="1"/>
  <c r="L249" i="51"/>
  <c r="M249" i="51" s="1"/>
  <c r="L239" i="51"/>
  <c r="M239" i="51" s="1"/>
  <c r="L235" i="51"/>
  <c r="M235" i="51" s="1"/>
  <c r="L234" i="51"/>
  <c r="M234" i="51" s="1"/>
  <c r="L229" i="51"/>
  <c r="M229" i="51" s="1"/>
  <c r="L219" i="51"/>
  <c r="M219" i="51" s="1"/>
  <c r="L294" i="51"/>
  <c r="M294" i="51" s="1"/>
  <c r="L290" i="51"/>
  <c r="M290" i="51" s="1"/>
  <c r="L286" i="51"/>
  <c r="M286" i="51" s="1"/>
  <c r="L282" i="51"/>
  <c r="M282" i="51" s="1"/>
  <c r="L280" i="51"/>
  <c r="M280" i="51" s="1"/>
  <c r="L262" i="51"/>
  <c r="M262" i="51" s="1"/>
  <c r="L259" i="51"/>
  <c r="M259" i="51" s="1"/>
  <c r="L311" i="51"/>
  <c r="M311" i="51" s="1"/>
  <c r="L296" i="51"/>
  <c r="M296" i="51" s="1"/>
  <c r="L292" i="51"/>
  <c r="M292" i="51" s="1"/>
  <c r="L288" i="51"/>
  <c r="M288" i="51" s="1"/>
  <c r="L284" i="51"/>
  <c r="M284" i="51" s="1"/>
  <c r="L278" i="51"/>
  <c r="M278" i="51" s="1"/>
  <c r="L246" i="51"/>
  <c r="M246" i="51" s="1"/>
  <c r="L252" i="51"/>
  <c r="M252" i="51" s="1"/>
  <c r="L233" i="51"/>
  <c r="M233" i="51" s="1"/>
  <c r="L227" i="51"/>
  <c r="M227" i="51" s="1"/>
  <c r="L221" i="51"/>
  <c r="M221" i="51" s="1"/>
  <c r="L208" i="51"/>
  <c r="M208" i="51" s="1"/>
  <c r="L244" i="51"/>
  <c r="M244" i="51" s="1"/>
  <c r="L223" i="51"/>
  <c r="M223" i="51" s="1"/>
  <c r="L222" i="51"/>
  <c r="M222" i="51" s="1"/>
  <c r="L207" i="51"/>
  <c r="M207" i="51" s="1"/>
  <c r="L194" i="51"/>
  <c r="M194" i="51" s="1"/>
  <c r="L226" i="51"/>
  <c r="M226" i="51" s="1"/>
  <c r="L198" i="51"/>
  <c r="M198" i="51" s="1"/>
  <c r="L188" i="51"/>
  <c r="M188" i="51" s="1"/>
  <c r="L205" i="51"/>
  <c r="M205" i="51" s="1"/>
  <c r="L195" i="51"/>
  <c r="M195" i="51" s="1"/>
  <c r="L187" i="51"/>
  <c r="M187" i="51" s="1"/>
  <c r="L186" i="51"/>
  <c r="M186" i="51" s="1"/>
  <c r="L184" i="51"/>
  <c r="M184" i="51" s="1"/>
  <c r="L180" i="51"/>
  <c r="M180" i="51" s="1"/>
  <c r="L171" i="51"/>
  <c r="M171" i="51" s="1"/>
  <c r="L170" i="51"/>
  <c r="M170" i="51" s="1"/>
  <c r="L168" i="51"/>
  <c r="M168" i="51" s="1"/>
  <c r="L143" i="51"/>
  <c r="M143" i="51" s="1"/>
  <c r="L183" i="51"/>
  <c r="M183" i="51" s="1"/>
  <c r="L179" i="51"/>
  <c r="M179" i="51" s="1"/>
  <c r="L177" i="51"/>
  <c r="M177" i="51" s="1"/>
  <c r="L176" i="51"/>
  <c r="M176" i="51" s="1"/>
  <c r="L175" i="51"/>
  <c r="M175" i="51" s="1"/>
  <c r="L196" i="51"/>
  <c r="M196" i="51" s="1"/>
  <c r="L190" i="51"/>
  <c r="M190" i="51" s="1"/>
  <c r="L182" i="51"/>
  <c r="M182" i="51" s="1"/>
  <c r="L178" i="51"/>
  <c r="M178" i="51" s="1"/>
  <c r="L174" i="51"/>
  <c r="M174" i="51" s="1"/>
  <c r="L172" i="51"/>
  <c r="M172" i="51" s="1"/>
  <c r="L192" i="51"/>
  <c r="M192" i="51" s="1"/>
  <c r="L185" i="51"/>
  <c r="M185" i="51" s="1"/>
  <c r="L101" i="51"/>
  <c r="M101" i="51" s="1"/>
  <c r="L80" i="51"/>
  <c r="M80" i="51" s="1"/>
  <c r="L66" i="51"/>
  <c r="M66" i="51" s="1"/>
  <c r="L181" i="51"/>
  <c r="M181" i="51" s="1"/>
  <c r="L142" i="51"/>
  <c r="M142" i="51" s="1"/>
  <c r="L141" i="51"/>
  <c r="M141" i="51" s="1"/>
  <c r="L104" i="51"/>
  <c r="M104" i="51" s="1"/>
  <c r="L100" i="51"/>
  <c r="M100" i="51" s="1"/>
  <c r="L93" i="51"/>
  <c r="M93" i="51" s="1"/>
  <c r="L92" i="51"/>
  <c r="M92" i="51" s="1"/>
  <c r="L91" i="51"/>
  <c r="M91" i="51" s="1"/>
  <c r="L90" i="51"/>
  <c r="M90" i="51" s="1"/>
  <c r="L89" i="51"/>
  <c r="M89" i="51" s="1"/>
  <c r="L88" i="51"/>
  <c r="M88" i="51" s="1"/>
  <c r="L87" i="51"/>
  <c r="M87" i="51" s="1"/>
  <c r="L86" i="51"/>
  <c r="M86" i="51" s="1"/>
  <c r="L85" i="51"/>
  <c r="M85" i="51" s="1"/>
  <c r="L84" i="51"/>
  <c r="M84" i="51" s="1"/>
  <c r="L83" i="51"/>
  <c r="M83" i="51" s="1"/>
  <c r="L82" i="51"/>
  <c r="M82" i="51" s="1"/>
  <c r="L73" i="51"/>
  <c r="M73" i="51" s="1"/>
  <c r="L72" i="51"/>
  <c r="M72" i="51" s="1"/>
  <c r="L71" i="51"/>
  <c r="M71" i="51" s="1"/>
  <c r="L70" i="51"/>
  <c r="M70" i="51" s="1"/>
  <c r="L69" i="51"/>
  <c r="M69" i="51" s="1"/>
  <c r="L191" i="51"/>
  <c r="M191" i="51" s="1"/>
  <c r="L140" i="51"/>
  <c r="M140" i="51" s="1"/>
  <c r="L139" i="51"/>
  <c r="M139" i="51" s="1"/>
  <c r="L138" i="51"/>
  <c r="M138" i="51" s="1"/>
  <c r="L137" i="51"/>
  <c r="M137" i="51" s="1"/>
  <c r="L103" i="51"/>
  <c r="M103" i="51" s="1"/>
  <c r="L99" i="51"/>
  <c r="M99" i="51" s="1"/>
  <c r="L135" i="51"/>
  <c r="M135" i="51" s="1"/>
  <c r="L133" i="51"/>
  <c r="M133" i="51" s="1"/>
  <c r="L131" i="51"/>
  <c r="M131" i="51" s="1"/>
  <c r="L129" i="51"/>
  <c r="M129" i="51" s="1"/>
  <c r="L127" i="51"/>
  <c r="M127" i="51" s="1"/>
  <c r="L125" i="51"/>
  <c r="M125" i="51" s="1"/>
  <c r="L121" i="51"/>
  <c r="M121" i="51" s="1"/>
  <c r="L117" i="51"/>
  <c r="M117" i="51" s="1"/>
  <c r="L113" i="51"/>
  <c r="M113" i="51" s="1"/>
  <c r="L109" i="51"/>
  <c r="M109" i="51" s="1"/>
  <c r="L105" i="51"/>
  <c r="M105" i="51" s="1"/>
  <c r="L102" i="51"/>
  <c r="M102" i="51" s="1"/>
  <c r="L65" i="51"/>
  <c r="M65" i="51" s="1"/>
  <c r="L64" i="51"/>
  <c r="M64" i="51" s="1"/>
  <c r="L63" i="51"/>
  <c r="M63" i="51" s="1"/>
  <c r="L62" i="51"/>
  <c r="M62" i="51" s="1"/>
  <c r="L55" i="51"/>
  <c r="M55" i="51" s="1"/>
  <c r="L54" i="51"/>
  <c r="M54" i="51" s="1"/>
  <c r="L53" i="51"/>
  <c r="M53" i="51" s="1"/>
  <c r="L37" i="51"/>
  <c r="M37" i="51" s="1"/>
  <c r="L36" i="51"/>
  <c r="M36" i="51" s="1"/>
  <c r="L35" i="51"/>
  <c r="M35" i="51" s="1"/>
  <c r="L34" i="51"/>
  <c r="M34" i="51" s="1"/>
  <c r="L33" i="51"/>
  <c r="M33" i="51" s="1"/>
  <c r="L32" i="51"/>
  <c r="M32" i="51" s="1"/>
  <c r="L31" i="51"/>
  <c r="M31" i="51" s="1"/>
  <c r="L30" i="51"/>
  <c r="M30" i="51" s="1"/>
  <c r="L29" i="51"/>
  <c r="M29" i="51" s="1"/>
  <c r="L28" i="51"/>
  <c r="M28" i="51" s="1"/>
  <c r="L27" i="51"/>
  <c r="M27" i="51" s="1"/>
  <c r="L26" i="51"/>
  <c r="M26" i="51" s="1"/>
  <c r="L25" i="51"/>
  <c r="M25" i="51" s="1"/>
  <c r="L24" i="51"/>
  <c r="M24" i="51" s="1"/>
  <c r="L23" i="51"/>
  <c r="M23" i="51" s="1"/>
  <c r="L22" i="51"/>
  <c r="M22" i="51" s="1"/>
  <c r="L21" i="51"/>
  <c r="M21" i="51" s="1"/>
  <c r="L20" i="51"/>
  <c r="M20" i="51" s="1"/>
  <c r="L19" i="51"/>
  <c r="M19" i="51" s="1"/>
  <c r="L18" i="51"/>
  <c r="M18" i="51" s="1"/>
  <c r="L17" i="51"/>
  <c r="M17" i="51" s="1"/>
  <c r="L16" i="51"/>
  <c r="M16" i="51" s="1"/>
  <c r="L15" i="51"/>
  <c r="M15" i="51" s="1"/>
  <c r="L124" i="51"/>
  <c r="M124" i="51" s="1"/>
  <c r="L120" i="51"/>
  <c r="M120" i="51" s="1"/>
  <c r="L116" i="51"/>
  <c r="M116" i="51" s="1"/>
  <c r="L112" i="51"/>
  <c r="M112" i="51" s="1"/>
  <c r="L108" i="51"/>
  <c r="M108" i="51" s="1"/>
  <c r="L68" i="51"/>
  <c r="M68" i="51" s="1"/>
  <c r="L61" i="51"/>
  <c r="M61" i="51" s="1"/>
  <c r="L60" i="51"/>
  <c r="M60" i="51" s="1"/>
  <c r="L14" i="51"/>
  <c r="M14" i="51" s="1"/>
  <c r="L13" i="51"/>
  <c r="M13" i="51" s="1"/>
  <c r="L12" i="51"/>
  <c r="M12" i="51" s="1"/>
  <c r="L11" i="51"/>
  <c r="M11" i="51" s="1"/>
  <c r="L10" i="51"/>
  <c r="M10" i="51" s="1"/>
  <c r="L136" i="51"/>
  <c r="M136" i="51" s="1"/>
  <c r="L134" i="51"/>
  <c r="M134" i="51" s="1"/>
  <c r="L132" i="51"/>
  <c r="M132" i="51" s="1"/>
  <c r="L130" i="51"/>
  <c r="M130" i="51" s="1"/>
  <c r="L128" i="51"/>
  <c r="M128" i="51" s="1"/>
  <c r="L123" i="51"/>
  <c r="M123" i="51" s="1"/>
  <c r="L119" i="51"/>
  <c r="M119" i="51" s="1"/>
  <c r="L115" i="51"/>
  <c r="M115" i="51" s="1"/>
  <c r="L111" i="51"/>
  <c r="M111" i="51" s="1"/>
  <c r="L107" i="51"/>
  <c r="M107" i="51" s="1"/>
  <c r="L81" i="51"/>
  <c r="M81" i="51" s="1"/>
  <c r="L67" i="51"/>
  <c r="M67" i="51" s="1"/>
  <c r="L59" i="51"/>
  <c r="M59" i="51" s="1"/>
  <c r="L58" i="51"/>
  <c r="M58" i="51" s="1"/>
  <c r="L57" i="51"/>
  <c r="M57" i="51" s="1"/>
  <c r="L52" i="51"/>
  <c r="M52" i="51" s="1"/>
  <c r="L51" i="51"/>
  <c r="M51" i="51" s="1"/>
  <c r="AF308" i="51"/>
  <c r="AG308" i="51" s="1"/>
  <c r="AH308" i="51" s="1"/>
  <c r="AI308" i="51" s="1"/>
  <c r="AF307" i="51"/>
  <c r="AG307" i="51" s="1"/>
  <c r="AH307" i="51" s="1"/>
  <c r="AI307" i="51" s="1"/>
  <c r="AF306" i="51"/>
  <c r="AG306" i="51" s="1"/>
  <c r="AH306" i="51" s="1"/>
  <c r="AI306" i="51" s="1"/>
  <c r="AF305" i="51"/>
  <c r="AG305" i="51" s="1"/>
  <c r="AH305" i="51" s="1"/>
  <c r="AI305" i="51" s="1"/>
  <c r="AF304" i="51"/>
  <c r="AG304" i="51" s="1"/>
  <c r="AH304" i="51" s="1"/>
  <c r="AI304" i="51" s="1"/>
  <c r="AF303" i="51"/>
  <c r="AG303" i="51" s="1"/>
  <c r="AH303" i="51" s="1"/>
  <c r="AI303" i="51" s="1"/>
  <c r="AF302" i="51"/>
  <c r="AG302" i="51" s="1"/>
  <c r="AH302" i="51" s="1"/>
  <c r="AI302" i="51" s="1"/>
  <c r="AF301" i="51"/>
  <c r="AG301" i="51" s="1"/>
  <c r="AH301" i="51" s="1"/>
  <c r="AI301" i="51" s="1"/>
  <c r="AF300" i="51"/>
  <c r="AG300" i="51" s="1"/>
  <c r="AH300" i="51" s="1"/>
  <c r="AI300" i="51" s="1"/>
  <c r="AF299" i="51"/>
  <c r="AG299" i="51" s="1"/>
  <c r="AH299" i="51" s="1"/>
  <c r="AI299" i="51" s="1"/>
  <c r="AF298" i="51"/>
  <c r="AG298" i="51" s="1"/>
  <c r="AH298" i="51" s="1"/>
  <c r="AI298" i="51" s="1"/>
  <c r="AF297" i="51"/>
  <c r="AG297" i="51" s="1"/>
  <c r="AH297" i="51" s="1"/>
  <c r="AI297" i="51" s="1"/>
  <c r="AF315" i="51"/>
  <c r="AG315" i="51" s="1"/>
  <c r="AH315" i="51" s="1"/>
  <c r="AI315" i="51" s="1"/>
  <c r="AF311" i="51"/>
  <c r="AG311" i="51" s="1"/>
  <c r="AH311" i="51" s="1"/>
  <c r="AI311" i="51" s="1"/>
  <c r="AF314" i="51"/>
  <c r="AG314" i="51" s="1"/>
  <c r="AH314" i="51" s="1"/>
  <c r="AI314" i="51" s="1"/>
  <c r="AF313" i="51"/>
  <c r="AG313" i="51" s="1"/>
  <c r="AH313" i="51" s="1"/>
  <c r="AI313" i="51" s="1"/>
  <c r="AF279" i="51"/>
  <c r="AG279" i="51" s="1"/>
  <c r="AH279" i="51" s="1"/>
  <c r="AI279" i="51" s="1"/>
  <c r="AF275" i="51"/>
  <c r="AG275" i="51" s="1"/>
  <c r="AH275" i="51" s="1"/>
  <c r="AI275" i="51" s="1"/>
  <c r="AF270" i="51"/>
  <c r="AG270" i="51" s="1"/>
  <c r="AH270" i="51" s="1"/>
  <c r="AI270" i="51" s="1"/>
  <c r="AF269" i="51"/>
  <c r="AG269" i="51" s="1"/>
  <c r="AH269" i="51" s="1"/>
  <c r="AI269" i="51" s="1"/>
  <c r="AF268" i="51"/>
  <c r="AG268" i="51" s="1"/>
  <c r="AH268" i="51" s="1"/>
  <c r="AI268" i="51" s="1"/>
  <c r="AF254" i="51"/>
  <c r="AG254" i="51" s="1"/>
  <c r="AH254" i="51" s="1"/>
  <c r="AI254" i="51" s="1"/>
  <c r="AF253" i="51"/>
  <c r="AG253" i="51" s="1"/>
  <c r="AH253" i="51" s="1"/>
  <c r="AI253" i="51" s="1"/>
  <c r="AF278" i="51"/>
  <c r="AG278" i="51" s="1"/>
  <c r="AH278" i="51" s="1"/>
  <c r="AI278" i="51" s="1"/>
  <c r="AF276" i="51"/>
  <c r="AG276" i="51" s="1"/>
  <c r="AH276" i="51" s="1"/>
  <c r="AI276" i="51" s="1"/>
  <c r="AF266" i="51"/>
  <c r="AG266" i="51" s="1"/>
  <c r="AH266" i="51" s="1"/>
  <c r="AI266" i="51" s="1"/>
  <c r="AF265" i="51"/>
  <c r="AG265" i="51" s="1"/>
  <c r="AH265" i="51" s="1"/>
  <c r="AI265" i="51" s="1"/>
  <c r="AF264" i="51"/>
  <c r="AG264" i="51" s="1"/>
  <c r="AH264" i="51" s="1"/>
  <c r="AI264" i="51" s="1"/>
  <c r="AF260" i="51"/>
  <c r="AG260" i="51" s="1"/>
  <c r="AH260" i="51" s="1"/>
  <c r="AI260" i="51" s="1"/>
  <c r="AF256" i="51"/>
  <c r="AG256" i="51" s="1"/>
  <c r="AH256" i="51" s="1"/>
  <c r="AI256" i="51" s="1"/>
  <c r="AF236" i="51"/>
  <c r="AG236" i="51" s="1"/>
  <c r="AH236" i="51" s="1"/>
  <c r="AI236" i="51" s="1"/>
  <c r="AF310" i="51"/>
  <c r="AG310" i="51" s="1"/>
  <c r="AH310" i="51" s="1"/>
  <c r="AI310" i="51" s="1"/>
  <c r="AF296" i="51"/>
  <c r="AG296" i="51" s="1"/>
  <c r="AH296" i="51" s="1"/>
  <c r="AI296" i="51" s="1"/>
  <c r="AF295" i="51"/>
  <c r="AG295" i="51" s="1"/>
  <c r="AH295" i="51" s="1"/>
  <c r="AI295" i="51" s="1"/>
  <c r="AF294" i="51"/>
  <c r="AG294" i="51" s="1"/>
  <c r="AH294" i="51" s="1"/>
  <c r="AI294" i="51" s="1"/>
  <c r="AF293" i="51"/>
  <c r="AG293" i="51" s="1"/>
  <c r="AH293" i="51" s="1"/>
  <c r="AI293" i="51" s="1"/>
  <c r="AF292" i="51"/>
  <c r="AG292" i="51" s="1"/>
  <c r="AH292" i="51" s="1"/>
  <c r="AI292" i="51" s="1"/>
  <c r="AF291" i="51"/>
  <c r="AG291" i="51" s="1"/>
  <c r="AH291" i="51" s="1"/>
  <c r="AI291" i="51" s="1"/>
  <c r="AF290" i="51"/>
  <c r="AG290" i="51" s="1"/>
  <c r="AH290" i="51" s="1"/>
  <c r="AI290" i="51" s="1"/>
  <c r="AF289" i="51"/>
  <c r="AG289" i="51" s="1"/>
  <c r="AH289" i="51" s="1"/>
  <c r="AI289" i="51" s="1"/>
  <c r="AF288" i="51"/>
  <c r="AG288" i="51" s="1"/>
  <c r="AH288" i="51" s="1"/>
  <c r="AI288" i="51" s="1"/>
  <c r="AF287" i="51"/>
  <c r="AG287" i="51" s="1"/>
  <c r="AH287" i="51" s="1"/>
  <c r="AI287" i="51" s="1"/>
  <c r="AF286" i="51"/>
  <c r="AG286" i="51" s="1"/>
  <c r="AH286" i="51" s="1"/>
  <c r="AI286" i="51" s="1"/>
  <c r="AF285" i="51"/>
  <c r="AG285" i="51" s="1"/>
  <c r="AH285" i="51" s="1"/>
  <c r="AI285" i="51" s="1"/>
  <c r="AF284" i="51"/>
  <c r="AG284" i="51" s="1"/>
  <c r="AH284" i="51" s="1"/>
  <c r="AI284" i="51" s="1"/>
  <c r="AF283" i="51"/>
  <c r="AG283" i="51" s="1"/>
  <c r="AH283" i="51" s="1"/>
  <c r="AI283" i="51" s="1"/>
  <c r="AF282" i="51"/>
  <c r="AG282" i="51" s="1"/>
  <c r="AH282" i="51" s="1"/>
  <c r="AI282" i="51" s="1"/>
  <c r="AF281" i="51"/>
  <c r="AG281" i="51" s="1"/>
  <c r="AH281" i="51" s="1"/>
  <c r="AI281" i="51" s="1"/>
  <c r="AF274" i="51"/>
  <c r="AG274" i="51" s="1"/>
  <c r="AH274" i="51" s="1"/>
  <c r="AI274" i="51" s="1"/>
  <c r="AF262" i="51"/>
  <c r="AG262" i="51" s="1"/>
  <c r="AH262" i="51" s="1"/>
  <c r="AI262" i="51" s="1"/>
  <c r="AF249" i="51"/>
  <c r="AG249" i="51" s="1"/>
  <c r="AH249" i="51" s="1"/>
  <c r="AI249" i="51" s="1"/>
  <c r="AF245" i="51"/>
  <c r="AG245" i="51" s="1"/>
  <c r="AH245" i="51" s="1"/>
  <c r="AI245" i="51" s="1"/>
  <c r="AF241" i="51"/>
  <c r="AG241" i="51" s="1"/>
  <c r="AH241" i="51" s="1"/>
  <c r="AI241" i="51" s="1"/>
  <c r="AF240" i="51"/>
  <c r="AG240" i="51" s="1"/>
  <c r="AH240" i="51" s="1"/>
  <c r="AI240" i="51" s="1"/>
  <c r="AF218" i="51"/>
  <c r="AG218" i="51" s="1"/>
  <c r="AH218" i="51" s="1"/>
  <c r="AI218" i="51" s="1"/>
  <c r="AF217" i="51"/>
  <c r="AG217" i="51" s="1"/>
  <c r="AH217" i="51" s="1"/>
  <c r="AI217" i="51" s="1"/>
  <c r="AF216" i="51"/>
  <c r="AG216" i="51" s="1"/>
  <c r="AH216" i="51" s="1"/>
  <c r="AI216" i="51" s="1"/>
  <c r="AF215" i="51"/>
  <c r="AG215" i="51" s="1"/>
  <c r="AH215" i="51" s="1"/>
  <c r="AI215" i="51" s="1"/>
  <c r="AF214" i="51"/>
  <c r="AG214" i="51" s="1"/>
  <c r="AH214" i="51" s="1"/>
  <c r="AI214" i="51" s="1"/>
  <c r="AF213" i="51"/>
  <c r="AG213" i="51" s="1"/>
  <c r="AH213" i="51" s="1"/>
  <c r="AI213" i="51" s="1"/>
  <c r="AF200" i="51"/>
  <c r="AG200" i="51" s="1"/>
  <c r="AH200" i="51" s="1"/>
  <c r="AI200" i="51" s="1"/>
  <c r="AF199" i="51"/>
  <c r="AG199" i="51" s="1"/>
  <c r="AH199" i="51" s="1"/>
  <c r="AI199" i="51" s="1"/>
  <c r="AF167" i="51"/>
  <c r="AG167" i="51" s="1"/>
  <c r="AH167" i="51" s="1"/>
  <c r="AI167" i="51" s="1"/>
  <c r="AF166" i="51"/>
  <c r="AG166" i="51" s="1"/>
  <c r="AH166" i="51" s="1"/>
  <c r="AI166" i="51" s="1"/>
  <c r="AF165" i="51"/>
  <c r="AG165" i="51" s="1"/>
  <c r="AH165" i="51" s="1"/>
  <c r="AI165" i="51" s="1"/>
  <c r="AF312" i="51"/>
  <c r="AG312" i="51" s="1"/>
  <c r="AH312" i="51" s="1"/>
  <c r="AI312" i="51" s="1"/>
  <c r="AF280" i="51"/>
  <c r="AG280" i="51" s="1"/>
  <c r="AH280" i="51" s="1"/>
  <c r="AI280" i="51" s="1"/>
  <c r="AF277" i="51"/>
  <c r="AG277" i="51" s="1"/>
  <c r="AH277" i="51" s="1"/>
  <c r="AI277" i="51" s="1"/>
  <c r="AF255" i="51"/>
  <c r="AG255" i="51" s="1"/>
  <c r="AH255" i="51" s="1"/>
  <c r="AI255" i="51" s="1"/>
  <c r="AF252" i="51"/>
  <c r="AG252" i="51" s="1"/>
  <c r="AH252" i="51" s="1"/>
  <c r="AI252" i="51" s="1"/>
  <c r="AF251" i="51"/>
  <c r="AG251" i="51" s="1"/>
  <c r="AH251" i="51" s="1"/>
  <c r="AI251" i="51" s="1"/>
  <c r="AF234" i="51"/>
  <c r="AG234" i="51" s="1"/>
  <c r="AH234" i="51" s="1"/>
  <c r="AI234" i="51" s="1"/>
  <c r="AF230" i="51"/>
  <c r="AG230" i="51" s="1"/>
  <c r="AH230" i="51" s="1"/>
  <c r="AI230" i="51" s="1"/>
  <c r="AF226" i="51"/>
  <c r="AG226" i="51" s="1"/>
  <c r="AH226" i="51" s="1"/>
  <c r="AI226" i="51" s="1"/>
  <c r="AF222" i="51"/>
  <c r="AG222" i="51" s="1"/>
  <c r="AH222" i="51" s="1"/>
  <c r="AI222" i="51" s="1"/>
  <c r="AF206" i="51"/>
  <c r="AG206" i="51" s="1"/>
  <c r="AH206" i="51" s="1"/>
  <c r="AI206" i="51" s="1"/>
  <c r="AF202" i="51"/>
  <c r="AG202" i="51" s="1"/>
  <c r="AH202" i="51" s="1"/>
  <c r="AI202" i="51" s="1"/>
  <c r="AF187" i="51"/>
  <c r="AG187" i="51" s="1"/>
  <c r="AH187" i="51" s="1"/>
  <c r="AI187" i="51" s="1"/>
  <c r="AF186" i="51"/>
  <c r="AG186" i="51" s="1"/>
  <c r="AH186" i="51" s="1"/>
  <c r="AI186" i="51" s="1"/>
  <c r="AF173" i="51"/>
  <c r="AG173" i="51" s="1"/>
  <c r="AH173" i="51" s="1"/>
  <c r="AI173" i="51" s="1"/>
  <c r="AF169" i="51"/>
  <c r="AG169" i="51" s="1"/>
  <c r="AH169" i="51" s="1"/>
  <c r="AI169" i="51" s="1"/>
  <c r="AF164" i="51"/>
  <c r="AG164" i="51" s="1"/>
  <c r="AH164" i="51" s="1"/>
  <c r="AI164" i="51" s="1"/>
  <c r="AF163" i="51"/>
  <c r="AG163" i="51" s="1"/>
  <c r="AH163" i="51" s="1"/>
  <c r="AI163" i="51" s="1"/>
  <c r="AF162" i="51"/>
  <c r="AG162" i="51" s="1"/>
  <c r="AH162" i="51" s="1"/>
  <c r="AI162" i="51" s="1"/>
  <c r="AF161" i="51"/>
  <c r="AG161" i="51" s="1"/>
  <c r="AH161" i="51" s="1"/>
  <c r="AI161" i="51" s="1"/>
  <c r="AF160" i="51"/>
  <c r="AG160" i="51" s="1"/>
  <c r="AH160" i="51" s="1"/>
  <c r="AI160" i="51" s="1"/>
  <c r="AF159" i="51"/>
  <c r="AG159" i="51" s="1"/>
  <c r="AH159" i="51" s="1"/>
  <c r="AI159" i="51" s="1"/>
  <c r="AF158" i="51"/>
  <c r="AG158" i="51" s="1"/>
  <c r="AH158" i="51" s="1"/>
  <c r="AI158" i="51" s="1"/>
  <c r="AF157" i="51"/>
  <c r="AG157" i="51" s="1"/>
  <c r="AH157" i="51" s="1"/>
  <c r="AI157" i="51" s="1"/>
  <c r="AF156" i="51"/>
  <c r="AG156" i="51" s="1"/>
  <c r="AH156" i="51" s="1"/>
  <c r="AI156" i="51" s="1"/>
  <c r="AF155" i="51"/>
  <c r="AG155" i="51" s="1"/>
  <c r="AH155" i="51" s="1"/>
  <c r="AI155" i="51" s="1"/>
  <c r="AF154" i="51"/>
  <c r="AG154" i="51" s="1"/>
  <c r="AH154" i="51" s="1"/>
  <c r="AI154" i="51" s="1"/>
  <c r="AF153" i="51"/>
  <c r="AG153" i="51" s="1"/>
  <c r="AH153" i="51" s="1"/>
  <c r="AI153" i="51" s="1"/>
  <c r="AF152" i="51"/>
  <c r="AG152" i="51" s="1"/>
  <c r="AH152" i="51" s="1"/>
  <c r="AI152" i="51" s="1"/>
  <c r="AF151" i="51"/>
  <c r="AG151" i="51" s="1"/>
  <c r="AH151" i="51" s="1"/>
  <c r="AI151" i="51" s="1"/>
  <c r="AF150" i="51"/>
  <c r="AG150" i="51" s="1"/>
  <c r="AH150" i="51" s="1"/>
  <c r="AI150" i="51" s="1"/>
  <c r="AF149" i="51"/>
  <c r="AG149" i="51" s="1"/>
  <c r="AH149" i="51" s="1"/>
  <c r="AI149" i="51" s="1"/>
  <c r="AF98" i="51"/>
  <c r="AG98" i="51" s="1"/>
  <c r="AH98" i="51" s="1"/>
  <c r="AI98" i="51" s="1"/>
  <c r="AF97" i="51"/>
  <c r="AG97" i="51" s="1"/>
  <c r="AH97" i="51" s="1"/>
  <c r="AI97" i="51" s="1"/>
  <c r="AF96" i="51"/>
  <c r="AG96" i="51" s="1"/>
  <c r="AH96" i="51" s="1"/>
  <c r="AI96" i="51" s="1"/>
  <c r="AF95" i="51"/>
  <c r="AG95" i="51" s="1"/>
  <c r="AH95" i="51" s="1"/>
  <c r="AI95" i="51" s="1"/>
  <c r="AF94" i="51"/>
  <c r="AG94" i="51" s="1"/>
  <c r="AH94" i="51" s="1"/>
  <c r="AI94" i="51" s="1"/>
  <c r="AF79" i="51"/>
  <c r="AG79" i="51" s="1"/>
  <c r="AH79" i="51" s="1"/>
  <c r="AI79" i="51" s="1"/>
  <c r="AF78" i="51"/>
  <c r="AG78" i="51" s="1"/>
  <c r="AH78" i="51" s="1"/>
  <c r="AI78" i="51" s="1"/>
  <c r="AF77" i="51"/>
  <c r="AG77" i="51" s="1"/>
  <c r="AH77" i="51" s="1"/>
  <c r="AI77" i="51" s="1"/>
  <c r="AF76" i="51"/>
  <c r="AG76" i="51" s="1"/>
  <c r="AH76" i="51" s="1"/>
  <c r="AI76" i="51" s="1"/>
  <c r="AF75" i="51"/>
  <c r="AG75" i="51" s="1"/>
  <c r="AH75" i="51" s="1"/>
  <c r="AI75" i="51" s="1"/>
  <c r="AF74" i="51"/>
  <c r="AG74" i="51" s="1"/>
  <c r="AH74" i="51" s="1"/>
  <c r="AI74" i="51" s="1"/>
  <c r="AF309" i="51"/>
  <c r="AG309" i="51" s="1"/>
  <c r="AH309" i="51" s="1"/>
  <c r="AI309" i="51" s="1"/>
  <c r="AF267" i="51"/>
  <c r="AG267" i="51" s="1"/>
  <c r="AH267" i="51" s="1"/>
  <c r="AI267" i="51" s="1"/>
  <c r="AF259" i="51"/>
  <c r="AG259" i="51" s="1"/>
  <c r="AH259" i="51" s="1"/>
  <c r="AI259" i="51" s="1"/>
  <c r="AF247" i="51"/>
  <c r="AG247" i="51" s="1"/>
  <c r="AH247" i="51" s="1"/>
  <c r="AI247" i="51" s="1"/>
  <c r="AF246" i="51"/>
  <c r="AG246" i="51" s="1"/>
  <c r="AH246" i="51" s="1"/>
  <c r="AI246" i="51" s="1"/>
  <c r="AF243" i="51"/>
  <c r="AG243" i="51" s="1"/>
  <c r="AH243" i="51" s="1"/>
  <c r="AI243" i="51" s="1"/>
  <c r="AF231" i="51"/>
  <c r="AG231" i="51" s="1"/>
  <c r="AH231" i="51" s="1"/>
  <c r="AI231" i="51" s="1"/>
  <c r="AF229" i="51"/>
  <c r="AG229" i="51" s="1"/>
  <c r="AH229" i="51" s="1"/>
  <c r="AI229" i="51" s="1"/>
  <c r="AF228" i="51"/>
  <c r="AG228" i="51" s="1"/>
  <c r="AH228" i="51" s="1"/>
  <c r="AI228" i="51" s="1"/>
  <c r="AF219" i="51"/>
  <c r="AG219" i="51" s="1"/>
  <c r="AH219" i="51" s="1"/>
  <c r="AI219" i="51" s="1"/>
  <c r="AF212" i="51"/>
  <c r="AG212" i="51" s="1"/>
  <c r="AH212" i="51" s="1"/>
  <c r="AI212" i="51" s="1"/>
  <c r="AF208" i="51"/>
  <c r="AG208" i="51" s="1"/>
  <c r="AH208" i="51" s="1"/>
  <c r="AI208" i="51" s="1"/>
  <c r="AF195" i="51"/>
  <c r="AG195" i="51" s="1"/>
  <c r="AH195" i="51" s="1"/>
  <c r="AI195" i="51" s="1"/>
  <c r="AF191" i="51"/>
  <c r="AG191" i="51" s="1"/>
  <c r="AH191" i="51" s="1"/>
  <c r="AI191" i="51" s="1"/>
  <c r="AF271" i="51"/>
  <c r="AG271" i="51" s="1"/>
  <c r="AH271" i="51" s="1"/>
  <c r="AI271" i="51" s="1"/>
  <c r="AF261" i="51"/>
  <c r="AG261" i="51" s="1"/>
  <c r="AH261" i="51" s="1"/>
  <c r="AI261" i="51" s="1"/>
  <c r="AF258" i="51"/>
  <c r="AG258" i="51" s="1"/>
  <c r="AH258" i="51" s="1"/>
  <c r="AI258" i="51" s="1"/>
  <c r="AF257" i="51"/>
  <c r="AG257" i="51" s="1"/>
  <c r="AH257" i="51" s="1"/>
  <c r="AI257" i="51" s="1"/>
  <c r="AF250" i="51"/>
  <c r="AG250" i="51" s="1"/>
  <c r="AH250" i="51" s="1"/>
  <c r="AI250" i="51" s="1"/>
  <c r="AF242" i="51"/>
  <c r="AG242" i="51" s="1"/>
  <c r="AH242" i="51" s="1"/>
  <c r="AI242" i="51" s="1"/>
  <c r="AF239" i="51"/>
  <c r="AG239" i="51" s="1"/>
  <c r="AH239" i="51" s="1"/>
  <c r="AI239" i="51" s="1"/>
  <c r="AF238" i="51"/>
  <c r="AG238" i="51" s="1"/>
  <c r="AH238" i="51" s="1"/>
  <c r="AI238" i="51" s="1"/>
  <c r="AF237" i="51"/>
  <c r="AG237" i="51" s="1"/>
  <c r="AH237" i="51" s="1"/>
  <c r="AI237" i="51" s="1"/>
  <c r="AF235" i="51"/>
  <c r="AG235" i="51" s="1"/>
  <c r="AH235" i="51" s="1"/>
  <c r="AI235" i="51" s="1"/>
  <c r="AF233" i="51"/>
  <c r="AG233" i="51" s="1"/>
  <c r="AH233" i="51" s="1"/>
  <c r="AI233" i="51" s="1"/>
  <c r="AF232" i="51"/>
  <c r="AG232" i="51" s="1"/>
  <c r="AH232" i="51" s="1"/>
  <c r="AI232" i="51" s="1"/>
  <c r="AF209" i="51"/>
  <c r="AG209" i="51" s="1"/>
  <c r="AH209" i="51" s="1"/>
  <c r="AI209" i="51" s="1"/>
  <c r="AF207" i="51"/>
  <c r="AG207" i="51" s="1"/>
  <c r="AH207" i="51" s="1"/>
  <c r="AI207" i="51" s="1"/>
  <c r="AF272" i="51"/>
  <c r="AG272" i="51" s="1"/>
  <c r="AH272" i="51" s="1"/>
  <c r="AI272" i="51" s="1"/>
  <c r="AF248" i="51"/>
  <c r="AG248" i="51" s="1"/>
  <c r="AH248" i="51" s="1"/>
  <c r="AI248" i="51" s="1"/>
  <c r="AF263" i="51"/>
  <c r="AG263" i="51" s="1"/>
  <c r="AH263" i="51" s="1"/>
  <c r="AI263" i="51" s="1"/>
  <c r="AF221" i="51"/>
  <c r="AG221" i="51" s="1"/>
  <c r="AH221" i="51" s="1"/>
  <c r="AI221" i="51" s="1"/>
  <c r="AF204" i="51"/>
  <c r="AG204" i="51" s="1"/>
  <c r="AH204" i="51" s="1"/>
  <c r="AI204" i="51" s="1"/>
  <c r="AF203" i="51"/>
  <c r="AG203" i="51" s="1"/>
  <c r="AH203" i="51" s="1"/>
  <c r="AI203" i="51" s="1"/>
  <c r="AF225" i="51"/>
  <c r="AG225" i="51" s="1"/>
  <c r="AH225" i="51" s="1"/>
  <c r="AI225" i="51" s="1"/>
  <c r="AF224" i="51"/>
  <c r="AG224" i="51" s="1"/>
  <c r="AH224" i="51" s="1"/>
  <c r="AI224" i="51" s="1"/>
  <c r="AF210" i="51"/>
  <c r="AG210" i="51" s="1"/>
  <c r="AH210" i="51" s="1"/>
  <c r="AI210" i="51" s="1"/>
  <c r="AF205" i="51"/>
  <c r="AG205" i="51" s="1"/>
  <c r="AH205" i="51" s="1"/>
  <c r="AI205" i="51" s="1"/>
  <c r="AF201" i="51"/>
  <c r="AG201" i="51" s="1"/>
  <c r="AH201" i="51" s="1"/>
  <c r="AI201" i="51" s="1"/>
  <c r="AF198" i="51"/>
  <c r="AG198" i="51" s="1"/>
  <c r="AH198" i="51" s="1"/>
  <c r="AI198" i="51" s="1"/>
  <c r="AF197" i="51"/>
  <c r="AG197" i="51" s="1"/>
  <c r="AH197" i="51" s="1"/>
  <c r="AI197" i="51" s="1"/>
  <c r="AF273" i="51"/>
  <c r="AG273" i="51" s="1"/>
  <c r="AH273" i="51" s="1"/>
  <c r="AI273" i="51" s="1"/>
  <c r="AF244" i="51"/>
  <c r="AG244" i="51" s="1"/>
  <c r="AH244" i="51" s="1"/>
  <c r="AI244" i="51" s="1"/>
  <c r="AF227" i="51"/>
  <c r="AG227" i="51" s="1"/>
  <c r="AH227" i="51" s="1"/>
  <c r="AI227" i="51" s="1"/>
  <c r="AF211" i="51"/>
  <c r="AG211" i="51" s="1"/>
  <c r="AH211" i="51" s="1"/>
  <c r="AI211" i="51" s="1"/>
  <c r="AF188" i="51"/>
  <c r="AG188" i="51" s="1"/>
  <c r="AH188" i="51" s="1"/>
  <c r="AI188" i="51" s="1"/>
  <c r="AF220" i="51"/>
  <c r="AG220" i="51" s="1"/>
  <c r="AH220" i="51" s="1"/>
  <c r="AI220" i="51" s="1"/>
  <c r="AF196" i="51"/>
  <c r="AG196" i="51" s="1"/>
  <c r="AH196" i="51" s="1"/>
  <c r="AI196" i="51" s="1"/>
  <c r="AF183" i="51"/>
  <c r="AG183" i="51" s="1"/>
  <c r="AH183" i="51" s="1"/>
  <c r="AI183" i="51" s="1"/>
  <c r="AF179" i="51"/>
  <c r="AG179" i="51" s="1"/>
  <c r="AH179" i="51" s="1"/>
  <c r="AI179" i="51" s="1"/>
  <c r="AF147" i="51"/>
  <c r="AG147" i="51" s="1"/>
  <c r="AH147" i="51" s="1"/>
  <c r="AI147" i="51" s="1"/>
  <c r="AF142" i="51"/>
  <c r="AG142" i="51" s="1"/>
  <c r="AH142" i="51" s="1"/>
  <c r="AI142" i="51" s="1"/>
  <c r="AF192" i="51"/>
  <c r="AG192" i="51" s="1"/>
  <c r="AH192" i="51" s="1"/>
  <c r="AI192" i="51" s="1"/>
  <c r="AF189" i="51"/>
  <c r="AG189" i="51" s="1"/>
  <c r="AH189" i="51" s="1"/>
  <c r="AI189" i="51" s="1"/>
  <c r="AF182" i="51"/>
  <c r="AG182" i="51" s="1"/>
  <c r="AH182" i="51" s="1"/>
  <c r="AI182" i="51" s="1"/>
  <c r="AF178" i="51"/>
  <c r="AG178" i="51" s="1"/>
  <c r="AH178" i="51" s="1"/>
  <c r="AI178" i="51" s="1"/>
  <c r="AF176" i="51"/>
  <c r="AG176" i="51" s="1"/>
  <c r="AH176" i="51" s="1"/>
  <c r="AI176" i="51" s="1"/>
  <c r="AF175" i="51"/>
  <c r="AG175" i="51" s="1"/>
  <c r="AH175" i="51" s="1"/>
  <c r="AI175" i="51" s="1"/>
  <c r="AF174" i="51"/>
  <c r="AG174" i="51" s="1"/>
  <c r="AH174" i="51" s="1"/>
  <c r="AI174" i="51" s="1"/>
  <c r="AF168" i="51"/>
  <c r="AG168" i="51" s="1"/>
  <c r="AH168" i="51" s="1"/>
  <c r="AI168" i="51" s="1"/>
  <c r="AF148" i="51"/>
  <c r="AG148" i="51" s="1"/>
  <c r="AH148" i="51" s="1"/>
  <c r="AI148" i="51" s="1"/>
  <c r="AF190" i="51"/>
  <c r="AG190" i="51" s="1"/>
  <c r="AH190" i="51" s="1"/>
  <c r="AI190" i="51" s="1"/>
  <c r="AF185" i="51"/>
  <c r="AG185" i="51" s="1"/>
  <c r="AH185" i="51" s="1"/>
  <c r="AI185" i="51" s="1"/>
  <c r="AF181" i="51"/>
  <c r="AG181" i="51" s="1"/>
  <c r="AH181" i="51" s="1"/>
  <c r="AI181" i="51" s="1"/>
  <c r="AF177" i="51"/>
  <c r="AG177" i="51" s="1"/>
  <c r="AH177" i="51" s="1"/>
  <c r="AI177" i="51" s="1"/>
  <c r="AF171" i="51"/>
  <c r="AG171" i="51" s="1"/>
  <c r="AH171" i="51" s="1"/>
  <c r="AI171" i="51" s="1"/>
  <c r="AF145" i="51"/>
  <c r="AG145" i="51" s="1"/>
  <c r="AH145" i="51" s="1"/>
  <c r="AI145" i="51" s="1"/>
  <c r="AF194" i="51"/>
  <c r="AG194" i="51" s="1"/>
  <c r="AH194" i="51" s="1"/>
  <c r="AI194" i="51" s="1"/>
  <c r="AF184" i="51"/>
  <c r="AG184" i="51" s="1"/>
  <c r="AH184" i="51" s="1"/>
  <c r="AI184" i="51" s="1"/>
  <c r="AF146" i="51"/>
  <c r="AG146" i="51" s="1"/>
  <c r="AH146" i="51" s="1"/>
  <c r="AI146" i="51" s="1"/>
  <c r="AF144" i="51"/>
  <c r="AG144" i="51" s="1"/>
  <c r="AH144" i="51" s="1"/>
  <c r="AI144" i="51" s="1"/>
  <c r="AF143" i="51"/>
  <c r="AG143" i="51" s="1"/>
  <c r="AH143" i="51" s="1"/>
  <c r="AI143" i="51" s="1"/>
  <c r="AF140" i="51"/>
  <c r="AG140" i="51" s="1"/>
  <c r="AH140" i="51" s="1"/>
  <c r="AI140" i="51" s="1"/>
  <c r="AF139" i="51"/>
  <c r="AG139" i="51" s="1"/>
  <c r="AH139" i="51" s="1"/>
  <c r="AI139" i="51" s="1"/>
  <c r="AF138" i="51"/>
  <c r="AG138" i="51" s="1"/>
  <c r="AH138" i="51" s="1"/>
  <c r="AI138" i="51" s="1"/>
  <c r="AF137" i="51"/>
  <c r="AG137" i="51" s="1"/>
  <c r="AH137" i="51" s="1"/>
  <c r="AI137" i="51" s="1"/>
  <c r="AF136" i="51"/>
  <c r="AG136" i="51" s="1"/>
  <c r="AH136" i="51" s="1"/>
  <c r="AI136" i="51" s="1"/>
  <c r="AF101" i="51"/>
  <c r="AG101" i="51" s="1"/>
  <c r="AH101" i="51" s="1"/>
  <c r="AI101" i="51" s="1"/>
  <c r="AF80" i="51"/>
  <c r="AG80" i="51" s="1"/>
  <c r="AH80" i="51" s="1"/>
  <c r="AI80" i="51" s="1"/>
  <c r="AF66" i="51"/>
  <c r="AG66" i="51" s="1"/>
  <c r="AH66" i="51" s="1"/>
  <c r="AI66" i="51" s="1"/>
  <c r="AF223" i="51"/>
  <c r="AG223" i="51" s="1"/>
  <c r="AH223" i="51" s="1"/>
  <c r="AI223" i="51" s="1"/>
  <c r="AF180" i="51"/>
  <c r="AG180" i="51" s="1"/>
  <c r="AH180" i="51" s="1"/>
  <c r="AI180" i="51" s="1"/>
  <c r="AF172" i="51"/>
  <c r="AG172" i="51" s="1"/>
  <c r="AH172" i="51" s="1"/>
  <c r="AI172" i="51" s="1"/>
  <c r="AF126" i="51"/>
  <c r="AG126" i="51" s="1"/>
  <c r="AH126" i="51" s="1"/>
  <c r="AI126" i="51" s="1"/>
  <c r="AF125" i="51"/>
  <c r="AG125" i="51" s="1"/>
  <c r="AH125" i="51" s="1"/>
  <c r="AI125" i="51" s="1"/>
  <c r="AF124" i="51"/>
  <c r="AG124" i="51" s="1"/>
  <c r="AH124" i="51" s="1"/>
  <c r="AI124" i="51" s="1"/>
  <c r="AF123" i="51"/>
  <c r="AG123" i="51" s="1"/>
  <c r="AH123" i="51" s="1"/>
  <c r="AI123" i="51" s="1"/>
  <c r="AF122" i="51"/>
  <c r="AG122" i="51" s="1"/>
  <c r="AH122" i="51" s="1"/>
  <c r="AI122" i="51" s="1"/>
  <c r="AF121" i="51"/>
  <c r="AG121" i="51" s="1"/>
  <c r="AH121" i="51" s="1"/>
  <c r="AI121" i="51" s="1"/>
  <c r="AF120" i="51"/>
  <c r="AG120" i="51" s="1"/>
  <c r="AH120" i="51" s="1"/>
  <c r="AI120" i="51" s="1"/>
  <c r="AF119" i="51"/>
  <c r="AG119" i="51" s="1"/>
  <c r="AH119" i="51" s="1"/>
  <c r="AI119" i="51" s="1"/>
  <c r="AF118" i="51"/>
  <c r="AG118" i="51" s="1"/>
  <c r="AH118" i="51" s="1"/>
  <c r="AI118" i="51" s="1"/>
  <c r="AF117" i="51"/>
  <c r="AG117" i="51" s="1"/>
  <c r="AH117" i="51" s="1"/>
  <c r="AI117" i="51" s="1"/>
  <c r="AF116" i="51"/>
  <c r="AG116" i="51" s="1"/>
  <c r="AH116" i="51" s="1"/>
  <c r="AI116" i="51" s="1"/>
  <c r="AF115" i="51"/>
  <c r="AG115" i="51" s="1"/>
  <c r="AH115" i="51" s="1"/>
  <c r="AI115" i="51" s="1"/>
  <c r="AF114" i="51"/>
  <c r="AG114" i="51" s="1"/>
  <c r="AH114" i="51" s="1"/>
  <c r="AI114" i="51" s="1"/>
  <c r="AF113" i="51"/>
  <c r="AG113" i="51" s="1"/>
  <c r="AH113" i="51" s="1"/>
  <c r="AI113" i="51" s="1"/>
  <c r="AF112" i="51"/>
  <c r="AG112" i="51" s="1"/>
  <c r="AH112" i="51" s="1"/>
  <c r="AI112" i="51" s="1"/>
  <c r="AF111" i="51"/>
  <c r="AG111" i="51" s="1"/>
  <c r="AH111" i="51" s="1"/>
  <c r="AI111" i="51" s="1"/>
  <c r="AF110" i="51"/>
  <c r="AG110" i="51" s="1"/>
  <c r="AH110" i="51" s="1"/>
  <c r="AI110" i="51" s="1"/>
  <c r="AF109" i="51"/>
  <c r="AG109" i="51" s="1"/>
  <c r="AH109" i="51" s="1"/>
  <c r="AI109" i="51" s="1"/>
  <c r="AF108" i="51"/>
  <c r="AG108" i="51" s="1"/>
  <c r="AH108" i="51" s="1"/>
  <c r="AI108" i="51" s="1"/>
  <c r="AF107" i="51"/>
  <c r="AG107" i="51" s="1"/>
  <c r="AH107" i="51" s="1"/>
  <c r="AI107" i="51" s="1"/>
  <c r="AF106" i="51"/>
  <c r="AG106" i="51" s="1"/>
  <c r="AH106" i="51" s="1"/>
  <c r="AI106" i="51" s="1"/>
  <c r="AF105" i="51"/>
  <c r="AG105" i="51" s="1"/>
  <c r="AH105" i="51" s="1"/>
  <c r="AI105" i="51" s="1"/>
  <c r="AF104" i="51"/>
  <c r="AG104" i="51" s="1"/>
  <c r="AH104" i="51" s="1"/>
  <c r="AI104" i="51" s="1"/>
  <c r="AF100" i="51"/>
  <c r="AG100" i="51" s="1"/>
  <c r="AH100" i="51" s="1"/>
  <c r="AI100" i="51" s="1"/>
  <c r="AF93" i="51"/>
  <c r="AG93" i="51" s="1"/>
  <c r="AH93" i="51" s="1"/>
  <c r="AI93" i="51" s="1"/>
  <c r="AF92" i="51"/>
  <c r="AG92" i="51" s="1"/>
  <c r="AH92" i="51" s="1"/>
  <c r="AI92" i="51" s="1"/>
  <c r="AF91" i="51"/>
  <c r="AG91" i="51" s="1"/>
  <c r="AH91" i="51" s="1"/>
  <c r="AI91" i="51" s="1"/>
  <c r="AF90" i="51"/>
  <c r="AG90" i="51" s="1"/>
  <c r="AH90" i="51" s="1"/>
  <c r="AI90" i="51" s="1"/>
  <c r="AF89" i="51"/>
  <c r="AG89" i="51" s="1"/>
  <c r="AH89" i="51" s="1"/>
  <c r="AI89" i="51" s="1"/>
  <c r="AF88" i="51"/>
  <c r="AG88" i="51" s="1"/>
  <c r="AH88" i="51" s="1"/>
  <c r="AI88" i="51" s="1"/>
  <c r="AF87" i="51"/>
  <c r="AG87" i="51" s="1"/>
  <c r="AH87" i="51" s="1"/>
  <c r="AI87" i="51" s="1"/>
  <c r="AF86" i="51"/>
  <c r="AG86" i="51" s="1"/>
  <c r="AH86" i="51" s="1"/>
  <c r="AI86" i="51" s="1"/>
  <c r="AF85" i="51"/>
  <c r="AG85" i="51" s="1"/>
  <c r="AH85" i="51" s="1"/>
  <c r="AI85" i="51" s="1"/>
  <c r="AF84" i="51"/>
  <c r="AG84" i="51" s="1"/>
  <c r="AH84" i="51" s="1"/>
  <c r="AI84" i="51" s="1"/>
  <c r="AF83" i="51"/>
  <c r="AG83" i="51" s="1"/>
  <c r="AH83" i="51" s="1"/>
  <c r="AI83" i="51" s="1"/>
  <c r="AF73" i="51"/>
  <c r="AG73" i="51" s="1"/>
  <c r="AH73" i="51" s="1"/>
  <c r="AI73" i="51" s="1"/>
  <c r="AF72" i="51"/>
  <c r="AG72" i="51" s="1"/>
  <c r="AH72" i="51" s="1"/>
  <c r="AI72" i="51" s="1"/>
  <c r="AF71" i="51"/>
  <c r="AG71" i="51" s="1"/>
  <c r="AH71" i="51" s="1"/>
  <c r="AI71" i="51" s="1"/>
  <c r="AF70" i="51"/>
  <c r="AG70" i="51" s="1"/>
  <c r="AH70" i="51" s="1"/>
  <c r="AI70" i="51" s="1"/>
  <c r="AF69" i="51"/>
  <c r="AG69" i="51" s="1"/>
  <c r="AH69" i="51" s="1"/>
  <c r="AI69" i="51" s="1"/>
  <c r="AF68" i="51"/>
  <c r="AG68" i="51" s="1"/>
  <c r="AH68" i="51" s="1"/>
  <c r="AI68" i="51" s="1"/>
  <c r="AF193" i="51"/>
  <c r="AG193" i="51" s="1"/>
  <c r="AH193" i="51" s="1"/>
  <c r="AI193" i="51" s="1"/>
  <c r="AF103" i="51"/>
  <c r="AG103" i="51" s="1"/>
  <c r="AH103" i="51" s="1"/>
  <c r="AI103" i="51" s="1"/>
  <c r="AF99" i="51"/>
  <c r="AG99" i="51" s="1"/>
  <c r="AH99" i="51" s="1"/>
  <c r="AI99" i="51" s="1"/>
  <c r="AF170" i="51"/>
  <c r="AG170" i="51" s="1"/>
  <c r="AH170" i="51" s="1"/>
  <c r="AI170" i="51" s="1"/>
  <c r="AF141" i="51"/>
  <c r="AG141" i="51" s="1"/>
  <c r="AH141" i="51" s="1"/>
  <c r="AI141" i="51" s="1"/>
  <c r="AF134" i="51"/>
  <c r="AG134" i="51" s="1"/>
  <c r="AH134" i="51" s="1"/>
  <c r="AI134" i="51" s="1"/>
  <c r="AF132" i="51"/>
  <c r="AG132" i="51" s="1"/>
  <c r="AH132" i="51" s="1"/>
  <c r="AI132" i="51" s="1"/>
  <c r="AF130" i="51"/>
  <c r="AG130" i="51" s="1"/>
  <c r="AH130" i="51" s="1"/>
  <c r="AI130" i="51" s="1"/>
  <c r="AF128" i="51"/>
  <c r="AG128" i="51" s="1"/>
  <c r="AH128" i="51" s="1"/>
  <c r="AI128" i="51" s="1"/>
  <c r="AF82" i="51"/>
  <c r="AG82" i="51" s="1"/>
  <c r="AH82" i="51" s="1"/>
  <c r="AI82" i="51" s="1"/>
  <c r="AF81" i="51"/>
  <c r="AG81" i="51" s="1"/>
  <c r="AH81" i="51" s="1"/>
  <c r="AI81" i="51" s="1"/>
  <c r="AF67" i="51"/>
  <c r="AG67" i="51" s="1"/>
  <c r="AH67" i="51" s="1"/>
  <c r="AI67" i="51" s="1"/>
  <c r="AF65" i="51"/>
  <c r="AG65" i="51" s="1"/>
  <c r="AH65" i="51" s="1"/>
  <c r="AI65" i="51" s="1"/>
  <c r="AF64" i="51"/>
  <c r="AG64" i="51" s="1"/>
  <c r="AH64" i="51" s="1"/>
  <c r="AI64" i="51" s="1"/>
  <c r="AF63" i="51"/>
  <c r="AG63" i="51" s="1"/>
  <c r="AH63" i="51" s="1"/>
  <c r="AI63" i="51" s="1"/>
  <c r="AF62" i="51"/>
  <c r="AG62" i="51" s="1"/>
  <c r="AH62" i="51" s="1"/>
  <c r="AI62" i="51" s="1"/>
  <c r="AF55" i="51"/>
  <c r="AG55" i="51" s="1"/>
  <c r="AH55" i="51" s="1"/>
  <c r="AI55" i="51" s="1"/>
  <c r="AF54" i="51"/>
  <c r="AG54" i="51" s="1"/>
  <c r="AH54" i="51" s="1"/>
  <c r="AI54" i="51" s="1"/>
  <c r="AF53" i="51"/>
  <c r="AG53" i="51" s="1"/>
  <c r="AH53" i="51" s="1"/>
  <c r="AI53" i="51" s="1"/>
  <c r="AF37" i="51"/>
  <c r="AG37" i="51" s="1"/>
  <c r="AH37" i="51" s="1"/>
  <c r="AI37" i="51" s="1"/>
  <c r="AF36" i="51"/>
  <c r="AG36" i="51" s="1"/>
  <c r="AH36" i="51" s="1"/>
  <c r="AI36" i="51" s="1"/>
  <c r="AF35" i="51"/>
  <c r="AG35" i="51" s="1"/>
  <c r="AH35" i="51" s="1"/>
  <c r="AI35" i="51" s="1"/>
  <c r="AF34" i="51"/>
  <c r="AG34" i="51" s="1"/>
  <c r="AH34" i="51" s="1"/>
  <c r="AI34" i="51" s="1"/>
  <c r="AF33" i="51"/>
  <c r="AG33" i="51" s="1"/>
  <c r="AH33" i="51" s="1"/>
  <c r="AI33" i="51" s="1"/>
  <c r="AF32" i="51"/>
  <c r="AG32" i="51" s="1"/>
  <c r="AH32" i="51" s="1"/>
  <c r="AI32" i="51" s="1"/>
  <c r="AF31" i="51"/>
  <c r="AG31" i="51" s="1"/>
  <c r="AH31" i="51" s="1"/>
  <c r="AI31" i="51" s="1"/>
  <c r="AF30" i="51"/>
  <c r="AG30" i="51" s="1"/>
  <c r="AH30" i="51" s="1"/>
  <c r="AI30" i="51" s="1"/>
  <c r="AF29" i="51"/>
  <c r="AG29" i="51" s="1"/>
  <c r="AH29" i="51" s="1"/>
  <c r="AI29" i="51" s="1"/>
  <c r="AF28" i="51"/>
  <c r="AG28" i="51" s="1"/>
  <c r="AH28" i="51" s="1"/>
  <c r="AI28" i="51" s="1"/>
  <c r="AF27" i="51"/>
  <c r="AG27" i="51" s="1"/>
  <c r="AH27" i="51" s="1"/>
  <c r="AI27" i="51" s="1"/>
  <c r="AF26" i="51"/>
  <c r="AG26" i="51" s="1"/>
  <c r="AH26" i="51" s="1"/>
  <c r="AI26" i="51" s="1"/>
  <c r="AF25" i="51"/>
  <c r="AG25" i="51" s="1"/>
  <c r="AH25" i="51" s="1"/>
  <c r="AI25" i="51" s="1"/>
  <c r="AF24" i="51"/>
  <c r="AG24" i="51" s="1"/>
  <c r="AH24" i="51" s="1"/>
  <c r="AI24" i="51" s="1"/>
  <c r="AF23" i="51"/>
  <c r="AG23" i="51" s="1"/>
  <c r="AH23" i="51" s="1"/>
  <c r="AI23" i="51" s="1"/>
  <c r="AF22" i="51"/>
  <c r="AG22" i="51" s="1"/>
  <c r="AH22" i="51" s="1"/>
  <c r="AI22" i="51" s="1"/>
  <c r="AF21" i="51"/>
  <c r="AG21" i="51" s="1"/>
  <c r="AH21" i="51" s="1"/>
  <c r="AI21" i="51" s="1"/>
  <c r="AF20" i="51"/>
  <c r="AG20" i="51" s="1"/>
  <c r="AH20" i="51" s="1"/>
  <c r="AI20" i="51" s="1"/>
  <c r="AF19" i="51"/>
  <c r="AG19" i="51" s="1"/>
  <c r="AH19" i="51" s="1"/>
  <c r="AI19" i="51" s="1"/>
  <c r="AF18" i="51"/>
  <c r="AG18" i="51" s="1"/>
  <c r="AH18" i="51" s="1"/>
  <c r="AI18" i="51" s="1"/>
  <c r="AF17" i="51"/>
  <c r="AG17" i="51" s="1"/>
  <c r="AH17" i="51" s="1"/>
  <c r="AI17" i="51" s="1"/>
  <c r="AF16" i="51"/>
  <c r="AG16" i="51" s="1"/>
  <c r="AH16" i="51" s="1"/>
  <c r="AI16" i="51" s="1"/>
  <c r="AF15" i="51"/>
  <c r="AG15" i="51" s="1"/>
  <c r="AH15" i="51" s="1"/>
  <c r="AI15" i="51" s="1"/>
  <c r="AF61" i="51"/>
  <c r="AG61" i="51" s="1"/>
  <c r="AH61" i="51" s="1"/>
  <c r="AI61" i="51" s="1"/>
  <c r="AF60" i="51"/>
  <c r="AG60" i="51" s="1"/>
  <c r="AH60" i="51" s="1"/>
  <c r="AI60" i="51" s="1"/>
  <c r="AF14" i="51"/>
  <c r="AG14" i="51" s="1"/>
  <c r="AH14" i="51" s="1"/>
  <c r="AI14" i="51" s="1"/>
  <c r="AF13" i="51"/>
  <c r="AG13" i="51" s="1"/>
  <c r="AH13" i="51" s="1"/>
  <c r="AI13" i="51" s="1"/>
  <c r="AF12" i="51"/>
  <c r="AG12" i="51" s="1"/>
  <c r="AH12" i="51" s="1"/>
  <c r="AI12" i="51" s="1"/>
  <c r="AF11" i="51"/>
  <c r="AG11" i="51" s="1"/>
  <c r="AH11" i="51" s="1"/>
  <c r="AI11" i="51" s="1"/>
  <c r="AF10" i="51"/>
  <c r="AG10" i="51" s="1"/>
  <c r="AH10" i="51" s="1"/>
  <c r="AI10" i="51" s="1"/>
  <c r="AF135" i="51"/>
  <c r="AG135" i="51" s="1"/>
  <c r="AH135" i="51" s="1"/>
  <c r="AI135" i="51" s="1"/>
  <c r="AF133" i="51"/>
  <c r="AG133" i="51" s="1"/>
  <c r="AH133" i="51" s="1"/>
  <c r="AI133" i="51" s="1"/>
  <c r="AF131" i="51"/>
  <c r="AG131" i="51" s="1"/>
  <c r="AH131" i="51" s="1"/>
  <c r="AI131" i="51" s="1"/>
  <c r="AF129" i="51"/>
  <c r="AG129" i="51" s="1"/>
  <c r="AH129" i="51" s="1"/>
  <c r="AI129" i="51" s="1"/>
  <c r="AF127" i="51"/>
  <c r="AG127" i="51" s="1"/>
  <c r="AH127" i="51" s="1"/>
  <c r="AI127" i="51" s="1"/>
  <c r="AF102" i="51"/>
  <c r="AG102" i="51" s="1"/>
  <c r="AH102" i="51" s="1"/>
  <c r="AI102" i="51" s="1"/>
  <c r="AF59" i="51"/>
  <c r="AG59" i="51" s="1"/>
  <c r="AH59" i="51" s="1"/>
  <c r="AI59" i="51" s="1"/>
  <c r="AF58" i="51"/>
  <c r="AG58" i="51" s="1"/>
  <c r="AH58" i="51" s="1"/>
  <c r="AI58" i="51" s="1"/>
  <c r="AF57" i="51"/>
  <c r="AG57" i="51" s="1"/>
  <c r="AH57" i="51" s="1"/>
  <c r="AI57" i="51" s="1"/>
  <c r="AF52" i="51"/>
  <c r="AG52" i="51" s="1"/>
  <c r="AH52" i="51" s="1"/>
  <c r="AI52" i="51" s="1"/>
  <c r="AF51" i="51"/>
  <c r="AG51" i="51" s="1"/>
  <c r="AH51" i="51" s="1"/>
  <c r="AI51" i="51" s="1"/>
  <c r="AN312" i="51"/>
  <c r="AO312" i="51" s="1"/>
  <c r="AN296" i="51"/>
  <c r="AO296" i="51" s="1"/>
  <c r="AN295" i="51"/>
  <c r="AO295" i="51" s="1"/>
  <c r="AN294" i="51"/>
  <c r="AO294" i="51" s="1"/>
  <c r="AN293" i="51"/>
  <c r="AO293" i="51" s="1"/>
  <c r="AN292" i="51"/>
  <c r="AO292" i="51" s="1"/>
  <c r="AN291" i="51"/>
  <c r="AO291" i="51" s="1"/>
  <c r="AN290" i="51"/>
  <c r="AO290" i="51" s="1"/>
  <c r="AN289" i="51"/>
  <c r="AO289" i="51" s="1"/>
  <c r="AN288" i="51"/>
  <c r="AO288" i="51" s="1"/>
  <c r="AN287" i="51"/>
  <c r="AO287" i="51" s="1"/>
  <c r="AN286" i="51"/>
  <c r="AO286" i="51" s="1"/>
  <c r="AN285" i="51"/>
  <c r="AO285" i="51" s="1"/>
  <c r="AN284" i="51"/>
  <c r="AO284" i="51" s="1"/>
  <c r="AN283" i="51"/>
  <c r="AO283" i="51" s="1"/>
  <c r="AN282" i="51"/>
  <c r="AO282" i="51" s="1"/>
  <c r="AN281" i="51"/>
  <c r="AO281" i="51" s="1"/>
  <c r="AN311" i="51"/>
  <c r="AO311" i="51" s="1"/>
  <c r="AN306" i="51"/>
  <c r="AO306" i="51" s="1"/>
  <c r="AN302" i="51"/>
  <c r="AO302" i="51" s="1"/>
  <c r="AN298" i="51"/>
  <c r="AO298" i="51" s="1"/>
  <c r="AN278" i="51"/>
  <c r="AO278" i="51" s="1"/>
  <c r="AN274" i="51"/>
  <c r="AO274" i="51" s="1"/>
  <c r="AN273" i="51"/>
  <c r="AO273" i="51" s="1"/>
  <c r="AN266" i="51"/>
  <c r="AO266" i="51" s="1"/>
  <c r="AN265" i="51"/>
  <c r="AO265" i="51" s="1"/>
  <c r="AN315" i="51"/>
  <c r="AO315" i="51" s="1"/>
  <c r="AN310" i="51"/>
  <c r="AO310" i="51" s="1"/>
  <c r="AN309" i="51"/>
  <c r="AO309" i="51" s="1"/>
  <c r="AN305" i="51"/>
  <c r="AO305" i="51" s="1"/>
  <c r="AN301" i="51"/>
  <c r="AO301" i="51" s="1"/>
  <c r="AN314" i="51"/>
  <c r="AO314" i="51" s="1"/>
  <c r="AN276" i="51"/>
  <c r="AO276" i="51" s="1"/>
  <c r="AN263" i="51"/>
  <c r="AO263" i="51" s="1"/>
  <c r="AN259" i="51"/>
  <c r="AO259" i="51" s="1"/>
  <c r="AN255" i="51"/>
  <c r="AO255" i="51" s="1"/>
  <c r="AN313" i="51"/>
  <c r="AO313" i="51" s="1"/>
  <c r="AN280" i="51"/>
  <c r="AO280" i="51" s="1"/>
  <c r="AN279" i="51"/>
  <c r="AO279" i="51" s="1"/>
  <c r="AN277" i="51"/>
  <c r="AO277" i="51" s="1"/>
  <c r="AN269" i="51"/>
  <c r="AO269" i="51" s="1"/>
  <c r="AN264" i="51"/>
  <c r="AO264" i="51" s="1"/>
  <c r="AN262" i="51"/>
  <c r="AO262" i="51" s="1"/>
  <c r="AN256" i="51"/>
  <c r="AO256" i="51" s="1"/>
  <c r="AN254" i="51"/>
  <c r="AO254" i="51" s="1"/>
  <c r="AN250" i="51"/>
  <c r="AO250" i="51" s="1"/>
  <c r="AN246" i="51"/>
  <c r="AO246" i="51" s="1"/>
  <c r="AN242" i="51"/>
  <c r="AO242" i="51" s="1"/>
  <c r="AN239" i="51"/>
  <c r="AO239" i="51" s="1"/>
  <c r="AN212" i="51"/>
  <c r="AO212" i="51" s="1"/>
  <c r="AN211" i="51"/>
  <c r="AO211" i="51" s="1"/>
  <c r="AN210" i="51"/>
  <c r="AO210" i="51" s="1"/>
  <c r="AN209" i="51"/>
  <c r="AO209" i="51" s="1"/>
  <c r="AN187" i="51"/>
  <c r="AO187" i="51" s="1"/>
  <c r="AN186" i="51"/>
  <c r="AO186" i="51" s="1"/>
  <c r="AN185" i="51"/>
  <c r="AO185" i="51" s="1"/>
  <c r="AN184" i="51"/>
  <c r="AO184" i="51" s="1"/>
  <c r="AN183" i="51"/>
  <c r="AO183" i="51" s="1"/>
  <c r="AN182" i="51"/>
  <c r="AO182" i="51" s="1"/>
  <c r="AN181" i="51"/>
  <c r="AO181" i="51" s="1"/>
  <c r="AN180" i="51"/>
  <c r="AO180" i="51" s="1"/>
  <c r="AN179" i="51"/>
  <c r="AO179" i="51" s="1"/>
  <c r="AN178" i="51"/>
  <c r="AO178" i="51" s="1"/>
  <c r="AN177" i="51"/>
  <c r="AO177" i="51" s="1"/>
  <c r="AN176" i="51"/>
  <c r="AO176" i="51" s="1"/>
  <c r="AN175" i="51"/>
  <c r="AO175" i="51" s="1"/>
  <c r="AN148" i="51"/>
  <c r="AO148" i="51" s="1"/>
  <c r="AN147" i="51"/>
  <c r="AO147" i="51" s="1"/>
  <c r="AN146" i="51"/>
  <c r="AO146" i="51" s="1"/>
  <c r="AN145" i="51"/>
  <c r="AO145" i="51" s="1"/>
  <c r="AN144" i="51"/>
  <c r="AO144" i="51" s="1"/>
  <c r="AN143" i="51"/>
  <c r="AO143" i="51" s="1"/>
  <c r="AN307" i="51"/>
  <c r="AO307" i="51" s="1"/>
  <c r="AN297" i="51"/>
  <c r="AO297" i="51" s="1"/>
  <c r="AN272" i="51"/>
  <c r="AO272" i="51" s="1"/>
  <c r="AN271" i="51"/>
  <c r="AO271" i="51" s="1"/>
  <c r="AN268" i="51"/>
  <c r="AO268" i="51" s="1"/>
  <c r="AN267" i="51"/>
  <c r="AO267" i="51" s="1"/>
  <c r="AN258" i="51"/>
  <c r="AO258" i="51" s="1"/>
  <c r="AN257" i="51"/>
  <c r="AO257" i="51" s="1"/>
  <c r="AN249" i="51"/>
  <c r="AO249" i="51" s="1"/>
  <c r="AN244" i="51"/>
  <c r="AO244" i="51" s="1"/>
  <c r="AN243" i="51"/>
  <c r="AO243" i="51" s="1"/>
  <c r="AN235" i="51"/>
  <c r="AO235" i="51" s="1"/>
  <c r="AN231" i="51"/>
  <c r="AO231" i="51" s="1"/>
  <c r="AN227" i="51"/>
  <c r="AO227" i="51" s="1"/>
  <c r="AN223" i="51"/>
  <c r="AO223" i="51" s="1"/>
  <c r="AN205" i="51"/>
  <c r="AO205" i="51" s="1"/>
  <c r="AN201" i="51"/>
  <c r="AO201" i="51" s="1"/>
  <c r="AN172" i="51"/>
  <c r="AO172" i="51" s="1"/>
  <c r="AN168" i="51"/>
  <c r="AO168" i="51" s="1"/>
  <c r="AN164" i="51"/>
  <c r="AO164" i="51" s="1"/>
  <c r="AN163" i="51"/>
  <c r="AO163" i="51" s="1"/>
  <c r="AN162" i="51"/>
  <c r="AO162" i="51" s="1"/>
  <c r="AN161" i="51"/>
  <c r="AO161" i="51" s="1"/>
  <c r="AN160" i="51"/>
  <c r="AO160" i="51" s="1"/>
  <c r="AN159" i="51"/>
  <c r="AO159" i="51" s="1"/>
  <c r="AN158" i="51"/>
  <c r="AO158" i="51" s="1"/>
  <c r="AN157" i="51"/>
  <c r="AO157" i="51" s="1"/>
  <c r="AN156" i="51"/>
  <c r="AO156" i="51" s="1"/>
  <c r="AN155" i="51"/>
  <c r="AO155" i="51" s="1"/>
  <c r="AN154" i="51"/>
  <c r="AO154" i="51" s="1"/>
  <c r="AN153" i="51"/>
  <c r="AO153" i="51" s="1"/>
  <c r="AN152" i="51"/>
  <c r="AO152" i="51" s="1"/>
  <c r="AN151" i="51"/>
  <c r="AO151" i="51" s="1"/>
  <c r="AN150" i="51"/>
  <c r="AO150" i="51" s="1"/>
  <c r="AN149" i="51"/>
  <c r="AO149" i="51" s="1"/>
  <c r="AN142" i="51"/>
  <c r="AO142" i="51" s="1"/>
  <c r="AN126" i="51"/>
  <c r="AO126" i="51" s="1"/>
  <c r="AN125" i="51"/>
  <c r="AO125" i="51" s="1"/>
  <c r="AN124" i="51"/>
  <c r="AO124" i="51" s="1"/>
  <c r="AN123" i="51"/>
  <c r="AO123" i="51" s="1"/>
  <c r="AN122" i="51"/>
  <c r="AO122" i="51" s="1"/>
  <c r="AN121" i="51"/>
  <c r="AO121" i="51" s="1"/>
  <c r="AN120" i="51"/>
  <c r="AO120" i="51" s="1"/>
  <c r="AN119" i="51"/>
  <c r="AO119" i="51" s="1"/>
  <c r="AN118" i="51"/>
  <c r="AO118" i="51" s="1"/>
  <c r="AN117" i="51"/>
  <c r="AO117" i="51" s="1"/>
  <c r="AN116" i="51"/>
  <c r="AO116" i="51" s="1"/>
  <c r="AN115" i="51"/>
  <c r="AO115" i="51" s="1"/>
  <c r="AN114" i="51"/>
  <c r="AO114" i="51" s="1"/>
  <c r="AN113" i="51"/>
  <c r="AO113" i="51" s="1"/>
  <c r="AN112" i="51"/>
  <c r="AO112" i="51" s="1"/>
  <c r="AN111" i="51"/>
  <c r="AO111" i="51" s="1"/>
  <c r="AN110" i="51"/>
  <c r="AO110" i="51" s="1"/>
  <c r="AN109" i="51"/>
  <c r="AO109" i="51" s="1"/>
  <c r="AN108" i="51"/>
  <c r="AO108" i="51" s="1"/>
  <c r="AN107" i="51"/>
  <c r="AO107" i="51" s="1"/>
  <c r="AN106" i="51"/>
  <c r="AO106" i="51" s="1"/>
  <c r="AN105" i="51"/>
  <c r="AO105" i="51" s="1"/>
  <c r="AN82" i="51"/>
  <c r="AO82" i="51" s="1"/>
  <c r="AN300" i="51"/>
  <c r="AO300" i="51" s="1"/>
  <c r="AN275" i="51"/>
  <c r="AO275" i="51" s="1"/>
  <c r="AN299" i="51"/>
  <c r="AO299" i="51" s="1"/>
  <c r="AN270" i="51"/>
  <c r="AO270" i="51" s="1"/>
  <c r="AN248" i="51"/>
  <c r="AO248" i="51" s="1"/>
  <c r="AN236" i="51"/>
  <c r="AO236" i="51" s="1"/>
  <c r="AN226" i="51"/>
  <c r="AO226" i="51" s="1"/>
  <c r="AN221" i="51"/>
  <c r="AO221" i="51" s="1"/>
  <c r="AN220" i="51"/>
  <c r="AO220" i="51" s="1"/>
  <c r="AN219" i="51"/>
  <c r="AO219" i="51" s="1"/>
  <c r="AN218" i="51"/>
  <c r="AO218" i="51" s="1"/>
  <c r="AN214" i="51"/>
  <c r="AO214" i="51" s="1"/>
  <c r="AN208" i="51"/>
  <c r="AO208" i="51" s="1"/>
  <c r="AN202" i="51"/>
  <c r="AO202" i="51" s="1"/>
  <c r="AN200" i="51"/>
  <c r="AO200" i="51" s="1"/>
  <c r="AN196" i="51"/>
  <c r="AO196" i="51" s="1"/>
  <c r="AN192" i="51"/>
  <c r="AO192" i="51" s="1"/>
  <c r="AN188" i="51"/>
  <c r="AO188" i="51" s="1"/>
  <c r="AN251" i="51"/>
  <c r="AO251" i="51" s="1"/>
  <c r="AN240" i="51"/>
  <c r="AO240" i="51" s="1"/>
  <c r="AN230" i="51"/>
  <c r="AO230" i="51" s="1"/>
  <c r="AN225" i="51"/>
  <c r="AO225" i="51" s="1"/>
  <c r="AN224" i="51"/>
  <c r="AO224" i="51" s="1"/>
  <c r="AN217" i="51"/>
  <c r="AO217" i="51" s="1"/>
  <c r="AN213" i="51"/>
  <c r="AO213" i="51" s="1"/>
  <c r="AN207" i="51"/>
  <c r="AO207" i="51" s="1"/>
  <c r="AN253" i="51"/>
  <c r="AO253" i="51" s="1"/>
  <c r="AN252" i="51"/>
  <c r="AO252" i="51" s="1"/>
  <c r="AN245" i="51"/>
  <c r="AO245" i="51" s="1"/>
  <c r="AN260" i="51"/>
  <c r="AO260" i="51" s="1"/>
  <c r="AN308" i="51"/>
  <c r="AO308" i="51" s="1"/>
  <c r="AN304" i="51"/>
  <c r="AO304" i="51" s="1"/>
  <c r="AN261" i="51"/>
  <c r="AO261" i="51" s="1"/>
  <c r="AN247" i="51"/>
  <c r="AO247" i="51" s="1"/>
  <c r="AN238" i="51"/>
  <c r="AO238" i="51" s="1"/>
  <c r="AN229" i="51"/>
  <c r="AO229" i="51" s="1"/>
  <c r="AN237" i="51"/>
  <c r="AO237" i="51" s="1"/>
  <c r="AN234" i="51"/>
  <c r="AO234" i="51" s="1"/>
  <c r="AN233" i="51"/>
  <c r="AO233" i="51" s="1"/>
  <c r="AN232" i="51"/>
  <c r="AO232" i="51" s="1"/>
  <c r="AN228" i="51"/>
  <c r="AO228" i="51" s="1"/>
  <c r="AN204" i="51"/>
  <c r="AO204" i="51" s="1"/>
  <c r="AN203" i="51"/>
  <c r="AO203" i="51" s="1"/>
  <c r="AN195" i="51"/>
  <c r="AO195" i="51" s="1"/>
  <c r="AN190" i="51"/>
  <c r="AO190" i="51" s="1"/>
  <c r="AN189" i="51"/>
  <c r="AO189" i="51" s="1"/>
  <c r="AN303" i="51"/>
  <c r="AO303" i="51" s="1"/>
  <c r="AN222" i="51"/>
  <c r="AO222" i="51" s="1"/>
  <c r="AN216" i="51"/>
  <c r="AO216" i="51" s="1"/>
  <c r="AN215" i="51"/>
  <c r="AO215" i="51" s="1"/>
  <c r="AN194" i="51"/>
  <c r="AO194" i="51" s="1"/>
  <c r="AN193" i="51"/>
  <c r="AO193" i="51" s="1"/>
  <c r="AN191" i="51"/>
  <c r="AO191" i="51" s="1"/>
  <c r="AN169" i="51"/>
  <c r="AO169" i="51" s="1"/>
  <c r="AN167" i="51"/>
  <c r="AO167" i="51" s="1"/>
  <c r="AN206" i="51"/>
  <c r="AO206" i="51" s="1"/>
  <c r="AN199" i="51"/>
  <c r="AO199" i="51" s="1"/>
  <c r="AN174" i="51"/>
  <c r="AO174" i="51" s="1"/>
  <c r="AN166" i="51"/>
  <c r="AO166" i="51" s="1"/>
  <c r="AN241" i="51"/>
  <c r="AO241" i="51" s="1"/>
  <c r="AN173" i="51"/>
  <c r="AO173" i="51" s="1"/>
  <c r="AN171" i="51"/>
  <c r="AO171" i="51" s="1"/>
  <c r="AN165" i="51"/>
  <c r="AO165" i="51" s="1"/>
  <c r="AN104" i="51"/>
  <c r="AO104" i="51" s="1"/>
  <c r="AN100" i="51"/>
  <c r="AO100" i="51" s="1"/>
  <c r="AN97" i="51"/>
  <c r="AO97" i="51" s="1"/>
  <c r="AN95" i="51"/>
  <c r="AO95" i="51" s="1"/>
  <c r="AN79" i="51"/>
  <c r="AO79" i="51" s="1"/>
  <c r="AN77" i="51"/>
  <c r="AO77" i="51" s="1"/>
  <c r="AN75" i="51"/>
  <c r="AO75" i="51" s="1"/>
  <c r="AN198" i="51"/>
  <c r="AO198" i="51" s="1"/>
  <c r="AN140" i="51"/>
  <c r="AO140" i="51" s="1"/>
  <c r="AN139" i="51"/>
  <c r="AO139" i="51" s="1"/>
  <c r="AN138" i="51"/>
  <c r="AO138" i="51" s="1"/>
  <c r="AN137" i="51"/>
  <c r="AO137" i="51" s="1"/>
  <c r="AN136" i="51"/>
  <c r="AO136" i="51" s="1"/>
  <c r="AN103" i="51"/>
  <c r="AO103" i="51" s="1"/>
  <c r="AN99" i="51"/>
  <c r="AO99" i="51" s="1"/>
  <c r="AN93" i="51"/>
  <c r="AO93" i="51" s="1"/>
  <c r="AN92" i="51"/>
  <c r="AO92" i="51" s="1"/>
  <c r="AN91" i="51"/>
  <c r="AO91" i="51" s="1"/>
  <c r="AN90" i="51"/>
  <c r="AO90" i="51" s="1"/>
  <c r="AN89" i="51"/>
  <c r="AO89" i="51" s="1"/>
  <c r="AN88" i="51"/>
  <c r="AO88" i="51" s="1"/>
  <c r="AN87" i="51"/>
  <c r="AO87" i="51" s="1"/>
  <c r="AN86" i="51"/>
  <c r="AO86" i="51" s="1"/>
  <c r="AN85" i="51"/>
  <c r="AO85" i="51" s="1"/>
  <c r="AN84" i="51"/>
  <c r="AO84" i="51" s="1"/>
  <c r="AN83" i="51"/>
  <c r="AO83" i="51" s="1"/>
  <c r="AN73" i="51"/>
  <c r="AO73" i="51" s="1"/>
  <c r="AN72" i="51"/>
  <c r="AO72" i="51" s="1"/>
  <c r="AN71" i="51"/>
  <c r="AO71" i="51" s="1"/>
  <c r="AN70" i="51"/>
  <c r="AO70" i="51" s="1"/>
  <c r="AN69" i="51"/>
  <c r="AO69" i="51" s="1"/>
  <c r="AN68" i="51"/>
  <c r="AO68" i="51" s="1"/>
  <c r="AN67" i="51"/>
  <c r="AO67" i="51" s="1"/>
  <c r="AN197" i="51"/>
  <c r="AO197" i="51" s="1"/>
  <c r="AN170" i="51"/>
  <c r="AO170" i="51" s="1"/>
  <c r="AN102" i="51"/>
  <c r="AO102" i="51" s="1"/>
  <c r="AN98" i="51"/>
  <c r="AO98" i="51" s="1"/>
  <c r="AN96" i="51"/>
  <c r="AO96" i="51" s="1"/>
  <c r="AN94" i="51"/>
  <c r="AO94" i="51" s="1"/>
  <c r="AN81" i="51"/>
  <c r="AO81" i="51" s="1"/>
  <c r="AN78" i="51"/>
  <c r="AO78" i="51" s="1"/>
  <c r="AN76" i="51"/>
  <c r="AO76" i="51" s="1"/>
  <c r="AN74" i="51"/>
  <c r="AO74" i="51" s="1"/>
  <c r="AN59" i="51"/>
  <c r="AO59" i="51" s="1"/>
  <c r="AN58" i="51"/>
  <c r="AO58" i="51" s="1"/>
  <c r="AN57" i="51"/>
  <c r="AO57" i="51" s="1"/>
  <c r="AN52" i="51"/>
  <c r="AO52" i="51" s="1"/>
  <c r="AN51" i="51"/>
  <c r="AO51" i="51" s="1"/>
  <c r="AN135" i="51"/>
  <c r="AO135" i="51" s="1"/>
  <c r="AN133" i="51"/>
  <c r="AO133" i="51" s="1"/>
  <c r="AN131" i="51"/>
  <c r="AO131" i="51" s="1"/>
  <c r="AN129" i="51"/>
  <c r="AO129" i="51" s="1"/>
  <c r="AN127" i="51"/>
  <c r="AO127" i="51" s="1"/>
  <c r="AN80" i="51"/>
  <c r="AO80" i="51" s="1"/>
  <c r="AN56" i="51"/>
  <c r="AO56" i="51" s="1"/>
  <c r="AN50" i="51"/>
  <c r="AO50" i="51" s="1"/>
  <c r="AN49" i="51"/>
  <c r="AO49" i="51" s="1"/>
  <c r="AN48" i="51"/>
  <c r="AO48" i="51" s="1"/>
  <c r="AN47" i="51"/>
  <c r="AO47" i="51" s="1"/>
  <c r="AN46" i="51"/>
  <c r="AO46" i="51" s="1"/>
  <c r="AN45" i="51"/>
  <c r="AO45" i="51" s="1"/>
  <c r="AN44" i="51"/>
  <c r="AO44" i="51" s="1"/>
  <c r="AN43" i="51"/>
  <c r="AO43" i="51" s="1"/>
  <c r="AN42" i="51"/>
  <c r="AO42" i="51" s="1"/>
  <c r="AN41" i="51"/>
  <c r="AO41" i="51" s="1"/>
  <c r="AN40" i="51"/>
  <c r="AO40" i="51" s="1"/>
  <c r="AN39" i="51"/>
  <c r="AO39" i="51" s="1"/>
  <c r="AN38" i="51"/>
  <c r="AO38" i="51" s="1"/>
  <c r="AN66" i="51"/>
  <c r="AO66" i="51" s="1"/>
  <c r="AN65" i="51"/>
  <c r="AO65" i="51" s="1"/>
  <c r="AN64" i="51"/>
  <c r="AO64" i="51" s="1"/>
  <c r="AN63" i="51"/>
  <c r="AO63" i="51" s="1"/>
  <c r="AN62" i="51"/>
  <c r="AO62" i="51" s="1"/>
  <c r="AN55" i="51"/>
  <c r="AO55" i="51" s="1"/>
  <c r="AN54" i="51"/>
  <c r="AO54" i="51" s="1"/>
  <c r="AN53" i="51"/>
  <c r="AO53" i="51" s="1"/>
  <c r="AN37" i="51"/>
  <c r="AO37" i="51" s="1"/>
  <c r="AN36" i="51"/>
  <c r="AO36" i="51" s="1"/>
  <c r="AN35" i="51"/>
  <c r="AO35" i="51" s="1"/>
  <c r="AN34" i="51"/>
  <c r="AO34" i="51" s="1"/>
  <c r="AN33" i="51"/>
  <c r="AO33" i="51" s="1"/>
  <c r="AN32" i="51"/>
  <c r="AO32" i="51" s="1"/>
  <c r="AN31" i="51"/>
  <c r="AO31" i="51" s="1"/>
  <c r="AN30" i="51"/>
  <c r="AO30" i="51" s="1"/>
  <c r="AN29" i="51"/>
  <c r="AO29" i="51" s="1"/>
  <c r="AN28" i="51"/>
  <c r="AO28" i="51" s="1"/>
  <c r="AN27" i="51"/>
  <c r="AO27" i="51" s="1"/>
  <c r="AN26" i="51"/>
  <c r="AO26" i="51" s="1"/>
  <c r="AN25" i="51"/>
  <c r="AO25" i="51" s="1"/>
  <c r="AN24" i="51"/>
  <c r="AO24" i="51" s="1"/>
  <c r="AN23" i="51"/>
  <c r="AO23" i="51" s="1"/>
  <c r="AN22" i="51"/>
  <c r="AO22" i="51" s="1"/>
  <c r="AN21" i="51"/>
  <c r="AO21" i="51" s="1"/>
  <c r="AN20" i="51"/>
  <c r="AO20" i="51" s="1"/>
  <c r="AN19" i="51"/>
  <c r="AO19" i="51" s="1"/>
  <c r="AN18" i="51"/>
  <c r="AO18" i="51" s="1"/>
  <c r="AN17" i="51"/>
  <c r="AO17" i="51" s="1"/>
  <c r="AN16" i="51"/>
  <c r="AO16" i="51" s="1"/>
  <c r="AN15" i="51"/>
  <c r="AO15" i="51" s="1"/>
  <c r="AU96" i="51"/>
  <c r="AU74" i="51"/>
  <c r="AU61" i="51"/>
  <c r="L8" i="51"/>
  <c r="AF8" i="51"/>
  <c r="AK8" i="51"/>
  <c r="AQ8" i="51"/>
  <c r="AW8" i="51"/>
  <c r="L9" i="51"/>
  <c r="M9" i="51" s="1"/>
  <c r="AF9" i="51"/>
  <c r="AG9" i="51" s="1"/>
  <c r="AH9" i="51" s="1"/>
  <c r="AI9" i="51" s="1"/>
  <c r="AK9" i="51"/>
  <c r="AL9" i="51" s="1"/>
  <c r="AT9" i="51"/>
  <c r="AU9" i="51" s="1"/>
  <c r="AN10" i="51"/>
  <c r="AO10" i="51" s="1"/>
  <c r="AU12" i="51"/>
  <c r="J14" i="51"/>
  <c r="AU14" i="51"/>
  <c r="U15" i="51"/>
  <c r="W15" i="51" s="1"/>
  <c r="U19" i="51"/>
  <c r="W19" i="51" s="1"/>
  <c r="Z22" i="51"/>
  <c r="AB22" i="51" s="1"/>
  <c r="U23" i="51"/>
  <c r="W23" i="51" s="1"/>
  <c r="U27" i="51"/>
  <c r="W27" i="51" s="1"/>
  <c r="Z30" i="51"/>
  <c r="AB30" i="51" s="1"/>
  <c r="U31" i="51"/>
  <c r="W31" i="51" s="1"/>
  <c r="U35" i="51"/>
  <c r="W35" i="51" s="1"/>
  <c r="AK38" i="51"/>
  <c r="AL38" i="51" s="1"/>
  <c r="U39" i="51"/>
  <c r="W39" i="51" s="1"/>
  <c r="AF39" i="51"/>
  <c r="AG39" i="51" s="1"/>
  <c r="AH39" i="51" s="1"/>
  <c r="AI39" i="51" s="1"/>
  <c r="AW40" i="51"/>
  <c r="AX40" i="51" s="1"/>
  <c r="L41" i="51"/>
  <c r="M41" i="51" s="1"/>
  <c r="Z41" i="51"/>
  <c r="AB41" i="51" s="1"/>
  <c r="AQ41" i="51"/>
  <c r="AR41" i="51" s="1"/>
  <c r="AK42" i="51"/>
  <c r="AL42" i="51" s="1"/>
  <c r="U43" i="51"/>
  <c r="W43" i="51" s="1"/>
  <c r="AF43" i="51"/>
  <c r="AG43" i="51" s="1"/>
  <c r="AH43" i="51" s="1"/>
  <c r="AI43" i="51" s="1"/>
  <c r="AW44" i="51"/>
  <c r="AX44" i="51" s="1"/>
  <c r="L45" i="51"/>
  <c r="M45" i="51" s="1"/>
  <c r="Z45" i="51"/>
  <c r="AB45" i="51" s="1"/>
  <c r="AQ45" i="51"/>
  <c r="AR45" i="51" s="1"/>
  <c r="AK46" i="51"/>
  <c r="AL46" i="51" s="1"/>
  <c r="AF47" i="51"/>
  <c r="AG47" i="51" s="1"/>
  <c r="AH47" i="51" s="1"/>
  <c r="AI47" i="51" s="1"/>
  <c r="L48" i="51"/>
  <c r="M48" i="51" s="1"/>
  <c r="AQ48" i="51"/>
  <c r="AR48" i="51" s="1"/>
  <c r="AF49" i="51"/>
  <c r="AG49" i="51" s="1"/>
  <c r="AH49" i="51" s="1"/>
  <c r="AI49" i="51" s="1"/>
  <c r="L50" i="51"/>
  <c r="M50" i="51" s="1"/>
  <c r="AQ50" i="51"/>
  <c r="AR50" i="51" s="1"/>
  <c r="Z54" i="51"/>
  <c r="AB54" i="51" s="1"/>
  <c r="U55" i="51"/>
  <c r="W55" i="51" s="1"/>
  <c r="L56" i="51"/>
  <c r="M56" i="51" s="1"/>
  <c r="AQ56" i="51"/>
  <c r="AR56" i="51" s="1"/>
  <c r="J61" i="51"/>
  <c r="AN61" i="51"/>
  <c r="AO61" i="51" s="1"/>
  <c r="Z63" i="51"/>
  <c r="AB63" i="51" s="1"/>
  <c r="U64" i="51"/>
  <c r="W64" i="51" s="1"/>
  <c r="U68" i="51"/>
  <c r="W68" i="51" s="1"/>
  <c r="J69" i="51"/>
  <c r="U94" i="51"/>
  <c r="W94" i="51" s="1"/>
  <c r="O98" i="51"/>
  <c r="P98" i="51" s="1"/>
  <c r="L106" i="51"/>
  <c r="M106" i="51" s="1"/>
  <c r="AQ109" i="51"/>
  <c r="AR109" i="51" s="1"/>
  <c r="L122" i="51"/>
  <c r="M122" i="51" s="1"/>
  <c r="AQ125" i="51"/>
  <c r="AR125" i="51" s="1"/>
  <c r="U75" i="51"/>
  <c r="W75" i="51" s="1"/>
  <c r="Z77" i="51"/>
  <c r="AB77" i="51" s="1"/>
  <c r="U80" i="51"/>
  <c r="W80" i="51" s="1"/>
  <c r="U83" i="51"/>
  <c r="W83" i="51" s="1"/>
  <c r="J84" i="51"/>
  <c r="U85" i="51"/>
  <c r="W85" i="51" s="1"/>
  <c r="J86" i="51"/>
  <c r="U87" i="51"/>
  <c r="W87" i="51" s="1"/>
  <c r="J88" i="51"/>
  <c r="U89" i="51"/>
  <c r="W89" i="51" s="1"/>
  <c r="J90" i="51"/>
  <c r="U91" i="51"/>
  <c r="W91" i="51" s="1"/>
  <c r="J92" i="51"/>
  <c r="U93" i="51"/>
  <c r="W93" i="51" s="1"/>
  <c r="J103" i="51"/>
  <c r="U137" i="51"/>
  <c r="W137" i="51" s="1"/>
  <c r="Z160" i="51"/>
  <c r="AB160" i="51" s="1"/>
  <c r="U207" i="51"/>
  <c r="W207" i="51" s="1"/>
  <c r="J16" i="51"/>
  <c r="J17" i="51"/>
  <c r="J18" i="51"/>
  <c r="J19" i="51"/>
  <c r="J20" i="51"/>
  <c r="J21" i="51"/>
  <c r="J22" i="51"/>
  <c r="J23" i="51"/>
  <c r="J24" i="51"/>
  <c r="J25" i="51"/>
  <c r="J26" i="51"/>
  <c r="J27" i="51"/>
  <c r="J28" i="51"/>
  <c r="J29" i="51"/>
  <c r="J30" i="51"/>
  <c r="J31" i="51"/>
  <c r="J32" i="51"/>
  <c r="J33" i="51"/>
  <c r="J34" i="51"/>
  <c r="J35" i="51"/>
  <c r="J36" i="51"/>
  <c r="J37" i="51"/>
  <c r="J54" i="51"/>
  <c r="J55" i="51"/>
  <c r="J63" i="51"/>
  <c r="J64" i="51"/>
  <c r="Z66" i="51"/>
  <c r="AB66" i="51" s="1"/>
  <c r="U69" i="51"/>
  <c r="W69" i="51" s="1"/>
  <c r="J70" i="51"/>
  <c r="U71" i="51"/>
  <c r="W71" i="51" s="1"/>
  <c r="J72" i="51"/>
  <c r="U73" i="51"/>
  <c r="W73" i="51" s="1"/>
  <c r="U77" i="51"/>
  <c r="W77" i="51" s="1"/>
  <c r="U128" i="51"/>
  <c r="W128" i="51" s="1"/>
  <c r="U130" i="51"/>
  <c r="W130" i="51" s="1"/>
  <c r="U132" i="51"/>
  <c r="W132" i="51" s="1"/>
  <c r="U134" i="51"/>
  <c r="W134" i="51" s="1"/>
  <c r="U136" i="51"/>
  <c r="W136" i="51" s="1"/>
  <c r="U140" i="51"/>
  <c r="W140" i="51" s="1"/>
  <c r="J160" i="51"/>
  <c r="U66" i="51"/>
  <c r="W66" i="51" s="1"/>
  <c r="U67" i="51"/>
  <c r="W67" i="51" s="1"/>
  <c r="U84" i="51"/>
  <c r="W84" i="51" s="1"/>
  <c r="J85" i="51"/>
  <c r="U86" i="51"/>
  <c r="W86" i="51" s="1"/>
  <c r="J87" i="51"/>
  <c r="U88" i="51"/>
  <c r="W88" i="51" s="1"/>
  <c r="J89" i="51"/>
  <c r="U90" i="51"/>
  <c r="W90" i="51" s="1"/>
  <c r="J91" i="51"/>
  <c r="U92" i="51"/>
  <c r="W92" i="51" s="1"/>
  <c r="J93" i="51"/>
  <c r="U101" i="51"/>
  <c r="W101" i="51" s="1"/>
  <c r="Z102" i="51"/>
  <c r="AB102" i="51" s="1"/>
  <c r="U139" i="51"/>
  <c r="W139" i="51" s="1"/>
  <c r="J172" i="51"/>
  <c r="U81" i="51"/>
  <c r="W81" i="51" s="1"/>
  <c r="Z99" i="51"/>
  <c r="AB99" i="51" s="1"/>
  <c r="U102" i="51"/>
  <c r="W102" i="51" s="1"/>
  <c r="J156" i="51"/>
  <c r="Z156" i="51"/>
  <c r="AB156" i="51" s="1"/>
  <c r="U166" i="51"/>
  <c r="W166" i="51" s="1"/>
  <c r="U99" i="51"/>
  <c r="W99" i="51" s="1"/>
  <c r="Z100" i="51"/>
  <c r="AB100" i="51" s="1"/>
  <c r="U103" i="51"/>
  <c r="W103" i="51" s="1"/>
  <c r="U141" i="51"/>
  <c r="W141" i="51" s="1"/>
  <c r="J152" i="51"/>
  <c r="Z152" i="51"/>
  <c r="AB152" i="51" s="1"/>
  <c r="J167" i="51"/>
  <c r="U100" i="51"/>
  <c r="W100" i="51" s="1"/>
  <c r="Z101" i="51"/>
  <c r="AB101" i="51" s="1"/>
  <c r="U104" i="51"/>
  <c r="W104" i="51" s="1"/>
  <c r="J164" i="51"/>
  <c r="Z164" i="51"/>
  <c r="AB164" i="51" s="1"/>
  <c r="U167" i="51"/>
  <c r="W167" i="51" s="1"/>
  <c r="J215" i="51"/>
  <c r="Z149" i="51"/>
  <c r="AB149" i="51" s="1"/>
  <c r="Z153" i="51"/>
  <c r="AB153" i="51" s="1"/>
  <c r="J169" i="51"/>
  <c r="U169" i="51"/>
  <c r="W169" i="51" s="1"/>
  <c r="U174" i="51"/>
  <c r="W174" i="51" s="1"/>
  <c r="Z196" i="51"/>
  <c r="AB196" i="51" s="1"/>
  <c r="Z213" i="51"/>
  <c r="AB213" i="51" s="1"/>
  <c r="Z229" i="51"/>
  <c r="AB229" i="51" s="1"/>
  <c r="U230" i="51"/>
  <c r="W230" i="51" s="1"/>
  <c r="U306" i="51"/>
  <c r="W306" i="51" s="1"/>
  <c r="Z154" i="51"/>
  <c r="AB154" i="51" s="1"/>
  <c r="Z158" i="51"/>
  <c r="AB158" i="51" s="1"/>
  <c r="Z171" i="51"/>
  <c r="AB171" i="51" s="1"/>
  <c r="Z194" i="51"/>
  <c r="AB194" i="51" s="1"/>
  <c r="U197" i="51"/>
  <c r="W197" i="51" s="1"/>
  <c r="U202" i="51"/>
  <c r="W202" i="51" s="1"/>
  <c r="Z205" i="51"/>
  <c r="AB205" i="51" s="1"/>
  <c r="U228" i="51"/>
  <c r="W228" i="51" s="1"/>
  <c r="U235" i="51"/>
  <c r="W235" i="51" s="1"/>
  <c r="U242" i="51"/>
  <c r="W242" i="51" s="1"/>
  <c r="Z270" i="51"/>
  <c r="AB270" i="51" s="1"/>
  <c r="J150" i="51"/>
  <c r="Z151" i="51"/>
  <c r="AB151" i="51" s="1"/>
  <c r="J154" i="51"/>
  <c r="J158" i="51"/>
  <c r="Z159" i="51"/>
  <c r="AB159" i="51" s="1"/>
  <c r="J162" i="51"/>
  <c r="U170" i="51"/>
  <c r="W170" i="51" s="1"/>
  <c r="U171" i="51"/>
  <c r="W171" i="51" s="1"/>
  <c r="J173" i="51"/>
  <c r="U173" i="51"/>
  <c r="W173" i="51" s="1"/>
  <c r="Z174" i="51"/>
  <c r="AB174" i="51" s="1"/>
  <c r="Z189" i="51"/>
  <c r="AB189" i="51" s="1"/>
  <c r="J214" i="51"/>
  <c r="J218" i="51"/>
  <c r="U231" i="51"/>
  <c r="W231" i="51" s="1"/>
  <c r="U261" i="51"/>
  <c r="W261" i="51" s="1"/>
  <c r="Z190" i="51"/>
  <c r="AB190" i="51" s="1"/>
  <c r="U193" i="51"/>
  <c r="W193" i="51" s="1"/>
  <c r="J202" i="51"/>
  <c r="J204" i="51"/>
  <c r="U208" i="51"/>
  <c r="W208" i="51" s="1"/>
  <c r="Z219" i="51"/>
  <c r="AB219" i="51" s="1"/>
  <c r="Z220" i="51"/>
  <c r="AB220" i="51" s="1"/>
  <c r="U227" i="51"/>
  <c r="W227" i="51" s="1"/>
  <c r="U232" i="51"/>
  <c r="W232" i="51" s="1"/>
  <c r="J270" i="51"/>
  <c r="U189" i="51"/>
  <c r="W189" i="51" s="1"/>
  <c r="U215" i="51"/>
  <c r="W215" i="51" s="1"/>
  <c r="Z223" i="51"/>
  <c r="AB223" i="51" s="1"/>
  <c r="Z252" i="51"/>
  <c r="AB252" i="51" s="1"/>
  <c r="U199" i="51"/>
  <c r="W199" i="51" s="1"/>
  <c r="J200" i="51"/>
  <c r="Z208" i="51"/>
  <c r="AB208" i="51" s="1"/>
  <c r="U214" i="51"/>
  <c r="W214" i="51" s="1"/>
  <c r="U218" i="51"/>
  <c r="W218" i="51" s="1"/>
  <c r="U226" i="51"/>
  <c r="W226" i="51" s="1"/>
  <c r="Z227" i="51"/>
  <c r="AB227" i="51" s="1"/>
  <c r="Z232" i="51"/>
  <c r="AB232" i="51" s="1"/>
  <c r="U241" i="51"/>
  <c r="W241" i="51" s="1"/>
  <c r="J254" i="51"/>
  <c r="J256" i="51"/>
  <c r="U249" i="51"/>
  <c r="W249" i="51" s="1"/>
  <c r="Z257" i="51"/>
  <c r="AB257" i="51" s="1"/>
  <c r="U253" i="51"/>
  <c r="W253" i="51" s="1"/>
  <c r="J264" i="51"/>
  <c r="Z280" i="51"/>
  <c r="AB280" i="51" s="1"/>
  <c r="U250" i="51"/>
  <c r="W250" i="51" s="1"/>
  <c r="Z263" i="51"/>
  <c r="AB263" i="51" s="1"/>
  <c r="Z302" i="51"/>
  <c r="AB302" i="51" s="1"/>
  <c r="U219" i="51"/>
  <c r="W219" i="51" s="1"/>
  <c r="Z221" i="51"/>
  <c r="AB221" i="51" s="1"/>
  <c r="U224" i="51"/>
  <c r="W224" i="51" s="1"/>
  <c r="U247" i="51"/>
  <c r="W247" i="51" s="1"/>
  <c r="J258" i="51"/>
  <c r="U270" i="51"/>
  <c r="W270" i="51" s="1"/>
  <c r="Z277" i="51"/>
  <c r="AB277" i="51" s="1"/>
  <c r="Z199" i="51"/>
  <c r="AB199" i="51" s="1"/>
  <c r="U203" i="51"/>
  <c r="W203" i="51" s="1"/>
  <c r="U204" i="51"/>
  <c r="W204" i="51" s="1"/>
  <c r="J206" i="51"/>
  <c r="U206" i="51"/>
  <c r="W206" i="51" s="1"/>
  <c r="J216" i="51"/>
  <c r="U216" i="51"/>
  <c r="W216" i="51" s="1"/>
  <c r="J217" i="51"/>
  <c r="U220" i="51"/>
  <c r="W220" i="51" s="1"/>
  <c r="U236" i="51"/>
  <c r="W236" i="51" s="1"/>
  <c r="Z238" i="51"/>
  <c r="AB238" i="51" s="1"/>
  <c r="U251" i="51"/>
  <c r="W251" i="51" s="1"/>
  <c r="U256" i="51"/>
  <c r="W256" i="51" s="1"/>
  <c r="U269" i="51"/>
  <c r="W269" i="51" s="1"/>
  <c r="J275" i="51"/>
  <c r="Z310" i="51"/>
  <c r="AB310" i="51" s="1"/>
  <c r="J263" i="51"/>
  <c r="U268" i="51"/>
  <c r="W268" i="51" s="1"/>
  <c r="J269" i="51"/>
  <c r="Z271" i="51"/>
  <c r="AB271" i="51" s="1"/>
  <c r="U275" i="51"/>
  <c r="W275" i="51" s="1"/>
  <c r="U276" i="51"/>
  <c r="W276" i="51" s="1"/>
  <c r="J279" i="51"/>
  <c r="U302" i="51"/>
  <c r="W302" i="51" s="1"/>
  <c r="U313" i="51"/>
  <c r="W313" i="51" s="1"/>
  <c r="U142" i="51"/>
  <c r="W142" i="51" s="1"/>
  <c r="U168" i="51"/>
  <c r="W168" i="51" s="1"/>
  <c r="Z169" i="51"/>
  <c r="AB169" i="51" s="1"/>
  <c r="U172" i="51"/>
  <c r="W172" i="51" s="1"/>
  <c r="U201" i="51"/>
  <c r="W201" i="51" s="1"/>
  <c r="Z202" i="51"/>
  <c r="AB202" i="51" s="1"/>
  <c r="U205" i="51"/>
  <c r="W205" i="51" s="1"/>
  <c r="U237" i="51"/>
  <c r="W237" i="51" s="1"/>
  <c r="U238" i="51"/>
  <c r="W238" i="51" s="1"/>
  <c r="J240" i="51"/>
  <c r="U240" i="51"/>
  <c r="W240" i="51" s="1"/>
  <c r="U243" i="51"/>
  <c r="W243" i="51" s="1"/>
  <c r="Z255" i="51"/>
  <c r="AB255" i="51" s="1"/>
  <c r="U262" i="51"/>
  <c r="W262" i="51" s="1"/>
  <c r="U264" i="51"/>
  <c r="W264" i="51" s="1"/>
  <c r="Z297" i="51"/>
  <c r="AB297" i="51" s="1"/>
  <c r="Z298" i="51"/>
  <c r="AB298" i="51" s="1"/>
  <c r="U312" i="51"/>
  <c r="W312" i="51" s="1"/>
  <c r="Z314" i="51"/>
  <c r="AB314" i="51" s="1"/>
  <c r="U315" i="51"/>
  <c r="W315" i="51" s="1"/>
  <c r="U239" i="51"/>
  <c r="W239" i="51" s="1"/>
  <c r="Z253" i="51"/>
  <c r="AB253" i="51" s="1"/>
  <c r="U257" i="51"/>
  <c r="W257" i="51" s="1"/>
  <c r="U258" i="51"/>
  <c r="W258" i="51" s="1"/>
  <c r="J260" i="51"/>
  <c r="U260" i="51"/>
  <c r="W260" i="51" s="1"/>
  <c r="Z261" i="51"/>
  <c r="AB261" i="51" s="1"/>
  <c r="U271" i="51"/>
  <c r="W271" i="51" s="1"/>
  <c r="U272" i="51"/>
  <c r="W272" i="51" s="1"/>
  <c r="Z276" i="51"/>
  <c r="AB276" i="51" s="1"/>
  <c r="U277" i="51"/>
  <c r="W277" i="51" s="1"/>
  <c r="U279" i="51"/>
  <c r="W279" i="51" s="1"/>
  <c r="U280" i="51"/>
  <c r="W280" i="51" s="1"/>
  <c r="U299" i="51"/>
  <c r="W299" i="51" s="1"/>
  <c r="U303" i="51"/>
  <c r="W303" i="51" s="1"/>
  <c r="U307" i="51"/>
  <c r="W307" i="51" s="1"/>
  <c r="U255" i="51"/>
  <c r="W255" i="51" s="1"/>
  <c r="Z256" i="51"/>
  <c r="AB256" i="51" s="1"/>
  <c r="U259" i="51"/>
  <c r="W259" i="51" s="1"/>
  <c r="U263" i="51"/>
  <c r="W263" i="51" s="1"/>
  <c r="Z264" i="51"/>
  <c r="AB264" i="51" s="1"/>
  <c r="U298" i="51"/>
  <c r="W298" i="51" s="1"/>
  <c r="J299" i="51"/>
  <c r="Z301" i="51"/>
  <c r="AB301" i="51" s="1"/>
  <c r="J303" i="51"/>
  <c r="J307" i="51"/>
  <c r="U311" i="51"/>
  <c r="W311" i="51" s="1"/>
  <c r="Z304" i="51"/>
  <c r="AB304" i="51" s="1"/>
  <c r="Z308" i="51"/>
  <c r="AB308" i="51" s="1"/>
  <c r="U309" i="51"/>
  <c r="W309" i="51" s="1"/>
  <c r="U278" i="51"/>
  <c r="W278" i="51" s="1"/>
  <c r="Z279" i="51"/>
  <c r="AB279" i="51" s="1"/>
  <c r="J297" i="51"/>
  <c r="J300" i="51"/>
  <c r="U300" i="51"/>
  <c r="W300" i="51" s="1"/>
  <c r="J301" i="51"/>
  <c r="J304" i="51"/>
  <c r="U304" i="51"/>
  <c r="W304" i="51" s="1"/>
  <c r="J305" i="51"/>
  <c r="J308" i="51"/>
  <c r="U308" i="51"/>
  <c r="W308" i="51" s="1"/>
  <c r="J38" i="47"/>
  <c r="K22" i="47"/>
  <c r="K50" i="47"/>
  <c r="K6" i="47"/>
  <c r="K17" i="47" s="1"/>
  <c r="D32" i="46"/>
  <c r="F35" i="46"/>
  <c r="F37" i="46"/>
  <c r="F39" i="46"/>
  <c r="F41" i="46"/>
  <c r="E37" i="46"/>
  <c r="E41" i="46"/>
  <c r="P25" i="46"/>
  <c r="H28" i="46"/>
  <c r="E45" i="46" s="1"/>
  <c r="H27" i="46"/>
  <c r="H47" i="46"/>
  <c r="O17" i="46"/>
  <c r="J47" i="46"/>
  <c r="C48" i="46"/>
  <c r="C18" i="46"/>
  <c r="G18" i="46"/>
  <c r="J48" i="46"/>
  <c r="H48" i="46"/>
  <c r="O18" i="46"/>
  <c r="C49" i="46"/>
  <c r="C19" i="46"/>
  <c r="G19" i="46"/>
  <c r="H49" i="46"/>
  <c r="O19" i="46"/>
  <c r="J49" i="46"/>
  <c r="C50" i="46"/>
  <c r="C20" i="46"/>
  <c r="G20" i="46"/>
  <c r="J50" i="46"/>
  <c r="H50" i="46"/>
  <c r="O20" i="46"/>
  <c r="C51" i="46"/>
  <c r="C21" i="46"/>
  <c r="G21" i="46"/>
  <c r="J51" i="46"/>
  <c r="H51" i="46"/>
  <c r="O21" i="46"/>
  <c r="L38" i="46" s="1"/>
  <c r="C52" i="46"/>
  <c r="C22" i="46"/>
  <c r="G22" i="46"/>
  <c r="J52" i="46"/>
  <c r="H52" i="46"/>
  <c r="O22" i="46"/>
  <c r="C53" i="46"/>
  <c r="C23" i="46"/>
  <c r="G23" i="46"/>
  <c r="J53" i="46"/>
  <c r="H53" i="46"/>
  <c r="O23" i="46"/>
  <c r="C54" i="46"/>
  <c r="C24" i="46"/>
  <c r="G24" i="46"/>
  <c r="J54" i="46"/>
  <c r="H54" i="46"/>
  <c r="O24" i="46"/>
  <c r="C55" i="46"/>
  <c r="C25" i="46"/>
  <c r="F31" i="46"/>
  <c r="E35" i="46"/>
  <c r="E39" i="46"/>
  <c r="H26" i="46"/>
  <c r="E43" i="46" s="1"/>
  <c r="P27" i="46"/>
  <c r="C17" i="46"/>
  <c r="O25" i="46"/>
  <c r="C26" i="46"/>
  <c r="O26" i="46"/>
  <c r="I43" i="46" s="1"/>
  <c r="C27" i="46"/>
  <c r="O27" i="46"/>
  <c r="C28" i="46"/>
  <c r="O28" i="46"/>
  <c r="K31" i="46"/>
  <c r="F48" i="46"/>
  <c r="F50" i="46"/>
  <c r="F52" i="46"/>
  <c r="F54" i="46"/>
  <c r="F56" i="46"/>
  <c r="F58" i="46"/>
  <c r="I17" i="46"/>
  <c r="I19" i="46"/>
  <c r="I21" i="46"/>
  <c r="I23" i="46"/>
  <c r="E24" i="46"/>
  <c r="E31" i="46" s="1"/>
  <c r="I25" i="46"/>
  <c r="I27" i="46"/>
  <c r="H56" i="46"/>
  <c r="H58" i="46"/>
  <c r="J17" i="46"/>
  <c r="J19" i="46"/>
  <c r="G36" i="46" s="1"/>
  <c r="J21" i="46"/>
  <c r="G38" i="46" s="1"/>
  <c r="J23" i="46"/>
  <c r="G40" i="46" s="1"/>
  <c r="J25" i="46"/>
  <c r="G42" i="46" s="1"/>
  <c r="J27" i="46"/>
  <c r="G44" i="46" s="1"/>
  <c r="R103" i="44"/>
  <c r="N103" i="44"/>
  <c r="T103" i="44"/>
  <c r="P103" i="44"/>
  <c r="Q103" i="44"/>
  <c r="M103" i="44"/>
  <c r="L103" i="44"/>
  <c r="K108" i="44"/>
  <c r="I108" i="44"/>
  <c r="J108" i="44"/>
  <c r="F13" i="44"/>
  <c r="C11" i="44"/>
  <c r="G13" i="44"/>
  <c r="K13" i="44"/>
  <c r="R98" i="44"/>
  <c r="P98" i="44"/>
  <c r="Q98" i="44"/>
  <c r="T98" i="44"/>
  <c r="O103" i="44"/>
  <c r="H108" i="44"/>
  <c r="N13" i="44"/>
  <c r="D13" i="44"/>
  <c r="H13" i="44"/>
  <c r="L13" i="44"/>
  <c r="S98" i="44"/>
  <c r="P102" i="44"/>
  <c r="L102" i="44"/>
  <c r="N102" i="44"/>
  <c r="O102" i="44"/>
  <c r="S103" i="44"/>
  <c r="K106" i="44"/>
  <c r="M106" i="44"/>
  <c r="I106" i="44"/>
  <c r="J106" i="44"/>
  <c r="L108" i="44"/>
  <c r="O109" i="44"/>
  <c r="S109" i="44"/>
  <c r="S97" i="44"/>
  <c r="Q99" i="44"/>
  <c r="L101" i="44"/>
  <c r="P101" i="44"/>
  <c r="M105" i="44"/>
  <c r="H109" i="44"/>
  <c r="L109" i="44"/>
  <c r="P109" i="44"/>
  <c r="T109" i="44"/>
  <c r="J110" i="44"/>
  <c r="N110" i="44"/>
  <c r="R110" i="44"/>
  <c r="O101" i="44"/>
  <c r="K109" i="44"/>
  <c r="P97" i="44"/>
  <c r="N99" i="44"/>
  <c r="M101" i="44"/>
  <c r="J105" i="44"/>
  <c r="I109" i="44"/>
  <c r="M109" i="44"/>
  <c r="K110" i="44"/>
  <c r="O110" i="44"/>
  <c r="G12" i="43"/>
  <c r="G14" i="43"/>
  <c r="K14" i="43"/>
  <c r="P150" i="43"/>
  <c r="L150" i="43"/>
  <c r="L170" i="43" s="1"/>
  <c r="L102" i="43" s="1"/>
  <c r="L103" i="43" s="1"/>
  <c r="H11" i="43" s="1"/>
  <c r="H16" i="43" s="1"/>
  <c r="O150" i="43"/>
  <c r="M150" i="43"/>
  <c r="M170" i="43" s="1"/>
  <c r="M102" i="43" s="1"/>
  <c r="M103" i="43" s="1"/>
  <c r="I11" i="43" s="1"/>
  <c r="N150" i="43"/>
  <c r="E16" i="43"/>
  <c r="M14" i="43"/>
  <c r="G105" i="43"/>
  <c r="C4" i="43" s="1"/>
  <c r="C6" i="43" s="1"/>
  <c r="U135" i="43"/>
  <c r="F14" i="43"/>
  <c r="J14" i="43"/>
  <c r="N14" i="43"/>
  <c r="U132" i="43"/>
  <c r="T133" i="43"/>
  <c r="S134" i="43"/>
  <c r="R135" i="43"/>
  <c r="S137" i="43"/>
  <c r="Q138" i="43"/>
  <c r="U138" i="43"/>
  <c r="O141" i="43"/>
  <c r="S141" i="43"/>
  <c r="O144" i="43"/>
  <c r="D12" i="43"/>
  <c r="K105" i="43"/>
  <c r="G4" i="43" s="1"/>
  <c r="T138" i="43"/>
  <c r="U133" i="43"/>
  <c r="S135" i="43"/>
  <c r="T137" i="43"/>
  <c r="R138" i="43"/>
  <c r="P141" i="43"/>
  <c r="E14" i="43"/>
  <c r="I14" i="43"/>
  <c r="R141" i="43"/>
  <c r="Q137" i="43"/>
  <c r="Y157" i="42"/>
  <c r="U157" i="42"/>
  <c r="X157" i="42"/>
  <c r="W157" i="42"/>
  <c r="F31" i="42"/>
  <c r="E32" i="42"/>
  <c r="S182" i="42"/>
  <c r="O182" i="42"/>
  <c r="V182" i="42"/>
  <c r="R182" i="42"/>
  <c r="N182" i="42"/>
  <c r="U182" i="42"/>
  <c r="Q182" i="42"/>
  <c r="M182" i="42"/>
  <c r="T182" i="42"/>
  <c r="P182" i="42"/>
  <c r="H9" i="42"/>
  <c r="I32" i="42"/>
  <c r="D26" i="42"/>
  <c r="E31" i="42" s="1"/>
  <c r="H26" i="42"/>
  <c r="H31" i="42" s="1"/>
  <c r="L26" i="42"/>
  <c r="P26" i="42"/>
  <c r="X160" i="42"/>
  <c r="T160" i="42"/>
  <c r="W160" i="42"/>
  <c r="V160" i="42"/>
  <c r="X154" i="42"/>
  <c r="W154" i="42"/>
  <c r="Z154" i="42"/>
  <c r="V154" i="42"/>
  <c r="M8" i="42"/>
  <c r="C30" i="42"/>
  <c r="N31" i="42"/>
  <c r="G32" i="42"/>
  <c r="M32" i="42"/>
  <c r="V157" i="42"/>
  <c r="X365" i="42"/>
  <c r="Z365" i="42"/>
  <c r="V365" i="42"/>
  <c r="Y365" i="42"/>
  <c r="W365" i="42"/>
  <c r="Y142" i="42"/>
  <c r="AA152" i="42"/>
  <c r="AA195" i="42" s="1"/>
  <c r="AA133" i="42" s="1"/>
  <c r="AA134" i="42" s="1"/>
  <c r="O237" i="42"/>
  <c r="Z142" i="42"/>
  <c r="X152" i="42"/>
  <c r="X171" i="42"/>
  <c r="T171" i="42"/>
  <c r="W171" i="42"/>
  <c r="S171" i="42"/>
  <c r="Z171" i="42"/>
  <c r="V171" i="42"/>
  <c r="R171" i="42"/>
  <c r="K237" i="42"/>
  <c r="O238" i="42"/>
  <c r="P237" i="42"/>
  <c r="V364" i="42"/>
  <c r="X364" i="42"/>
  <c r="Y364" i="42"/>
  <c r="W364" i="42"/>
  <c r="I439" i="42"/>
  <c r="D222" i="42"/>
  <c r="D23" i="42" s="1"/>
  <c r="M222" i="42"/>
  <c r="H23" i="42" s="1"/>
  <c r="Q222" i="42"/>
  <c r="L23" i="42" s="1"/>
  <c r="U222" i="42"/>
  <c r="P23" i="42" s="1"/>
  <c r="J237" i="42"/>
  <c r="N237" i="42"/>
  <c r="R237" i="42"/>
  <c r="J375" i="42"/>
  <c r="L371" i="42"/>
  <c r="S384" i="42"/>
  <c r="U384" i="42"/>
  <c r="Q384" i="42"/>
  <c r="R384" i="42"/>
  <c r="S390" i="42"/>
  <c r="O390" i="42"/>
  <c r="Q390" i="42"/>
  <c r="P390" i="42"/>
  <c r="Q440" i="42"/>
  <c r="S174" i="42"/>
  <c r="P175" i="42"/>
  <c r="T175" i="42"/>
  <c r="X175" i="42"/>
  <c r="Q176" i="42"/>
  <c r="Q179" i="42"/>
  <c r="N183" i="42"/>
  <c r="N186" i="42"/>
  <c r="G187" i="42"/>
  <c r="O187" i="42"/>
  <c r="G190" i="42"/>
  <c r="O190" i="42"/>
  <c r="S190" i="42"/>
  <c r="O191" i="42"/>
  <c r="I237" i="42"/>
  <c r="M237" i="42"/>
  <c r="Q237" i="42"/>
  <c r="Z354" i="42"/>
  <c r="Y391" i="42"/>
  <c r="U391" i="42"/>
  <c r="Q391" i="42"/>
  <c r="W391" i="42"/>
  <c r="S391" i="42"/>
  <c r="O391" i="42"/>
  <c r="V391" i="42"/>
  <c r="I442" i="42"/>
  <c r="T172" i="42"/>
  <c r="P174" i="42"/>
  <c r="T174" i="42"/>
  <c r="Q175" i="42"/>
  <c r="U175" i="42"/>
  <c r="R176" i="42"/>
  <c r="R179" i="42"/>
  <c r="O183" i="42"/>
  <c r="O186" i="42"/>
  <c r="P190" i="42"/>
  <c r="P191" i="42"/>
  <c r="J370" i="42"/>
  <c r="L367" i="42"/>
  <c r="V374" i="42"/>
  <c r="X374" i="42"/>
  <c r="T374" i="42"/>
  <c r="P391" i="42"/>
  <c r="X391" i="42"/>
  <c r="M540" i="42"/>
  <c r="H431" i="42" s="1"/>
  <c r="R175" i="42"/>
  <c r="O176" i="42"/>
  <c r="M190" i="42"/>
  <c r="M191" i="42"/>
  <c r="Y354" i="42"/>
  <c r="AA354" i="42"/>
  <c r="AA400" i="42" s="1"/>
  <c r="Y366" i="42"/>
  <c r="U366" i="42"/>
  <c r="W366" i="42"/>
  <c r="R389" i="42"/>
  <c r="T389" i="42"/>
  <c r="P389" i="42"/>
  <c r="H439" i="42"/>
  <c r="L440" i="42"/>
  <c r="P440" i="42"/>
  <c r="Y355" i="42"/>
  <c r="S381" i="42"/>
  <c r="Q396" i="42"/>
  <c r="O397" i="42"/>
  <c r="S397" i="42"/>
  <c r="W397" i="42"/>
  <c r="J435" i="42"/>
  <c r="K440" i="42" s="1"/>
  <c r="N435" i="42"/>
  <c r="O440" i="42" s="1"/>
  <c r="R435" i="42"/>
  <c r="S561" i="42"/>
  <c r="P565" i="42"/>
  <c r="P568" i="42" s="1"/>
  <c r="P538" i="42" s="1"/>
  <c r="P539" i="42" s="1"/>
  <c r="K438" i="42" s="1"/>
  <c r="Q397" i="42"/>
  <c r="L234" i="41"/>
  <c r="K234" i="41"/>
  <c r="J234" i="41"/>
  <c r="I234" i="41"/>
  <c r="D15" i="41"/>
  <c r="E15" i="41"/>
  <c r="H15" i="41"/>
  <c r="I15" i="41"/>
  <c r="L15" i="41"/>
  <c r="M15" i="41"/>
  <c r="H238" i="41"/>
  <c r="I238" i="41"/>
  <c r="G238" i="41"/>
  <c r="J238" i="41"/>
  <c r="H14" i="41"/>
  <c r="N223" i="41"/>
  <c r="M227" i="41"/>
  <c r="M242" i="41" s="1"/>
  <c r="M174" i="41" s="1"/>
  <c r="M175" i="41" s="1"/>
  <c r="I11" i="41" s="1"/>
  <c r="D8" i="41"/>
  <c r="E14" i="41" s="1"/>
  <c r="L8" i="41"/>
  <c r="M14" i="41" s="1"/>
  <c r="S198" i="41"/>
  <c r="U200" i="41"/>
  <c r="U242" i="41" s="1"/>
  <c r="U174" i="41" s="1"/>
  <c r="U175" i="41" s="1"/>
  <c r="O208" i="41"/>
  <c r="S208" i="41"/>
  <c r="N211" i="41"/>
  <c r="R211" i="41"/>
  <c r="N212" i="41"/>
  <c r="R212" i="41"/>
  <c r="K223" i="41"/>
  <c r="O223" i="41"/>
  <c r="J231" i="41"/>
  <c r="Q212" i="41"/>
  <c r="F14" i="41"/>
  <c r="N14" i="41"/>
  <c r="T198" i="41"/>
  <c r="T242" i="41" s="1"/>
  <c r="T174" i="41" s="1"/>
  <c r="T175" i="41" s="1"/>
  <c r="P208" i="41"/>
  <c r="P242" i="41" s="1"/>
  <c r="P174" i="41" s="1"/>
  <c r="P175" i="41" s="1"/>
  <c r="O211" i="41"/>
  <c r="S211" i="41"/>
  <c r="O212" i="41"/>
  <c r="L223" i="41"/>
  <c r="K227" i="41"/>
  <c r="K231" i="41"/>
  <c r="R208" i="41"/>
  <c r="Q211" i="41"/>
  <c r="D15" i="40"/>
  <c r="E15" i="40"/>
  <c r="H15" i="40"/>
  <c r="I15" i="40"/>
  <c r="L15" i="40"/>
  <c r="M15" i="40"/>
  <c r="K14" i="40"/>
  <c r="G15" i="40"/>
  <c r="J101" i="40"/>
  <c r="E4" i="40" s="1"/>
  <c r="E6" i="40" s="1"/>
  <c r="F16" i="40"/>
  <c r="R124" i="40"/>
  <c r="Q124" i="40"/>
  <c r="S124" i="40"/>
  <c r="P124" i="40"/>
  <c r="O124" i="40"/>
  <c r="E12" i="40"/>
  <c r="F12" i="40"/>
  <c r="F14" i="40"/>
  <c r="J14" i="40"/>
  <c r="D16" i="40"/>
  <c r="H16" i="40"/>
  <c r="R176" i="40"/>
  <c r="M5" i="40" s="1"/>
  <c r="N14" i="40"/>
  <c r="G14" i="40"/>
  <c r="K15" i="40"/>
  <c r="L101" i="40"/>
  <c r="G4" i="40" s="1"/>
  <c r="O176" i="40"/>
  <c r="J5" i="40" s="1"/>
  <c r="S120" i="40"/>
  <c r="D8" i="40"/>
  <c r="E14" i="40" s="1"/>
  <c r="H8" i="40"/>
  <c r="L8" i="40"/>
  <c r="M14" i="40" s="1"/>
  <c r="G116" i="40"/>
  <c r="R118" i="40"/>
  <c r="T119" i="40"/>
  <c r="P120" i="40"/>
  <c r="T120" i="40"/>
  <c r="Q126" i="40"/>
  <c r="U126" i="40"/>
  <c r="G128" i="40"/>
  <c r="U129" i="40"/>
  <c r="V133" i="40"/>
  <c r="G136" i="40"/>
  <c r="G12" i="40"/>
  <c r="Q120" i="40"/>
  <c r="U120" i="40"/>
  <c r="R126" i="40"/>
  <c r="V126" i="40"/>
  <c r="V129" i="40"/>
  <c r="K101" i="40"/>
  <c r="F4" i="40" s="1"/>
  <c r="F6" i="40" s="1"/>
  <c r="R120" i="40"/>
  <c r="O126" i="40"/>
  <c r="Q133" i="39"/>
  <c r="P133" i="39"/>
  <c r="S133" i="39"/>
  <c r="O133" i="39"/>
  <c r="N157" i="39" s="1"/>
  <c r="E15" i="39"/>
  <c r="M15" i="39"/>
  <c r="S131" i="39"/>
  <c r="R131" i="39"/>
  <c r="U131" i="39"/>
  <c r="U157" i="39" s="1"/>
  <c r="U108" i="39" s="1"/>
  <c r="Q131" i="39"/>
  <c r="F15" i="39"/>
  <c r="T131" i="39"/>
  <c r="R133" i="39"/>
  <c r="J15" i="39"/>
  <c r="K14" i="39"/>
  <c r="N15" i="39"/>
  <c r="E8" i="39"/>
  <c r="I8" i="39"/>
  <c r="M8" i="39"/>
  <c r="S130" i="39"/>
  <c r="R132" i="39"/>
  <c r="T130" i="39"/>
  <c r="S132" i="39"/>
  <c r="Q130" i="39"/>
  <c r="P132" i="39"/>
  <c r="E16" i="38"/>
  <c r="C6" i="38"/>
  <c r="L90" i="38"/>
  <c r="G4" i="38" s="1"/>
  <c r="G6" i="38" s="1"/>
  <c r="D16" i="38"/>
  <c r="D12" i="38"/>
  <c r="H12" i="38"/>
  <c r="D15" i="38"/>
  <c r="H15" i="38"/>
  <c r="L15" i="38"/>
  <c r="H16" i="38"/>
  <c r="E6" i="38"/>
  <c r="J14" i="38"/>
  <c r="M90" i="38"/>
  <c r="H4" i="38" s="1"/>
  <c r="H6" i="38" s="1"/>
  <c r="N102" i="38"/>
  <c r="N119" i="38" s="1"/>
  <c r="N88" i="38" s="1"/>
  <c r="N89" i="38" s="1"/>
  <c r="I11" i="38" s="1"/>
  <c r="I16" i="38" s="1"/>
  <c r="R102" i="38"/>
  <c r="R119" i="38" s="1"/>
  <c r="R88" i="38" s="1"/>
  <c r="R89" i="38" s="1"/>
  <c r="M11" i="38" s="1"/>
  <c r="I90" i="38"/>
  <c r="D4" i="38" s="1"/>
  <c r="Q102" i="38"/>
  <c r="Q119" i="38" s="1"/>
  <c r="Q88" i="38" s="1"/>
  <c r="Q89" i="38" s="1"/>
  <c r="L11" i="38" s="1"/>
  <c r="L16" i="38" s="1"/>
  <c r="C8" i="38"/>
  <c r="G8" i="38"/>
  <c r="H14" i="38" s="1"/>
  <c r="K8" i="38"/>
  <c r="E15" i="38"/>
  <c r="I15" i="38"/>
  <c r="O102" i="38"/>
  <c r="O119" i="38" s="1"/>
  <c r="O88" i="38" s="1"/>
  <c r="O89" i="38" s="1"/>
  <c r="J11" i="38" s="1"/>
  <c r="I8" i="37"/>
  <c r="H15" i="37"/>
  <c r="I15" i="37"/>
  <c r="J8" i="37"/>
  <c r="C8" i="37"/>
  <c r="D14" i="37" s="1"/>
  <c r="G8" i="37"/>
  <c r="K8" i="37"/>
  <c r="L14" i="37" s="1"/>
  <c r="I145" i="37"/>
  <c r="I149" i="37" s="1"/>
  <c r="M145" i="37"/>
  <c r="L145" i="37"/>
  <c r="E14" i="37"/>
  <c r="G142" i="37"/>
  <c r="J145" i="37"/>
  <c r="N145" i="37"/>
  <c r="R145" i="37"/>
  <c r="O145" i="37"/>
  <c r="J7" i="36"/>
  <c r="R7" i="36" s="1"/>
  <c r="J9" i="36"/>
  <c r="R9" i="36" s="1"/>
  <c r="J10" i="36"/>
  <c r="R10" i="36" s="1"/>
  <c r="J8" i="36"/>
  <c r="R8" i="36" s="1"/>
  <c r="R11" i="36"/>
  <c r="J4" i="36"/>
  <c r="R4" i="36" s="1"/>
  <c r="J5" i="36"/>
  <c r="R5" i="36" s="1"/>
  <c r="F14" i="35"/>
  <c r="E12" i="35"/>
  <c r="E14" i="35"/>
  <c r="D15" i="35"/>
  <c r="E15" i="35"/>
  <c r="H162" i="35"/>
  <c r="C4" i="35" s="1"/>
  <c r="L162" i="35"/>
  <c r="G4" i="35" s="1"/>
  <c r="D16" i="35"/>
  <c r="H16" i="35"/>
  <c r="S176" i="35"/>
  <c r="S185" i="35" s="1"/>
  <c r="S160" i="35" s="1"/>
  <c r="S161" i="35" s="1"/>
  <c r="N11" i="35" s="1"/>
  <c r="N12" i="35" s="1"/>
  <c r="P176" i="35"/>
  <c r="P185" i="35" s="1"/>
  <c r="P160" i="35" s="1"/>
  <c r="P161" i="35" s="1"/>
  <c r="K11" i="35" s="1"/>
  <c r="K16" i="35" s="1"/>
  <c r="R176" i="35"/>
  <c r="R185" i="35" s="1"/>
  <c r="R160" i="35" s="1"/>
  <c r="R161" i="35" s="1"/>
  <c r="M11" i="35" s="1"/>
  <c r="Q176" i="35"/>
  <c r="Q185" i="35" s="1"/>
  <c r="Q160" i="35" s="1"/>
  <c r="Q161" i="35" s="1"/>
  <c r="L11" i="35" s="1"/>
  <c r="T176" i="35"/>
  <c r="D12" i="35"/>
  <c r="E16" i="35"/>
  <c r="I16" i="35"/>
  <c r="N14" i="35"/>
  <c r="M14" i="35"/>
  <c r="H15" i="35"/>
  <c r="I15" i="35"/>
  <c r="O219" i="35"/>
  <c r="J5" i="35" s="1"/>
  <c r="G12" i="35"/>
  <c r="H14" i="35"/>
  <c r="C12" i="35"/>
  <c r="I8" i="35"/>
  <c r="J162" i="35"/>
  <c r="E4" i="35" s="1"/>
  <c r="E6" i="35" s="1"/>
  <c r="L14" i="35"/>
  <c r="AC263" i="51" l="1"/>
  <c r="AD263" i="51" s="1"/>
  <c r="M44" i="46"/>
  <c r="G6" i="43"/>
  <c r="L12" i="35"/>
  <c r="L40" i="46"/>
  <c r="Z275" i="51"/>
  <c r="AB275" i="51" s="1"/>
  <c r="Z300" i="51"/>
  <c r="AB300" i="51" s="1"/>
  <c r="AC300" i="51" s="1"/>
  <c r="AD300" i="51" s="1"/>
  <c r="Z305" i="51"/>
  <c r="AB305" i="51" s="1"/>
  <c r="Z260" i="51"/>
  <c r="AB260" i="51" s="1"/>
  <c r="Z240" i="51"/>
  <c r="AB240" i="51" s="1"/>
  <c r="AC240" i="51" s="1"/>
  <c r="AD240" i="51" s="1"/>
  <c r="Z206" i="51"/>
  <c r="AB206" i="51" s="1"/>
  <c r="AC206" i="51" s="1"/>
  <c r="AD206" i="51" s="1"/>
  <c r="Z173" i="51"/>
  <c r="AB173" i="51" s="1"/>
  <c r="AC173" i="51" s="1"/>
  <c r="AD173" i="51" s="1"/>
  <c r="Z248" i="51"/>
  <c r="AB248" i="51" s="1"/>
  <c r="Z233" i="51"/>
  <c r="AB233" i="51" s="1"/>
  <c r="Z272" i="51"/>
  <c r="AB272" i="51" s="1"/>
  <c r="Z244" i="51"/>
  <c r="AB244" i="51" s="1"/>
  <c r="AC244" i="51" s="1"/>
  <c r="AD244" i="51" s="1"/>
  <c r="Z258" i="51"/>
  <c r="AB258" i="51" s="1"/>
  <c r="Z262" i="51"/>
  <c r="AB262" i="51" s="1"/>
  <c r="AC262" i="51" s="1"/>
  <c r="AD262" i="51" s="1"/>
  <c r="Z218" i="51"/>
  <c r="AB218" i="51" s="1"/>
  <c r="Z203" i="51"/>
  <c r="AB203" i="51" s="1"/>
  <c r="AC203" i="51" s="1"/>
  <c r="AD203" i="51" s="1"/>
  <c r="Z215" i="51"/>
  <c r="AB215" i="51" s="1"/>
  <c r="Z166" i="51"/>
  <c r="AB166" i="51" s="1"/>
  <c r="Z198" i="51"/>
  <c r="AB198" i="51" s="1"/>
  <c r="AC198" i="51" s="1"/>
  <c r="AD198" i="51" s="1"/>
  <c r="Z168" i="51"/>
  <c r="AB168" i="51" s="1"/>
  <c r="AC168" i="51" s="1"/>
  <c r="Z150" i="51"/>
  <c r="AB150" i="51" s="1"/>
  <c r="Z225" i="51"/>
  <c r="AB225" i="51" s="1"/>
  <c r="Z161" i="51"/>
  <c r="AB161" i="51" s="1"/>
  <c r="Z80" i="51"/>
  <c r="AB80" i="51" s="1"/>
  <c r="AC80" i="51" s="1"/>
  <c r="AD80" i="51" s="1"/>
  <c r="Z141" i="51"/>
  <c r="AB141" i="51" s="1"/>
  <c r="Z21" i="51"/>
  <c r="AB21" i="51" s="1"/>
  <c r="Z64" i="51"/>
  <c r="AB64" i="51" s="1"/>
  <c r="AC64" i="51" s="1"/>
  <c r="AD64" i="51" s="1"/>
  <c r="Z31" i="51"/>
  <c r="AB31" i="51" s="1"/>
  <c r="AC31" i="51" s="1"/>
  <c r="AD31" i="51" s="1"/>
  <c r="Z23" i="51"/>
  <c r="AB23" i="51" s="1"/>
  <c r="Z15" i="51"/>
  <c r="AB15" i="51" s="1"/>
  <c r="AC15" i="51" s="1"/>
  <c r="AD15" i="51" s="1"/>
  <c r="Z46" i="51"/>
  <c r="AB46" i="51" s="1"/>
  <c r="Z28" i="51"/>
  <c r="AB28" i="51" s="1"/>
  <c r="AC28" i="51" s="1"/>
  <c r="AD28" i="51" s="1"/>
  <c r="Z20" i="51"/>
  <c r="AB20" i="51" s="1"/>
  <c r="Z188" i="51"/>
  <c r="AB188" i="51" s="1"/>
  <c r="Z57" i="51"/>
  <c r="AB57" i="51" s="1"/>
  <c r="AC57" i="51" s="1"/>
  <c r="AD57" i="51" s="1"/>
  <c r="Z9" i="51"/>
  <c r="AB9" i="51" s="1"/>
  <c r="AC9" i="51" s="1"/>
  <c r="AD9" i="51" s="1"/>
  <c r="Z96" i="51"/>
  <c r="AB96" i="51" s="1"/>
  <c r="Z58" i="51"/>
  <c r="AB58" i="51" s="1"/>
  <c r="AC58" i="51" s="1"/>
  <c r="AD58" i="51" s="1"/>
  <c r="Z128" i="51"/>
  <c r="AB128" i="51" s="1"/>
  <c r="AC128" i="51" s="1"/>
  <c r="AD128" i="51" s="1"/>
  <c r="Z136" i="51"/>
  <c r="AB136" i="51" s="1"/>
  <c r="AC136" i="51" s="1"/>
  <c r="AD136" i="51" s="1"/>
  <c r="Z78" i="51"/>
  <c r="AB78" i="51" s="1"/>
  <c r="Z47" i="51"/>
  <c r="AB47" i="51" s="1"/>
  <c r="Z56" i="51"/>
  <c r="AB56" i="51" s="1"/>
  <c r="AC56" i="51" s="1"/>
  <c r="AD56" i="51" s="1"/>
  <c r="Z131" i="51"/>
  <c r="AB131" i="51" s="1"/>
  <c r="AC131" i="51" s="1"/>
  <c r="AD131" i="51" s="1"/>
  <c r="Z182" i="51"/>
  <c r="AB182" i="51" s="1"/>
  <c r="Z71" i="51"/>
  <c r="AB71" i="51" s="1"/>
  <c r="AC71" i="51" s="1"/>
  <c r="AD71" i="51" s="1"/>
  <c r="Z84" i="51"/>
  <c r="AB84" i="51" s="1"/>
  <c r="AC84" i="51" s="1"/>
  <c r="AD84" i="51" s="1"/>
  <c r="Z88" i="51"/>
  <c r="AB88" i="51" s="1"/>
  <c r="AC88" i="51" s="1"/>
  <c r="AD88" i="51" s="1"/>
  <c r="Z92" i="51"/>
  <c r="AB92" i="51" s="1"/>
  <c r="Z105" i="51"/>
  <c r="AB105" i="51" s="1"/>
  <c r="Z109" i="51"/>
  <c r="AB109" i="51" s="1"/>
  <c r="Z113" i="51"/>
  <c r="AB113" i="51" s="1"/>
  <c r="AC113" i="51" s="1"/>
  <c r="AD113" i="51" s="1"/>
  <c r="Z117" i="51"/>
  <c r="AB117" i="51" s="1"/>
  <c r="Z121" i="51"/>
  <c r="AB121" i="51" s="1"/>
  <c r="AC121" i="51" s="1"/>
  <c r="AD121" i="51" s="1"/>
  <c r="Z125" i="51"/>
  <c r="AB125" i="51" s="1"/>
  <c r="AC125" i="51" s="1"/>
  <c r="AD125" i="51" s="1"/>
  <c r="Z146" i="51"/>
  <c r="AB146" i="51" s="1"/>
  <c r="AC146" i="51" s="1"/>
  <c r="AD146" i="51" s="1"/>
  <c r="Z242" i="51"/>
  <c r="AB242" i="51" s="1"/>
  <c r="Z180" i="51"/>
  <c r="AB180" i="51" s="1"/>
  <c r="Z148" i="51"/>
  <c r="AB148" i="51" s="1"/>
  <c r="AC148" i="51" s="1"/>
  <c r="AD148" i="51" s="1"/>
  <c r="Z181" i="51"/>
  <c r="AB181" i="51" s="1"/>
  <c r="AC181" i="51" s="1"/>
  <c r="AD181" i="51" s="1"/>
  <c r="Z195" i="51"/>
  <c r="AB195" i="51" s="1"/>
  <c r="Z200" i="51"/>
  <c r="AB200" i="51" s="1"/>
  <c r="AC200" i="51" s="1"/>
  <c r="AD200" i="51" s="1"/>
  <c r="Z228" i="51"/>
  <c r="AB228" i="51" s="1"/>
  <c r="Z281" i="51"/>
  <c r="AB281" i="51" s="1"/>
  <c r="AC281" i="51" s="1"/>
  <c r="AD281" i="51" s="1"/>
  <c r="Z250" i="51"/>
  <c r="AB250" i="51" s="1"/>
  <c r="Z295" i="51"/>
  <c r="AB295" i="51" s="1"/>
  <c r="Z269" i="51"/>
  <c r="AB269" i="51" s="1"/>
  <c r="AC269" i="51" s="1"/>
  <c r="AD269" i="51" s="1"/>
  <c r="Z288" i="51"/>
  <c r="AB288" i="51" s="1"/>
  <c r="AC288" i="51" s="1"/>
  <c r="AD288" i="51" s="1"/>
  <c r="Z296" i="51"/>
  <c r="AB296" i="51" s="1"/>
  <c r="Z274" i="51"/>
  <c r="AB274" i="51" s="1"/>
  <c r="AC274" i="51" s="1"/>
  <c r="AD274" i="51" s="1"/>
  <c r="Z187" i="51"/>
  <c r="AB187" i="51" s="1"/>
  <c r="AC187" i="51" s="1"/>
  <c r="AD187" i="51" s="1"/>
  <c r="Z309" i="51"/>
  <c r="AB309" i="51" s="1"/>
  <c r="AC309" i="51" s="1"/>
  <c r="AD309" i="51" s="1"/>
  <c r="Z315" i="51"/>
  <c r="AB315" i="51" s="1"/>
  <c r="G618" i="52"/>
  <c r="K36" i="46"/>
  <c r="Z312" i="51"/>
  <c r="AB312" i="51" s="1"/>
  <c r="AC312" i="51" s="1"/>
  <c r="AD312" i="51" s="1"/>
  <c r="Z278" i="51"/>
  <c r="AB278" i="51" s="1"/>
  <c r="Z268" i="51"/>
  <c r="AB268" i="51" s="1"/>
  <c r="AC268" i="51" s="1"/>
  <c r="AD268" i="51" s="1"/>
  <c r="Z306" i="51"/>
  <c r="AB306" i="51" s="1"/>
  <c r="Z267" i="51"/>
  <c r="AB267" i="51" s="1"/>
  <c r="AC267" i="51" s="1"/>
  <c r="AD267" i="51" s="1"/>
  <c r="Z239" i="51"/>
  <c r="AB239" i="51" s="1"/>
  <c r="AC239" i="51" s="1"/>
  <c r="AD239" i="51" s="1"/>
  <c r="Z207" i="51"/>
  <c r="AB207" i="51" s="1"/>
  <c r="Z236" i="51"/>
  <c r="AB236" i="51" s="1"/>
  <c r="Z216" i="51"/>
  <c r="AB216" i="51" s="1"/>
  <c r="AC216" i="51" s="1"/>
  <c r="AD216" i="51" s="1"/>
  <c r="Z259" i="51"/>
  <c r="AB259" i="51" s="1"/>
  <c r="Z246" i="51"/>
  <c r="AB246" i="51" s="1"/>
  <c r="AC246" i="51" s="1"/>
  <c r="AD246" i="51" s="1"/>
  <c r="Z237" i="51"/>
  <c r="AB237" i="51" s="1"/>
  <c r="AC237" i="51" s="1"/>
  <c r="AD237" i="51" s="1"/>
  <c r="Z201" i="51"/>
  <c r="AB201" i="51" s="1"/>
  <c r="AC201" i="51" s="1"/>
  <c r="AD201" i="51" s="1"/>
  <c r="Z214" i="51"/>
  <c r="AB214" i="51" s="1"/>
  <c r="Z247" i="51"/>
  <c r="AB247" i="51" s="1"/>
  <c r="Z163" i="51"/>
  <c r="AB163" i="51" s="1"/>
  <c r="AC163" i="51" s="1"/>
  <c r="AD163" i="51" s="1"/>
  <c r="Z155" i="51"/>
  <c r="AB155" i="51" s="1"/>
  <c r="AC155" i="51" s="1"/>
  <c r="AD155" i="51" s="1"/>
  <c r="Z142" i="51"/>
  <c r="AB142" i="51" s="1"/>
  <c r="Z162" i="51"/>
  <c r="AB162" i="51" s="1"/>
  <c r="AC162" i="51" s="1"/>
  <c r="AD162" i="51" s="1"/>
  <c r="Z217" i="51"/>
  <c r="AB217" i="51" s="1"/>
  <c r="Z170" i="51"/>
  <c r="AB170" i="51" s="1"/>
  <c r="AC170" i="51" s="1"/>
  <c r="AD170" i="51" s="1"/>
  <c r="Z157" i="51"/>
  <c r="AB157" i="51" s="1"/>
  <c r="Z204" i="51"/>
  <c r="AB204" i="51" s="1"/>
  <c r="Z104" i="51"/>
  <c r="AB104" i="51" s="1"/>
  <c r="AC104" i="51" s="1"/>
  <c r="AD104" i="51" s="1"/>
  <c r="Z103" i="51"/>
  <c r="AB103" i="51" s="1"/>
  <c r="AC103" i="51" s="1"/>
  <c r="AD103" i="51" s="1"/>
  <c r="Z172" i="51"/>
  <c r="AB172" i="51" s="1"/>
  <c r="Z81" i="51"/>
  <c r="AB81" i="51" s="1"/>
  <c r="AC81" i="51" s="1"/>
  <c r="AD81" i="51" s="1"/>
  <c r="Z67" i="51"/>
  <c r="AB67" i="51" s="1"/>
  <c r="AC67" i="51" s="1"/>
  <c r="AD67" i="51" s="1"/>
  <c r="Z61" i="51"/>
  <c r="AB61" i="51" s="1"/>
  <c r="AC61" i="51" s="1"/>
  <c r="AD61" i="51" s="1"/>
  <c r="Z34" i="51"/>
  <c r="AB34" i="51" s="1"/>
  <c r="Z26" i="51"/>
  <c r="AB26" i="51" s="1"/>
  <c r="Z18" i="51"/>
  <c r="AB18" i="51" s="1"/>
  <c r="AC18" i="51" s="1"/>
  <c r="AD18" i="51" s="1"/>
  <c r="Z62" i="51"/>
  <c r="AB62" i="51" s="1"/>
  <c r="AC62" i="51" s="1"/>
  <c r="AD62" i="51" s="1"/>
  <c r="Z33" i="51"/>
  <c r="AB33" i="51" s="1"/>
  <c r="Z17" i="51"/>
  <c r="AB17" i="51" s="1"/>
  <c r="AC17" i="51" s="1"/>
  <c r="AD17" i="51" s="1"/>
  <c r="Z55" i="51"/>
  <c r="AB55" i="51" s="1"/>
  <c r="Z73" i="51"/>
  <c r="AB73" i="51" s="1"/>
  <c r="AC73" i="51" s="1"/>
  <c r="AD73" i="51" s="1"/>
  <c r="Z39" i="51"/>
  <c r="AB39" i="51" s="1"/>
  <c r="Z59" i="51"/>
  <c r="AB59" i="51" s="1"/>
  <c r="Z10" i="51"/>
  <c r="AB10" i="51" s="1"/>
  <c r="Z74" i="51"/>
  <c r="AB74" i="51" s="1"/>
  <c r="AC74" i="51" s="1"/>
  <c r="AD74" i="51" s="1"/>
  <c r="Z76" i="51"/>
  <c r="AB76" i="51" s="1"/>
  <c r="Z130" i="51"/>
  <c r="AB130" i="51" s="1"/>
  <c r="AC130" i="51" s="1"/>
  <c r="AD130" i="51" s="1"/>
  <c r="Z140" i="51"/>
  <c r="AB140" i="51" s="1"/>
  <c r="Z139" i="51"/>
  <c r="AB139" i="51" s="1"/>
  <c r="AC139" i="51" s="1"/>
  <c r="AD139" i="51" s="1"/>
  <c r="Z48" i="51"/>
  <c r="AB48" i="51" s="1"/>
  <c r="Z94" i="51"/>
  <c r="AB94" i="51" s="1"/>
  <c r="Z133" i="51"/>
  <c r="AB133" i="51" s="1"/>
  <c r="Z68" i="51"/>
  <c r="AB68" i="51" s="1"/>
  <c r="AC68" i="51" s="1"/>
  <c r="AD68" i="51" s="1"/>
  <c r="Z72" i="51"/>
  <c r="AB72" i="51" s="1"/>
  <c r="Z85" i="51"/>
  <c r="AB85" i="51" s="1"/>
  <c r="AC85" i="51" s="1"/>
  <c r="AD85" i="51" s="1"/>
  <c r="Z89" i="51"/>
  <c r="AB89" i="51" s="1"/>
  <c r="AC89" i="51" s="1"/>
  <c r="Z93" i="51"/>
  <c r="AB93" i="51" s="1"/>
  <c r="AC93" i="51" s="1"/>
  <c r="AD93" i="51" s="1"/>
  <c r="Z106" i="51"/>
  <c r="AB106" i="51" s="1"/>
  <c r="Z110" i="51"/>
  <c r="AB110" i="51" s="1"/>
  <c r="Z114" i="51"/>
  <c r="AB114" i="51" s="1"/>
  <c r="AC114" i="51" s="1"/>
  <c r="AD114" i="51" s="1"/>
  <c r="Z118" i="51"/>
  <c r="AB118" i="51" s="1"/>
  <c r="Z122" i="51"/>
  <c r="AB122" i="51" s="1"/>
  <c r="AC122" i="51" s="1"/>
  <c r="AD122" i="51" s="1"/>
  <c r="Z126" i="51"/>
  <c r="AB126" i="51" s="1"/>
  <c r="Z179" i="51"/>
  <c r="AB179" i="51" s="1"/>
  <c r="Z307" i="51"/>
  <c r="AB307" i="51" s="1"/>
  <c r="AC307" i="51" s="1"/>
  <c r="AD307" i="51" s="1"/>
  <c r="Z184" i="51"/>
  <c r="AB184" i="51" s="1"/>
  <c r="Z175" i="51"/>
  <c r="AB175" i="51" s="1"/>
  <c r="Z185" i="51"/>
  <c r="AB185" i="51" s="1"/>
  <c r="AC185" i="51" s="1"/>
  <c r="AD185" i="51" s="1"/>
  <c r="Z235" i="51"/>
  <c r="AB235" i="51" s="1"/>
  <c r="AC235" i="51" s="1"/>
  <c r="AD235" i="51" s="1"/>
  <c r="Z241" i="51"/>
  <c r="AB241" i="51" s="1"/>
  <c r="Z230" i="51"/>
  <c r="AB230" i="51" s="1"/>
  <c r="AC230" i="51" s="1"/>
  <c r="AD230" i="51" s="1"/>
  <c r="Z285" i="51"/>
  <c r="AB285" i="51" s="1"/>
  <c r="Z283" i="51"/>
  <c r="AB283" i="51" s="1"/>
  <c r="AC283" i="51" s="1"/>
  <c r="AD283" i="51" s="1"/>
  <c r="Z210" i="51"/>
  <c r="AB210" i="51" s="1"/>
  <c r="Z282" i="51"/>
  <c r="AB282" i="51" s="1"/>
  <c r="Z290" i="51"/>
  <c r="AB290" i="51" s="1"/>
  <c r="AC290" i="51" s="1"/>
  <c r="AD290" i="51" s="1"/>
  <c r="Z209" i="51"/>
  <c r="AB209" i="51" s="1"/>
  <c r="AC209" i="51" s="1"/>
  <c r="AD209" i="51" s="1"/>
  <c r="Z303" i="51"/>
  <c r="AB303" i="51" s="1"/>
  <c r="AC303" i="51" s="1"/>
  <c r="AD303" i="51" s="1"/>
  <c r="Z245" i="51"/>
  <c r="AB245" i="51" s="1"/>
  <c r="AC245" i="51" s="1"/>
  <c r="AD245" i="51" s="1"/>
  <c r="Z265" i="51"/>
  <c r="AB265" i="51" s="1"/>
  <c r="AC265" i="51" s="1"/>
  <c r="AD265" i="51" s="1"/>
  <c r="U610" i="52"/>
  <c r="I433" i="42"/>
  <c r="Q11" i="41"/>
  <c r="U176" i="41"/>
  <c r="Q4" i="41" s="1"/>
  <c r="Q6" i="41" s="1"/>
  <c r="AA135" i="42"/>
  <c r="V22" i="42" s="1"/>
  <c r="V24" i="42" s="1"/>
  <c r="V29" i="42"/>
  <c r="P11" i="37"/>
  <c r="V114" i="37"/>
  <c r="P4" i="37" s="1"/>
  <c r="P6" i="37" s="1"/>
  <c r="V162" i="35"/>
  <c r="Q4" i="35" s="1"/>
  <c r="Q6" i="35" s="1"/>
  <c r="Q11" i="35"/>
  <c r="L85" i="68"/>
  <c r="S149" i="37"/>
  <c r="S112" i="37" s="1"/>
  <c r="S113" i="37" s="1"/>
  <c r="M11" i="37" s="1"/>
  <c r="M12" i="37" s="1"/>
  <c r="E6" i="43"/>
  <c r="C612" i="52"/>
  <c r="D612" i="52" s="1"/>
  <c r="H6" i="35"/>
  <c r="G6" i="35"/>
  <c r="D15" i="37"/>
  <c r="L42" i="46"/>
  <c r="M42" i="46"/>
  <c r="D590" i="52"/>
  <c r="P590" i="52"/>
  <c r="P612" i="52" s="1"/>
  <c r="K41" i="46"/>
  <c r="K39" i="46"/>
  <c r="L35" i="46"/>
  <c r="K61" i="47"/>
  <c r="N227" i="41"/>
  <c r="N242" i="41" s="1"/>
  <c r="N174" i="41" s="1"/>
  <c r="N175" i="41" s="1"/>
  <c r="K45" i="46"/>
  <c r="K38" i="47"/>
  <c r="AC302" i="51"/>
  <c r="AD302" i="51" s="1"/>
  <c r="AC117" i="51"/>
  <c r="AD117" i="51" s="1"/>
  <c r="AC109" i="51"/>
  <c r="AD109" i="51" s="1"/>
  <c r="AC115" i="51"/>
  <c r="AD115" i="51" s="1"/>
  <c r="AC107" i="51"/>
  <c r="AD107" i="51" s="1"/>
  <c r="AC112" i="51"/>
  <c r="AD112" i="51" s="1"/>
  <c r="AC291" i="51"/>
  <c r="AD291" i="51" s="1"/>
  <c r="AC116" i="51"/>
  <c r="AD116" i="51" s="1"/>
  <c r="T157" i="39"/>
  <c r="T108" i="39" s="1"/>
  <c r="T109" i="39" s="1"/>
  <c r="N400" i="42"/>
  <c r="N323" i="42" s="1"/>
  <c r="N324" i="42" s="1"/>
  <c r="AC124" i="51"/>
  <c r="AD124" i="51" s="1"/>
  <c r="AC180" i="51"/>
  <c r="AD180" i="51" s="1"/>
  <c r="M36" i="46"/>
  <c r="M39" i="46"/>
  <c r="AC177" i="51"/>
  <c r="AD177" i="51" s="1"/>
  <c r="E11" i="39"/>
  <c r="E12" i="39" s="1"/>
  <c r="J110" i="39"/>
  <c r="E4" i="39" s="1"/>
  <c r="E6" i="39" s="1"/>
  <c r="U170" i="43"/>
  <c r="U102" i="43" s="1"/>
  <c r="U103" i="43" s="1"/>
  <c r="T112" i="44"/>
  <c r="T59" i="44" s="1"/>
  <c r="T60" i="44" s="1"/>
  <c r="T61" i="44" s="1"/>
  <c r="P4" i="44" s="1"/>
  <c r="P6" i="44" s="1"/>
  <c r="U37" i="51"/>
  <c r="W37" i="51" s="1"/>
  <c r="AC37" i="51" s="1"/>
  <c r="AD37" i="51" s="1"/>
  <c r="U50" i="51"/>
  <c r="W50" i="51" s="1"/>
  <c r="AC50" i="51" s="1"/>
  <c r="AD50" i="51" s="1"/>
  <c r="U79" i="51"/>
  <c r="W79" i="51" s="1"/>
  <c r="AC79" i="51" s="1"/>
  <c r="AD79" i="51" s="1"/>
  <c r="U110" i="51"/>
  <c r="W110" i="51" s="1"/>
  <c r="AC110" i="51" s="1"/>
  <c r="AD110" i="51" s="1"/>
  <c r="U118" i="51"/>
  <c r="W118" i="51" s="1"/>
  <c r="U126" i="51"/>
  <c r="W126" i="51" s="1"/>
  <c r="U147" i="51"/>
  <c r="W147" i="51" s="1"/>
  <c r="AC147" i="51" s="1"/>
  <c r="AD147" i="51" s="1"/>
  <c r="U234" i="51"/>
  <c r="W234" i="51" s="1"/>
  <c r="AC234" i="51" s="1"/>
  <c r="AD234" i="51" s="1"/>
  <c r="U183" i="51"/>
  <c r="W183" i="51" s="1"/>
  <c r="AC183" i="51" s="1"/>
  <c r="AD183" i="51" s="1"/>
  <c r="U175" i="51"/>
  <c r="W175" i="51" s="1"/>
  <c r="U233" i="51"/>
  <c r="W233" i="51" s="1"/>
  <c r="AC233" i="51" s="1"/>
  <c r="AD233" i="51" s="1"/>
  <c r="U217" i="51"/>
  <c r="W217" i="51" s="1"/>
  <c r="AC217" i="51" s="1"/>
  <c r="AD217" i="51" s="1"/>
  <c r="U289" i="51"/>
  <c r="W289" i="51" s="1"/>
  <c r="AC289" i="51" s="1"/>
  <c r="AD289" i="51" s="1"/>
  <c r="U225" i="51"/>
  <c r="W225" i="51" s="1"/>
  <c r="U292" i="51"/>
  <c r="W292" i="51" s="1"/>
  <c r="AC292" i="51" s="1"/>
  <c r="AD292" i="51" s="1"/>
  <c r="U305" i="51"/>
  <c r="W305" i="51" s="1"/>
  <c r="U584" i="52"/>
  <c r="R63" i="68"/>
  <c r="R87" i="68" s="1"/>
  <c r="F11" i="39"/>
  <c r="F12" i="39" s="1"/>
  <c r="K110" i="39"/>
  <c r="F4" i="39" s="1"/>
  <c r="F6" i="39" s="1"/>
  <c r="G11" i="39"/>
  <c r="L110" i="39"/>
  <c r="G4" i="39" s="1"/>
  <c r="G6" i="39" s="1"/>
  <c r="D11" i="39"/>
  <c r="I110" i="39"/>
  <c r="D4" i="39" s="1"/>
  <c r="D6" i="39" s="1"/>
  <c r="F6" i="43"/>
  <c r="U13" i="51"/>
  <c r="W13" i="51" s="1"/>
  <c r="AC13" i="51" s="1"/>
  <c r="AD13" i="51" s="1"/>
  <c r="I38" i="46"/>
  <c r="I35" i="46"/>
  <c r="L44" i="46"/>
  <c r="H34" i="46"/>
  <c r="L34" i="46"/>
  <c r="M38" i="46"/>
  <c r="M110" i="39"/>
  <c r="H4" i="39" s="1"/>
  <c r="H6" i="39" s="1"/>
  <c r="J34" i="46"/>
  <c r="K35" i="46"/>
  <c r="O4" i="37"/>
  <c r="O6" i="37" s="1"/>
  <c r="O11" i="37"/>
  <c r="H39" i="46"/>
  <c r="L39" i="46"/>
  <c r="M35" i="46"/>
  <c r="M41" i="46"/>
  <c r="I34" i="46"/>
  <c r="K44" i="46"/>
  <c r="I40" i="46"/>
  <c r="H36" i="46"/>
  <c r="L36" i="46"/>
  <c r="N108" i="39"/>
  <c r="N109" i="39" s="1"/>
  <c r="H41" i="46"/>
  <c r="L41" i="46"/>
  <c r="H37" i="46"/>
  <c r="L37" i="46"/>
  <c r="S157" i="39"/>
  <c r="S108" i="39" s="1"/>
  <c r="H45" i="46"/>
  <c r="L45" i="46"/>
  <c r="H43" i="46"/>
  <c r="L43" i="46"/>
  <c r="M40" i="46"/>
  <c r="M43" i="46"/>
  <c r="K42" i="46"/>
  <c r="I45" i="46"/>
  <c r="K37" i="46"/>
  <c r="M37" i="46"/>
  <c r="K38" i="46"/>
  <c r="K43" i="46"/>
  <c r="I36" i="46"/>
  <c r="M45" i="46"/>
  <c r="R610" i="52"/>
  <c r="F6" i="38"/>
  <c r="I44" i="46"/>
  <c r="K34" i="46"/>
  <c r="K40" i="46"/>
  <c r="I41" i="46"/>
  <c r="I37" i="46"/>
  <c r="I6" i="35"/>
  <c r="F6" i="35"/>
  <c r="I42" i="46"/>
  <c r="I39" i="46"/>
  <c r="Z400" i="42"/>
  <c r="Z323" i="42" s="1"/>
  <c r="Z324" i="42" s="1"/>
  <c r="P400" i="42"/>
  <c r="P323" i="42" s="1"/>
  <c r="P324" i="42" s="1"/>
  <c r="K235" i="42" s="1"/>
  <c r="K236" i="42" s="1"/>
  <c r="O400" i="42"/>
  <c r="O323" i="42" s="1"/>
  <c r="O324" i="42" s="1"/>
  <c r="O325" i="42" s="1"/>
  <c r="J228" i="42" s="1"/>
  <c r="J230" i="42" s="1"/>
  <c r="AA323" i="42"/>
  <c r="AA324" i="42" s="1"/>
  <c r="S400" i="42"/>
  <c r="S323" i="42" s="1"/>
  <c r="S324" i="42" s="1"/>
  <c r="Q400" i="42"/>
  <c r="Q323" i="42" s="1"/>
  <c r="Q324" i="42" s="1"/>
  <c r="R400" i="42"/>
  <c r="R323" i="42" s="1"/>
  <c r="R324" i="42" s="1"/>
  <c r="M235" i="42" s="1"/>
  <c r="AB400" i="42"/>
  <c r="AB323" i="42" s="1"/>
  <c r="AB324" i="42" s="1"/>
  <c r="AB325" i="42" s="1"/>
  <c r="S9" i="42"/>
  <c r="T14" i="42" s="1"/>
  <c r="T441" i="42"/>
  <c r="U433" i="42"/>
  <c r="U442" i="42"/>
  <c r="U439" i="42"/>
  <c r="T433" i="42"/>
  <c r="T442" i="42"/>
  <c r="T439" i="42"/>
  <c r="M12" i="38"/>
  <c r="N16" i="38"/>
  <c r="R242" i="41"/>
  <c r="R174" i="41" s="1"/>
  <c r="R175" i="41" s="1"/>
  <c r="N11" i="41" s="1"/>
  <c r="L227" i="41"/>
  <c r="L242" i="41" s="1"/>
  <c r="L174" i="41" s="1"/>
  <c r="L175" i="41" s="1"/>
  <c r="H11" i="41" s="1"/>
  <c r="I16" i="41" s="1"/>
  <c r="P11" i="41"/>
  <c r="P12" i="41" s="1"/>
  <c r="T176" i="41"/>
  <c r="P4" i="41" s="1"/>
  <c r="P6" i="41" s="1"/>
  <c r="T185" i="35"/>
  <c r="T160" i="35" s="1"/>
  <c r="T161" i="35" s="1"/>
  <c r="P12" i="35"/>
  <c r="P114" i="37"/>
  <c r="J4" i="37" s="1"/>
  <c r="J6" i="37" s="1"/>
  <c r="T114" i="37"/>
  <c r="N4" i="37" s="1"/>
  <c r="N6" i="37" s="1"/>
  <c r="N11" i="37"/>
  <c r="I42" i="57"/>
  <c r="I44" i="57" s="1"/>
  <c r="AB610" i="52"/>
  <c r="K6" i="38"/>
  <c r="Q290" i="51"/>
  <c r="R290" i="51" s="1"/>
  <c r="S612" i="52"/>
  <c r="R53" i="68"/>
  <c r="R96" i="68" s="1"/>
  <c r="I6" i="40"/>
  <c r="R9" i="68"/>
  <c r="R46" i="68"/>
  <c r="R28" i="68"/>
  <c r="R94" i="68" s="1"/>
  <c r="Q14" i="51"/>
  <c r="R14" i="51" s="1"/>
  <c r="AA612" i="52"/>
  <c r="J12" i="35"/>
  <c r="AC592" i="52"/>
  <c r="AC610" i="52" s="1"/>
  <c r="D6" i="38"/>
  <c r="Q50" i="51"/>
  <c r="R50" i="51" s="1"/>
  <c r="Q136" i="51"/>
  <c r="R136" i="51" s="1"/>
  <c r="Q95" i="51"/>
  <c r="R95" i="51" s="1"/>
  <c r="Q156" i="51"/>
  <c r="R156" i="51" s="1"/>
  <c r="Q277" i="51"/>
  <c r="R277" i="51" s="1"/>
  <c r="Q16" i="51"/>
  <c r="R16" i="51" s="1"/>
  <c r="Q24" i="51"/>
  <c r="R24" i="51" s="1"/>
  <c r="Q32" i="51"/>
  <c r="R32" i="51" s="1"/>
  <c r="Q113" i="51"/>
  <c r="R113" i="51" s="1"/>
  <c r="Q291" i="51"/>
  <c r="R291" i="51" s="1"/>
  <c r="Q302" i="51"/>
  <c r="R54" i="68"/>
  <c r="R65" i="68"/>
  <c r="R10" i="68"/>
  <c r="R71" i="68"/>
  <c r="R75" i="68"/>
  <c r="R55" i="68"/>
  <c r="R98" i="68" s="1"/>
  <c r="R68" i="68"/>
  <c r="R12" i="68"/>
  <c r="R74" i="68"/>
  <c r="R25" i="68"/>
  <c r="R57" i="68"/>
  <c r="R69" i="68"/>
  <c r="R13" i="68"/>
  <c r="R26" i="68"/>
  <c r="R58" i="68"/>
  <c r="R73" i="68"/>
  <c r="R14" i="68"/>
  <c r="R49" i="68"/>
  <c r="R59" i="68"/>
  <c r="R72" i="68"/>
  <c r="R35" i="68"/>
  <c r="Q70" i="51"/>
  <c r="R70" i="51" s="1"/>
  <c r="Q225" i="51"/>
  <c r="R225" i="51" s="1"/>
  <c r="Q215" i="51"/>
  <c r="R215" i="51" s="1"/>
  <c r="R50" i="68"/>
  <c r="R61" i="68"/>
  <c r="R6" i="68"/>
  <c r="R66" i="68"/>
  <c r="B6" i="38"/>
  <c r="R51" i="68"/>
  <c r="R62" i="68"/>
  <c r="R8" i="68"/>
  <c r="R67" i="68"/>
  <c r="F23" i="58"/>
  <c r="AC165" i="51"/>
  <c r="AD165" i="51" s="1"/>
  <c r="AF6" i="55"/>
  <c r="Q61" i="51"/>
  <c r="R61" i="51" s="1"/>
  <c r="Q135" i="51"/>
  <c r="R135" i="51" s="1"/>
  <c r="Q208" i="51"/>
  <c r="R208" i="51" s="1"/>
  <c r="Q288" i="51"/>
  <c r="R288" i="51" s="1"/>
  <c r="Q147" i="51"/>
  <c r="R147" i="51" s="1"/>
  <c r="Q163" i="51"/>
  <c r="R163" i="51" s="1"/>
  <c r="J61" i="47"/>
  <c r="R42" i="68"/>
  <c r="R48" i="68"/>
  <c r="R52" i="68"/>
  <c r="R56" i="68"/>
  <c r="R60" i="68"/>
  <c r="R64" i="68"/>
  <c r="R92" i="68" s="1"/>
  <c r="R70" i="68"/>
  <c r="R7" i="68"/>
  <c r="R11" i="68"/>
  <c r="R33" i="68"/>
  <c r="R16" i="68"/>
  <c r="K42" i="57"/>
  <c r="K44" i="57" s="1"/>
  <c r="T428" i="70"/>
  <c r="AC251" i="51"/>
  <c r="AD251" i="51" s="1"/>
  <c r="AC83" i="51"/>
  <c r="AD83" i="51" s="1"/>
  <c r="AC197" i="51"/>
  <c r="AD197" i="51" s="1"/>
  <c r="AC65" i="51"/>
  <c r="AD65" i="51" s="1"/>
  <c r="AC243" i="51"/>
  <c r="AD243" i="51" s="1"/>
  <c r="AC51" i="51"/>
  <c r="AD51" i="51" s="1"/>
  <c r="AC98" i="51"/>
  <c r="AD98" i="51" s="1"/>
  <c r="AC250" i="51"/>
  <c r="AD250" i="51" s="1"/>
  <c r="U394" i="70"/>
  <c r="V311" i="70" s="1"/>
  <c r="W311" i="70" s="1"/>
  <c r="Q249" i="51"/>
  <c r="R249" i="51" s="1"/>
  <c r="Q100" i="51"/>
  <c r="R100" i="51" s="1"/>
  <c r="AC315" i="51"/>
  <c r="AD315" i="51" s="1"/>
  <c r="AC92" i="51"/>
  <c r="AD92" i="51" s="1"/>
  <c r="AC242" i="51"/>
  <c r="AD242" i="51" s="1"/>
  <c r="AC138" i="51"/>
  <c r="AD138" i="51" s="1"/>
  <c r="AC129" i="51"/>
  <c r="AD129" i="51" s="1"/>
  <c r="M42" i="57"/>
  <c r="M44" i="57" s="1"/>
  <c r="AC271" i="51"/>
  <c r="AD271" i="51" s="1"/>
  <c r="AC311" i="51"/>
  <c r="AD311" i="51" s="1"/>
  <c r="Q90" i="51"/>
  <c r="R90" i="51" s="1"/>
  <c r="Q106" i="51"/>
  <c r="R106" i="51" s="1"/>
  <c r="M28" i="68"/>
  <c r="M94" i="68" s="1"/>
  <c r="AC254" i="51"/>
  <c r="AD254" i="51" s="1"/>
  <c r="AC36" i="51"/>
  <c r="AD36" i="51" s="1"/>
  <c r="Q85" i="51"/>
  <c r="R85" i="51" s="1"/>
  <c r="Q93" i="51"/>
  <c r="R93" i="51" s="1"/>
  <c r="Q155" i="51"/>
  <c r="R155" i="51" s="1"/>
  <c r="Q236" i="51"/>
  <c r="R236" i="51" s="1"/>
  <c r="Q122" i="51"/>
  <c r="R122" i="51" s="1"/>
  <c r="W339" i="70"/>
  <c r="Q58" i="51"/>
  <c r="R58" i="51" s="1"/>
  <c r="Q174" i="51"/>
  <c r="R174" i="51" s="1"/>
  <c r="Q283" i="51"/>
  <c r="R283" i="51" s="1"/>
  <c r="Q202" i="51"/>
  <c r="R202" i="51" s="1"/>
  <c r="AC284" i="51"/>
  <c r="AD284" i="51" s="1"/>
  <c r="AC86" i="51"/>
  <c r="AD86" i="51" s="1"/>
  <c r="AC87" i="51"/>
  <c r="AD87" i="51" s="1"/>
  <c r="Q129" i="51"/>
  <c r="R129" i="51" s="1"/>
  <c r="Q178" i="51"/>
  <c r="R178" i="51" s="1"/>
  <c r="Q183" i="51"/>
  <c r="R183" i="51" s="1"/>
  <c r="Q152" i="51"/>
  <c r="R152" i="51" s="1"/>
  <c r="Q160" i="51"/>
  <c r="R160" i="51" s="1"/>
  <c r="Q232" i="51"/>
  <c r="R232" i="51" s="1"/>
  <c r="Q199" i="51"/>
  <c r="R199" i="51" s="1"/>
  <c r="Q240" i="51"/>
  <c r="R240" i="51" s="1"/>
  <c r="Q274" i="51"/>
  <c r="R274" i="51" s="1"/>
  <c r="Q275" i="51"/>
  <c r="R275" i="51" s="1"/>
  <c r="Q299" i="51"/>
  <c r="R299" i="51" s="1"/>
  <c r="Q307" i="51"/>
  <c r="R307" i="51" s="1"/>
  <c r="AC23" i="51"/>
  <c r="AD23" i="51" s="1"/>
  <c r="Q67" i="51"/>
  <c r="R67" i="51" s="1"/>
  <c r="Q130" i="51"/>
  <c r="R130" i="51" s="1"/>
  <c r="Q124" i="51"/>
  <c r="R124" i="51" s="1"/>
  <c r="Q105" i="51"/>
  <c r="R105" i="51" s="1"/>
  <c r="Q140" i="51"/>
  <c r="R140" i="51" s="1"/>
  <c r="Q66" i="51"/>
  <c r="R66" i="51" s="1"/>
  <c r="Q143" i="51"/>
  <c r="R143" i="51" s="1"/>
  <c r="Q223" i="51"/>
  <c r="R223" i="51" s="1"/>
  <c r="Q280" i="51"/>
  <c r="R280" i="51" s="1"/>
  <c r="Q235" i="51"/>
  <c r="R235" i="51" s="1"/>
  <c r="Q245" i="51"/>
  <c r="R245" i="51" s="1"/>
  <c r="Q200" i="51"/>
  <c r="R200" i="51" s="1"/>
  <c r="Q300" i="51"/>
  <c r="R300" i="51" s="1"/>
  <c r="Q308" i="51"/>
  <c r="R308" i="51" s="1"/>
  <c r="L146" i="62"/>
  <c r="AC249" i="51"/>
  <c r="AD249" i="51" s="1"/>
  <c r="AC75" i="51"/>
  <c r="AD75" i="51" s="1"/>
  <c r="AC108" i="51"/>
  <c r="AD108" i="51" s="1"/>
  <c r="Q239" i="51"/>
  <c r="R239" i="51" s="1"/>
  <c r="Q272" i="51"/>
  <c r="R272" i="51" s="1"/>
  <c r="L42" i="57"/>
  <c r="L44" i="57" s="1"/>
  <c r="Q45" i="51"/>
  <c r="R45" i="51" s="1"/>
  <c r="Q78" i="51"/>
  <c r="R78" i="51" s="1"/>
  <c r="Q153" i="51"/>
  <c r="R153" i="51" s="1"/>
  <c r="Q237" i="51"/>
  <c r="R237" i="51" s="1"/>
  <c r="AC59" i="51"/>
  <c r="AD59" i="51" s="1"/>
  <c r="AC137" i="51"/>
  <c r="AD137" i="51" s="1"/>
  <c r="AC91" i="51"/>
  <c r="AD91" i="51" s="1"/>
  <c r="Q28" i="51"/>
  <c r="R28" i="51" s="1"/>
  <c r="Q65" i="51"/>
  <c r="R65" i="51" s="1"/>
  <c r="Q138" i="51"/>
  <c r="R138" i="51" s="1"/>
  <c r="Q89" i="51"/>
  <c r="R89" i="51" s="1"/>
  <c r="Q252" i="51"/>
  <c r="R252" i="51" s="1"/>
  <c r="Q259" i="51"/>
  <c r="R259" i="51" s="1"/>
  <c r="Q229" i="51"/>
  <c r="R229" i="51" s="1"/>
  <c r="Q76" i="51"/>
  <c r="R76" i="51" s="1"/>
  <c r="Q167" i="51"/>
  <c r="R167" i="51" s="1"/>
  <c r="Q120" i="51"/>
  <c r="R120" i="51" s="1"/>
  <c r="Q181" i="51"/>
  <c r="R181" i="51" s="1"/>
  <c r="Q77" i="51"/>
  <c r="R77" i="51" s="1"/>
  <c r="AF9" i="55"/>
  <c r="M16" i="68"/>
  <c r="L86" i="68"/>
  <c r="J148" i="67"/>
  <c r="U20" i="62"/>
  <c r="AC172" i="51"/>
  <c r="AD172" i="51" s="1"/>
  <c r="AC39" i="51"/>
  <c r="AD39" i="51" s="1"/>
  <c r="AC94" i="51"/>
  <c r="AD94" i="51" s="1"/>
  <c r="AC43" i="51"/>
  <c r="AD43" i="51" s="1"/>
  <c r="AC27" i="51"/>
  <c r="AD27" i="51" s="1"/>
  <c r="AC19" i="51"/>
  <c r="AD19" i="51" s="1"/>
  <c r="Q311" i="51"/>
  <c r="R311" i="51" s="1"/>
  <c r="Q219" i="51"/>
  <c r="R219" i="51" s="1"/>
  <c r="AF7" i="55"/>
  <c r="E23" i="58"/>
  <c r="Q228" i="51"/>
  <c r="R228" i="51" s="1"/>
  <c r="Q187" i="51"/>
  <c r="R187" i="51" s="1"/>
  <c r="Q262" i="51"/>
  <c r="R262" i="51" s="1"/>
  <c r="Q265" i="51"/>
  <c r="R265" i="51" s="1"/>
  <c r="Q161" i="51"/>
  <c r="R161" i="51" s="1"/>
  <c r="Q209" i="51"/>
  <c r="R209" i="51" s="1"/>
  <c r="Q271" i="51"/>
  <c r="R271" i="51" s="1"/>
  <c r="Q312" i="51"/>
  <c r="R312" i="51" s="1"/>
  <c r="Q279" i="51"/>
  <c r="R279" i="51" s="1"/>
  <c r="Q42" i="51"/>
  <c r="R42" i="51" s="1"/>
  <c r="Q54" i="51"/>
  <c r="R54" i="51" s="1"/>
  <c r="Q247" i="51"/>
  <c r="R247" i="51" s="1"/>
  <c r="Q55" i="51"/>
  <c r="R55" i="51" s="1"/>
  <c r="Q196" i="51"/>
  <c r="R196" i="51" s="1"/>
  <c r="Q170" i="51"/>
  <c r="R170" i="51" s="1"/>
  <c r="Q94" i="51"/>
  <c r="R94" i="51" s="1"/>
  <c r="Q251" i="51"/>
  <c r="R251" i="51" s="1"/>
  <c r="Q315" i="51"/>
  <c r="R315" i="51" s="1"/>
  <c r="Q117" i="51"/>
  <c r="R117" i="51" s="1"/>
  <c r="Q198" i="51"/>
  <c r="R198" i="51" s="1"/>
  <c r="Q127" i="51"/>
  <c r="R127" i="51" s="1"/>
  <c r="Q115" i="51"/>
  <c r="R115" i="51" s="1"/>
  <c r="Q257" i="51"/>
  <c r="R257" i="51" s="1"/>
  <c r="AC231" i="51"/>
  <c r="AD231" i="51" s="1"/>
  <c r="Q56" i="51"/>
  <c r="R56" i="51" s="1"/>
  <c r="Q48" i="51"/>
  <c r="R48" i="51" s="1"/>
  <c r="AC14" i="51"/>
  <c r="AD14" i="51" s="1"/>
  <c r="Q27" i="51"/>
  <c r="R27" i="51" s="1"/>
  <c r="Q35" i="51"/>
  <c r="R35" i="51" s="1"/>
  <c r="Q64" i="51"/>
  <c r="R64" i="51" s="1"/>
  <c r="Q125" i="51"/>
  <c r="R125" i="51" s="1"/>
  <c r="Q137" i="51"/>
  <c r="R137" i="51" s="1"/>
  <c r="Q88" i="51"/>
  <c r="R88" i="51" s="1"/>
  <c r="Q177" i="51"/>
  <c r="R177" i="51" s="1"/>
  <c r="Q233" i="51"/>
  <c r="R233" i="51" s="1"/>
  <c r="Q75" i="51"/>
  <c r="R75" i="51" s="1"/>
  <c r="Q97" i="51"/>
  <c r="R97" i="51" s="1"/>
  <c r="Q150" i="51"/>
  <c r="R150" i="51" s="1"/>
  <c r="Q158" i="51"/>
  <c r="R158" i="51" s="1"/>
  <c r="Q224" i="51"/>
  <c r="R224" i="51" s="1"/>
  <c r="Q166" i="51"/>
  <c r="R166" i="51" s="1"/>
  <c r="Q217" i="51"/>
  <c r="R217" i="51" s="1"/>
  <c r="Q258" i="51"/>
  <c r="R258" i="51" s="1"/>
  <c r="Q269" i="51"/>
  <c r="R269" i="51" s="1"/>
  <c r="Q297" i="51"/>
  <c r="R297" i="51" s="1"/>
  <c r="Q305" i="51"/>
  <c r="R305" i="51" s="1"/>
  <c r="N42" i="57"/>
  <c r="N44" i="57" s="1"/>
  <c r="W307" i="70"/>
  <c r="U344" i="70"/>
  <c r="AC140" i="51"/>
  <c r="AD140" i="51" s="1"/>
  <c r="Q182" i="51"/>
  <c r="R182" i="51" s="1"/>
  <c r="Q195" i="51"/>
  <c r="R195" i="51" s="1"/>
  <c r="Q287" i="51"/>
  <c r="R287" i="51" s="1"/>
  <c r="Q243" i="51"/>
  <c r="R243" i="51" s="1"/>
  <c r="AC204" i="51"/>
  <c r="AD204" i="51" s="1"/>
  <c r="AC69" i="51"/>
  <c r="AD69" i="51" s="1"/>
  <c r="Q255" i="51"/>
  <c r="R255" i="51" s="1"/>
  <c r="AC119" i="51"/>
  <c r="AD119" i="51" s="1"/>
  <c r="AC176" i="51"/>
  <c r="AD176" i="51" s="1"/>
  <c r="AC142" i="51"/>
  <c r="AD142" i="51" s="1"/>
  <c r="Q19" i="51"/>
  <c r="R19" i="51" s="1"/>
  <c r="AC70" i="51"/>
  <c r="AD70" i="51" s="1"/>
  <c r="AC143" i="51"/>
  <c r="AD143" i="51" s="1"/>
  <c r="AC145" i="51"/>
  <c r="AD145" i="51" s="1"/>
  <c r="AC282" i="51"/>
  <c r="AD282" i="51" s="1"/>
  <c r="AC186" i="51"/>
  <c r="AD186" i="51" s="1"/>
  <c r="AC167" i="51"/>
  <c r="AD167" i="51" s="1"/>
  <c r="Q41" i="51"/>
  <c r="R41" i="51" s="1"/>
  <c r="Q81" i="51"/>
  <c r="R81" i="51" s="1"/>
  <c r="Q132" i="51"/>
  <c r="R132" i="51" s="1"/>
  <c r="Q23" i="51"/>
  <c r="R23" i="51" s="1"/>
  <c r="Q109" i="51"/>
  <c r="R109" i="51" s="1"/>
  <c r="Q133" i="51"/>
  <c r="R133" i="51" s="1"/>
  <c r="Q84" i="51"/>
  <c r="R84" i="51" s="1"/>
  <c r="Q168" i="51"/>
  <c r="R168" i="51" s="1"/>
  <c r="Q282" i="51"/>
  <c r="R282" i="51" s="1"/>
  <c r="Q146" i="51"/>
  <c r="R146" i="51" s="1"/>
  <c r="Q154" i="51"/>
  <c r="R154" i="51" s="1"/>
  <c r="Q162" i="51"/>
  <c r="R162" i="51" s="1"/>
  <c r="Q213" i="51"/>
  <c r="R213" i="51" s="1"/>
  <c r="Q314" i="51"/>
  <c r="R314" i="51" s="1"/>
  <c r="Q310" i="51"/>
  <c r="R310" i="51" s="1"/>
  <c r="Q301" i="51"/>
  <c r="R301" i="51" s="1"/>
  <c r="AC144" i="51"/>
  <c r="AD144" i="51" s="1"/>
  <c r="AC178" i="51"/>
  <c r="AD178" i="51" s="1"/>
  <c r="E612" i="52"/>
  <c r="F586" i="52" s="1"/>
  <c r="M610" i="52"/>
  <c r="D6" i="43"/>
  <c r="AC228" i="51"/>
  <c r="AD228" i="51" s="1"/>
  <c r="AC134" i="51"/>
  <c r="AD134" i="51" s="1"/>
  <c r="Q108" i="51"/>
  <c r="R108" i="51" s="1"/>
  <c r="Q103" i="51"/>
  <c r="R103" i="51" s="1"/>
  <c r="Q74" i="51"/>
  <c r="R74" i="51" s="1"/>
  <c r="Q313" i="51"/>
  <c r="R313" i="51" s="1"/>
  <c r="AC273" i="51"/>
  <c r="AD273" i="51" s="1"/>
  <c r="Q131" i="51"/>
  <c r="R131" i="51" s="1"/>
  <c r="Q201" i="51"/>
  <c r="R201" i="51" s="1"/>
  <c r="AC82" i="51"/>
  <c r="AD82" i="51" s="1"/>
  <c r="AC211" i="51"/>
  <c r="AD211" i="51" s="1"/>
  <c r="C159" i="67"/>
  <c r="J146" i="67"/>
  <c r="AC224" i="51"/>
  <c r="AD224" i="51" s="1"/>
  <c r="AC132" i="51"/>
  <c r="AD132" i="51" s="1"/>
  <c r="Q92" i="51"/>
  <c r="R92" i="51" s="1"/>
  <c r="Q244" i="51"/>
  <c r="R244" i="51" s="1"/>
  <c r="AC106" i="51"/>
  <c r="AD106" i="51" s="1"/>
  <c r="AC264" i="51"/>
  <c r="AD264" i="51" s="1"/>
  <c r="AC241" i="51"/>
  <c r="AD241" i="51" s="1"/>
  <c r="AC90" i="51"/>
  <c r="AD90" i="51" s="1"/>
  <c r="Q175" i="51"/>
  <c r="R175" i="51" s="1"/>
  <c r="Q266" i="51"/>
  <c r="R266" i="51" s="1"/>
  <c r="AC48" i="51"/>
  <c r="AD48" i="51" s="1"/>
  <c r="AC313" i="51"/>
  <c r="AD313" i="51" s="1"/>
  <c r="AC287" i="51"/>
  <c r="AD287" i="51" s="1"/>
  <c r="AC299" i="51"/>
  <c r="AD299" i="51" s="1"/>
  <c r="AC253" i="51"/>
  <c r="AD253" i="51" s="1"/>
  <c r="AC193" i="51"/>
  <c r="AD193" i="51" s="1"/>
  <c r="AC207" i="51"/>
  <c r="AD207" i="51" s="1"/>
  <c r="AC184" i="51"/>
  <c r="AD184" i="51" s="1"/>
  <c r="AC133" i="51"/>
  <c r="AD133" i="51" s="1"/>
  <c r="Q116" i="51"/>
  <c r="R116" i="51" s="1"/>
  <c r="Q151" i="51"/>
  <c r="R151" i="51" s="1"/>
  <c r="Q49" i="51"/>
  <c r="R49" i="51" s="1"/>
  <c r="AC279" i="51"/>
  <c r="AD279" i="51" s="1"/>
  <c r="AC226" i="51"/>
  <c r="AD226" i="51" s="1"/>
  <c r="AC192" i="51"/>
  <c r="AD192" i="51" s="1"/>
  <c r="K122" i="62"/>
  <c r="J172" i="62"/>
  <c r="J182" i="62"/>
  <c r="AY13" i="51"/>
  <c r="AZ13" i="51" s="1"/>
  <c r="AC52" i="51"/>
  <c r="AD52" i="51" s="1"/>
  <c r="I16" i="59"/>
  <c r="E15" i="37"/>
  <c r="C148" i="63"/>
  <c r="D137" i="63" s="1"/>
  <c r="D136" i="63" s="1"/>
  <c r="D148" i="63" s="1"/>
  <c r="E137" i="63" s="1"/>
  <c r="E136" i="63" s="1"/>
  <c r="L88" i="68"/>
  <c r="H110" i="39"/>
  <c r="C4" i="39" s="1"/>
  <c r="C6" i="39" s="1"/>
  <c r="I612" i="52"/>
  <c r="AC293" i="51"/>
  <c r="AD293" i="51" s="1"/>
  <c r="Q52" i="51"/>
  <c r="R52" i="51" s="1"/>
  <c r="Q10" i="51"/>
  <c r="R10" i="51" s="1"/>
  <c r="Q121" i="51"/>
  <c r="R121" i="51" s="1"/>
  <c r="Q71" i="51"/>
  <c r="R71" i="51" s="1"/>
  <c r="Q87" i="51"/>
  <c r="R87" i="51" s="1"/>
  <c r="Q104" i="51"/>
  <c r="R104" i="51" s="1"/>
  <c r="Q192" i="51"/>
  <c r="R192" i="51" s="1"/>
  <c r="Q176" i="51"/>
  <c r="R176" i="51" s="1"/>
  <c r="Q180" i="51"/>
  <c r="R180" i="51" s="1"/>
  <c r="Q226" i="51"/>
  <c r="R226" i="51" s="1"/>
  <c r="Q227" i="51"/>
  <c r="R227" i="51" s="1"/>
  <c r="Q294" i="51"/>
  <c r="R294" i="51" s="1"/>
  <c r="Q295" i="51"/>
  <c r="R295" i="51" s="1"/>
  <c r="Q230" i="51"/>
  <c r="R230" i="51" s="1"/>
  <c r="Q96" i="51"/>
  <c r="R96" i="51" s="1"/>
  <c r="Q149" i="51"/>
  <c r="R149" i="51" s="1"/>
  <c r="Q157" i="51"/>
  <c r="R157" i="51" s="1"/>
  <c r="Q169" i="51"/>
  <c r="R169" i="51" s="1"/>
  <c r="Q220" i="51"/>
  <c r="R220" i="51" s="1"/>
  <c r="Q165" i="51"/>
  <c r="R165" i="51" s="1"/>
  <c r="Q260" i="51"/>
  <c r="R260" i="51" s="1"/>
  <c r="Q304" i="51"/>
  <c r="R304" i="51" s="1"/>
  <c r="AC49" i="51"/>
  <c r="AD49" i="51" s="1"/>
  <c r="AC222" i="51"/>
  <c r="AD222" i="51" s="1"/>
  <c r="AC179" i="51"/>
  <c r="AD179" i="51" s="1"/>
  <c r="AC285" i="51"/>
  <c r="AD285" i="51" s="1"/>
  <c r="AC210" i="51"/>
  <c r="AD210" i="51" s="1"/>
  <c r="X610" i="52"/>
  <c r="L77" i="68"/>
  <c r="U171" i="70"/>
  <c r="C6" i="44"/>
  <c r="D167" i="63"/>
  <c r="E156" i="63" s="1"/>
  <c r="E155" i="63" s="1"/>
  <c r="E167" i="63" s="1"/>
  <c r="F156" i="63" s="1"/>
  <c r="F155" i="63" s="1"/>
  <c r="C116" i="63"/>
  <c r="G197" i="63"/>
  <c r="G200" i="63" s="1"/>
  <c r="G204" i="63" s="1"/>
  <c r="F197" i="63"/>
  <c r="F200" i="63" s="1"/>
  <c r="F204" i="63" s="1"/>
  <c r="F206" i="63"/>
  <c r="H198" i="63"/>
  <c r="H206" i="63" s="1"/>
  <c r="D174" i="63"/>
  <c r="D186" i="63" s="1"/>
  <c r="H38" i="58"/>
  <c r="L28" i="55"/>
  <c r="AF10" i="55"/>
  <c r="J31" i="46"/>
  <c r="R121" i="40"/>
  <c r="R143" i="40" s="1"/>
  <c r="R99" i="40" s="1"/>
  <c r="R100" i="40" s="1"/>
  <c r="M11" i="40" s="1"/>
  <c r="M12" i="40" s="1"/>
  <c r="D6" i="40"/>
  <c r="Q121" i="40"/>
  <c r="Q143" i="40" s="1"/>
  <c r="Q99" i="40" s="1"/>
  <c r="Q100" i="40" s="1"/>
  <c r="L11" i="40" s="1"/>
  <c r="G6" i="40"/>
  <c r="H6" i="40"/>
  <c r="C6" i="40"/>
  <c r="V143" i="40"/>
  <c r="V99" i="40" s="1"/>
  <c r="V100" i="40" s="1"/>
  <c r="P121" i="40"/>
  <c r="P143" i="40" s="1"/>
  <c r="P99" i="40" s="1"/>
  <c r="P100" i="40" s="1"/>
  <c r="T121" i="40"/>
  <c r="S121" i="40"/>
  <c r="H433" i="42"/>
  <c r="D135" i="42"/>
  <c r="D22" i="42" s="1"/>
  <c r="D24" i="42" s="1"/>
  <c r="M5" i="42"/>
  <c r="O14" i="42"/>
  <c r="X155" i="42"/>
  <c r="X195" i="42" s="1"/>
  <c r="X133" i="42" s="1"/>
  <c r="X134" i="42" s="1"/>
  <c r="S29" i="42" s="1"/>
  <c r="I14" i="42"/>
  <c r="K14" i="42"/>
  <c r="R441" i="42"/>
  <c r="W540" i="42"/>
  <c r="R431" i="42" s="1"/>
  <c r="R433" i="42" s="1"/>
  <c r="R14" i="42"/>
  <c r="N5" i="42"/>
  <c r="J14" i="42"/>
  <c r="C24" i="42"/>
  <c r="H230" i="42"/>
  <c r="J5" i="42"/>
  <c r="S439" i="42"/>
  <c r="R5" i="42"/>
  <c r="S568" i="42"/>
  <c r="S538" i="42" s="1"/>
  <c r="S539" i="42" s="1"/>
  <c r="N438" i="42" s="1"/>
  <c r="N439" i="42" s="1"/>
  <c r="X540" i="42"/>
  <c r="S431" i="42" s="1"/>
  <c r="S433" i="42" s="1"/>
  <c r="O540" i="42"/>
  <c r="J431" i="42" s="1"/>
  <c r="J433" i="42" s="1"/>
  <c r="Q568" i="42"/>
  <c r="Q538" i="42" s="1"/>
  <c r="Q539" i="42" s="1"/>
  <c r="L14" i="42"/>
  <c r="N14" i="42"/>
  <c r="S5" i="42"/>
  <c r="R442" i="42"/>
  <c r="O5" i="42"/>
  <c r="P14" i="42"/>
  <c r="Q5" i="42"/>
  <c r="R568" i="42"/>
  <c r="R538" i="42" s="1"/>
  <c r="R539" i="42" s="1"/>
  <c r="S441" i="42"/>
  <c r="F195" i="42"/>
  <c r="F133" i="42" s="1"/>
  <c r="F134" i="42" s="1"/>
  <c r="F29" i="42" s="1"/>
  <c r="F30" i="42" s="1"/>
  <c r="O438" i="42"/>
  <c r="O439" i="42" s="1"/>
  <c r="T540" i="42"/>
  <c r="O431" i="42" s="1"/>
  <c r="O433" i="42" s="1"/>
  <c r="K442" i="42"/>
  <c r="O195" i="42"/>
  <c r="O133" i="42" s="1"/>
  <c r="O134" i="42" s="1"/>
  <c r="J29" i="42" s="1"/>
  <c r="G195" i="42"/>
  <c r="G133" i="42" s="1"/>
  <c r="G134" i="42" s="1"/>
  <c r="G135" i="42" s="1"/>
  <c r="G22" i="42" s="1"/>
  <c r="G24" i="42" s="1"/>
  <c r="E195" i="42"/>
  <c r="E133" i="42" s="1"/>
  <c r="E134" i="42" s="1"/>
  <c r="K5" i="42"/>
  <c r="Q14" i="42"/>
  <c r="Y155" i="42"/>
  <c r="Y195" i="42" s="1"/>
  <c r="Y133" i="42" s="1"/>
  <c r="Y134" i="42" s="1"/>
  <c r="Z155" i="42"/>
  <c r="Z195" i="42" s="1"/>
  <c r="Z133" i="42" s="1"/>
  <c r="Z134" i="42" s="1"/>
  <c r="V155" i="42"/>
  <c r="V195" i="42" s="1"/>
  <c r="V133" i="42" s="1"/>
  <c r="V134" i="42" s="1"/>
  <c r="I5" i="42"/>
  <c r="E14" i="38"/>
  <c r="F14" i="38"/>
  <c r="J16" i="38"/>
  <c r="L12" i="38"/>
  <c r="U109" i="39"/>
  <c r="V110" i="39"/>
  <c r="Q4" i="39" s="1"/>
  <c r="Q6" i="39" s="1"/>
  <c r="Q157" i="39"/>
  <c r="C12" i="39"/>
  <c r="J42" i="57"/>
  <c r="J44" i="57" s="1"/>
  <c r="P157" i="39"/>
  <c r="R157" i="39"/>
  <c r="Q195" i="42"/>
  <c r="Q133" i="42" s="1"/>
  <c r="Q134" i="42" s="1"/>
  <c r="L29" i="42" s="1"/>
  <c r="L30" i="42" s="1"/>
  <c r="AC278" i="51"/>
  <c r="AD278" i="51" s="1"/>
  <c r="AC255" i="51"/>
  <c r="AD255" i="51" s="1"/>
  <c r="AC272" i="51"/>
  <c r="AD272" i="51" s="1"/>
  <c r="AC260" i="51"/>
  <c r="AD260" i="51" s="1"/>
  <c r="AC236" i="51"/>
  <c r="AD236" i="51" s="1"/>
  <c r="AC247" i="51"/>
  <c r="AD247" i="51" s="1"/>
  <c r="AC202" i="51"/>
  <c r="AD202" i="51" s="1"/>
  <c r="Q82" i="51"/>
  <c r="R82" i="51" s="1"/>
  <c r="Q83" i="51"/>
  <c r="R83" i="51" s="1"/>
  <c r="Q91" i="51"/>
  <c r="R91" i="51" s="1"/>
  <c r="AC152" i="51"/>
  <c r="AD152" i="51" s="1"/>
  <c r="N195" i="42"/>
  <c r="N133" i="42" s="1"/>
  <c r="N134" i="42" s="1"/>
  <c r="I29" i="42" s="1"/>
  <c r="AC308" i="51"/>
  <c r="AD308" i="51" s="1"/>
  <c r="AC218" i="51"/>
  <c r="AD218" i="51" s="1"/>
  <c r="Q194" i="51"/>
  <c r="R194" i="51" s="1"/>
  <c r="P438" i="42"/>
  <c r="U540" i="42"/>
  <c r="P431" i="42" s="1"/>
  <c r="P433" i="42" s="1"/>
  <c r="AC46" i="51"/>
  <c r="AD46" i="51" s="1"/>
  <c r="AC95" i="51"/>
  <c r="AD95" i="51" s="1"/>
  <c r="AC120" i="51"/>
  <c r="AD120" i="51" s="1"/>
  <c r="AC182" i="51"/>
  <c r="AD182" i="51" s="1"/>
  <c r="AC72" i="51"/>
  <c r="AD72" i="51" s="1"/>
  <c r="Q51" i="51"/>
  <c r="R51" i="51" s="1"/>
  <c r="Q59" i="51"/>
  <c r="R59" i="51" s="1"/>
  <c r="Q111" i="51"/>
  <c r="R111" i="51" s="1"/>
  <c r="Q128" i="51"/>
  <c r="R128" i="51" s="1"/>
  <c r="Q13" i="51"/>
  <c r="R13" i="51" s="1"/>
  <c r="Q102" i="51"/>
  <c r="R102" i="51" s="1"/>
  <c r="Q99" i="51"/>
  <c r="R99" i="51" s="1"/>
  <c r="Q185" i="51"/>
  <c r="R185" i="51" s="1"/>
  <c r="Q171" i="51"/>
  <c r="R171" i="51" s="1"/>
  <c r="Q222" i="51"/>
  <c r="R222" i="51" s="1"/>
  <c r="Q221" i="51"/>
  <c r="R221" i="51" s="1"/>
  <c r="Q234" i="51"/>
  <c r="R234" i="51" s="1"/>
  <c r="Q285" i="51"/>
  <c r="R285" i="51" s="1"/>
  <c r="Q293" i="51"/>
  <c r="R293" i="51" s="1"/>
  <c r="Q197" i="51"/>
  <c r="R197" i="51" s="1"/>
  <c r="Q267" i="51"/>
  <c r="R267" i="51" s="1"/>
  <c r="Q148" i="51"/>
  <c r="R148" i="51" s="1"/>
  <c r="Q164" i="51"/>
  <c r="R164" i="51" s="1"/>
  <c r="Q206" i="51"/>
  <c r="R206" i="51" s="1"/>
  <c r="Q212" i="51"/>
  <c r="R212" i="51" s="1"/>
  <c r="Q256" i="51"/>
  <c r="R256" i="51" s="1"/>
  <c r="Q254" i="51"/>
  <c r="R254" i="51" s="1"/>
  <c r="Q309" i="51"/>
  <c r="R309" i="51" s="1"/>
  <c r="Q303" i="51"/>
  <c r="R303" i="51" s="1"/>
  <c r="AY52" i="51"/>
  <c r="AZ52" i="51" s="1"/>
  <c r="AY101" i="51"/>
  <c r="AZ101" i="51" s="1"/>
  <c r="AY12" i="51"/>
  <c r="AZ12" i="51" s="1"/>
  <c r="AY61" i="51"/>
  <c r="AZ61" i="51" s="1"/>
  <c r="AY17" i="51"/>
  <c r="AZ17" i="51" s="1"/>
  <c r="AY21" i="51"/>
  <c r="AZ21" i="51" s="1"/>
  <c r="AY25" i="51"/>
  <c r="AZ25" i="51" s="1"/>
  <c r="AY29" i="51"/>
  <c r="AZ29" i="51" s="1"/>
  <c r="AY33" i="51"/>
  <c r="AZ33" i="51" s="1"/>
  <c r="AY37" i="51"/>
  <c r="AZ37" i="51" s="1"/>
  <c r="AY62" i="51"/>
  <c r="AZ62" i="51" s="1"/>
  <c r="AY127" i="51"/>
  <c r="AZ127" i="51" s="1"/>
  <c r="AY131" i="51"/>
  <c r="AZ131" i="51" s="1"/>
  <c r="AY135" i="51"/>
  <c r="AZ135" i="51" s="1"/>
  <c r="AY68" i="51"/>
  <c r="AZ68" i="51" s="1"/>
  <c r="AY72" i="51"/>
  <c r="AZ72" i="51" s="1"/>
  <c r="AY85" i="51"/>
  <c r="AZ85" i="51" s="1"/>
  <c r="AY89" i="51"/>
  <c r="AZ89" i="51" s="1"/>
  <c r="AY93" i="51"/>
  <c r="AZ93" i="51" s="1"/>
  <c r="AY186" i="51"/>
  <c r="AZ186" i="51" s="1"/>
  <c r="AY141" i="51"/>
  <c r="AZ141" i="51" s="1"/>
  <c r="AY157" i="51"/>
  <c r="AZ157" i="51" s="1"/>
  <c r="AY195" i="51"/>
  <c r="AZ195" i="51" s="1"/>
  <c r="AY225" i="51"/>
  <c r="AZ225" i="51" s="1"/>
  <c r="AY209" i="51"/>
  <c r="AZ209" i="51" s="1"/>
  <c r="AY251" i="51"/>
  <c r="AZ251" i="51" s="1"/>
  <c r="AY258" i="51"/>
  <c r="AZ258" i="51" s="1"/>
  <c r="AY222" i="51"/>
  <c r="AZ222" i="51" s="1"/>
  <c r="AY241" i="51"/>
  <c r="AZ241" i="51" s="1"/>
  <c r="AY74" i="51"/>
  <c r="AZ74" i="51" s="1"/>
  <c r="AY214" i="51"/>
  <c r="AZ214" i="51" s="1"/>
  <c r="AY250" i="51"/>
  <c r="AZ250" i="51" s="1"/>
  <c r="AY298" i="51"/>
  <c r="AZ298" i="51" s="1"/>
  <c r="AY306" i="51"/>
  <c r="AZ306" i="51" s="1"/>
  <c r="AC12" i="51"/>
  <c r="AD12" i="51" s="1"/>
  <c r="AC63" i="51"/>
  <c r="AD63" i="51" s="1"/>
  <c r="Q47" i="51"/>
  <c r="R47" i="51" s="1"/>
  <c r="AY49" i="51"/>
  <c r="AZ49" i="51" s="1"/>
  <c r="J612" i="52"/>
  <c r="M321" i="52"/>
  <c r="H172" i="62"/>
  <c r="W269" i="70"/>
  <c r="V540" i="42"/>
  <c r="Q431" i="42" s="1"/>
  <c r="Q433" i="42" s="1"/>
  <c r="AC266" i="51"/>
  <c r="AD266" i="51" s="1"/>
  <c r="Q119" i="51"/>
  <c r="R119" i="51" s="1"/>
  <c r="Q60" i="51"/>
  <c r="R60" i="51" s="1"/>
  <c r="Q112" i="51"/>
  <c r="R112" i="51" s="1"/>
  <c r="Q15" i="51"/>
  <c r="R15" i="51" s="1"/>
  <c r="Q31" i="51"/>
  <c r="R31" i="51" s="1"/>
  <c r="Q191" i="51"/>
  <c r="R191" i="51" s="1"/>
  <c r="Q72" i="51"/>
  <c r="Q141" i="51"/>
  <c r="R141" i="51" s="1"/>
  <c r="Q184" i="51"/>
  <c r="R184" i="51" s="1"/>
  <c r="Q205" i="51"/>
  <c r="R205" i="51" s="1"/>
  <c r="Q281" i="51"/>
  <c r="R281" i="51" s="1"/>
  <c r="Q289" i="51"/>
  <c r="R289" i="51" s="1"/>
  <c r="Q189" i="51"/>
  <c r="R189" i="51" s="1"/>
  <c r="Q203" i="51"/>
  <c r="R203" i="51" s="1"/>
  <c r="Q79" i="51"/>
  <c r="R79" i="51" s="1"/>
  <c r="Q39" i="51"/>
  <c r="R39" i="51" s="1"/>
  <c r="AC29" i="51"/>
  <c r="AD29" i="51" s="1"/>
  <c r="W612" i="52"/>
  <c r="Q20" i="62"/>
  <c r="AC42" i="51"/>
  <c r="AD42" i="51" s="1"/>
  <c r="AC123" i="51"/>
  <c r="AD123" i="51" s="1"/>
  <c r="Q107" i="51"/>
  <c r="R107" i="51" s="1"/>
  <c r="Q123" i="51"/>
  <c r="R123" i="51" s="1"/>
  <c r="Q134" i="51"/>
  <c r="R134" i="51" s="1"/>
  <c r="Q12" i="51"/>
  <c r="R12" i="51" s="1"/>
  <c r="Q20" i="51"/>
  <c r="R20" i="51" s="1"/>
  <c r="Q36" i="51"/>
  <c r="R36" i="51" s="1"/>
  <c r="Q69" i="51"/>
  <c r="R69" i="51" s="1"/>
  <c r="Q73" i="51"/>
  <c r="R73" i="51" s="1"/>
  <c r="Q142" i="51"/>
  <c r="R142" i="51" s="1"/>
  <c r="Q101" i="51"/>
  <c r="R101" i="51" s="1"/>
  <c r="Q179" i="51"/>
  <c r="R179" i="51" s="1"/>
  <c r="Q186" i="51"/>
  <c r="R186" i="51" s="1"/>
  <c r="Q188" i="51"/>
  <c r="R188" i="51" s="1"/>
  <c r="Q207" i="51"/>
  <c r="R207" i="51" s="1"/>
  <c r="Q286" i="51"/>
  <c r="R286" i="51" s="1"/>
  <c r="Q193" i="51"/>
  <c r="R193" i="51" s="1"/>
  <c r="Q204" i="51"/>
  <c r="R204" i="51" s="1"/>
  <c r="Q241" i="51"/>
  <c r="R241" i="51" s="1"/>
  <c r="Q261" i="51"/>
  <c r="R261" i="51" s="1"/>
  <c r="Q98" i="51"/>
  <c r="R98" i="51" s="1"/>
  <c r="Q159" i="51"/>
  <c r="R159" i="51" s="1"/>
  <c r="Q211" i="51"/>
  <c r="R211" i="51" s="1"/>
  <c r="Q248" i="51"/>
  <c r="R248" i="51" s="1"/>
  <c r="Q214" i="51"/>
  <c r="R214" i="51" s="1"/>
  <c r="Q218" i="51"/>
  <c r="R218" i="51" s="1"/>
  <c r="Q263" i="51"/>
  <c r="R263" i="51" s="1"/>
  <c r="Q273" i="51"/>
  <c r="R273" i="51" s="1"/>
  <c r="Q253" i="51"/>
  <c r="R253" i="51" s="1"/>
  <c r="Q270" i="51"/>
  <c r="R270" i="51" s="1"/>
  <c r="Q298" i="51"/>
  <c r="R298" i="51" s="1"/>
  <c r="Q306" i="51"/>
  <c r="R306" i="51" s="1"/>
  <c r="AY11" i="51"/>
  <c r="AZ11" i="51" s="1"/>
  <c r="AC45" i="51"/>
  <c r="AD45" i="51" s="1"/>
  <c r="Q43" i="51"/>
  <c r="R43" i="51" s="1"/>
  <c r="Q38" i="51"/>
  <c r="R38" i="51" s="1"/>
  <c r="Q46" i="51"/>
  <c r="R46" i="51" s="1"/>
  <c r="H619" i="52"/>
  <c r="U84" i="70"/>
  <c r="U257" i="70"/>
  <c r="M20" i="62"/>
  <c r="C45" i="46"/>
  <c r="D101" i="61"/>
  <c r="D107" i="61" s="1"/>
  <c r="Q242" i="41"/>
  <c r="Q174" i="41" s="1"/>
  <c r="Q175" i="41" s="1"/>
  <c r="M11" i="41" s="1"/>
  <c r="M12" i="41" s="1"/>
  <c r="I242" i="41"/>
  <c r="I174" i="41" s="1"/>
  <c r="I175" i="41" s="1"/>
  <c r="E11" i="41" s="1"/>
  <c r="H242" i="41"/>
  <c r="H174" i="41" s="1"/>
  <c r="H175" i="41" s="1"/>
  <c r="D11" i="41" s="1"/>
  <c r="D12" i="41" s="1"/>
  <c r="O112" i="44"/>
  <c r="O59" i="44" s="1"/>
  <c r="O60" i="44" s="1"/>
  <c r="K10" i="44" s="1"/>
  <c r="R112" i="44"/>
  <c r="R59" i="44" s="1"/>
  <c r="R60" i="44" s="1"/>
  <c r="N10" i="44" s="1"/>
  <c r="Q112" i="44"/>
  <c r="Q59" i="44" s="1"/>
  <c r="Q60" i="44" s="1"/>
  <c r="M10" i="44" s="1"/>
  <c r="J112" i="44"/>
  <c r="J59" i="44" s="1"/>
  <c r="J60" i="44" s="1"/>
  <c r="F10" i="44" s="1"/>
  <c r="F11" i="44" s="1"/>
  <c r="K112" i="44"/>
  <c r="K59" i="44" s="1"/>
  <c r="K60" i="44" s="1"/>
  <c r="K61" i="44" s="1"/>
  <c r="G4" i="44" s="1"/>
  <c r="G6" i="44" s="1"/>
  <c r="S112" i="44"/>
  <c r="S59" i="44" s="1"/>
  <c r="S60" i="44" s="1"/>
  <c r="C6" i="35"/>
  <c r="D6" i="35"/>
  <c r="K15" i="35"/>
  <c r="O162" i="35"/>
  <c r="J4" i="35" s="1"/>
  <c r="J6" i="35" s="1"/>
  <c r="Q162" i="35"/>
  <c r="L4" i="35" s="1"/>
  <c r="L6" i="35" s="1"/>
  <c r="M16" i="35"/>
  <c r="M12" i="35"/>
  <c r="R162" i="35"/>
  <c r="M4" i="35" s="1"/>
  <c r="M6" i="35" s="1"/>
  <c r="N170" i="43"/>
  <c r="N102" i="43" s="1"/>
  <c r="N103" i="43" s="1"/>
  <c r="J11" i="43" s="1"/>
  <c r="J12" i="43" s="1"/>
  <c r="L105" i="43"/>
  <c r="H4" i="43" s="1"/>
  <c r="H6" i="43" s="1"/>
  <c r="I16" i="43"/>
  <c r="O170" i="43"/>
  <c r="O102" i="43" s="1"/>
  <c r="O103" i="43" s="1"/>
  <c r="K11" i="43" s="1"/>
  <c r="K12" i="43" s="1"/>
  <c r="R170" i="43"/>
  <c r="R102" i="43" s="1"/>
  <c r="R103" i="43" s="1"/>
  <c r="N11" i="43" s="1"/>
  <c r="M105" i="43"/>
  <c r="I4" i="43" s="1"/>
  <c r="I6" i="43" s="1"/>
  <c r="Q170" i="43"/>
  <c r="Q102" i="43" s="1"/>
  <c r="Q103" i="43" s="1"/>
  <c r="M11" i="43" s="1"/>
  <c r="M12" i="43" s="1"/>
  <c r="H12" i="43"/>
  <c r="I12" i="43"/>
  <c r="T170" i="43"/>
  <c r="T102" i="43" s="1"/>
  <c r="T103" i="43" s="1"/>
  <c r="S170" i="43"/>
  <c r="S102" i="43" s="1"/>
  <c r="S103" i="43" s="1"/>
  <c r="S105" i="43" s="1"/>
  <c r="G15" i="37"/>
  <c r="R149" i="37"/>
  <c r="R112" i="37" s="1"/>
  <c r="R113" i="37" s="1"/>
  <c r="Q149" i="37"/>
  <c r="Q112" i="37" s="1"/>
  <c r="Q113" i="37" s="1"/>
  <c r="K11" i="37" s="1"/>
  <c r="O149" i="37"/>
  <c r="O112" i="37" s="1"/>
  <c r="O113" i="37" s="1"/>
  <c r="F15" i="37"/>
  <c r="J242" i="41"/>
  <c r="J174" i="41" s="1"/>
  <c r="J175" i="41" s="1"/>
  <c r="F11" i="41" s="1"/>
  <c r="F12" i="41" s="1"/>
  <c r="O242" i="41"/>
  <c r="O174" i="41" s="1"/>
  <c r="O175" i="41" s="1"/>
  <c r="K11" i="41" s="1"/>
  <c r="K12" i="41" s="1"/>
  <c r="J206" i="63"/>
  <c r="F38" i="46"/>
  <c r="E42" i="46"/>
  <c r="E34" i="46"/>
  <c r="C39" i="46"/>
  <c r="C35" i="46"/>
  <c r="C41" i="46"/>
  <c r="J40" i="46"/>
  <c r="J36" i="46"/>
  <c r="C37" i="46"/>
  <c r="G31" i="46"/>
  <c r="Q31" i="46"/>
  <c r="J35" i="46"/>
  <c r="R101" i="61"/>
  <c r="R107" i="61" s="1"/>
  <c r="J44" i="46"/>
  <c r="J42" i="46"/>
  <c r="J38" i="46"/>
  <c r="K101" i="61"/>
  <c r="K107" i="61" s="1"/>
  <c r="C6" i="61"/>
  <c r="H101" i="61"/>
  <c r="H107" i="61" s="1"/>
  <c r="Q101" i="61"/>
  <c r="Q107" i="61" s="1"/>
  <c r="P101" i="61"/>
  <c r="P107" i="61" s="1"/>
  <c r="R31" i="46"/>
  <c r="P31" i="46"/>
  <c r="M101" i="61"/>
  <c r="M107" i="61" s="1"/>
  <c r="L101" i="61"/>
  <c r="L107" i="61" s="1"/>
  <c r="C14" i="61"/>
  <c r="I206" i="63"/>
  <c r="K198" i="63"/>
  <c r="W264" i="70"/>
  <c r="I77" i="68"/>
  <c r="I83" i="68" s="1"/>
  <c r="K16" i="68"/>
  <c r="K77" i="68" s="1"/>
  <c r="C79" i="63"/>
  <c r="C91" i="63" s="1"/>
  <c r="K159" i="62"/>
  <c r="L81" i="62"/>
  <c r="M115" i="62"/>
  <c r="U73" i="62"/>
  <c r="U72" i="62"/>
  <c r="V69" i="62" s="1"/>
  <c r="D169" i="62"/>
  <c r="D95" i="62"/>
  <c r="L102" i="62"/>
  <c r="I146" i="62"/>
  <c r="D159" i="62"/>
  <c r="E81" i="62"/>
  <c r="L8" i="62"/>
  <c r="M4" i="62" s="1"/>
  <c r="M8" i="62" s="1"/>
  <c r="N4" i="62" s="1"/>
  <c r="N8" i="62" s="1"/>
  <c r="O4" i="62" s="1"/>
  <c r="O8" i="62" s="1"/>
  <c r="P4" i="62" s="1"/>
  <c r="P8" i="62" s="1"/>
  <c r="Q4" i="62" s="1"/>
  <c r="Q8" i="62" s="1"/>
  <c r="R4" i="62" s="1"/>
  <c r="R8" i="62" s="1"/>
  <c r="S4" i="62" s="1"/>
  <c r="T147" i="62"/>
  <c r="T9" i="62" s="1"/>
  <c r="T10" i="62" s="1"/>
  <c r="T74" i="62"/>
  <c r="T148" i="62" s="1"/>
  <c r="P182" i="62"/>
  <c r="Q185" i="62"/>
  <c r="M143" i="62"/>
  <c r="M32" i="62"/>
  <c r="N95" i="62"/>
  <c r="D146" i="62"/>
  <c r="E29" i="62"/>
  <c r="C101" i="61"/>
  <c r="C107" i="61" s="1"/>
  <c r="C5" i="61"/>
  <c r="N101" i="61"/>
  <c r="N107" i="61" s="1"/>
  <c r="C16" i="61"/>
  <c r="F101" i="61"/>
  <c r="F107" i="61" s="1"/>
  <c r="C8" i="61"/>
  <c r="I101" i="61"/>
  <c r="I107" i="61" s="1"/>
  <c r="G101" i="61"/>
  <c r="G107" i="61" s="1"/>
  <c r="C9" i="61"/>
  <c r="J101" i="61"/>
  <c r="J107" i="61" s="1"/>
  <c r="C12" i="61"/>
  <c r="C4" i="61"/>
  <c r="O101" i="61"/>
  <c r="O107" i="61" s="1"/>
  <c r="C17" i="61"/>
  <c r="E101" i="61"/>
  <c r="E107" i="61" s="1"/>
  <c r="L26" i="55"/>
  <c r="L25" i="55"/>
  <c r="AF11" i="55"/>
  <c r="AF12" i="55"/>
  <c r="AF8" i="55"/>
  <c r="Q321" i="52"/>
  <c r="R321" i="52" s="1"/>
  <c r="T321" i="52"/>
  <c r="U321" i="52" s="1"/>
  <c r="Y584" i="52"/>
  <c r="Y590" i="52" s="1"/>
  <c r="L617" i="52"/>
  <c r="M617" i="52" s="1"/>
  <c r="M621" i="52"/>
  <c r="M584" i="52"/>
  <c r="AC314" i="52"/>
  <c r="AC321" i="52" s="1"/>
  <c r="M314" i="52"/>
  <c r="M590" i="52"/>
  <c r="K590" i="52"/>
  <c r="K612" i="52" s="1"/>
  <c r="H314" i="52"/>
  <c r="G321" i="52"/>
  <c r="H321" i="52" s="1"/>
  <c r="X314" i="52"/>
  <c r="X321" i="52" s="1"/>
  <c r="H615" i="52"/>
  <c r="Y610" i="52"/>
  <c r="T590" i="52"/>
  <c r="Q590" i="52"/>
  <c r="AB584" i="52"/>
  <c r="AB590" i="52" s="1"/>
  <c r="AC322" i="52"/>
  <c r="AC584" i="52" s="1"/>
  <c r="AC590" i="52" s="1"/>
  <c r="G590" i="52"/>
  <c r="H590" i="52" s="1"/>
  <c r="H584" i="52"/>
  <c r="AB314" i="52"/>
  <c r="AB321" i="52" s="1"/>
  <c r="L612" i="52"/>
  <c r="L616" i="52"/>
  <c r="M616" i="52" s="1"/>
  <c r="M620" i="52"/>
  <c r="X584" i="52"/>
  <c r="X590" i="52" s="1"/>
  <c r="Y314" i="52"/>
  <c r="Y321" i="52" s="1"/>
  <c r="AC304" i="51"/>
  <c r="AD304" i="51" s="1"/>
  <c r="AC298" i="51"/>
  <c r="AD298" i="51" s="1"/>
  <c r="AC276" i="51"/>
  <c r="AD276" i="51" s="1"/>
  <c r="AC219" i="51"/>
  <c r="AD219" i="51" s="1"/>
  <c r="AC232" i="51"/>
  <c r="AD232" i="51" s="1"/>
  <c r="AC261" i="51"/>
  <c r="AD261" i="51" s="1"/>
  <c r="AC174" i="51"/>
  <c r="AD174" i="51" s="1"/>
  <c r="AC99" i="51"/>
  <c r="AD99" i="51" s="1"/>
  <c r="AC101" i="51"/>
  <c r="AD101" i="51" s="1"/>
  <c r="AC66" i="51"/>
  <c r="AD66" i="51" s="1"/>
  <c r="AC44" i="51"/>
  <c r="AD44" i="51" s="1"/>
  <c r="R302" i="51"/>
  <c r="AC277" i="51"/>
  <c r="AD277" i="51" s="1"/>
  <c r="AC258" i="51"/>
  <c r="AD258" i="51" s="1"/>
  <c r="AC205" i="51"/>
  <c r="AD205" i="51" s="1"/>
  <c r="AC275" i="51"/>
  <c r="AD275" i="51" s="1"/>
  <c r="AC220" i="51"/>
  <c r="AD220" i="51" s="1"/>
  <c r="AC199" i="51"/>
  <c r="AD199" i="51" s="1"/>
  <c r="AC227" i="51"/>
  <c r="AD227" i="51" s="1"/>
  <c r="AC306" i="51"/>
  <c r="AD306" i="51" s="1"/>
  <c r="AC166" i="51"/>
  <c r="AD166" i="51" s="1"/>
  <c r="AC77" i="51"/>
  <c r="AD77" i="51" s="1"/>
  <c r="AC55" i="51"/>
  <c r="AD55" i="51" s="1"/>
  <c r="AC35" i="51"/>
  <c r="AD35" i="51" s="1"/>
  <c r="Q114" i="51"/>
  <c r="AC190" i="51"/>
  <c r="AD190" i="51" s="1"/>
  <c r="AC159" i="51"/>
  <c r="AD159" i="51" s="1"/>
  <c r="AC161" i="51"/>
  <c r="AD161" i="51" s="1"/>
  <c r="AC194" i="51"/>
  <c r="AD194" i="51" s="1"/>
  <c r="AC213" i="51"/>
  <c r="AD213" i="51" s="1"/>
  <c r="AC301" i="51"/>
  <c r="AD301" i="51" s="1"/>
  <c r="AC314" i="51"/>
  <c r="AD314" i="51" s="1"/>
  <c r="AC257" i="51"/>
  <c r="AD257" i="51" s="1"/>
  <c r="AC256" i="51"/>
  <c r="AD256" i="51" s="1"/>
  <c r="AC208" i="51"/>
  <c r="AD208" i="51" s="1"/>
  <c r="AC169" i="51"/>
  <c r="AD169" i="51" s="1"/>
  <c r="AC102" i="51"/>
  <c r="AD102" i="51" s="1"/>
  <c r="Q33" i="51"/>
  <c r="Q17" i="51"/>
  <c r="AQ7" i="51"/>
  <c r="AR8" i="51"/>
  <c r="AC100" i="51"/>
  <c r="AD100" i="51" s="1"/>
  <c r="AC238" i="51"/>
  <c r="AD238" i="51" s="1"/>
  <c r="AC214" i="51"/>
  <c r="AD214" i="51" s="1"/>
  <c r="AC270" i="51"/>
  <c r="AD270" i="51" s="1"/>
  <c r="AC150" i="51"/>
  <c r="AD150" i="51" s="1"/>
  <c r="AC189" i="51"/>
  <c r="AD189" i="51" s="1"/>
  <c r="AC259" i="51"/>
  <c r="AD259" i="51" s="1"/>
  <c r="AC280" i="51"/>
  <c r="AD280" i="51" s="1"/>
  <c r="J74" i="51"/>
  <c r="J273" i="51"/>
  <c r="AY80" i="51"/>
  <c r="AZ80" i="51" s="1"/>
  <c r="AY139" i="51"/>
  <c r="AZ139" i="51" s="1"/>
  <c r="AY106" i="51"/>
  <c r="AZ106" i="51" s="1"/>
  <c r="AY118" i="51"/>
  <c r="AZ118" i="51" s="1"/>
  <c r="AY126" i="51"/>
  <c r="AZ126" i="51" s="1"/>
  <c r="AY175" i="51"/>
  <c r="AZ175" i="51" s="1"/>
  <c r="AY220" i="51"/>
  <c r="AZ220" i="51" s="1"/>
  <c r="AY183" i="51"/>
  <c r="AZ183" i="51" s="1"/>
  <c r="AY285" i="51"/>
  <c r="AZ285" i="51" s="1"/>
  <c r="AY293" i="51"/>
  <c r="AZ293" i="51" s="1"/>
  <c r="AY78" i="51"/>
  <c r="AZ78" i="51" s="1"/>
  <c r="AY235" i="51"/>
  <c r="AZ235" i="51" s="1"/>
  <c r="AY273" i="51"/>
  <c r="AZ273" i="51" s="1"/>
  <c r="AY253" i="51"/>
  <c r="AZ253" i="51" s="1"/>
  <c r="AY39" i="51"/>
  <c r="AZ39" i="51" s="1"/>
  <c r="AC26" i="51"/>
  <c r="AD26" i="51" s="1"/>
  <c r="J57" i="51"/>
  <c r="Q144" i="51"/>
  <c r="Q145" i="51"/>
  <c r="Q216" i="51"/>
  <c r="Q264" i="51"/>
  <c r="Q190" i="51"/>
  <c r="Q242" i="51"/>
  <c r="Q250" i="51"/>
  <c r="Q284" i="51"/>
  <c r="Q292" i="51"/>
  <c r="J271" i="51"/>
  <c r="AY56" i="51"/>
  <c r="AZ56" i="51" s="1"/>
  <c r="AY40" i="51"/>
  <c r="AZ40" i="51" s="1"/>
  <c r="AC25" i="51"/>
  <c r="AD25" i="51" s="1"/>
  <c r="Q21" i="51"/>
  <c r="AL8" i="51"/>
  <c r="AK7" i="51"/>
  <c r="AC47" i="51"/>
  <c r="AD47" i="51" s="1"/>
  <c r="AC286" i="51"/>
  <c r="AD286" i="51" s="1"/>
  <c r="AC294" i="51"/>
  <c r="AD294" i="51" s="1"/>
  <c r="AC151" i="51"/>
  <c r="AD151" i="51" s="1"/>
  <c r="AC248" i="51"/>
  <c r="AD248" i="51" s="1"/>
  <c r="AC252" i="51"/>
  <c r="AD252" i="51" s="1"/>
  <c r="Q37" i="51"/>
  <c r="J60" i="51"/>
  <c r="J105" i="51"/>
  <c r="J237" i="51"/>
  <c r="J265" i="51"/>
  <c r="AY50" i="51"/>
  <c r="AZ50" i="51" s="1"/>
  <c r="AY41" i="51"/>
  <c r="AZ41" i="51" s="1"/>
  <c r="AY57" i="51"/>
  <c r="AZ57" i="51" s="1"/>
  <c r="AY158" i="51"/>
  <c r="AZ158" i="51" s="1"/>
  <c r="AY67" i="51"/>
  <c r="AZ67" i="51" s="1"/>
  <c r="AY18" i="51"/>
  <c r="AZ18" i="51" s="1"/>
  <c r="AY22" i="51"/>
  <c r="AZ22" i="51" s="1"/>
  <c r="AY26" i="51"/>
  <c r="AZ26" i="51" s="1"/>
  <c r="AY30" i="51"/>
  <c r="AZ30" i="51" s="1"/>
  <c r="AY34" i="51"/>
  <c r="AZ34" i="51" s="1"/>
  <c r="AY53" i="51"/>
  <c r="AZ53" i="51" s="1"/>
  <c r="AY63" i="51"/>
  <c r="AZ63" i="51" s="1"/>
  <c r="AY81" i="51"/>
  <c r="AZ81" i="51" s="1"/>
  <c r="AY128" i="51"/>
  <c r="AZ128" i="51" s="1"/>
  <c r="AY132" i="51"/>
  <c r="AZ132" i="51" s="1"/>
  <c r="AY154" i="51"/>
  <c r="AZ154" i="51" s="1"/>
  <c r="AY136" i="51"/>
  <c r="AZ136" i="51" s="1"/>
  <c r="AY140" i="51"/>
  <c r="AZ140" i="51" s="1"/>
  <c r="AY69" i="51"/>
  <c r="AZ69" i="51" s="1"/>
  <c r="AY73" i="51"/>
  <c r="AZ73" i="51" s="1"/>
  <c r="AY86" i="51"/>
  <c r="AZ86" i="51" s="1"/>
  <c r="AY90" i="51"/>
  <c r="AZ90" i="51" s="1"/>
  <c r="AY100" i="51"/>
  <c r="AZ100" i="51" s="1"/>
  <c r="AY107" i="51"/>
  <c r="AZ107" i="51" s="1"/>
  <c r="AY111" i="51"/>
  <c r="AZ111" i="51" s="1"/>
  <c r="AY115" i="51"/>
  <c r="AZ115" i="51" s="1"/>
  <c r="AY119" i="51"/>
  <c r="AZ119" i="51" s="1"/>
  <c r="AY123" i="51"/>
  <c r="AZ123" i="51" s="1"/>
  <c r="AY145" i="51"/>
  <c r="AZ145" i="51" s="1"/>
  <c r="AY144" i="51"/>
  <c r="AZ144" i="51" s="1"/>
  <c r="AY159" i="51"/>
  <c r="AZ159" i="51" s="1"/>
  <c r="AY176" i="51"/>
  <c r="AZ176" i="51" s="1"/>
  <c r="AY230" i="51"/>
  <c r="AZ230" i="51" s="1"/>
  <c r="AY160" i="51"/>
  <c r="AZ160" i="51" s="1"/>
  <c r="AY146" i="51"/>
  <c r="AZ146" i="51" s="1"/>
  <c r="AY161" i="51"/>
  <c r="AZ161" i="51" s="1"/>
  <c r="AY229" i="51"/>
  <c r="AZ229" i="51" s="1"/>
  <c r="AY206" i="51"/>
  <c r="AZ206" i="51" s="1"/>
  <c r="AY315" i="51"/>
  <c r="AZ315" i="51" s="1"/>
  <c r="AY244" i="51"/>
  <c r="AZ244" i="51" s="1"/>
  <c r="AY234" i="51"/>
  <c r="AZ234" i="51" s="1"/>
  <c r="AY262" i="51"/>
  <c r="AZ262" i="51" s="1"/>
  <c r="AY208" i="51"/>
  <c r="AZ208" i="51" s="1"/>
  <c r="AY221" i="51"/>
  <c r="AZ221" i="51" s="1"/>
  <c r="AY260" i="51"/>
  <c r="AZ260" i="51" s="1"/>
  <c r="AY180" i="51"/>
  <c r="AZ180" i="51" s="1"/>
  <c r="AY184" i="51"/>
  <c r="AZ184" i="51" s="1"/>
  <c r="AY196" i="51"/>
  <c r="AZ196" i="51" s="1"/>
  <c r="AY232" i="51"/>
  <c r="AZ232" i="51" s="1"/>
  <c r="AY243" i="51"/>
  <c r="AZ243" i="51" s="1"/>
  <c r="AY274" i="51"/>
  <c r="AZ274" i="51" s="1"/>
  <c r="AY282" i="51"/>
  <c r="AZ282" i="51" s="1"/>
  <c r="AY286" i="51"/>
  <c r="AZ286" i="51" s="1"/>
  <c r="AY290" i="51"/>
  <c r="AZ290" i="51" s="1"/>
  <c r="AY294" i="51"/>
  <c r="AZ294" i="51" s="1"/>
  <c r="AY75" i="51"/>
  <c r="AZ75" i="51" s="1"/>
  <c r="AY79" i="51"/>
  <c r="AZ79" i="51" s="1"/>
  <c r="AY97" i="51"/>
  <c r="AZ97" i="51" s="1"/>
  <c r="AY168" i="51"/>
  <c r="AZ168" i="51" s="1"/>
  <c r="AY223" i="51"/>
  <c r="AZ223" i="51" s="1"/>
  <c r="AY237" i="51"/>
  <c r="AZ237" i="51" s="1"/>
  <c r="AY309" i="51"/>
  <c r="AZ309" i="51" s="1"/>
  <c r="AY199" i="51"/>
  <c r="AZ199" i="51" s="1"/>
  <c r="AY215" i="51"/>
  <c r="AZ215" i="51" s="1"/>
  <c r="AY239" i="51"/>
  <c r="AZ239" i="51" s="1"/>
  <c r="AY257" i="51"/>
  <c r="AZ257" i="51" s="1"/>
  <c r="AY275" i="51"/>
  <c r="AZ275" i="51" s="1"/>
  <c r="AY255" i="51"/>
  <c r="AZ255" i="51" s="1"/>
  <c r="AY279" i="51"/>
  <c r="AZ279" i="51" s="1"/>
  <c r="AY254" i="51"/>
  <c r="AZ254" i="51" s="1"/>
  <c r="AY278" i="51"/>
  <c r="AZ278" i="51" s="1"/>
  <c r="AY299" i="51"/>
  <c r="AZ299" i="51" s="1"/>
  <c r="AY303" i="51"/>
  <c r="AZ303" i="51" s="1"/>
  <c r="AY307" i="51"/>
  <c r="AZ307" i="51" s="1"/>
  <c r="J56" i="51"/>
  <c r="J209" i="51"/>
  <c r="AY42" i="51"/>
  <c r="AZ42" i="51" s="1"/>
  <c r="AU8" i="51"/>
  <c r="AT7" i="51"/>
  <c r="Q110" i="51"/>
  <c r="Q118" i="51"/>
  <c r="Q126" i="51"/>
  <c r="J82" i="51"/>
  <c r="J149" i="51"/>
  <c r="J253" i="51"/>
  <c r="AC141" i="51"/>
  <c r="AD141" i="51" s="1"/>
  <c r="Q62" i="51"/>
  <c r="AC96" i="51"/>
  <c r="AD96" i="51" s="1"/>
  <c r="AC158" i="51"/>
  <c r="AD158" i="51" s="1"/>
  <c r="AC221" i="51"/>
  <c r="AD221" i="51" s="1"/>
  <c r="AC229" i="51"/>
  <c r="AD229" i="51" s="1"/>
  <c r="AC297" i="51"/>
  <c r="J175" i="51"/>
  <c r="J267" i="51"/>
  <c r="AY103" i="51"/>
  <c r="AZ103" i="51" s="1"/>
  <c r="AY114" i="51"/>
  <c r="AZ114" i="51" s="1"/>
  <c r="AY207" i="51"/>
  <c r="AZ207" i="51" s="1"/>
  <c r="AY228" i="51"/>
  <c r="AZ228" i="51" s="1"/>
  <c r="AY310" i="51"/>
  <c r="AZ310" i="51" s="1"/>
  <c r="AY179" i="51"/>
  <c r="AZ179" i="51" s="1"/>
  <c r="AY281" i="51"/>
  <c r="AZ281" i="51" s="1"/>
  <c r="AY289" i="51"/>
  <c r="AZ289" i="51" s="1"/>
  <c r="AY96" i="51"/>
  <c r="AZ96" i="51" s="1"/>
  <c r="AY205" i="51"/>
  <c r="AZ205" i="51" s="1"/>
  <c r="AY167" i="51"/>
  <c r="AZ167" i="51" s="1"/>
  <c r="AY277" i="51"/>
  <c r="AZ277" i="51" s="1"/>
  <c r="AY270" i="51"/>
  <c r="AZ270" i="51" s="1"/>
  <c r="AY302" i="51"/>
  <c r="AZ302" i="51" s="1"/>
  <c r="J53" i="51"/>
  <c r="AC34" i="51"/>
  <c r="AD34" i="51" s="1"/>
  <c r="J38" i="51"/>
  <c r="J199" i="51"/>
  <c r="AY38" i="51"/>
  <c r="AZ38" i="51" s="1"/>
  <c r="Q57" i="51"/>
  <c r="R57" i="51" s="1"/>
  <c r="Q68" i="51"/>
  <c r="Q173" i="51"/>
  <c r="Q238" i="51"/>
  <c r="Q268" i="51"/>
  <c r="R268" i="51" s="1"/>
  <c r="Q210" i="51"/>
  <c r="Q86" i="51"/>
  <c r="Q172" i="51"/>
  <c r="Q139" i="51"/>
  <c r="Q231" i="51"/>
  <c r="Q276" i="51"/>
  <c r="Q246" i="51"/>
  <c r="Q278" i="51"/>
  <c r="Q296" i="51"/>
  <c r="J236" i="51"/>
  <c r="J141" i="51"/>
  <c r="Q80" i="51"/>
  <c r="R80" i="51" s="1"/>
  <c r="AC53" i="51"/>
  <c r="AD53" i="51" s="1"/>
  <c r="AY44" i="51"/>
  <c r="AZ44" i="51" s="1"/>
  <c r="Q25" i="51"/>
  <c r="Q11" i="51"/>
  <c r="Q9" i="51"/>
  <c r="AG8" i="51"/>
  <c r="AH8" i="51" s="1"/>
  <c r="AI8" i="51" s="1"/>
  <c r="AF7" i="51"/>
  <c r="AC40" i="51"/>
  <c r="AD40" i="51" s="1"/>
  <c r="AC111" i="51"/>
  <c r="AD111" i="51" s="1"/>
  <c r="AC97" i="51"/>
  <c r="AD97" i="51" s="1"/>
  <c r="AC295" i="51"/>
  <c r="AD295" i="51" s="1"/>
  <c r="AC127" i="51"/>
  <c r="AD127" i="51" s="1"/>
  <c r="AC135" i="51"/>
  <c r="AD135" i="51" s="1"/>
  <c r="AC212" i="51"/>
  <c r="AD212" i="51" s="1"/>
  <c r="AC156" i="51"/>
  <c r="AD156" i="51" s="1"/>
  <c r="AC160" i="51"/>
  <c r="AD160" i="51" s="1"/>
  <c r="AC164" i="51"/>
  <c r="AD164" i="51" s="1"/>
  <c r="AC191" i="51"/>
  <c r="AD191" i="51" s="1"/>
  <c r="AC195" i="51"/>
  <c r="AD195" i="51" s="1"/>
  <c r="AC223" i="51"/>
  <c r="AD223" i="51" s="1"/>
  <c r="Q18" i="51"/>
  <c r="Q22" i="51"/>
  <c r="Q26" i="51"/>
  <c r="Q30" i="51"/>
  <c r="Q34" i="51"/>
  <c r="Q63" i="51"/>
  <c r="J67" i="51"/>
  <c r="J219" i="51"/>
  <c r="J127" i="51"/>
  <c r="J268" i="51"/>
  <c r="AY48" i="51"/>
  <c r="AZ48" i="51" s="1"/>
  <c r="AC22" i="51"/>
  <c r="AD22" i="51" s="1"/>
  <c r="AY58" i="51"/>
  <c r="AZ58" i="51" s="1"/>
  <c r="AY10" i="51"/>
  <c r="AZ10" i="51" s="1"/>
  <c r="AY14" i="51"/>
  <c r="AZ14" i="51" s="1"/>
  <c r="AY15" i="51"/>
  <c r="AZ15" i="51" s="1"/>
  <c r="AY19" i="51"/>
  <c r="AZ19" i="51" s="1"/>
  <c r="AY23" i="51"/>
  <c r="AZ23" i="51" s="1"/>
  <c r="AY27" i="51"/>
  <c r="AZ27" i="51" s="1"/>
  <c r="AY31" i="51"/>
  <c r="AZ31" i="51" s="1"/>
  <c r="AY35" i="51"/>
  <c r="AZ35" i="51" s="1"/>
  <c r="AY54" i="51"/>
  <c r="AZ54" i="51" s="1"/>
  <c r="AY64" i="51"/>
  <c r="AZ64" i="51" s="1"/>
  <c r="AY82" i="51"/>
  <c r="AZ82" i="51" s="1"/>
  <c r="AY129" i="51"/>
  <c r="AZ129" i="51" s="1"/>
  <c r="AY133" i="51"/>
  <c r="AZ133" i="51" s="1"/>
  <c r="AY173" i="51"/>
  <c r="AZ173" i="51" s="1"/>
  <c r="AY137" i="51"/>
  <c r="AZ137" i="51" s="1"/>
  <c r="AY150" i="51"/>
  <c r="AZ150" i="51" s="1"/>
  <c r="AY70" i="51"/>
  <c r="AZ70" i="51" s="1"/>
  <c r="AY83" i="51"/>
  <c r="AZ83" i="51" s="1"/>
  <c r="AY87" i="51"/>
  <c r="AZ87" i="51" s="1"/>
  <c r="AY91" i="51"/>
  <c r="AZ91" i="51" s="1"/>
  <c r="AY104" i="51"/>
  <c r="AZ104" i="51" s="1"/>
  <c r="AY108" i="51"/>
  <c r="AZ108" i="51" s="1"/>
  <c r="AY112" i="51"/>
  <c r="AZ112" i="51" s="1"/>
  <c r="AY116" i="51"/>
  <c r="AZ116" i="51" s="1"/>
  <c r="AY120" i="51"/>
  <c r="AZ120" i="51" s="1"/>
  <c r="AY124" i="51"/>
  <c r="AZ124" i="51" s="1"/>
  <c r="AY162" i="51"/>
  <c r="AZ162" i="51" s="1"/>
  <c r="AY148" i="51"/>
  <c r="AZ148" i="51" s="1"/>
  <c r="AY163" i="51"/>
  <c r="AZ163" i="51" s="1"/>
  <c r="AY187" i="51"/>
  <c r="AZ187" i="51" s="1"/>
  <c r="AY147" i="51"/>
  <c r="AZ147" i="51" s="1"/>
  <c r="AY164" i="51"/>
  <c r="AZ164" i="51" s="1"/>
  <c r="AY149" i="51"/>
  <c r="AZ149" i="51" s="1"/>
  <c r="AY170" i="51"/>
  <c r="AZ170" i="51" s="1"/>
  <c r="AY189" i="51"/>
  <c r="AZ189" i="51" s="1"/>
  <c r="AY210" i="51"/>
  <c r="AZ210" i="51" s="1"/>
  <c r="AY191" i="51"/>
  <c r="AZ191" i="51" s="1"/>
  <c r="AY198" i="51"/>
  <c r="AZ198" i="51" s="1"/>
  <c r="AY240" i="51"/>
  <c r="AZ240" i="51" s="1"/>
  <c r="AY264" i="51"/>
  <c r="AZ264" i="51" s="1"/>
  <c r="AY212" i="51"/>
  <c r="AZ212" i="51" s="1"/>
  <c r="AY226" i="51"/>
  <c r="AZ226" i="51" s="1"/>
  <c r="AY177" i="51"/>
  <c r="AZ177" i="51" s="1"/>
  <c r="AY181" i="51"/>
  <c r="AZ181" i="51" s="1"/>
  <c r="AY185" i="51"/>
  <c r="AZ185" i="51" s="1"/>
  <c r="AY203" i="51"/>
  <c r="AZ203" i="51" s="1"/>
  <c r="AY233" i="51"/>
  <c r="AZ233" i="51" s="1"/>
  <c r="AY247" i="51"/>
  <c r="AZ247" i="51" s="1"/>
  <c r="AY261" i="51"/>
  <c r="AZ261" i="51" s="1"/>
  <c r="AY283" i="51"/>
  <c r="AZ283" i="51" s="1"/>
  <c r="AY287" i="51"/>
  <c r="AZ287" i="51" s="1"/>
  <c r="AY291" i="51"/>
  <c r="AZ291" i="51" s="1"/>
  <c r="AY295" i="51"/>
  <c r="AZ295" i="51" s="1"/>
  <c r="AY76" i="51"/>
  <c r="AZ76" i="51" s="1"/>
  <c r="AY94" i="51"/>
  <c r="AZ94" i="51" s="1"/>
  <c r="AY98" i="51"/>
  <c r="AZ98" i="51" s="1"/>
  <c r="AY172" i="51"/>
  <c r="AZ172" i="51" s="1"/>
  <c r="AY227" i="51"/>
  <c r="AZ227" i="51" s="1"/>
  <c r="AY245" i="51"/>
  <c r="AZ245" i="51" s="1"/>
  <c r="AY165" i="51"/>
  <c r="AZ165" i="51" s="1"/>
  <c r="AY200" i="51"/>
  <c r="AZ200" i="51" s="1"/>
  <c r="AY216" i="51"/>
  <c r="AZ216" i="51" s="1"/>
  <c r="AY242" i="51"/>
  <c r="AZ242" i="51" s="1"/>
  <c r="AY266" i="51"/>
  <c r="AZ266" i="51" s="1"/>
  <c r="AY276" i="51"/>
  <c r="AZ276" i="51" s="1"/>
  <c r="AY259" i="51"/>
  <c r="AZ259" i="51" s="1"/>
  <c r="AY313" i="51"/>
  <c r="AZ313" i="51" s="1"/>
  <c r="AY268" i="51"/>
  <c r="AZ268" i="51" s="1"/>
  <c r="AY312" i="51"/>
  <c r="AZ312" i="51" s="1"/>
  <c r="AY300" i="51"/>
  <c r="AZ300" i="51" s="1"/>
  <c r="AY304" i="51"/>
  <c r="AZ304" i="51" s="1"/>
  <c r="AY308" i="51"/>
  <c r="AZ308" i="51" s="1"/>
  <c r="AY47" i="51"/>
  <c r="AZ47" i="51" s="1"/>
  <c r="AC10" i="51"/>
  <c r="AD10" i="51" s="1"/>
  <c r="J15" i="51"/>
  <c r="J143" i="51"/>
  <c r="AY46" i="51"/>
  <c r="AZ46" i="51" s="1"/>
  <c r="AO8" i="51"/>
  <c r="AN7" i="51"/>
  <c r="Q40" i="51"/>
  <c r="Q44" i="51"/>
  <c r="J99" i="51"/>
  <c r="J188" i="51"/>
  <c r="AC21" i="51"/>
  <c r="AD21" i="51" s="1"/>
  <c r="AC38" i="51"/>
  <c r="AD38" i="51" s="1"/>
  <c r="AC105" i="51"/>
  <c r="AD105" i="51" s="1"/>
  <c r="AC78" i="51"/>
  <c r="AD78" i="51" s="1"/>
  <c r="AC171" i="51"/>
  <c r="AD171" i="51" s="1"/>
  <c r="AC215" i="51"/>
  <c r="AD215" i="51" s="1"/>
  <c r="AC154" i="51"/>
  <c r="AD154" i="51" s="1"/>
  <c r="J201" i="51"/>
  <c r="AY110" i="51"/>
  <c r="AZ110" i="51" s="1"/>
  <c r="AY122" i="51"/>
  <c r="AZ122" i="51" s="1"/>
  <c r="AY155" i="51"/>
  <c r="AZ155" i="51" s="1"/>
  <c r="AY156" i="51"/>
  <c r="AZ156" i="51" s="1"/>
  <c r="AY194" i="51"/>
  <c r="AZ194" i="51" s="1"/>
  <c r="AY192" i="51"/>
  <c r="AZ192" i="51" s="1"/>
  <c r="AY272" i="51"/>
  <c r="AZ272" i="51" s="1"/>
  <c r="AY143" i="51"/>
  <c r="AZ143" i="51" s="1"/>
  <c r="AY280" i="51"/>
  <c r="AZ280" i="51" s="1"/>
  <c r="AY218" i="51"/>
  <c r="AZ218" i="51" s="1"/>
  <c r="AY236" i="51"/>
  <c r="AZ236" i="51" s="1"/>
  <c r="Q53" i="51"/>
  <c r="R53" i="51" s="1"/>
  <c r="AC33" i="51"/>
  <c r="AD33" i="51" s="1"/>
  <c r="Q29" i="51"/>
  <c r="AW7" i="51"/>
  <c r="AX8" i="51"/>
  <c r="M8" i="51"/>
  <c r="Q8" i="51" s="1"/>
  <c r="L7" i="51"/>
  <c r="AC41" i="51"/>
  <c r="AD41" i="51" s="1"/>
  <c r="AC60" i="51"/>
  <c r="AD60" i="51" s="1"/>
  <c r="AC76" i="51"/>
  <c r="AD76" i="51" s="1"/>
  <c r="AC296" i="51"/>
  <c r="AD296" i="51" s="1"/>
  <c r="AC149" i="51"/>
  <c r="AD149" i="51" s="1"/>
  <c r="AC153" i="51"/>
  <c r="AD153" i="51" s="1"/>
  <c r="AC157" i="51"/>
  <c r="AD157" i="51" s="1"/>
  <c r="AC188" i="51"/>
  <c r="AD188" i="51" s="1"/>
  <c r="AC196" i="51"/>
  <c r="AD196" i="51" s="1"/>
  <c r="AC310" i="51"/>
  <c r="AD310" i="51" s="1"/>
  <c r="J94" i="51"/>
  <c r="J80" i="51"/>
  <c r="J168" i="51"/>
  <c r="J255" i="51"/>
  <c r="J281" i="51"/>
  <c r="AY51" i="51"/>
  <c r="AZ51" i="51" s="1"/>
  <c r="AY59" i="51"/>
  <c r="AZ59" i="51" s="1"/>
  <c r="AY60" i="51"/>
  <c r="AZ60" i="51" s="1"/>
  <c r="AY16" i="51"/>
  <c r="AZ16" i="51" s="1"/>
  <c r="AY20" i="51"/>
  <c r="AZ20" i="51" s="1"/>
  <c r="AY24" i="51"/>
  <c r="AZ24" i="51" s="1"/>
  <c r="AY28" i="51"/>
  <c r="AZ28" i="51" s="1"/>
  <c r="AY32" i="51"/>
  <c r="AZ32" i="51" s="1"/>
  <c r="AY36" i="51"/>
  <c r="AZ36" i="51" s="1"/>
  <c r="AY55" i="51"/>
  <c r="AZ55" i="51" s="1"/>
  <c r="AY65" i="51"/>
  <c r="AZ65" i="51" s="1"/>
  <c r="AY102" i="51"/>
  <c r="AZ102" i="51" s="1"/>
  <c r="AY130" i="51"/>
  <c r="AZ130" i="51" s="1"/>
  <c r="AY134" i="51"/>
  <c r="AZ134" i="51" s="1"/>
  <c r="AY99" i="51"/>
  <c r="AZ99" i="51" s="1"/>
  <c r="AY138" i="51"/>
  <c r="AZ138" i="51" s="1"/>
  <c r="AY66" i="51"/>
  <c r="AZ66" i="51" s="1"/>
  <c r="AY71" i="51"/>
  <c r="AZ71" i="51" s="1"/>
  <c r="AY84" i="51"/>
  <c r="AZ84" i="51" s="1"/>
  <c r="AY88" i="51"/>
  <c r="AZ88" i="51" s="1"/>
  <c r="AY92" i="51"/>
  <c r="AZ92" i="51" s="1"/>
  <c r="AY105" i="51"/>
  <c r="AZ105" i="51" s="1"/>
  <c r="AY109" i="51"/>
  <c r="AZ109" i="51" s="1"/>
  <c r="AY113" i="51"/>
  <c r="AZ113" i="51" s="1"/>
  <c r="AY117" i="51"/>
  <c r="AZ117" i="51" s="1"/>
  <c r="AY121" i="51"/>
  <c r="AZ121" i="51" s="1"/>
  <c r="AY125" i="51"/>
  <c r="AZ125" i="51" s="1"/>
  <c r="AY171" i="51"/>
  <c r="AZ171" i="51" s="1"/>
  <c r="AY151" i="51"/>
  <c r="AZ151" i="51" s="1"/>
  <c r="AY174" i="51"/>
  <c r="AZ174" i="51" s="1"/>
  <c r="AY197" i="51"/>
  <c r="AZ197" i="51" s="1"/>
  <c r="AY152" i="51"/>
  <c r="AZ152" i="51" s="1"/>
  <c r="AY169" i="51"/>
  <c r="AZ169" i="51" s="1"/>
  <c r="AY153" i="51"/>
  <c r="AZ153" i="51" s="1"/>
  <c r="AY193" i="51"/>
  <c r="AZ193" i="51" s="1"/>
  <c r="AY190" i="51"/>
  <c r="AZ190" i="51" s="1"/>
  <c r="AY224" i="51"/>
  <c r="AZ224" i="51" s="1"/>
  <c r="AY202" i="51"/>
  <c r="AZ202" i="51" s="1"/>
  <c r="AY204" i="51"/>
  <c r="AZ204" i="51" s="1"/>
  <c r="AY248" i="51"/>
  <c r="AZ248" i="51" s="1"/>
  <c r="AY265" i="51"/>
  <c r="AZ265" i="51" s="1"/>
  <c r="AY219" i="51"/>
  <c r="AZ219" i="51" s="1"/>
  <c r="AY249" i="51"/>
  <c r="AZ249" i="51" s="1"/>
  <c r="AY178" i="51"/>
  <c r="AZ178" i="51" s="1"/>
  <c r="AY182" i="51"/>
  <c r="AZ182" i="51" s="1"/>
  <c r="AY188" i="51"/>
  <c r="AZ188" i="51" s="1"/>
  <c r="AY211" i="51"/>
  <c r="AZ211" i="51" s="1"/>
  <c r="AY238" i="51"/>
  <c r="AZ238" i="51" s="1"/>
  <c r="AY252" i="51"/>
  <c r="AZ252" i="51" s="1"/>
  <c r="AY267" i="51"/>
  <c r="AZ267" i="51" s="1"/>
  <c r="AY284" i="51"/>
  <c r="AZ284" i="51" s="1"/>
  <c r="AY288" i="51"/>
  <c r="AZ288" i="51" s="1"/>
  <c r="AY292" i="51"/>
  <c r="AZ292" i="51" s="1"/>
  <c r="AY296" i="51"/>
  <c r="AZ296" i="51" s="1"/>
  <c r="AY77" i="51"/>
  <c r="AZ77" i="51" s="1"/>
  <c r="AY95" i="51"/>
  <c r="AZ95" i="51" s="1"/>
  <c r="AY142" i="51"/>
  <c r="AZ142" i="51" s="1"/>
  <c r="AY201" i="51"/>
  <c r="AZ201" i="51" s="1"/>
  <c r="AY231" i="51"/>
  <c r="AZ231" i="51" s="1"/>
  <c r="AY256" i="51"/>
  <c r="AZ256" i="51" s="1"/>
  <c r="AY166" i="51"/>
  <c r="AZ166" i="51" s="1"/>
  <c r="AY213" i="51"/>
  <c r="AZ213" i="51" s="1"/>
  <c r="AY217" i="51"/>
  <c r="AZ217" i="51" s="1"/>
  <c r="AY246" i="51"/>
  <c r="AZ246" i="51" s="1"/>
  <c r="AY271" i="51"/>
  <c r="AZ271" i="51" s="1"/>
  <c r="AY314" i="51"/>
  <c r="AZ314" i="51" s="1"/>
  <c r="AY263" i="51"/>
  <c r="AZ263" i="51" s="1"/>
  <c r="AY311" i="51"/>
  <c r="AZ311" i="51" s="1"/>
  <c r="AY269" i="51"/>
  <c r="AZ269" i="51" s="1"/>
  <c r="AY297" i="51"/>
  <c r="AZ297" i="51" s="1"/>
  <c r="AY301" i="51"/>
  <c r="AZ301" i="51" s="1"/>
  <c r="AY305" i="51"/>
  <c r="AZ305" i="51" s="1"/>
  <c r="AY43" i="51"/>
  <c r="AZ43" i="51" s="1"/>
  <c r="AC32" i="51"/>
  <c r="AD32" i="51" s="1"/>
  <c r="AC24" i="51"/>
  <c r="AC20" i="51"/>
  <c r="AD20" i="51" s="1"/>
  <c r="AC16" i="51"/>
  <c r="AD16" i="51" s="1"/>
  <c r="W8" i="51"/>
  <c r="AC8" i="51" s="1"/>
  <c r="AD8" i="51" s="1"/>
  <c r="AC54" i="51"/>
  <c r="AD54" i="51" s="1"/>
  <c r="AY45" i="51"/>
  <c r="AZ45" i="51" s="1"/>
  <c r="J51" i="51"/>
  <c r="AY9" i="51"/>
  <c r="AZ9" i="51" s="1"/>
  <c r="O7" i="51"/>
  <c r="J165" i="51"/>
  <c r="I213" i="51"/>
  <c r="AC30" i="51"/>
  <c r="AD30" i="51" s="1"/>
  <c r="AC11" i="51"/>
  <c r="AD11" i="51" s="1"/>
  <c r="F44" i="46"/>
  <c r="E44" i="46"/>
  <c r="J39" i="46"/>
  <c r="J37" i="46"/>
  <c r="G34" i="46"/>
  <c r="F42" i="46"/>
  <c r="F36" i="46"/>
  <c r="C44" i="46"/>
  <c r="C34" i="46"/>
  <c r="C32" i="46"/>
  <c r="H40" i="46"/>
  <c r="J43" i="46"/>
  <c r="H38" i="46"/>
  <c r="J41" i="46"/>
  <c r="H35" i="46"/>
  <c r="F34" i="46"/>
  <c r="I31" i="46"/>
  <c r="C42" i="46"/>
  <c r="C40" i="46"/>
  <c r="C38" i="46"/>
  <c r="C36" i="46"/>
  <c r="E36" i="46"/>
  <c r="J45" i="46"/>
  <c r="H31" i="46"/>
  <c r="F40" i="46"/>
  <c r="C43" i="46"/>
  <c r="H44" i="46"/>
  <c r="O31" i="46"/>
  <c r="E40" i="46"/>
  <c r="H42" i="46"/>
  <c r="E38" i="46"/>
  <c r="M112" i="44"/>
  <c r="M59" i="44" s="1"/>
  <c r="M60" i="44" s="1"/>
  <c r="L112" i="44"/>
  <c r="L59" i="44" s="1"/>
  <c r="L60" i="44" s="1"/>
  <c r="I112" i="44"/>
  <c r="I59" i="44" s="1"/>
  <c r="I60" i="44" s="1"/>
  <c r="N112" i="44"/>
  <c r="N59" i="44" s="1"/>
  <c r="N60" i="44" s="1"/>
  <c r="H112" i="44"/>
  <c r="H59" i="44" s="1"/>
  <c r="H60" i="44" s="1"/>
  <c r="P112" i="44"/>
  <c r="P59" i="44" s="1"/>
  <c r="P60" i="44" s="1"/>
  <c r="P170" i="43"/>
  <c r="P102" i="43" s="1"/>
  <c r="P103" i="43" s="1"/>
  <c r="W195" i="42"/>
  <c r="W133" i="42" s="1"/>
  <c r="W134" i="42" s="1"/>
  <c r="L31" i="42"/>
  <c r="L8" i="42"/>
  <c r="P540" i="42"/>
  <c r="K431" i="42" s="1"/>
  <c r="K433" i="42" s="1"/>
  <c r="S195" i="42"/>
  <c r="S133" i="42" s="1"/>
  <c r="S134" i="42" s="1"/>
  <c r="T195" i="42"/>
  <c r="T133" i="42" s="1"/>
  <c r="T134" i="42" s="1"/>
  <c r="M195" i="42"/>
  <c r="M133" i="42" s="1"/>
  <c r="M134" i="42" s="1"/>
  <c r="M31" i="42"/>
  <c r="J439" i="42"/>
  <c r="J440" i="42"/>
  <c r="J8" i="42"/>
  <c r="P195" i="42"/>
  <c r="P133" i="42" s="1"/>
  <c r="P134" i="42" s="1"/>
  <c r="W371" i="42"/>
  <c r="U371" i="42"/>
  <c r="X371" i="42"/>
  <c r="V371" i="42"/>
  <c r="T371" i="42"/>
  <c r="P5" i="42"/>
  <c r="R195" i="42"/>
  <c r="R133" i="42" s="1"/>
  <c r="R134" i="42" s="1"/>
  <c r="P31" i="42"/>
  <c r="P8" i="42"/>
  <c r="Q31" i="42"/>
  <c r="I31" i="42"/>
  <c r="H8" i="42"/>
  <c r="U195" i="42"/>
  <c r="U133" i="42" s="1"/>
  <c r="U134" i="42" s="1"/>
  <c r="H5" i="42"/>
  <c r="D31" i="42"/>
  <c r="D30" i="42"/>
  <c r="R439" i="42"/>
  <c r="R440" i="42"/>
  <c r="R8" i="42"/>
  <c r="S440" i="42"/>
  <c r="N440" i="42"/>
  <c r="N8" i="42"/>
  <c r="V367" i="42"/>
  <c r="X367" i="42"/>
  <c r="U367" i="42"/>
  <c r="Y367" i="42"/>
  <c r="Y400" i="42" s="1"/>
  <c r="W367" i="42"/>
  <c r="K439" i="42"/>
  <c r="L5" i="42"/>
  <c r="L11" i="41"/>
  <c r="P176" i="41"/>
  <c r="L4" i="41" s="1"/>
  <c r="L6" i="41" s="1"/>
  <c r="L14" i="41"/>
  <c r="S242" i="41"/>
  <c r="S174" i="41" s="1"/>
  <c r="S175" i="41" s="1"/>
  <c r="D14" i="41"/>
  <c r="M176" i="41"/>
  <c r="I4" i="41" s="1"/>
  <c r="I6" i="41" s="1"/>
  <c r="K238" i="41"/>
  <c r="K242" i="41" s="1"/>
  <c r="K174" i="41" s="1"/>
  <c r="K175" i="41" s="1"/>
  <c r="G242" i="41"/>
  <c r="G174" i="41" s="1"/>
  <c r="G175" i="41" s="1"/>
  <c r="I12" i="41"/>
  <c r="I14" i="41"/>
  <c r="L14" i="40"/>
  <c r="O143" i="40"/>
  <c r="O99" i="40" s="1"/>
  <c r="O100" i="40" s="1"/>
  <c r="H14" i="40"/>
  <c r="H12" i="40"/>
  <c r="T136" i="40"/>
  <c r="S136" i="40"/>
  <c r="U136" i="40"/>
  <c r="U143" i="40" s="1"/>
  <c r="U99" i="40" s="1"/>
  <c r="U100" i="40" s="1"/>
  <c r="I14" i="40"/>
  <c r="D12" i="40"/>
  <c r="D14" i="40"/>
  <c r="M14" i="39"/>
  <c r="N14" i="39"/>
  <c r="I14" i="39"/>
  <c r="J14" i="39"/>
  <c r="E14" i="39"/>
  <c r="O157" i="39"/>
  <c r="F14" i="39"/>
  <c r="C12" i="38"/>
  <c r="C14" i="38"/>
  <c r="J12" i="38"/>
  <c r="R90" i="38"/>
  <c r="M4" i="38" s="1"/>
  <c r="M6" i="38" s="1"/>
  <c r="G12" i="38"/>
  <c r="G14" i="38"/>
  <c r="I12" i="38"/>
  <c r="N90" i="38"/>
  <c r="I4" i="38" s="1"/>
  <c r="I6" i="38" s="1"/>
  <c r="K16" i="38"/>
  <c r="K12" i="38"/>
  <c r="K14" i="38"/>
  <c r="Q90" i="38"/>
  <c r="L4" i="38" s="1"/>
  <c r="L6" i="38" s="1"/>
  <c r="M16" i="38"/>
  <c r="L14" i="38"/>
  <c r="D14" i="38"/>
  <c r="O90" i="38"/>
  <c r="J4" i="38" s="1"/>
  <c r="J6" i="38" s="1"/>
  <c r="N142" i="37"/>
  <c r="J142" i="37"/>
  <c r="K142" i="37"/>
  <c r="K149" i="37" s="1"/>
  <c r="M142" i="37"/>
  <c r="L142" i="37"/>
  <c r="K14" i="37"/>
  <c r="J14" i="37"/>
  <c r="J12" i="37"/>
  <c r="I14" i="37"/>
  <c r="G14" i="37"/>
  <c r="H14" i="37"/>
  <c r="C14" i="37"/>
  <c r="L15" i="35"/>
  <c r="P162" i="35"/>
  <c r="K4" i="35" s="1"/>
  <c r="K6" i="35" s="1"/>
  <c r="N16" i="35"/>
  <c r="J14" i="35"/>
  <c r="I12" i="35"/>
  <c r="I14" i="35"/>
  <c r="K12" i="35"/>
  <c r="L16" i="35"/>
  <c r="S162" i="35"/>
  <c r="N4" i="35" s="1"/>
  <c r="N6" i="35" s="1"/>
  <c r="F96" i="52" l="1"/>
  <c r="S114" i="37"/>
  <c r="AC175" i="51"/>
  <c r="AD175" i="51" s="1"/>
  <c r="Z7" i="51"/>
  <c r="AC305" i="51"/>
  <c r="AD305" i="51" s="1"/>
  <c r="AC225" i="51"/>
  <c r="AD225" i="51" s="1"/>
  <c r="AC126" i="51"/>
  <c r="AD126" i="51" s="1"/>
  <c r="AC118" i="51"/>
  <c r="AD118" i="51" s="1"/>
  <c r="V101" i="40"/>
  <c r="Q4" i="40" s="1"/>
  <c r="Q6" i="40" s="1"/>
  <c r="Q11" i="40"/>
  <c r="K63" i="47"/>
  <c r="K66" i="47" s="1"/>
  <c r="O12" i="37"/>
  <c r="O16" i="37"/>
  <c r="Q16" i="35"/>
  <c r="Q12" i="35"/>
  <c r="P16" i="37"/>
  <c r="P12" i="37"/>
  <c r="AA325" i="42"/>
  <c r="V228" i="42" s="1"/>
  <c r="V230" i="42" s="1"/>
  <c r="V6" i="42" s="1"/>
  <c r="V235" i="42"/>
  <c r="V11" i="42" s="1"/>
  <c r="V30" i="42"/>
  <c r="Q11" i="43"/>
  <c r="U105" i="43"/>
  <c r="Q4" i="43" s="1"/>
  <c r="Q6" i="43" s="1"/>
  <c r="Q16" i="41"/>
  <c r="Q12" i="41"/>
  <c r="F51" i="52"/>
  <c r="F334" i="52"/>
  <c r="F355" i="52"/>
  <c r="F469" i="52"/>
  <c r="F604" i="52"/>
  <c r="BA93" i="51"/>
  <c r="BC93" i="51" s="1"/>
  <c r="P10" i="44"/>
  <c r="G10" i="44"/>
  <c r="G14" i="44" s="1"/>
  <c r="R83" i="68"/>
  <c r="F183" i="52"/>
  <c r="F284" i="52"/>
  <c r="F543" i="52"/>
  <c r="R88" i="68"/>
  <c r="F104" i="52"/>
  <c r="F396" i="52"/>
  <c r="U7" i="51"/>
  <c r="F16" i="39"/>
  <c r="R86" i="68"/>
  <c r="F350" i="52"/>
  <c r="F187" i="52"/>
  <c r="F10" i="52"/>
  <c r="F185" i="52"/>
  <c r="F134" i="52"/>
  <c r="F386" i="52"/>
  <c r="F288" i="52"/>
  <c r="F381" i="52"/>
  <c r="F436" i="52"/>
  <c r="F491" i="52"/>
  <c r="F560" i="52"/>
  <c r="S109" i="39"/>
  <c r="N11" i="39" s="1"/>
  <c r="N12" i="39" s="1"/>
  <c r="R108" i="39"/>
  <c r="R109" i="39" s="1"/>
  <c r="Q108" i="39"/>
  <c r="Q109" i="39" s="1"/>
  <c r="F129" i="52"/>
  <c r="F379" i="52"/>
  <c r="F595" i="52"/>
  <c r="D12" i="39"/>
  <c r="E16" i="39"/>
  <c r="U400" i="42"/>
  <c r="U323" i="42" s="1"/>
  <c r="U324" i="42" s="1"/>
  <c r="U325" i="42" s="1"/>
  <c r="P228" i="42" s="1"/>
  <c r="P230" i="42" s="1"/>
  <c r="F235" i="52"/>
  <c r="F16" i="52"/>
  <c r="F123" i="52"/>
  <c r="F150" i="52"/>
  <c r="F204" i="52"/>
  <c r="F299" i="52"/>
  <c r="F397" i="52"/>
  <c r="F438" i="52"/>
  <c r="F527" i="52"/>
  <c r="F580" i="52"/>
  <c r="R84" i="68"/>
  <c r="O108" i="39"/>
  <c r="O109" i="39" s="1"/>
  <c r="F126" i="52"/>
  <c r="F475" i="52"/>
  <c r="F610" i="52"/>
  <c r="P11" i="40"/>
  <c r="U101" i="40"/>
  <c r="P4" i="40" s="1"/>
  <c r="P6" i="40" s="1"/>
  <c r="F175" i="52"/>
  <c r="F32" i="52"/>
  <c r="F147" i="52"/>
  <c r="F168" i="52"/>
  <c r="F220" i="52"/>
  <c r="F307" i="52"/>
  <c r="F425" i="52"/>
  <c r="F454" i="52"/>
  <c r="F529" i="52"/>
  <c r="F553" i="52"/>
  <c r="F19" i="52"/>
  <c r="F384" i="52"/>
  <c r="F56" i="52"/>
  <c r="F221" i="52"/>
  <c r="F174" i="52"/>
  <c r="F238" i="52"/>
  <c r="F433" i="52"/>
  <c r="F298" i="52"/>
  <c r="F474" i="52"/>
  <c r="F603" i="52"/>
  <c r="F555" i="52"/>
  <c r="P108" i="39"/>
  <c r="P109" i="39" s="1"/>
  <c r="D16" i="39"/>
  <c r="G12" i="39"/>
  <c r="H16" i="39"/>
  <c r="G16" i="39"/>
  <c r="F165" i="52"/>
  <c r="F412" i="52"/>
  <c r="F83" i="52"/>
  <c r="F53" i="52"/>
  <c r="F58" i="52"/>
  <c r="F269" i="52"/>
  <c r="F190" i="52"/>
  <c r="F244" i="52"/>
  <c r="F333" i="52"/>
  <c r="F316" i="52"/>
  <c r="F482" i="52"/>
  <c r="F516" i="52"/>
  <c r="F571" i="52"/>
  <c r="F255" i="52"/>
  <c r="F286" i="52"/>
  <c r="F103" i="52"/>
  <c r="F133" i="52"/>
  <c r="F74" i="52"/>
  <c r="F273" i="52"/>
  <c r="F332" i="52"/>
  <c r="F260" i="52"/>
  <c r="F339" i="52"/>
  <c r="F390" i="52"/>
  <c r="F507" i="52"/>
  <c r="F524" i="52"/>
  <c r="F596" i="52"/>
  <c r="I11" i="39"/>
  <c r="N110" i="39"/>
  <c r="I4" i="39" s="1"/>
  <c r="I6" i="39" s="1"/>
  <c r="S14" i="42"/>
  <c r="X400" i="42"/>
  <c r="X323" i="42" s="1"/>
  <c r="X324" i="42" s="1"/>
  <c r="S235" i="42" s="1"/>
  <c r="S11" i="42" s="1"/>
  <c r="W400" i="42"/>
  <c r="W323" i="42" s="1"/>
  <c r="W324" i="42" s="1"/>
  <c r="R235" i="42" s="1"/>
  <c r="V400" i="42"/>
  <c r="V323" i="42" s="1"/>
  <c r="V324" i="42" s="1"/>
  <c r="Q235" i="42" s="1"/>
  <c r="T400" i="42"/>
  <c r="T323" i="42" s="1"/>
  <c r="T324" i="42" s="1"/>
  <c r="Y323" i="42"/>
  <c r="Y324" i="42" s="1"/>
  <c r="Y325" i="42" s="1"/>
  <c r="T228" i="42" s="1"/>
  <c r="T230" i="42" s="1"/>
  <c r="U235" i="42"/>
  <c r="Z325" i="42"/>
  <c r="U228" i="42" s="1"/>
  <c r="U230" i="42" s="1"/>
  <c r="U29" i="42"/>
  <c r="V33" i="42" s="1"/>
  <c r="Z135" i="42"/>
  <c r="U22" i="42" s="1"/>
  <c r="T29" i="42"/>
  <c r="Y135" i="42"/>
  <c r="T22" i="42" s="1"/>
  <c r="P11" i="39"/>
  <c r="Q16" i="39" s="1"/>
  <c r="U110" i="39"/>
  <c r="P4" i="39" s="1"/>
  <c r="P6" i="39" s="1"/>
  <c r="O11" i="39"/>
  <c r="T110" i="39"/>
  <c r="O4" i="39" s="1"/>
  <c r="O6" i="39" s="1"/>
  <c r="L176" i="41"/>
  <c r="H4" i="41" s="1"/>
  <c r="H6" i="41" s="1"/>
  <c r="S176" i="41"/>
  <c r="O4" i="41" s="1"/>
  <c r="O6" i="41" s="1"/>
  <c r="O11" i="41"/>
  <c r="O16" i="41" s="1"/>
  <c r="O10" i="44"/>
  <c r="S61" i="44"/>
  <c r="O4" i="44" s="1"/>
  <c r="O6" i="44" s="1"/>
  <c r="O11" i="35"/>
  <c r="T162" i="35"/>
  <c r="O4" i="35" s="1"/>
  <c r="O6" i="35" s="1"/>
  <c r="O4" i="43"/>
  <c r="O6" i="43" s="1"/>
  <c r="O11" i="43"/>
  <c r="T105" i="43"/>
  <c r="P4" i="43" s="1"/>
  <c r="P6" i="43" s="1"/>
  <c r="P11" i="43"/>
  <c r="N12" i="37"/>
  <c r="N16" i="37"/>
  <c r="R90" i="68"/>
  <c r="I176" i="41"/>
  <c r="E4" i="41" s="1"/>
  <c r="E6" i="41" s="1"/>
  <c r="R91" i="68"/>
  <c r="R97" i="68"/>
  <c r="R95" i="68"/>
  <c r="Q61" i="44"/>
  <c r="M4" i="44" s="1"/>
  <c r="M6" i="44" s="1"/>
  <c r="BA15" i="51"/>
  <c r="BC15" i="51" s="1"/>
  <c r="M4" i="37"/>
  <c r="M6" i="37" s="1"/>
  <c r="R93" i="68"/>
  <c r="R85" i="68"/>
  <c r="R89" i="68"/>
  <c r="U428" i="70"/>
  <c r="V344" i="70"/>
  <c r="W344" i="70" s="1"/>
  <c r="BA72" i="51"/>
  <c r="BC72" i="51" s="1"/>
  <c r="R77" i="68"/>
  <c r="M91" i="68"/>
  <c r="M99" i="68" s="1"/>
  <c r="M77" i="68"/>
  <c r="F7" i="52"/>
  <c r="F215" i="52"/>
  <c r="F17" i="52"/>
  <c r="F195" i="52"/>
  <c r="F24" i="52"/>
  <c r="F64" i="52"/>
  <c r="F137" i="52"/>
  <c r="F205" i="52"/>
  <c r="F290" i="52"/>
  <c r="F136" i="52"/>
  <c r="F182" i="52"/>
  <c r="F340" i="52"/>
  <c r="F206" i="52"/>
  <c r="F252" i="52"/>
  <c r="F372" i="52"/>
  <c r="F309" i="52"/>
  <c r="F347" i="52"/>
  <c r="F387" i="52"/>
  <c r="F300" i="52"/>
  <c r="F404" i="52"/>
  <c r="F444" i="52"/>
  <c r="F484" i="52"/>
  <c r="F483" i="52"/>
  <c r="F535" i="52"/>
  <c r="F526" i="52"/>
  <c r="F572" i="52"/>
  <c r="F561" i="52"/>
  <c r="F606" i="52"/>
  <c r="AD89" i="51"/>
  <c r="BA89" i="51"/>
  <c r="BC89" i="51" s="1"/>
  <c r="F13" i="52"/>
  <c r="F27" i="52"/>
  <c r="F219" i="52"/>
  <c r="F47" i="52"/>
  <c r="F231" i="52"/>
  <c r="F26" i="52"/>
  <c r="F72" i="52"/>
  <c r="F161" i="52"/>
  <c r="F209" i="52"/>
  <c r="F102" i="52"/>
  <c r="F142" i="52"/>
  <c r="F184" i="52"/>
  <c r="F348" i="52"/>
  <c r="F212" i="52"/>
  <c r="F254" i="52"/>
  <c r="F447" i="52"/>
  <c r="F315" i="52"/>
  <c r="F349" i="52"/>
  <c r="F395" i="52"/>
  <c r="F306" i="52"/>
  <c r="F406" i="52"/>
  <c r="F452" i="52"/>
  <c r="F490" i="52"/>
  <c r="F485" i="52"/>
  <c r="F562" i="52"/>
  <c r="F532" i="52"/>
  <c r="F574" i="52"/>
  <c r="F569" i="52"/>
  <c r="F587" i="52"/>
  <c r="AD168" i="51"/>
  <c r="BA168" i="51"/>
  <c r="BC168" i="51" s="1"/>
  <c r="BA255" i="51"/>
  <c r="BD255" i="51" s="1"/>
  <c r="F33" i="52"/>
  <c r="F55" i="52"/>
  <c r="F113" i="52"/>
  <c r="F69" i="52"/>
  <c r="F263" i="52"/>
  <c r="F40" i="52"/>
  <c r="F80" i="52"/>
  <c r="F189" i="52"/>
  <c r="F237" i="52"/>
  <c r="F110" i="52"/>
  <c r="F152" i="52"/>
  <c r="F198" i="52"/>
  <c r="F356" i="52"/>
  <c r="F222" i="52"/>
  <c r="F268" i="52"/>
  <c r="F382" i="52"/>
  <c r="F441" i="52"/>
  <c r="F363" i="52"/>
  <c r="F403" i="52"/>
  <c r="F318" i="52"/>
  <c r="F420" i="52"/>
  <c r="F499" i="52"/>
  <c r="F495" i="52"/>
  <c r="F511" i="52"/>
  <c r="F500" i="52"/>
  <c r="F546" i="52"/>
  <c r="F584" i="52"/>
  <c r="F577" i="52"/>
  <c r="F609" i="52"/>
  <c r="F602" i="52"/>
  <c r="F583" i="52"/>
  <c r="F567" i="52"/>
  <c r="F551" i="52"/>
  <c r="F605" i="52"/>
  <c r="F570" i="52"/>
  <c r="F550" i="52"/>
  <c r="F539" i="52"/>
  <c r="F522" i="52"/>
  <c r="F506" i="52"/>
  <c r="F554" i="52"/>
  <c r="F525" i="52"/>
  <c r="F503" i="52"/>
  <c r="F481" i="52"/>
  <c r="F465" i="52"/>
  <c r="F501" i="52"/>
  <c r="F480" i="52"/>
  <c r="F464" i="52"/>
  <c r="F450" i="52"/>
  <c r="F434" i="52"/>
  <c r="F418" i="52"/>
  <c r="F402" i="52"/>
  <c r="F445" i="52"/>
  <c r="F312" i="52"/>
  <c r="F451" i="52"/>
  <c r="F409" i="52"/>
  <c r="F393" i="52"/>
  <c r="F377" i="52"/>
  <c r="F361" i="52"/>
  <c r="F345" i="52"/>
  <c r="F329" i="52"/>
  <c r="F419" i="52"/>
  <c r="F305" i="52"/>
  <c r="F289" i="52"/>
  <c r="F431" i="52"/>
  <c r="F282" i="52"/>
  <c r="F266" i="52"/>
  <c r="F250" i="52"/>
  <c r="F234" i="52"/>
  <c r="F218" i="52"/>
  <c r="F202" i="52"/>
  <c r="F362" i="52"/>
  <c r="F346" i="52"/>
  <c r="F330" i="52"/>
  <c r="F196" i="52"/>
  <c r="F180" i="52"/>
  <c r="F164" i="52"/>
  <c r="F148" i="52"/>
  <c r="F132" i="52"/>
  <c r="F116" i="52"/>
  <c r="F100" i="52"/>
  <c r="F265" i="52"/>
  <c r="F233" i="52"/>
  <c r="F171" i="52"/>
  <c r="F109" i="52"/>
  <c r="F181" i="52"/>
  <c r="F115" i="52"/>
  <c r="F86" i="52"/>
  <c r="F70" i="52"/>
  <c r="F54" i="52"/>
  <c r="F38" i="52"/>
  <c r="F22" i="52"/>
  <c r="F6" i="52"/>
  <c r="F247" i="52"/>
  <c r="F157" i="52"/>
  <c r="F75" i="52"/>
  <c r="F41" i="52"/>
  <c r="F167" i="52"/>
  <c r="F105" i="52"/>
  <c r="F211" i="52"/>
  <c r="F119" i="52"/>
  <c r="F43" i="52"/>
  <c r="F99" i="52"/>
  <c r="F49" i="52"/>
  <c r="F9" i="52"/>
  <c r="F590" i="52"/>
  <c r="F612" i="52"/>
  <c r="F600" i="52"/>
  <c r="F581" i="52"/>
  <c r="F565" i="52"/>
  <c r="F549" i="52"/>
  <c r="F597" i="52"/>
  <c r="F568" i="52"/>
  <c r="F542" i="52"/>
  <c r="F536" i="52"/>
  <c r="F520" i="52"/>
  <c r="F504" i="52"/>
  <c r="F541" i="52"/>
  <c r="F523" i="52"/>
  <c r="F497" i="52"/>
  <c r="F479" i="52"/>
  <c r="F463" i="52"/>
  <c r="F494" i="52"/>
  <c r="F478" i="52"/>
  <c r="F462" i="52"/>
  <c r="F448" i="52"/>
  <c r="F432" i="52"/>
  <c r="F416" i="52"/>
  <c r="F400" i="52"/>
  <c r="F437" i="52"/>
  <c r="F310" i="52"/>
  <c r="F443" i="52"/>
  <c r="F407" i="52"/>
  <c r="F391" i="52"/>
  <c r="F375" i="52"/>
  <c r="F359" i="52"/>
  <c r="F343" i="52"/>
  <c r="F327" i="52"/>
  <c r="F319" i="52"/>
  <c r="F303" i="52"/>
  <c r="F287" i="52"/>
  <c r="F388" i="52"/>
  <c r="F280" i="52"/>
  <c r="F264" i="52"/>
  <c r="F248" i="52"/>
  <c r="F232" i="52"/>
  <c r="F216" i="52"/>
  <c r="F505" i="52"/>
  <c r="F360" i="52"/>
  <c r="F344" i="52"/>
  <c r="F328" i="52"/>
  <c r="F194" i="52"/>
  <c r="F178" i="52"/>
  <c r="F162" i="52"/>
  <c r="F146" i="52"/>
  <c r="F130" i="52"/>
  <c r="F114" i="52"/>
  <c r="F439" i="52"/>
  <c r="F261" i="52"/>
  <c r="F229" i="52"/>
  <c r="F163" i="52"/>
  <c r="F101" i="52"/>
  <c r="F177" i="52"/>
  <c r="F107" i="52"/>
  <c r="F84" i="52"/>
  <c r="F68" i="52"/>
  <c r="F52" i="52"/>
  <c r="F36" i="52"/>
  <c r="F20" i="52"/>
  <c r="F283" i="52"/>
  <c r="F243" i="52"/>
  <c r="F149" i="52"/>
  <c r="F73" i="52"/>
  <c r="F35" i="52"/>
  <c r="F159" i="52"/>
  <c r="F259" i="52"/>
  <c r="F203" i="52"/>
  <c r="F111" i="52"/>
  <c r="F39" i="52"/>
  <c r="F95" i="52"/>
  <c r="F45" i="52"/>
  <c r="F321" i="52"/>
  <c r="F589" i="52"/>
  <c r="F598" i="52"/>
  <c r="F579" i="52"/>
  <c r="F563" i="52"/>
  <c r="F547" i="52"/>
  <c r="F582" i="52"/>
  <c r="F566" i="52"/>
  <c r="F540" i="52"/>
  <c r="F534" i="52"/>
  <c r="F518" i="52"/>
  <c r="F502" i="52"/>
  <c r="F537" i="52"/>
  <c r="F521" i="52"/>
  <c r="F493" i="52"/>
  <c r="F477" i="52"/>
  <c r="F461" i="52"/>
  <c r="F492" i="52"/>
  <c r="F476" i="52"/>
  <c r="F460" i="52"/>
  <c r="F446" i="52"/>
  <c r="F430" i="52"/>
  <c r="F414" i="52"/>
  <c r="F398" i="52"/>
  <c r="F429" i="52"/>
  <c r="F308" i="52"/>
  <c r="F435" i="52"/>
  <c r="F405" i="52"/>
  <c r="F389" i="52"/>
  <c r="F373" i="52"/>
  <c r="F357" i="52"/>
  <c r="F341" i="52"/>
  <c r="F325" i="52"/>
  <c r="F317" i="52"/>
  <c r="F301" i="52"/>
  <c r="F285" i="52"/>
  <c r="F380" i="52"/>
  <c r="F278" i="52"/>
  <c r="F262" i="52"/>
  <c r="F246" i="52"/>
  <c r="F230" i="52"/>
  <c r="F214" i="52"/>
  <c r="F417" i="52"/>
  <c r="F358" i="52"/>
  <c r="F342" i="52"/>
  <c r="F326" i="52"/>
  <c r="F192" i="52"/>
  <c r="F176" i="52"/>
  <c r="F160" i="52"/>
  <c r="F144" i="52"/>
  <c r="F128" i="52"/>
  <c r="F112" i="52"/>
  <c r="F376" i="52"/>
  <c r="F257" i="52"/>
  <c r="F225" i="52"/>
  <c r="F155" i="52"/>
  <c r="F378" i="52"/>
  <c r="F169" i="52"/>
  <c r="F98" i="52"/>
  <c r="F82" i="52"/>
  <c r="F66" i="52"/>
  <c r="F50" i="52"/>
  <c r="F34" i="52"/>
  <c r="F18" i="52"/>
  <c r="F279" i="52"/>
  <c r="F239" i="52"/>
  <c r="F141" i="52"/>
  <c r="F71" i="52"/>
  <c r="F31" i="52"/>
  <c r="F151" i="52"/>
  <c r="F251" i="52"/>
  <c r="F191" i="52"/>
  <c r="F97" i="52"/>
  <c r="F29" i="52"/>
  <c r="F85" i="52"/>
  <c r="F37" i="52"/>
  <c r="F585" i="52"/>
  <c r="F594" i="52"/>
  <c r="F575" i="52"/>
  <c r="F559" i="52"/>
  <c r="F607" i="52"/>
  <c r="F578" i="52"/>
  <c r="F552" i="52"/>
  <c r="F564" i="52"/>
  <c r="F530" i="52"/>
  <c r="F514" i="52"/>
  <c r="F498" i="52"/>
  <c r="F533" i="52"/>
  <c r="F517" i="52"/>
  <c r="F489" i="52"/>
  <c r="F473" i="52"/>
  <c r="F548" i="52"/>
  <c r="F488" i="52"/>
  <c r="F472" i="52"/>
  <c r="F458" i="52"/>
  <c r="F442" i="52"/>
  <c r="F426" i="52"/>
  <c r="F410" i="52"/>
  <c r="F394" i="52"/>
  <c r="F415" i="52"/>
  <c r="F304" i="52"/>
  <c r="F423" i="52"/>
  <c r="F401" i="52"/>
  <c r="F385" i="52"/>
  <c r="F369" i="52"/>
  <c r="F353" i="52"/>
  <c r="F337" i="52"/>
  <c r="F457" i="52"/>
  <c r="F313" i="52"/>
  <c r="F297" i="52"/>
  <c r="F374" i="52"/>
  <c r="F314" i="52"/>
  <c r="F274" i="52"/>
  <c r="F258" i="52"/>
  <c r="F242" i="52"/>
  <c r="F226" i="52"/>
  <c r="F210" i="52"/>
  <c r="F370" i="52"/>
  <c r="F354" i="52"/>
  <c r="F338" i="52"/>
  <c r="F322" i="52"/>
  <c r="F188" i="52"/>
  <c r="F172" i="52"/>
  <c r="F156" i="52"/>
  <c r="F140" i="52"/>
  <c r="F124" i="52"/>
  <c r="F108" i="52"/>
  <c r="F281" i="52"/>
  <c r="F249" i="52"/>
  <c r="F217" i="52"/>
  <c r="F139" i="52"/>
  <c r="F197" i="52"/>
  <c r="F153" i="52"/>
  <c r="F94" i="52"/>
  <c r="F78" i="52"/>
  <c r="F62" i="52"/>
  <c r="F46" i="52"/>
  <c r="F30" i="52"/>
  <c r="F14" i="52"/>
  <c r="F271" i="52"/>
  <c r="F207" i="52"/>
  <c r="F93" i="52"/>
  <c r="F61" i="52"/>
  <c r="F15" i="52"/>
  <c r="F135" i="52"/>
  <c r="F227" i="52"/>
  <c r="F179" i="52"/>
  <c r="F79" i="52"/>
  <c r="F21" i="52"/>
  <c r="F81" i="52"/>
  <c r="F25" i="52"/>
  <c r="F588" i="52"/>
  <c r="F608" i="52"/>
  <c r="F592" i="52"/>
  <c r="F573" i="52"/>
  <c r="F557" i="52"/>
  <c r="F599" i="52"/>
  <c r="F576" i="52"/>
  <c r="F544" i="52"/>
  <c r="F556" i="52"/>
  <c r="F528" i="52"/>
  <c r="F512" i="52"/>
  <c r="F496" i="52"/>
  <c r="F531" i="52"/>
  <c r="F515" i="52"/>
  <c r="F487" i="52"/>
  <c r="F471" i="52"/>
  <c r="F509" i="52"/>
  <c r="F486" i="52"/>
  <c r="F470" i="52"/>
  <c r="F456" i="52"/>
  <c r="F440" i="52"/>
  <c r="F424" i="52"/>
  <c r="F408" i="52"/>
  <c r="F392" i="52"/>
  <c r="F320" i="52"/>
  <c r="F302" i="52"/>
  <c r="F421" i="52"/>
  <c r="F399" i="52"/>
  <c r="F383" i="52"/>
  <c r="F367" i="52"/>
  <c r="F351" i="52"/>
  <c r="F335" i="52"/>
  <c r="F449" i="52"/>
  <c r="F311" i="52"/>
  <c r="F295" i="52"/>
  <c r="F296" i="52"/>
  <c r="F294" i="52"/>
  <c r="F272" i="52"/>
  <c r="F256" i="52"/>
  <c r="F240" i="52"/>
  <c r="F224" i="52"/>
  <c r="F208" i="52"/>
  <c r="F368" i="52"/>
  <c r="F352" i="52"/>
  <c r="F336" i="52"/>
  <c r="F292" i="52"/>
  <c r="F186" i="52"/>
  <c r="F170" i="52"/>
  <c r="F154" i="52"/>
  <c r="F138" i="52"/>
  <c r="F122" i="52"/>
  <c r="F106" i="52"/>
  <c r="F277" i="52"/>
  <c r="F245" i="52"/>
  <c r="F213" i="52"/>
  <c r="F131" i="52"/>
  <c r="F193" i="52"/>
  <c r="F145" i="52"/>
  <c r="F92" i="52"/>
  <c r="F76" i="52"/>
  <c r="F60" i="52"/>
  <c r="F44" i="52"/>
  <c r="F28" i="52"/>
  <c r="F12" i="52"/>
  <c r="F267" i="52"/>
  <c r="F199" i="52"/>
  <c r="F91" i="52"/>
  <c r="F57" i="52"/>
  <c r="F455" i="52"/>
  <c r="F127" i="52"/>
  <c r="F223" i="52"/>
  <c r="F173" i="52"/>
  <c r="F63" i="52"/>
  <c r="F11" i="52"/>
  <c r="F67" i="52"/>
  <c r="F23" i="52"/>
  <c r="F59" i="52"/>
  <c r="F89" i="52"/>
  <c r="F121" i="52"/>
  <c r="F77" i="52"/>
  <c r="F275" i="52"/>
  <c r="F42" i="52"/>
  <c r="F88" i="52"/>
  <c r="F201" i="52"/>
  <c r="F241" i="52"/>
  <c r="F118" i="52"/>
  <c r="F158" i="52"/>
  <c r="F200" i="52"/>
  <c r="F364" i="52"/>
  <c r="F228" i="52"/>
  <c r="F270" i="52"/>
  <c r="F291" i="52"/>
  <c r="F323" i="52"/>
  <c r="F365" i="52"/>
  <c r="F411" i="52"/>
  <c r="F427" i="52"/>
  <c r="F422" i="52"/>
  <c r="F466" i="52"/>
  <c r="F459" i="52"/>
  <c r="F513" i="52"/>
  <c r="F508" i="52"/>
  <c r="F538" i="52"/>
  <c r="F591" i="52"/>
  <c r="F593" i="52"/>
  <c r="F65" i="52"/>
  <c r="F125" i="52"/>
  <c r="F143" i="52"/>
  <c r="F87" i="52"/>
  <c r="F8" i="52"/>
  <c r="F48" i="52"/>
  <c r="F90" i="52"/>
  <c r="F117" i="52"/>
  <c r="F253" i="52"/>
  <c r="F120" i="52"/>
  <c r="F166" i="52"/>
  <c r="F324" i="52"/>
  <c r="F366" i="52"/>
  <c r="F236" i="52"/>
  <c r="F276" i="52"/>
  <c r="F293" i="52"/>
  <c r="F331" i="52"/>
  <c r="F371" i="52"/>
  <c r="F413" i="52"/>
  <c r="F453" i="52"/>
  <c r="F428" i="52"/>
  <c r="F468" i="52"/>
  <c r="F467" i="52"/>
  <c r="F519" i="52"/>
  <c r="F510" i="52"/>
  <c r="F558" i="52"/>
  <c r="F545" i="52"/>
  <c r="F601" i="52"/>
  <c r="BA74" i="51"/>
  <c r="BC74" i="51" s="1"/>
  <c r="BA12" i="51"/>
  <c r="BD12" i="51" s="1"/>
  <c r="J159" i="67"/>
  <c r="M612" i="52"/>
  <c r="N577" i="52" s="1"/>
  <c r="O577" i="52" s="1"/>
  <c r="T612" i="52"/>
  <c r="BA90" i="51"/>
  <c r="BC90" i="51" s="1"/>
  <c r="BA235" i="51"/>
  <c r="BC235" i="51" s="1"/>
  <c r="Q176" i="41"/>
  <c r="M4" i="41" s="1"/>
  <c r="M6" i="41" s="1"/>
  <c r="BA209" i="51"/>
  <c r="BD209" i="51" s="1"/>
  <c r="BA85" i="51"/>
  <c r="BC85" i="51" s="1"/>
  <c r="BA27" i="51"/>
  <c r="BD27" i="51" s="1"/>
  <c r="BA251" i="51"/>
  <c r="BC251" i="51" s="1"/>
  <c r="L99" i="68"/>
  <c r="L16" i="41"/>
  <c r="BA253" i="51"/>
  <c r="BC253" i="51" s="1"/>
  <c r="O176" i="41"/>
  <c r="K4" i="41" s="1"/>
  <c r="K6" i="41" s="1"/>
  <c r="BA52" i="51"/>
  <c r="BC52" i="51" s="1"/>
  <c r="Q612" i="52"/>
  <c r="BA94" i="51"/>
  <c r="BC94" i="51" s="1"/>
  <c r="BA49" i="51"/>
  <c r="BD49" i="51" s="1"/>
  <c r="R61" i="44"/>
  <c r="N4" i="44" s="1"/>
  <c r="N6" i="44" s="1"/>
  <c r="BA101" i="51"/>
  <c r="BD101" i="51" s="1"/>
  <c r="R72" i="51"/>
  <c r="R590" i="52"/>
  <c r="R612" i="52" s="1"/>
  <c r="AB612" i="52"/>
  <c r="K125" i="62"/>
  <c r="K169" i="62"/>
  <c r="BA222" i="51"/>
  <c r="BC222" i="51" s="1"/>
  <c r="M16" i="40"/>
  <c r="N105" i="43"/>
  <c r="J4" i="43" s="1"/>
  <c r="J6" i="43" s="1"/>
  <c r="AY8" i="51"/>
  <c r="AZ8" i="51" s="1"/>
  <c r="BA99" i="51"/>
  <c r="BC99" i="51" s="1"/>
  <c r="U590" i="52"/>
  <c r="U612" i="52" s="1"/>
  <c r="X612" i="52"/>
  <c r="BA241" i="51"/>
  <c r="BD241" i="51" s="1"/>
  <c r="J16" i="43"/>
  <c r="H176" i="41"/>
  <c r="D4" i="41" s="1"/>
  <c r="D6" i="41" s="1"/>
  <c r="BA141" i="51"/>
  <c r="BD141" i="51" s="1"/>
  <c r="BA186" i="51"/>
  <c r="BD186" i="51" s="1"/>
  <c r="S8" i="62"/>
  <c r="T4" i="62" s="1"/>
  <c r="T8" i="62" s="1"/>
  <c r="U4" i="62" s="1"/>
  <c r="U8" i="62" s="1"/>
  <c r="V4" i="62" s="1"/>
  <c r="V8" i="62" s="1"/>
  <c r="W4" i="62" s="1"/>
  <c r="W8" i="62" s="1"/>
  <c r="C128" i="63"/>
  <c r="D117" i="63" s="1"/>
  <c r="D116" i="63" s="1"/>
  <c r="D128" i="63" s="1"/>
  <c r="E117" i="63" s="1"/>
  <c r="E116" i="63" s="1"/>
  <c r="E128" i="63" s="1"/>
  <c r="F117" i="63" s="1"/>
  <c r="F116" i="63" s="1"/>
  <c r="G207" i="63"/>
  <c r="G205" i="63" s="1"/>
  <c r="G208" i="63" s="1"/>
  <c r="F167" i="63"/>
  <c r="G156" i="63" s="1"/>
  <c r="G155" i="63" s="1"/>
  <c r="E148" i="63"/>
  <c r="F137" i="63" s="1"/>
  <c r="F136" i="63" s="1"/>
  <c r="E175" i="63"/>
  <c r="H197" i="63"/>
  <c r="H200" i="63" s="1"/>
  <c r="H204" i="63" s="1"/>
  <c r="R101" i="40"/>
  <c r="M4" i="40" s="1"/>
  <c r="M6" i="40" s="1"/>
  <c r="Q101" i="40"/>
  <c r="L4" i="40" s="1"/>
  <c r="L6" i="40" s="1"/>
  <c r="S143" i="40"/>
  <c r="S99" i="40" s="1"/>
  <c r="S100" i="40" s="1"/>
  <c r="N11" i="40" s="1"/>
  <c r="T143" i="40"/>
  <c r="T99" i="40" s="1"/>
  <c r="T100" i="40" s="1"/>
  <c r="L12" i="40"/>
  <c r="K11" i="40"/>
  <c r="K12" i="40" s="1"/>
  <c r="P101" i="40"/>
  <c r="K4" i="40" s="1"/>
  <c r="K6" i="40" s="1"/>
  <c r="J235" i="42"/>
  <c r="K239" i="42" s="1"/>
  <c r="N135" i="42"/>
  <c r="I22" i="42" s="1"/>
  <c r="I24" i="42" s="1"/>
  <c r="Q135" i="42"/>
  <c r="L22" i="42" s="1"/>
  <c r="L24" i="42" s="1"/>
  <c r="S540" i="42"/>
  <c r="N431" i="42" s="1"/>
  <c r="N433" i="42" s="1"/>
  <c r="O442" i="42"/>
  <c r="P325" i="42"/>
  <c r="K228" i="42" s="1"/>
  <c r="K230" i="42" s="1"/>
  <c r="R325" i="42"/>
  <c r="M228" i="42" s="1"/>
  <c r="M230" i="42" s="1"/>
  <c r="F135" i="42"/>
  <c r="F22" i="42" s="1"/>
  <c r="F24" i="42" s="1"/>
  <c r="L438" i="42"/>
  <c r="Q540" i="42"/>
  <c r="L431" i="42" s="1"/>
  <c r="L433" i="42" s="1"/>
  <c r="O135" i="42"/>
  <c r="J22" i="42" s="1"/>
  <c r="J24" i="42" s="1"/>
  <c r="J6" i="42" s="1"/>
  <c r="M438" i="42"/>
  <c r="R540" i="42"/>
  <c r="M431" i="42" s="1"/>
  <c r="M433" i="42" s="1"/>
  <c r="G29" i="42"/>
  <c r="G30" i="42" s="1"/>
  <c r="X135" i="42"/>
  <c r="S22" i="42" s="1"/>
  <c r="S24" i="42" s="1"/>
  <c r="E29" i="42"/>
  <c r="E135" i="42"/>
  <c r="E22" i="42" s="1"/>
  <c r="E24" i="42" s="1"/>
  <c r="BA281" i="51"/>
  <c r="BC281" i="51" s="1"/>
  <c r="BA219" i="51"/>
  <c r="BD219" i="51" s="1"/>
  <c r="BA199" i="51"/>
  <c r="BD199" i="51" s="1"/>
  <c r="BA56" i="51"/>
  <c r="BC56" i="51" s="1"/>
  <c r="BA271" i="51"/>
  <c r="BC271" i="51" s="1"/>
  <c r="BA57" i="51"/>
  <c r="BC57" i="51" s="1"/>
  <c r="BA176" i="51"/>
  <c r="BC176" i="51" s="1"/>
  <c r="BA159" i="51"/>
  <c r="BC159" i="51" s="1"/>
  <c r="BA259" i="51"/>
  <c r="BC259" i="51" s="1"/>
  <c r="BA135" i="51"/>
  <c r="BC135" i="51" s="1"/>
  <c r="BA204" i="51"/>
  <c r="BD204" i="51" s="1"/>
  <c r="BA65" i="51"/>
  <c r="BD65" i="51" s="1"/>
  <c r="I235" i="42"/>
  <c r="I11" i="42" s="1"/>
  <c r="N325" i="42"/>
  <c r="I228" i="42" s="1"/>
  <c r="I230" i="42" s="1"/>
  <c r="P442" i="42"/>
  <c r="Q442" i="42"/>
  <c r="P439" i="42"/>
  <c r="BA165" i="51"/>
  <c r="BD165" i="51" s="1"/>
  <c r="BA201" i="51"/>
  <c r="BC201" i="51" s="1"/>
  <c r="BA60" i="51"/>
  <c r="BD60" i="51" s="1"/>
  <c r="BA228" i="51"/>
  <c r="BC228" i="51" s="1"/>
  <c r="BA283" i="51"/>
  <c r="BC283" i="51" s="1"/>
  <c r="BA45" i="51"/>
  <c r="BD45" i="51" s="1"/>
  <c r="BA147" i="51"/>
  <c r="BD147" i="51" s="1"/>
  <c r="BA73" i="51"/>
  <c r="BC73" i="51" s="1"/>
  <c r="BM73" i="51" s="1"/>
  <c r="BA39" i="51"/>
  <c r="BC39" i="51" s="1"/>
  <c r="BA119" i="51"/>
  <c r="BD119" i="51" s="1"/>
  <c r="BA106" i="51"/>
  <c r="BD106" i="51" s="1"/>
  <c r="BA218" i="51"/>
  <c r="BD218" i="51" s="1"/>
  <c r="BA170" i="51"/>
  <c r="BD170" i="51" s="1"/>
  <c r="BA134" i="51"/>
  <c r="BC134" i="51" s="1"/>
  <c r="BA263" i="51"/>
  <c r="BD263" i="51" s="1"/>
  <c r="BA182" i="51"/>
  <c r="BD182" i="51" s="1"/>
  <c r="BA112" i="51"/>
  <c r="BC112" i="51" s="1"/>
  <c r="BA124" i="51"/>
  <c r="BD124" i="51" s="1"/>
  <c r="BA98" i="51"/>
  <c r="BD98" i="51" s="1"/>
  <c r="BA55" i="51"/>
  <c r="BD55" i="51" s="1"/>
  <c r="BA266" i="51"/>
  <c r="BD266" i="51" s="1"/>
  <c r="BA249" i="51"/>
  <c r="BC249" i="51" s="1"/>
  <c r="J176" i="41"/>
  <c r="F4" i="41" s="1"/>
  <c r="F6" i="41" s="1"/>
  <c r="F16" i="41"/>
  <c r="L12" i="41"/>
  <c r="R176" i="41"/>
  <c r="N4" i="41" s="1"/>
  <c r="N6" i="41" s="1"/>
  <c r="O61" i="44"/>
  <c r="K4" i="44" s="1"/>
  <c r="K6" i="44" s="1"/>
  <c r="J61" i="44"/>
  <c r="F4" i="44" s="1"/>
  <c r="F6" i="44" s="1"/>
  <c r="K16" i="43"/>
  <c r="O105" i="43"/>
  <c r="K4" i="43" s="1"/>
  <c r="K6" i="43" s="1"/>
  <c r="Q105" i="43"/>
  <c r="M4" i="43" s="1"/>
  <c r="M6" i="43" s="1"/>
  <c r="R105" i="43"/>
  <c r="N4" i="43" s="1"/>
  <c r="N6" i="43" s="1"/>
  <c r="L11" i="37"/>
  <c r="M16" i="37" s="1"/>
  <c r="R114" i="37"/>
  <c r="L4" i="37" s="1"/>
  <c r="L6" i="37" s="1"/>
  <c r="I11" i="37"/>
  <c r="I12" i="37" s="1"/>
  <c r="O114" i="37"/>
  <c r="I4" i="37" s="1"/>
  <c r="I6" i="37" s="1"/>
  <c r="J149" i="37"/>
  <c r="J112" i="37" s="1"/>
  <c r="J113" i="37" s="1"/>
  <c r="L149" i="37"/>
  <c r="L112" i="37" s="1"/>
  <c r="L113" i="37" s="1"/>
  <c r="N149" i="37"/>
  <c r="N112" i="37" s="1"/>
  <c r="N113" i="37" s="1"/>
  <c r="M149" i="37"/>
  <c r="M112" i="37" s="1"/>
  <c r="M113" i="37" s="1"/>
  <c r="Q114" i="37"/>
  <c r="K4" i="37" s="1"/>
  <c r="K6" i="37" s="1"/>
  <c r="K16" i="37"/>
  <c r="K12" i="37"/>
  <c r="K112" i="37"/>
  <c r="K113" i="37" s="1"/>
  <c r="E11" i="37" s="1"/>
  <c r="H112" i="37"/>
  <c r="H113" i="37" s="1"/>
  <c r="H114" i="37" s="1"/>
  <c r="I112" i="37"/>
  <c r="I113" i="37" s="1"/>
  <c r="K206" i="63"/>
  <c r="K197" i="63"/>
  <c r="K200" i="63" s="1"/>
  <c r="K204" i="63" s="1"/>
  <c r="D79" i="63"/>
  <c r="D91" i="63" s="1"/>
  <c r="E92" i="62"/>
  <c r="D172" i="62"/>
  <c r="O92" i="62"/>
  <c r="N112" i="62"/>
  <c r="P185" i="62"/>
  <c r="O182" i="62"/>
  <c r="L105" i="62"/>
  <c r="V72" i="62"/>
  <c r="W69" i="62" s="1"/>
  <c r="V73" i="62"/>
  <c r="L156" i="62"/>
  <c r="L84" i="62"/>
  <c r="E143" i="62"/>
  <c r="E32" i="62"/>
  <c r="M146" i="62"/>
  <c r="N29" i="62"/>
  <c r="E156" i="62"/>
  <c r="E84" i="62"/>
  <c r="U147" i="62"/>
  <c r="U9" i="62" s="1"/>
  <c r="U10" i="62" s="1"/>
  <c r="U74" i="62"/>
  <c r="U148" i="62" s="1"/>
  <c r="N11" i="52"/>
  <c r="O11" i="52" s="1"/>
  <c r="G612" i="52"/>
  <c r="H612" i="52" s="1"/>
  <c r="Y612" i="52"/>
  <c r="AC612" i="52"/>
  <c r="R29" i="51"/>
  <c r="BA29" i="51"/>
  <c r="R22" i="51"/>
  <c r="BA22" i="51"/>
  <c r="BA16" i="51"/>
  <c r="R296" i="51"/>
  <c r="BA296" i="51"/>
  <c r="R231" i="51"/>
  <c r="BA231" i="51"/>
  <c r="R216" i="51"/>
  <c r="BA216" i="51"/>
  <c r="R144" i="51"/>
  <c r="BA144" i="51"/>
  <c r="BA239" i="51"/>
  <c r="BA302" i="51"/>
  <c r="BA187" i="51"/>
  <c r="BA120" i="51"/>
  <c r="BA298" i="51"/>
  <c r="BA248" i="51"/>
  <c r="BA179" i="51"/>
  <c r="BA51" i="51"/>
  <c r="R44" i="51"/>
  <c r="BA44" i="51"/>
  <c r="BA268" i="51"/>
  <c r="R34" i="51"/>
  <c r="BA34" i="51"/>
  <c r="R18" i="51"/>
  <c r="BA18" i="51"/>
  <c r="R25" i="51"/>
  <c r="BA25" i="51"/>
  <c r="R278" i="51"/>
  <c r="BA278" i="51"/>
  <c r="BA223" i="51"/>
  <c r="BA194" i="51"/>
  <c r="R86" i="51"/>
  <c r="BA86" i="51"/>
  <c r="BA125" i="51"/>
  <c r="BA175" i="51"/>
  <c r="BA149" i="51"/>
  <c r="R118" i="51"/>
  <c r="BA105" i="51"/>
  <c r="R37" i="51"/>
  <c r="BA37" i="51"/>
  <c r="BA28" i="51"/>
  <c r="R284" i="51"/>
  <c r="BA284" i="51"/>
  <c r="BA178" i="51"/>
  <c r="R145" i="51"/>
  <c r="BA145" i="51"/>
  <c r="BA109" i="51"/>
  <c r="BA50" i="51"/>
  <c r="BA273" i="51"/>
  <c r="R17" i="51"/>
  <c r="BA17" i="51"/>
  <c r="BA310" i="51"/>
  <c r="BA314" i="51"/>
  <c r="BA247" i="51"/>
  <c r="BA166" i="51"/>
  <c r="BA162" i="51"/>
  <c r="BA154" i="51"/>
  <c r="BA146" i="51"/>
  <c r="BA79" i="51"/>
  <c r="BA289" i="51"/>
  <c r="BA282" i="51"/>
  <c r="BA233" i="51"/>
  <c r="BA205" i="51"/>
  <c r="BA177" i="51"/>
  <c r="BA88" i="51"/>
  <c r="BA137" i="51"/>
  <c r="BA64" i="51"/>
  <c r="BA31" i="51"/>
  <c r="BA19" i="51"/>
  <c r="BA132" i="51"/>
  <c r="BA41" i="51"/>
  <c r="BA304" i="51"/>
  <c r="BA279" i="51"/>
  <c r="BA200" i="51"/>
  <c r="BA169" i="51"/>
  <c r="BA157" i="51"/>
  <c r="BA96" i="51"/>
  <c r="BA245" i="51"/>
  <c r="BA295" i="51"/>
  <c r="BA294" i="51"/>
  <c r="BA226" i="51"/>
  <c r="BA180" i="51"/>
  <c r="BA192" i="51"/>
  <c r="BA87" i="51"/>
  <c r="BA71" i="51"/>
  <c r="BA103" i="51"/>
  <c r="BA10" i="51"/>
  <c r="BA207" i="51"/>
  <c r="BA307" i="51"/>
  <c r="BA299" i="51"/>
  <c r="BA275" i="51"/>
  <c r="BA274" i="51"/>
  <c r="BA240" i="51"/>
  <c r="BA277" i="51"/>
  <c r="BA212" i="51"/>
  <c r="BA164" i="51"/>
  <c r="BA156" i="51"/>
  <c r="BA148" i="51"/>
  <c r="BA77" i="51"/>
  <c r="BA197" i="51"/>
  <c r="BA285" i="51"/>
  <c r="BA234" i="51"/>
  <c r="BA171" i="51"/>
  <c r="BA185" i="51"/>
  <c r="BA70" i="51"/>
  <c r="BA13" i="51"/>
  <c r="BA128" i="51"/>
  <c r="BA59" i="51"/>
  <c r="BA116" i="51"/>
  <c r="BA123" i="51"/>
  <c r="R238" i="51"/>
  <c r="BA238" i="51"/>
  <c r="R68" i="51"/>
  <c r="BA68" i="51"/>
  <c r="R190" i="51"/>
  <c r="BA190" i="51"/>
  <c r="BA111" i="51"/>
  <c r="BA163" i="51"/>
  <c r="BA288" i="51"/>
  <c r="BA142" i="51"/>
  <c r="BA188" i="51"/>
  <c r="R40" i="51"/>
  <c r="BA40" i="51"/>
  <c r="BA54" i="51"/>
  <c r="BD15" i="51"/>
  <c r="BA127" i="51"/>
  <c r="BA67" i="51"/>
  <c r="R30" i="51"/>
  <c r="BA30" i="51"/>
  <c r="BA9" i="51"/>
  <c r="R9" i="51"/>
  <c r="BA32" i="51"/>
  <c r="BA258" i="51"/>
  <c r="R246" i="51"/>
  <c r="BA246" i="51"/>
  <c r="R172" i="51"/>
  <c r="BA172" i="51"/>
  <c r="R210" i="51"/>
  <c r="BA210" i="51"/>
  <c r="BA100" i="51"/>
  <c r="BA46" i="51"/>
  <c r="AD297" i="51"/>
  <c r="BA297" i="51"/>
  <c r="R62" i="51"/>
  <c r="BA62" i="51"/>
  <c r="BA82" i="51"/>
  <c r="BA110" i="51"/>
  <c r="R110" i="51"/>
  <c r="BA265" i="51"/>
  <c r="BA312" i="51"/>
  <c r="R250" i="51"/>
  <c r="BA250" i="51"/>
  <c r="BA227" i="51"/>
  <c r="R33" i="51"/>
  <c r="BA33" i="51"/>
  <c r="BA203" i="51"/>
  <c r="BA114" i="51"/>
  <c r="R114" i="51"/>
  <c r="BA257" i="51"/>
  <c r="BA104" i="51"/>
  <c r="BA108" i="51"/>
  <c r="BA115" i="51"/>
  <c r="BA122" i="51"/>
  <c r="BA43" i="51"/>
  <c r="BA315" i="51"/>
  <c r="BA167" i="51"/>
  <c r="BA202" i="51"/>
  <c r="BA151" i="51"/>
  <c r="BA76" i="51"/>
  <c r="BA193" i="51"/>
  <c r="BA229" i="51"/>
  <c r="BA252" i="51"/>
  <c r="BA196" i="51"/>
  <c r="BA69" i="51"/>
  <c r="BA61" i="51"/>
  <c r="BA47" i="51"/>
  <c r="BA262" i="51"/>
  <c r="BA102" i="51"/>
  <c r="BA306" i="51"/>
  <c r="BA270" i="51"/>
  <c r="BA214" i="51"/>
  <c r="BA211" i="51"/>
  <c r="BA155" i="51"/>
  <c r="BA291" i="51"/>
  <c r="BA286" i="51"/>
  <c r="BA208" i="51"/>
  <c r="BA138" i="51"/>
  <c r="BA36" i="51"/>
  <c r="BA58" i="51"/>
  <c r="AD24" i="51"/>
  <c r="BA24" i="51"/>
  <c r="R63" i="51"/>
  <c r="BA63" i="51"/>
  <c r="BA126" i="51"/>
  <c r="R126" i="51"/>
  <c r="R292" i="51"/>
  <c r="BA292" i="51"/>
  <c r="BA213" i="51"/>
  <c r="J213" i="51"/>
  <c r="BA80" i="51"/>
  <c r="R8" i="51"/>
  <c r="BA20" i="51"/>
  <c r="BA143" i="51"/>
  <c r="R26" i="51"/>
  <c r="BA26" i="51"/>
  <c r="R11" i="51"/>
  <c r="BA11" i="51"/>
  <c r="BA300" i="51"/>
  <c r="BA236" i="51"/>
  <c r="BA276" i="51"/>
  <c r="R276" i="51"/>
  <c r="BA198" i="51"/>
  <c r="R139" i="51"/>
  <c r="BA139" i="51"/>
  <c r="BA131" i="51"/>
  <c r="R173" i="51"/>
  <c r="BA173" i="51"/>
  <c r="BA117" i="51"/>
  <c r="BA38" i="51"/>
  <c r="BA53" i="51"/>
  <c r="BA267" i="51"/>
  <c r="BA237" i="51"/>
  <c r="R21" i="51"/>
  <c r="BA21" i="51"/>
  <c r="R242" i="51"/>
  <c r="BA242" i="51"/>
  <c r="R264" i="51"/>
  <c r="BA264" i="51"/>
  <c r="BA121" i="51"/>
  <c r="BA81" i="51"/>
  <c r="BA42" i="51"/>
  <c r="BA301" i="51"/>
  <c r="BA269" i="51"/>
  <c r="BA272" i="51"/>
  <c r="BA217" i="51"/>
  <c r="BA224" i="51"/>
  <c r="BA158" i="51"/>
  <c r="BA150" i="51"/>
  <c r="BA97" i="51"/>
  <c r="BA75" i="51"/>
  <c r="BA189" i="51"/>
  <c r="BA311" i="51"/>
  <c r="BA244" i="51"/>
  <c r="BA184" i="51"/>
  <c r="BA92" i="51"/>
  <c r="BA84" i="51"/>
  <c r="BA191" i="51"/>
  <c r="BA133" i="51"/>
  <c r="BA35" i="51"/>
  <c r="BA23" i="51"/>
  <c r="BA48" i="51"/>
  <c r="BA308" i="51"/>
  <c r="BA313" i="51"/>
  <c r="BA260" i="51"/>
  <c r="BA243" i="51"/>
  <c r="BA220" i="51"/>
  <c r="BA161" i="51"/>
  <c r="BA153" i="51"/>
  <c r="BA78" i="51"/>
  <c r="BA230" i="51"/>
  <c r="BA287" i="51"/>
  <c r="BA280" i="51"/>
  <c r="BA195" i="51"/>
  <c r="BA66" i="51"/>
  <c r="BA91" i="51"/>
  <c r="BA83" i="51"/>
  <c r="BA140" i="51"/>
  <c r="BA14" i="51"/>
  <c r="BA130" i="51"/>
  <c r="BA113" i="51"/>
  <c r="BA107" i="51"/>
  <c r="BA303" i="51"/>
  <c r="BA309" i="51"/>
  <c r="BA254" i="51"/>
  <c r="BA256" i="51"/>
  <c r="BA215" i="51"/>
  <c r="BA232" i="51"/>
  <c r="BA206" i="51"/>
  <c r="BA160" i="51"/>
  <c r="BA152" i="51"/>
  <c r="BA95" i="51"/>
  <c r="BA293" i="51"/>
  <c r="BA290" i="51"/>
  <c r="BA221" i="51"/>
  <c r="BA183" i="51"/>
  <c r="BA181" i="51"/>
  <c r="BA129" i="51"/>
  <c r="BA136" i="51"/>
  <c r="BA261" i="51"/>
  <c r="BA174" i="51"/>
  <c r="E10" i="44"/>
  <c r="I61" i="44"/>
  <c r="E4" i="44" s="1"/>
  <c r="E6" i="44" s="1"/>
  <c r="H10" i="44"/>
  <c r="L61" i="44"/>
  <c r="H4" i="44" s="1"/>
  <c r="H6" i="44" s="1"/>
  <c r="M11" i="44"/>
  <c r="K11" i="44"/>
  <c r="I10" i="44"/>
  <c r="M61" i="44"/>
  <c r="I4" i="44" s="1"/>
  <c r="I6" i="44" s="1"/>
  <c r="L10" i="44"/>
  <c r="P61" i="44"/>
  <c r="L4" i="44" s="1"/>
  <c r="L6" i="44" s="1"/>
  <c r="D10" i="44"/>
  <c r="H61" i="44"/>
  <c r="D4" i="44" s="1"/>
  <c r="D6" i="44" s="1"/>
  <c r="J10" i="44"/>
  <c r="N61" i="44"/>
  <c r="J4" i="44" s="1"/>
  <c r="J6" i="44" s="1"/>
  <c r="N14" i="44"/>
  <c r="N11" i="44"/>
  <c r="L11" i="43"/>
  <c r="P105" i="43"/>
  <c r="L4" i="43" s="1"/>
  <c r="L6" i="43" s="1"/>
  <c r="N16" i="43"/>
  <c r="N12" i="43"/>
  <c r="Q13" i="42"/>
  <c r="P13" i="42"/>
  <c r="I30" i="42"/>
  <c r="N29" i="42"/>
  <c r="S135" i="42"/>
  <c r="N22" i="42" s="1"/>
  <c r="S30" i="42"/>
  <c r="M236" i="42"/>
  <c r="P29" i="42"/>
  <c r="U135" i="42"/>
  <c r="P22" i="42" s="1"/>
  <c r="M29" i="42"/>
  <c r="R135" i="42"/>
  <c r="M22" i="42" s="1"/>
  <c r="J13" i="42"/>
  <c r="K13" i="42"/>
  <c r="H29" i="42"/>
  <c r="M135" i="42"/>
  <c r="H22" i="42" s="1"/>
  <c r="N235" i="42"/>
  <c r="S325" i="42"/>
  <c r="N228" i="42" s="1"/>
  <c r="N230" i="42" s="1"/>
  <c r="R29" i="42"/>
  <c r="S33" i="42" s="1"/>
  <c r="W135" i="42"/>
  <c r="R22" i="42" s="1"/>
  <c r="J33" i="42"/>
  <c r="J30" i="42"/>
  <c r="Q29" i="42"/>
  <c r="V135" i="42"/>
  <c r="Q22" i="42" s="1"/>
  <c r="L235" i="42"/>
  <c r="Q325" i="42"/>
  <c r="L228" i="42" s="1"/>
  <c r="L230" i="42" s="1"/>
  <c r="N13" i="42"/>
  <c r="O13" i="42"/>
  <c r="R13" i="42"/>
  <c r="S13" i="42"/>
  <c r="I13" i="42"/>
  <c r="K29" i="42"/>
  <c r="L33" i="42" s="1"/>
  <c r="P135" i="42"/>
  <c r="K22" i="42" s="1"/>
  <c r="O29" i="42"/>
  <c r="T135" i="42"/>
  <c r="O22" i="42" s="1"/>
  <c r="L13" i="42"/>
  <c r="M13" i="42"/>
  <c r="G11" i="41"/>
  <c r="H16" i="41" s="1"/>
  <c r="K176" i="41"/>
  <c r="G4" i="41" s="1"/>
  <c r="G6" i="41" s="1"/>
  <c r="N16" i="41"/>
  <c r="N12" i="41"/>
  <c r="J11" i="41"/>
  <c r="N176" i="41"/>
  <c r="J4" i="41" s="1"/>
  <c r="J6" i="41" s="1"/>
  <c r="C11" i="41"/>
  <c r="G176" i="41"/>
  <c r="C4" i="41" s="1"/>
  <c r="C6" i="41" s="1"/>
  <c r="M16" i="41"/>
  <c r="H12" i="41"/>
  <c r="E16" i="41"/>
  <c r="E12" i="41"/>
  <c r="J11" i="40"/>
  <c r="O101" i="40"/>
  <c r="J4" i="40" s="1"/>
  <c r="J6" i="40" s="1"/>
  <c r="BA225" i="51" l="1"/>
  <c r="BD89" i="51"/>
  <c r="BA305" i="51"/>
  <c r="BA118" i="51"/>
  <c r="BC118" i="51" s="1"/>
  <c r="Q16" i="40"/>
  <c r="Q12" i="40"/>
  <c r="U4" i="42"/>
  <c r="P11" i="44"/>
  <c r="Q14" i="44"/>
  <c r="Q16" i="43"/>
  <c r="Q12" i="43"/>
  <c r="V12" i="42"/>
  <c r="V239" i="42"/>
  <c r="V236" i="42"/>
  <c r="V4" i="42"/>
  <c r="BC255" i="51"/>
  <c r="BD90" i="51"/>
  <c r="G11" i="44"/>
  <c r="BD93" i="51"/>
  <c r="BD94" i="51"/>
  <c r="N360" i="52"/>
  <c r="O360" i="52" s="1"/>
  <c r="N132" i="52"/>
  <c r="O132" i="52" s="1"/>
  <c r="N62" i="52"/>
  <c r="O62" i="52" s="1"/>
  <c r="N423" i="52"/>
  <c r="O423" i="52" s="1"/>
  <c r="N213" i="52"/>
  <c r="O213" i="52" s="1"/>
  <c r="N413" i="52"/>
  <c r="O413" i="52" s="1"/>
  <c r="N43" i="52"/>
  <c r="O43" i="52" s="1"/>
  <c r="N428" i="52"/>
  <c r="O428" i="52" s="1"/>
  <c r="N239" i="52"/>
  <c r="O239" i="52" s="1"/>
  <c r="N304" i="52"/>
  <c r="O304" i="52" s="1"/>
  <c r="BC101" i="51"/>
  <c r="N178" i="52"/>
  <c r="O178" i="52" s="1"/>
  <c r="N6" i="52"/>
  <c r="O6" i="52" s="1"/>
  <c r="N169" i="52"/>
  <c r="O169" i="52" s="1"/>
  <c r="N351" i="52"/>
  <c r="O351" i="52" s="1"/>
  <c r="N305" i="52"/>
  <c r="O305" i="52" s="1"/>
  <c r="N510" i="52"/>
  <c r="O510" i="52" s="1"/>
  <c r="N591" i="52"/>
  <c r="O591" i="52" s="1"/>
  <c r="N375" i="52"/>
  <c r="O375" i="52" s="1"/>
  <c r="N47" i="52"/>
  <c r="O47" i="52" s="1"/>
  <c r="N608" i="52"/>
  <c r="O608" i="52" s="1"/>
  <c r="N327" i="52"/>
  <c r="O327" i="52" s="1"/>
  <c r="N72" i="52"/>
  <c r="O72" i="52" s="1"/>
  <c r="N571" i="52"/>
  <c r="O571" i="52" s="1"/>
  <c r="N334" i="52"/>
  <c r="O334" i="52" s="1"/>
  <c r="N14" i="52"/>
  <c r="O14" i="52" s="1"/>
  <c r="N385" i="52"/>
  <c r="O385" i="52" s="1"/>
  <c r="N89" i="52"/>
  <c r="O89" i="52" s="1"/>
  <c r="N106" i="52"/>
  <c r="O106" i="52" s="1"/>
  <c r="N170" i="52"/>
  <c r="O170" i="52" s="1"/>
  <c r="N512" i="52"/>
  <c r="O512" i="52" s="1"/>
  <c r="N430" i="52"/>
  <c r="O430" i="52" s="1"/>
  <c r="N374" i="52"/>
  <c r="O374" i="52" s="1"/>
  <c r="N17" i="52"/>
  <c r="O17" i="52" s="1"/>
  <c r="N572" i="52"/>
  <c r="O572" i="52" s="1"/>
  <c r="N409" i="52"/>
  <c r="O409" i="52" s="1"/>
  <c r="N38" i="52"/>
  <c r="O38" i="52" s="1"/>
  <c r="N567" i="52"/>
  <c r="O567" i="52" s="1"/>
  <c r="N326" i="52"/>
  <c r="O326" i="52" s="1"/>
  <c r="N71" i="52"/>
  <c r="O71" i="52" s="1"/>
  <c r="N41" i="52"/>
  <c r="O41" i="52" s="1"/>
  <c r="N226" i="52"/>
  <c r="O226" i="52" s="1"/>
  <c r="N157" i="52"/>
  <c r="O157" i="52" s="1"/>
  <c r="N358" i="52"/>
  <c r="O358" i="52" s="1"/>
  <c r="N126" i="52"/>
  <c r="O126" i="52" s="1"/>
  <c r="N259" i="52"/>
  <c r="O259" i="52" s="1"/>
  <c r="N332" i="52"/>
  <c r="O332" i="52" s="1"/>
  <c r="N216" i="52"/>
  <c r="O216" i="52" s="1"/>
  <c r="N45" i="52"/>
  <c r="O45" i="52" s="1"/>
  <c r="N449" i="52"/>
  <c r="O449" i="52" s="1"/>
  <c r="N396" i="52"/>
  <c r="O396" i="52" s="1"/>
  <c r="N23" i="52"/>
  <c r="O23" i="52" s="1"/>
  <c r="N469" i="52"/>
  <c r="O469" i="52" s="1"/>
  <c r="N404" i="52"/>
  <c r="O404" i="52" s="1"/>
  <c r="N96" i="52"/>
  <c r="O96" i="52" s="1"/>
  <c r="N122" i="52"/>
  <c r="O122" i="52" s="1"/>
  <c r="N306" i="52"/>
  <c r="O306" i="52" s="1"/>
  <c r="N322" i="52"/>
  <c r="N76" i="52"/>
  <c r="O76" i="52" s="1"/>
  <c r="BC241" i="51"/>
  <c r="N444" i="52"/>
  <c r="O444" i="52" s="1"/>
  <c r="N46" i="52"/>
  <c r="O46" i="52" s="1"/>
  <c r="N130" i="52"/>
  <c r="O130" i="52" s="1"/>
  <c r="N590" i="52"/>
  <c r="O590" i="52" s="1"/>
  <c r="N412" i="52"/>
  <c r="O412" i="52" s="1"/>
  <c r="N180" i="52"/>
  <c r="O180" i="52" s="1"/>
  <c r="N12" i="52"/>
  <c r="O12" i="52" s="1"/>
  <c r="N419" i="52"/>
  <c r="O419" i="52" s="1"/>
  <c r="N276" i="52"/>
  <c r="O276" i="52" s="1"/>
  <c r="N288" i="52"/>
  <c r="O288" i="52" s="1"/>
  <c r="N495" i="52"/>
  <c r="O495" i="52" s="1"/>
  <c r="N392" i="52"/>
  <c r="O392" i="52" s="1"/>
  <c r="N66" i="52"/>
  <c r="O66" i="52" s="1"/>
  <c r="N171" i="52"/>
  <c r="O171" i="52" s="1"/>
  <c r="N542" i="52"/>
  <c r="O542" i="52" s="1"/>
  <c r="N359" i="52"/>
  <c r="O359" i="52" s="1"/>
  <c r="N366" i="52"/>
  <c r="O366" i="52" s="1"/>
  <c r="N515" i="52"/>
  <c r="O515" i="52" s="1"/>
  <c r="N435" i="52"/>
  <c r="O435" i="52" s="1"/>
  <c r="N144" i="52"/>
  <c r="O144" i="52" s="1"/>
  <c r="N394" i="52"/>
  <c r="O394" i="52" s="1"/>
  <c r="N277" i="52"/>
  <c r="O277" i="52" s="1"/>
  <c r="N205" i="52"/>
  <c r="O205" i="52" s="1"/>
  <c r="N536" i="52"/>
  <c r="O536" i="52" s="1"/>
  <c r="N148" i="52"/>
  <c r="O148" i="52" s="1"/>
  <c r="N83" i="52"/>
  <c r="O83" i="52" s="1"/>
  <c r="N436" i="52"/>
  <c r="O436" i="52" s="1"/>
  <c r="N184" i="52"/>
  <c r="O184" i="52" s="1"/>
  <c r="N73" i="52"/>
  <c r="O73" i="52" s="1"/>
  <c r="N416" i="52"/>
  <c r="O416" i="52" s="1"/>
  <c r="N208" i="52"/>
  <c r="O208" i="52" s="1"/>
  <c r="N68" i="52"/>
  <c r="O68" i="52" s="1"/>
  <c r="N488" i="52"/>
  <c r="O488" i="52" s="1"/>
  <c r="BC12" i="51"/>
  <c r="BD57" i="51"/>
  <c r="BC141" i="51"/>
  <c r="BC60" i="51"/>
  <c r="S110" i="39"/>
  <c r="N4" i="39" s="1"/>
  <c r="N6" i="39" s="1"/>
  <c r="M11" i="39"/>
  <c r="R110" i="39"/>
  <c r="M4" i="39" s="1"/>
  <c r="M6" i="39" s="1"/>
  <c r="L11" i="39"/>
  <c r="Q110" i="39"/>
  <c r="L4" i="39" s="1"/>
  <c r="L6" i="39" s="1"/>
  <c r="P110" i="39"/>
  <c r="K4" i="39" s="1"/>
  <c r="K6" i="39" s="1"/>
  <c r="K11" i="39"/>
  <c r="K12" i="39" s="1"/>
  <c r="BD176" i="51"/>
  <c r="O11" i="40"/>
  <c r="T101" i="40"/>
  <c r="O4" i="40" s="1"/>
  <c r="O6" i="40" s="1"/>
  <c r="P12" i="40"/>
  <c r="I16" i="39"/>
  <c r="I12" i="39"/>
  <c r="J11" i="39"/>
  <c r="O110" i="39"/>
  <c r="J4" i="39" s="1"/>
  <c r="J6" i="39" s="1"/>
  <c r="O235" i="42"/>
  <c r="O236" i="42" s="1"/>
  <c r="T325" i="42"/>
  <c r="O228" i="42" s="1"/>
  <c r="O230" i="42" s="1"/>
  <c r="T235" i="42"/>
  <c r="T236" i="42" s="1"/>
  <c r="T33" i="42"/>
  <c r="T30" i="42"/>
  <c r="U24" i="42"/>
  <c r="U6" i="42" s="1"/>
  <c r="U236" i="42"/>
  <c r="U30" i="42"/>
  <c r="U33" i="42"/>
  <c r="U11" i="42"/>
  <c r="V15" i="42" s="1"/>
  <c r="T24" i="42"/>
  <c r="T6" i="42" s="1"/>
  <c r="T4" i="42"/>
  <c r="O16" i="39"/>
  <c r="O12" i="39"/>
  <c r="P16" i="39"/>
  <c r="P12" i="39"/>
  <c r="O12" i="41"/>
  <c r="P16" i="41"/>
  <c r="O14" i="44"/>
  <c r="O11" i="44"/>
  <c r="P14" i="44"/>
  <c r="O16" i="35"/>
  <c r="O12" i="35"/>
  <c r="P16" i="35"/>
  <c r="P12" i="43"/>
  <c r="P16" i="43"/>
  <c r="O16" i="43"/>
  <c r="O12" i="43"/>
  <c r="BC219" i="51"/>
  <c r="BC263" i="51"/>
  <c r="BC147" i="51"/>
  <c r="BD135" i="51"/>
  <c r="N187" i="52"/>
  <c r="O187" i="52" s="1"/>
  <c r="N209" i="52"/>
  <c r="O209" i="52" s="1"/>
  <c r="N609" i="52"/>
  <c r="O609" i="52" s="1"/>
  <c r="BD85" i="51"/>
  <c r="N142" i="52"/>
  <c r="O142" i="52" s="1"/>
  <c r="N275" i="52"/>
  <c r="O275" i="52" s="1"/>
  <c r="N245" i="52"/>
  <c r="O245" i="52" s="1"/>
  <c r="N569" i="52"/>
  <c r="O569" i="52" s="1"/>
  <c r="N548" i="52"/>
  <c r="O548" i="52" s="1"/>
  <c r="N189" i="52"/>
  <c r="O189" i="52" s="1"/>
  <c r="N446" i="52"/>
  <c r="O446" i="52" s="1"/>
  <c r="N579" i="52"/>
  <c r="O579" i="52" s="1"/>
  <c r="N398" i="52"/>
  <c r="O398" i="52" s="1"/>
  <c r="N390" i="52"/>
  <c r="O390" i="52" s="1"/>
  <c r="N531" i="52"/>
  <c r="O531" i="52" s="1"/>
  <c r="N399" i="52"/>
  <c r="O399" i="52" s="1"/>
  <c r="N196" i="52"/>
  <c r="O196" i="52" s="1"/>
  <c r="N140" i="52"/>
  <c r="O140" i="52" s="1"/>
  <c r="N242" i="52"/>
  <c r="O242" i="52" s="1"/>
  <c r="N30" i="52"/>
  <c r="O30" i="52" s="1"/>
  <c r="N28" i="52"/>
  <c r="O28" i="52" s="1"/>
  <c r="N78" i="52"/>
  <c r="O78" i="52" s="1"/>
  <c r="N115" i="52"/>
  <c r="O115" i="52" s="1"/>
  <c r="N593" i="52"/>
  <c r="O593" i="52" s="1"/>
  <c r="N432" i="52"/>
  <c r="O432" i="52" s="1"/>
  <c r="N426" i="52"/>
  <c r="O426" i="52" s="1"/>
  <c r="N355" i="52"/>
  <c r="O355" i="52" s="1"/>
  <c r="N323" i="52"/>
  <c r="O323" i="52" s="1"/>
  <c r="N373" i="52"/>
  <c r="O373" i="52" s="1"/>
  <c r="N575" i="52"/>
  <c r="O575" i="52" s="1"/>
  <c r="N152" i="52"/>
  <c r="O152" i="52" s="1"/>
  <c r="N56" i="52"/>
  <c r="O56" i="52" s="1"/>
  <c r="N7" i="52"/>
  <c r="O7" i="52" s="1"/>
  <c r="N60" i="52"/>
  <c r="O60" i="52" s="1"/>
  <c r="N54" i="52"/>
  <c r="O54" i="52" s="1"/>
  <c r="N583" i="52"/>
  <c r="O583" i="52" s="1"/>
  <c r="N465" i="52"/>
  <c r="O465" i="52" s="1"/>
  <c r="N445" i="52"/>
  <c r="O445" i="52" s="1"/>
  <c r="N362" i="52"/>
  <c r="O362" i="52" s="1"/>
  <c r="N330" i="52"/>
  <c r="O330" i="52" s="1"/>
  <c r="N381" i="52"/>
  <c r="O381" i="52" s="1"/>
  <c r="N188" i="52"/>
  <c r="O188" i="52" s="1"/>
  <c r="N112" i="52"/>
  <c r="O112" i="52" s="1"/>
  <c r="N258" i="52"/>
  <c r="O258" i="52" s="1"/>
  <c r="N86" i="52"/>
  <c r="O86" i="52" s="1"/>
  <c r="N40" i="52"/>
  <c r="O40" i="52" s="1"/>
  <c r="N448" i="52"/>
  <c r="O448" i="52" s="1"/>
  <c r="N365" i="52"/>
  <c r="O365" i="52" s="1"/>
  <c r="N380" i="52"/>
  <c r="O380" i="52" s="1"/>
  <c r="N389" i="52"/>
  <c r="O389" i="52" s="1"/>
  <c r="N246" i="52"/>
  <c r="O246" i="52" s="1"/>
  <c r="N67" i="52"/>
  <c r="O67" i="52" s="1"/>
  <c r="N315" i="52"/>
  <c r="O315" i="52" s="1"/>
  <c r="N511" i="52"/>
  <c r="O511" i="52" s="1"/>
  <c r="N231" i="52"/>
  <c r="O231" i="52" s="1"/>
  <c r="N316" i="52"/>
  <c r="O316" i="52" s="1"/>
  <c r="N243" i="52"/>
  <c r="O243" i="52" s="1"/>
  <c r="N121" i="52"/>
  <c r="O121" i="52" s="1"/>
  <c r="BD228" i="51"/>
  <c r="BC27" i="51"/>
  <c r="BC55" i="51"/>
  <c r="N195" i="52"/>
  <c r="O195" i="52" s="1"/>
  <c r="N556" i="52"/>
  <c r="O556" i="52" s="1"/>
  <c r="N201" i="52"/>
  <c r="O201" i="52" s="1"/>
  <c r="N302" i="52"/>
  <c r="O302" i="52" s="1"/>
  <c r="N537" i="52"/>
  <c r="O537" i="52" s="1"/>
  <c r="N223" i="52"/>
  <c r="O223" i="52" s="1"/>
  <c r="N368" i="52"/>
  <c r="O368" i="52" s="1"/>
  <c r="N429" i="52"/>
  <c r="O429" i="52" s="1"/>
  <c r="N603" i="52"/>
  <c r="O603" i="52" s="1"/>
  <c r="N344" i="52"/>
  <c r="O344" i="52" s="1"/>
  <c r="N378" i="52"/>
  <c r="O378" i="52" s="1"/>
  <c r="N318" i="52"/>
  <c r="O318" i="52" s="1"/>
  <c r="N158" i="52"/>
  <c r="O158" i="52" s="1"/>
  <c r="N124" i="52"/>
  <c r="O124" i="52" s="1"/>
  <c r="N125" i="52"/>
  <c r="O125" i="52" s="1"/>
  <c r="N291" i="52"/>
  <c r="O291" i="52" s="1"/>
  <c r="N222" i="52"/>
  <c r="O222" i="52" s="1"/>
  <c r="N57" i="52"/>
  <c r="O57" i="52" s="1"/>
  <c r="N79" i="52"/>
  <c r="O79" i="52" s="1"/>
  <c r="N568" i="52"/>
  <c r="O568" i="52" s="1"/>
  <c r="N498" i="52"/>
  <c r="O498" i="52" s="1"/>
  <c r="N403" i="52"/>
  <c r="O403" i="52" s="1"/>
  <c r="N347" i="52"/>
  <c r="O347" i="52" s="1"/>
  <c r="N395" i="52"/>
  <c r="O395" i="52" s="1"/>
  <c r="N260" i="52"/>
  <c r="O260" i="52" s="1"/>
  <c r="N397" i="52"/>
  <c r="O397" i="52" s="1"/>
  <c r="N230" i="52"/>
  <c r="O230" i="52" s="1"/>
  <c r="N25" i="52"/>
  <c r="O25" i="52" s="1"/>
  <c r="N214" i="52"/>
  <c r="O214" i="52" s="1"/>
  <c r="N34" i="52"/>
  <c r="O34" i="52" s="1"/>
  <c r="N24" i="52"/>
  <c r="O24" i="52" s="1"/>
  <c r="N538" i="52"/>
  <c r="O538" i="52" s="1"/>
  <c r="N456" i="52"/>
  <c r="O456" i="52" s="1"/>
  <c r="N415" i="52"/>
  <c r="O415" i="52" s="1"/>
  <c r="N354" i="52"/>
  <c r="O354" i="52" s="1"/>
  <c r="N458" i="52"/>
  <c r="O458" i="52" s="1"/>
  <c r="N309" i="52"/>
  <c r="O309" i="52" s="1"/>
  <c r="N410" i="52"/>
  <c r="O410" i="52" s="1"/>
  <c r="N92" i="52"/>
  <c r="O92" i="52" s="1"/>
  <c r="N52" i="52"/>
  <c r="O52" i="52" s="1"/>
  <c r="N42" i="52"/>
  <c r="O42" i="52" s="1"/>
  <c r="N592" i="52"/>
  <c r="O592" i="52" s="1"/>
  <c r="N447" i="52"/>
  <c r="O447" i="52" s="1"/>
  <c r="N349" i="52"/>
  <c r="O349" i="52" s="1"/>
  <c r="N319" i="52"/>
  <c r="O319" i="52" s="1"/>
  <c r="N198" i="52"/>
  <c r="O198" i="52" s="1"/>
  <c r="N31" i="52"/>
  <c r="O31" i="52" s="1"/>
  <c r="N101" i="52"/>
  <c r="O101" i="52" s="1"/>
  <c r="N151" i="52"/>
  <c r="O151" i="52" s="1"/>
  <c r="N478" i="52"/>
  <c r="O478" i="52" s="1"/>
  <c r="N207" i="52"/>
  <c r="O207" i="52" s="1"/>
  <c r="N539" i="52"/>
  <c r="O539" i="52" s="1"/>
  <c r="N295" i="52"/>
  <c r="O295" i="52" s="1"/>
  <c r="N361" i="52"/>
  <c r="O361" i="52" s="1"/>
  <c r="N300" i="52"/>
  <c r="O300" i="52" s="1"/>
  <c r="N474" i="52"/>
  <c r="O474" i="52" s="1"/>
  <c r="N562" i="52"/>
  <c r="O562" i="52" s="1"/>
  <c r="N543" i="52"/>
  <c r="O543" i="52" s="1"/>
  <c r="N546" i="52"/>
  <c r="O546" i="52" s="1"/>
  <c r="N263" i="52"/>
  <c r="O263" i="52" s="1"/>
  <c r="N502" i="52"/>
  <c r="O502" i="52" s="1"/>
  <c r="N532" i="52"/>
  <c r="O532" i="52" s="1"/>
  <c r="N605" i="52"/>
  <c r="O605" i="52" s="1"/>
  <c r="N352" i="52"/>
  <c r="O352" i="52" s="1"/>
  <c r="N414" i="52"/>
  <c r="O414" i="52" s="1"/>
  <c r="N589" i="52"/>
  <c r="O589" i="52" s="1"/>
  <c r="N328" i="52"/>
  <c r="O328" i="52" s="1"/>
  <c r="N356" i="52"/>
  <c r="O356" i="52" s="1"/>
  <c r="N280" i="52"/>
  <c r="O280" i="52" s="1"/>
  <c r="N294" i="52"/>
  <c r="O294" i="52" s="1"/>
  <c r="N576" i="52"/>
  <c r="O576" i="52" s="1"/>
  <c r="N110" i="52"/>
  <c r="O110" i="52" s="1"/>
  <c r="N138" i="52"/>
  <c r="O138" i="52" s="1"/>
  <c r="N173" i="52"/>
  <c r="O173" i="52" s="1"/>
  <c r="N48" i="52"/>
  <c r="O48" i="52" s="1"/>
  <c r="N49" i="52"/>
  <c r="O49" i="52" s="1"/>
  <c r="N563" i="52"/>
  <c r="O563" i="52" s="1"/>
  <c r="N455" i="52"/>
  <c r="O455" i="52" s="1"/>
  <c r="N387" i="52"/>
  <c r="O387" i="52" s="1"/>
  <c r="N343" i="52"/>
  <c r="O343" i="52" s="1"/>
  <c r="N377" i="52"/>
  <c r="O377" i="52" s="1"/>
  <c r="N244" i="52"/>
  <c r="O244" i="52" s="1"/>
  <c r="N313" i="52"/>
  <c r="O313" i="52" s="1"/>
  <c r="N149" i="52"/>
  <c r="O149" i="52" s="1"/>
  <c r="N274" i="52"/>
  <c r="O274" i="52" s="1"/>
  <c r="N165" i="52"/>
  <c r="O165" i="52" s="1"/>
  <c r="N21" i="52"/>
  <c r="O21" i="52" s="1"/>
  <c r="N604" i="52"/>
  <c r="O604" i="52" s="1"/>
  <c r="N552" i="52"/>
  <c r="O552" i="52" s="1"/>
  <c r="N441" i="52"/>
  <c r="O441" i="52" s="1"/>
  <c r="N420" i="52"/>
  <c r="O420" i="52" s="1"/>
  <c r="N350" i="52"/>
  <c r="O350" i="52" s="1"/>
  <c r="N406" i="52"/>
  <c r="O406" i="52" s="1"/>
  <c r="N272" i="52"/>
  <c r="O272" i="52" s="1"/>
  <c r="N393" i="52"/>
  <c r="O393" i="52" s="1"/>
  <c r="N70" i="52"/>
  <c r="O70" i="52" s="1"/>
  <c r="N36" i="52"/>
  <c r="O36" i="52" s="1"/>
  <c r="N29" i="52"/>
  <c r="O29" i="52" s="1"/>
  <c r="N599" i="52"/>
  <c r="O599" i="52" s="1"/>
  <c r="N431" i="52"/>
  <c r="O431" i="52" s="1"/>
  <c r="N345" i="52"/>
  <c r="O345" i="52" s="1"/>
  <c r="N284" i="52"/>
  <c r="O284" i="52" s="1"/>
  <c r="N182" i="52"/>
  <c r="O182" i="52" s="1"/>
  <c r="N113" i="52"/>
  <c r="O113" i="52" s="1"/>
  <c r="N147" i="52"/>
  <c r="O147" i="52" s="1"/>
  <c r="N159" i="52"/>
  <c r="O159" i="52" s="1"/>
  <c r="N529" i="52"/>
  <c r="O529" i="52" s="1"/>
  <c r="N261" i="52"/>
  <c r="O261" i="52" s="1"/>
  <c r="N183" i="52"/>
  <c r="O183" i="52" s="1"/>
  <c r="N253" i="52"/>
  <c r="O253" i="52" s="1"/>
  <c r="N286" i="52"/>
  <c r="O286" i="52" s="1"/>
  <c r="N267" i="52"/>
  <c r="O267" i="52" s="1"/>
  <c r="BC218" i="51"/>
  <c r="N587" i="52"/>
  <c r="O587" i="52" s="1"/>
  <c r="N520" i="52"/>
  <c r="O520" i="52" s="1"/>
  <c r="N551" i="52"/>
  <c r="O551" i="52" s="1"/>
  <c r="N146" i="52"/>
  <c r="O146" i="52" s="1"/>
  <c r="N287" i="52"/>
  <c r="O287" i="52" s="1"/>
  <c r="N526" i="52"/>
  <c r="O526" i="52" s="1"/>
  <c r="N485" i="52"/>
  <c r="O485" i="52" s="1"/>
  <c r="N336" i="52"/>
  <c r="O336" i="52" s="1"/>
  <c r="N408" i="52"/>
  <c r="O408" i="52" s="1"/>
  <c r="N598" i="52"/>
  <c r="O598" i="52" s="1"/>
  <c r="N384" i="52"/>
  <c r="O384" i="52" s="1"/>
  <c r="N340" i="52"/>
  <c r="O340" i="52" s="1"/>
  <c r="N264" i="52"/>
  <c r="O264" i="52" s="1"/>
  <c r="N172" i="52"/>
  <c r="O172" i="52" s="1"/>
  <c r="N402" i="52"/>
  <c r="O402" i="52" s="1"/>
  <c r="N95" i="52"/>
  <c r="O95" i="52" s="1"/>
  <c r="N93" i="52"/>
  <c r="O93" i="52" s="1"/>
  <c r="N137" i="52"/>
  <c r="O137" i="52" s="1"/>
  <c r="N26" i="52"/>
  <c r="O26" i="52" s="1"/>
  <c r="N32" i="52"/>
  <c r="O32" i="52" s="1"/>
  <c r="N555" i="52"/>
  <c r="O555" i="52" s="1"/>
  <c r="N439" i="52"/>
  <c r="O439" i="52" s="1"/>
  <c r="N371" i="52"/>
  <c r="O371" i="52" s="1"/>
  <c r="N339" i="52"/>
  <c r="O339" i="52" s="1"/>
  <c r="N509" i="52"/>
  <c r="O509" i="52" s="1"/>
  <c r="N228" i="52"/>
  <c r="O228" i="52" s="1"/>
  <c r="N176" i="52"/>
  <c r="O176" i="52" s="1"/>
  <c r="N116" i="52"/>
  <c r="O116" i="52" s="1"/>
  <c r="N120" i="52"/>
  <c r="O120" i="52" s="1"/>
  <c r="N129" i="52"/>
  <c r="O129" i="52" s="1"/>
  <c r="N16" i="52"/>
  <c r="O16" i="52" s="1"/>
  <c r="N602" i="52"/>
  <c r="O602" i="52" s="1"/>
  <c r="N493" i="52"/>
  <c r="O493" i="52" s="1"/>
  <c r="N540" i="52"/>
  <c r="O540" i="52" s="1"/>
  <c r="N400" i="52"/>
  <c r="O400" i="52" s="1"/>
  <c r="N346" i="52"/>
  <c r="O346" i="52" s="1"/>
  <c r="N391" i="52"/>
  <c r="O391" i="52" s="1"/>
  <c r="N256" i="52"/>
  <c r="O256" i="52" s="1"/>
  <c r="N312" i="52"/>
  <c r="O312" i="52" s="1"/>
  <c r="N65" i="52"/>
  <c r="O65" i="52" s="1"/>
  <c r="N262" i="52"/>
  <c r="O262" i="52" s="1"/>
  <c r="N10" i="52"/>
  <c r="O10" i="52" s="1"/>
  <c r="N585" i="52"/>
  <c r="O585" i="52" s="1"/>
  <c r="N452" i="52"/>
  <c r="O452" i="52" s="1"/>
  <c r="N333" i="52"/>
  <c r="O333" i="52" s="1"/>
  <c r="N236" i="52"/>
  <c r="O236" i="52" s="1"/>
  <c r="N161" i="52"/>
  <c r="O161" i="52" s="1"/>
  <c r="N102" i="52"/>
  <c r="O102" i="52" s="1"/>
  <c r="N210" i="52"/>
  <c r="O210" i="52" s="1"/>
  <c r="N289" i="52"/>
  <c r="O289" i="52" s="1"/>
  <c r="N507" i="52"/>
  <c r="O507" i="52" s="1"/>
  <c r="N197" i="52"/>
  <c r="O197" i="52" s="1"/>
  <c r="N499" i="52"/>
  <c r="O499" i="52" s="1"/>
  <c r="N8" i="52"/>
  <c r="O8" i="52" s="1"/>
  <c r="N111" i="52"/>
  <c r="O111" i="52" s="1"/>
  <c r="N487" i="52"/>
  <c r="O487" i="52" s="1"/>
  <c r="N297" i="52"/>
  <c r="O297" i="52" s="1"/>
  <c r="N514" i="52"/>
  <c r="O514" i="52" s="1"/>
  <c r="N321" i="52"/>
  <c r="O321" i="52" s="1"/>
  <c r="N269" i="52"/>
  <c r="O269" i="52" s="1"/>
  <c r="N457" i="52"/>
  <c r="O457" i="52" s="1"/>
  <c r="N421" i="52"/>
  <c r="O421" i="52" s="1"/>
  <c r="N364" i="52"/>
  <c r="O364" i="52" s="1"/>
  <c r="N508" i="52"/>
  <c r="O508" i="52" s="1"/>
  <c r="N550" i="52"/>
  <c r="O550" i="52" s="1"/>
  <c r="N324" i="52"/>
  <c r="O324" i="52" s="1"/>
  <c r="N248" i="52"/>
  <c r="O248" i="52" s="1"/>
  <c r="N164" i="52"/>
  <c r="O164" i="52" s="1"/>
  <c r="N372" i="52"/>
  <c r="O372" i="52" s="1"/>
  <c r="N74" i="52"/>
  <c r="O74" i="52" s="1"/>
  <c r="N75" i="52"/>
  <c r="O75" i="52" s="1"/>
  <c r="N108" i="52"/>
  <c r="O108" i="52" s="1"/>
  <c r="N13" i="52"/>
  <c r="O13" i="52" s="1"/>
  <c r="N597" i="52"/>
  <c r="O597" i="52" s="1"/>
  <c r="N489" i="52"/>
  <c r="O489" i="52" s="1"/>
  <c r="N417" i="52"/>
  <c r="O417" i="52" s="1"/>
  <c r="N367" i="52"/>
  <c r="O367" i="52" s="1"/>
  <c r="N335" i="52"/>
  <c r="O335" i="52" s="1"/>
  <c r="N407" i="52"/>
  <c r="O407" i="52" s="1"/>
  <c r="N212" i="52"/>
  <c r="O212" i="52" s="1"/>
  <c r="N450" i="52"/>
  <c r="O450" i="52" s="1"/>
  <c r="N107" i="52"/>
  <c r="O107" i="52" s="1"/>
  <c r="N90" i="52"/>
  <c r="O90" i="52" s="1"/>
  <c r="N104" i="52"/>
  <c r="O104" i="52" s="1"/>
  <c r="N175" i="52"/>
  <c r="O175" i="52" s="1"/>
  <c r="N601" i="52"/>
  <c r="O601" i="52" s="1"/>
  <c r="N477" i="52"/>
  <c r="O477" i="52" s="1"/>
  <c r="N454" i="52"/>
  <c r="O454" i="52" s="1"/>
  <c r="N386" i="52"/>
  <c r="O386" i="52" s="1"/>
  <c r="N342" i="52"/>
  <c r="O342" i="52" s="1"/>
  <c r="N376" i="52"/>
  <c r="O376" i="52" s="1"/>
  <c r="N240" i="52"/>
  <c r="O240" i="52" s="1"/>
  <c r="N160" i="52"/>
  <c r="O160" i="52" s="1"/>
  <c r="N55" i="52"/>
  <c r="O55" i="52" s="1"/>
  <c r="N202" i="52"/>
  <c r="O202" i="52" s="1"/>
  <c r="N162" i="52"/>
  <c r="O162" i="52" s="1"/>
  <c r="N558" i="52"/>
  <c r="O558" i="52" s="1"/>
  <c r="N437" i="52"/>
  <c r="O437" i="52" s="1"/>
  <c r="N329" i="52"/>
  <c r="O329" i="52" s="1"/>
  <c r="N220" i="52"/>
  <c r="O220" i="52" s="1"/>
  <c r="N133" i="52"/>
  <c r="O133" i="52" s="1"/>
  <c r="N64" i="52"/>
  <c r="O64" i="52" s="1"/>
  <c r="N218" i="52"/>
  <c r="O218" i="52" s="1"/>
  <c r="N307" i="52"/>
  <c r="O307" i="52" s="1"/>
  <c r="N560" i="52"/>
  <c r="O560" i="52" s="1"/>
  <c r="N225" i="52"/>
  <c r="O225" i="52" s="1"/>
  <c r="N559" i="52"/>
  <c r="O559" i="52" s="1"/>
  <c r="N433" i="52"/>
  <c r="O433" i="52" s="1"/>
  <c r="N98" i="52"/>
  <c r="O98" i="52" s="1"/>
  <c r="N522" i="52"/>
  <c r="O522" i="52" s="1"/>
  <c r="N528" i="52"/>
  <c r="O528" i="52" s="1"/>
  <c r="N285" i="52"/>
  <c r="O285" i="52" s="1"/>
  <c r="N518" i="52"/>
  <c r="O518" i="52" s="1"/>
  <c r="N255" i="52"/>
  <c r="O255" i="52" s="1"/>
  <c r="N237" i="52"/>
  <c r="O237" i="52" s="1"/>
  <c r="N440" i="52"/>
  <c r="O440" i="52" s="1"/>
  <c r="N600" i="52"/>
  <c r="O600" i="52" s="1"/>
  <c r="N348" i="52"/>
  <c r="O348" i="52" s="1"/>
  <c r="N496" i="52"/>
  <c r="O496" i="52" s="1"/>
  <c r="N504" i="52"/>
  <c r="O504" i="52" s="1"/>
  <c r="N422" i="52"/>
  <c r="O422" i="52" s="1"/>
  <c r="N232" i="52"/>
  <c r="O232" i="52" s="1"/>
  <c r="N156" i="52"/>
  <c r="O156" i="52" s="1"/>
  <c r="N186" i="52"/>
  <c r="O186" i="52" s="1"/>
  <c r="N63" i="52"/>
  <c r="O63" i="52" s="1"/>
  <c r="N58" i="52"/>
  <c r="O58" i="52" s="1"/>
  <c r="N99" i="52"/>
  <c r="O99" i="52" s="1"/>
  <c r="N19" i="52"/>
  <c r="O19" i="52" s="1"/>
  <c r="N594" i="52"/>
  <c r="O594" i="52" s="1"/>
  <c r="N527" i="52"/>
  <c r="O527" i="52" s="1"/>
  <c r="N453" i="52"/>
  <c r="O453" i="52" s="1"/>
  <c r="N363" i="52"/>
  <c r="O363" i="52" s="1"/>
  <c r="N331" i="52"/>
  <c r="O331" i="52" s="1"/>
  <c r="N382" i="52"/>
  <c r="O382" i="52" s="1"/>
  <c r="N200" i="52"/>
  <c r="O200" i="52" s="1"/>
  <c r="N190" i="52"/>
  <c r="O190" i="52" s="1"/>
  <c r="N85" i="52"/>
  <c r="O85" i="52" s="1"/>
  <c r="N39" i="52"/>
  <c r="O39" i="52" s="1"/>
  <c r="N88" i="52"/>
  <c r="O88" i="52" s="1"/>
  <c r="N114" i="52"/>
  <c r="O114" i="52" s="1"/>
  <c r="N586" i="52"/>
  <c r="O586" i="52" s="1"/>
  <c r="N473" i="52"/>
  <c r="O473" i="52" s="1"/>
  <c r="N438" i="52"/>
  <c r="O438" i="52" s="1"/>
  <c r="N370" i="52"/>
  <c r="O370" i="52" s="1"/>
  <c r="N338" i="52"/>
  <c r="O338" i="52" s="1"/>
  <c r="N443" i="52"/>
  <c r="O443" i="52" s="1"/>
  <c r="N224" i="52"/>
  <c r="O224" i="52" s="1"/>
  <c r="N270" i="52"/>
  <c r="O270" i="52" s="1"/>
  <c r="N33" i="52"/>
  <c r="O33" i="52" s="1"/>
  <c r="N153" i="52"/>
  <c r="O153" i="52" s="1"/>
  <c r="N97" i="52"/>
  <c r="O97" i="52" s="1"/>
  <c r="N481" i="52"/>
  <c r="O481" i="52" s="1"/>
  <c r="N411" i="52"/>
  <c r="O411" i="52" s="1"/>
  <c r="N401" i="52"/>
  <c r="O401" i="52" s="1"/>
  <c r="N383" i="52"/>
  <c r="O383" i="52" s="1"/>
  <c r="N69" i="52"/>
  <c r="O69" i="52" s="1"/>
  <c r="N238" i="52"/>
  <c r="O238" i="52" s="1"/>
  <c r="N282" i="52"/>
  <c r="O282" i="52" s="1"/>
  <c r="N464" i="52"/>
  <c r="O464" i="52" s="1"/>
  <c r="N545" i="52"/>
  <c r="O545" i="52" s="1"/>
  <c r="N166" i="52"/>
  <c r="O166" i="52" s="1"/>
  <c r="N271" i="52"/>
  <c r="O271" i="52" s="1"/>
  <c r="R99" i="68"/>
  <c r="BD74" i="51"/>
  <c r="BD72" i="51"/>
  <c r="N596" i="52"/>
  <c r="O596" i="52" s="1"/>
  <c r="N580" i="52"/>
  <c r="O580" i="52" s="1"/>
  <c r="N418" i="52"/>
  <c r="O418" i="52" s="1"/>
  <c r="N427" i="52"/>
  <c r="O427" i="52" s="1"/>
  <c r="N357" i="52"/>
  <c r="O357" i="52" s="1"/>
  <c r="N325" i="52"/>
  <c r="O325" i="52" s="1"/>
  <c r="N434" i="52"/>
  <c r="O434" i="52" s="1"/>
  <c r="N204" i="52"/>
  <c r="O204" i="52" s="1"/>
  <c r="N168" i="52"/>
  <c r="O168" i="52" s="1"/>
  <c r="N100" i="52"/>
  <c r="O100" i="52" s="1"/>
  <c r="N80" i="52"/>
  <c r="O80" i="52" s="1"/>
  <c r="N91" i="52"/>
  <c r="O91" i="52" s="1"/>
  <c r="N94" i="52"/>
  <c r="O94" i="52" s="1"/>
  <c r="N131" i="52"/>
  <c r="O131" i="52" s="1"/>
  <c r="N234" i="52"/>
  <c r="O234" i="52" s="1"/>
  <c r="N521" i="52"/>
  <c r="O521" i="52" s="1"/>
  <c r="N167" i="52"/>
  <c r="O167" i="52" s="1"/>
  <c r="N480" i="52"/>
  <c r="O480" i="52" s="1"/>
  <c r="N476" i="52"/>
  <c r="O476" i="52" s="1"/>
  <c r="N482" i="52"/>
  <c r="O482" i="52" s="1"/>
  <c r="N517" i="52"/>
  <c r="O517" i="52" s="1"/>
  <c r="N566" i="52"/>
  <c r="O566" i="52" s="1"/>
  <c r="N199" i="52"/>
  <c r="O199" i="52" s="1"/>
  <c r="N119" i="52"/>
  <c r="O119" i="52" s="1"/>
  <c r="N524" i="52"/>
  <c r="O524" i="52" s="1"/>
  <c r="N257" i="52"/>
  <c r="O257" i="52" s="1"/>
  <c r="N463" i="52"/>
  <c r="O463" i="52" s="1"/>
  <c r="N235" i="52"/>
  <c r="O235" i="52" s="1"/>
  <c r="N219" i="52"/>
  <c r="O219" i="52" s="1"/>
  <c r="N179" i="52"/>
  <c r="O179" i="52" s="1"/>
  <c r="N241" i="52"/>
  <c r="O241" i="52" s="1"/>
  <c r="N134" i="52"/>
  <c r="O134" i="52" s="1"/>
  <c r="N516" i="52"/>
  <c r="O516" i="52" s="1"/>
  <c r="BD283" i="51"/>
  <c r="N194" i="52"/>
  <c r="O194" i="52" s="1"/>
  <c r="N77" i="52"/>
  <c r="O77" i="52" s="1"/>
  <c r="N82" i="52"/>
  <c r="O82" i="52" s="1"/>
  <c r="N118" i="52"/>
  <c r="O118" i="52" s="1"/>
  <c r="N266" i="52"/>
  <c r="O266" i="52" s="1"/>
  <c r="N595" i="52"/>
  <c r="O595" i="52" s="1"/>
  <c r="N547" i="52"/>
  <c r="O547" i="52" s="1"/>
  <c r="N535" i="52"/>
  <c r="O535" i="52" s="1"/>
  <c r="N451" i="52"/>
  <c r="O451" i="52" s="1"/>
  <c r="N353" i="52"/>
  <c r="O353" i="52" s="1"/>
  <c r="N442" i="52"/>
  <c r="O442" i="52" s="1"/>
  <c r="N308" i="52"/>
  <c r="O308" i="52" s="1"/>
  <c r="N192" i="52"/>
  <c r="O192" i="52" s="1"/>
  <c r="N136" i="52"/>
  <c r="O136" i="52" s="1"/>
  <c r="N87" i="52"/>
  <c r="O87" i="52" s="1"/>
  <c r="N50" i="52"/>
  <c r="O50" i="52" s="1"/>
  <c r="N84" i="52"/>
  <c r="O84" i="52" s="1"/>
  <c r="N81" i="52"/>
  <c r="O81" i="52" s="1"/>
  <c r="N139" i="52"/>
  <c r="O139" i="52" s="1"/>
  <c r="N278" i="52"/>
  <c r="O278" i="52" s="1"/>
  <c r="N105" i="52"/>
  <c r="O105" i="52" s="1"/>
  <c r="N123" i="52"/>
  <c r="O123" i="52" s="1"/>
  <c r="N503" i="52"/>
  <c r="O503" i="52" s="1"/>
  <c r="N492" i="52"/>
  <c r="O492" i="52" s="1"/>
  <c r="N486" i="52"/>
  <c r="O486" i="52" s="1"/>
  <c r="N525" i="52"/>
  <c r="O525" i="52" s="1"/>
  <c r="N570" i="52"/>
  <c r="O570" i="52" s="1"/>
  <c r="N181" i="52"/>
  <c r="O181" i="52" s="1"/>
  <c r="N150" i="52"/>
  <c r="O150" i="52" s="1"/>
  <c r="N564" i="52"/>
  <c r="O564" i="52" s="1"/>
  <c r="N310" i="52"/>
  <c r="O310" i="52" s="1"/>
  <c r="N534" i="52"/>
  <c r="O534" i="52" s="1"/>
  <c r="N251" i="52"/>
  <c r="O251" i="52" s="1"/>
  <c r="N103" i="52"/>
  <c r="O103" i="52" s="1"/>
  <c r="N229" i="52"/>
  <c r="O229" i="52" s="1"/>
  <c r="N273" i="52"/>
  <c r="O273" i="52" s="1"/>
  <c r="N290" i="52"/>
  <c r="O290" i="52" s="1"/>
  <c r="N549" i="52"/>
  <c r="O549" i="52" s="1"/>
  <c r="N317" i="52"/>
  <c r="O317" i="52" s="1"/>
  <c r="N561" i="52"/>
  <c r="O561" i="52" s="1"/>
  <c r="N490" i="52"/>
  <c r="O490" i="52" s="1"/>
  <c r="N533" i="52"/>
  <c r="O533" i="52" s="1"/>
  <c r="N574" i="52"/>
  <c r="O574" i="52" s="1"/>
  <c r="N217" i="52"/>
  <c r="O217" i="52" s="1"/>
  <c r="N298" i="52"/>
  <c r="O298" i="52" s="1"/>
  <c r="N215" i="52"/>
  <c r="O215" i="52" s="1"/>
  <c r="N541" i="52"/>
  <c r="O541" i="52" s="1"/>
  <c r="N557" i="52"/>
  <c r="O557" i="52" s="1"/>
  <c r="N247" i="52"/>
  <c r="O247" i="52" s="1"/>
  <c r="N193" i="52"/>
  <c r="O193" i="52" s="1"/>
  <c r="N491" i="52"/>
  <c r="O491" i="52" s="1"/>
  <c r="N292" i="52"/>
  <c r="O292" i="52" s="1"/>
  <c r="N320" i="52"/>
  <c r="O320" i="52" s="1"/>
  <c r="N573" i="52"/>
  <c r="O573" i="52" s="1"/>
  <c r="N15" i="52"/>
  <c r="O15" i="52" s="1"/>
  <c r="N37" i="52"/>
  <c r="O37" i="52" s="1"/>
  <c r="N61" i="52"/>
  <c r="O61" i="52" s="1"/>
  <c r="N155" i="52"/>
  <c r="O155" i="52" s="1"/>
  <c r="N311" i="52"/>
  <c r="O311" i="52" s="1"/>
  <c r="N127" i="52"/>
  <c r="O127" i="52" s="1"/>
  <c r="N296" i="52"/>
  <c r="O296" i="52" s="1"/>
  <c r="N468" i="52"/>
  <c r="O468" i="52" s="1"/>
  <c r="N461" i="52"/>
  <c r="O461" i="52" s="1"/>
  <c r="N494" i="52"/>
  <c r="O494" i="52" s="1"/>
  <c r="N565" i="52"/>
  <c r="O565" i="52" s="1"/>
  <c r="N578" i="52"/>
  <c r="O578" i="52" s="1"/>
  <c r="N249" i="52"/>
  <c r="O249" i="52" s="1"/>
  <c r="N459" i="52"/>
  <c r="O459" i="52" s="1"/>
  <c r="N174" i="52"/>
  <c r="O174" i="52" s="1"/>
  <c r="N191" i="52"/>
  <c r="O191" i="52" s="1"/>
  <c r="N610" i="52"/>
  <c r="O610" i="52" s="1"/>
  <c r="N233" i="52"/>
  <c r="O233" i="52" s="1"/>
  <c r="N293" i="52"/>
  <c r="O293" i="52" s="1"/>
  <c r="N530" i="52"/>
  <c r="O530" i="52" s="1"/>
  <c r="N483" i="52"/>
  <c r="O483" i="52" s="1"/>
  <c r="N471" i="52"/>
  <c r="O471" i="52" s="1"/>
  <c r="N185" i="52"/>
  <c r="O185" i="52" s="1"/>
  <c r="N606" i="52"/>
  <c r="O606" i="52" s="1"/>
  <c r="N505" i="52"/>
  <c r="O505" i="52" s="1"/>
  <c r="N388" i="52"/>
  <c r="O388" i="52" s="1"/>
  <c r="N379" i="52"/>
  <c r="O379" i="52" s="1"/>
  <c r="N341" i="52"/>
  <c r="O341" i="52" s="1"/>
  <c r="N424" i="52"/>
  <c r="O424" i="52" s="1"/>
  <c r="N268" i="52"/>
  <c r="O268" i="52" s="1"/>
  <c r="N519" i="52"/>
  <c r="O519" i="52" s="1"/>
  <c r="N128" i="52"/>
  <c r="O128" i="52" s="1"/>
  <c r="N22" i="52"/>
  <c r="O22" i="52" s="1"/>
  <c r="N250" i="52"/>
  <c r="O250" i="52" s="1"/>
  <c r="N18" i="52"/>
  <c r="O18" i="52" s="1"/>
  <c r="N51" i="52"/>
  <c r="O51" i="52" s="1"/>
  <c r="N163" i="52"/>
  <c r="O163" i="52" s="1"/>
  <c r="N109" i="52"/>
  <c r="O109" i="52" s="1"/>
  <c r="N135" i="52"/>
  <c r="O135" i="52" s="1"/>
  <c r="N299" i="52"/>
  <c r="O299" i="52" s="1"/>
  <c r="N484" i="52"/>
  <c r="O484" i="52" s="1"/>
  <c r="N466" i="52"/>
  <c r="O466" i="52" s="1"/>
  <c r="N497" i="52"/>
  <c r="O497" i="52" s="1"/>
  <c r="N553" i="52"/>
  <c r="O553" i="52" s="1"/>
  <c r="N582" i="52"/>
  <c r="O582" i="52" s="1"/>
  <c r="N281" i="52"/>
  <c r="O281" i="52" s="1"/>
  <c r="N475" i="52"/>
  <c r="O475" i="52" s="1"/>
  <c r="N211" i="52"/>
  <c r="O211" i="52" s="1"/>
  <c r="N283" i="52"/>
  <c r="O283" i="52" s="1"/>
  <c r="N279" i="52"/>
  <c r="O279" i="52" s="1"/>
  <c r="N265" i="52"/>
  <c r="O265" i="52" s="1"/>
  <c r="N301" i="52"/>
  <c r="O301" i="52" s="1"/>
  <c r="N554" i="52"/>
  <c r="O554" i="52" s="1"/>
  <c r="N581" i="52"/>
  <c r="O581" i="52" s="1"/>
  <c r="N501" i="52"/>
  <c r="O501" i="52" s="1"/>
  <c r="N523" i="52"/>
  <c r="O523" i="52" s="1"/>
  <c r="N141" i="52"/>
  <c r="O141" i="52" s="1"/>
  <c r="N44" i="52"/>
  <c r="O44" i="52" s="1"/>
  <c r="N20" i="52"/>
  <c r="O20" i="52" s="1"/>
  <c r="N59" i="52"/>
  <c r="O59" i="52" s="1"/>
  <c r="N53" i="52"/>
  <c r="O53" i="52" s="1"/>
  <c r="N607" i="52"/>
  <c r="O607" i="52" s="1"/>
  <c r="N500" i="52"/>
  <c r="O500" i="52" s="1"/>
  <c r="N460" i="52"/>
  <c r="O460" i="52" s="1"/>
  <c r="N369" i="52"/>
  <c r="O369" i="52" s="1"/>
  <c r="N337" i="52"/>
  <c r="O337" i="52" s="1"/>
  <c r="N425" i="52"/>
  <c r="O425" i="52" s="1"/>
  <c r="N252" i="52"/>
  <c r="O252" i="52" s="1"/>
  <c r="N405" i="52"/>
  <c r="O405" i="52" s="1"/>
  <c r="N254" i="52"/>
  <c r="O254" i="52" s="1"/>
  <c r="N9" i="52"/>
  <c r="O9" i="52" s="1"/>
  <c r="N145" i="52"/>
  <c r="O145" i="52" s="1"/>
  <c r="N27" i="52"/>
  <c r="O27" i="52" s="1"/>
  <c r="N35" i="52"/>
  <c r="O35" i="52" s="1"/>
  <c r="N206" i="52"/>
  <c r="O206" i="52" s="1"/>
  <c r="N117" i="52"/>
  <c r="O117" i="52" s="1"/>
  <c r="N143" i="52"/>
  <c r="O143" i="52" s="1"/>
  <c r="N303" i="52"/>
  <c r="O303" i="52" s="1"/>
  <c r="N472" i="52"/>
  <c r="O472" i="52" s="1"/>
  <c r="N470" i="52"/>
  <c r="O470" i="52" s="1"/>
  <c r="N513" i="52"/>
  <c r="O513" i="52" s="1"/>
  <c r="N544" i="52"/>
  <c r="O544" i="52" s="1"/>
  <c r="N588" i="52"/>
  <c r="O588" i="52" s="1"/>
  <c r="N462" i="52"/>
  <c r="O462" i="52" s="1"/>
  <c r="N506" i="52"/>
  <c r="O506" i="52" s="1"/>
  <c r="N227" i="52"/>
  <c r="O227" i="52" s="1"/>
  <c r="N177" i="52"/>
  <c r="O177" i="52" s="1"/>
  <c r="N221" i="52"/>
  <c r="O221" i="52" s="1"/>
  <c r="N479" i="52"/>
  <c r="O479" i="52" s="1"/>
  <c r="N467" i="52"/>
  <c r="O467" i="52" s="1"/>
  <c r="N154" i="52"/>
  <c r="O154" i="52" s="1"/>
  <c r="N203" i="52"/>
  <c r="O203" i="52" s="1"/>
  <c r="BD159" i="51"/>
  <c r="BC266" i="51"/>
  <c r="BD222" i="51"/>
  <c r="BC49" i="51"/>
  <c r="BM49" i="51" s="1"/>
  <c r="BC165" i="51"/>
  <c r="BD251" i="51"/>
  <c r="BD56" i="51"/>
  <c r="BD99" i="51"/>
  <c r="BD39" i="51"/>
  <c r="BC170" i="51"/>
  <c r="BD168" i="51"/>
  <c r="BD235" i="51"/>
  <c r="BD134" i="51"/>
  <c r="BD281" i="51"/>
  <c r="BD249" i="51"/>
  <c r="BC45" i="51"/>
  <c r="BD259" i="51"/>
  <c r="BD52" i="51"/>
  <c r="BC209" i="51"/>
  <c r="BD253" i="51"/>
  <c r="BC199" i="51"/>
  <c r="BD112" i="51"/>
  <c r="L12" i="37"/>
  <c r="BC65" i="51"/>
  <c r="BC119" i="51"/>
  <c r="L16" i="37"/>
  <c r="BC204" i="51"/>
  <c r="BC182" i="51"/>
  <c r="BD73" i="51"/>
  <c r="BD271" i="51"/>
  <c r="BC124" i="51"/>
  <c r="BC98" i="51"/>
  <c r="BC186" i="51"/>
  <c r="BA8" i="51"/>
  <c r="BC8" i="51" s="1"/>
  <c r="F207" i="63"/>
  <c r="F205" i="63" s="1"/>
  <c r="F208" i="63" s="1"/>
  <c r="BD201" i="51"/>
  <c r="BC106" i="51"/>
  <c r="J16" i="37"/>
  <c r="L122" i="62"/>
  <c r="K172" i="62"/>
  <c r="K182" i="62"/>
  <c r="G167" i="63"/>
  <c r="H156" i="63" s="1"/>
  <c r="H155" i="63" s="1"/>
  <c r="H167" i="63" s="1"/>
  <c r="F148" i="63"/>
  <c r="G137" i="63" s="1"/>
  <c r="G136" i="63" s="1"/>
  <c r="F128" i="63"/>
  <c r="G117" i="63" s="1"/>
  <c r="G116" i="63" s="1"/>
  <c r="E174" i="63"/>
  <c r="E186" i="63" s="1"/>
  <c r="S101" i="40"/>
  <c r="N4" i="40" s="1"/>
  <c r="N6" i="40" s="1"/>
  <c r="L16" i="40"/>
  <c r="J11" i="42"/>
  <c r="J12" i="42" s="1"/>
  <c r="J236" i="42"/>
  <c r="P235" i="42"/>
  <c r="J239" i="42"/>
  <c r="J4" i="42"/>
  <c r="V325" i="42"/>
  <c r="Q228" i="42" s="1"/>
  <c r="Q230" i="42" s="1"/>
  <c r="L11" i="42"/>
  <c r="L12" i="42" s="1"/>
  <c r="I4" i="42"/>
  <c r="L6" i="42"/>
  <c r="G33" i="42"/>
  <c r="W325" i="42"/>
  <c r="R228" i="42" s="1"/>
  <c r="R230" i="42" s="1"/>
  <c r="L439" i="42"/>
  <c r="L442" i="42"/>
  <c r="X325" i="42"/>
  <c r="S228" i="42" s="1"/>
  <c r="S230" i="42" s="1"/>
  <c r="S6" i="42" s="1"/>
  <c r="M439" i="42"/>
  <c r="N442" i="42"/>
  <c r="M442" i="42"/>
  <c r="E33" i="42"/>
  <c r="E30" i="42"/>
  <c r="F33" i="42"/>
  <c r="I6" i="42"/>
  <c r="I239" i="42"/>
  <c r="I236" i="42"/>
  <c r="L4" i="42"/>
  <c r="D11" i="37"/>
  <c r="D12" i="37" s="1"/>
  <c r="J114" i="37"/>
  <c r="D4" i="37" s="1"/>
  <c r="D6" i="37" s="1"/>
  <c r="G11" i="37"/>
  <c r="M114" i="37"/>
  <c r="G4" i="37" s="1"/>
  <c r="G6" i="37" s="1"/>
  <c r="F11" i="37"/>
  <c r="F12" i="37" s="1"/>
  <c r="L114" i="37"/>
  <c r="F4" i="37" s="1"/>
  <c r="F6" i="37" s="1"/>
  <c r="N114" i="37"/>
  <c r="H4" i="37" s="1"/>
  <c r="H6" i="37" s="1"/>
  <c r="H11" i="37"/>
  <c r="K114" i="37"/>
  <c r="E4" i="37" s="1"/>
  <c r="E6" i="37" s="1"/>
  <c r="C11" i="37"/>
  <c r="I114" i="37"/>
  <c r="C4" i="37" s="1"/>
  <c r="C6" i="37" s="1"/>
  <c r="B11" i="37"/>
  <c r="B12" i="37" s="1"/>
  <c r="B4" i="37"/>
  <c r="B6" i="37" s="1"/>
  <c r="E79" i="63"/>
  <c r="E91" i="63" s="1"/>
  <c r="E159" i="62"/>
  <c r="F81" i="62"/>
  <c r="F29" i="62"/>
  <c r="E146" i="62"/>
  <c r="V147" i="62"/>
  <c r="V9" i="62" s="1"/>
  <c r="V10" i="62" s="1"/>
  <c r="V74" i="62"/>
  <c r="V148" i="62" s="1"/>
  <c r="O185" i="62"/>
  <c r="N182" i="62"/>
  <c r="N185" i="62" s="1"/>
  <c r="O95" i="62"/>
  <c r="W73" i="62"/>
  <c r="W72" i="62"/>
  <c r="N143" i="62"/>
  <c r="N32" i="62"/>
  <c r="L159" i="62"/>
  <c r="M81" i="62"/>
  <c r="L185" i="62"/>
  <c r="M182" i="62" s="1"/>
  <c r="M185" i="62" s="1"/>
  <c r="M102" i="62"/>
  <c r="N115" i="62"/>
  <c r="E169" i="62"/>
  <c r="E95" i="62"/>
  <c r="F92" i="62" s="1"/>
  <c r="O322" i="52"/>
  <c r="BC95" i="51"/>
  <c r="BD95" i="51"/>
  <c r="BC309" i="51"/>
  <c r="BD309" i="51"/>
  <c r="BC140" i="51"/>
  <c r="BD140" i="51"/>
  <c r="BD48" i="51"/>
  <c r="BC48" i="51"/>
  <c r="BC300" i="51"/>
  <c r="BD300" i="51"/>
  <c r="BD80" i="51"/>
  <c r="BC80" i="51"/>
  <c r="BD43" i="51"/>
  <c r="BC43" i="51"/>
  <c r="BD33" i="51"/>
  <c r="BC33" i="51"/>
  <c r="BD297" i="51"/>
  <c r="BC297" i="51"/>
  <c r="BD54" i="51"/>
  <c r="BC54" i="51"/>
  <c r="BD123" i="51"/>
  <c r="BC123" i="51"/>
  <c r="BC13" i="51"/>
  <c r="BD13" i="51"/>
  <c r="BD285" i="51"/>
  <c r="BC285" i="51"/>
  <c r="BC240" i="51"/>
  <c r="BD240" i="51"/>
  <c r="BC71" i="51"/>
  <c r="BD71" i="51"/>
  <c r="BD279" i="51"/>
  <c r="BC279" i="51"/>
  <c r="BD289" i="51"/>
  <c r="BC289" i="51"/>
  <c r="BC310" i="51"/>
  <c r="BD310" i="51"/>
  <c r="BD28" i="51"/>
  <c r="BC28" i="51"/>
  <c r="BD125" i="51"/>
  <c r="BC125" i="51"/>
  <c r="BC129" i="51"/>
  <c r="BD129" i="51"/>
  <c r="BD290" i="51"/>
  <c r="BC290" i="51"/>
  <c r="BC152" i="51"/>
  <c r="BD152" i="51"/>
  <c r="BD215" i="51"/>
  <c r="BC215" i="51"/>
  <c r="BD303" i="51"/>
  <c r="BC303" i="51"/>
  <c r="BC83" i="51"/>
  <c r="BD83" i="51"/>
  <c r="BC280" i="51"/>
  <c r="BD280" i="51"/>
  <c r="BC153" i="51"/>
  <c r="BD153" i="51"/>
  <c r="BC260" i="51"/>
  <c r="BD260" i="51"/>
  <c r="BD23" i="51"/>
  <c r="BC23" i="51"/>
  <c r="BC84" i="51"/>
  <c r="BD84" i="51"/>
  <c r="BC311" i="51"/>
  <c r="BD311" i="51"/>
  <c r="BC150" i="51"/>
  <c r="BM150" i="51" s="1"/>
  <c r="BD150" i="51"/>
  <c r="BD272" i="51"/>
  <c r="BC272" i="51"/>
  <c r="BD121" i="51"/>
  <c r="BC121" i="51"/>
  <c r="BD38" i="51"/>
  <c r="BC38" i="51"/>
  <c r="BC131" i="51"/>
  <c r="BD131" i="51"/>
  <c r="BD11" i="51"/>
  <c r="BC11" i="51"/>
  <c r="BD143" i="51"/>
  <c r="BC143" i="51"/>
  <c r="BD20" i="51"/>
  <c r="BC20" i="51"/>
  <c r="BD213" i="51"/>
  <c r="BC213" i="51"/>
  <c r="BD126" i="51"/>
  <c r="BC126" i="51"/>
  <c r="BD291" i="51"/>
  <c r="BC291" i="51"/>
  <c r="BD270" i="51"/>
  <c r="BC270" i="51"/>
  <c r="BD47" i="51"/>
  <c r="BC47" i="51"/>
  <c r="BC229" i="51"/>
  <c r="BD229" i="51"/>
  <c r="BD202" i="51"/>
  <c r="BC202" i="51"/>
  <c r="BD122" i="51"/>
  <c r="BC122" i="51"/>
  <c r="BD257" i="51"/>
  <c r="BC257" i="51"/>
  <c r="BC312" i="51"/>
  <c r="BD312" i="51"/>
  <c r="BD82" i="51"/>
  <c r="BC82" i="51"/>
  <c r="BD46" i="51"/>
  <c r="BC46" i="51"/>
  <c r="BC172" i="51"/>
  <c r="BD172" i="51"/>
  <c r="BD258" i="51"/>
  <c r="BC258" i="51"/>
  <c r="BD30" i="51"/>
  <c r="BC30" i="51"/>
  <c r="BD40" i="51"/>
  <c r="BC40" i="51"/>
  <c r="BC68" i="51"/>
  <c r="BD68" i="51"/>
  <c r="BD116" i="51"/>
  <c r="BC116" i="51"/>
  <c r="BC70" i="51"/>
  <c r="BD70" i="51"/>
  <c r="BC197" i="51"/>
  <c r="BD197" i="51"/>
  <c r="BC164" i="51"/>
  <c r="BD164" i="51"/>
  <c r="BD274" i="51"/>
  <c r="BC274" i="51"/>
  <c r="BD207" i="51"/>
  <c r="BC207" i="51"/>
  <c r="BC87" i="51"/>
  <c r="BD87" i="51"/>
  <c r="BD294" i="51"/>
  <c r="BC294" i="51"/>
  <c r="BC157" i="51"/>
  <c r="BD157" i="51"/>
  <c r="BC304" i="51"/>
  <c r="BD304" i="51"/>
  <c r="BD31" i="51"/>
  <c r="BC31" i="51"/>
  <c r="BC205" i="51"/>
  <c r="BD205" i="51"/>
  <c r="BC79" i="51"/>
  <c r="BD79" i="51"/>
  <c r="BD166" i="51"/>
  <c r="BC166" i="51"/>
  <c r="BD305" i="51"/>
  <c r="BC305" i="51"/>
  <c r="BD50" i="51"/>
  <c r="BC50" i="51"/>
  <c r="BD178" i="51"/>
  <c r="BC178" i="51"/>
  <c r="BD37" i="51"/>
  <c r="BC37" i="51"/>
  <c r="BD118" i="51"/>
  <c r="BC86" i="51"/>
  <c r="BD86" i="51"/>
  <c r="BC278" i="51"/>
  <c r="BD278" i="51"/>
  <c r="BD18" i="51"/>
  <c r="BC18" i="51"/>
  <c r="BC268" i="51"/>
  <c r="BD268" i="51"/>
  <c r="BD179" i="51"/>
  <c r="BC179" i="51"/>
  <c r="BD298" i="51"/>
  <c r="BC298" i="51"/>
  <c r="BD302" i="51"/>
  <c r="BC302" i="51"/>
  <c r="BD144" i="51"/>
  <c r="BC144" i="51"/>
  <c r="BD22" i="51"/>
  <c r="BC22" i="51"/>
  <c r="BC221" i="51"/>
  <c r="BD221" i="51"/>
  <c r="BC232" i="51"/>
  <c r="BD232" i="51"/>
  <c r="BD78" i="51"/>
  <c r="BC78" i="51"/>
  <c r="BC191" i="51"/>
  <c r="BD191" i="51"/>
  <c r="BC97" i="51"/>
  <c r="BD97" i="51"/>
  <c r="BD81" i="51"/>
  <c r="BC81" i="51"/>
  <c r="BD237" i="51"/>
  <c r="BC237" i="51"/>
  <c r="BC198" i="51"/>
  <c r="BD198" i="51"/>
  <c r="BD24" i="51"/>
  <c r="BC24" i="51"/>
  <c r="BD286" i="51"/>
  <c r="BC286" i="51"/>
  <c r="BD262" i="51"/>
  <c r="BC262" i="51"/>
  <c r="BC151" i="51"/>
  <c r="BD151" i="51"/>
  <c r="BD110" i="51"/>
  <c r="BC110" i="51"/>
  <c r="BC9" i="51"/>
  <c r="BD9" i="51"/>
  <c r="BC156" i="51"/>
  <c r="BD156" i="51"/>
  <c r="BD307" i="51"/>
  <c r="BC307" i="51"/>
  <c r="BC226" i="51"/>
  <c r="BD226" i="51"/>
  <c r="BD19" i="51"/>
  <c r="BC19" i="51"/>
  <c r="BD177" i="51"/>
  <c r="BC177" i="51"/>
  <c r="BC162" i="51"/>
  <c r="BD162" i="51"/>
  <c r="BD273" i="51"/>
  <c r="BC273" i="51"/>
  <c r="BC223" i="51"/>
  <c r="BM223" i="51" s="1"/>
  <c r="BD223" i="51"/>
  <c r="BC248" i="51"/>
  <c r="BD248" i="51"/>
  <c r="BC231" i="51"/>
  <c r="BD231" i="51"/>
  <c r="BD16" i="51"/>
  <c r="BC16" i="51"/>
  <c r="BD174" i="51"/>
  <c r="BC174" i="51"/>
  <c r="BD181" i="51"/>
  <c r="BC181" i="51"/>
  <c r="BD293" i="51"/>
  <c r="BC293" i="51"/>
  <c r="BC160" i="51"/>
  <c r="BD160" i="51"/>
  <c r="BD256" i="51"/>
  <c r="BC256" i="51"/>
  <c r="BD107" i="51"/>
  <c r="BC107" i="51"/>
  <c r="BC130" i="51"/>
  <c r="BD130" i="51"/>
  <c r="BC91" i="51"/>
  <c r="BD91" i="51"/>
  <c r="BD287" i="51"/>
  <c r="BC287" i="51"/>
  <c r="BC161" i="51"/>
  <c r="BD161" i="51"/>
  <c r="BC313" i="51"/>
  <c r="BD313" i="51"/>
  <c r="BD35" i="51"/>
  <c r="BC35" i="51"/>
  <c r="BC92" i="51"/>
  <c r="BD92" i="51"/>
  <c r="BC189" i="51"/>
  <c r="BD189" i="51"/>
  <c r="BC158" i="51"/>
  <c r="BD158" i="51"/>
  <c r="BD269" i="51"/>
  <c r="BC269" i="51"/>
  <c r="BC264" i="51"/>
  <c r="BD264" i="51"/>
  <c r="BD21" i="51"/>
  <c r="BC21" i="51"/>
  <c r="BD117" i="51"/>
  <c r="BC117" i="51"/>
  <c r="BC139" i="51"/>
  <c r="BD139" i="51"/>
  <c r="BD276" i="51"/>
  <c r="BC276" i="51"/>
  <c r="BD292" i="51"/>
  <c r="BC292" i="51"/>
  <c r="BD63" i="51"/>
  <c r="BC63" i="51"/>
  <c r="BD58" i="51"/>
  <c r="BC58" i="51"/>
  <c r="BD36" i="51"/>
  <c r="BC36" i="51"/>
  <c r="BC155" i="51"/>
  <c r="BD155" i="51"/>
  <c r="BD306" i="51"/>
  <c r="BC306" i="51"/>
  <c r="BC61" i="51"/>
  <c r="BD61" i="51"/>
  <c r="BC193" i="51"/>
  <c r="BD193" i="51"/>
  <c r="BD167" i="51"/>
  <c r="BC167" i="51"/>
  <c r="BD115" i="51"/>
  <c r="BC115" i="51"/>
  <c r="BC227" i="51"/>
  <c r="BD227" i="51"/>
  <c r="BD265" i="51"/>
  <c r="BC265" i="51"/>
  <c r="BD62" i="51"/>
  <c r="BC62" i="51"/>
  <c r="BC100" i="51"/>
  <c r="BD100" i="51"/>
  <c r="BD32" i="51"/>
  <c r="BC32" i="51"/>
  <c r="BC142" i="51"/>
  <c r="BD142" i="51"/>
  <c r="BC190" i="51"/>
  <c r="BD190" i="51"/>
  <c r="BD59" i="51"/>
  <c r="BC59" i="51"/>
  <c r="BD185" i="51"/>
  <c r="BC185" i="51"/>
  <c r="BC77" i="51"/>
  <c r="BD77" i="51"/>
  <c r="BD212" i="51"/>
  <c r="BC212" i="51"/>
  <c r="BD275" i="51"/>
  <c r="BC275" i="51"/>
  <c r="BC10" i="51"/>
  <c r="BD10" i="51"/>
  <c r="BC192" i="51"/>
  <c r="BD192" i="51"/>
  <c r="BD295" i="51"/>
  <c r="BC295" i="51"/>
  <c r="BD169" i="51"/>
  <c r="BC169" i="51"/>
  <c r="BD41" i="51"/>
  <c r="BC41" i="51"/>
  <c r="BD64" i="51"/>
  <c r="BC64" i="51"/>
  <c r="BC233" i="51"/>
  <c r="BD233" i="51"/>
  <c r="BD146" i="51"/>
  <c r="BC146" i="51"/>
  <c r="BC247" i="51"/>
  <c r="BM247" i="51" s="1"/>
  <c r="BD247" i="51"/>
  <c r="BD17" i="51"/>
  <c r="BC17" i="51"/>
  <c r="BD109" i="51"/>
  <c r="BC109" i="51"/>
  <c r="BD284" i="51"/>
  <c r="BC284" i="51"/>
  <c r="BC149" i="51"/>
  <c r="BD149" i="51"/>
  <c r="BD44" i="51"/>
  <c r="BC44" i="51"/>
  <c r="BD51" i="51"/>
  <c r="BC51" i="51"/>
  <c r="BD120" i="51"/>
  <c r="BC120" i="51"/>
  <c r="BC239" i="51"/>
  <c r="BD239" i="51"/>
  <c r="BD296" i="51"/>
  <c r="BC296" i="51"/>
  <c r="BD29" i="51"/>
  <c r="BC29" i="51"/>
  <c r="BC136" i="51"/>
  <c r="BD136" i="51"/>
  <c r="BC195" i="51"/>
  <c r="BD195" i="51"/>
  <c r="BC243" i="51"/>
  <c r="BD243" i="51"/>
  <c r="BC244" i="51"/>
  <c r="BM244" i="51" s="1"/>
  <c r="BD244" i="51"/>
  <c r="BD217" i="51"/>
  <c r="BC217" i="51"/>
  <c r="BC242" i="51"/>
  <c r="BD242" i="51"/>
  <c r="BD53" i="51"/>
  <c r="BC53" i="51"/>
  <c r="BD214" i="51"/>
  <c r="BC214" i="51"/>
  <c r="BC252" i="51"/>
  <c r="BM252" i="51" s="1"/>
  <c r="BD252" i="51"/>
  <c r="BC104" i="51"/>
  <c r="BD104" i="51"/>
  <c r="BC127" i="51"/>
  <c r="BD127" i="51"/>
  <c r="BD96" i="51"/>
  <c r="BC96" i="51"/>
  <c r="BD261" i="51"/>
  <c r="BC261" i="51"/>
  <c r="BD183" i="51"/>
  <c r="BC183" i="51"/>
  <c r="BC225" i="51"/>
  <c r="BD225" i="51"/>
  <c r="BC206" i="51"/>
  <c r="BD206" i="51"/>
  <c r="BD254" i="51"/>
  <c r="BC254" i="51"/>
  <c r="BD113" i="51"/>
  <c r="BC113" i="51"/>
  <c r="BC14" i="51"/>
  <c r="BD14" i="51"/>
  <c r="BD66" i="51"/>
  <c r="BC66" i="51"/>
  <c r="BC230" i="51"/>
  <c r="BD230" i="51"/>
  <c r="BC220" i="51"/>
  <c r="BD220" i="51"/>
  <c r="BC308" i="51"/>
  <c r="BD308" i="51"/>
  <c r="BC133" i="51"/>
  <c r="BD133" i="51"/>
  <c r="BD184" i="51"/>
  <c r="BC184" i="51"/>
  <c r="BC75" i="51"/>
  <c r="BD75" i="51"/>
  <c r="BC224" i="51"/>
  <c r="BD224" i="51"/>
  <c r="BD301" i="51"/>
  <c r="BC301" i="51"/>
  <c r="BD42" i="51"/>
  <c r="BC42" i="51"/>
  <c r="BC267" i="51"/>
  <c r="BD267" i="51"/>
  <c r="BC173" i="51"/>
  <c r="BD173" i="51"/>
  <c r="BD236" i="51"/>
  <c r="BC236" i="51"/>
  <c r="BD26" i="51"/>
  <c r="BC26" i="51"/>
  <c r="BC138" i="51"/>
  <c r="BD138" i="51"/>
  <c r="BD208" i="51"/>
  <c r="BC208" i="51"/>
  <c r="BD211" i="51"/>
  <c r="BC211" i="51"/>
  <c r="BD102" i="51"/>
  <c r="BC102" i="51"/>
  <c r="BC69" i="51"/>
  <c r="BD69" i="51"/>
  <c r="BC196" i="51"/>
  <c r="BD196" i="51"/>
  <c r="BD76" i="51"/>
  <c r="BC76" i="51"/>
  <c r="BC315" i="51"/>
  <c r="BD315" i="51"/>
  <c r="BD108" i="51"/>
  <c r="BC108" i="51"/>
  <c r="BD114" i="51"/>
  <c r="BC114" i="51"/>
  <c r="BD203" i="51"/>
  <c r="BC203" i="51"/>
  <c r="BM203" i="51" s="1"/>
  <c r="BC250" i="51"/>
  <c r="BD250" i="51"/>
  <c r="BD210" i="51"/>
  <c r="BC210" i="51"/>
  <c r="BC246" i="51"/>
  <c r="BD246" i="51"/>
  <c r="BD67" i="51"/>
  <c r="BC67" i="51"/>
  <c r="BC188" i="51"/>
  <c r="BD188" i="51"/>
  <c r="BD288" i="51"/>
  <c r="BC288" i="51"/>
  <c r="BC163" i="51"/>
  <c r="BD163" i="51"/>
  <c r="BD111" i="51"/>
  <c r="BC111" i="51"/>
  <c r="BD238" i="51"/>
  <c r="BC238" i="51"/>
  <c r="BC128" i="51"/>
  <c r="BD128" i="51"/>
  <c r="BD171" i="51"/>
  <c r="BC171" i="51"/>
  <c r="BC234" i="51"/>
  <c r="BD234" i="51"/>
  <c r="BD148" i="51"/>
  <c r="BC148" i="51"/>
  <c r="BD277" i="51"/>
  <c r="BC277" i="51"/>
  <c r="BD299" i="51"/>
  <c r="BC299" i="51"/>
  <c r="BD103" i="51"/>
  <c r="BC103" i="51"/>
  <c r="BD180" i="51"/>
  <c r="BC180" i="51"/>
  <c r="BC245" i="51"/>
  <c r="BD245" i="51"/>
  <c r="BD200" i="51"/>
  <c r="BC200" i="51"/>
  <c r="BC132" i="51"/>
  <c r="BD132" i="51"/>
  <c r="BC137" i="51"/>
  <c r="BD137" i="51"/>
  <c r="BC88" i="51"/>
  <c r="BD88" i="51"/>
  <c r="BD282" i="51"/>
  <c r="BC282" i="51"/>
  <c r="BC154" i="51"/>
  <c r="BD154" i="51"/>
  <c r="BC314" i="51"/>
  <c r="BD314" i="51"/>
  <c r="BD145" i="51"/>
  <c r="BC145" i="51"/>
  <c r="BD105" i="51"/>
  <c r="BC105" i="51"/>
  <c r="BD175" i="51"/>
  <c r="BC175" i="51"/>
  <c r="BC194" i="51"/>
  <c r="BD194" i="51"/>
  <c r="BD25" i="51"/>
  <c r="BC25" i="51"/>
  <c r="BD34" i="51"/>
  <c r="BC34" i="51"/>
  <c r="BD187" i="51"/>
  <c r="BC187" i="51"/>
  <c r="BC216" i="51"/>
  <c r="BD216" i="51"/>
  <c r="J14" i="44"/>
  <c r="J11" i="44"/>
  <c r="L14" i="44"/>
  <c r="L11" i="44"/>
  <c r="K14" i="44"/>
  <c r="H14" i="44"/>
  <c r="H11" i="44"/>
  <c r="D14" i="44"/>
  <c r="D11" i="44"/>
  <c r="I14" i="44"/>
  <c r="I11" i="44"/>
  <c r="M14" i="44"/>
  <c r="E14" i="44"/>
  <c r="E11" i="44"/>
  <c r="F14" i="44"/>
  <c r="L16" i="43"/>
  <c r="L12" i="43"/>
  <c r="M16" i="43"/>
  <c r="I12" i="42"/>
  <c r="K4" i="42"/>
  <c r="K24" i="42"/>
  <c r="K6" i="42" s="1"/>
  <c r="N239" i="42"/>
  <c r="N236" i="42"/>
  <c r="M4" i="42"/>
  <c r="M24" i="42"/>
  <c r="M6" i="42" s="1"/>
  <c r="Q236" i="42"/>
  <c r="O33" i="42"/>
  <c r="O30" i="42"/>
  <c r="L239" i="42"/>
  <c r="L236" i="42"/>
  <c r="P33" i="42"/>
  <c r="P30" i="42"/>
  <c r="Q24" i="42"/>
  <c r="R24" i="42"/>
  <c r="H4" i="42"/>
  <c r="H24" i="42"/>
  <c r="H6" i="42" s="1"/>
  <c r="M33" i="42"/>
  <c r="M11" i="42"/>
  <c r="M30" i="42"/>
  <c r="M239" i="42"/>
  <c r="N4" i="42"/>
  <c r="N24" i="42"/>
  <c r="N6" i="42" s="1"/>
  <c r="S12" i="42"/>
  <c r="K33" i="42"/>
  <c r="K11" i="42"/>
  <c r="K30" i="42"/>
  <c r="O24" i="42"/>
  <c r="Q11" i="42"/>
  <c r="Q33" i="42"/>
  <c r="Q30" i="42"/>
  <c r="R33" i="42"/>
  <c r="R11" i="42"/>
  <c r="R30" i="42"/>
  <c r="H33" i="42"/>
  <c r="H11" i="42"/>
  <c r="H12" i="42" s="1"/>
  <c r="H30" i="42"/>
  <c r="P4" i="42"/>
  <c r="P24" i="42"/>
  <c r="P6" i="42" s="1"/>
  <c r="N33" i="42"/>
  <c r="N11" i="42"/>
  <c r="N30" i="42"/>
  <c r="I33" i="42"/>
  <c r="S239" i="42"/>
  <c r="S236" i="42"/>
  <c r="R239" i="42"/>
  <c r="R236" i="42"/>
  <c r="C12" i="41"/>
  <c r="D16" i="41"/>
  <c r="J16" i="41"/>
  <c r="J12" i="41"/>
  <c r="K16" i="41"/>
  <c r="G16" i="41"/>
  <c r="G12" i="41"/>
  <c r="J16" i="40"/>
  <c r="J12" i="40"/>
  <c r="K16" i="40"/>
  <c r="N16" i="40"/>
  <c r="N12" i="40"/>
  <c r="E12" i="37"/>
  <c r="F16" i="37" l="1"/>
  <c r="O239" i="42"/>
  <c r="L16" i="39"/>
  <c r="K16" i="39"/>
  <c r="M12" i="39"/>
  <c r="N16" i="39"/>
  <c r="O16" i="40"/>
  <c r="O12" i="40"/>
  <c r="J16" i="39"/>
  <c r="J12" i="39"/>
  <c r="P16" i="40"/>
  <c r="L12" i="39"/>
  <c r="M16" i="39"/>
  <c r="O11" i="42"/>
  <c r="O15" i="42" s="1"/>
  <c r="P239" i="42"/>
  <c r="O4" i="42"/>
  <c r="O6" i="42"/>
  <c r="T239" i="42"/>
  <c r="U239" i="42"/>
  <c r="T11" i="42"/>
  <c r="U15" i="42" s="1"/>
  <c r="U12" i="42"/>
  <c r="N612" i="52"/>
  <c r="O612" i="52" s="1"/>
  <c r="E16" i="37"/>
  <c r="N584" i="52"/>
  <c r="O584" i="52" s="1"/>
  <c r="N314" i="52"/>
  <c r="O314" i="52" s="1"/>
  <c r="J15" i="42"/>
  <c r="D16" i="37"/>
  <c r="Q239" i="42"/>
  <c r="P11" i="42"/>
  <c r="P12" i="42" s="1"/>
  <c r="BA7" i="51"/>
  <c r="BD8" i="51"/>
  <c r="BD7" i="51" s="1"/>
  <c r="BE42" i="51" s="1"/>
  <c r="H16" i="37"/>
  <c r="L125" i="62"/>
  <c r="L169" i="62"/>
  <c r="L14" i="62" s="1"/>
  <c r="L18" i="62" s="1"/>
  <c r="M14" i="62" s="1"/>
  <c r="M18" i="62" s="1"/>
  <c r="N14" i="62" s="1"/>
  <c r="N18" i="62" s="1"/>
  <c r="O14" i="62" s="1"/>
  <c r="O18" i="62" s="1"/>
  <c r="P14" i="62" s="1"/>
  <c r="P18" i="62" s="1"/>
  <c r="Q14" i="62" s="1"/>
  <c r="Q18" i="62" s="1"/>
  <c r="R14" i="62" s="1"/>
  <c r="R18" i="62" s="1"/>
  <c r="S14" i="62" s="1"/>
  <c r="S18" i="62" s="1"/>
  <c r="T14" i="62" s="1"/>
  <c r="T18" i="62" s="1"/>
  <c r="U14" i="62" s="1"/>
  <c r="U18" i="62" s="1"/>
  <c r="V14" i="62" s="1"/>
  <c r="V18" i="62" s="1"/>
  <c r="W14" i="62" s="1"/>
  <c r="W18" i="62" s="1"/>
  <c r="H207" i="63"/>
  <c r="H205" i="63" s="1"/>
  <c r="H208" i="63" s="1"/>
  <c r="G148" i="63"/>
  <c r="H137" i="63" s="1"/>
  <c r="H136" i="63" s="1"/>
  <c r="H148" i="63" s="1"/>
  <c r="G128" i="63"/>
  <c r="H117" i="63" s="1"/>
  <c r="H116" i="63" s="1"/>
  <c r="H128" i="63" s="1"/>
  <c r="F175" i="63"/>
  <c r="F174" i="63" s="1"/>
  <c r="F186" i="63" s="1"/>
  <c r="P236" i="42"/>
  <c r="Q6" i="42"/>
  <c r="Q4" i="42"/>
  <c r="R6" i="42"/>
  <c r="R4" i="42"/>
  <c r="S4" i="42"/>
  <c r="I15" i="42"/>
  <c r="G16" i="37"/>
  <c r="G12" i="37"/>
  <c r="H12" i="37"/>
  <c r="I16" i="37"/>
  <c r="C16" i="37"/>
  <c r="C12" i="37"/>
  <c r="F79" i="63"/>
  <c r="F91" i="63" s="1"/>
  <c r="F169" i="62"/>
  <c r="F95" i="62"/>
  <c r="M156" i="62"/>
  <c r="M84" i="62"/>
  <c r="M105" i="62"/>
  <c r="W147" i="62"/>
  <c r="W9" i="62" s="1"/>
  <c r="W10" i="62" s="1"/>
  <c r="W74" i="62"/>
  <c r="W148" i="62" s="1"/>
  <c r="F143" i="62"/>
  <c r="F32" i="62"/>
  <c r="N146" i="62"/>
  <c r="O29" i="62"/>
  <c r="P92" i="62"/>
  <c r="F156" i="62"/>
  <c r="F84" i="62"/>
  <c r="O112" i="62"/>
  <c r="BC7" i="51"/>
  <c r="BF7" i="51" s="1"/>
  <c r="N15" i="42"/>
  <c r="N12" i="42"/>
  <c r="R15" i="42"/>
  <c r="R12" i="42"/>
  <c r="Q12" i="42"/>
  <c r="S15" i="42"/>
  <c r="K15" i="42"/>
  <c r="K12" i="42"/>
  <c r="M15" i="42"/>
  <c r="M12" i="42"/>
  <c r="L15" i="42"/>
  <c r="O12" i="42" l="1"/>
  <c r="T12" i="42"/>
  <c r="T15" i="42"/>
  <c r="Q15" i="42"/>
  <c r="P15" i="42"/>
  <c r="BE268" i="51"/>
  <c r="BF268" i="51" s="1"/>
  <c r="BG268" i="51" s="1"/>
  <c r="BE102" i="51"/>
  <c r="BF102" i="51" s="1"/>
  <c r="BG102" i="51" s="1"/>
  <c r="BE221" i="51"/>
  <c r="BF221" i="51" s="1"/>
  <c r="BG221" i="51" s="1"/>
  <c r="BE180" i="51"/>
  <c r="BF180" i="51" s="1"/>
  <c r="BG180" i="51" s="1"/>
  <c r="BE260" i="51"/>
  <c r="BF260" i="51" s="1"/>
  <c r="BG260" i="51" s="1"/>
  <c r="BE97" i="51"/>
  <c r="BF97" i="51" s="1"/>
  <c r="BG97" i="51" s="1"/>
  <c r="BE245" i="51"/>
  <c r="BF245" i="51" s="1"/>
  <c r="BG245" i="51" s="1"/>
  <c r="BE126" i="51"/>
  <c r="BF126" i="51" s="1"/>
  <c r="BG126" i="51" s="1"/>
  <c r="BE19" i="51"/>
  <c r="BF19" i="51" s="1"/>
  <c r="BG19" i="51" s="1"/>
  <c r="BE109" i="51"/>
  <c r="BF109" i="51" s="1"/>
  <c r="BG109" i="51" s="1"/>
  <c r="BE310" i="51"/>
  <c r="BF310" i="51" s="1"/>
  <c r="BG310" i="51" s="1"/>
  <c r="BE312" i="51"/>
  <c r="BF312" i="51" s="1"/>
  <c r="BG312" i="51" s="1"/>
  <c r="BE195" i="51"/>
  <c r="BF195" i="51" s="1"/>
  <c r="BG195" i="51" s="1"/>
  <c r="BE162" i="51"/>
  <c r="BF162" i="51" s="1"/>
  <c r="BG162" i="51" s="1"/>
  <c r="BE70" i="51"/>
  <c r="BF70" i="51" s="1"/>
  <c r="BG70" i="51" s="1"/>
  <c r="BE92" i="51"/>
  <c r="BF92" i="51" s="1"/>
  <c r="BG92" i="51" s="1"/>
  <c r="BE269" i="51"/>
  <c r="BF269" i="51" s="1"/>
  <c r="BG269" i="51" s="1"/>
  <c r="BE67" i="51"/>
  <c r="BF67" i="51" s="1"/>
  <c r="BG67" i="51" s="1"/>
  <c r="BE291" i="51"/>
  <c r="BF291" i="51" s="1"/>
  <c r="BG291" i="51" s="1"/>
  <c r="BE9" i="51"/>
  <c r="BF9" i="51" s="1"/>
  <c r="BG9" i="51" s="1"/>
  <c r="BE229" i="51"/>
  <c r="BF229" i="51" s="1"/>
  <c r="BG229" i="51" s="1"/>
  <c r="BE160" i="51"/>
  <c r="BF160" i="51" s="1"/>
  <c r="BG160" i="51" s="1"/>
  <c r="BE66" i="51"/>
  <c r="BF66" i="51" s="1"/>
  <c r="BG66" i="51" s="1"/>
  <c r="BE24" i="51"/>
  <c r="BF24" i="51" s="1"/>
  <c r="BG24" i="51" s="1"/>
  <c r="BE294" i="51"/>
  <c r="BF294" i="51" s="1"/>
  <c r="BG294" i="51" s="1"/>
  <c r="BE173" i="51"/>
  <c r="BF173" i="51" s="1"/>
  <c r="BG173" i="51" s="1"/>
  <c r="BE80" i="51"/>
  <c r="BF80" i="51" s="1"/>
  <c r="BG80" i="51" s="1"/>
  <c r="BE178" i="51"/>
  <c r="BF178" i="51" s="1"/>
  <c r="BG178" i="51" s="1"/>
  <c r="BE155" i="51"/>
  <c r="BF155" i="51" s="1"/>
  <c r="BG155" i="51" s="1"/>
  <c r="BE69" i="51"/>
  <c r="BF69" i="51" s="1"/>
  <c r="BG69" i="51" s="1"/>
  <c r="BE29" i="51"/>
  <c r="BF29" i="51" s="1"/>
  <c r="BG29" i="51" s="1"/>
  <c r="BE277" i="51"/>
  <c r="BF277" i="51" s="1"/>
  <c r="BG277" i="51" s="1"/>
  <c r="BE227" i="51"/>
  <c r="BF227" i="51" s="1"/>
  <c r="BG227" i="51" s="1"/>
  <c r="BE28" i="51"/>
  <c r="BF28" i="51" s="1"/>
  <c r="BG28" i="51" s="1"/>
  <c r="BE234" i="51"/>
  <c r="BF234" i="51" s="1"/>
  <c r="BG234" i="51" s="1"/>
  <c r="BE43" i="51"/>
  <c r="BF43" i="51" s="1"/>
  <c r="BG43" i="51" s="1"/>
  <c r="BE203" i="51"/>
  <c r="BF203" i="51" s="1"/>
  <c r="BG203" i="51" s="1"/>
  <c r="BE212" i="51"/>
  <c r="BF212" i="51" s="1"/>
  <c r="BG212" i="51" s="1"/>
  <c r="BE295" i="51"/>
  <c r="BF295" i="51" s="1"/>
  <c r="BG295" i="51" s="1"/>
  <c r="BE153" i="51"/>
  <c r="BF153" i="51" s="1"/>
  <c r="BG153" i="51" s="1"/>
  <c r="BE149" i="51"/>
  <c r="BF149" i="51" s="1"/>
  <c r="BG149" i="51" s="1"/>
  <c r="BE26" i="51"/>
  <c r="BF26" i="51" s="1"/>
  <c r="BG26" i="51" s="1"/>
  <c r="BE288" i="51"/>
  <c r="BF288" i="51" s="1"/>
  <c r="BG288" i="51" s="1"/>
  <c r="BE274" i="51"/>
  <c r="BF274" i="51" s="1"/>
  <c r="BG274" i="51" s="1"/>
  <c r="BE243" i="51"/>
  <c r="BF243" i="51" s="1"/>
  <c r="BG243" i="51" s="1"/>
  <c r="BE311" i="51"/>
  <c r="BF311" i="51" s="1"/>
  <c r="BG311" i="51" s="1"/>
  <c r="BE273" i="51"/>
  <c r="BF273" i="51" s="1"/>
  <c r="BG273" i="51" s="1"/>
  <c r="BE258" i="51"/>
  <c r="BF258" i="51" s="1"/>
  <c r="BG258" i="51" s="1"/>
  <c r="BE13" i="51"/>
  <c r="BF13" i="51" s="1"/>
  <c r="BG13" i="51" s="1"/>
  <c r="BE270" i="51"/>
  <c r="BF270" i="51" s="1"/>
  <c r="BG270" i="51" s="1"/>
  <c r="BE298" i="51"/>
  <c r="BF298" i="51" s="1"/>
  <c r="BG298" i="51" s="1"/>
  <c r="BE181" i="51"/>
  <c r="BF181" i="51" s="1"/>
  <c r="BG181" i="51" s="1"/>
  <c r="BE62" i="51"/>
  <c r="BF62" i="51" s="1"/>
  <c r="BG62" i="51" s="1"/>
  <c r="BE136" i="51"/>
  <c r="BF136" i="51" s="1"/>
  <c r="BG136" i="51" s="1"/>
  <c r="BE138" i="51"/>
  <c r="BF138" i="51" s="1"/>
  <c r="BG138" i="51" s="1"/>
  <c r="BE128" i="51"/>
  <c r="BF128" i="51" s="1"/>
  <c r="BG128" i="51" s="1"/>
  <c r="BE232" i="51"/>
  <c r="BF232" i="51" s="1"/>
  <c r="BG232" i="51" s="1"/>
  <c r="BE308" i="51"/>
  <c r="BF308" i="51" s="1"/>
  <c r="BG308" i="51" s="1"/>
  <c r="BE121" i="51"/>
  <c r="BF121" i="51" s="1"/>
  <c r="BG121" i="51" s="1"/>
  <c r="BE91" i="51"/>
  <c r="BF91" i="51" s="1"/>
  <c r="BG91" i="51" s="1"/>
  <c r="BE86" i="51"/>
  <c r="BF86" i="51" s="1"/>
  <c r="BG86" i="51" s="1"/>
  <c r="BE290" i="51"/>
  <c r="BF290" i="51" s="1"/>
  <c r="BG290" i="51" s="1"/>
  <c r="BE122" i="51"/>
  <c r="BF122" i="51" s="1"/>
  <c r="BG122" i="51" s="1"/>
  <c r="BE78" i="51"/>
  <c r="BF78" i="51" s="1"/>
  <c r="BG78" i="51" s="1"/>
  <c r="BE107" i="51"/>
  <c r="BF107" i="51" s="1"/>
  <c r="BG107" i="51" s="1"/>
  <c r="BE275" i="51"/>
  <c r="BF275" i="51" s="1"/>
  <c r="BG275" i="51" s="1"/>
  <c r="BE242" i="51"/>
  <c r="BF242" i="51" s="1"/>
  <c r="BG242" i="51" s="1"/>
  <c r="BE76" i="51"/>
  <c r="BF76" i="51" s="1"/>
  <c r="BG76" i="51" s="1"/>
  <c r="BE175" i="51"/>
  <c r="BF175" i="51" s="1"/>
  <c r="BG175" i="51" s="1"/>
  <c r="BE177" i="51"/>
  <c r="BF177" i="51" s="1"/>
  <c r="BG177" i="51" s="1"/>
  <c r="BE196" i="51"/>
  <c r="BF196" i="51" s="1"/>
  <c r="BG196" i="51" s="1"/>
  <c r="BE172" i="51"/>
  <c r="BF172" i="51" s="1"/>
  <c r="BG172" i="51" s="1"/>
  <c r="BE265" i="51"/>
  <c r="BF265" i="51" s="1"/>
  <c r="BG265" i="51" s="1"/>
  <c r="BE215" i="51"/>
  <c r="BF215" i="51" s="1"/>
  <c r="BG215" i="51" s="1"/>
  <c r="BE31" i="51"/>
  <c r="BF31" i="51" s="1"/>
  <c r="BG31" i="51" s="1"/>
  <c r="BE164" i="51"/>
  <c r="BF164" i="51" s="1"/>
  <c r="BG164" i="51" s="1"/>
  <c r="BE150" i="51"/>
  <c r="BF150" i="51" s="1"/>
  <c r="BG150" i="51" s="1"/>
  <c r="BE304" i="51"/>
  <c r="BF304" i="51" s="1"/>
  <c r="BG304" i="51" s="1"/>
  <c r="BE237" i="51"/>
  <c r="BF237" i="51" s="1"/>
  <c r="BG237" i="51" s="1"/>
  <c r="BE139" i="51"/>
  <c r="BF139" i="51" s="1"/>
  <c r="BG139" i="51" s="1"/>
  <c r="BE169" i="51"/>
  <c r="BF169" i="51" s="1"/>
  <c r="BG169" i="51" s="1"/>
  <c r="BE220" i="51"/>
  <c r="BF220" i="51" s="1"/>
  <c r="BG220" i="51" s="1"/>
  <c r="BE238" i="51"/>
  <c r="BF238" i="51" s="1"/>
  <c r="BG238" i="51" s="1"/>
  <c r="BE129" i="51"/>
  <c r="BF129" i="51" s="1"/>
  <c r="BG129" i="51" s="1"/>
  <c r="BE117" i="51"/>
  <c r="BF117" i="51" s="1"/>
  <c r="BG117" i="51" s="1"/>
  <c r="BE285" i="51"/>
  <c r="BF285" i="51" s="1"/>
  <c r="BG285" i="51" s="1"/>
  <c r="BE191" i="51"/>
  <c r="BF191" i="51" s="1"/>
  <c r="BG191" i="51" s="1"/>
  <c r="BE206" i="51"/>
  <c r="BF206" i="51" s="1"/>
  <c r="BG206" i="51" s="1"/>
  <c r="BE307" i="51"/>
  <c r="BF307" i="51" s="1"/>
  <c r="BG307" i="51" s="1"/>
  <c r="M122" i="62"/>
  <c r="L172" i="62"/>
  <c r="BE51" i="51"/>
  <c r="BF51" i="51" s="1"/>
  <c r="BG51" i="51" s="1"/>
  <c r="BE95" i="51"/>
  <c r="BF95" i="51" s="1"/>
  <c r="BG95" i="51" s="1"/>
  <c r="BE11" i="51"/>
  <c r="BF11" i="51" s="1"/>
  <c r="BG11" i="51" s="1"/>
  <c r="BE166" i="51"/>
  <c r="BF166" i="51" s="1"/>
  <c r="BG166" i="51" s="1"/>
  <c r="BE110" i="51"/>
  <c r="BF110" i="51" s="1"/>
  <c r="BG110" i="51" s="1"/>
  <c r="BE63" i="51"/>
  <c r="BF63" i="51" s="1"/>
  <c r="BG63" i="51" s="1"/>
  <c r="BE247" i="51"/>
  <c r="BF247" i="51" s="1"/>
  <c r="BG247" i="51" s="1"/>
  <c r="BE75" i="51"/>
  <c r="BF75" i="51" s="1"/>
  <c r="BG75" i="51" s="1"/>
  <c r="BE148" i="51"/>
  <c r="BF148" i="51" s="1"/>
  <c r="BG148" i="51" s="1"/>
  <c r="BE131" i="51"/>
  <c r="BF131" i="51" s="1"/>
  <c r="BG131" i="51" s="1"/>
  <c r="BE77" i="51"/>
  <c r="BF77" i="51" s="1"/>
  <c r="BG77" i="51" s="1"/>
  <c r="BE152" i="51"/>
  <c r="BF152" i="51" s="1"/>
  <c r="BG152" i="51" s="1"/>
  <c r="BE198" i="51"/>
  <c r="BF198" i="51" s="1"/>
  <c r="BG198" i="51" s="1"/>
  <c r="BE208" i="51"/>
  <c r="BF208" i="51" s="1"/>
  <c r="BG208" i="51" s="1"/>
  <c r="BE287" i="51"/>
  <c r="BF287" i="51" s="1"/>
  <c r="BG287" i="51" s="1"/>
  <c r="I207" i="63"/>
  <c r="I205" i="63" s="1"/>
  <c r="I208" i="63" s="1"/>
  <c r="G175" i="63"/>
  <c r="G174" i="63" s="1"/>
  <c r="G186" i="63" s="1"/>
  <c r="BE71" i="51"/>
  <c r="BF71" i="51" s="1"/>
  <c r="BG71" i="51" s="1"/>
  <c r="BE23" i="51"/>
  <c r="BF23" i="51" s="1"/>
  <c r="BG23" i="51" s="1"/>
  <c r="BE213" i="51"/>
  <c r="BF213" i="51" s="1"/>
  <c r="BG213" i="51" s="1"/>
  <c r="BE157" i="51"/>
  <c r="BF157" i="51" s="1"/>
  <c r="BG157" i="51" s="1"/>
  <c r="BE81" i="51"/>
  <c r="BF81" i="51" s="1"/>
  <c r="BG81" i="51" s="1"/>
  <c r="BE156" i="51"/>
  <c r="BF156" i="51" s="1"/>
  <c r="BG156" i="51" s="1"/>
  <c r="BE264" i="51"/>
  <c r="BF264" i="51" s="1"/>
  <c r="BG264" i="51" s="1"/>
  <c r="BE64" i="51"/>
  <c r="BF64" i="51" s="1"/>
  <c r="BG64" i="51" s="1"/>
  <c r="BE53" i="51"/>
  <c r="BF53" i="51" s="1"/>
  <c r="BG53" i="51" s="1"/>
  <c r="BE113" i="51"/>
  <c r="BF113" i="51" s="1"/>
  <c r="BG113" i="51" s="1"/>
  <c r="BE315" i="51"/>
  <c r="BF315" i="51" s="1"/>
  <c r="BG315" i="51" s="1"/>
  <c r="BE103" i="51"/>
  <c r="BF103" i="51" s="1"/>
  <c r="BG103" i="51" s="1"/>
  <c r="BE197" i="51"/>
  <c r="BF197" i="51" s="1"/>
  <c r="BG197" i="51" s="1"/>
  <c r="BE179" i="51"/>
  <c r="BF179" i="51" s="1"/>
  <c r="BG179" i="51" s="1"/>
  <c r="BE145" i="51"/>
  <c r="BF145" i="51" s="1"/>
  <c r="BG145" i="51" s="1"/>
  <c r="BE202" i="51"/>
  <c r="BF202" i="51" s="1"/>
  <c r="BG202" i="51" s="1"/>
  <c r="BE79" i="51"/>
  <c r="BF79" i="51" s="1"/>
  <c r="BG79" i="51" s="1"/>
  <c r="BE223" i="51"/>
  <c r="BF223" i="51" s="1"/>
  <c r="BG223" i="51" s="1"/>
  <c r="BE313" i="51"/>
  <c r="BF313" i="51" s="1"/>
  <c r="BG313" i="51" s="1"/>
  <c r="BE61" i="51"/>
  <c r="BF61" i="51" s="1"/>
  <c r="BG61" i="51" s="1"/>
  <c r="BE244" i="51"/>
  <c r="BF244" i="51" s="1"/>
  <c r="BG244" i="51" s="1"/>
  <c r="BE279" i="51"/>
  <c r="BF279" i="51" s="1"/>
  <c r="BG279" i="51" s="1"/>
  <c r="BE184" i="51"/>
  <c r="BF184" i="51" s="1"/>
  <c r="BG184" i="51" s="1"/>
  <c r="BE17" i="51"/>
  <c r="BF17" i="51" s="1"/>
  <c r="BG17" i="51" s="1"/>
  <c r="BE104" i="51"/>
  <c r="BF104" i="51" s="1"/>
  <c r="BG104" i="51" s="1"/>
  <c r="BE230" i="51"/>
  <c r="BF230" i="51" s="1"/>
  <c r="BG230" i="51" s="1"/>
  <c r="BE114" i="51"/>
  <c r="BF114" i="51" s="1"/>
  <c r="BG114" i="51" s="1"/>
  <c r="BE123" i="51"/>
  <c r="BF123" i="51" s="1"/>
  <c r="BG123" i="51" s="1"/>
  <c r="BE87" i="51"/>
  <c r="BF87" i="51" s="1"/>
  <c r="BG87" i="51" s="1"/>
  <c r="BE189" i="51"/>
  <c r="BF189" i="51" s="1"/>
  <c r="BG189" i="51" s="1"/>
  <c r="BE140" i="51"/>
  <c r="BF140" i="51" s="1"/>
  <c r="BG140" i="51" s="1"/>
  <c r="BE30" i="51"/>
  <c r="BF30" i="51" s="1"/>
  <c r="BG30" i="51" s="1"/>
  <c r="BE118" i="51"/>
  <c r="BF118" i="51" s="1"/>
  <c r="BG118" i="51" s="1"/>
  <c r="BE16" i="51"/>
  <c r="BF16" i="51" s="1"/>
  <c r="BG16" i="51" s="1"/>
  <c r="BE21" i="51"/>
  <c r="BF21" i="51" s="1"/>
  <c r="BG21" i="51" s="1"/>
  <c r="BE100" i="51"/>
  <c r="BF100" i="51" s="1"/>
  <c r="BG100" i="51" s="1"/>
  <c r="BE200" i="51"/>
  <c r="BF200" i="51" s="1"/>
  <c r="BG200" i="51" s="1"/>
  <c r="BE293" i="51"/>
  <c r="BF293" i="51" s="1"/>
  <c r="BG293" i="51" s="1"/>
  <c r="BE296" i="51"/>
  <c r="BF296" i="51" s="1"/>
  <c r="BG296" i="51" s="1"/>
  <c r="BE127" i="51"/>
  <c r="BF127" i="51" s="1"/>
  <c r="BG127" i="51" s="1"/>
  <c r="BE301" i="51"/>
  <c r="BF301" i="51" s="1"/>
  <c r="BG301" i="51" s="1"/>
  <c r="BE211" i="51"/>
  <c r="BF211" i="51" s="1"/>
  <c r="BG211" i="51" s="1"/>
  <c r="BE246" i="51"/>
  <c r="BF246" i="51" s="1"/>
  <c r="BG246" i="51" s="1"/>
  <c r="BE216" i="51"/>
  <c r="BF216" i="51" s="1"/>
  <c r="BG216" i="51" s="1"/>
  <c r="BE88" i="51"/>
  <c r="BF88" i="51" s="1"/>
  <c r="BG88" i="51" s="1"/>
  <c r="BE83" i="51"/>
  <c r="BF83" i="51" s="1"/>
  <c r="BG83" i="51" s="1"/>
  <c r="BE22" i="51"/>
  <c r="BF22" i="51" s="1"/>
  <c r="BG22" i="51" s="1"/>
  <c r="BE35" i="51"/>
  <c r="BF35" i="51" s="1"/>
  <c r="BG35" i="51" s="1"/>
  <c r="BE192" i="51"/>
  <c r="BF192" i="51" s="1"/>
  <c r="BG192" i="51" s="1"/>
  <c r="BE224" i="51"/>
  <c r="BF224" i="51" s="1"/>
  <c r="BG224" i="51" s="1"/>
  <c r="BE54" i="51"/>
  <c r="BF54" i="51" s="1"/>
  <c r="BG54" i="51" s="1"/>
  <c r="BE303" i="51"/>
  <c r="BF303" i="51" s="1"/>
  <c r="BG303" i="51" s="1"/>
  <c r="BE272" i="51"/>
  <c r="BF272" i="51" s="1"/>
  <c r="BG272" i="51" s="1"/>
  <c r="BE46" i="51"/>
  <c r="BF46" i="51" s="1"/>
  <c r="BG46" i="51" s="1"/>
  <c r="BE50" i="51"/>
  <c r="BF50" i="51" s="1"/>
  <c r="BG50" i="51" s="1"/>
  <c r="BE262" i="51"/>
  <c r="BF262" i="51" s="1"/>
  <c r="BG262" i="51" s="1"/>
  <c r="BE231" i="51"/>
  <c r="BF231" i="51" s="1"/>
  <c r="BG231" i="51" s="1"/>
  <c r="BE292" i="51"/>
  <c r="BF292" i="51" s="1"/>
  <c r="BG292" i="51" s="1"/>
  <c r="BE44" i="51"/>
  <c r="BF44" i="51" s="1"/>
  <c r="BG44" i="51" s="1"/>
  <c r="BE183" i="51"/>
  <c r="BF183" i="51" s="1"/>
  <c r="BG183" i="51" s="1"/>
  <c r="BE267" i="51"/>
  <c r="BF267" i="51" s="1"/>
  <c r="BG267" i="51" s="1"/>
  <c r="BE250" i="51"/>
  <c r="BF250" i="51" s="1"/>
  <c r="BG250" i="51" s="1"/>
  <c r="BE257" i="51"/>
  <c r="BF257" i="51" s="1"/>
  <c r="BG257" i="51" s="1"/>
  <c r="BE37" i="51"/>
  <c r="BF37" i="51" s="1"/>
  <c r="BG37" i="51" s="1"/>
  <c r="BE188" i="51"/>
  <c r="BF188" i="51" s="1"/>
  <c r="BG188" i="51" s="1"/>
  <c r="BE289" i="51"/>
  <c r="BF289" i="51" s="1"/>
  <c r="BG289" i="51" s="1"/>
  <c r="BE68" i="51"/>
  <c r="BF68" i="51" s="1"/>
  <c r="BG68" i="51" s="1"/>
  <c r="BE278" i="51"/>
  <c r="BF278" i="51" s="1"/>
  <c r="BG278" i="51" s="1"/>
  <c r="BE256" i="51"/>
  <c r="BF256" i="51" s="1"/>
  <c r="BG256" i="51" s="1"/>
  <c r="BE276" i="51"/>
  <c r="BF276" i="51" s="1"/>
  <c r="BG276" i="51" s="1"/>
  <c r="BE233" i="51"/>
  <c r="BF233" i="51" s="1"/>
  <c r="BG233" i="51" s="1"/>
  <c r="BE34" i="51"/>
  <c r="BF34" i="51" s="1"/>
  <c r="BG34" i="51" s="1"/>
  <c r="BE146" i="51"/>
  <c r="BF146" i="51" s="1"/>
  <c r="BG146" i="51" s="1"/>
  <c r="BE120" i="51"/>
  <c r="BF120" i="51" s="1"/>
  <c r="BG120" i="51" s="1"/>
  <c r="BE48" i="51"/>
  <c r="BF48" i="51" s="1"/>
  <c r="BG48" i="51" s="1"/>
  <c r="BE217" i="51"/>
  <c r="BF217" i="51" s="1"/>
  <c r="BG217" i="51" s="1"/>
  <c r="G79" i="63"/>
  <c r="G91" i="63" s="1"/>
  <c r="F159" i="62"/>
  <c r="G81" i="62"/>
  <c r="O143" i="62"/>
  <c r="O32" i="62"/>
  <c r="M159" i="62"/>
  <c r="N81" i="62"/>
  <c r="P95" i="62"/>
  <c r="F146" i="62"/>
  <c r="G29" i="62"/>
  <c r="F172" i="62"/>
  <c r="G92" i="62"/>
  <c r="O115" i="62"/>
  <c r="N102" i="62"/>
  <c r="BE261" i="51"/>
  <c r="BF261" i="51" s="1"/>
  <c r="BG261" i="51" s="1"/>
  <c r="BE210" i="51"/>
  <c r="BF210" i="51" s="1"/>
  <c r="BG210" i="51" s="1"/>
  <c r="BE132" i="51"/>
  <c r="BF132" i="51" s="1"/>
  <c r="BG132" i="51" s="1"/>
  <c r="BE297" i="51"/>
  <c r="BF297" i="51" s="1"/>
  <c r="BG297" i="51" s="1"/>
  <c r="BE240" i="51"/>
  <c r="BF240" i="51" s="1"/>
  <c r="BG240" i="51" s="1"/>
  <c r="BE280" i="51"/>
  <c r="BF280" i="51" s="1"/>
  <c r="BG280" i="51" s="1"/>
  <c r="BE20" i="51"/>
  <c r="BF20" i="51" s="1"/>
  <c r="BG20" i="51" s="1"/>
  <c r="BE82" i="51"/>
  <c r="BF82" i="51" s="1"/>
  <c r="BG82" i="51" s="1"/>
  <c r="BE116" i="51"/>
  <c r="BF116" i="51" s="1"/>
  <c r="BG116" i="51" s="1"/>
  <c r="BE305" i="51"/>
  <c r="BF305" i="51" s="1"/>
  <c r="BG305" i="51" s="1"/>
  <c r="BE286" i="51"/>
  <c r="BF286" i="51" s="1"/>
  <c r="BG286" i="51" s="1"/>
  <c r="BE248" i="51"/>
  <c r="BF248" i="51" s="1"/>
  <c r="BG248" i="51" s="1"/>
  <c r="BE158" i="51"/>
  <c r="BF158" i="51" s="1"/>
  <c r="BG158" i="51" s="1"/>
  <c r="BE8" i="51"/>
  <c r="BF8" i="51" s="1"/>
  <c r="BG8" i="51" s="1"/>
  <c r="BE36" i="51"/>
  <c r="BF36" i="51" s="1"/>
  <c r="BG36" i="51" s="1"/>
  <c r="BE193" i="51"/>
  <c r="BF193" i="51" s="1"/>
  <c r="BG193" i="51" s="1"/>
  <c r="BE142" i="51"/>
  <c r="BF142" i="51" s="1"/>
  <c r="BG142" i="51" s="1"/>
  <c r="BE239" i="51"/>
  <c r="BF239" i="51" s="1"/>
  <c r="BG239" i="51" s="1"/>
  <c r="BE225" i="51"/>
  <c r="BF225" i="51" s="1"/>
  <c r="BG225" i="51" s="1"/>
  <c r="BE163" i="51"/>
  <c r="BF163" i="51" s="1"/>
  <c r="BG163" i="51" s="1"/>
  <c r="BE299" i="51"/>
  <c r="BF299" i="51" s="1"/>
  <c r="BG299" i="51" s="1"/>
  <c r="BE314" i="51"/>
  <c r="BF314" i="51" s="1"/>
  <c r="BG314" i="51" s="1"/>
  <c r="BE187" i="51"/>
  <c r="BF187" i="51" s="1"/>
  <c r="BG187" i="51" s="1"/>
  <c r="BE33" i="51"/>
  <c r="BF33" i="51" s="1"/>
  <c r="BG33" i="51" s="1"/>
  <c r="BE58" i="51"/>
  <c r="BF58" i="51" s="1"/>
  <c r="BG58" i="51" s="1"/>
  <c r="BE32" i="51"/>
  <c r="BF32" i="51" s="1"/>
  <c r="BG32" i="51" s="1"/>
  <c r="BE284" i="51"/>
  <c r="BF284" i="51" s="1"/>
  <c r="BG284" i="51" s="1"/>
  <c r="BE219" i="51"/>
  <c r="BF219" i="51" s="1"/>
  <c r="BG219" i="51" s="1"/>
  <c r="BE52" i="51"/>
  <c r="BF52" i="51" s="1"/>
  <c r="BG52" i="51" s="1"/>
  <c r="BE106" i="51"/>
  <c r="BF106" i="51" s="1"/>
  <c r="BG106" i="51" s="1"/>
  <c r="BE255" i="51"/>
  <c r="BF255" i="51" s="1"/>
  <c r="BG255" i="51" s="1"/>
  <c r="BE283" i="51"/>
  <c r="BF283" i="51" s="1"/>
  <c r="BG283" i="51" s="1"/>
  <c r="BE73" i="51"/>
  <c r="BF73" i="51" s="1"/>
  <c r="BG73" i="51" s="1"/>
  <c r="BE15" i="51"/>
  <c r="BF15" i="51" s="1"/>
  <c r="BG15" i="51" s="1"/>
  <c r="BE201" i="51"/>
  <c r="BF201" i="51" s="1"/>
  <c r="BG201" i="51" s="1"/>
  <c r="BE241" i="51"/>
  <c r="BF241" i="51" s="1"/>
  <c r="BG241" i="51" s="1"/>
  <c r="BE251" i="51"/>
  <c r="BF251" i="51" s="1"/>
  <c r="BG251" i="51" s="1"/>
  <c r="BE94" i="51"/>
  <c r="BF94" i="51" s="1"/>
  <c r="BG94" i="51" s="1"/>
  <c r="BE204" i="51"/>
  <c r="BF204" i="51" s="1"/>
  <c r="BG204" i="51" s="1"/>
  <c r="BE101" i="51"/>
  <c r="BF101" i="51" s="1"/>
  <c r="BG101" i="51" s="1"/>
  <c r="BE271" i="51"/>
  <c r="BF271" i="51" s="1"/>
  <c r="BG271" i="51" s="1"/>
  <c r="BE124" i="51"/>
  <c r="BF124" i="51" s="1"/>
  <c r="BG124" i="51" s="1"/>
  <c r="BE72" i="51"/>
  <c r="BF72" i="51" s="1"/>
  <c r="BG72" i="51" s="1"/>
  <c r="BE281" i="51"/>
  <c r="BF281" i="51" s="1"/>
  <c r="BG281" i="51" s="1"/>
  <c r="BE112" i="51"/>
  <c r="BF112" i="51" s="1"/>
  <c r="BG112" i="51" s="1"/>
  <c r="BE56" i="51"/>
  <c r="BF56" i="51" s="1"/>
  <c r="BG56" i="51" s="1"/>
  <c r="BE266" i="51"/>
  <c r="BF266" i="51" s="1"/>
  <c r="BG266" i="51" s="1"/>
  <c r="BE228" i="51"/>
  <c r="BF228" i="51" s="1"/>
  <c r="BG228" i="51" s="1"/>
  <c r="BE141" i="51"/>
  <c r="BF141" i="51" s="1"/>
  <c r="BG141" i="51" s="1"/>
  <c r="BE249" i="51"/>
  <c r="BF249" i="51" s="1"/>
  <c r="BG249" i="51" s="1"/>
  <c r="BE45" i="51"/>
  <c r="BF45" i="51" s="1"/>
  <c r="BG45" i="51" s="1"/>
  <c r="BE159" i="51"/>
  <c r="BF159" i="51" s="1"/>
  <c r="BG159" i="51" s="1"/>
  <c r="BE12" i="51"/>
  <c r="BF12" i="51" s="1"/>
  <c r="BG12" i="51" s="1"/>
  <c r="BE147" i="51"/>
  <c r="BF147" i="51" s="1"/>
  <c r="BG147" i="51" s="1"/>
  <c r="BE98" i="51"/>
  <c r="BF98" i="51" s="1"/>
  <c r="BG98" i="51" s="1"/>
  <c r="BE186" i="51"/>
  <c r="BF186" i="51" s="1"/>
  <c r="BG186" i="51" s="1"/>
  <c r="BE170" i="51"/>
  <c r="BF170" i="51" s="1"/>
  <c r="BG170" i="51" s="1"/>
  <c r="BE89" i="51"/>
  <c r="BF89" i="51" s="1"/>
  <c r="BG89" i="51" s="1"/>
  <c r="BE168" i="51"/>
  <c r="BF168" i="51" s="1"/>
  <c r="BG168" i="51" s="1"/>
  <c r="BE65" i="51"/>
  <c r="BF65" i="51" s="1"/>
  <c r="BG65" i="51" s="1"/>
  <c r="BE119" i="51"/>
  <c r="BF119" i="51" s="1"/>
  <c r="BG119" i="51" s="1"/>
  <c r="BE165" i="51"/>
  <c r="BF165" i="51" s="1"/>
  <c r="BG165" i="51" s="1"/>
  <c r="BE74" i="51"/>
  <c r="BF74" i="51" s="1"/>
  <c r="BG74" i="51" s="1"/>
  <c r="BE235" i="51"/>
  <c r="BF235" i="51" s="1"/>
  <c r="BG235" i="51" s="1"/>
  <c r="BE99" i="51"/>
  <c r="BF99" i="51" s="1"/>
  <c r="BG99" i="51" s="1"/>
  <c r="BE263" i="51"/>
  <c r="BF263" i="51" s="1"/>
  <c r="BG263" i="51" s="1"/>
  <c r="BE222" i="51"/>
  <c r="BF222" i="51" s="1"/>
  <c r="BG222" i="51" s="1"/>
  <c r="BE57" i="51"/>
  <c r="BF57" i="51" s="1"/>
  <c r="BG57" i="51" s="1"/>
  <c r="BE39" i="51"/>
  <c r="BF39" i="51" s="1"/>
  <c r="BG39" i="51" s="1"/>
  <c r="BE135" i="51"/>
  <c r="BF135" i="51" s="1"/>
  <c r="BG135" i="51" s="1"/>
  <c r="BE218" i="51"/>
  <c r="BF218" i="51" s="1"/>
  <c r="BG218" i="51" s="1"/>
  <c r="BE90" i="51"/>
  <c r="BF90" i="51" s="1"/>
  <c r="BG90" i="51" s="1"/>
  <c r="BE85" i="51"/>
  <c r="BF85" i="51" s="1"/>
  <c r="BG85" i="51" s="1"/>
  <c r="BE209" i="51"/>
  <c r="BF209" i="51" s="1"/>
  <c r="BG209" i="51" s="1"/>
  <c r="BE199" i="51"/>
  <c r="BF199" i="51" s="1"/>
  <c r="BG199" i="51" s="1"/>
  <c r="BE134" i="51"/>
  <c r="BF134" i="51" s="1"/>
  <c r="BG134" i="51" s="1"/>
  <c r="BE27" i="51"/>
  <c r="BF27" i="51" s="1"/>
  <c r="BG27" i="51" s="1"/>
  <c r="BE253" i="51"/>
  <c r="BF253" i="51" s="1"/>
  <c r="BG253" i="51" s="1"/>
  <c r="BE93" i="51"/>
  <c r="BF93" i="51" s="1"/>
  <c r="BG93" i="51" s="1"/>
  <c r="BE55" i="51"/>
  <c r="BF55" i="51" s="1"/>
  <c r="BG55" i="51" s="1"/>
  <c r="BE259" i="51"/>
  <c r="BF259" i="51" s="1"/>
  <c r="BG259" i="51" s="1"/>
  <c r="BE176" i="51"/>
  <c r="BF176" i="51" s="1"/>
  <c r="BG176" i="51" s="1"/>
  <c r="BE49" i="51"/>
  <c r="BF49" i="51" s="1"/>
  <c r="BG49" i="51" s="1"/>
  <c r="BE60" i="51"/>
  <c r="BF60" i="51" s="1"/>
  <c r="BG60" i="51" s="1"/>
  <c r="BE182" i="51"/>
  <c r="BF182" i="51" s="1"/>
  <c r="BG182" i="51" s="1"/>
  <c r="BE115" i="51"/>
  <c r="BF115" i="51" s="1"/>
  <c r="BG115" i="51" s="1"/>
  <c r="BE190" i="51"/>
  <c r="BF190" i="51" s="1"/>
  <c r="BG190" i="51" s="1"/>
  <c r="BE214" i="51"/>
  <c r="BF214" i="51" s="1"/>
  <c r="BG214" i="51" s="1"/>
  <c r="BE254" i="51"/>
  <c r="BF254" i="51" s="1"/>
  <c r="BG254" i="51" s="1"/>
  <c r="BE133" i="51"/>
  <c r="BF133" i="51" s="1"/>
  <c r="BG133" i="51" s="1"/>
  <c r="BE236" i="51"/>
  <c r="BF236" i="51" s="1"/>
  <c r="BG236" i="51" s="1"/>
  <c r="BE171" i="51"/>
  <c r="BF171" i="51" s="1"/>
  <c r="BG171" i="51" s="1"/>
  <c r="BE137" i="51"/>
  <c r="BF137" i="51" s="1"/>
  <c r="BG137" i="51" s="1"/>
  <c r="BE105" i="51"/>
  <c r="BF105" i="51" s="1"/>
  <c r="BG105" i="51" s="1"/>
  <c r="BE125" i="51"/>
  <c r="BF125" i="51" s="1"/>
  <c r="BG125" i="51" s="1"/>
  <c r="BE143" i="51"/>
  <c r="BF143" i="51" s="1"/>
  <c r="BG143" i="51" s="1"/>
  <c r="BE18" i="51"/>
  <c r="BF18" i="51" s="1"/>
  <c r="BG18" i="51" s="1"/>
  <c r="BE226" i="51"/>
  <c r="BF226" i="51" s="1"/>
  <c r="BG226" i="51" s="1"/>
  <c r="BE161" i="51"/>
  <c r="BF161" i="51" s="1"/>
  <c r="BG161" i="51" s="1"/>
  <c r="BE59" i="51"/>
  <c r="BF59" i="51" s="1"/>
  <c r="BG59" i="51" s="1"/>
  <c r="BE96" i="51"/>
  <c r="BF96" i="51" s="1"/>
  <c r="BG96" i="51" s="1"/>
  <c r="BE154" i="51"/>
  <c r="BF154" i="51" s="1"/>
  <c r="BG154" i="51" s="1"/>
  <c r="BF42" i="51"/>
  <c r="BG42" i="51" s="1"/>
  <c r="BE111" i="51"/>
  <c r="BF111" i="51" s="1"/>
  <c r="BG111" i="51" s="1"/>
  <c r="BE25" i="51"/>
  <c r="BF25" i="51" s="1"/>
  <c r="BG25" i="51" s="1"/>
  <c r="BE300" i="51"/>
  <c r="BF300" i="51" s="1"/>
  <c r="BG300" i="51" s="1"/>
  <c r="BE84" i="51"/>
  <c r="BF84" i="51" s="1"/>
  <c r="BG84" i="51" s="1"/>
  <c r="BE38" i="51"/>
  <c r="BF38" i="51" s="1"/>
  <c r="BG38" i="51" s="1"/>
  <c r="BE47" i="51"/>
  <c r="BF47" i="51" s="1"/>
  <c r="BG47" i="51" s="1"/>
  <c r="BE40" i="51"/>
  <c r="BF40" i="51" s="1"/>
  <c r="BG40" i="51" s="1"/>
  <c r="BE205" i="51"/>
  <c r="BF205" i="51" s="1"/>
  <c r="BG205" i="51" s="1"/>
  <c r="BE302" i="51"/>
  <c r="BF302" i="51" s="1"/>
  <c r="BG302" i="51" s="1"/>
  <c r="BE151" i="51"/>
  <c r="BF151" i="51" s="1"/>
  <c r="BG151" i="51" s="1"/>
  <c r="BE174" i="51"/>
  <c r="BF174" i="51" s="1"/>
  <c r="BG174" i="51" s="1"/>
  <c r="BE130" i="51"/>
  <c r="BF130" i="51" s="1"/>
  <c r="BG130" i="51" s="1"/>
  <c r="BE306" i="51"/>
  <c r="BF306" i="51" s="1"/>
  <c r="BG306" i="51" s="1"/>
  <c r="BE185" i="51"/>
  <c r="BF185" i="51" s="1"/>
  <c r="BG185" i="51" s="1"/>
  <c r="BE41" i="51"/>
  <c r="BF41" i="51" s="1"/>
  <c r="BG41" i="51" s="1"/>
  <c r="BE252" i="51"/>
  <c r="BF252" i="51" s="1"/>
  <c r="BG252" i="51" s="1"/>
  <c r="BE108" i="51"/>
  <c r="BF108" i="51" s="1"/>
  <c r="BG108" i="51" s="1"/>
  <c r="BE282" i="51"/>
  <c r="BF282" i="51" s="1"/>
  <c r="BG282" i="51" s="1"/>
  <c r="BE194" i="51"/>
  <c r="BF194" i="51" s="1"/>
  <c r="BG194" i="51" s="1"/>
  <c r="BE309" i="51"/>
  <c r="BF309" i="51" s="1"/>
  <c r="BG309" i="51" s="1"/>
  <c r="BE207" i="51"/>
  <c r="BF207" i="51" s="1"/>
  <c r="BG207" i="51" s="1"/>
  <c r="BE144" i="51"/>
  <c r="BF144" i="51" s="1"/>
  <c r="BG144" i="51" s="1"/>
  <c r="BE167" i="51"/>
  <c r="BF167" i="51" s="1"/>
  <c r="BG167" i="51" s="1"/>
  <c r="BE10" i="51"/>
  <c r="BF10" i="51" s="1"/>
  <c r="BG10" i="51" s="1"/>
  <c r="BE14" i="51"/>
  <c r="BF14" i="51" s="1"/>
  <c r="BG14" i="51" s="1"/>
  <c r="M125" i="62" l="1"/>
  <c r="M169" i="62"/>
  <c r="J207" i="63"/>
  <c r="J205" i="63" s="1"/>
  <c r="J208" i="63" s="1"/>
  <c r="H175" i="63"/>
  <c r="H174" i="63" s="1"/>
  <c r="H186" i="63" s="1"/>
  <c r="H79" i="63"/>
  <c r="H91" i="63" s="1"/>
  <c r="G169" i="62"/>
  <c r="G95" i="62"/>
  <c r="G172" i="62" s="1"/>
  <c r="Q92" i="62"/>
  <c r="O146" i="62"/>
  <c r="P29" i="62"/>
  <c r="N105" i="62"/>
  <c r="G143" i="62"/>
  <c r="G32" i="62"/>
  <c r="N156" i="62"/>
  <c r="N84" i="62"/>
  <c r="G156" i="62"/>
  <c r="G84" i="62"/>
  <c r="P112" i="62"/>
  <c r="BL174" i="51"/>
  <c r="BM174" i="51" s="1"/>
  <c r="BI143" i="51"/>
  <c r="BL143" i="51" s="1"/>
  <c r="BL134" i="51"/>
  <c r="BM134" i="51" s="1"/>
  <c r="BL65" i="51"/>
  <c r="BM65" i="51" s="1"/>
  <c r="BL159" i="51"/>
  <c r="BM159" i="51" s="1"/>
  <c r="BL281" i="51"/>
  <c r="BM281" i="51" s="1"/>
  <c r="BL283" i="51"/>
  <c r="BM283" i="51" s="1"/>
  <c r="BL219" i="51"/>
  <c r="BM219" i="51" s="1"/>
  <c r="BL163" i="51"/>
  <c r="BM163" i="51" s="1"/>
  <c r="BL248" i="51"/>
  <c r="BM248" i="51" s="1"/>
  <c r="BL82" i="51"/>
  <c r="BM82" i="51" s="1"/>
  <c r="BL297" i="51"/>
  <c r="BM297" i="51" s="1"/>
  <c r="BL144" i="51"/>
  <c r="BM144" i="51" s="1"/>
  <c r="BL282" i="51"/>
  <c r="BM282" i="51" s="1"/>
  <c r="BI185" i="51"/>
  <c r="BL185" i="51" s="1"/>
  <c r="BL151" i="51"/>
  <c r="BM151" i="51" s="1"/>
  <c r="BL47" i="51"/>
  <c r="BM47" i="51" s="1"/>
  <c r="BL25" i="51"/>
  <c r="BM25" i="51" s="1"/>
  <c r="BL41" i="51"/>
  <c r="BM41" i="51" s="1"/>
  <c r="BL59" i="51"/>
  <c r="BM59" i="51" s="1"/>
  <c r="BL55" i="51"/>
  <c r="BM55" i="51" s="1"/>
  <c r="BL235" i="51"/>
  <c r="BM235" i="51" s="1"/>
  <c r="BL33" i="51"/>
  <c r="BM33" i="51" s="1"/>
  <c r="BL207" i="51"/>
  <c r="BM207" i="51" s="1"/>
  <c r="BL38" i="51"/>
  <c r="BM38" i="51" s="1"/>
  <c r="BL194" i="51"/>
  <c r="BM194" i="51" s="1"/>
  <c r="BL300" i="51"/>
  <c r="BM300" i="51" s="1"/>
  <c r="BL60" i="51"/>
  <c r="BM60" i="51" s="1"/>
  <c r="BL90" i="51"/>
  <c r="BM90" i="51" s="1"/>
  <c r="BL186" i="51"/>
  <c r="BM186" i="51" s="1"/>
  <c r="BL228" i="51"/>
  <c r="BM228" i="51" s="1"/>
  <c r="BL241" i="51"/>
  <c r="BM241" i="51" s="1"/>
  <c r="BL193" i="51"/>
  <c r="BM193" i="51" s="1"/>
  <c r="BL108" i="51"/>
  <c r="BM108" i="51" s="1"/>
  <c r="BL306" i="51"/>
  <c r="BM306" i="51" s="1"/>
  <c r="BL302" i="51"/>
  <c r="BM302" i="51" s="1"/>
  <c r="BL111" i="51"/>
  <c r="BM111" i="51" s="1"/>
  <c r="BL309" i="51"/>
  <c r="BM309" i="51" s="1"/>
  <c r="BL252" i="51"/>
  <c r="BL130" i="51"/>
  <c r="BM130" i="51" s="1"/>
  <c r="BL84" i="51"/>
  <c r="BM84" i="51" s="1"/>
  <c r="BL171" i="51"/>
  <c r="BM171" i="51" s="1"/>
  <c r="BL42" i="51"/>
  <c r="BM42" i="51" s="1"/>
  <c r="BL14" i="51"/>
  <c r="BM14" i="51" s="1"/>
  <c r="BL22" i="51"/>
  <c r="BM22" i="51" s="1"/>
  <c r="BL30" i="51"/>
  <c r="BM30" i="51" s="1"/>
  <c r="BL63" i="51"/>
  <c r="BM63" i="51" s="1"/>
  <c r="BL72" i="51"/>
  <c r="BM72" i="51" s="1"/>
  <c r="BL93" i="51"/>
  <c r="BM93" i="51" s="1"/>
  <c r="BL114" i="51"/>
  <c r="BM114" i="51" s="1"/>
  <c r="BL122" i="51"/>
  <c r="BM122" i="51" s="1"/>
  <c r="BL81" i="51"/>
  <c r="BM81" i="51" s="1"/>
  <c r="BL142" i="51"/>
  <c r="BM142" i="51" s="1"/>
  <c r="BL249" i="51"/>
  <c r="BM249" i="51" s="1"/>
  <c r="BL152" i="51"/>
  <c r="BM152" i="51" s="1"/>
  <c r="BL197" i="51"/>
  <c r="BM197" i="51" s="1"/>
  <c r="BL247" i="51"/>
  <c r="BL205" i="51"/>
  <c r="BM205" i="51" s="1"/>
  <c r="BL74" i="51"/>
  <c r="BM74" i="51" s="1"/>
  <c r="BL137" i="51"/>
  <c r="BM137" i="51" s="1"/>
  <c r="BL181" i="51"/>
  <c r="BM181" i="51" s="1"/>
  <c r="BL239" i="51"/>
  <c r="BM239" i="51" s="1"/>
  <c r="BL214" i="51"/>
  <c r="BM214" i="51" s="1"/>
  <c r="BL273" i="51"/>
  <c r="BM273" i="51" s="1"/>
  <c r="BL270" i="51"/>
  <c r="BM270" i="51" s="1"/>
  <c r="BL290" i="51"/>
  <c r="BM290" i="51" s="1"/>
  <c r="BL299" i="51"/>
  <c r="BM299" i="51" s="1"/>
  <c r="BL307" i="51"/>
  <c r="BM307" i="51" s="1"/>
  <c r="BL44" i="51"/>
  <c r="BM44" i="51" s="1"/>
  <c r="BL56" i="51"/>
  <c r="BM56" i="51" s="1"/>
  <c r="BL8" i="51"/>
  <c r="BM8" i="51" s="1"/>
  <c r="BG7" i="51"/>
  <c r="BL46" i="51"/>
  <c r="BM46" i="51" s="1"/>
  <c r="BL58" i="51"/>
  <c r="BM58" i="51" s="1"/>
  <c r="BI11" i="51"/>
  <c r="BL15" i="51"/>
  <c r="BM15" i="51" s="1"/>
  <c r="BL19" i="51"/>
  <c r="BM19" i="51" s="1"/>
  <c r="BL23" i="51"/>
  <c r="BM23" i="51" s="1"/>
  <c r="BL27" i="51"/>
  <c r="BM27" i="51" s="1"/>
  <c r="BL31" i="51"/>
  <c r="BM31" i="51" s="1"/>
  <c r="BI35" i="51"/>
  <c r="BL35" i="51" s="1"/>
  <c r="BL54" i="51"/>
  <c r="BM54" i="51" s="1"/>
  <c r="BL64" i="51"/>
  <c r="BM64" i="51" s="1"/>
  <c r="BL69" i="51"/>
  <c r="BM69" i="51" s="1"/>
  <c r="BL73" i="51"/>
  <c r="BL86" i="51"/>
  <c r="BM86" i="51" s="1"/>
  <c r="BL100" i="51"/>
  <c r="BM100" i="51" s="1"/>
  <c r="BL107" i="51"/>
  <c r="BM107" i="51" s="1"/>
  <c r="BL115" i="51"/>
  <c r="BM115" i="51" s="1"/>
  <c r="BL119" i="51"/>
  <c r="BM119" i="51" s="1"/>
  <c r="BL123" i="51"/>
  <c r="BM123" i="51" s="1"/>
  <c r="BL149" i="51"/>
  <c r="BM149" i="51" s="1"/>
  <c r="BL161" i="51"/>
  <c r="BM161" i="51" s="1"/>
  <c r="BL129" i="51"/>
  <c r="BM129" i="51" s="1"/>
  <c r="BL133" i="51"/>
  <c r="BM133" i="51" s="1"/>
  <c r="BL157" i="51"/>
  <c r="BM157" i="51" s="1"/>
  <c r="BL154" i="51"/>
  <c r="BM154" i="51" s="1"/>
  <c r="BL173" i="51"/>
  <c r="BM173" i="51" s="1"/>
  <c r="BL278" i="51"/>
  <c r="BM278" i="51" s="1"/>
  <c r="BI141" i="51"/>
  <c r="BL156" i="51"/>
  <c r="BM156" i="51" s="1"/>
  <c r="BL172" i="51"/>
  <c r="BM172" i="51" s="1"/>
  <c r="BL204" i="51"/>
  <c r="BM204" i="51" s="1"/>
  <c r="BL198" i="51"/>
  <c r="BM198" i="51" s="1"/>
  <c r="BL210" i="51"/>
  <c r="BM210" i="51" s="1"/>
  <c r="BI315" i="51"/>
  <c r="BL315" i="51" s="1"/>
  <c r="BL258" i="51"/>
  <c r="BM258" i="51" s="1"/>
  <c r="BL222" i="51"/>
  <c r="BM222" i="51" s="1"/>
  <c r="BL262" i="51"/>
  <c r="BM262" i="51" s="1"/>
  <c r="BL192" i="51"/>
  <c r="BM192" i="51" s="1"/>
  <c r="BL211" i="51"/>
  <c r="BM211" i="51" s="1"/>
  <c r="BL244" i="51"/>
  <c r="BL279" i="51"/>
  <c r="BM279" i="51" s="1"/>
  <c r="BL75" i="51"/>
  <c r="BM75" i="51" s="1"/>
  <c r="BL79" i="51"/>
  <c r="BM79" i="51" s="1"/>
  <c r="BL97" i="51"/>
  <c r="BM97" i="51" s="1"/>
  <c r="BL138" i="51"/>
  <c r="BM138" i="51" s="1"/>
  <c r="BL178" i="51"/>
  <c r="BM178" i="51" s="1"/>
  <c r="BL182" i="51"/>
  <c r="BM182" i="51" s="1"/>
  <c r="BL203" i="51"/>
  <c r="BL227" i="51"/>
  <c r="BM227" i="51" s="1"/>
  <c r="BL274" i="51"/>
  <c r="BM274" i="51" s="1"/>
  <c r="BL199" i="51"/>
  <c r="BM199" i="51" s="1"/>
  <c r="BL215" i="51"/>
  <c r="BM215" i="51" s="1"/>
  <c r="BL237" i="51"/>
  <c r="BM237" i="51" s="1"/>
  <c r="BL256" i="51"/>
  <c r="BM256" i="51" s="1"/>
  <c r="BL275" i="51"/>
  <c r="BM275" i="51" s="1"/>
  <c r="BL261" i="51"/>
  <c r="BM261" i="51" s="1"/>
  <c r="BL254" i="51"/>
  <c r="BM254" i="51" s="1"/>
  <c r="BL276" i="51"/>
  <c r="BM276" i="51" s="1"/>
  <c r="BL287" i="51"/>
  <c r="BM287" i="51" s="1"/>
  <c r="BL291" i="51"/>
  <c r="BM291" i="51" s="1"/>
  <c r="BL295" i="51"/>
  <c r="BM295" i="51" s="1"/>
  <c r="BL312" i="51"/>
  <c r="BM312" i="51" s="1"/>
  <c r="BL304" i="51"/>
  <c r="BM304" i="51" s="1"/>
  <c r="BL308" i="51"/>
  <c r="BM308" i="51" s="1"/>
  <c r="BL50" i="51"/>
  <c r="BM50" i="51" s="1"/>
  <c r="BI57" i="51"/>
  <c r="BL18" i="51"/>
  <c r="BM18" i="51" s="1"/>
  <c r="BL34" i="51"/>
  <c r="BM34" i="51" s="1"/>
  <c r="BL68" i="51"/>
  <c r="BM68" i="51" s="1"/>
  <c r="BL89" i="51"/>
  <c r="BM89" i="51" s="1"/>
  <c r="BL110" i="51"/>
  <c r="BM110" i="51" s="1"/>
  <c r="BL126" i="51"/>
  <c r="BM126" i="51" s="1"/>
  <c r="BL132" i="51"/>
  <c r="BM132" i="51" s="1"/>
  <c r="BL168" i="51"/>
  <c r="BM168" i="51" s="1"/>
  <c r="BL195" i="51"/>
  <c r="BM195" i="51" s="1"/>
  <c r="BL191" i="51"/>
  <c r="BM191" i="51" s="1"/>
  <c r="BL272" i="51"/>
  <c r="BM272" i="51" s="1"/>
  <c r="BL238" i="51"/>
  <c r="BM238" i="51" s="1"/>
  <c r="BL234" i="51"/>
  <c r="BM234" i="51" s="1"/>
  <c r="BL78" i="51"/>
  <c r="BM78" i="51" s="1"/>
  <c r="BL170" i="51"/>
  <c r="BM170" i="51" s="1"/>
  <c r="BL255" i="51"/>
  <c r="BM255" i="51" s="1"/>
  <c r="BL218" i="51"/>
  <c r="BM218" i="51" s="1"/>
  <c r="BL257" i="51"/>
  <c r="BM257" i="51" s="1"/>
  <c r="BL314" i="51"/>
  <c r="BM314" i="51" s="1"/>
  <c r="BL45" i="51"/>
  <c r="BM45" i="51" s="1"/>
  <c r="BL9" i="51"/>
  <c r="BM9" i="51" s="1"/>
  <c r="BL12" i="51"/>
  <c r="BM12" i="51" s="1"/>
  <c r="BL16" i="51"/>
  <c r="BM16" i="51" s="1"/>
  <c r="BL24" i="51"/>
  <c r="BM24" i="51" s="1"/>
  <c r="BL32" i="51"/>
  <c r="BM32" i="51" s="1"/>
  <c r="BL36" i="51"/>
  <c r="BM36" i="51" s="1"/>
  <c r="BL70" i="51"/>
  <c r="BM70" i="51" s="1"/>
  <c r="BL83" i="51"/>
  <c r="BM83" i="51" s="1"/>
  <c r="BL87" i="51"/>
  <c r="BM87" i="51" s="1"/>
  <c r="BL91" i="51"/>
  <c r="BM91" i="51" s="1"/>
  <c r="BL104" i="51"/>
  <c r="BM104" i="51" s="1"/>
  <c r="BL112" i="51"/>
  <c r="BM112" i="51" s="1"/>
  <c r="BL116" i="51"/>
  <c r="BM116" i="51" s="1"/>
  <c r="BL120" i="51"/>
  <c r="BM120" i="51" s="1"/>
  <c r="BL124" i="51"/>
  <c r="BM124" i="51" s="1"/>
  <c r="BL187" i="51"/>
  <c r="BM187" i="51" s="1"/>
  <c r="BL102" i="51"/>
  <c r="BM102" i="51" s="1"/>
  <c r="BL158" i="51"/>
  <c r="BM158" i="51" s="1"/>
  <c r="BL190" i="51"/>
  <c r="BM190" i="51" s="1"/>
  <c r="BL147" i="51"/>
  <c r="BM147" i="51" s="1"/>
  <c r="BL160" i="51"/>
  <c r="BM160" i="51" s="1"/>
  <c r="BL206" i="51"/>
  <c r="BM206" i="51" s="1"/>
  <c r="BL230" i="51"/>
  <c r="BM230" i="51" s="1"/>
  <c r="BL201" i="51"/>
  <c r="BM201" i="51" s="1"/>
  <c r="BL221" i="51"/>
  <c r="BM221" i="51" s="1"/>
  <c r="BL245" i="51"/>
  <c r="BM245" i="51" s="1"/>
  <c r="BL263" i="51"/>
  <c r="BM263" i="51" s="1"/>
  <c r="BL232" i="51"/>
  <c r="BM232" i="51" s="1"/>
  <c r="BL310" i="51"/>
  <c r="BM310" i="51" s="1"/>
  <c r="BL196" i="51"/>
  <c r="BM196" i="51" s="1"/>
  <c r="BL311" i="51"/>
  <c r="BM311" i="51" s="1"/>
  <c r="BL76" i="51"/>
  <c r="BM76" i="51" s="1"/>
  <c r="BL94" i="51"/>
  <c r="BM94" i="51" s="1"/>
  <c r="BL98" i="51"/>
  <c r="BM98" i="51" s="1"/>
  <c r="BL139" i="51"/>
  <c r="BM139" i="51" s="1"/>
  <c r="BL175" i="51"/>
  <c r="BM175" i="51" s="1"/>
  <c r="BL179" i="51"/>
  <c r="BM179" i="51" s="1"/>
  <c r="BL183" i="51"/>
  <c r="BM183" i="51" s="1"/>
  <c r="BL231" i="51"/>
  <c r="BM231" i="51" s="1"/>
  <c r="BL251" i="51"/>
  <c r="BM251" i="51" s="1"/>
  <c r="BL165" i="51"/>
  <c r="BM165" i="51" s="1"/>
  <c r="BL200" i="51"/>
  <c r="BM200" i="51" s="1"/>
  <c r="BL216" i="51"/>
  <c r="BM216" i="51" s="1"/>
  <c r="BL242" i="51"/>
  <c r="BM242" i="51" s="1"/>
  <c r="BL259" i="51"/>
  <c r="BM259" i="51" s="1"/>
  <c r="BL271" i="51"/>
  <c r="BM271" i="51" s="1"/>
  <c r="BL268" i="51"/>
  <c r="BM268" i="51" s="1"/>
  <c r="BL280" i="51"/>
  <c r="BM280" i="51" s="1"/>
  <c r="BL284" i="51"/>
  <c r="BM284" i="51" s="1"/>
  <c r="BL288" i="51"/>
  <c r="BM288" i="51" s="1"/>
  <c r="BL292" i="51"/>
  <c r="BM292" i="51" s="1"/>
  <c r="BL296" i="51"/>
  <c r="BM296" i="51" s="1"/>
  <c r="BL301" i="51"/>
  <c r="BM301" i="51" s="1"/>
  <c r="BL305" i="51"/>
  <c r="BM305" i="51" s="1"/>
  <c r="BE7" i="51"/>
  <c r="BL40" i="51"/>
  <c r="BM40" i="51" s="1"/>
  <c r="BL39" i="51"/>
  <c r="BM39" i="51" s="1"/>
  <c r="BL10" i="51"/>
  <c r="BM10" i="51" s="1"/>
  <c r="BL220" i="51"/>
  <c r="BM220" i="51" s="1"/>
  <c r="BL26" i="51"/>
  <c r="BM26" i="51" s="1"/>
  <c r="BL53" i="51"/>
  <c r="BM53" i="51" s="1"/>
  <c r="BL85" i="51"/>
  <c r="BM85" i="51" s="1"/>
  <c r="BL106" i="51"/>
  <c r="BM106" i="51" s="1"/>
  <c r="BL118" i="51"/>
  <c r="BM118" i="51" s="1"/>
  <c r="BL101" i="51"/>
  <c r="BM101" i="51" s="1"/>
  <c r="BL128" i="51"/>
  <c r="BM128" i="51" s="1"/>
  <c r="BL150" i="51"/>
  <c r="BL155" i="51"/>
  <c r="BM155" i="51" s="1"/>
  <c r="BL169" i="51"/>
  <c r="BM169" i="51" s="1"/>
  <c r="BL225" i="51"/>
  <c r="BM225" i="51" s="1"/>
  <c r="BL212" i="51"/>
  <c r="BM212" i="51" s="1"/>
  <c r="BL188" i="51"/>
  <c r="BM188" i="51" s="1"/>
  <c r="BL267" i="51"/>
  <c r="BM267" i="51" s="1"/>
  <c r="BL96" i="51"/>
  <c r="BM96" i="51" s="1"/>
  <c r="BL177" i="51"/>
  <c r="BM177" i="51" s="1"/>
  <c r="BL223" i="51"/>
  <c r="BL167" i="51"/>
  <c r="BM167" i="51" s="1"/>
  <c r="BL250" i="51"/>
  <c r="BM250" i="51" s="1"/>
  <c r="BL253" i="51"/>
  <c r="BM253" i="51" s="1"/>
  <c r="BL286" i="51"/>
  <c r="BM286" i="51" s="1"/>
  <c r="BL294" i="51"/>
  <c r="BM294" i="51" s="1"/>
  <c r="BL303" i="51"/>
  <c r="BM303" i="51" s="1"/>
  <c r="BL103" i="51"/>
  <c r="BM103" i="51" s="1"/>
  <c r="BL67" i="51"/>
  <c r="BM67" i="51" s="1"/>
  <c r="BL51" i="51"/>
  <c r="BM51" i="51" s="1"/>
  <c r="BL61" i="51"/>
  <c r="BM61" i="51" s="1"/>
  <c r="BL20" i="51"/>
  <c r="BM20" i="51" s="1"/>
  <c r="BL28" i="51"/>
  <c r="BM28" i="51" s="1"/>
  <c r="BL49" i="51"/>
  <c r="BL43" i="51"/>
  <c r="BM43" i="51" s="1"/>
  <c r="BL48" i="51"/>
  <c r="BM48" i="51" s="1"/>
  <c r="BL52" i="51"/>
  <c r="BM52" i="51" s="1"/>
  <c r="BL153" i="51"/>
  <c r="BM153" i="51" s="1"/>
  <c r="BL13" i="51"/>
  <c r="BM13" i="51" s="1"/>
  <c r="BL99" i="51"/>
  <c r="BM99" i="51" s="1"/>
  <c r="BL17" i="51"/>
  <c r="BM17" i="51" s="1"/>
  <c r="BL21" i="51"/>
  <c r="BM21" i="51" s="1"/>
  <c r="BL29" i="51"/>
  <c r="BM29" i="51" s="1"/>
  <c r="BL37" i="51"/>
  <c r="BM37" i="51" s="1"/>
  <c r="BL62" i="51"/>
  <c r="BM62" i="51" s="1"/>
  <c r="BL145" i="51"/>
  <c r="BM145" i="51" s="1"/>
  <c r="BL71" i="51"/>
  <c r="BM71" i="51" s="1"/>
  <c r="BL88" i="51"/>
  <c r="BM88" i="51" s="1"/>
  <c r="BL92" i="51"/>
  <c r="BM92" i="51" s="1"/>
  <c r="BL105" i="51"/>
  <c r="BM105" i="51" s="1"/>
  <c r="BL109" i="51"/>
  <c r="BM109" i="51" s="1"/>
  <c r="BL113" i="51"/>
  <c r="BM113" i="51" s="1"/>
  <c r="BL117" i="51"/>
  <c r="BM117" i="51" s="1"/>
  <c r="BL121" i="51"/>
  <c r="BM121" i="51" s="1"/>
  <c r="BL125" i="51"/>
  <c r="BM125" i="51" s="1"/>
  <c r="BL80" i="51"/>
  <c r="BM80" i="51" s="1"/>
  <c r="BL66" i="51"/>
  <c r="BM66" i="51" s="1"/>
  <c r="BL127" i="51"/>
  <c r="BM127" i="51" s="1"/>
  <c r="BL131" i="51"/>
  <c r="BM131" i="51" s="1"/>
  <c r="BL135" i="51"/>
  <c r="BM135" i="51" s="1"/>
  <c r="BL148" i="51"/>
  <c r="BM148" i="51" s="1"/>
  <c r="BL162" i="51"/>
  <c r="BM162" i="51" s="1"/>
  <c r="BL226" i="51"/>
  <c r="BM226" i="51" s="1"/>
  <c r="BL189" i="51"/>
  <c r="BM189" i="51" s="1"/>
  <c r="BL146" i="51"/>
  <c r="BM146" i="51" s="1"/>
  <c r="BL164" i="51"/>
  <c r="BM164" i="51" s="1"/>
  <c r="BL209" i="51"/>
  <c r="BM209" i="51" s="1"/>
  <c r="BL240" i="51"/>
  <c r="BM240" i="51" s="1"/>
  <c r="BL224" i="51"/>
  <c r="BM224" i="51" s="1"/>
  <c r="BL260" i="51"/>
  <c r="BM260" i="51" s="1"/>
  <c r="BL243" i="51"/>
  <c r="BM243" i="51" s="1"/>
  <c r="BL208" i="51"/>
  <c r="BM208" i="51" s="1"/>
  <c r="BL233" i="51"/>
  <c r="BM233" i="51" s="1"/>
  <c r="BL202" i="51"/>
  <c r="BM202" i="51" s="1"/>
  <c r="BL229" i="51"/>
  <c r="BM229" i="51" s="1"/>
  <c r="BL265" i="51"/>
  <c r="BM265" i="51" s="1"/>
  <c r="BL266" i="51"/>
  <c r="BM266" i="51" s="1"/>
  <c r="BL77" i="51"/>
  <c r="BM77" i="51" s="1"/>
  <c r="BL95" i="51"/>
  <c r="BM95" i="51" s="1"/>
  <c r="BL136" i="51"/>
  <c r="BM136" i="51" s="1"/>
  <c r="BL140" i="51"/>
  <c r="BM140" i="51" s="1"/>
  <c r="BL176" i="51"/>
  <c r="BM176" i="51" s="1"/>
  <c r="BL180" i="51"/>
  <c r="BM180" i="51" s="1"/>
  <c r="BL184" i="51"/>
  <c r="BM184" i="51" s="1"/>
  <c r="BL166" i="51"/>
  <c r="BM166" i="51" s="1"/>
  <c r="BL213" i="51"/>
  <c r="BM213" i="51" s="1"/>
  <c r="BL217" i="51"/>
  <c r="BM217" i="51" s="1"/>
  <c r="BL246" i="51"/>
  <c r="BM246" i="51" s="1"/>
  <c r="BL264" i="51"/>
  <c r="BM264" i="51" s="1"/>
  <c r="BL236" i="51"/>
  <c r="BM236" i="51" s="1"/>
  <c r="BL277" i="51"/>
  <c r="BM277" i="51" s="1"/>
  <c r="BL269" i="51"/>
  <c r="BM269" i="51" s="1"/>
  <c r="BL285" i="51"/>
  <c r="BM285" i="51" s="1"/>
  <c r="BL289" i="51"/>
  <c r="BM289" i="51" s="1"/>
  <c r="BL293" i="51"/>
  <c r="BM293" i="51" s="1"/>
  <c r="BL313" i="51"/>
  <c r="BM313" i="51" s="1"/>
  <c r="BL298" i="51"/>
  <c r="BM298" i="51" s="1"/>
  <c r="N122" i="62" l="1"/>
  <c r="M172" i="62"/>
  <c r="K207" i="63"/>
  <c r="K205" i="63" s="1"/>
  <c r="K208" i="63" s="1"/>
  <c r="N159" i="62"/>
  <c r="O81" i="62"/>
  <c r="Q95" i="62"/>
  <c r="O102" i="62"/>
  <c r="G159" i="62"/>
  <c r="H81" i="62"/>
  <c r="G146" i="62"/>
  <c r="H29" i="62"/>
  <c r="P143" i="62"/>
  <c r="P32" i="62"/>
  <c r="BI7" i="51"/>
  <c r="BO7" i="51" s="1"/>
  <c r="BL141" i="51"/>
  <c r="BL11" i="51"/>
  <c r="BM7" i="51"/>
  <c r="BN250" i="51" s="1"/>
  <c r="BL57" i="51"/>
  <c r="BN156" i="51" l="1"/>
  <c r="BO156" i="51" s="1"/>
  <c r="BP156" i="51" s="1"/>
  <c r="BQ156" i="51" s="1"/>
  <c r="BN232" i="51"/>
  <c r="BO232" i="51" s="1"/>
  <c r="BP232" i="51" s="1"/>
  <c r="BQ232" i="51" s="1"/>
  <c r="BN62" i="51"/>
  <c r="BO62" i="51" s="1"/>
  <c r="BP62" i="51" s="1"/>
  <c r="BQ62" i="51" s="1"/>
  <c r="BN235" i="51"/>
  <c r="BO235" i="51" s="1"/>
  <c r="BP235" i="51" s="1"/>
  <c r="BQ235" i="51" s="1"/>
  <c r="BN242" i="51"/>
  <c r="BO242" i="51" s="1"/>
  <c r="BP242" i="51" s="1"/>
  <c r="BQ242" i="51" s="1"/>
  <c r="BN41" i="51"/>
  <c r="BO41" i="51" s="1"/>
  <c r="BP41" i="51" s="1"/>
  <c r="BQ41" i="51" s="1"/>
  <c r="BN241" i="51"/>
  <c r="BO241" i="51" s="1"/>
  <c r="BP241" i="51" s="1"/>
  <c r="BQ241" i="51" s="1"/>
  <c r="BN131" i="51"/>
  <c r="BO131" i="51" s="1"/>
  <c r="BP131" i="51" s="1"/>
  <c r="BQ131" i="51" s="1"/>
  <c r="BN15" i="51"/>
  <c r="BO15" i="51" s="1"/>
  <c r="BP15" i="51" s="1"/>
  <c r="BQ15" i="51" s="1"/>
  <c r="BN255" i="51"/>
  <c r="BO255" i="51" s="1"/>
  <c r="BP255" i="51" s="1"/>
  <c r="BQ255" i="51" s="1"/>
  <c r="BN127" i="51"/>
  <c r="BO127" i="51" s="1"/>
  <c r="BP127" i="51" s="1"/>
  <c r="BQ127" i="51" s="1"/>
  <c r="BN194" i="51"/>
  <c r="BO194" i="51" s="1"/>
  <c r="BP194" i="51" s="1"/>
  <c r="BQ194" i="51" s="1"/>
  <c r="BN58" i="51"/>
  <c r="BO58" i="51" s="1"/>
  <c r="BP58" i="51" s="1"/>
  <c r="BQ58" i="51" s="1"/>
  <c r="BN196" i="51"/>
  <c r="BO196" i="51" s="1"/>
  <c r="BP196" i="51" s="1"/>
  <c r="BQ196" i="51" s="1"/>
  <c r="BN71" i="51"/>
  <c r="BO71" i="51" s="1"/>
  <c r="BP71" i="51" s="1"/>
  <c r="BQ71" i="51" s="1"/>
  <c r="BN300" i="51"/>
  <c r="BO300" i="51" s="1"/>
  <c r="BP300" i="51" s="1"/>
  <c r="BQ300" i="51" s="1"/>
  <c r="BN224" i="51"/>
  <c r="BO224" i="51" s="1"/>
  <c r="BP224" i="51" s="1"/>
  <c r="BQ224" i="51" s="1"/>
  <c r="BN31" i="51"/>
  <c r="BO31" i="51" s="1"/>
  <c r="BP31" i="51" s="1"/>
  <c r="BQ31" i="51" s="1"/>
  <c r="BN45" i="51"/>
  <c r="BO45" i="51" s="1"/>
  <c r="BP45" i="51" s="1"/>
  <c r="BQ45" i="51" s="1"/>
  <c r="BN189" i="51"/>
  <c r="BO189" i="51" s="1"/>
  <c r="BP189" i="51" s="1"/>
  <c r="BQ189" i="51" s="1"/>
  <c r="BN178" i="51"/>
  <c r="BO178" i="51" s="1"/>
  <c r="BP178" i="51" s="1"/>
  <c r="BQ178" i="51" s="1"/>
  <c r="BN76" i="51"/>
  <c r="BO76" i="51" s="1"/>
  <c r="BP76" i="51" s="1"/>
  <c r="BQ76" i="51" s="1"/>
  <c r="BN225" i="51"/>
  <c r="BO225" i="51" s="1"/>
  <c r="BP225" i="51" s="1"/>
  <c r="BQ225" i="51" s="1"/>
  <c r="BL7" i="51"/>
  <c r="BN146" i="51"/>
  <c r="BO146" i="51" s="1"/>
  <c r="BP146" i="51" s="1"/>
  <c r="BQ146" i="51" s="1"/>
  <c r="BN283" i="51"/>
  <c r="BO283" i="51" s="1"/>
  <c r="BP283" i="51" s="1"/>
  <c r="BQ283" i="51" s="1"/>
  <c r="BN8" i="51"/>
  <c r="BO8" i="51" s="1"/>
  <c r="BP8" i="51" s="1"/>
  <c r="BN75" i="51"/>
  <c r="BO75" i="51" s="1"/>
  <c r="BP75" i="51" s="1"/>
  <c r="BQ75" i="51" s="1"/>
  <c r="BN19" i="51"/>
  <c r="BO19" i="51" s="1"/>
  <c r="BP19" i="51" s="1"/>
  <c r="BQ19" i="51" s="1"/>
  <c r="BN157" i="51"/>
  <c r="BO157" i="51" s="1"/>
  <c r="BP157" i="51" s="1"/>
  <c r="BQ157" i="51" s="1"/>
  <c r="BN26" i="51"/>
  <c r="BO26" i="51" s="1"/>
  <c r="BP26" i="51" s="1"/>
  <c r="BQ26" i="51" s="1"/>
  <c r="BN155" i="51"/>
  <c r="BO155" i="51" s="1"/>
  <c r="BP155" i="51" s="1"/>
  <c r="BQ155" i="51" s="1"/>
  <c r="BN291" i="51"/>
  <c r="BO291" i="51" s="1"/>
  <c r="BP291" i="51" s="1"/>
  <c r="BQ291" i="51" s="1"/>
  <c r="BN302" i="51"/>
  <c r="BO302" i="51" s="1"/>
  <c r="BP302" i="51" s="1"/>
  <c r="BQ302" i="51" s="1"/>
  <c r="BN227" i="51"/>
  <c r="BO227" i="51" s="1"/>
  <c r="BP227" i="51" s="1"/>
  <c r="BQ227" i="51" s="1"/>
  <c r="BN98" i="51"/>
  <c r="BO98" i="51" s="1"/>
  <c r="BP98" i="51" s="1"/>
  <c r="BQ98" i="51" s="1"/>
  <c r="BN181" i="51"/>
  <c r="BO181" i="51" s="1"/>
  <c r="BP181" i="51" s="1"/>
  <c r="BQ181" i="51" s="1"/>
  <c r="BN271" i="51"/>
  <c r="BO271" i="51" s="1"/>
  <c r="BP271" i="51" s="1"/>
  <c r="BQ271" i="51" s="1"/>
  <c r="BN82" i="51"/>
  <c r="BO82" i="51" s="1"/>
  <c r="BP82" i="51" s="1"/>
  <c r="BQ82" i="51" s="1"/>
  <c r="BN215" i="51"/>
  <c r="BO215" i="51" s="1"/>
  <c r="BP215" i="51" s="1"/>
  <c r="BQ215" i="51" s="1"/>
  <c r="BN182" i="51"/>
  <c r="BO182" i="51" s="1"/>
  <c r="BP182" i="51" s="1"/>
  <c r="BQ182" i="51" s="1"/>
  <c r="BN114" i="51"/>
  <c r="BO114" i="51" s="1"/>
  <c r="BP114" i="51" s="1"/>
  <c r="BQ114" i="51" s="1"/>
  <c r="BN197" i="51"/>
  <c r="BO197" i="51" s="1"/>
  <c r="BP197" i="51" s="1"/>
  <c r="BQ197" i="51" s="1"/>
  <c r="BN28" i="51"/>
  <c r="BO28" i="51" s="1"/>
  <c r="BP28" i="51" s="1"/>
  <c r="BQ28" i="51" s="1"/>
  <c r="BN164" i="51"/>
  <c r="BO164" i="51" s="1"/>
  <c r="BP164" i="51" s="1"/>
  <c r="BQ164" i="51" s="1"/>
  <c r="BN94" i="51"/>
  <c r="BO94" i="51" s="1"/>
  <c r="BP94" i="51" s="1"/>
  <c r="BQ94" i="51" s="1"/>
  <c r="BN72" i="51"/>
  <c r="BO72" i="51" s="1"/>
  <c r="BP72" i="51" s="1"/>
  <c r="BQ72" i="51" s="1"/>
  <c r="BN101" i="51"/>
  <c r="BO101" i="51" s="1"/>
  <c r="BP101" i="51" s="1"/>
  <c r="BQ101" i="51" s="1"/>
  <c r="BN299" i="51"/>
  <c r="BO299" i="51" s="1"/>
  <c r="BP299" i="51" s="1"/>
  <c r="BQ299" i="51" s="1"/>
  <c r="BN129" i="51"/>
  <c r="BO129" i="51" s="1"/>
  <c r="BP129" i="51" s="1"/>
  <c r="BQ129" i="51" s="1"/>
  <c r="BN83" i="51"/>
  <c r="BO83" i="51" s="1"/>
  <c r="BP83" i="51" s="1"/>
  <c r="BQ83" i="51" s="1"/>
  <c r="BN108" i="51"/>
  <c r="BO108" i="51" s="1"/>
  <c r="BP108" i="51" s="1"/>
  <c r="BQ108" i="51" s="1"/>
  <c r="BN95" i="51"/>
  <c r="BO95" i="51" s="1"/>
  <c r="BP95" i="51" s="1"/>
  <c r="BQ95" i="51" s="1"/>
  <c r="BN91" i="51"/>
  <c r="BO91" i="51" s="1"/>
  <c r="BP91" i="51" s="1"/>
  <c r="BQ91" i="51" s="1"/>
  <c r="BN130" i="51"/>
  <c r="BO130" i="51" s="1"/>
  <c r="BP130" i="51" s="1"/>
  <c r="BQ130" i="51" s="1"/>
  <c r="BN277" i="51"/>
  <c r="BO277" i="51" s="1"/>
  <c r="BP277" i="51" s="1"/>
  <c r="BQ277" i="51" s="1"/>
  <c r="BN60" i="51"/>
  <c r="BO60" i="51" s="1"/>
  <c r="BP60" i="51" s="1"/>
  <c r="BQ60" i="51" s="1"/>
  <c r="BN256" i="51"/>
  <c r="BO256" i="51" s="1"/>
  <c r="BP256" i="51" s="1"/>
  <c r="BQ256" i="51" s="1"/>
  <c r="BN298" i="51"/>
  <c r="BO298" i="51" s="1"/>
  <c r="BP298" i="51" s="1"/>
  <c r="BQ298" i="51" s="1"/>
  <c r="BN65" i="51"/>
  <c r="BO65" i="51" s="1"/>
  <c r="BP65" i="51" s="1"/>
  <c r="BQ65" i="51" s="1"/>
  <c r="BN257" i="51"/>
  <c r="BO257" i="51" s="1"/>
  <c r="BP257" i="51" s="1"/>
  <c r="BQ257" i="51" s="1"/>
  <c r="BN297" i="51"/>
  <c r="BO297" i="51" s="1"/>
  <c r="BP297" i="51" s="1"/>
  <c r="BQ297" i="51" s="1"/>
  <c r="BN205" i="51"/>
  <c r="BO205" i="51" s="1"/>
  <c r="BP205" i="51" s="1"/>
  <c r="BQ205" i="51" s="1"/>
  <c r="BN112" i="51"/>
  <c r="BO112" i="51" s="1"/>
  <c r="BP112" i="51" s="1"/>
  <c r="BQ112" i="51" s="1"/>
  <c r="BN52" i="51"/>
  <c r="BO52" i="51" s="1"/>
  <c r="BP52" i="51" s="1"/>
  <c r="BQ52" i="51" s="1"/>
  <c r="BN240" i="51"/>
  <c r="BO240" i="51" s="1"/>
  <c r="BP240" i="51" s="1"/>
  <c r="BQ240" i="51" s="1"/>
  <c r="BN301" i="51"/>
  <c r="BO301" i="51" s="1"/>
  <c r="BP301" i="51" s="1"/>
  <c r="BQ301" i="51" s="1"/>
  <c r="BN137" i="51"/>
  <c r="BO137" i="51" s="1"/>
  <c r="BP137" i="51" s="1"/>
  <c r="BQ137" i="51" s="1"/>
  <c r="BN89" i="51"/>
  <c r="BO89" i="51" s="1"/>
  <c r="BP89" i="51" s="1"/>
  <c r="BQ89" i="51" s="1"/>
  <c r="BN169" i="51"/>
  <c r="BO169" i="51" s="1"/>
  <c r="BP169" i="51" s="1"/>
  <c r="BQ169" i="51" s="1"/>
  <c r="N125" i="62"/>
  <c r="N169" i="62"/>
  <c r="BN262" i="51"/>
  <c r="BO262" i="51" s="1"/>
  <c r="BP262" i="51" s="1"/>
  <c r="BQ262" i="51" s="1"/>
  <c r="BN104" i="51"/>
  <c r="BO104" i="51" s="1"/>
  <c r="BP104" i="51" s="1"/>
  <c r="BQ104" i="51" s="1"/>
  <c r="BN212" i="51"/>
  <c r="BO212" i="51" s="1"/>
  <c r="BP212" i="51" s="1"/>
  <c r="BQ212" i="51" s="1"/>
  <c r="BN265" i="51"/>
  <c r="BO265" i="51" s="1"/>
  <c r="BP265" i="51" s="1"/>
  <c r="BQ265" i="51" s="1"/>
  <c r="BN233" i="51"/>
  <c r="BO233" i="51" s="1"/>
  <c r="BP233" i="51" s="1"/>
  <c r="BQ233" i="51" s="1"/>
  <c r="BN243" i="51"/>
  <c r="BO243" i="51" s="1"/>
  <c r="BP243" i="51" s="1"/>
  <c r="BQ243" i="51" s="1"/>
  <c r="BN199" i="51"/>
  <c r="BO199" i="51" s="1"/>
  <c r="BP199" i="51" s="1"/>
  <c r="BQ199" i="51" s="1"/>
  <c r="BN190" i="51"/>
  <c r="BO190" i="51" s="1"/>
  <c r="BP190" i="51" s="1"/>
  <c r="BQ190" i="51" s="1"/>
  <c r="BN51" i="51"/>
  <c r="BO51" i="51" s="1"/>
  <c r="BP51" i="51" s="1"/>
  <c r="BQ51" i="51" s="1"/>
  <c r="BN236" i="51"/>
  <c r="BO236" i="51" s="1"/>
  <c r="BP236" i="51" s="1"/>
  <c r="BQ236" i="51" s="1"/>
  <c r="BN276" i="51"/>
  <c r="BO276" i="51" s="1"/>
  <c r="BP276" i="51" s="1"/>
  <c r="BQ276" i="51" s="1"/>
  <c r="BN81" i="51"/>
  <c r="BO81" i="51" s="1"/>
  <c r="BP81" i="51" s="1"/>
  <c r="BQ81" i="51" s="1"/>
  <c r="BN64" i="51"/>
  <c r="BO64" i="51" s="1"/>
  <c r="BP64" i="51" s="1"/>
  <c r="BQ64" i="51" s="1"/>
  <c r="BN97" i="51"/>
  <c r="BO97" i="51" s="1"/>
  <c r="BP97" i="51" s="1"/>
  <c r="BQ97" i="51" s="1"/>
  <c r="BN126" i="51"/>
  <c r="BO126" i="51" s="1"/>
  <c r="BP126" i="51" s="1"/>
  <c r="BQ126" i="51" s="1"/>
  <c r="BN120" i="51"/>
  <c r="BO120" i="51" s="1"/>
  <c r="BP120" i="51" s="1"/>
  <c r="BQ120" i="51" s="1"/>
  <c r="BN175" i="51"/>
  <c r="BO175" i="51" s="1"/>
  <c r="BP175" i="51" s="1"/>
  <c r="BQ175" i="51" s="1"/>
  <c r="BN288" i="51"/>
  <c r="BO288" i="51" s="1"/>
  <c r="BP288" i="51" s="1"/>
  <c r="BQ288" i="51" s="1"/>
  <c r="BN96" i="51"/>
  <c r="BO96" i="51" s="1"/>
  <c r="BP96" i="51" s="1"/>
  <c r="BQ96" i="51" s="1"/>
  <c r="BN13" i="51"/>
  <c r="BO13" i="51" s="1"/>
  <c r="BP13" i="51" s="1"/>
  <c r="BQ13" i="51" s="1"/>
  <c r="BN66" i="51"/>
  <c r="BO66" i="51" s="1"/>
  <c r="BP66" i="51" s="1"/>
  <c r="BQ66" i="51" s="1"/>
  <c r="BN140" i="51"/>
  <c r="BO140" i="51" s="1"/>
  <c r="BP140" i="51" s="1"/>
  <c r="BQ140" i="51" s="1"/>
  <c r="BN113" i="51"/>
  <c r="BO113" i="51" s="1"/>
  <c r="BP113" i="51" s="1"/>
  <c r="BQ113" i="51" s="1"/>
  <c r="BN246" i="51"/>
  <c r="BO246" i="51" s="1"/>
  <c r="BP246" i="51" s="1"/>
  <c r="BQ246" i="51" s="1"/>
  <c r="BN84" i="51"/>
  <c r="BO84" i="51" s="1"/>
  <c r="BP84" i="51" s="1"/>
  <c r="BQ84" i="51" s="1"/>
  <c r="BN115" i="51"/>
  <c r="BO115" i="51" s="1"/>
  <c r="BP115" i="51" s="1"/>
  <c r="BQ115" i="51" s="1"/>
  <c r="BN272" i="51"/>
  <c r="BO272" i="51" s="1"/>
  <c r="BP272" i="51" s="1"/>
  <c r="BQ272" i="51" s="1"/>
  <c r="BN118" i="51"/>
  <c r="BO118" i="51" s="1"/>
  <c r="BP118" i="51" s="1"/>
  <c r="BQ118" i="51" s="1"/>
  <c r="BN229" i="51"/>
  <c r="BO229" i="51" s="1"/>
  <c r="BP229" i="51" s="1"/>
  <c r="BQ229" i="51" s="1"/>
  <c r="BN25" i="51"/>
  <c r="BO25" i="51" s="1"/>
  <c r="BP25" i="51" s="1"/>
  <c r="BQ25" i="51" s="1"/>
  <c r="BN171" i="51"/>
  <c r="BO171" i="51" s="1"/>
  <c r="BP171" i="51" s="1"/>
  <c r="BQ171" i="51" s="1"/>
  <c r="BN273" i="51"/>
  <c r="BO273" i="51" s="1"/>
  <c r="BP273" i="51" s="1"/>
  <c r="BQ273" i="51" s="1"/>
  <c r="BN107" i="51"/>
  <c r="BO107" i="51" s="1"/>
  <c r="BP107" i="51" s="1"/>
  <c r="BQ107" i="51" s="1"/>
  <c r="BN204" i="51"/>
  <c r="BO204" i="51" s="1"/>
  <c r="BP204" i="51" s="1"/>
  <c r="BQ204" i="51" s="1"/>
  <c r="BN287" i="51"/>
  <c r="BO287" i="51" s="1"/>
  <c r="BP287" i="51" s="1"/>
  <c r="BQ287" i="51" s="1"/>
  <c r="BN168" i="51"/>
  <c r="BO168" i="51" s="1"/>
  <c r="BP168" i="51" s="1"/>
  <c r="BQ168" i="51" s="1"/>
  <c r="BN12" i="51"/>
  <c r="BO12" i="51" s="1"/>
  <c r="BP12" i="51" s="1"/>
  <c r="BQ12" i="51" s="1"/>
  <c r="BN158" i="51"/>
  <c r="BO158" i="51" s="1"/>
  <c r="BP158" i="51" s="1"/>
  <c r="BQ158" i="51" s="1"/>
  <c r="BN305" i="51"/>
  <c r="BO305" i="51" s="1"/>
  <c r="BP305" i="51" s="1"/>
  <c r="BQ305" i="51" s="1"/>
  <c r="BN294" i="51"/>
  <c r="BO294" i="51" s="1"/>
  <c r="BP294" i="51" s="1"/>
  <c r="BQ294" i="51" s="1"/>
  <c r="BN281" i="51"/>
  <c r="BO281" i="51" s="1"/>
  <c r="BP281" i="51" s="1"/>
  <c r="BQ281" i="51" s="1"/>
  <c r="BN278" i="51"/>
  <c r="BO278" i="51" s="1"/>
  <c r="BP278" i="51" s="1"/>
  <c r="BQ278" i="51" s="1"/>
  <c r="BN163" i="51"/>
  <c r="BO163" i="51" s="1"/>
  <c r="BP163" i="51" s="1"/>
  <c r="BQ163" i="51" s="1"/>
  <c r="BN54" i="51"/>
  <c r="BO54" i="51" s="1"/>
  <c r="BP54" i="51" s="1"/>
  <c r="BQ54" i="51" s="1"/>
  <c r="BN50" i="51"/>
  <c r="BO50" i="51" s="1"/>
  <c r="BP50" i="51" s="1"/>
  <c r="BQ50" i="51" s="1"/>
  <c r="BN310" i="51"/>
  <c r="BO310" i="51" s="1"/>
  <c r="BP310" i="51" s="1"/>
  <c r="BQ310" i="51" s="1"/>
  <c r="BN21" i="51"/>
  <c r="BO21" i="51" s="1"/>
  <c r="BP21" i="51" s="1"/>
  <c r="BQ21" i="51" s="1"/>
  <c r="BN282" i="51"/>
  <c r="BO282" i="51" s="1"/>
  <c r="BP282" i="51" s="1"/>
  <c r="BQ282" i="51" s="1"/>
  <c r="BN263" i="51"/>
  <c r="BO263" i="51" s="1"/>
  <c r="BP263" i="51" s="1"/>
  <c r="BQ263" i="51" s="1"/>
  <c r="BN239" i="51"/>
  <c r="BO239" i="51" s="1"/>
  <c r="BP239" i="51" s="1"/>
  <c r="BQ239" i="51" s="1"/>
  <c r="BN174" i="51"/>
  <c r="BO174" i="51" s="1"/>
  <c r="BP174" i="51" s="1"/>
  <c r="BQ174" i="51" s="1"/>
  <c r="BN207" i="51"/>
  <c r="BO207" i="51" s="1"/>
  <c r="BP207" i="51" s="1"/>
  <c r="BQ207" i="51" s="1"/>
  <c r="BN309" i="51"/>
  <c r="BO309" i="51" s="1"/>
  <c r="BP309" i="51" s="1"/>
  <c r="BQ309" i="51" s="1"/>
  <c r="BN249" i="51"/>
  <c r="BO249" i="51" s="1"/>
  <c r="BP249" i="51" s="1"/>
  <c r="BQ249" i="51" s="1"/>
  <c r="BN290" i="51"/>
  <c r="BO290" i="51" s="1"/>
  <c r="BP290" i="51" s="1"/>
  <c r="BQ290" i="51" s="1"/>
  <c r="BN154" i="51"/>
  <c r="BO154" i="51" s="1"/>
  <c r="BP154" i="51" s="1"/>
  <c r="BQ154" i="51" s="1"/>
  <c r="BN274" i="51"/>
  <c r="BO274" i="51" s="1"/>
  <c r="BP274" i="51" s="1"/>
  <c r="BQ274" i="51" s="1"/>
  <c r="BN191" i="51"/>
  <c r="BO191" i="51" s="1"/>
  <c r="BP191" i="51" s="1"/>
  <c r="BQ191" i="51" s="1"/>
  <c r="BN245" i="51"/>
  <c r="BO245" i="51" s="1"/>
  <c r="BP245" i="51" s="1"/>
  <c r="BQ245" i="51" s="1"/>
  <c r="BN251" i="51"/>
  <c r="BO251" i="51" s="1"/>
  <c r="BP251" i="51" s="1"/>
  <c r="BQ251" i="51" s="1"/>
  <c r="BN10" i="51"/>
  <c r="BO10" i="51" s="1"/>
  <c r="BP10" i="51" s="1"/>
  <c r="BQ10" i="51" s="1"/>
  <c r="BN303" i="51"/>
  <c r="BO303" i="51" s="1"/>
  <c r="BP303" i="51" s="1"/>
  <c r="BQ303" i="51" s="1"/>
  <c r="BN29" i="51"/>
  <c r="BO29" i="51" s="1"/>
  <c r="BP29" i="51" s="1"/>
  <c r="BQ29" i="51" s="1"/>
  <c r="BN148" i="51"/>
  <c r="BO148" i="51" s="1"/>
  <c r="BP148" i="51" s="1"/>
  <c r="BQ148" i="51" s="1"/>
  <c r="BN166" i="51"/>
  <c r="BO166" i="51" s="1"/>
  <c r="BP166" i="51" s="1"/>
  <c r="BQ166" i="51" s="1"/>
  <c r="BN135" i="51"/>
  <c r="BO135" i="51" s="1"/>
  <c r="BP135" i="51" s="1"/>
  <c r="BQ135" i="51" s="1"/>
  <c r="BN313" i="51"/>
  <c r="BO313" i="51" s="1"/>
  <c r="BP313" i="51" s="1"/>
  <c r="BQ313" i="51" s="1"/>
  <c r="BN63" i="51"/>
  <c r="BO63" i="51" s="1"/>
  <c r="BP63" i="51" s="1"/>
  <c r="BQ63" i="51" s="1"/>
  <c r="BN192" i="51"/>
  <c r="BO192" i="51" s="1"/>
  <c r="BP192" i="51" s="1"/>
  <c r="BQ192" i="51" s="1"/>
  <c r="BN32" i="51"/>
  <c r="BO32" i="51" s="1"/>
  <c r="BP32" i="51" s="1"/>
  <c r="BQ32" i="51" s="1"/>
  <c r="BN188" i="51"/>
  <c r="BO188" i="51" s="1"/>
  <c r="BP188" i="51" s="1"/>
  <c r="BQ188" i="51" s="1"/>
  <c r="BN134" i="51"/>
  <c r="BO134" i="51" s="1"/>
  <c r="BP134" i="51" s="1"/>
  <c r="BQ134" i="51" s="1"/>
  <c r="BN59" i="51"/>
  <c r="BO59" i="51" s="1"/>
  <c r="BP59" i="51" s="1"/>
  <c r="BQ59" i="51" s="1"/>
  <c r="BN14" i="51"/>
  <c r="BO14" i="51" s="1"/>
  <c r="BP14" i="51" s="1"/>
  <c r="BQ14" i="51" s="1"/>
  <c r="BN56" i="51"/>
  <c r="BO56" i="51" s="1"/>
  <c r="BP56" i="51" s="1"/>
  <c r="BQ56" i="51" s="1"/>
  <c r="BN119" i="51"/>
  <c r="BO119" i="51" s="1"/>
  <c r="BP119" i="51" s="1"/>
  <c r="BQ119" i="51" s="1"/>
  <c r="BN279" i="51"/>
  <c r="BO279" i="51" s="1"/>
  <c r="BP279" i="51" s="1"/>
  <c r="BQ279" i="51" s="1"/>
  <c r="BN295" i="51"/>
  <c r="BO295" i="51" s="1"/>
  <c r="BP295" i="51" s="1"/>
  <c r="BQ295" i="51" s="1"/>
  <c r="BN238" i="51"/>
  <c r="BO238" i="51" s="1"/>
  <c r="BP238" i="51" s="1"/>
  <c r="BQ238" i="51" s="1"/>
  <c r="BN36" i="51"/>
  <c r="BO36" i="51" s="1"/>
  <c r="BP36" i="51" s="1"/>
  <c r="BQ36" i="51" s="1"/>
  <c r="BN147" i="51"/>
  <c r="BO147" i="51" s="1"/>
  <c r="BP147" i="51" s="1"/>
  <c r="BQ147" i="51" s="1"/>
  <c r="BN39" i="51"/>
  <c r="BO39" i="51" s="1"/>
  <c r="BP39" i="51" s="1"/>
  <c r="BQ39" i="51" s="1"/>
  <c r="BN153" i="51"/>
  <c r="BO153" i="51" s="1"/>
  <c r="BP153" i="51" s="1"/>
  <c r="BQ153" i="51" s="1"/>
  <c r="BN42" i="51"/>
  <c r="BO42" i="51" s="1"/>
  <c r="BP42" i="51" s="1"/>
  <c r="BQ42" i="51" s="1"/>
  <c r="BN16" i="51"/>
  <c r="BO16" i="51" s="1"/>
  <c r="BP16" i="51" s="1"/>
  <c r="BQ16" i="51" s="1"/>
  <c r="BN193" i="51"/>
  <c r="BO193" i="51" s="1"/>
  <c r="BP193" i="51" s="1"/>
  <c r="BQ193" i="51" s="1"/>
  <c r="BN234" i="51"/>
  <c r="BO234" i="51" s="1"/>
  <c r="BP234" i="51" s="1"/>
  <c r="BQ234" i="51" s="1"/>
  <c r="BN259" i="51"/>
  <c r="BO259" i="51" s="1"/>
  <c r="BP259" i="51" s="1"/>
  <c r="BQ259" i="51" s="1"/>
  <c r="BN162" i="51"/>
  <c r="BO162" i="51" s="1"/>
  <c r="BP162" i="51" s="1"/>
  <c r="BQ162" i="51" s="1"/>
  <c r="BN306" i="51"/>
  <c r="BO306" i="51" s="1"/>
  <c r="BP306" i="51" s="1"/>
  <c r="BQ306" i="51" s="1"/>
  <c r="R92" i="62"/>
  <c r="H32" i="62"/>
  <c r="H146" i="62" s="1"/>
  <c r="H143" i="62"/>
  <c r="O105" i="62"/>
  <c r="O156" i="62"/>
  <c r="O84" i="62"/>
  <c r="P146" i="62"/>
  <c r="Q29" i="62"/>
  <c r="H156" i="62"/>
  <c r="H84" i="62"/>
  <c r="H159" i="62" s="1"/>
  <c r="BO250" i="51"/>
  <c r="BP250" i="51" s="1"/>
  <c r="BQ250" i="51" s="1"/>
  <c r="BN315" i="51"/>
  <c r="BO315" i="51" s="1"/>
  <c r="BP315" i="51" s="1"/>
  <c r="BQ315" i="51" s="1"/>
  <c r="BN57" i="51"/>
  <c r="BO57" i="51" s="1"/>
  <c r="BP57" i="51" s="1"/>
  <c r="BQ57" i="51" s="1"/>
  <c r="BN11" i="51"/>
  <c r="BO11" i="51" s="1"/>
  <c r="BP11" i="51" s="1"/>
  <c r="BQ11" i="51" s="1"/>
  <c r="BN141" i="51"/>
  <c r="BO141" i="51" s="1"/>
  <c r="BP141" i="51" s="1"/>
  <c r="BQ141" i="51" s="1"/>
  <c r="BN143" i="51"/>
  <c r="BO143" i="51" s="1"/>
  <c r="BP143" i="51" s="1"/>
  <c r="BQ143" i="51" s="1"/>
  <c r="BN185" i="51"/>
  <c r="BO185" i="51" s="1"/>
  <c r="BP185" i="51" s="1"/>
  <c r="BQ185" i="51" s="1"/>
  <c r="BN35" i="51"/>
  <c r="BO35" i="51" s="1"/>
  <c r="BP35" i="51" s="1"/>
  <c r="BQ35" i="51" s="1"/>
  <c r="BN73" i="51"/>
  <c r="BO73" i="51" s="1"/>
  <c r="BP73" i="51" s="1"/>
  <c r="BQ73" i="51" s="1"/>
  <c r="BN49" i="51"/>
  <c r="BO49" i="51" s="1"/>
  <c r="BP49" i="51" s="1"/>
  <c r="BQ49" i="51" s="1"/>
  <c r="BN223" i="51"/>
  <c r="BO223" i="51" s="1"/>
  <c r="BP223" i="51" s="1"/>
  <c r="BQ223" i="51" s="1"/>
  <c r="BN150" i="51"/>
  <c r="BO150" i="51" s="1"/>
  <c r="BP150" i="51" s="1"/>
  <c r="BQ150" i="51" s="1"/>
  <c r="BN203" i="51"/>
  <c r="BO203" i="51" s="1"/>
  <c r="BP203" i="51" s="1"/>
  <c r="BQ203" i="51" s="1"/>
  <c r="BN247" i="51"/>
  <c r="BO247" i="51" s="1"/>
  <c r="BP247" i="51" s="1"/>
  <c r="BQ247" i="51" s="1"/>
  <c r="BN252" i="51"/>
  <c r="BO252" i="51" s="1"/>
  <c r="BP252" i="51" s="1"/>
  <c r="BQ252" i="51" s="1"/>
  <c r="BN244" i="51"/>
  <c r="BO244" i="51" s="1"/>
  <c r="BP244" i="51" s="1"/>
  <c r="BQ244" i="51" s="1"/>
  <c r="BN261" i="51"/>
  <c r="BO261" i="51" s="1"/>
  <c r="BP261" i="51" s="1"/>
  <c r="BQ261" i="51" s="1"/>
  <c r="BN87" i="51"/>
  <c r="BO87" i="51" s="1"/>
  <c r="BP87" i="51" s="1"/>
  <c r="BQ87" i="51" s="1"/>
  <c r="BN286" i="51"/>
  <c r="BO286" i="51" s="1"/>
  <c r="BP286" i="51" s="1"/>
  <c r="BQ286" i="51" s="1"/>
  <c r="BN266" i="51"/>
  <c r="BO266" i="51" s="1"/>
  <c r="BP266" i="51" s="1"/>
  <c r="BQ266" i="51" s="1"/>
  <c r="BN144" i="51"/>
  <c r="BO144" i="51" s="1"/>
  <c r="BP144" i="51" s="1"/>
  <c r="BQ144" i="51" s="1"/>
  <c r="BN111" i="51"/>
  <c r="BO111" i="51" s="1"/>
  <c r="BP111" i="51" s="1"/>
  <c r="BQ111" i="51" s="1"/>
  <c r="BN44" i="51"/>
  <c r="BO44" i="51" s="1"/>
  <c r="BP44" i="51" s="1"/>
  <c r="BQ44" i="51" s="1"/>
  <c r="BN69" i="51"/>
  <c r="BO69" i="51" s="1"/>
  <c r="BP69" i="51" s="1"/>
  <c r="BQ69" i="51" s="1"/>
  <c r="BN172" i="51"/>
  <c r="BO172" i="51" s="1"/>
  <c r="BP172" i="51" s="1"/>
  <c r="BQ172" i="51" s="1"/>
  <c r="BN211" i="51"/>
  <c r="BO211" i="51" s="1"/>
  <c r="BP211" i="51" s="1"/>
  <c r="BQ211" i="51" s="1"/>
  <c r="BN275" i="51"/>
  <c r="BO275" i="51" s="1"/>
  <c r="BP275" i="51" s="1"/>
  <c r="BQ275" i="51" s="1"/>
  <c r="BN110" i="51"/>
  <c r="BO110" i="51" s="1"/>
  <c r="BP110" i="51" s="1"/>
  <c r="BQ110" i="51" s="1"/>
  <c r="BN170" i="51"/>
  <c r="BO170" i="51" s="1"/>
  <c r="BP170" i="51" s="1"/>
  <c r="BQ170" i="51" s="1"/>
  <c r="BN116" i="51"/>
  <c r="BO116" i="51" s="1"/>
  <c r="BP116" i="51" s="1"/>
  <c r="BQ116" i="51" s="1"/>
  <c r="BN160" i="51"/>
  <c r="BO160" i="51" s="1"/>
  <c r="BP160" i="51" s="1"/>
  <c r="BQ160" i="51" s="1"/>
  <c r="BN311" i="51"/>
  <c r="BO311" i="51" s="1"/>
  <c r="BP311" i="51" s="1"/>
  <c r="BQ311" i="51" s="1"/>
  <c r="BN284" i="51"/>
  <c r="BO284" i="51" s="1"/>
  <c r="BP284" i="51" s="1"/>
  <c r="BQ284" i="51" s="1"/>
  <c r="BN167" i="51"/>
  <c r="BO167" i="51" s="1"/>
  <c r="BP167" i="51" s="1"/>
  <c r="BQ167" i="51" s="1"/>
  <c r="BN20" i="51"/>
  <c r="BO20" i="51" s="1"/>
  <c r="BP20" i="51" s="1"/>
  <c r="BQ20" i="51" s="1"/>
  <c r="BN37" i="51"/>
  <c r="BO37" i="51" s="1"/>
  <c r="BP37" i="51" s="1"/>
  <c r="BQ37" i="51" s="1"/>
  <c r="BN260" i="51"/>
  <c r="BO260" i="51" s="1"/>
  <c r="BP260" i="51" s="1"/>
  <c r="BQ260" i="51" s="1"/>
  <c r="BN77" i="51"/>
  <c r="BO77" i="51" s="1"/>
  <c r="BP77" i="51" s="1"/>
  <c r="BQ77" i="51" s="1"/>
  <c r="BN269" i="51"/>
  <c r="BO269" i="51" s="1"/>
  <c r="BP269" i="51" s="1"/>
  <c r="BQ269" i="51" s="1"/>
  <c r="BN55" i="51"/>
  <c r="BO55" i="51" s="1"/>
  <c r="BP55" i="51" s="1"/>
  <c r="BQ55" i="51" s="1"/>
  <c r="BN22" i="51"/>
  <c r="BO22" i="51" s="1"/>
  <c r="BP22" i="51" s="1"/>
  <c r="BQ22" i="51" s="1"/>
  <c r="BN100" i="51"/>
  <c r="BO100" i="51" s="1"/>
  <c r="BP100" i="51" s="1"/>
  <c r="BQ100" i="51" s="1"/>
  <c r="BN308" i="51"/>
  <c r="BO308" i="51" s="1"/>
  <c r="BP308" i="51" s="1"/>
  <c r="BQ308" i="51" s="1"/>
  <c r="BN216" i="51"/>
  <c r="BO216" i="51" s="1"/>
  <c r="BP216" i="51" s="1"/>
  <c r="BQ216" i="51" s="1"/>
  <c r="BN67" i="51"/>
  <c r="BO67" i="51" s="1"/>
  <c r="BP67" i="51" s="1"/>
  <c r="BQ67" i="51" s="1"/>
  <c r="BN180" i="51"/>
  <c r="BO180" i="51" s="1"/>
  <c r="BP180" i="51" s="1"/>
  <c r="BQ180" i="51" s="1"/>
  <c r="BN206" i="51"/>
  <c r="BO206" i="51" s="1"/>
  <c r="BP206" i="51" s="1"/>
  <c r="BQ206" i="51" s="1"/>
  <c r="BN200" i="51"/>
  <c r="BO200" i="51" s="1"/>
  <c r="BP200" i="51" s="1"/>
  <c r="BQ200" i="51" s="1"/>
  <c r="BN220" i="51"/>
  <c r="BO220" i="51" s="1"/>
  <c r="BP220" i="51" s="1"/>
  <c r="BQ220" i="51" s="1"/>
  <c r="BN267" i="51"/>
  <c r="BO267" i="51" s="1"/>
  <c r="BP267" i="51" s="1"/>
  <c r="BQ267" i="51" s="1"/>
  <c r="BN105" i="51"/>
  <c r="BO105" i="51" s="1"/>
  <c r="BP105" i="51" s="1"/>
  <c r="BQ105" i="51" s="1"/>
  <c r="BN176" i="51"/>
  <c r="BO176" i="51" s="1"/>
  <c r="BP176" i="51" s="1"/>
  <c r="BQ176" i="51" s="1"/>
  <c r="BN93" i="51"/>
  <c r="BO93" i="51" s="1"/>
  <c r="BP93" i="51" s="1"/>
  <c r="BQ93" i="51" s="1"/>
  <c r="BN27" i="51"/>
  <c r="BO27" i="51" s="1"/>
  <c r="BP27" i="51" s="1"/>
  <c r="BQ27" i="51" s="1"/>
  <c r="BN312" i="51"/>
  <c r="BO312" i="51" s="1"/>
  <c r="BP312" i="51" s="1"/>
  <c r="BQ312" i="51" s="1"/>
  <c r="BN139" i="51"/>
  <c r="BO139" i="51" s="1"/>
  <c r="BP139" i="51" s="1"/>
  <c r="BQ139" i="51" s="1"/>
  <c r="BN43" i="51"/>
  <c r="BO43" i="51" s="1"/>
  <c r="BP43" i="51" s="1"/>
  <c r="BQ43" i="51" s="1"/>
  <c r="BN293" i="51"/>
  <c r="BO293" i="51" s="1"/>
  <c r="BP293" i="51" s="1"/>
  <c r="BQ293" i="51" s="1"/>
  <c r="BN47" i="51"/>
  <c r="BO47" i="51" s="1"/>
  <c r="BP47" i="51" s="1"/>
  <c r="BQ47" i="51" s="1"/>
  <c r="BN122" i="51"/>
  <c r="BO122" i="51" s="1"/>
  <c r="BP122" i="51" s="1"/>
  <c r="BQ122" i="51" s="1"/>
  <c r="BN46" i="51"/>
  <c r="BO46" i="51" s="1"/>
  <c r="BP46" i="51" s="1"/>
  <c r="BQ46" i="51" s="1"/>
  <c r="BN86" i="51"/>
  <c r="BO86" i="51" s="1"/>
  <c r="BP86" i="51" s="1"/>
  <c r="BQ86" i="51" s="1"/>
  <c r="BN198" i="51"/>
  <c r="BO198" i="51" s="1"/>
  <c r="BP198" i="51" s="1"/>
  <c r="BQ198" i="51" s="1"/>
  <c r="BN79" i="51"/>
  <c r="BO79" i="51" s="1"/>
  <c r="BP79" i="51" s="1"/>
  <c r="BQ79" i="51" s="1"/>
  <c r="BN254" i="51"/>
  <c r="BO254" i="51" s="1"/>
  <c r="BP254" i="51" s="1"/>
  <c r="BQ254" i="51" s="1"/>
  <c r="BN132" i="51"/>
  <c r="BO132" i="51" s="1"/>
  <c r="BP132" i="51" s="1"/>
  <c r="BQ132" i="51" s="1"/>
  <c r="BN314" i="51"/>
  <c r="BO314" i="51" s="1"/>
  <c r="BP314" i="51" s="1"/>
  <c r="BQ314" i="51" s="1"/>
  <c r="BN124" i="51"/>
  <c r="BO124" i="51" s="1"/>
  <c r="BP124" i="51" s="1"/>
  <c r="BQ124" i="51" s="1"/>
  <c r="BN230" i="51"/>
  <c r="BO230" i="51" s="1"/>
  <c r="BP230" i="51" s="1"/>
  <c r="BQ230" i="51" s="1"/>
  <c r="BN179" i="51"/>
  <c r="BO179" i="51" s="1"/>
  <c r="BP179" i="51" s="1"/>
  <c r="BQ179" i="51" s="1"/>
  <c r="BN292" i="51"/>
  <c r="BO292" i="51" s="1"/>
  <c r="BP292" i="51" s="1"/>
  <c r="BQ292" i="51" s="1"/>
  <c r="BN253" i="51"/>
  <c r="BO253" i="51" s="1"/>
  <c r="BP253" i="51" s="1"/>
  <c r="BQ253" i="51" s="1"/>
  <c r="BN48" i="51"/>
  <c r="BO48" i="51" s="1"/>
  <c r="BP48" i="51" s="1"/>
  <c r="BQ48" i="51" s="1"/>
  <c r="BN145" i="51"/>
  <c r="BO145" i="51" s="1"/>
  <c r="BP145" i="51" s="1"/>
  <c r="BQ145" i="51" s="1"/>
  <c r="BN208" i="51"/>
  <c r="BO208" i="51" s="1"/>
  <c r="BP208" i="51" s="1"/>
  <c r="BQ208" i="51" s="1"/>
  <c r="BN136" i="51"/>
  <c r="BO136" i="51" s="1"/>
  <c r="BP136" i="51" s="1"/>
  <c r="BQ136" i="51" s="1"/>
  <c r="BN219" i="51"/>
  <c r="BO219" i="51" s="1"/>
  <c r="BP219" i="51" s="1"/>
  <c r="BQ219" i="51" s="1"/>
  <c r="BN38" i="51"/>
  <c r="BO38" i="51" s="1"/>
  <c r="BP38" i="51" s="1"/>
  <c r="BQ38" i="51" s="1"/>
  <c r="BN142" i="51"/>
  <c r="BO142" i="51" s="1"/>
  <c r="BP142" i="51" s="1"/>
  <c r="BQ142" i="51" s="1"/>
  <c r="BN161" i="51"/>
  <c r="BO161" i="51" s="1"/>
  <c r="BP161" i="51" s="1"/>
  <c r="BQ161" i="51" s="1"/>
  <c r="BN218" i="51"/>
  <c r="BO218" i="51" s="1"/>
  <c r="BP218" i="51" s="1"/>
  <c r="BQ218" i="51" s="1"/>
  <c r="BN40" i="51"/>
  <c r="BO40" i="51" s="1"/>
  <c r="BP40" i="51" s="1"/>
  <c r="BQ40" i="51" s="1"/>
  <c r="BN109" i="51"/>
  <c r="BO109" i="51" s="1"/>
  <c r="BP109" i="51" s="1"/>
  <c r="BQ109" i="51" s="1"/>
  <c r="BN285" i="51"/>
  <c r="BO285" i="51" s="1"/>
  <c r="BP285" i="51" s="1"/>
  <c r="BQ285" i="51" s="1"/>
  <c r="BN183" i="51"/>
  <c r="BO183" i="51" s="1"/>
  <c r="BP183" i="51" s="1"/>
  <c r="BQ183" i="51" s="1"/>
  <c r="BN280" i="51"/>
  <c r="BO280" i="51" s="1"/>
  <c r="BP280" i="51" s="1"/>
  <c r="BQ280" i="51" s="1"/>
  <c r="BN85" i="51"/>
  <c r="BO85" i="51" s="1"/>
  <c r="BP85" i="51" s="1"/>
  <c r="BQ85" i="51" s="1"/>
  <c r="BN61" i="51"/>
  <c r="BO61" i="51" s="1"/>
  <c r="BP61" i="51" s="1"/>
  <c r="BQ61" i="51" s="1"/>
  <c r="BN17" i="51"/>
  <c r="BO17" i="51" s="1"/>
  <c r="BP17" i="51" s="1"/>
  <c r="BQ17" i="51" s="1"/>
  <c r="BN92" i="51"/>
  <c r="BO92" i="51" s="1"/>
  <c r="BP92" i="51" s="1"/>
  <c r="BQ92" i="51" s="1"/>
  <c r="BN209" i="51"/>
  <c r="BO209" i="51" s="1"/>
  <c r="BP209" i="51" s="1"/>
  <c r="BQ209" i="51" s="1"/>
  <c r="BN217" i="51"/>
  <c r="BO217" i="51" s="1"/>
  <c r="BP217" i="51" s="1"/>
  <c r="BQ217" i="51" s="1"/>
  <c r="BN80" i="51"/>
  <c r="BO80" i="51" s="1"/>
  <c r="BP80" i="51" s="1"/>
  <c r="BQ80" i="51" s="1"/>
  <c r="BN184" i="51"/>
  <c r="BO184" i="51" s="1"/>
  <c r="BP184" i="51" s="1"/>
  <c r="BQ184" i="51" s="1"/>
  <c r="BN33" i="51"/>
  <c r="BO33" i="51" s="1"/>
  <c r="BP33" i="51" s="1"/>
  <c r="BQ33" i="51" s="1"/>
  <c r="BN74" i="51"/>
  <c r="BO74" i="51" s="1"/>
  <c r="BP74" i="51" s="1"/>
  <c r="BQ74" i="51" s="1"/>
  <c r="BN133" i="51"/>
  <c r="BO133" i="51" s="1"/>
  <c r="BP133" i="51" s="1"/>
  <c r="BQ133" i="51" s="1"/>
  <c r="BN18" i="51"/>
  <c r="BO18" i="51" s="1"/>
  <c r="BP18" i="51" s="1"/>
  <c r="BQ18" i="51" s="1"/>
  <c r="BN165" i="51"/>
  <c r="BO165" i="51" s="1"/>
  <c r="BP165" i="51" s="1"/>
  <c r="BQ165" i="51" s="1"/>
  <c r="BN117" i="51"/>
  <c r="BO117" i="51" s="1"/>
  <c r="BP117" i="51" s="1"/>
  <c r="BQ117" i="51" s="1"/>
  <c r="BN264" i="51"/>
  <c r="BO264" i="51" s="1"/>
  <c r="BP264" i="51" s="1"/>
  <c r="BQ264" i="51" s="1"/>
  <c r="BN151" i="51"/>
  <c r="BO151" i="51" s="1"/>
  <c r="BP151" i="51" s="1"/>
  <c r="BQ151" i="51" s="1"/>
  <c r="BN186" i="51"/>
  <c r="BO186" i="51" s="1"/>
  <c r="BP186" i="51" s="1"/>
  <c r="BQ186" i="51" s="1"/>
  <c r="BN30" i="51"/>
  <c r="BO30" i="51" s="1"/>
  <c r="BP30" i="51" s="1"/>
  <c r="BQ30" i="51" s="1"/>
  <c r="BN307" i="51"/>
  <c r="BO307" i="51" s="1"/>
  <c r="BP307" i="51" s="1"/>
  <c r="BQ307" i="51" s="1"/>
  <c r="BN23" i="51"/>
  <c r="BO23" i="51" s="1"/>
  <c r="BP23" i="51" s="1"/>
  <c r="BQ23" i="51" s="1"/>
  <c r="BN149" i="51"/>
  <c r="BO149" i="51" s="1"/>
  <c r="BP149" i="51" s="1"/>
  <c r="BQ149" i="51" s="1"/>
  <c r="BN210" i="51"/>
  <c r="BO210" i="51" s="1"/>
  <c r="BP210" i="51" s="1"/>
  <c r="BQ210" i="51" s="1"/>
  <c r="BN237" i="51"/>
  <c r="BO237" i="51" s="1"/>
  <c r="BP237" i="51" s="1"/>
  <c r="BQ237" i="51" s="1"/>
  <c r="BN34" i="51"/>
  <c r="BO34" i="51" s="1"/>
  <c r="BP34" i="51" s="1"/>
  <c r="BQ34" i="51" s="1"/>
  <c r="BN78" i="51"/>
  <c r="BO78" i="51" s="1"/>
  <c r="BP78" i="51" s="1"/>
  <c r="BQ78" i="51" s="1"/>
  <c r="BN24" i="51"/>
  <c r="BO24" i="51" s="1"/>
  <c r="BP24" i="51" s="1"/>
  <c r="BQ24" i="51" s="1"/>
  <c r="BN187" i="51"/>
  <c r="BO187" i="51" s="1"/>
  <c r="BP187" i="51" s="1"/>
  <c r="BQ187" i="51" s="1"/>
  <c r="BN201" i="51"/>
  <c r="BO201" i="51" s="1"/>
  <c r="BP201" i="51" s="1"/>
  <c r="BQ201" i="51" s="1"/>
  <c r="BN296" i="51"/>
  <c r="BO296" i="51" s="1"/>
  <c r="BP296" i="51" s="1"/>
  <c r="BQ296" i="51" s="1"/>
  <c r="BN106" i="51"/>
  <c r="BO106" i="51" s="1"/>
  <c r="BP106" i="51" s="1"/>
  <c r="BQ106" i="51" s="1"/>
  <c r="BN177" i="51"/>
  <c r="BO177" i="51" s="1"/>
  <c r="BP177" i="51" s="1"/>
  <c r="BQ177" i="51" s="1"/>
  <c r="BN121" i="51"/>
  <c r="BO121" i="51" s="1"/>
  <c r="BP121" i="51" s="1"/>
  <c r="BQ121" i="51" s="1"/>
  <c r="BN289" i="51"/>
  <c r="BO289" i="51" s="1"/>
  <c r="BP289" i="51" s="1"/>
  <c r="BQ289" i="51" s="1"/>
  <c r="BN270" i="51"/>
  <c r="BO270" i="51" s="1"/>
  <c r="BP270" i="51" s="1"/>
  <c r="BQ270" i="51" s="1"/>
  <c r="BN123" i="51"/>
  <c r="BO123" i="51" s="1"/>
  <c r="BP123" i="51" s="1"/>
  <c r="BQ123" i="51" s="1"/>
  <c r="BN68" i="51"/>
  <c r="BO68" i="51" s="1"/>
  <c r="BP68" i="51" s="1"/>
  <c r="BQ68" i="51" s="1"/>
  <c r="BN268" i="51"/>
  <c r="BO268" i="51" s="1"/>
  <c r="BP268" i="51" s="1"/>
  <c r="BQ268" i="51" s="1"/>
  <c r="BN125" i="51"/>
  <c r="BO125" i="51" s="1"/>
  <c r="BP125" i="51" s="1"/>
  <c r="BQ125" i="51" s="1"/>
  <c r="BN159" i="51"/>
  <c r="BO159" i="51" s="1"/>
  <c r="BP159" i="51" s="1"/>
  <c r="BQ159" i="51" s="1"/>
  <c r="BN228" i="51"/>
  <c r="BO228" i="51" s="1"/>
  <c r="BP228" i="51" s="1"/>
  <c r="BQ228" i="51" s="1"/>
  <c r="BN152" i="51"/>
  <c r="BO152" i="51" s="1"/>
  <c r="BP152" i="51" s="1"/>
  <c r="BQ152" i="51" s="1"/>
  <c r="BN173" i="51"/>
  <c r="BO173" i="51" s="1"/>
  <c r="BP173" i="51" s="1"/>
  <c r="BQ173" i="51" s="1"/>
  <c r="BN258" i="51"/>
  <c r="BO258" i="51" s="1"/>
  <c r="BP258" i="51" s="1"/>
  <c r="BQ258" i="51" s="1"/>
  <c r="BN138" i="51"/>
  <c r="BO138" i="51" s="1"/>
  <c r="BP138" i="51" s="1"/>
  <c r="BQ138" i="51" s="1"/>
  <c r="BN304" i="51"/>
  <c r="BO304" i="51" s="1"/>
  <c r="BP304" i="51" s="1"/>
  <c r="BQ304" i="51" s="1"/>
  <c r="BN195" i="51"/>
  <c r="BO195" i="51" s="1"/>
  <c r="BP195" i="51" s="1"/>
  <c r="BQ195" i="51" s="1"/>
  <c r="BN9" i="51"/>
  <c r="BN102" i="51"/>
  <c r="BO102" i="51" s="1"/>
  <c r="BP102" i="51" s="1"/>
  <c r="BQ102" i="51" s="1"/>
  <c r="BN221" i="51"/>
  <c r="BO221" i="51" s="1"/>
  <c r="BP221" i="51" s="1"/>
  <c r="BQ221" i="51" s="1"/>
  <c r="BN231" i="51"/>
  <c r="BO231" i="51" s="1"/>
  <c r="BP231" i="51" s="1"/>
  <c r="BQ231" i="51" s="1"/>
  <c r="BN53" i="51"/>
  <c r="BO53" i="51" s="1"/>
  <c r="BP53" i="51" s="1"/>
  <c r="BQ53" i="51" s="1"/>
  <c r="BN103" i="51"/>
  <c r="BO103" i="51" s="1"/>
  <c r="BP103" i="51" s="1"/>
  <c r="BQ103" i="51" s="1"/>
  <c r="BN99" i="51"/>
  <c r="BO99" i="51" s="1"/>
  <c r="BP99" i="51" s="1"/>
  <c r="BQ99" i="51" s="1"/>
  <c r="BN88" i="51"/>
  <c r="BO88" i="51" s="1"/>
  <c r="BP88" i="51" s="1"/>
  <c r="BQ88" i="51" s="1"/>
  <c r="BN202" i="51"/>
  <c r="BO202" i="51" s="1"/>
  <c r="BP202" i="51" s="1"/>
  <c r="BQ202" i="51" s="1"/>
  <c r="BN213" i="51"/>
  <c r="BO213" i="51" s="1"/>
  <c r="BP213" i="51" s="1"/>
  <c r="BQ213" i="51" s="1"/>
  <c r="BN248" i="51"/>
  <c r="BO248" i="51" s="1"/>
  <c r="BP248" i="51" s="1"/>
  <c r="BQ248" i="51" s="1"/>
  <c r="BN90" i="51"/>
  <c r="BO90" i="51" s="1"/>
  <c r="BP90" i="51" s="1"/>
  <c r="BQ90" i="51" s="1"/>
  <c r="BN214" i="51"/>
  <c r="BO214" i="51" s="1"/>
  <c r="BP214" i="51" s="1"/>
  <c r="BQ214" i="51" s="1"/>
  <c r="BN222" i="51"/>
  <c r="BO222" i="51" s="1"/>
  <c r="BP222" i="51" s="1"/>
  <c r="BQ222" i="51" s="1"/>
  <c r="BN70" i="51"/>
  <c r="BO70" i="51" s="1"/>
  <c r="BP70" i="51" s="1"/>
  <c r="BQ70" i="51" s="1"/>
  <c r="BN128" i="51"/>
  <c r="BO128" i="51" s="1"/>
  <c r="BP128" i="51" s="1"/>
  <c r="BQ128" i="51" s="1"/>
  <c r="BN226" i="51"/>
  <c r="BO226" i="51" s="1"/>
  <c r="BP226" i="51" s="1"/>
  <c r="BQ226" i="51" s="1"/>
  <c r="O122" i="62" l="1"/>
  <c r="N172" i="62"/>
  <c r="BN7" i="51"/>
  <c r="P81" i="62"/>
  <c r="O159" i="62"/>
  <c r="Q143" i="62"/>
  <c r="Q32" i="62"/>
  <c r="R95" i="62"/>
  <c r="P102" i="62"/>
  <c r="BO9" i="51"/>
  <c r="BP9" i="51" s="1"/>
  <c r="BQ9" i="51" s="1"/>
  <c r="BQ8" i="51"/>
  <c r="O125" i="62" l="1"/>
  <c r="O169" i="62"/>
  <c r="BP7" i="51"/>
  <c r="BQ7" i="51" s="1"/>
  <c r="P156" i="62"/>
  <c r="P84" i="62"/>
  <c r="P159" i="62" s="1"/>
  <c r="Q146" i="62"/>
  <c r="R29" i="62"/>
  <c r="P105" i="62"/>
  <c r="S92" i="62"/>
  <c r="P122" i="62" l="1"/>
  <c r="O172" i="62"/>
  <c r="S95" i="62"/>
  <c r="R143" i="62"/>
  <c r="R32" i="62"/>
  <c r="Q102" i="62"/>
  <c r="P125" i="62" l="1"/>
  <c r="P169" i="62"/>
  <c r="R146" i="62"/>
  <c r="S29" i="62"/>
  <c r="T92" i="62"/>
  <c r="Q105" i="62"/>
  <c r="Q122" i="62" l="1"/>
  <c r="P172" i="62"/>
  <c r="T95" i="62"/>
  <c r="S143" i="62"/>
  <c r="S32" i="62"/>
  <c r="R102" i="62"/>
  <c r="Q125" i="62" l="1"/>
  <c r="Q169" i="62"/>
  <c r="S146" i="62"/>
  <c r="T29" i="62"/>
  <c r="U92" i="62"/>
  <c r="R105" i="62"/>
  <c r="R122" i="62" l="1"/>
  <c r="Q172" i="62"/>
  <c r="U95" i="62"/>
  <c r="T143" i="62"/>
  <c r="T32" i="62"/>
  <c r="S102" i="62"/>
  <c r="R125" i="62" l="1"/>
  <c r="R169" i="62"/>
  <c r="S105" i="62"/>
  <c r="V92" i="62"/>
  <c r="T146" i="62"/>
  <c r="U29" i="62"/>
  <c r="S122" i="62" l="1"/>
  <c r="R172" i="62"/>
  <c r="T102" i="62"/>
  <c r="V95" i="62"/>
  <c r="U143" i="62"/>
  <c r="U32" i="62"/>
  <c r="S125" i="62" l="1"/>
  <c r="S169" i="62"/>
  <c r="T105" i="62"/>
  <c r="W92" i="62"/>
  <c r="V29" i="62"/>
  <c r="U146" i="62"/>
  <c r="T122" i="62" l="1"/>
  <c r="S172" i="62"/>
  <c r="V143" i="62"/>
  <c r="V32" i="62"/>
  <c r="U102" i="62"/>
  <c r="W95" i="62"/>
  <c r="T125" i="62" l="1"/>
  <c r="T169" i="62"/>
  <c r="U105" i="62"/>
  <c r="V146" i="62"/>
  <c r="W29" i="62"/>
  <c r="U122" i="62" l="1"/>
  <c r="T172" i="62"/>
  <c r="V102" i="62"/>
  <c r="W143" i="62"/>
  <c r="W32" i="62"/>
  <c r="W146" i="62" s="1"/>
  <c r="U125" i="62" l="1"/>
  <c r="U169" i="62"/>
  <c r="V105" i="62"/>
  <c r="V122" i="62" l="1"/>
  <c r="U172" i="62"/>
  <c r="W102" i="62"/>
  <c r="V125" i="62" l="1"/>
  <c r="V169" i="62"/>
  <c r="W105" i="62"/>
  <c r="W122" i="62" l="1"/>
  <c r="V172" i="62"/>
  <c r="N101" i="21"/>
  <c r="V104" i="21"/>
  <c r="U113" i="21"/>
  <c r="V125" i="21"/>
  <c r="R125" i="21"/>
  <c r="S125" i="21"/>
  <c r="Y25" i="21"/>
  <c r="Y85" i="21" s="1"/>
  <c r="N113" i="21"/>
  <c r="R32" i="21"/>
  <c r="S32" i="21"/>
  <c r="V93" i="21"/>
  <c r="V94" i="21"/>
  <c r="V95" i="21"/>
  <c r="V96" i="21"/>
  <c r="V97" i="21"/>
  <c r="V98" i="21"/>
  <c r="V99" i="21"/>
  <c r="V100" i="21"/>
  <c r="V92" i="21"/>
  <c r="U101" i="21"/>
  <c r="T101" i="21"/>
  <c r="S101" i="21"/>
  <c r="R101" i="21"/>
  <c r="Q101" i="21"/>
  <c r="P101" i="21"/>
  <c r="O101" i="21"/>
  <c r="K101" i="21"/>
  <c r="J101" i="21"/>
  <c r="I101" i="21"/>
  <c r="H101" i="21"/>
  <c r="G101" i="21"/>
  <c r="F101" i="21"/>
  <c r="E101" i="21"/>
  <c r="D101" i="21"/>
  <c r="C101" i="21"/>
  <c r="M99" i="21"/>
  <c r="M97" i="21"/>
  <c r="M96" i="21"/>
  <c r="M95" i="21"/>
  <c r="L95" i="21"/>
  <c r="L101" i="21" s="1"/>
  <c r="AA25" i="21"/>
  <c r="AA85" i="21" s="1"/>
  <c r="Z25" i="21"/>
  <c r="Z85" i="21" s="1"/>
  <c r="W25" i="21"/>
  <c r="W85" i="21" s="1"/>
  <c r="Z16" i="21"/>
  <c r="AA17" i="21" s="1"/>
  <c r="V111" i="21"/>
  <c r="V105" i="21"/>
  <c r="V106" i="21"/>
  <c r="V107" i="21"/>
  <c r="V108" i="21"/>
  <c r="V109" i="21"/>
  <c r="V110" i="21"/>
  <c r="V112" i="21"/>
  <c r="W125" i="62" l="1"/>
  <c r="W172" i="62" s="1"/>
  <c r="W169" i="62"/>
  <c r="V101" i="21"/>
  <c r="V113" i="21"/>
  <c r="P125" i="21"/>
  <c r="O125" i="21"/>
  <c r="O126" i="21" s="1"/>
  <c r="M101" i="21"/>
  <c r="T113" i="21" l="1"/>
  <c r="S113" i="21"/>
  <c r="R113" i="21"/>
  <c r="P113" i="21"/>
  <c r="K113" i="21"/>
  <c r="J113" i="21"/>
  <c r="I113" i="21"/>
  <c r="H113" i="21"/>
  <c r="G113" i="21"/>
  <c r="F113" i="21"/>
  <c r="E113" i="21"/>
  <c r="D113" i="21"/>
  <c r="C113" i="21"/>
  <c r="M111" i="21"/>
  <c r="M109" i="21"/>
  <c r="M108" i="21"/>
  <c r="Q127" i="21"/>
  <c r="O113" i="21"/>
  <c r="M107" i="21"/>
  <c r="L107" i="21"/>
  <c r="L113" i="21" s="1"/>
  <c r="M113" i="21" l="1"/>
  <c r="G18" i="27"/>
  <c r="G19" i="27"/>
  <c r="G20" i="27"/>
  <c r="G21" i="27"/>
  <c r="G22" i="27"/>
  <c r="G23" i="27"/>
  <c r="G24" i="27"/>
  <c r="G25" i="27"/>
  <c r="G26" i="27"/>
  <c r="G27" i="27"/>
  <c r="G17" i="27"/>
  <c r="E13" i="27"/>
  <c r="E14" i="27"/>
  <c r="E15" i="27"/>
  <c r="E16" i="27"/>
  <c r="E17" i="27"/>
  <c r="E18" i="27"/>
  <c r="E19" i="27"/>
  <c r="E20" i="27"/>
  <c r="E21" i="27"/>
  <c r="E22" i="27"/>
  <c r="E23" i="27"/>
  <c r="E24" i="27"/>
  <c r="E25" i="27"/>
  <c r="E26" i="27"/>
  <c r="E27" i="27"/>
  <c r="E28" i="27"/>
  <c r="E29" i="27"/>
  <c r="E30" i="27"/>
  <c r="E31" i="27"/>
  <c r="E32" i="27"/>
  <c r="E12" i="27"/>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5" i="27"/>
  <c r="O35" i="23"/>
  <c r="N35" i="23"/>
  <c r="P35" i="23"/>
  <c r="Q35" i="23"/>
  <c r="C34" i="23"/>
  <c r="C35" i="23" s="1"/>
  <c r="C36" i="23" s="1"/>
  <c r="D34" i="23"/>
  <c r="D35" i="23" s="1"/>
  <c r="D36" i="23" s="1"/>
  <c r="E34" i="23"/>
  <c r="E35" i="23" s="1"/>
  <c r="E36" i="23" s="1"/>
  <c r="F34" i="23"/>
  <c r="F35" i="23" s="1"/>
  <c r="F36" i="23" s="1"/>
  <c r="G34" i="23"/>
  <c r="G35" i="23" s="1"/>
  <c r="G36" i="23" s="1"/>
  <c r="H34" i="23"/>
  <c r="H35" i="23" s="1"/>
  <c r="H36" i="23" s="1"/>
  <c r="I34" i="23"/>
  <c r="I35" i="23" s="1"/>
  <c r="I36" i="23" s="1"/>
  <c r="J34" i="23"/>
  <c r="J35" i="23" s="1"/>
  <c r="J36" i="23" s="1"/>
  <c r="K34" i="23"/>
  <c r="K35" i="23" s="1"/>
  <c r="K36" i="23" s="1"/>
  <c r="L34" i="23"/>
  <c r="L35" i="23" s="1"/>
  <c r="L36" i="23" s="1"/>
  <c r="M34" i="23"/>
  <c r="N34" i="23"/>
  <c r="O34" i="23"/>
  <c r="P34" i="23"/>
  <c r="Q34" i="23"/>
  <c r="B34" i="23"/>
  <c r="B35" i="23" s="1"/>
  <c r="B36" i="23" s="1"/>
  <c r="N7" i="23"/>
  <c r="N8" i="23"/>
  <c r="N9" i="23"/>
  <c r="N10" i="23"/>
  <c r="N11" i="23"/>
  <c r="N12" i="23"/>
  <c r="N13" i="23"/>
  <c r="N14" i="23"/>
  <c r="N15" i="23"/>
  <c r="N16" i="23"/>
  <c r="N17" i="23"/>
  <c r="N18" i="23"/>
  <c r="N19" i="23"/>
  <c r="N20" i="23"/>
  <c r="N21" i="23"/>
  <c r="N6" i="23"/>
  <c r="Y72" i="21"/>
  <c r="Y73" i="21"/>
  <c r="Y74" i="21"/>
  <c r="Y75" i="21"/>
  <c r="X75" i="21"/>
  <c r="X74" i="21"/>
  <c r="X73" i="21"/>
  <c r="X72" i="21"/>
  <c r="W72" i="21"/>
  <c r="W73" i="21"/>
  <c r="W74" i="21"/>
  <c r="W75" i="21"/>
  <c r="V75" i="21"/>
  <c r="V74" i="21"/>
  <c r="V73" i="21"/>
  <c r="V72" i="21"/>
  <c r="U75" i="21"/>
  <c r="U74" i="21"/>
  <c r="U73" i="21"/>
  <c r="U72" i="21"/>
  <c r="T75" i="21"/>
  <c r="T74" i="21"/>
  <c r="T73" i="21"/>
  <c r="T72" i="21"/>
  <c r="Q75" i="21"/>
  <c r="Q74" i="21"/>
  <c r="Q73" i="21"/>
  <c r="Q72" i="21"/>
  <c r="Y71" i="21"/>
  <c r="X71" i="21"/>
  <c r="W71" i="21"/>
  <c r="V71" i="21"/>
  <c r="U71" i="21"/>
  <c r="T71" i="21"/>
  <c r="Q71" i="21"/>
  <c r="Y70" i="21"/>
  <c r="X70" i="21"/>
  <c r="W70" i="21"/>
  <c r="V70" i="21"/>
  <c r="U70" i="21"/>
  <c r="T70" i="21"/>
  <c r="Q70" i="21"/>
  <c r="P75" i="21"/>
  <c r="P74" i="21"/>
  <c r="P73" i="21"/>
  <c r="P72" i="21"/>
  <c r="P71" i="21"/>
  <c r="P70" i="21"/>
  <c r="Y69" i="21"/>
  <c r="X69" i="21"/>
  <c r="W69" i="21"/>
  <c r="V69" i="21"/>
  <c r="U69" i="21"/>
  <c r="T69" i="21"/>
  <c r="Q69" i="21"/>
  <c r="P69" i="21"/>
  <c r="X68" i="21"/>
  <c r="X67" i="21"/>
  <c r="W67" i="21"/>
  <c r="V68" i="21"/>
  <c r="V67" i="21"/>
  <c r="U68" i="21"/>
  <c r="U67" i="21"/>
  <c r="T68" i="21"/>
  <c r="T67" i="21"/>
  <c r="Q68" i="21"/>
  <c r="Q67" i="21"/>
  <c r="P68" i="21"/>
  <c r="P67" i="21"/>
  <c r="O75" i="21"/>
  <c r="O74" i="21"/>
  <c r="O73" i="21"/>
  <c r="O72" i="21"/>
  <c r="O71" i="21"/>
  <c r="O70" i="21"/>
  <c r="O69" i="21"/>
  <c r="O68" i="21"/>
  <c r="O67" i="21"/>
  <c r="N75" i="21"/>
  <c r="N74" i="21"/>
  <c r="N73" i="21"/>
  <c r="N72" i="21"/>
  <c r="N71" i="21"/>
  <c r="N70" i="21"/>
  <c r="N69" i="21"/>
  <c r="N68" i="21"/>
  <c r="N67" i="21"/>
  <c r="X20" i="21"/>
  <c r="V21" i="21"/>
  <c r="V25" i="21" s="1"/>
  <c r="V85" i="21" s="1"/>
  <c r="R25" i="21"/>
  <c r="R85" i="21" s="1"/>
  <c r="S25" i="21"/>
  <c r="S85" i="21" s="1"/>
  <c r="T25" i="21"/>
  <c r="T85" i="21" s="1"/>
  <c r="U25" i="21"/>
  <c r="U85" i="21" s="1"/>
  <c r="N21" i="21"/>
  <c r="N25" i="21" s="1"/>
  <c r="N85" i="21" s="1"/>
  <c r="O21" i="21"/>
  <c r="O25" i="21" s="1"/>
  <c r="O85" i="21" s="1"/>
  <c r="P21" i="21"/>
  <c r="Q21" i="21"/>
  <c r="Q25" i="21" s="1"/>
  <c r="Q85" i="21" s="1"/>
  <c r="P20" i="21"/>
  <c r="Q29" i="21"/>
  <c r="Q32" i="21" s="1"/>
  <c r="P29" i="21"/>
  <c r="P28" i="21"/>
  <c r="O29" i="21"/>
  <c r="O32" i="21" s="1"/>
  <c r="N29" i="21"/>
  <c r="N28" i="21"/>
  <c r="V9" i="21"/>
  <c r="V16" i="21" s="1"/>
  <c r="T11" i="21"/>
  <c r="T5" i="21"/>
  <c r="Q8" i="21"/>
  <c r="Q16" i="21" s="1"/>
  <c r="O8" i="21"/>
  <c r="O5" i="21"/>
  <c r="N11" i="21"/>
  <c r="N7" i="21"/>
  <c r="N6" i="21"/>
  <c r="N5" i="21"/>
  <c r="M12" i="21"/>
  <c r="M10" i="21"/>
  <c r="M9" i="21"/>
  <c r="M8" i="21"/>
  <c r="L8" i="21"/>
  <c r="L16" i="21" s="1"/>
  <c r="D16" i="21"/>
  <c r="E16" i="21"/>
  <c r="F16" i="21"/>
  <c r="G16" i="21"/>
  <c r="H16" i="21"/>
  <c r="I16" i="21"/>
  <c r="J16" i="21"/>
  <c r="K16" i="21"/>
  <c r="P16" i="21"/>
  <c r="R16" i="21"/>
  <c r="S16" i="21"/>
  <c r="U16" i="21"/>
  <c r="W16" i="21"/>
  <c r="X16" i="21"/>
  <c r="Y16" i="21"/>
  <c r="C16" i="21"/>
  <c r="J81" i="22"/>
  <c r="J40" i="22"/>
  <c r="X28" i="20"/>
  <c r="X21" i="20" s="1"/>
  <c r="C62" i="20"/>
  <c r="P22" i="20"/>
  <c r="P23" i="20" s="1"/>
  <c r="P25" i="20" s="1"/>
  <c r="D17" i="20"/>
  <c r="E17" i="20"/>
  <c r="F17" i="20"/>
  <c r="G17" i="20"/>
  <c r="H17" i="20"/>
  <c r="I17" i="20"/>
  <c r="J17" i="20"/>
  <c r="K17" i="20"/>
  <c r="L17" i="20"/>
  <c r="M17" i="20"/>
  <c r="N17" i="20"/>
  <c r="O17" i="20"/>
  <c r="P17" i="20"/>
  <c r="Q17" i="20"/>
  <c r="R17" i="20"/>
  <c r="S17" i="20"/>
  <c r="T17" i="20"/>
  <c r="U17" i="20"/>
  <c r="V17" i="20"/>
  <c r="W17" i="20"/>
  <c r="X17" i="20"/>
  <c r="Y17" i="20"/>
  <c r="Z17" i="20"/>
  <c r="AA17" i="20"/>
  <c r="AB17" i="20"/>
  <c r="C17" i="20"/>
  <c r="J13" i="20"/>
  <c r="I13" i="20"/>
  <c r="H13" i="20"/>
  <c r="G13" i="20"/>
  <c r="F13" i="20"/>
  <c r="E13" i="20"/>
  <c r="D13" i="20"/>
  <c r="C13" i="20"/>
  <c r="J12" i="20"/>
  <c r="I12" i="20"/>
  <c r="H12" i="20"/>
  <c r="G12" i="20"/>
  <c r="F12" i="20"/>
  <c r="E12" i="20"/>
  <c r="D12" i="20"/>
  <c r="Z10" i="20"/>
  <c r="Y10" i="20"/>
  <c r="AA9" i="20"/>
  <c r="Z9" i="20"/>
  <c r="Y9" i="20"/>
  <c r="X9" i="20"/>
  <c r="W9" i="20"/>
  <c r="V9" i="20"/>
  <c r="U9" i="20"/>
  <c r="T9" i="20"/>
  <c r="S9" i="20"/>
  <c r="R9" i="20"/>
  <c r="Q9" i="20"/>
  <c r="P9" i="20"/>
  <c r="O9" i="20"/>
  <c r="N9" i="20"/>
  <c r="M9" i="20"/>
  <c r="L9" i="20"/>
  <c r="K9" i="20"/>
  <c r="J9" i="20"/>
  <c r="I9" i="20"/>
  <c r="G9" i="20"/>
  <c r="F9" i="20"/>
  <c r="E9" i="20"/>
  <c r="D9" i="20"/>
  <c r="J8" i="20"/>
  <c r="I8" i="20"/>
  <c r="H8" i="20"/>
  <c r="G8" i="20"/>
  <c r="F8" i="20"/>
  <c r="E8" i="20"/>
  <c r="D8" i="20"/>
  <c r="J7" i="20"/>
  <c r="I7" i="20"/>
  <c r="H7" i="20"/>
  <c r="G7" i="20"/>
  <c r="F7" i="20"/>
  <c r="E7" i="20"/>
  <c r="D7" i="20"/>
  <c r="C12" i="20"/>
  <c r="C9" i="20"/>
  <c r="C8" i="20"/>
  <c r="C7" i="20"/>
  <c r="J5" i="20"/>
  <c r="K6" i="20" s="1"/>
  <c r="K14" i="20" s="1"/>
  <c r="I5" i="20"/>
  <c r="H5" i="20"/>
  <c r="G5" i="20"/>
  <c r="F5" i="20"/>
  <c r="L6" i="20"/>
  <c r="L14" i="20" s="1"/>
  <c r="M6" i="20"/>
  <c r="M14" i="20" s="1"/>
  <c r="N6" i="20"/>
  <c r="N14" i="20" s="1"/>
  <c r="O6" i="20"/>
  <c r="O14" i="20" s="1"/>
  <c r="P6" i="20"/>
  <c r="P14" i="20" s="1"/>
  <c r="Q6" i="20"/>
  <c r="Q14" i="20" s="1"/>
  <c r="R6" i="20"/>
  <c r="R14" i="20" s="1"/>
  <c r="S6" i="20"/>
  <c r="S14" i="20" s="1"/>
  <c r="T6" i="20"/>
  <c r="T14" i="20" s="1"/>
  <c r="U6" i="20"/>
  <c r="U14" i="20" s="1"/>
  <c r="V6" i="20"/>
  <c r="V14" i="20" s="1"/>
  <c r="W6" i="20"/>
  <c r="W14" i="20" s="1"/>
  <c r="X6" i="20"/>
  <c r="X14" i="20" s="1"/>
  <c r="Y6" i="20"/>
  <c r="Y14" i="20" s="1"/>
  <c r="Z6" i="20"/>
  <c r="Z14" i="20" s="1"/>
  <c r="AA6" i="20"/>
  <c r="AA14" i="20" s="1"/>
  <c r="AB6" i="20"/>
  <c r="AB14" i="20" s="1"/>
  <c r="AC15" i="20" s="1"/>
  <c r="B13" i="20"/>
  <c r="B12" i="20"/>
  <c r="B9" i="20"/>
  <c r="B8" i="20"/>
  <c r="B7" i="20"/>
  <c r="L15" i="19"/>
  <c r="M13" i="19"/>
  <c r="M14" i="19" s="1"/>
  <c r="C13" i="19"/>
  <c r="D13" i="19"/>
  <c r="D14" i="19" s="1"/>
  <c r="E13" i="19"/>
  <c r="E14" i="19" s="1"/>
  <c r="F13" i="19"/>
  <c r="G13" i="19"/>
  <c r="G14" i="19" s="1"/>
  <c r="G15" i="19" s="1"/>
  <c r="H13" i="19"/>
  <c r="H14" i="19" s="1"/>
  <c r="I13" i="19"/>
  <c r="I14" i="19" s="1"/>
  <c r="J13" i="19"/>
  <c r="K13" i="19"/>
  <c r="K14" i="19" s="1"/>
  <c r="K15" i="19" s="1"/>
  <c r="B13" i="19"/>
  <c r="D8" i="19"/>
  <c r="E8" i="19"/>
  <c r="N5" i="19"/>
  <c r="M7" i="19"/>
  <c r="M6" i="19"/>
  <c r="M5" i="19"/>
  <c r="L5" i="19"/>
  <c r="K5" i="19"/>
  <c r="J5" i="19"/>
  <c r="I5" i="19"/>
  <c r="I8" i="19" s="1"/>
  <c r="G5" i="19"/>
  <c r="H8" i="19" s="1"/>
  <c r="F5" i="19"/>
  <c r="F8" i="19" s="1"/>
  <c r="F124" i="17"/>
  <c r="F125" i="17"/>
  <c r="F126" i="17"/>
  <c r="F127" i="17"/>
  <c r="F128" i="17"/>
  <c r="F129" i="17"/>
  <c r="F130" i="17"/>
  <c r="F131" i="17"/>
  <c r="F132" i="17"/>
  <c r="F133" i="17"/>
  <c r="F134" i="17"/>
  <c r="F135" i="17"/>
  <c r="F123" i="17"/>
  <c r="D85" i="17"/>
  <c r="D86" i="17"/>
  <c r="D87" i="17"/>
  <c r="D88" i="17"/>
  <c r="D89" i="17"/>
  <c r="D90" i="17"/>
  <c r="D91" i="17"/>
  <c r="D92" i="17" s="1"/>
  <c r="D93" i="17" s="1"/>
  <c r="D94" i="17" s="1"/>
  <c r="D95" i="17" s="1"/>
  <c r="D96" i="17" s="1"/>
  <c r="D97" i="17" s="1"/>
  <c r="D98" i="17" s="1"/>
  <c r="D99" i="17" s="1"/>
  <c r="D100" i="17" s="1"/>
  <c r="D101" i="17" s="1"/>
  <c r="D102" i="17" s="1"/>
  <c r="D103" i="17" s="1"/>
  <c r="D84" i="17"/>
  <c r="G21" i="17"/>
  <c r="G22" i="17"/>
  <c r="G23" i="17"/>
  <c r="G24" i="17"/>
  <c r="G25" i="17"/>
  <c r="G26" i="17"/>
  <c r="G27" i="17"/>
  <c r="G28" i="17"/>
  <c r="G20" i="17"/>
  <c r="E14" i="17"/>
  <c r="E15" i="17"/>
  <c r="E16" i="17"/>
  <c r="E17" i="17"/>
  <c r="E18" i="17"/>
  <c r="E19" i="17"/>
  <c r="E20" i="17"/>
  <c r="E21" i="17"/>
  <c r="E22" i="17"/>
  <c r="E23" i="17"/>
  <c r="E24" i="17"/>
  <c r="E25" i="17"/>
  <c r="E26" i="17"/>
  <c r="E27" i="17"/>
  <c r="E28" i="17"/>
  <c r="E13" i="17"/>
  <c r="C8" i="17"/>
  <c r="C9" i="17"/>
  <c r="C10" i="17"/>
  <c r="C11" i="17"/>
  <c r="C12" i="17"/>
  <c r="C13" i="17"/>
  <c r="C14" i="17"/>
  <c r="C15" i="17"/>
  <c r="C16" i="17"/>
  <c r="C17" i="17"/>
  <c r="C18" i="17"/>
  <c r="C19" i="17"/>
  <c r="C20" i="17"/>
  <c r="C21" i="17"/>
  <c r="C22" i="17"/>
  <c r="C23" i="17"/>
  <c r="C24" i="17"/>
  <c r="C25" i="17"/>
  <c r="C26" i="17"/>
  <c r="C27" i="17"/>
  <c r="C28" i="17"/>
  <c r="C7" i="17"/>
  <c r="U76" i="21" l="1"/>
  <c r="O76" i="21"/>
  <c r="P76" i="21"/>
  <c r="V76" i="21"/>
  <c r="N76" i="21"/>
  <c r="Q36" i="23"/>
  <c r="Q76" i="21"/>
  <c r="W76" i="21"/>
  <c r="X76" i="21"/>
  <c r="T76" i="21"/>
  <c r="Y76" i="21"/>
  <c r="O36" i="23"/>
  <c r="Y15" i="20"/>
  <c r="AA15" i="20"/>
  <c r="S15" i="20"/>
  <c r="L15" i="20"/>
  <c r="M15" i="20"/>
  <c r="D6" i="20"/>
  <c r="D14" i="20" s="1"/>
  <c r="Q15" i="20"/>
  <c r="W15" i="20"/>
  <c r="O15" i="20"/>
  <c r="W17" i="21"/>
  <c r="U15" i="20"/>
  <c r="E6" i="20"/>
  <c r="E14" i="20" s="1"/>
  <c r="J8" i="19"/>
  <c r="P36" i="23"/>
  <c r="N36" i="23"/>
  <c r="L8" i="19"/>
  <c r="D15" i="19"/>
  <c r="H15" i="19"/>
  <c r="M35" i="23"/>
  <c r="M36" i="23" s="1"/>
  <c r="G8" i="19"/>
  <c r="F14" i="19"/>
  <c r="F15" i="19" s="1"/>
  <c r="J14" i="19"/>
  <c r="J15" i="19" s="1"/>
  <c r="M15" i="19"/>
  <c r="I15" i="19"/>
  <c r="E15" i="19"/>
  <c r="X17" i="21"/>
  <c r="R17" i="21"/>
  <c r="K8" i="19"/>
  <c r="V17" i="21"/>
  <c r="Q17" i="21"/>
  <c r="Y17" i="21"/>
  <c r="Z17" i="21"/>
  <c r="S17" i="21"/>
  <c r="L17" i="21"/>
  <c r="T16" i="21"/>
  <c r="T17" i="21" s="1"/>
  <c r="P25" i="21"/>
  <c r="P85" i="21" s="1"/>
  <c r="H17" i="21"/>
  <c r="N32" i="21"/>
  <c r="M16" i="21"/>
  <c r="N16" i="21"/>
  <c r="O16" i="21"/>
  <c r="P32" i="21"/>
  <c r="X25" i="21"/>
  <c r="X85" i="21" s="1"/>
  <c r="D17" i="21"/>
  <c r="G17" i="21"/>
  <c r="K17" i="21"/>
  <c r="J17" i="21"/>
  <c r="F17" i="21"/>
  <c r="E17" i="21"/>
  <c r="I17" i="21"/>
  <c r="B14" i="20"/>
  <c r="Z15" i="20"/>
  <c r="V15" i="20"/>
  <c r="R15" i="20"/>
  <c r="N15" i="20"/>
  <c r="AB15" i="20"/>
  <c r="X15" i="20"/>
  <c r="T15" i="20"/>
  <c r="P15" i="20"/>
  <c r="F6" i="20"/>
  <c r="F14" i="20" s="1"/>
  <c r="J6" i="20"/>
  <c r="J14" i="20" s="1"/>
  <c r="I6" i="20"/>
  <c r="I14" i="20" s="1"/>
  <c r="H6" i="20"/>
  <c r="H14" i="20" s="1"/>
  <c r="G6" i="20"/>
  <c r="G14" i="20" s="1"/>
  <c r="C6" i="20"/>
  <c r="C14" i="20" s="1"/>
  <c r="R155" i="16"/>
  <c r="R156" i="16"/>
  <c r="R157" i="16"/>
  <c r="R158" i="16"/>
  <c r="R159" i="16"/>
  <c r="R160" i="16"/>
  <c r="R161" i="16"/>
  <c r="R162" i="16"/>
  <c r="R163" i="16"/>
  <c r="R164" i="16"/>
  <c r="R165" i="16"/>
  <c r="R166" i="16"/>
  <c r="R167" i="16"/>
  <c r="R168" i="16"/>
  <c r="R169" i="16"/>
  <c r="R170" i="16"/>
  <c r="R171" i="16"/>
  <c r="R172" i="16"/>
  <c r="R173" i="16"/>
  <c r="R174" i="16"/>
  <c r="R175" i="16"/>
  <c r="R176" i="16"/>
  <c r="R177" i="16"/>
  <c r="R178" i="16"/>
  <c r="R179" i="16"/>
  <c r="R180" i="16"/>
  <c r="R181" i="16"/>
  <c r="R182" i="16"/>
  <c r="R183" i="16"/>
  <c r="R184" i="16"/>
  <c r="R185" i="16"/>
  <c r="R186" i="16"/>
  <c r="R187" i="16"/>
  <c r="R188" i="16"/>
  <c r="R189" i="16"/>
  <c r="R190" i="16"/>
  <c r="R191" i="16"/>
  <c r="R192" i="16"/>
  <c r="R193" i="16"/>
  <c r="R194" i="16"/>
  <c r="R195" i="16"/>
  <c r="R196" i="16"/>
  <c r="R197" i="16"/>
  <c r="R198" i="16"/>
  <c r="R199" i="16"/>
  <c r="R200" i="16"/>
  <c r="R201" i="16"/>
  <c r="R202" i="16"/>
  <c r="R203" i="16"/>
  <c r="R204" i="16"/>
  <c r="R205" i="16"/>
  <c r="E152" i="16"/>
  <c r="G152" i="16" s="1"/>
  <c r="I153" i="16" s="1"/>
  <c r="E153" i="16"/>
  <c r="G153" i="16" s="1"/>
  <c r="I154" i="16" s="1"/>
  <c r="E154" i="16"/>
  <c r="G154" i="16" s="1"/>
  <c r="I155" i="16" s="1"/>
  <c r="E155" i="16"/>
  <c r="G155" i="16" s="1"/>
  <c r="I156" i="16" s="1"/>
  <c r="E156" i="16"/>
  <c r="G156" i="16" s="1"/>
  <c r="I157" i="16" s="1"/>
  <c r="E157" i="16"/>
  <c r="G157" i="16" s="1"/>
  <c r="I158" i="16" s="1"/>
  <c r="E158" i="16"/>
  <c r="G158" i="16" s="1"/>
  <c r="I159" i="16" s="1"/>
  <c r="E159" i="16"/>
  <c r="G159" i="16" s="1"/>
  <c r="I160" i="16" s="1"/>
  <c r="E160" i="16"/>
  <c r="G160" i="16" s="1"/>
  <c r="I161" i="16" s="1"/>
  <c r="E161" i="16"/>
  <c r="G161" i="16" s="1"/>
  <c r="I162" i="16" s="1"/>
  <c r="E162" i="16"/>
  <c r="G162" i="16" s="1"/>
  <c r="I163" i="16" s="1"/>
  <c r="E163" i="16"/>
  <c r="G163" i="16" s="1"/>
  <c r="I164" i="16" s="1"/>
  <c r="E164" i="16"/>
  <c r="G164" i="16" s="1"/>
  <c r="I165" i="16" s="1"/>
  <c r="E165" i="16"/>
  <c r="G165" i="16" s="1"/>
  <c r="I166" i="16" s="1"/>
  <c r="E166" i="16"/>
  <c r="G166" i="16" s="1"/>
  <c r="I167" i="16" s="1"/>
  <c r="E167" i="16"/>
  <c r="G167" i="16" s="1"/>
  <c r="I168" i="16" s="1"/>
  <c r="E168" i="16"/>
  <c r="G168" i="16" s="1"/>
  <c r="I169" i="16" s="1"/>
  <c r="E169" i="16"/>
  <c r="G169" i="16" s="1"/>
  <c r="I170" i="16" s="1"/>
  <c r="E170" i="16"/>
  <c r="G170" i="16" s="1"/>
  <c r="I171" i="16" s="1"/>
  <c r="E171" i="16"/>
  <c r="G171" i="16" s="1"/>
  <c r="I172" i="16" s="1"/>
  <c r="E172" i="16"/>
  <c r="G172" i="16" s="1"/>
  <c r="I173" i="16" s="1"/>
  <c r="E173" i="16"/>
  <c r="G173" i="16" s="1"/>
  <c r="I174" i="16" s="1"/>
  <c r="E174" i="16"/>
  <c r="G174" i="16" s="1"/>
  <c r="I175" i="16" s="1"/>
  <c r="E175" i="16"/>
  <c r="G175" i="16" s="1"/>
  <c r="I176" i="16" s="1"/>
  <c r="E176" i="16"/>
  <c r="G176" i="16" s="1"/>
  <c r="I177" i="16" s="1"/>
  <c r="E177" i="16"/>
  <c r="G177" i="16" s="1"/>
  <c r="I178" i="16" s="1"/>
  <c r="E178" i="16"/>
  <c r="G178" i="16" s="1"/>
  <c r="I179" i="16" s="1"/>
  <c r="E179" i="16"/>
  <c r="G179" i="16" s="1"/>
  <c r="I180" i="16" s="1"/>
  <c r="E180" i="16"/>
  <c r="G180" i="16" s="1"/>
  <c r="I181" i="16" s="1"/>
  <c r="E181" i="16"/>
  <c r="G181" i="16" s="1"/>
  <c r="I182" i="16" s="1"/>
  <c r="E182" i="16"/>
  <c r="G182" i="16" s="1"/>
  <c r="I183" i="16" s="1"/>
  <c r="E183" i="16"/>
  <c r="G183" i="16" s="1"/>
  <c r="I184" i="16" s="1"/>
  <c r="E184" i="16"/>
  <c r="G184" i="16" s="1"/>
  <c r="I185" i="16" s="1"/>
  <c r="E185" i="16"/>
  <c r="G185" i="16" s="1"/>
  <c r="I186" i="16" s="1"/>
  <c r="E186" i="16"/>
  <c r="G186" i="16" s="1"/>
  <c r="I187" i="16" s="1"/>
  <c r="E187" i="16"/>
  <c r="G187" i="16" s="1"/>
  <c r="I188" i="16" s="1"/>
  <c r="E188" i="16"/>
  <c r="G188" i="16" s="1"/>
  <c r="I189" i="16" s="1"/>
  <c r="E189" i="16"/>
  <c r="G189" i="16" s="1"/>
  <c r="I190" i="16" s="1"/>
  <c r="E190" i="16"/>
  <c r="G190" i="16" s="1"/>
  <c r="I191" i="16" s="1"/>
  <c r="E191" i="16"/>
  <c r="G191" i="16" s="1"/>
  <c r="I192" i="16" s="1"/>
  <c r="E192" i="16"/>
  <c r="G192" i="16" s="1"/>
  <c r="I193" i="16" s="1"/>
  <c r="E193" i="16"/>
  <c r="G193" i="16" s="1"/>
  <c r="I194" i="16" s="1"/>
  <c r="E194" i="16"/>
  <c r="G194" i="16" s="1"/>
  <c r="I195" i="16" s="1"/>
  <c r="E195" i="16"/>
  <c r="G195" i="16" s="1"/>
  <c r="I196" i="16" s="1"/>
  <c r="E196" i="16"/>
  <c r="G196" i="16" s="1"/>
  <c r="I197" i="16" s="1"/>
  <c r="E197" i="16"/>
  <c r="G197" i="16" s="1"/>
  <c r="I198" i="16" s="1"/>
  <c r="E198" i="16"/>
  <c r="G198" i="16" s="1"/>
  <c r="I199" i="16" s="1"/>
  <c r="E199" i="16"/>
  <c r="G199" i="16" s="1"/>
  <c r="I200" i="16" s="1"/>
  <c r="E200" i="16"/>
  <c r="G200" i="16" s="1"/>
  <c r="I201" i="16" s="1"/>
  <c r="E201" i="16"/>
  <c r="G201" i="16" s="1"/>
  <c r="I202" i="16" s="1"/>
  <c r="E202" i="16"/>
  <c r="G202" i="16" s="1"/>
  <c r="I203" i="16" s="1"/>
  <c r="E203" i="16"/>
  <c r="G203" i="16" s="1"/>
  <c r="I204" i="16" s="1"/>
  <c r="E204" i="16"/>
  <c r="G204" i="16" s="1"/>
  <c r="I205" i="16" s="1"/>
  <c r="E151" i="16"/>
  <c r="G151" i="16" s="1"/>
  <c r="I152" i="16" s="1"/>
  <c r="P101" i="16"/>
  <c r="P102" i="16"/>
  <c r="P103" i="16"/>
  <c r="P104" i="16"/>
  <c r="P105" i="16"/>
  <c r="P106" i="16"/>
  <c r="P107" i="16"/>
  <c r="P108" i="16"/>
  <c r="P109" i="16"/>
  <c r="P110" i="16"/>
  <c r="P100" i="16"/>
  <c r="E111" i="16"/>
  <c r="F111" i="16"/>
  <c r="G111" i="16"/>
  <c r="H112" i="16"/>
  <c r="I112" i="16"/>
  <c r="J112" i="16"/>
  <c r="K112" i="16"/>
  <c r="L112" i="16"/>
  <c r="C110" i="16"/>
  <c r="D111" i="16" s="1"/>
  <c r="L75" i="16"/>
  <c r="L76" i="16"/>
  <c r="L77" i="16"/>
  <c r="L74" i="16"/>
  <c r="K68" i="16"/>
  <c r="K69" i="16"/>
  <c r="K70" i="16"/>
  <c r="K71" i="16"/>
  <c r="K67" i="16"/>
  <c r="J72" i="16"/>
  <c r="I73" i="16"/>
  <c r="I74" i="16" s="1"/>
  <c r="E67" i="16"/>
  <c r="E68" i="16"/>
  <c r="E69" i="16"/>
  <c r="E70" i="16"/>
  <c r="E71" i="16"/>
  <c r="E72" i="16"/>
  <c r="E73" i="16"/>
  <c r="E74" i="16"/>
  <c r="E75" i="16"/>
  <c r="E76" i="16"/>
  <c r="E77" i="16"/>
  <c r="E78" i="16"/>
  <c r="E79" i="16"/>
  <c r="E80" i="16"/>
  <c r="E81" i="16"/>
  <c r="E82" i="16"/>
  <c r="E83" i="16"/>
  <c r="E84" i="16"/>
  <c r="E85" i="16"/>
  <c r="E86" i="16"/>
  <c r="E87" i="16"/>
  <c r="E88" i="16"/>
  <c r="E89" i="16"/>
  <c r="E90" i="16"/>
  <c r="E91" i="16"/>
  <c r="E66" i="16"/>
  <c r="C67" i="16"/>
  <c r="C68" i="16"/>
  <c r="C69" i="16"/>
  <c r="C70" i="16"/>
  <c r="C71" i="16"/>
  <c r="C72" i="16"/>
  <c r="C73" i="16"/>
  <c r="C74" i="16"/>
  <c r="C75" i="16"/>
  <c r="C76" i="16"/>
  <c r="C77" i="16"/>
  <c r="C78" i="16"/>
  <c r="C79" i="16"/>
  <c r="C80" i="16"/>
  <c r="C81" i="16"/>
  <c r="C82" i="16"/>
  <c r="C83" i="16"/>
  <c r="C84" i="16"/>
  <c r="C85" i="16"/>
  <c r="C86" i="16"/>
  <c r="C87" i="16"/>
  <c r="C88" i="16"/>
  <c r="C89" i="16"/>
  <c r="C90" i="16"/>
  <c r="C91" i="16"/>
  <c r="C66" i="16"/>
  <c r="Q44" i="16"/>
  <c r="Q45" i="16"/>
  <c r="Q46" i="16"/>
  <c r="Q47" i="16"/>
  <c r="Q48" i="16"/>
  <c r="Q49" i="16"/>
  <c r="Q43" i="16"/>
  <c r="M44" i="16"/>
  <c r="M45" i="16"/>
  <c r="M43" i="16"/>
  <c r="K50" i="16"/>
  <c r="K49" i="16"/>
  <c r="J59" i="16"/>
  <c r="J57" i="16"/>
  <c r="J56" i="16"/>
  <c r="J55" i="16"/>
  <c r="G58" i="16"/>
  <c r="M58" i="16" s="1"/>
  <c r="G54" i="16"/>
  <c r="G53" i="16"/>
  <c r="M54" i="16" s="1"/>
  <c r="G52" i="16"/>
  <c r="G51" i="16"/>
  <c r="M52" i="16" s="1"/>
  <c r="G50" i="16"/>
  <c r="G49" i="16"/>
  <c r="G48" i="16"/>
  <c r="G47" i="16"/>
  <c r="M48" i="16" s="1"/>
  <c r="G46" i="16"/>
  <c r="F54" i="16"/>
  <c r="F55" i="16"/>
  <c r="F56" i="16"/>
  <c r="E54" i="16"/>
  <c r="E55" i="16"/>
  <c r="G55" i="16" s="1"/>
  <c r="E56" i="16"/>
  <c r="G56" i="16" s="1"/>
  <c r="B53" i="16"/>
  <c r="C43" i="16"/>
  <c r="C44" i="16"/>
  <c r="C45" i="16"/>
  <c r="C46" i="16"/>
  <c r="C47" i="16"/>
  <c r="C48" i="16"/>
  <c r="C49" i="16"/>
  <c r="C50" i="16"/>
  <c r="C51" i="16"/>
  <c r="C52" i="16"/>
  <c r="C53" i="16"/>
  <c r="C54" i="16"/>
  <c r="D54" i="16" s="1"/>
  <c r="C55" i="16"/>
  <c r="D55" i="16" s="1"/>
  <c r="C56" i="16"/>
  <c r="D56" i="16" s="1"/>
  <c r="C57" i="16"/>
  <c r="S58" i="16" s="1"/>
  <c r="C42" i="16"/>
  <c r="B50" i="16"/>
  <c r="F50" i="16" s="1"/>
  <c r="B51" i="16"/>
  <c r="F51" i="16" s="1"/>
  <c r="B52" i="16"/>
  <c r="F52" i="16" s="1"/>
  <c r="B57" i="16"/>
  <c r="E57" i="16" s="1"/>
  <c r="B58" i="16"/>
  <c r="F58" i="16" s="1"/>
  <c r="B43" i="16"/>
  <c r="F43" i="16" s="1"/>
  <c r="B44" i="16"/>
  <c r="F44" i="16" s="1"/>
  <c r="B45" i="16"/>
  <c r="E45" i="16" s="1"/>
  <c r="B46" i="16"/>
  <c r="F46" i="16" s="1"/>
  <c r="B47" i="16"/>
  <c r="F47" i="16" s="1"/>
  <c r="B48" i="16"/>
  <c r="F48" i="16" s="1"/>
  <c r="B49" i="16"/>
  <c r="E49" i="16" s="1"/>
  <c r="B42" i="16"/>
  <c r="F42" i="16" s="1"/>
  <c r="V9" i="16"/>
  <c r="V10" i="16"/>
  <c r="V11" i="16"/>
  <c r="V12" i="16"/>
  <c r="V13" i="16"/>
  <c r="V14" i="16"/>
  <c r="V15" i="16"/>
  <c r="V16" i="16"/>
  <c r="V17" i="16"/>
  <c r="V18" i="16"/>
  <c r="V19" i="16"/>
  <c r="V20" i="16"/>
  <c r="V21" i="16"/>
  <c r="V22" i="16"/>
  <c r="V23" i="16"/>
  <c r="V24" i="16"/>
  <c r="V25" i="16"/>
  <c r="V26" i="16"/>
  <c r="V27" i="16"/>
  <c r="V28" i="16"/>
  <c r="V29" i="16"/>
  <c r="V30" i="16"/>
  <c r="V31" i="16"/>
  <c r="V32" i="16"/>
  <c r="V34" i="16"/>
  <c r="V35" i="16"/>
  <c r="V36" i="16"/>
  <c r="V8" i="16"/>
  <c r="T8" i="16"/>
  <c r="T9" i="16"/>
  <c r="T10" i="16"/>
  <c r="T11" i="16"/>
  <c r="T12" i="16"/>
  <c r="T13" i="16"/>
  <c r="T14" i="16"/>
  <c r="T15" i="16"/>
  <c r="T16" i="16"/>
  <c r="T17" i="16"/>
  <c r="T18" i="16"/>
  <c r="T19" i="16"/>
  <c r="T20" i="16"/>
  <c r="T21" i="16"/>
  <c r="T22" i="16"/>
  <c r="T23" i="16"/>
  <c r="T24" i="16"/>
  <c r="T25" i="16"/>
  <c r="T26" i="16"/>
  <c r="T27" i="16"/>
  <c r="T28" i="16"/>
  <c r="T29" i="16"/>
  <c r="T30" i="16"/>
  <c r="T31" i="16"/>
  <c r="T32" i="16"/>
  <c r="T34" i="16"/>
  <c r="T35" i="16"/>
  <c r="T36" i="16"/>
  <c r="T7" i="16"/>
  <c r="R8" i="16"/>
  <c r="R9" i="16"/>
  <c r="R10" i="16"/>
  <c r="R11" i="16"/>
  <c r="R12" i="16"/>
  <c r="R13" i="16"/>
  <c r="R14" i="16"/>
  <c r="R15" i="16"/>
  <c r="R16" i="16"/>
  <c r="R17" i="16"/>
  <c r="R18" i="16"/>
  <c r="R19" i="16"/>
  <c r="R20" i="16"/>
  <c r="R21" i="16"/>
  <c r="R22" i="16"/>
  <c r="R23" i="16"/>
  <c r="R24" i="16"/>
  <c r="R25" i="16"/>
  <c r="R26" i="16"/>
  <c r="R27" i="16"/>
  <c r="R28" i="16"/>
  <c r="R29" i="16"/>
  <c r="R30" i="16"/>
  <c r="R31" i="16"/>
  <c r="R32" i="16"/>
  <c r="R34" i="16"/>
  <c r="R35" i="16"/>
  <c r="R7" i="16"/>
  <c r="G8" i="16"/>
  <c r="G9" i="16"/>
  <c r="G10" i="16"/>
  <c r="G11" i="16"/>
  <c r="G12" i="16"/>
  <c r="G13" i="16"/>
  <c r="G14" i="16"/>
  <c r="G15" i="16"/>
  <c r="G16" i="16"/>
  <c r="G17" i="16"/>
  <c r="G18" i="16"/>
  <c r="G19" i="16"/>
  <c r="G20" i="16"/>
  <c r="G21" i="16"/>
  <c r="G22" i="16"/>
  <c r="G23" i="16"/>
  <c r="G24" i="16"/>
  <c r="G25" i="16"/>
  <c r="G26" i="16"/>
  <c r="G27" i="16"/>
  <c r="G28" i="16"/>
  <c r="G29" i="16"/>
  <c r="G7" i="16"/>
  <c r="E8" i="16"/>
  <c r="E9" i="16"/>
  <c r="E10" i="16"/>
  <c r="E11" i="16"/>
  <c r="E12" i="16"/>
  <c r="E13" i="16"/>
  <c r="E14" i="16"/>
  <c r="E15" i="16"/>
  <c r="E16" i="16"/>
  <c r="E17" i="16"/>
  <c r="E18" i="16"/>
  <c r="E19" i="16"/>
  <c r="E20" i="16"/>
  <c r="E21" i="16"/>
  <c r="E22" i="16"/>
  <c r="E23" i="16"/>
  <c r="E24" i="16"/>
  <c r="E25" i="16"/>
  <c r="E26" i="16"/>
  <c r="E27" i="16"/>
  <c r="E28" i="16"/>
  <c r="E29" i="16"/>
  <c r="E7" i="16"/>
  <c r="C8" i="16"/>
  <c r="C9" i="16"/>
  <c r="C10" i="16"/>
  <c r="C11" i="16"/>
  <c r="C12" i="16"/>
  <c r="C13" i="16"/>
  <c r="C14" i="16"/>
  <c r="C15" i="16"/>
  <c r="C16" i="16"/>
  <c r="C17" i="16"/>
  <c r="C18" i="16"/>
  <c r="C19" i="16"/>
  <c r="C20" i="16"/>
  <c r="C21" i="16"/>
  <c r="C22" i="16"/>
  <c r="C23" i="16"/>
  <c r="C24" i="16"/>
  <c r="C25" i="16"/>
  <c r="C26" i="16"/>
  <c r="C27" i="16"/>
  <c r="C28" i="16"/>
  <c r="C29" i="16"/>
  <c r="C7" i="16"/>
  <c r="E47" i="15"/>
  <c r="E48" i="15"/>
  <c r="E49" i="15"/>
  <c r="E50" i="15"/>
  <c r="E51" i="15"/>
  <c r="E52" i="15"/>
  <c r="E53" i="15"/>
  <c r="E54" i="15"/>
  <c r="E55" i="15"/>
  <c r="E56" i="15"/>
  <c r="E57" i="15"/>
  <c r="E58" i="15"/>
  <c r="E59" i="15"/>
  <c r="E60" i="15"/>
  <c r="E61" i="15"/>
  <c r="E62" i="15"/>
  <c r="E63" i="15"/>
  <c r="E64" i="15"/>
  <c r="E65" i="15"/>
  <c r="E46" i="15"/>
  <c r="C61" i="15"/>
  <c r="C47" i="15"/>
  <c r="C48" i="15"/>
  <c r="C49" i="15"/>
  <c r="C50" i="15"/>
  <c r="C51" i="15"/>
  <c r="C52" i="15"/>
  <c r="C53" i="15"/>
  <c r="C54" i="15"/>
  <c r="C55" i="15"/>
  <c r="C56" i="15"/>
  <c r="C57" i="15"/>
  <c r="C58" i="15"/>
  <c r="C59" i="15"/>
  <c r="C46" i="15"/>
  <c r="D26" i="13"/>
  <c r="F39" i="15"/>
  <c r="G39" i="15"/>
  <c r="H39" i="15"/>
  <c r="E39" i="15"/>
  <c r="B32" i="15"/>
  <c r="C32" i="15"/>
  <c r="D32" i="15"/>
  <c r="F20" i="15"/>
  <c r="G20" i="15"/>
  <c r="H20" i="15"/>
  <c r="M53" i="16" l="1"/>
  <c r="M47" i="16"/>
  <c r="M46" i="16"/>
  <c r="M56" i="16"/>
  <c r="M51" i="16"/>
  <c r="O17" i="21"/>
  <c r="M49" i="16"/>
  <c r="N49" i="16" s="1"/>
  <c r="M59" i="16"/>
  <c r="N59" i="16" s="1"/>
  <c r="M57" i="16"/>
  <c r="N57" i="16" s="1"/>
  <c r="E15" i="20"/>
  <c r="S50" i="16"/>
  <c r="S46" i="16"/>
  <c r="N58" i="16"/>
  <c r="U17" i="21"/>
  <c r="N17" i="21"/>
  <c r="P17" i="21"/>
  <c r="F15" i="20"/>
  <c r="C15" i="20"/>
  <c r="H15" i="20"/>
  <c r="I15" i="20"/>
  <c r="J15" i="20"/>
  <c r="K15" i="20"/>
  <c r="G15" i="20"/>
  <c r="D15" i="20"/>
  <c r="N53" i="16"/>
  <c r="D58" i="16"/>
  <c r="D53" i="16"/>
  <c r="E52" i="16"/>
  <c r="K73" i="16"/>
  <c r="M73" i="16" s="1"/>
  <c r="N56" i="16"/>
  <c r="D42" i="16"/>
  <c r="S52" i="16"/>
  <c r="S48" i="16"/>
  <c r="S44" i="16"/>
  <c r="E44" i="16"/>
  <c r="M55" i="16"/>
  <c r="N55" i="16" s="1"/>
  <c r="N45" i="16"/>
  <c r="S57" i="16"/>
  <c r="S53" i="16"/>
  <c r="S49" i="16"/>
  <c r="S45" i="16"/>
  <c r="D52" i="16"/>
  <c r="E48" i="16"/>
  <c r="M50" i="16"/>
  <c r="N50" i="16" s="1"/>
  <c r="N54" i="16"/>
  <c r="N44" i="16"/>
  <c r="S56" i="16"/>
  <c r="N51" i="16"/>
  <c r="D48" i="16"/>
  <c r="N47" i="16"/>
  <c r="S51" i="16"/>
  <c r="S47" i="16"/>
  <c r="S43" i="16"/>
  <c r="D44" i="16"/>
  <c r="N48" i="16"/>
  <c r="N52" i="16"/>
  <c r="N43" i="16"/>
  <c r="N46" i="16"/>
  <c r="I75" i="16"/>
  <c r="K74" i="16"/>
  <c r="M74" i="16" s="1"/>
  <c r="J74" i="16"/>
  <c r="F57" i="16"/>
  <c r="F45" i="16"/>
  <c r="D57" i="16"/>
  <c r="D51" i="16"/>
  <c r="D47" i="16"/>
  <c r="D43" i="16"/>
  <c r="E42" i="16"/>
  <c r="E51" i="16"/>
  <c r="E47" i="16"/>
  <c r="E43" i="16"/>
  <c r="S55" i="16"/>
  <c r="F49" i="16"/>
  <c r="D50" i="16"/>
  <c r="D46" i="16"/>
  <c r="E58" i="16"/>
  <c r="E50" i="16"/>
  <c r="E46" i="16"/>
  <c r="S54" i="16"/>
  <c r="J73" i="16"/>
  <c r="F53" i="16"/>
  <c r="D49" i="16"/>
  <c r="D45" i="16"/>
  <c r="E53" i="16"/>
  <c r="E26" i="13"/>
  <c r="E34" i="13" s="1"/>
  <c r="D32" i="13"/>
  <c r="I76" i="16" l="1"/>
  <c r="K75" i="16"/>
  <c r="M75" i="16" s="1"/>
  <c r="J75" i="16"/>
  <c r="D34" i="13"/>
  <c r="F34" i="13" s="1"/>
  <c r="I77" i="16" l="1"/>
  <c r="K76" i="16"/>
  <c r="M76" i="16" s="1"/>
  <c r="J76" i="16"/>
  <c r="I78" i="16" l="1"/>
  <c r="K77" i="16"/>
  <c r="M77" i="16" s="1"/>
  <c r="J77" i="16"/>
  <c r="I79" i="16" l="1"/>
  <c r="K78" i="16"/>
  <c r="M78" i="16" s="1"/>
  <c r="J78" i="16"/>
  <c r="I80" i="16" l="1"/>
  <c r="J79" i="16"/>
  <c r="K79" i="16"/>
  <c r="M79" i="16" s="1"/>
  <c r="I81" i="16" l="1"/>
  <c r="K80" i="16"/>
  <c r="M80" i="16" s="1"/>
  <c r="J80" i="16"/>
  <c r="I82" i="16" l="1"/>
  <c r="K81" i="16"/>
  <c r="M81" i="16" s="1"/>
  <c r="J81" i="16"/>
  <c r="K82" i="16" l="1"/>
  <c r="M82" i="16" s="1"/>
  <c r="J82" i="16"/>
  <c r="C55" i="20"/>
  <c r="F50" i="23"/>
  <c r="F51" i="23"/>
  <c r="I51" i="23"/>
  <c r="H50" i="23"/>
  <c r="H51" i="23" s="1"/>
  <c r="L50" i="23"/>
  <c r="L51" i="23" s="1"/>
  <c r="I50" i="23"/>
  <c r="K50" i="23"/>
  <c r="K51" i="23" s="1"/>
  <c r="G50" i="23"/>
  <c r="G51" i="23" s="1"/>
  <c r="M50" i="23"/>
  <c r="M51" i="23"/>
  <c r="J50" i="23"/>
  <c r="J51" i="23" s="1"/>
  <c r="N50" i="23" l="1"/>
  <c r="N51"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C16" authorId="0" shapeId="0" xr:uid="{A944246F-2C3C-4DD8-A2E6-A1C2C1400607}">
      <text>
        <r>
          <rPr>
            <b/>
            <sz val="9"/>
            <color indexed="81"/>
            <rFont val="Tahoma"/>
            <family val="2"/>
          </rPr>
          <t>Craeye Birgit:</t>
        </r>
        <r>
          <rPr>
            <sz val="9"/>
            <color indexed="81"/>
            <rFont val="Tahoma"/>
            <family val="2"/>
          </rPr>
          <t xml:space="preserve">
Dit gebeurt voortaan elektronisch. </t>
        </r>
      </text>
    </comment>
    <comment ref="C219" authorId="0" shapeId="0" xr:uid="{00000000-0006-0000-1600-000002000000}">
      <text>
        <r>
          <rPr>
            <b/>
            <sz val="9"/>
            <color indexed="81"/>
            <rFont val="Tahoma"/>
            <family val="2"/>
          </rPr>
          <t>Craeye Birgit:</t>
        </r>
        <r>
          <rPr>
            <sz val="9"/>
            <color indexed="81"/>
            <rFont val="Tahoma"/>
            <family val="2"/>
          </rPr>
          <t xml:space="preserve">
Tot 19/4/2016 +
Tot 14/6/2016 (voor egov)</t>
        </r>
      </text>
    </comment>
    <comment ref="F219" authorId="0" shapeId="0" xr:uid="{00000000-0006-0000-1600-000003000000}">
      <text>
        <r>
          <rPr>
            <b/>
            <sz val="9"/>
            <color indexed="81"/>
            <rFont val="Tahoma"/>
            <family val="2"/>
          </rPr>
          <t>Craeye Birgit:</t>
        </r>
        <r>
          <rPr>
            <sz val="9"/>
            <color indexed="81"/>
            <rFont val="Tahoma"/>
            <family val="2"/>
          </rPr>
          <t xml:space="preserve">
Gegevens niet meer beschikbaar. Nieuwe website.</t>
        </r>
      </text>
    </comment>
    <comment ref="B228" authorId="0" shapeId="0" xr:uid="{00000000-0006-0000-1600-000004000000}">
      <text>
        <r>
          <rPr>
            <b/>
            <sz val="9"/>
            <color indexed="81"/>
            <rFont val="Tahoma"/>
            <family val="2"/>
          </rPr>
          <t>Craeye Birgit:</t>
        </r>
        <r>
          <rPr>
            <sz val="9"/>
            <color indexed="81"/>
            <rFont val="Tahoma"/>
            <family val="2"/>
          </rPr>
          <t xml:space="preserve">
cevi</t>
        </r>
      </text>
    </comment>
    <comment ref="B229" authorId="0" shapeId="0" xr:uid="{00000000-0006-0000-1600-000005000000}">
      <text>
        <r>
          <rPr>
            <b/>
            <sz val="9"/>
            <color indexed="81"/>
            <rFont val="Tahoma"/>
            <family val="2"/>
          </rPr>
          <t>Craeye Birgit:</t>
        </r>
        <r>
          <rPr>
            <sz val="9"/>
            <color indexed="81"/>
            <rFont val="Tahoma"/>
            <family val="2"/>
          </rPr>
          <t xml:space="preserve">
cevi</t>
        </r>
      </text>
    </comment>
    <comment ref="C239" authorId="0" shapeId="0" xr:uid="{00000000-0006-0000-1600-000006000000}">
      <text>
        <r>
          <rPr>
            <b/>
            <sz val="9"/>
            <color indexed="81"/>
            <rFont val="Tahoma"/>
            <family val="2"/>
          </rPr>
          <t>Craeye Birgit:</t>
        </r>
        <r>
          <rPr>
            <sz val="9"/>
            <color indexed="81"/>
            <rFont val="Tahoma"/>
            <family val="2"/>
          </rPr>
          <t xml:space="preserve">
egov</t>
        </r>
      </text>
    </comment>
    <comment ref="C240" authorId="0" shapeId="0" xr:uid="{00000000-0006-0000-1600-000007000000}">
      <text>
        <r>
          <rPr>
            <b/>
            <sz val="9"/>
            <color indexed="81"/>
            <rFont val="Tahoma"/>
            <family val="2"/>
          </rPr>
          <t>Craeye Birgit:</t>
        </r>
        <r>
          <rPr>
            <sz val="9"/>
            <color indexed="81"/>
            <rFont val="Tahoma"/>
            <family val="2"/>
          </rPr>
          <t xml:space="preserve">
egov</t>
        </r>
      </text>
    </comment>
    <comment ref="B241" authorId="0" shapeId="0" xr:uid="{00000000-0006-0000-1600-000008000000}">
      <text>
        <r>
          <rPr>
            <b/>
            <sz val="9"/>
            <color indexed="81"/>
            <rFont val="Tahoma"/>
            <family val="2"/>
          </rPr>
          <t>Craeye Birgit:</t>
        </r>
        <r>
          <rPr>
            <sz val="9"/>
            <color indexed="81"/>
            <rFont val="Tahoma"/>
            <family val="2"/>
          </rPr>
          <t xml:space="preserve">
cevi</t>
        </r>
      </text>
    </comment>
    <comment ref="C241" authorId="0" shapeId="0" xr:uid="{00000000-0006-0000-1600-000009000000}">
      <text>
        <r>
          <rPr>
            <b/>
            <sz val="9"/>
            <color indexed="81"/>
            <rFont val="Tahoma"/>
            <family val="2"/>
          </rPr>
          <t>Craeye Birgit:</t>
        </r>
        <r>
          <rPr>
            <sz val="9"/>
            <color indexed="81"/>
            <rFont val="Tahoma"/>
            <family val="2"/>
          </rPr>
          <t xml:space="preserve">
egov</t>
        </r>
      </text>
    </comment>
    <comment ref="B242" authorId="0" shapeId="0" xr:uid="{00000000-0006-0000-1600-00000A000000}">
      <text>
        <r>
          <rPr>
            <b/>
            <sz val="9"/>
            <color indexed="81"/>
            <rFont val="Tahoma"/>
            <family val="2"/>
          </rPr>
          <t>Craeye Birgit:</t>
        </r>
        <r>
          <rPr>
            <sz val="9"/>
            <color indexed="81"/>
            <rFont val="Tahoma"/>
            <family val="2"/>
          </rPr>
          <t xml:space="preserve">
cevi</t>
        </r>
      </text>
    </comment>
    <comment ref="C242" authorId="0" shapeId="0" xr:uid="{00000000-0006-0000-1600-00000B000000}">
      <text>
        <r>
          <rPr>
            <b/>
            <sz val="9"/>
            <color indexed="81"/>
            <rFont val="Tahoma"/>
            <family val="2"/>
          </rPr>
          <t>Craeye Birgit:</t>
        </r>
        <r>
          <rPr>
            <sz val="9"/>
            <color indexed="81"/>
            <rFont val="Tahoma"/>
            <family val="2"/>
          </rPr>
          <t xml:space="preserve">
egov</t>
        </r>
      </text>
    </comment>
    <comment ref="C243" authorId="0" shapeId="0" xr:uid="{00000000-0006-0000-1600-00000C000000}">
      <text>
        <r>
          <rPr>
            <b/>
            <sz val="9"/>
            <color indexed="81"/>
            <rFont val="Tahoma"/>
            <family val="2"/>
          </rPr>
          <t>Craeye Birgit:</t>
        </r>
        <r>
          <rPr>
            <sz val="9"/>
            <color indexed="81"/>
            <rFont val="Tahoma"/>
            <family val="2"/>
          </rPr>
          <t xml:space="preserve">
egov</t>
        </r>
      </text>
    </comment>
    <comment ref="B244" authorId="0" shapeId="0" xr:uid="{00000000-0006-0000-1600-00000D000000}">
      <text>
        <r>
          <rPr>
            <b/>
            <sz val="9"/>
            <color indexed="81"/>
            <rFont val="Tahoma"/>
            <family val="2"/>
          </rPr>
          <t>Craeye Birgit:</t>
        </r>
        <r>
          <rPr>
            <sz val="9"/>
            <color indexed="81"/>
            <rFont val="Tahoma"/>
            <family val="2"/>
          </rPr>
          <t xml:space="preserve">
cevi</t>
        </r>
      </text>
    </comment>
    <comment ref="C244" authorId="0" shapeId="0" xr:uid="{00000000-0006-0000-1600-00000E000000}">
      <text>
        <r>
          <rPr>
            <b/>
            <sz val="9"/>
            <color indexed="81"/>
            <rFont val="Tahoma"/>
            <family val="2"/>
          </rPr>
          <t>Craeye Birgit:</t>
        </r>
        <r>
          <rPr>
            <sz val="9"/>
            <color indexed="81"/>
            <rFont val="Tahoma"/>
            <family val="2"/>
          </rPr>
          <t xml:space="preserve">
egov</t>
        </r>
      </text>
    </comment>
    <comment ref="B245" authorId="0" shapeId="0" xr:uid="{00000000-0006-0000-1600-00000F000000}">
      <text>
        <r>
          <rPr>
            <b/>
            <sz val="9"/>
            <color indexed="81"/>
            <rFont val="Tahoma"/>
            <family val="2"/>
          </rPr>
          <t>Craeye Birgit:</t>
        </r>
        <r>
          <rPr>
            <sz val="9"/>
            <color indexed="81"/>
            <rFont val="Tahoma"/>
            <family val="2"/>
          </rPr>
          <t xml:space="preserve">
cevi</t>
        </r>
      </text>
    </comment>
    <comment ref="B257" authorId="0" shapeId="0" xr:uid="{00000000-0006-0000-1600-000010000000}">
      <text>
        <r>
          <rPr>
            <b/>
            <sz val="9"/>
            <color indexed="81"/>
            <rFont val="Tahoma"/>
            <family val="2"/>
          </rPr>
          <t>Craeye Birgit:</t>
        </r>
        <r>
          <rPr>
            <sz val="9"/>
            <color indexed="81"/>
            <rFont val="Tahoma"/>
            <family val="2"/>
          </rPr>
          <t xml:space="preserve">
cevi</t>
        </r>
      </text>
    </comment>
    <comment ref="B258" authorId="0" shapeId="0" xr:uid="{00000000-0006-0000-1600-000011000000}">
      <text>
        <r>
          <rPr>
            <b/>
            <sz val="9"/>
            <color indexed="81"/>
            <rFont val="Tahoma"/>
            <family val="2"/>
          </rPr>
          <t>Craeye Birgit:</t>
        </r>
        <r>
          <rPr>
            <sz val="9"/>
            <color indexed="81"/>
            <rFont val="Tahoma"/>
            <family val="2"/>
          </rPr>
          <t xml:space="preserve">
cevi</t>
        </r>
      </text>
    </comment>
    <comment ref="B259" authorId="0" shapeId="0" xr:uid="{00000000-0006-0000-1600-000012000000}">
      <text>
        <r>
          <rPr>
            <b/>
            <sz val="9"/>
            <color indexed="81"/>
            <rFont val="Tahoma"/>
            <family val="2"/>
          </rPr>
          <t>Craeye Birgit:</t>
        </r>
        <r>
          <rPr>
            <sz val="9"/>
            <color indexed="81"/>
            <rFont val="Tahoma"/>
            <family val="2"/>
          </rPr>
          <t xml:space="preserve">
cevi</t>
        </r>
      </text>
    </comment>
    <comment ref="B297" authorId="0" shapeId="0" xr:uid="{00000000-0006-0000-1600-000013000000}">
      <text>
        <r>
          <rPr>
            <b/>
            <sz val="9"/>
            <color indexed="81"/>
            <rFont val="Tahoma"/>
            <family val="2"/>
          </rPr>
          <t>Craeye Birgit:</t>
        </r>
        <r>
          <rPr>
            <sz val="9"/>
            <color indexed="81"/>
            <rFont val="Tahoma"/>
            <family val="2"/>
          </rPr>
          <t xml:space="preserve">
cevi</t>
        </r>
      </text>
    </comment>
    <comment ref="B298" authorId="0" shapeId="0" xr:uid="{00000000-0006-0000-1600-000014000000}">
      <text>
        <r>
          <rPr>
            <b/>
            <sz val="9"/>
            <color indexed="81"/>
            <rFont val="Tahoma"/>
            <family val="2"/>
          </rPr>
          <t>Craeye Birgit:</t>
        </r>
        <r>
          <rPr>
            <sz val="9"/>
            <color indexed="81"/>
            <rFont val="Tahoma"/>
            <family val="2"/>
          </rPr>
          <t xml:space="preserve">
cevi</t>
        </r>
      </text>
    </comment>
    <comment ref="B315" authorId="0" shapeId="0" xr:uid="{00000000-0006-0000-1600-000015000000}">
      <text>
        <r>
          <rPr>
            <b/>
            <sz val="9"/>
            <color indexed="81"/>
            <rFont val="Tahoma"/>
            <family val="2"/>
          </rPr>
          <t>Craeye Birgit:</t>
        </r>
        <r>
          <rPr>
            <sz val="9"/>
            <color indexed="81"/>
            <rFont val="Tahoma"/>
            <family val="2"/>
          </rPr>
          <t xml:space="preserve">
cevi</t>
        </r>
      </text>
    </comment>
    <comment ref="B329" authorId="0" shapeId="0" xr:uid="{00000000-0006-0000-1600-000016000000}">
      <text>
        <r>
          <rPr>
            <b/>
            <sz val="9"/>
            <color indexed="81"/>
            <rFont val="Tahoma"/>
            <family val="2"/>
          </rPr>
          <t>Craeye Birgit:</t>
        </r>
        <r>
          <rPr>
            <sz val="9"/>
            <color indexed="81"/>
            <rFont val="Tahoma"/>
            <family val="2"/>
          </rPr>
          <t xml:space="preserve">
cevi</t>
        </r>
      </text>
    </comment>
    <comment ref="B330" authorId="0" shapeId="0" xr:uid="{00000000-0006-0000-1600-000017000000}">
      <text>
        <r>
          <rPr>
            <b/>
            <sz val="9"/>
            <color indexed="81"/>
            <rFont val="Tahoma"/>
            <family val="2"/>
          </rPr>
          <t>Craeye Birgit:</t>
        </r>
        <r>
          <rPr>
            <sz val="9"/>
            <color indexed="81"/>
            <rFont val="Tahoma"/>
            <family val="2"/>
          </rPr>
          <t xml:space="preserve">
cevi</t>
        </r>
      </text>
    </comment>
    <comment ref="C330" authorId="0" shapeId="0" xr:uid="{00000000-0006-0000-1600-000018000000}">
      <text>
        <r>
          <rPr>
            <b/>
            <sz val="9"/>
            <color indexed="81"/>
            <rFont val="Tahoma"/>
            <family val="2"/>
          </rPr>
          <t>Craeye Birgit:</t>
        </r>
        <r>
          <rPr>
            <sz val="9"/>
            <color indexed="81"/>
            <rFont val="Tahoma"/>
            <family val="2"/>
          </rPr>
          <t xml:space="preserve">
egov</t>
        </r>
      </text>
    </comment>
    <comment ref="B341" authorId="0" shapeId="0" xr:uid="{00000000-0006-0000-1600-000019000000}">
      <text>
        <r>
          <rPr>
            <b/>
            <sz val="9"/>
            <color indexed="81"/>
            <rFont val="Tahoma"/>
            <family val="2"/>
          </rPr>
          <t>Craeye Birgit:</t>
        </r>
        <r>
          <rPr>
            <sz val="9"/>
            <color indexed="81"/>
            <rFont val="Tahoma"/>
            <family val="2"/>
          </rPr>
          <t xml:space="preserve">
cevi</t>
        </r>
      </text>
    </comment>
    <comment ref="C341" authorId="0" shapeId="0" xr:uid="{00000000-0006-0000-1600-00001A000000}">
      <text>
        <r>
          <rPr>
            <b/>
            <sz val="9"/>
            <color indexed="81"/>
            <rFont val="Tahoma"/>
            <family val="2"/>
          </rPr>
          <t>Craeye Birgit:</t>
        </r>
        <r>
          <rPr>
            <sz val="9"/>
            <color indexed="81"/>
            <rFont val="Tahoma"/>
            <family val="2"/>
          </rPr>
          <t xml:space="preserve">
egov</t>
        </r>
      </text>
    </comment>
    <comment ref="B348" authorId="0" shapeId="0" xr:uid="{00000000-0006-0000-1600-00001B000000}">
      <text>
        <r>
          <rPr>
            <b/>
            <sz val="9"/>
            <color indexed="81"/>
            <rFont val="Tahoma"/>
            <family val="2"/>
          </rPr>
          <t>Craeye Birgit:</t>
        </r>
        <r>
          <rPr>
            <sz val="9"/>
            <color indexed="81"/>
            <rFont val="Tahoma"/>
            <family val="2"/>
          </rPr>
          <t xml:space="preserve">
cevi</t>
        </r>
      </text>
    </comment>
    <comment ref="B352" authorId="0" shapeId="0" xr:uid="{00000000-0006-0000-1600-00001C000000}">
      <text>
        <r>
          <rPr>
            <b/>
            <sz val="9"/>
            <color indexed="81"/>
            <rFont val="Tahoma"/>
            <family val="2"/>
          </rPr>
          <t>Craeye Birgit:</t>
        </r>
        <r>
          <rPr>
            <sz val="9"/>
            <color indexed="81"/>
            <rFont val="Tahoma"/>
            <family val="2"/>
          </rPr>
          <t xml:space="preserve">
cevi</t>
        </r>
      </text>
    </comment>
    <comment ref="B358" authorId="0" shapeId="0" xr:uid="{00000000-0006-0000-1600-00001D000000}">
      <text>
        <r>
          <rPr>
            <b/>
            <sz val="9"/>
            <color indexed="81"/>
            <rFont val="Tahoma"/>
            <family val="2"/>
          </rPr>
          <t>Craeye Birgit:</t>
        </r>
        <r>
          <rPr>
            <sz val="9"/>
            <color indexed="81"/>
            <rFont val="Tahoma"/>
            <family val="2"/>
          </rPr>
          <t xml:space="preserve">
cevi</t>
        </r>
      </text>
    </comment>
    <comment ref="C358" authorId="0" shapeId="0" xr:uid="{00000000-0006-0000-1600-00001E000000}">
      <text>
        <r>
          <rPr>
            <b/>
            <sz val="9"/>
            <color indexed="81"/>
            <rFont val="Tahoma"/>
            <family val="2"/>
          </rPr>
          <t>Craeye Birgit:</t>
        </r>
        <r>
          <rPr>
            <sz val="9"/>
            <color indexed="81"/>
            <rFont val="Tahoma"/>
            <family val="2"/>
          </rPr>
          <t xml:space="preserve">
egov</t>
        </r>
      </text>
    </comment>
    <comment ref="B398" authorId="0" shapeId="0" xr:uid="{00000000-0006-0000-1600-00001F000000}">
      <text>
        <r>
          <rPr>
            <b/>
            <sz val="9"/>
            <color indexed="81"/>
            <rFont val="Tahoma"/>
            <family val="2"/>
          </rPr>
          <t>Craeye Birgit:</t>
        </r>
        <r>
          <rPr>
            <sz val="9"/>
            <color indexed="81"/>
            <rFont val="Tahoma"/>
            <family val="2"/>
          </rPr>
          <t xml:space="preserve">
cevi</t>
        </r>
      </text>
    </comment>
    <comment ref="C398" authorId="0" shapeId="0" xr:uid="{00000000-0006-0000-1600-000020000000}">
      <text>
        <r>
          <rPr>
            <b/>
            <sz val="9"/>
            <color indexed="81"/>
            <rFont val="Tahoma"/>
            <family val="2"/>
          </rPr>
          <t>Craeye Birgit:</t>
        </r>
        <r>
          <rPr>
            <sz val="9"/>
            <color indexed="81"/>
            <rFont val="Tahoma"/>
            <family val="2"/>
          </rPr>
          <t xml:space="preserve">
egov</t>
        </r>
      </text>
    </comment>
    <comment ref="B413" authorId="0" shapeId="0" xr:uid="{00000000-0006-0000-1600-000021000000}">
      <text>
        <r>
          <rPr>
            <b/>
            <sz val="9"/>
            <color indexed="81"/>
            <rFont val="Tahoma"/>
            <family val="2"/>
          </rPr>
          <t>Craeye Birgit:</t>
        </r>
        <r>
          <rPr>
            <sz val="9"/>
            <color indexed="81"/>
            <rFont val="Tahoma"/>
            <family val="2"/>
          </rPr>
          <t xml:space="preserve">
cevi</t>
        </r>
      </text>
    </comment>
    <comment ref="C413" authorId="0" shapeId="0" xr:uid="{00000000-0006-0000-1600-000022000000}">
      <text>
        <r>
          <rPr>
            <b/>
            <sz val="9"/>
            <color indexed="81"/>
            <rFont val="Tahoma"/>
            <family val="2"/>
          </rPr>
          <t>Craeye Birgit:</t>
        </r>
        <r>
          <rPr>
            <sz val="9"/>
            <color indexed="81"/>
            <rFont val="Tahoma"/>
            <family val="2"/>
          </rPr>
          <t xml:space="preserve">
egov</t>
        </r>
      </text>
    </comment>
    <comment ref="B414" authorId="0" shapeId="0" xr:uid="{00000000-0006-0000-1600-000023000000}">
      <text>
        <r>
          <rPr>
            <b/>
            <sz val="9"/>
            <color indexed="81"/>
            <rFont val="Tahoma"/>
            <family val="2"/>
          </rPr>
          <t>Craeye Birgit:</t>
        </r>
        <r>
          <rPr>
            <sz val="9"/>
            <color indexed="81"/>
            <rFont val="Tahoma"/>
            <family val="2"/>
          </rPr>
          <t xml:space="preserve">
cevi</t>
        </r>
      </text>
    </comment>
    <comment ref="B432" authorId="0" shapeId="0" xr:uid="{00000000-0006-0000-1600-000024000000}">
      <text>
        <r>
          <rPr>
            <b/>
            <sz val="9"/>
            <color indexed="81"/>
            <rFont val="Tahoma"/>
            <family val="2"/>
          </rPr>
          <t>Craeye Birgit:</t>
        </r>
        <r>
          <rPr>
            <sz val="9"/>
            <color indexed="81"/>
            <rFont val="Tahoma"/>
            <family val="2"/>
          </rPr>
          <t xml:space="preserve">
1463 formulieren (zonder cevi bijgeteld)</t>
        </r>
      </text>
    </comment>
    <comment ref="D432" authorId="0" shapeId="0" xr:uid="{00000000-0006-0000-1600-000025000000}">
      <text>
        <r>
          <rPr>
            <b/>
            <sz val="9"/>
            <color indexed="81"/>
            <rFont val="Tahoma"/>
            <family val="2"/>
          </rPr>
          <t>Craeye Birgit:</t>
        </r>
        <r>
          <rPr>
            <sz val="9"/>
            <color indexed="81"/>
            <rFont val="Tahoma"/>
            <family val="2"/>
          </rPr>
          <t xml:space="preserve">
lichte daling kan verklaard worden doordat 12 formulieren van BZ voortaan in egovflow-formulieren worden ingevuld</t>
        </r>
      </text>
    </comment>
    <comment ref="B436" authorId="0" shapeId="0" xr:uid="{00000000-0006-0000-1600-000026000000}">
      <text>
        <r>
          <rPr>
            <b/>
            <sz val="9"/>
            <color indexed="81"/>
            <rFont val="Tahoma"/>
            <family val="2"/>
          </rPr>
          <t>Craeye Birgit:</t>
        </r>
        <r>
          <rPr>
            <sz val="9"/>
            <color indexed="81"/>
            <rFont val="Tahoma"/>
            <family val="2"/>
          </rPr>
          <t xml:space="preserve">
Datum interval: 12 december 2015- 14 juni 2016</t>
        </r>
      </text>
    </comment>
    <comment ref="O436" authorId="0" shapeId="0" xr:uid="{00000000-0006-0000-1600-000027000000}">
      <text>
        <r>
          <rPr>
            <b/>
            <sz val="9"/>
            <color indexed="81"/>
            <rFont val="Tahoma"/>
            <family val="2"/>
          </rPr>
          <t>Craeye Birgit:</t>
        </r>
        <r>
          <rPr>
            <sz val="9"/>
            <color indexed="81"/>
            <rFont val="Tahoma"/>
            <family val="2"/>
          </rPr>
          <t xml:space="preserve">
Datum interval: 12 december 2015- 14 juni 2016</t>
        </r>
      </text>
    </comment>
    <comment ref="E476" authorId="0" shapeId="0" xr:uid="{00000000-0006-0000-1600-000028000000}">
      <text>
        <r>
          <rPr>
            <b/>
            <sz val="9"/>
            <color indexed="81"/>
            <rFont val="Tahoma"/>
            <family val="2"/>
          </rPr>
          <t>Craeye Birgit:</t>
        </r>
        <r>
          <rPr>
            <sz val="9"/>
            <color indexed="81"/>
            <rFont val="Tahoma"/>
            <family val="2"/>
          </rPr>
          <t xml:space="preserve">
andere formulieren werden toegevoegd in e-govflow</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Louwye Elke</author>
  </authors>
  <commentList>
    <comment ref="X5" authorId="0" shapeId="0" xr:uid="{00000000-0006-0000-3000-000001000000}">
      <text>
        <r>
          <rPr>
            <b/>
            <sz val="9"/>
            <color indexed="81"/>
            <rFont val="Tahoma"/>
            <family val="2"/>
          </rPr>
          <t>Louwye Elke:</t>
        </r>
        <r>
          <rPr>
            <sz val="9"/>
            <color indexed="81"/>
            <rFont val="Tahoma"/>
            <family val="2"/>
          </rPr>
          <t xml:space="preserve">
BW 2018
</t>
        </r>
      </text>
    </comment>
    <comment ref="AA9" authorId="0" shapeId="0" xr:uid="{00000000-0006-0000-3000-000002000000}">
      <text>
        <r>
          <rPr>
            <b/>
            <sz val="9"/>
            <color indexed="81"/>
            <rFont val="Tahoma"/>
            <family val="2"/>
          </rPr>
          <t>Louwye Elke:</t>
        </r>
        <r>
          <rPr>
            <sz val="9"/>
            <color indexed="81"/>
            <rFont val="Tahoma"/>
            <family val="2"/>
          </rPr>
          <t xml:space="preserve">
Budgetwijziging van 5405,65 naar 8405,65
</t>
        </r>
      </text>
    </comment>
    <comment ref="AB10" authorId="0" shapeId="0" xr:uid="{00000000-0006-0000-3000-000003000000}">
      <text>
        <r>
          <rPr>
            <b/>
            <sz val="9"/>
            <color indexed="81"/>
            <rFont val="Tahoma"/>
            <family val="2"/>
          </rPr>
          <t>Louwye Elke:</t>
        </r>
        <r>
          <rPr>
            <sz val="9"/>
            <color indexed="81"/>
            <rFont val="Tahoma"/>
            <family val="2"/>
          </rPr>
          <t xml:space="preserve">
Budgetwijziging: 11 011,25 - wijziging 8363,30 - naar 19 648
</t>
        </r>
      </text>
    </comment>
    <comment ref="AB20" authorId="0" shapeId="0" xr:uid="{00000000-0006-0000-3000-000004000000}">
      <text>
        <r>
          <rPr>
            <b/>
            <sz val="9"/>
            <color indexed="81"/>
            <rFont val="Tahoma"/>
            <family val="2"/>
          </rPr>
          <t>Louwye Elke:</t>
        </r>
        <r>
          <rPr>
            <sz val="9"/>
            <color indexed="81"/>
            <rFont val="Tahoma"/>
            <family val="2"/>
          </rPr>
          <t xml:space="preserve">
Louwye Elke:
Budgetwijziging: toelage hoofdgebouw eredienst 325,76
leningen 143 917,04
</t>
        </r>
      </text>
    </comment>
    <comment ref="AD21" authorId="0" shapeId="0" xr:uid="{00000000-0006-0000-3000-000005000000}">
      <text>
        <r>
          <rPr>
            <b/>
            <sz val="9"/>
            <color indexed="81"/>
            <rFont val="Tahoma"/>
            <family val="2"/>
          </rPr>
          <t>Louwye Elke:</t>
        </r>
        <r>
          <rPr>
            <sz val="9"/>
            <color indexed="81"/>
            <rFont val="Tahoma"/>
            <family val="2"/>
          </rPr>
          <t xml:space="preserve">
Cijfers MJP
</t>
        </r>
      </text>
    </comment>
    <comment ref="B66" authorId="0" shapeId="0" xr:uid="{00000000-0006-0000-3000-000006000000}">
      <text>
        <r>
          <rPr>
            <b/>
            <sz val="9"/>
            <color indexed="81"/>
            <rFont val="Tahoma"/>
            <family val="2"/>
          </rPr>
          <t>Louwye Elke:</t>
        </r>
        <r>
          <rPr>
            <sz val="9"/>
            <color indexed="81"/>
            <rFont val="Tahoma"/>
            <family val="2"/>
          </rPr>
          <t xml:space="preserve">
Enkel de uitgaven geen ontvangsten
</t>
        </r>
      </text>
    </comment>
    <comment ref="N93" authorId="0" shapeId="0" xr:uid="{00000000-0006-0000-3000-000007000000}">
      <text>
        <r>
          <rPr>
            <b/>
            <sz val="9"/>
            <color indexed="81"/>
            <rFont val="Tahoma"/>
            <family val="2"/>
          </rPr>
          <t>Louwye Elke:</t>
        </r>
        <r>
          <rPr>
            <sz val="9"/>
            <color indexed="81"/>
            <rFont val="Tahoma"/>
            <family val="2"/>
          </rPr>
          <t xml:space="preserve">
MJP wijziging
</t>
        </r>
      </text>
    </comment>
    <comment ref="N101" authorId="0" shapeId="0" xr:uid="{00000000-0006-0000-3000-000008000000}">
      <text>
        <r>
          <rPr>
            <b/>
            <sz val="9"/>
            <color indexed="81"/>
            <rFont val="Tahoma"/>
            <family val="2"/>
          </rPr>
          <t xml:space="preserve">Reeds verminderd met K waarde 2020
</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Louwye Elke</author>
  </authors>
  <commentList>
    <comment ref="H9" authorId="0" shapeId="0" xr:uid="{00000000-0006-0000-3100-000001000000}">
      <text>
        <r>
          <rPr>
            <b/>
            <sz val="9"/>
            <color indexed="81"/>
            <rFont val="Tahoma"/>
            <family val="2"/>
          </rPr>
          <t>Louwye Elke:</t>
        </r>
        <r>
          <rPr>
            <sz val="9"/>
            <color indexed="81"/>
            <rFont val="Tahoma"/>
            <family val="2"/>
          </rPr>
          <t xml:space="preserve">
Verkoop pastorie
</t>
        </r>
      </text>
    </comment>
    <comment ref="E10" authorId="0" shapeId="0" xr:uid="{00000000-0006-0000-3100-000002000000}">
      <text>
        <r>
          <rPr>
            <b/>
            <sz val="9"/>
            <color indexed="81"/>
            <rFont val="Tahoma"/>
            <family val="2"/>
          </rPr>
          <t>Louwye Elke:</t>
        </r>
        <r>
          <rPr>
            <sz val="9"/>
            <color indexed="81"/>
            <rFont val="Tahoma"/>
            <family val="2"/>
          </rPr>
          <t xml:space="preserve">
Spaarrekening (geen stichting)
</t>
        </r>
      </text>
    </comment>
    <comment ref="G10" authorId="0" shapeId="0" xr:uid="{00000000-0006-0000-3100-000003000000}">
      <text>
        <r>
          <rPr>
            <b/>
            <sz val="9"/>
            <color indexed="81"/>
            <rFont val="Tahoma"/>
            <family val="2"/>
          </rPr>
          <t>Louwye Elke:</t>
        </r>
        <r>
          <rPr>
            <sz val="9"/>
            <color indexed="81"/>
            <rFont val="Tahoma"/>
            <family val="2"/>
          </rPr>
          <t xml:space="preserve">
J Morlion en P.Bailleul
</t>
        </r>
      </text>
    </comment>
    <comment ref="K11" authorId="0" shapeId="0" xr:uid="{00000000-0006-0000-3100-000004000000}">
      <text>
        <r>
          <rPr>
            <b/>
            <sz val="9"/>
            <color indexed="81"/>
            <rFont val="Tahoma"/>
            <family val="2"/>
          </rPr>
          <t>Louwye Elke:</t>
        </r>
        <r>
          <rPr>
            <sz val="9"/>
            <color indexed="81"/>
            <rFont val="Tahoma"/>
            <family val="2"/>
          </rPr>
          <t xml:space="preserve">
Nieuwstadsite (€ 169,170,67), Fundatie Van Laethem (€ 121538,24), Fundatie Demarey en vervallen kasbons € 16.218
</t>
        </r>
      </text>
    </comment>
    <comment ref="I15" authorId="0" shapeId="0" xr:uid="{00000000-0006-0000-3100-000005000000}">
      <text>
        <r>
          <rPr>
            <b/>
            <sz val="9"/>
            <color indexed="81"/>
            <rFont val="Tahoma"/>
            <family val="2"/>
          </rPr>
          <t>Louwye Elke:</t>
        </r>
        <r>
          <rPr>
            <sz val="9"/>
            <color indexed="81"/>
            <rFont val="Tahoma"/>
            <family val="2"/>
          </rPr>
          <t xml:space="preserve">
KI = 7
</t>
        </r>
      </text>
    </comment>
    <comment ref="I16" authorId="0" shapeId="0" xr:uid="{00000000-0006-0000-3100-000006000000}">
      <text>
        <r>
          <rPr>
            <b/>
            <sz val="9"/>
            <color indexed="81"/>
            <rFont val="Tahoma"/>
            <family val="2"/>
          </rPr>
          <t>Louwye Elke:</t>
        </r>
        <r>
          <rPr>
            <sz val="9"/>
            <color indexed="81"/>
            <rFont val="Tahoma"/>
            <family val="2"/>
          </rPr>
          <t xml:space="preserve">
KI = 26 - KI =36 - KI = 46 - KI =49 - KI =31 - KI =33,79
</t>
        </r>
      </text>
    </comment>
    <comment ref="I17" authorId="0" shapeId="0" xr:uid="{00000000-0006-0000-3100-000007000000}">
      <text>
        <r>
          <rPr>
            <b/>
            <sz val="9"/>
            <color indexed="81"/>
            <rFont val="Tahoma"/>
            <family val="2"/>
          </rPr>
          <t>Louwye Elke:</t>
        </r>
        <r>
          <rPr>
            <sz val="9"/>
            <color indexed="81"/>
            <rFont val="Tahoma"/>
            <family val="2"/>
          </rPr>
          <t xml:space="preserve">
71 -25 - 32</t>
        </r>
      </text>
    </comment>
    <comment ref="E18" authorId="0" shapeId="0" xr:uid="{00000000-0006-0000-3100-000008000000}">
      <text>
        <r>
          <rPr>
            <b/>
            <sz val="9"/>
            <color indexed="81"/>
            <rFont val="Tahoma"/>
            <family val="2"/>
          </rPr>
          <t>Louwye Elke:</t>
        </r>
        <r>
          <rPr>
            <sz val="9"/>
            <color indexed="81"/>
            <rFont val="Tahoma"/>
            <family val="2"/>
          </rPr>
          <t xml:space="preserve">
KI = 161
</t>
        </r>
      </text>
    </comment>
    <comment ref="E19" authorId="0" shapeId="0" xr:uid="{00000000-0006-0000-3100-000009000000}">
      <text>
        <r>
          <rPr>
            <b/>
            <sz val="9"/>
            <color indexed="81"/>
            <rFont val="Tahoma"/>
            <family val="2"/>
          </rPr>
          <t>Louwye Elke:</t>
        </r>
        <r>
          <rPr>
            <sz val="9"/>
            <color indexed="81"/>
            <rFont val="Tahoma"/>
            <family val="2"/>
          </rPr>
          <t xml:space="preserve">
KI - 125
</t>
        </r>
      </text>
    </comment>
    <comment ref="E20" authorId="0" shapeId="0" xr:uid="{00000000-0006-0000-3100-00000A000000}">
      <text>
        <r>
          <rPr>
            <b/>
            <sz val="9"/>
            <color indexed="81"/>
            <rFont val="Tahoma"/>
            <family val="2"/>
          </rPr>
          <t>Louwye Elke:</t>
        </r>
        <r>
          <rPr>
            <sz val="9"/>
            <color indexed="81"/>
            <rFont val="Tahoma"/>
            <family val="2"/>
          </rPr>
          <t xml:space="preserve">
KI = 73
</t>
        </r>
      </text>
    </comment>
    <comment ref="E21" authorId="0" shapeId="0" xr:uid="{00000000-0006-0000-3100-00000B000000}">
      <text>
        <r>
          <rPr>
            <b/>
            <sz val="9"/>
            <color indexed="81"/>
            <rFont val="Tahoma"/>
            <family val="2"/>
          </rPr>
          <t>Louwye Elke:</t>
        </r>
        <r>
          <rPr>
            <sz val="9"/>
            <color indexed="81"/>
            <rFont val="Tahoma"/>
            <family val="2"/>
          </rPr>
          <t xml:space="preserve">
32
</t>
        </r>
      </text>
    </comment>
    <comment ref="E22" authorId="0" shapeId="0" xr:uid="{00000000-0006-0000-3100-00000C000000}">
      <text>
        <r>
          <rPr>
            <b/>
            <sz val="9"/>
            <color indexed="81"/>
            <rFont val="Tahoma"/>
            <family val="2"/>
          </rPr>
          <t>Louwye Elke:</t>
        </r>
        <r>
          <rPr>
            <sz val="9"/>
            <color indexed="81"/>
            <rFont val="Tahoma"/>
            <family val="2"/>
          </rPr>
          <t xml:space="preserve">
KI = 18,50
</t>
        </r>
      </text>
    </comment>
    <comment ref="E23" authorId="0" shapeId="0" xr:uid="{00000000-0006-0000-3100-00000D000000}">
      <text>
        <r>
          <rPr>
            <b/>
            <sz val="9"/>
            <color indexed="81"/>
            <rFont val="Tahoma"/>
            <family val="2"/>
          </rPr>
          <t>Louwye Elke:</t>
        </r>
        <r>
          <rPr>
            <sz val="9"/>
            <color indexed="81"/>
            <rFont val="Tahoma"/>
            <family val="2"/>
          </rPr>
          <t xml:space="preserve">
KI = 77
</t>
        </r>
      </text>
    </comment>
    <comment ref="A49" authorId="0" shapeId="0" xr:uid="{00000000-0006-0000-3100-00000E000000}">
      <text>
        <r>
          <rPr>
            <b/>
            <sz val="9"/>
            <color indexed="81"/>
            <rFont val="Tahoma"/>
            <family val="2"/>
          </rPr>
          <t>Louwye Elke:</t>
        </r>
        <r>
          <rPr>
            <sz val="9"/>
            <color indexed="81"/>
            <rFont val="Tahoma"/>
            <family val="2"/>
          </rPr>
          <t xml:space="preserve">
Gebouw bestemd voor de uitoefening van erediensten
</t>
        </r>
      </text>
    </comment>
    <comment ref="A63" authorId="0" shapeId="0" xr:uid="{00000000-0006-0000-3100-00000F000000}">
      <text>
        <r>
          <rPr>
            <b/>
            <sz val="9"/>
            <color indexed="81"/>
            <rFont val="Tahoma"/>
            <family val="2"/>
          </rPr>
          <t>Louwye Elke:</t>
        </r>
        <r>
          <rPr>
            <sz val="9"/>
            <color indexed="81"/>
            <rFont val="Tahoma"/>
            <family val="2"/>
          </rPr>
          <t xml:space="preserve">
Gewoon gebouwd onroerend goed
</t>
        </r>
      </text>
    </comment>
    <comment ref="A73" authorId="0" shapeId="0" xr:uid="{00000000-0006-0000-3100-000010000000}">
      <text>
        <r>
          <rPr>
            <b/>
            <sz val="9"/>
            <color indexed="81"/>
            <rFont val="Tahoma"/>
            <family val="2"/>
          </rPr>
          <t>Louwye Elke:</t>
        </r>
        <r>
          <rPr>
            <sz val="9"/>
            <color indexed="81"/>
            <rFont val="Tahoma"/>
            <family val="2"/>
          </rPr>
          <t xml:space="preserve">
Landbouwaanhorigheid
</t>
        </r>
      </text>
    </comment>
    <comment ref="A84" authorId="0" shapeId="0" xr:uid="{00000000-0006-0000-3100-000011000000}">
      <text>
        <r>
          <rPr>
            <b/>
            <sz val="9"/>
            <color indexed="81"/>
            <rFont val="Tahoma"/>
            <family val="2"/>
          </rPr>
          <t>Louwye Elke:</t>
        </r>
        <r>
          <rPr>
            <sz val="9"/>
            <color indexed="81"/>
            <rFont val="Tahoma"/>
            <family val="2"/>
          </rPr>
          <t xml:space="preserve">
vanaf hier de fiches niet meer opgevraagd
</t>
        </r>
      </text>
    </comment>
    <comment ref="A106" authorId="0" shapeId="0" xr:uid="{00000000-0006-0000-3100-000012000000}">
      <text>
        <r>
          <rPr>
            <b/>
            <sz val="9"/>
            <color indexed="81"/>
            <rFont val="Tahoma"/>
            <family val="2"/>
          </rPr>
          <t>Louwye Elke:</t>
        </r>
        <r>
          <rPr>
            <sz val="9"/>
            <color indexed="81"/>
            <rFont val="Tahoma"/>
            <family val="2"/>
          </rPr>
          <t xml:space="preserve">
Aanhorigheid van een woning
</t>
        </r>
      </text>
    </comment>
    <comment ref="A107" authorId="0" shapeId="0" xr:uid="{00000000-0006-0000-3100-000013000000}">
      <text>
        <r>
          <rPr>
            <b/>
            <sz val="9"/>
            <color indexed="81"/>
            <rFont val="Tahoma"/>
            <family val="2"/>
          </rPr>
          <t>Louwye Elke:</t>
        </r>
        <r>
          <rPr>
            <sz val="9"/>
            <color indexed="81"/>
            <rFont val="Tahoma"/>
            <family val="2"/>
          </rPr>
          <t xml:space="preserve">
Gebouw bestemd voor de uitoefening van erediensten
</t>
        </r>
      </text>
    </comment>
    <comment ref="A118" authorId="0" shapeId="0" xr:uid="{00000000-0006-0000-3100-000014000000}">
      <text>
        <r>
          <rPr>
            <b/>
            <sz val="9"/>
            <color indexed="81"/>
            <rFont val="Tahoma"/>
            <family val="2"/>
          </rPr>
          <t>Louwye Elke:</t>
        </r>
        <r>
          <rPr>
            <sz val="9"/>
            <color indexed="81"/>
            <rFont val="Tahoma"/>
            <family val="2"/>
          </rPr>
          <t xml:space="preserve">
Gebouw bestemd voor de uitoefening van erediensten
</t>
        </r>
      </text>
    </comment>
    <comment ref="A119" authorId="0" shapeId="0" xr:uid="{00000000-0006-0000-3100-000015000000}">
      <text>
        <r>
          <rPr>
            <b/>
            <sz val="9"/>
            <color indexed="81"/>
            <rFont val="Tahoma"/>
            <family val="2"/>
          </rPr>
          <t>Louwye Elke:</t>
        </r>
        <r>
          <rPr>
            <sz val="9"/>
            <color indexed="81"/>
            <rFont val="Tahoma"/>
            <family val="2"/>
          </rPr>
          <t xml:space="preserve">
aanhorigheid van een woning
</t>
        </r>
      </text>
    </comment>
    <comment ref="A120" authorId="0" shapeId="0" xr:uid="{00000000-0006-0000-3100-000016000000}">
      <text>
        <r>
          <rPr>
            <b/>
            <sz val="9"/>
            <color indexed="81"/>
            <rFont val="Tahoma"/>
            <family val="2"/>
          </rPr>
          <t>Louwye Elke:</t>
        </r>
        <r>
          <rPr>
            <sz val="9"/>
            <color indexed="81"/>
            <rFont val="Tahoma"/>
            <family val="2"/>
          </rPr>
          <t xml:space="preserve">
Gebouw bestemd voor uitoefening van erediensten
</t>
        </r>
      </text>
    </comment>
    <comment ref="A132" authorId="0" shapeId="0" xr:uid="{00000000-0006-0000-3100-000017000000}">
      <text>
        <r>
          <rPr>
            <b/>
            <sz val="9"/>
            <color indexed="81"/>
            <rFont val="Tahoma"/>
            <family val="2"/>
          </rPr>
          <t>Louwye Elke:</t>
        </r>
        <r>
          <rPr>
            <sz val="9"/>
            <color indexed="81"/>
            <rFont val="Tahoma"/>
            <family val="2"/>
          </rPr>
          <t xml:space="preserve">
Gebouw bestemd voor de uitoefening van erediensten
</t>
        </r>
      </text>
    </comment>
    <comment ref="A133" authorId="0" shapeId="0" xr:uid="{00000000-0006-0000-3100-000018000000}">
      <text>
        <r>
          <rPr>
            <b/>
            <sz val="9"/>
            <color indexed="81"/>
            <rFont val="Tahoma"/>
            <family val="2"/>
          </rPr>
          <t>Louwye Elke:</t>
        </r>
        <r>
          <rPr>
            <sz val="9"/>
            <color indexed="81"/>
            <rFont val="Tahoma"/>
            <family val="2"/>
          </rPr>
          <t xml:space="preserve">
Aanhorigheid van een woning
</t>
        </r>
      </text>
    </comment>
    <comment ref="A136" authorId="0" shapeId="0" xr:uid="{00000000-0006-0000-3100-000019000000}">
      <text>
        <r>
          <rPr>
            <b/>
            <sz val="9"/>
            <color indexed="81"/>
            <rFont val="Tahoma"/>
            <family val="2"/>
          </rPr>
          <t>Louwye Elke:</t>
        </r>
        <r>
          <rPr>
            <sz val="9"/>
            <color indexed="81"/>
            <rFont val="Tahoma"/>
            <family val="2"/>
          </rPr>
          <t xml:space="preserve">
Gebouw bestemd voor de uitoefening van erediensten
</t>
        </r>
      </text>
    </comment>
    <comment ref="A137" authorId="0" shapeId="0" xr:uid="{00000000-0006-0000-3100-00001A000000}">
      <text>
        <r>
          <rPr>
            <b/>
            <sz val="9"/>
            <color indexed="81"/>
            <rFont val="Tahoma"/>
            <family val="2"/>
          </rPr>
          <t>Louwye Elke:</t>
        </r>
        <r>
          <rPr>
            <sz val="9"/>
            <color indexed="81"/>
            <rFont val="Tahoma"/>
            <family val="2"/>
          </rPr>
          <t xml:space="preserve">
Gebouw bestemd voor de uitoefening van erediensten
</t>
        </r>
      </text>
    </comment>
    <comment ref="A138" authorId="0" shapeId="0" xr:uid="{00000000-0006-0000-3100-00001B000000}">
      <text>
        <r>
          <rPr>
            <b/>
            <sz val="9"/>
            <color indexed="81"/>
            <rFont val="Tahoma"/>
            <family val="2"/>
          </rPr>
          <t>Louwye Elke:</t>
        </r>
        <r>
          <rPr>
            <sz val="9"/>
            <color indexed="81"/>
            <rFont val="Tahoma"/>
            <family val="2"/>
          </rPr>
          <t xml:space="preserve">
Aanhorigheid van een woning
</t>
        </r>
      </text>
    </comment>
    <comment ref="A139" authorId="0" shapeId="0" xr:uid="{00000000-0006-0000-3100-00001C000000}">
      <text>
        <r>
          <rPr>
            <b/>
            <sz val="9"/>
            <color indexed="81"/>
            <rFont val="Tahoma"/>
            <family val="2"/>
          </rPr>
          <t>Louwye Elke:</t>
        </r>
        <r>
          <rPr>
            <sz val="9"/>
            <color indexed="81"/>
            <rFont val="Tahoma"/>
            <family val="2"/>
          </rPr>
          <t xml:space="preserve">
aanhorigheid van een woning
</t>
        </r>
      </text>
    </comment>
    <comment ref="A141" authorId="0" shapeId="0" xr:uid="{00000000-0006-0000-3100-00001D000000}">
      <text>
        <r>
          <rPr>
            <b/>
            <sz val="9"/>
            <color indexed="81"/>
            <rFont val="Tahoma"/>
            <family val="2"/>
          </rPr>
          <t>Louwye Elke:</t>
        </r>
        <r>
          <rPr>
            <sz val="9"/>
            <color indexed="81"/>
            <rFont val="Tahoma"/>
            <family val="2"/>
          </rPr>
          <t xml:space="preserve">
Gebouw bestemd voor de uitoefening van erediensten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Kris Degraeve</author>
  </authors>
  <commentList>
    <comment ref="B43" authorId="0" shapeId="0" xr:uid="{09A73075-53E2-4AD3-8A38-D0F87E9C24DB}">
      <text>
        <r>
          <rPr>
            <b/>
            <sz val="9"/>
            <color indexed="81"/>
            <rFont val="Tahoma"/>
            <family val="2"/>
          </rPr>
          <t>Kris Degraeve:</t>
        </r>
        <r>
          <rPr>
            <sz val="9"/>
            <color indexed="81"/>
            <rFont val="Tahoma"/>
            <family val="2"/>
          </rPr>
          <t xml:space="preserve">
vanaf 19/01/2023
</t>
        </r>
      </text>
    </comment>
    <comment ref="F56" authorId="0" shapeId="0" xr:uid="{6EF857A6-FD6A-4DCA-A86B-0CC34C012058}">
      <text>
        <r>
          <rPr>
            <b/>
            <sz val="9"/>
            <color indexed="81"/>
            <rFont val="Tahoma"/>
            <family val="2"/>
          </rPr>
          <t>Kris Degraeve:</t>
        </r>
        <r>
          <rPr>
            <sz val="9"/>
            <color indexed="81"/>
            <rFont val="Tahoma"/>
            <family val="2"/>
          </rPr>
          <t xml:space="preserve">
jan-mei</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Kris Degraeve</author>
  </authors>
  <commentList>
    <comment ref="I7" authorId="0" shapeId="0" xr:uid="{884BED19-2228-4C60-8FCB-9B79AE45C03A}">
      <text>
        <r>
          <rPr>
            <b/>
            <sz val="9"/>
            <color indexed="81"/>
            <rFont val="Tahoma"/>
            <family val="2"/>
          </rPr>
          <t>Kris Degraeve:</t>
        </r>
        <r>
          <rPr>
            <sz val="9"/>
            <color indexed="81"/>
            <rFont val="Tahoma"/>
            <family val="2"/>
          </rPr>
          <t xml:space="preserve">
zonder VACC en Triage</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Alderweireldt Freddy</author>
  </authors>
  <commentList>
    <comment ref="O63" authorId="0" shapeId="0" xr:uid="{00000000-0006-0000-3800-000001000000}">
      <text>
        <r>
          <rPr>
            <b/>
            <sz val="9"/>
            <color indexed="81"/>
            <rFont val="Tahoma"/>
            <family val="2"/>
          </rPr>
          <t>Alderweireldt Freddy:</t>
        </r>
        <r>
          <rPr>
            <sz val="9"/>
            <color indexed="81"/>
            <rFont val="Tahoma"/>
            <family val="2"/>
          </rPr>
          <t xml:space="preserve">
inrichting gebouw bij verhuis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Alderweireldt Freddy</author>
  </authors>
  <commentList>
    <comment ref="Q106" authorId="0" shapeId="0" xr:uid="{00000000-0006-0000-3B00-000001000000}">
      <text>
        <r>
          <rPr>
            <b/>
            <sz val="9"/>
            <color indexed="81"/>
            <rFont val="Tahoma"/>
            <family val="2"/>
          </rPr>
          <t>Alderweireldt Freddy:</t>
        </r>
        <r>
          <rPr>
            <sz val="9"/>
            <color indexed="81"/>
            <rFont val="Tahoma"/>
            <family val="2"/>
          </rPr>
          <t xml:space="preserve">
huur bestelwagen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Alderweireldt Freddy</author>
  </authors>
  <commentList>
    <comment ref="W47" authorId="0" shapeId="0" xr:uid="{00000000-0006-0000-3E00-000001000000}">
      <text>
        <r>
          <rPr>
            <b/>
            <sz val="9"/>
            <color indexed="81"/>
            <rFont val="Tahoma"/>
            <family val="2"/>
          </rPr>
          <t>Alderweireldt Freddy:</t>
        </r>
        <r>
          <rPr>
            <sz val="9"/>
            <color indexed="81"/>
            <rFont val="Tahoma"/>
            <family val="2"/>
          </rPr>
          <t xml:space="preserve">
poetsvrouwen staan nu gezamenlijk op 0119-04</t>
        </r>
      </text>
    </comment>
    <comment ref="V453" authorId="0" shapeId="0" xr:uid="{00000000-0006-0000-3E00-000002000000}">
      <text>
        <r>
          <rPr>
            <b/>
            <sz val="9"/>
            <color indexed="81"/>
            <rFont val="Tahoma"/>
            <family val="2"/>
          </rPr>
          <t>Alderweireldt Freddy:</t>
        </r>
        <r>
          <rPr>
            <sz val="9"/>
            <color indexed="81"/>
            <rFont val="Tahoma"/>
            <family val="2"/>
          </rPr>
          <t xml:space="preserve">
pieter voltijds sportdienst</t>
        </r>
      </text>
    </comment>
    <comment ref="V591" authorId="0" shapeId="0" xr:uid="{00000000-0006-0000-3E00-000003000000}">
      <text>
        <r>
          <rPr>
            <b/>
            <sz val="9"/>
            <color indexed="81"/>
            <rFont val="Tahoma"/>
            <family val="2"/>
          </rPr>
          <t>Alderweireldt Freddy:</t>
        </r>
        <r>
          <rPr>
            <sz val="9"/>
            <color indexed="81"/>
            <rFont val="Tahoma"/>
            <family val="2"/>
          </rPr>
          <t xml:space="preserve">
kredieten voor de verenigingen die op een ander budgetartikel geboekt worden</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Freddy Alderweireldt</author>
    <author>Kris Degraeve</author>
  </authors>
  <commentList>
    <comment ref="I4" authorId="0" shapeId="0" xr:uid="{00000000-0006-0000-4000-000001000000}">
      <text>
        <r>
          <rPr>
            <b/>
            <sz val="9"/>
            <color indexed="81"/>
            <rFont val="Tahoma"/>
            <family val="2"/>
          </rPr>
          <t>Freddy Alderweireldt:</t>
        </r>
        <r>
          <rPr>
            <sz val="9"/>
            <color indexed="81"/>
            <rFont val="Tahoma"/>
            <family val="2"/>
          </rPr>
          <t xml:space="preserve">
05/07/2021</t>
        </r>
      </text>
    </comment>
    <comment ref="I5" authorId="0" shapeId="0" xr:uid="{00000000-0006-0000-4000-000002000000}">
      <text>
        <r>
          <rPr>
            <b/>
            <sz val="9"/>
            <color indexed="81"/>
            <rFont val="Tahoma"/>
            <family val="2"/>
          </rPr>
          <t>Freddy Alderweireldt:</t>
        </r>
        <r>
          <rPr>
            <sz val="9"/>
            <color indexed="81"/>
            <rFont val="Tahoma"/>
            <family val="2"/>
          </rPr>
          <t xml:space="preserve">
30/09/19</t>
        </r>
      </text>
    </comment>
    <comment ref="J5" authorId="0" shapeId="0" xr:uid="{00000000-0006-0000-4000-000003000000}">
      <text>
        <r>
          <rPr>
            <b/>
            <sz val="9"/>
            <color indexed="81"/>
            <rFont val="Tahoma"/>
            <family val="2"/>
          </rPr>
          <t>Freddy Alderweireldt:</t>
        </r>
        <r>
          <rPr>
            <sz val="9"/>
            <color indexed="81"/>
            <rFont val="Tahoma"/>
            <family val="2"/>
          </rPr>
          <t xml:space="preserve">
11/01/2021</t>
        </r>
      </text>
    </comment>
    <comment ref="I6" authorId="0" shapeId="0" xr:uid="{00000000-0006-0000-4000-000004000000}">
      <text>
        <r>
          <rPr>
            <b/>
            <sz val="9"/>
            <color indexed="81"/>
            <rFont val="Tahoma"/>
            <family val="2"/>
          </rPr>
          <t>Freddy Alderweireldt:</t>
        </r>
        <r>
          <rPr>
            <sz val="9"/>
            <color indexed="81"/>
            <rFont val="Tahoma"/>
            <family val="2"/>
          </rPr>
          <t xml:space="preserve">
30/09/19</t>
        </r>
      </text>
    </comment>
    <comment ref="J6" authorId="0" shapeId="0" xr:uid="{00000000-0006-0000-4000-000005000000}">
      <text>
        <r>
          <rPr>
            <b/>
            <sz val="9"/>
            <color indexed="81"/>
            <rFont val="Tahoma"/>
            <family val="2"/>
          </rPr>
          <t>Freddy Alderweireldt:</t>
        </r>
        <r>
          <rPr>
            <sz val="9"/>
            <color indexed="81"/>
            <rFont val="Tahoma"/>
            <family val="2"/>
          </rPr>
          <t xml:space="preserve">
11/01/2021</t>
        </r>
      </text>
    </comment>
    <comment ref="I7" authorId="0" shapeId="0" xr:uid="{00000000-0006-0000-4000-000006000000}">
      <text>
        <r>
          <rPr>
            <b/>
            <sz val="9"/>
            <color indexed="81"/>
            <rFont val="Tahoma"/>
            <family val="2"/>
          </rPr>
          <t>Freddy Alderweireldt:</t>
        </r>
        <r>
          <rPr>
            <sz val="9"/>
            <color indexed="81"/>
            <rFont val="Tahoma"/>
            <family val="2"/>
          </rPr>
          <t xml:space="preserve">
10/02/2021</t>
        </r>
      </text>
    </comment>
    <comment ref="J8" authorId="0" shapeId="0" xr:uid="{00000000-0006-0000-4000-000007000000}">
      <text>
        <r>
          <rPr>
            <b/>
            <sz val="9"/>
            <color indexed="81"/>
            <rFont val="Tahoma"/>
            <family val="2"/>
          </rPr>
          <t>Freddy Alderweireldt:</t>
        </r>
        <r>
          <rPr>
            <sz val="9"/>
            <color indexed="81"/>
            <rFont val="Tahoma"/>
            <family val="2"/>
          </rPr>
          <t xml:space="preserve">
1712/2020</t>
        </r>
      </text>
    </comment>
    <comment ref="I10" authorId="0" shapeId="0" xr:uid="{00000000-0006-0000-4000-000008000000}">
      <text>
        <r>
          <rPr>
            <b/>
            <sz val="9"/>
            <color indexed="81"/>
            <rFont val="Tahoma"/>
            <family val="2"/>
          </rPr>
          <t>Freddy Alderweireldt:</t>
        </r>
        <r>
          <rPr>
            <sz val="9"/>
            <color indexed="81"/>
            <rFont val="Tahoma"/>
            <family val="2"/>
          </rPr>
          <t xml:space="preserve">
18/01/21</t>
        </r>
      </text>
    </comment>
    <comment ref="I11" authorId="1" shapeId="0" xr:uid="{00000000-0006-0000-4000-000009000000}">
      <text>
        <r>
          <rPr>
            <b/>
            <sz val="9"/>
            <color indexed="81"/>
            <rFont val="Tahoma"/>
            <family val="2"/>
          </rPr>
          <t>Kris Degraeve:</t>
        </r>
        <r>
          <rPr>
            <sz val="9"/>
            <color indexed="81"/>
            <rFont val="Tahoma"/>
            <family val="2"/>
          </rPr>
          <t xml:space="preserve">
12/03/21
</t>
        </r>
      </text>
    </comment>
    <comment ref="I12" authorId="1" shapeId="0" xr:uid="{00000000-0006-0000-4000-00000A000000}">
      <text>
        <r>
          <rPr>
            <b/>
            <sz val="9"/>
            <color indexed="81"/>
            <rFont val="Tahoma"/>
            <family val="2"/>
          </rPr>
          <t>Kris Degraeve:</t>
        </r>
        <r>
          <rPr>
            <sz val="9"/>
            <color indexed="81"/>
            <rFont val="Tahoma"/>
            <family val="2"/>
          </rPr>
          <t xml:space="preserve">
30/11/20
</t>
        </r>
      </text>
    </comment>
    <comment ref="I13" authorId="0" shapeId="0" xr:uid="{00000000-0006-0000-4000-00000B000000}">
      <text>
        <r>
          <rPr>
            <b/>
            <sz val="9"/>
            <color indexed="81"/>
            <rFont val="Tahoma"/>
            <family val="2"/>
          </rPr>
          <t>Freddy Alderweireldt:</t>
        </r>
        <r>
          <rPr>
            <sz val="9"/>
            <color indexed="81"/>
            <rFont val="Tahoma"/>
            <family val="2"/>
          </rPr>
          <t xml:space="preserve">
07/02/2018</t>
        </r>
      </text>
    </comment>
    <comment ref="J13" authorId="0" shapeId="0" xr:uid="{00000000-0006-0000-4000-00000C000000}">
      <text>
        <r>
          <rPr>
            <b/>
            <sz val="9"/>
            <color indexed="81"/>
            <rFont val="Tahoma"/>
            <family val="2"/>
          </rPr>
          <t>Freddy Alderweireldt:</t>
        </r>
        <r>
          <rPr>
            <sz val="9"/>
            <color indexed="81"/>
            <rFont val="Tahoma"/>
            <family val="2"/>
          </rPr>
          <t xml:space="preserve">
21/03/2019</t>
        </r>
      </text>
    </comment>
    <comment ref="K13" authorId="0" shapeId="0" xr:uid="{00000000-0006-0000-4000-00000D000000}">
      <text>
        <r>
          <rPr>
            <b/>
            <sz val="9"/>
            <color indexed="81"/>
            <rFont val="Tahoma"/>
            <family val="2"/>
          </rPr>
          <t>Freddy Alderweireldt:</t>
        </r>
        <r>
          <rPr>
            <sz val="9"/>
            <color indexed="81"/>
            <rFont val="Tahoma"/>
            <family val="2"/>
          </rPr>
          <t xml:space="preserve">
16/10/2020</t>
        </r>
      </text>
    </comment>
    <comment ref="L13" authorId="0" shapeId="0" xr:uid="{00000000-0006-0000-4000-00000E000000}">
      <text>
        <r>
          <rPr>
            <b/>
            <sz val="9"/>
            <color indexed="81"/>
            <rFont val="Tahoma"/>
            <family val="2"/>
          </rPr>
          <t>Freddy Alderweireldt:</t>
        </r>
        <r>
          <rPr>
            <sz val="9"/>
            <color indexed="81"/>
            <rFont val="Tahoma"/>
            <family val="2"/>
          </rPr>
          <t xml:space="preserve">
16/10/2020</t>
        </r>
      </text>
    </comment>
    <comment ref="I16" authorId="0" shapeId="0" xr:uid="{00000000-0006-0000-4000-00000F000000}">
      <text>
        <r>
          <rPr>
            <b/>
            <sz val="9"/>
            <color indexed="81"/>
            <rFont val="Tahoma"/>
            <family val="2"/>
          </rPr>
          <t>Freddy Alderweireldt:</t>
        </r>
        <r>
          <rPr>
            <sz val="9"/>
            <color indexed="81"/>
            <rFont val="Tahoma"/>
            <family val="2"/>
          </rPr>
          <t xml:space="preserve">
1° schijf - 25% - 
20/03/2018</t>
        </r>
      </text>
    </comment>
    <comment ref="J16" authorId="0" shapeId="0" xr:uid="{00000000-0006-0000-4000-000010000000}">
      <text>
        <r>
          <rPr>
            <b/>
            <sz val="9"/>
            <color indexed="81"/>
            <rFont val="Tahoma"/>
            <family val="2"/>
          </rPr>
          <t>Freddy Alderweireldt:</t>
        </r>
        <r>
          <rPr>
            <sz val="9"/>
            <color indexed="81"/>
            <rFont val="Tahoma"/>
            <family val="2"/>
          </rPr>
          <t xml:space="preserve">
12/10/21</t>
        </r>
      </text>
    </comment>
    <comment ref="I17" authorId="0" shapeId="0" xr:uid="{00000000-0006-0000-4000-000011000000}">
      <text>
        <r>
          <rPr>
            <b/>
            <sz val="9"/>
            <color indexed="81"/>
            <rFont val="Tahoma"/>
            <family val="2"/>
          </rPr>
          <t>Freddy Alderweireldt:</t>
        </r>
        <r>
          <rPr>
            <sz val="9"/>
            <color indexed="81"/>
            <rFont val="Tahoma"/>
            <family val="2"/>
          </rPr>
          <t xml:space="preserve">
08/12/21</t>
        </r>
      </text>
    </comment>
    <comment ref="J18" authorId="0" shapeId="0" xr:uid="{00000000-0006-0000-4000-000012000000}">
      <text>
        <r>
          <rPr>
            <b/>
            <sz val="9"/>
            <color indexed="81"/>
            <rFont val="Tahoma"/>
            <family val="2"/>
          </rPr>
          <t>Freddy Alderweireldt:</t>
        </r>
        <r>
          <rPr>
            <sz val="9"/>
            <color indexed="81"/>
            <rFont val="Tahoma"/>
            <family val="2"/>
          </rPr>
          <t xml:space="preserve">
04/05/2018</t>
        </r>
      </text>
    </comment>
    <comment ref="K18" authorId="0" shapeId="0" xr:uid="{00000000-0006-0000-4000-000013000000}">
      <text>
        <r>
          <rPr>
            <b/>
            <sz val="9"/>
            <color indexed="81"/>
            <rFont val="Tahoma"/>
            <family val="2"/>
          </rPr>
          <t>Freddy Alderweireldt:</t>
        </r>
        <r>
          <rPr>
            <sz val="9"/>
            <color indexed="81"/>
            <rFont val="Tahoma"/>
            <family val="2"/>
          </rPr>
          <t xml:space="preserve">
16/11/2018</t>
        </r>
      </text>
    </comment>
    <comment ref="L18" authorId="0" shapeId="0" xr:uid="{00000000-0006-0000-4000-000014000000}">
      <text>
        <r>
          <rPr>
            <b/>
            <sz val="9"/>
            <color indexed="81"/>
            <rFont val="Tahoma"/>
            <family val="2"/>
          </rPr>
          <t>Freddy Alderweireldt:</t>
        </r>
        <r>
          <rPr>
            <sz val="9"/>
            <color indexed="81"/>
            <rFont val="Tahoma"/>
            <family val="2"/>
          </rPr>
          <t xml:space="preserve">
25/06/2019
plattelandsfonds +</t>
        </r>
      </text>
    </comment>
    <comment ref="M18" authorId="0" shapeId="0" xr:uid="{00000000-0006-0000-4000-000015000000}">
      <text>
        <r>
          <rPr>
            <b/>
            <sz val="9"/>
            <color indexed="81"/>
            <rFont val="Tahoma"/>
            <family val="2"/>
          </rPr>
          <t>Freddy Alderweireldt:</t>
        </r>
        <r>
          <rPr>
            <sz val="9"/>
            <color indexed="81"/>
            <rFont val="Tahoma"/>
            <family val="2"/>
          </rPr>
          <t xml:space="preserve">
02/10/19
plattelandsfonds +</t>
        </r>
      </text>
    </comment>
    <comment ref="N18" authorId="0" shapeId="0" xr:uid="{00000000-0006-0000-4000-000016000000}">
      <text>
        <r>
          <rPr>
            <b/>
            <sz val="9"/>
            <color indexed="81"/>
            <rFont val="Tahoma"/>
            <family val="2"/>
          </rPr>
          <t>Freddy Alderweireldt:</t>
        </r>
        <r>
          <rPr>
            <sz val="9"/>
            <color indexed="81"/>
            <rFont val="Tahoma"/>
            <family val="2"/>
          </rPr>
          <t xml:space="preserve">
ontvangen 24/06/20</t>
        </r>
      </text>
    </comment>
    <comment ref="J19" authorId="0" shapeId="0" xr:uid="{00000000-0006-0000-4000-000017000000}">
      <text>
        <r>
          <rPr>
            <b/>
            <sz val="9"/>
            <color indexed="81"/>
            <rFont val="Tahoma"/>
            <family val="2"/>
          </rPr>
          <t>Freddy Alderweireldt:</t>
        </r>
        <r>
          <rPr>
            <sz val="9"/>
            <color indexed="81"/>
            <rFont val="Tahoma"/>
            <family val="2"/>
          </rPr>
          <t xml:space="preserve">
11/02/2022</t>
        </r>
      </text>
    </comment>
    <comment ref="I21" authorId="0" shapeId="0" xr:uid="{00000000-0006-0000-4000-000018000000}">
      <text>
        <r>
          <rPr>
            <b/>
            <sz val="9"/>
            <color indexed="81"/>
            <rFont val="Tahoma"/>
            <family val="2"/>
          </rPr>
          <t>Freddy Alderweireldt:</t>
        </r>
        <r>
          <rPr>
            <sz val="9"/>
            <color indexed="81"/>
            <rFont val="Tahoma"/>
            <family val="2"/>
          </rPr>
          <t xml:space="preserve">
14/02/2020 40 %
</t>
        </r>
      </text>
    </comment>
    <comment ref="I22" authorId="0" shapeId="0" xr:uid="{00000000-0006-0000-4000-000019000000}">
      <text>
        <r>
          <rPr>
            <b/>
            <sz val="9"/>
            <color indexed="81"/>
            <rFont val="Tahoma"/>
            <family val="2"/>
          </rPr>
          <t>Freddy Alderweireldt:</t>
        </r>
        <r>
          <rPr>
            <sz val="9"/>
            <color indexed="81"/>
            <rFont val="Tahoma"/>
            <family val="2"/>
          </rPr>
          <t xml:space="preserve">
01/02/2021</t>
        </r>
      </text>
    </comment>
    <comment ref="J22" authorId="1" shapeId="0" xr:uid="{00000000-0006-0000-4000-00001A000000}">
      <text>
        <r>
          <rPr>
            <b/>
            <sz val="9"/>
            <color indexed="81"/>
            <rFont val="Tahoma"/>
            <family val="2"/>
          </rPr>
          <t>Kris Degraeve:</t>
        </r>
        <r>
          <rPr>
            <sz val="9"/>
            <color indexed="81"/>
            <rFont val="Tahoma"/>
            <family val="2"/>
          </rPr>
          <t xml:space="preserve">
17/2/23
</t>
        </r>
      </text>
    </comment>
    <comment ref="B23" authorId="0" shapeId="0" xr:uid="{00000000-0006-0000-4000-00001B000000}">
      <text>
        <r>
          <rPr>
            <b/>
            <sz val="9"/>
            <color indexed="81"/>
            <rFont val="Tahoma"/>
            <family val="2"/>
          </rPr>
          <t>Freddy Alderweireldt:</t>
        </r>
        <r>
          <rPr>
            <sz val="9"/>
            <color indexed="81"/>
            <rFont val="Tahoma"/>
            <family val="2"/>
          </rPr>
          <t xml:space="preserve">
toegekend € 21.600 maar door een boete van laattijdige levering is er € 1.620 in mindering gebracht worden</t>
        </r>
      </text>
    </comment>
    <comment ref="I23" authorId="1" shapeId="0" xr:uid="{00000000-0006-0000-4000-00001C000000}">
      <text>
        <r>
          <rPr>
            <b/>
            <sz val="9"/>
            <color indexed="81"/>
            <rFont val="Tahoma"/>
            <family val="2"/>
          </rPr>
          <t>Kris Degraeve:</t>
        </r>
        <r>
          <rPr>
            <sz val="9"/>
            <color indexed="81"/>
            <rFont val="Tahoma"/>
            <family val="2"/>
          </rPr>
          <t xml:space="preserve">
eerste schijf 24/09/21 70 %
</t>
        </r>
      </text>
    </comment>
    <comment ref="I25" authorId="0" shapeId="0" xr:uid="{00000000-0006-0000-4000-00001D000000}">
      <text>
        <r>
          <rPr>
            <b/>
            <sz val="9"/>
            <color indexed="81"/>
            <rFont val="Tahoma"/>
            <family val="2"/>
          </rPr>
          <t>Freddy Alderweireldt:</t>
        </r>
        <r>
          <rPr>
            <sz val="9"/>
            <color indexed="81"/>
            <rFont val="Tahoma"/>
            <family val="2"/>
          </rPr>
          <t xml:space="preserve">
30/07/21</t>
        </r>
      </text>
    </comment>
    <comment ref="I34" authorId="0" shapeId="0" xr:uid="{00000000-0006-0000-4000-00001E000000}">
      <text>
        <r>
          <rPr>
            <b/>
            <sz val="9"/>
            <color indexed="81"/>
            <rFont val="Tahoma"/>
            <family val="2"/>
          </rPr>
          <t>Freddy Alderweireldt:</t>
        </r>
        <r>
          <rPr>
            <sz val="9"/>
            <color indexed="81"/>
            <rFont val="Tahoma"/>
            <family val="2"/>
          </rPr>
          <t xml:space="preserve">
12/01/22</t>
        </r>
      </text>
    </comment>
    <comment ref="J34" authorId="1" shapeId="0" xr:uid="{00000000-0006-0000-4000-00001F000000}">
      <text>
        <r>
          <rPr>
            <b/>
            <sz val="9"/>
            <color indexed="81"/>
            <rFont val="Tahoma"/>
            <family val="2"/>
          </rPr>
          <t>Kris Degraeve:</t>
        </r>
        <r>
          <rPr>
            <sz val="9"/>
            <color indexed="81"/>
            <rFont val="Tahoma"/>
            <family val="2"/>
          </rPr>
          <t xml:space="preserve">
31/08/22
</t>
        </r>
      </text>
    </comment>
    <comment ref="I36" authorId="0" shapeId="0" xr:uid="{00000000-0006-0000-4000-000020000000}">
      <text>
        <r>
          <rPr>
            <b/>
            <sz val="9"/>
            <color indexed="81"/>
            <rFont val="Tahoma"/>
            <family val="2"/>
          </rPr>
          <t>Freddy Alderweireldt:</t>
        </r>
        <r>
          <rPr>
            <sz val="9"/>
            <color indexed="81"/>
            <rFont val="Tahoma"/>
            <family val="2"/>
          </rPr>
          <t xml:space="preserve">
ontvangen 28/04/2022</t>
        </r>
      </text>
    </comment>
    <comment ref="I42" authorId="0" shapeId="0" xr:uid="{00000000-0006-0000-4000-000021000000}">
      <text>
        <r>
          <rPr>
            <b/>
            <sz val="9"/>
            <color indexed="81"/>
            <rFont val="Tahoma"/>
            <family val="2"/>
          </rPr>
          <t>Freddy Alderweireldt:</t>
        </r>
        <r>
          <rPr>
            <sz val="9"/>
            <color indexed="81"/>
            <rFont val="Tahoma"/>
            <family val="2"/>
          </rPr>
          <t xml:space="preserve">
17/10/2022</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Freddy Alderweireldt</author>
  </authors>
  <commentList>
    <comment ref="E12" authorId="0" shapeId="0" xr:uid="{00000000-0006-0000-4100-000001000000}">
      <text>
        <r>
          <rPr>
            <b/>
            <sz val="9"/>
            <color indexed="81"/>
            <rFont val="Tahoma"/>
            <family val="2"/>
          </rPr>
          <t>Freddy Alderweireldt:</t>
        </r>
        <r>
          <rPr>
            <sz val="9"/>
            <color indexed="81"/>
            <rFont val="Tahoma"/>
            <family val="2"/>
          </rPr>
          <t xml:space="preserve">
14/12/18 aan IWVA</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Kris Degraeve</author>
    <author>Degraeve Kris</author>
  </authors>
  <commentList>
    <comment ref="AC39" authorId="0" shapeId="0" xr:uid="{00000000-0006-0000-4200-000001000000}">
      <text>
        <r>
          <rPr>
            <b/>
            <sz val="9"/>
            <color indexed="81"/>
            <rFont val="Tahoma"/>
            <family val="2"/>
          </rPr>
          <t>Kris Degraeve:</t>
        </r>
        <r>
          <rPr>
            <sz val="9"/>
            <color indexed="81"/>
            <rFont val="Tahoma"/>
            <family val="2"/>
          </rPr>
          <t xml:space="preserve">
soc maribel 2016 afname</t>
        </r>
      </text>
    </comment>
    <comment ref="AC40" authorId="0" shapeId="0" xr:uid="{00000000-0006-0000-4200-000002000000}">
      <text>
        <r>
          <rPr>
            <b/>
            <sz val="9"/>
            <color indexed="81"/>
            <rFont val="Tahoma"/>
            <family val="2"/>
          </rPr>
          <t>Kris Degraeve:</t>
        </r>
        <r>
          <rPr>
            <sz val="9"/>
            <color indexed="81"/>
            <rFont val="Tahoma"/>
            <family val="2"/>
          </rPr>
          <t xml:space="preserve">
soc maribel 2017 afname</t>
        </r>
      </text>
    </comment>
    <comment ref="W43" authorId="1" shapeId="0" xr:uid="{00000000-0006-0000-4200-000003000000}">
      <text>
        <r>
          <rPr>
            <b/>
            <sz val="9"/>
            <color indexed="81"/>
            <rFont val="Tahoma"/>
            <family val="2"/>
          </rPr>
          <t>Degraeve Kris:</t>
        </r>
        <r>
          <rPr>
            <sz val="9"/>
            <color indexed="81"/>
            <rFont val="Tahoma"/>
            <family val="2"/>
          </rPr>
          <t xml:space="preserve">
regulier 2016
</t>
        </r>
      </text>
    </comment>
    <comment ref="AG43" authorId="0" shapeId="0" xr:uid="{00000000-0006-0000-4200-000004000000}">
      <text>
        <r>
          <rPr>
            <b/>
            <sz val="9"/>
            <color indexed="81"/>
            <rFont val="Tahoma"/>
            <family val="2"/>
          </rPr>
          <t>Kris Degraeve:</t>
        </r>
        <r>
          <rPr>
            <sz val="9"/>
            <color indexed="81"/>
            <rFont val="Tahoma"/>
            <family val="2"/>
          </rPr>
          <t xml:space="preserve">
15/01/21 regulier 2020</t>
        </r>
      </text>
    </comment>
    <comment ref="AC44" authorId="1" shapeId="0" xr:uid="{00000000-0006-0000-4200-000005000000}">
      <text>
        <r>
          <rPr>
            <b/>
            <sz val="9"/>
            <color indexed="81"/>
            <rFont val="Tahoma"/>
            <family val="2"/>
          </rPr>
          <t>Degraeve Kris:</t>
        </r>
        <r>
          <rPr>
            <sz val="9"/>
            <color indexed="81"/>
            <rFont val="Tahoma"/>
            <family val="2"/>
          </rPr>
          <t xml:space="preserve">
2018 ontvangen juli 2019</t>
        </r>
      </text>
    </comment>
    <comment ref="AG44" authorId="0" shapeId="0" xr:uid="{00000000-0006-0000-4200-000006000000}">
      <text>
        <r>
          <rPr>
            <b/>
            <sz val="9"/>
            <color indexed="81"/>
            <rFont val="Tahoma"/>
            <family val="2"/>
          </rPr>
          <t>Kris Degraeve:</t>
        </r>
        <r>
          <rPr>
            <sz val="9"/>
            <color indexed="81"/>
            <rFont val="Tahoma"/>
            <family val="2"/>
          </rPr>
          <t xml:space="preserve">
regulier VIA 4 2021 11/11/2021</t>
        </r>
      </text>
    </comment>
    <comment ref="Y45" authorId="1" shapeId="0" xr:uid="{00000000-0006-0000-4200-000007000000}">
      <text>
        <r>
          <rPr>
            <b/>
            <sz val="9"/>
            <color indexed="81"/>
            <rFont val="Tahoma"/>
            <family val="2"/>
          </rPr>
          <t>Degraeve Kris:</t>
        </r>
        <r>
          <rPr>
            <sz val="9"/>
            <color indexed="81"/>
            <rFont val="Tahoma"/>
            <family val="2"/>
          </rPr>
          <t xml:space="preserve">
restmiddelen 2016
</t>
        </r>
      </text>
    </comment>
    <comment ref="AA45" authorId="1" shapeId="0" xr:uid="{00000000-0006-0000-4200-000008000000}">
      <text>
        <r>
          <rPr>
            <b/>
            <sz val="9"/>
            <color indexed="81"/>
            <rFont val="Tahoma"/>
            <family val="2"/>
          </rPr>
          <t>Degraeve Kris:</t>
        </r>
        <r>
          <rPr>
            <sz val="9"/>
            <color indexed="81"/>
            <rFont val="Tahoma"/>
            <family val="2"/>
          </rPr>
          <t xml:space="preserve">
restmiddelen 2017</t>
        </r>
      </text>
    </comment>
    <comment ref="AC45" authorId="1" shapeId="0" xr:uid="{00000000-0006-0000-4200-000009000000}">
      <text>
        <r>
          <rPr>
            <b/>
            <sz val="9"/>
            <color indexed="81"/>
            <rFont val="Tahoma"/>
            <family val="2"/>
          </rPr>
          <t>Degraeve Kris:</t>
        </r>
        <r>
          <rPr>
            <sz val="9"/>
            <color indexed="81"/>
            <rFont val="Tahoma"/>
            <family val="2"/>
          </rPr>
          <t xml:space="preserve">
restmiddelen 2019
ontvangen op 20/05/20
</t>
        </r>
      </text>
    </comment>
    <comment ref="AG45" authorId="0" shapeId="0" xr:uid="{00000000-0006-0000-4200-00000A000000}">
      <text>
        <r>
          <rPr>
            <b/>
            <sz val="9"/>
            <color indexed="81"/>
            <rFont val="Tahoma"/>
            <family val="2"/>
          </rPr>
          <t>Kris Degraeve:</t>
        </r>
        <r>
          <rPr>
            <sz val="9"/>
            <color indexed="81"/>
            <rFont val="Tahoma"/>
            <family val="2"/>
          </rPr>
          <t xml:space="preserve">
15/01/21 restmiddelen 2020
</t>
        </r>
      </text>
    </comment>
    <comment ref="AG46" authorId="0" shapeId="0" xr:uid="{00000000-0006-0000-4200-00000B000000}">
      <text>
        <r>
          <rPr>
            <b/>
            <sz val="9"/>
            <color indexed="81"/>
            <rFont val="Tahoma"/>
            <family val="2"/>
          </rPr>
          <t>Kris Degraeve:</t>
        </r>
        <r>
          <rPr>
            <sz val="9"/>
            <color indexed="81"/>
            <rFont val="Tahoma"/>
            <family val="2"/>
          </rPr>
          <t xml:space="preserve">
restmiddelen VIA 4 2021 11/11/21</t>
        </r>
      </text>
    </comment>
    <comment ref="AE47" authorId="0" shapeId="0" xr:uid="{00000000-0006-0000-4200-00000C000000}">
      <text>
        <r>
          <rPr>
            <b/>
            <sz val="9"/>
            <color indexed="81"/>
            <rFont val="Tahoma"/>
            <family val="2"/>
          </rPr>
          <t>Kris Degraeve:</t>
        </r>
        <r>
          <rPr>
            <sz val="9"/>
            <color indexed="81"/>
            <rFont val="Tahoma"/>
            <family val="2"/>
          </rPr>
          <t xml:space="preserve">
éénmalige toelage sectoraal akkoord 2020</t>
        </r>
      </text>
    </comment>
    <comment ref="AG47" authorId="0" shapeId="0" xr:uid="{00000000-0006-0000-4200-00000D000000}">
      <text>
        <r>
          <rPr>
            <b/>
            <sz val="9"/>
            <color indexed="81"/>
            <rFont val="Tahoma"/>
            <family val="2"/>
          </rPr>
          <t>Kris Degraeve:</t>
        </r>
        <r>
          <rPr>
            <sz val="9"/>
            <color indexed="81"/>
            <rFont val="Tahoma"/>
            <family val="2"/>
          </rPr>
          <t xml:space="preserve">
18/01/22
</t>
        </r>
      </text>
    </comment>
    <comment ref="AG48" authorId="0" shapeId="0" xr:uid="{00000000-0006-0000-4200-00000E000000}">
      <text>
        <r>
          <rPr>
            <b/>
            <sz val="9"/>
            <color indexed="81"/>
            <rFont val="Tahoma"/>
            <family val="2"/>
          </rPr>
          <t>Kris Degraeve:</t>
        </r>
        <r>
          <rPr>
            <sz val="9"/>
            <color indexed="81"/>
            <rFont val="Tahoma"/>
            <family val="2"/>
          </rPr>
          <t xml:space="preserve">
21277 EUR 21/02/22 EJT 2021
8,253,06 EUR EJT 2021 extra</t>
        </r>
      </text>
    </comment>
    <comment ref="AI48" authorId="0" shapeId="0" xr:uid="{00000000-0006-0000-4200-00000F000000}">
      <text>
        <r>
          <rPr>
            <b/>
            <sz val="9"/>
            <color indexed="81"/>
            <rFont val="Tahoma"/>
            <family val="2"/>
          </rPr>
          <t>Kris Degraeve:</t>
        </r>
        <r>
          <rPr>
            <sz val="9"/>
            <color indexed="81"/>
            <rFont val="Tahoma"/>
            <family val="2"/>
          </rPr>
          <t xml:space="preserve">
IFIC ondersteuning + kwaliteitsmaatregelen socio cult sector
</t>
        </r>
      </text>
    </comment>
    <comment ref="C109" authorId="0" shapeId="0" xr:uid="{00000000-0006-0000-4200-000010000000}">
      <text>
        <r>
          <rPr>
            <b/>
            <sz val="9"/>
            <color indexed="81"/>
            <rFont val="Tahoma"/>
            <family val="2"/>
          </rPr>
          <t>Kris Degraeve:</t>
        </r>
        <r>
          <rPr>
            <sz val="9"/>
            <color indexed="81"/>
            <rFont val="Tahoma"/>
            <family val="2"/>
          </rPr>
          <t xml:space="preserve">
De Keyser Eddy
</t>
        </r>
      </text>
    </comment>
    <comment ref="Y219" authorId="1" shapeId="0" xr:uid="{00000000-0006-0000-4200-000012000000}">
      <text>
        <r>
          <rPr>
            <b/>
            <sz val="9"/>
            <color indexed="81"/>
            <rFont val="Tahoma"/>
            <family val="2"/>
          </rPr>
          <t>Degraeve Kris:</t>
        </r>
        <r>
          <rPr>
            <sz val="9"/>
            <color indexed="81"/>
            <rFont val="Tahoma"/>
            <family val="2"/>
          </rPr>
          <t xml:space="preserve">
globaal plan 2016
</t>
        </r>
      </text>
    </comment>
    <comment ref="AA219" authorId="1" shapeId="0" xr:uid="{00000000-0006-0000-4200-000013000000}">
      <text>
        <r>
          <rPr>
            <b/>
            <sz val="9"/>
            <color indexed="81"/>
            <rFont val="Tahoma"/>
            <family val="2"/>
          </rPr>
          <t>Degraeve Kris:</t>
        </r>
        <r>
          <rPr>
            <sz val="9"/>
            <color indexed="81"/>
            <rFont val="Tahoma"/>
            <family val="2"/>
          </rPr>
          <t xml:space="preserve">
2017
</t>
        </r>
      </text>
    </comment>
    <comment ref="AE219" authorId="0" shapeId="0" xr:uid="{00000000-0006-0000-4200-000014000000}">
      <text>
        <r>
          <rPr>
            <b/>
            <sz val="9"/>
            <color indexed="81"/>
            <rFont val="Tahoma"/>
            <family val="2"/>
          </rPr>
          <t>Kris Degraeve:</t>
        </r>
        <r>
          <rPr>
            <sz val="9"/>
            <color indexed="81"/>
            <rFont val="Tahoma"/>
            <family val="2"/>
          </rPr>
          <t xml:space="preserve">
15/01/21 
2 de schijf 2019 1920,93
2de schijf 2018 4083,8
</t>
        </r>
      </text>
    </comment>
    <comment ref="AG219" authorId="0" shapeId="0" xr:uid="{00000000-0006-0000-4200-000015000000}">
      <text>
        <r>
          <rPr>
            <b/>
            <sz val="9"/>
            <color indexed="81"/>
            <rFont val="Tahoma"/>
            <family val="2"/>
          </rPr>
          <t>Kris Degraeve:</t>
        </r>
        <r>
          <rPr>
            <sz val="9"/>
            <color indexed="81"/>
            <rFont val="Tahoma"/>
            <family val="2"/>
          </rPr>
          <t xml:space="preserve">
13/01/22
2de schijf jaar ?
20/01/22 1ste schijf 2021</t>
        </r>
      </text>
    </comment>
    <comment ref="AK219" authorId="0" shapeId="0" xr:uid="{8039C11A-13B2-4FF5-88BD-7A96BD69779A}">
      <text>
        <r>
          <rPr>
            <b/>
            <sz val="9"/>
            <color indexed="81"/>
            <rFont val="Tahoma"/>
            <family val="2"/>
          </rPr>
          <t>Kris Degraeve:</t>
        </r>
        <r>
          <rPr>
            <sz val="9"/>
            <color indexed="81"/>
            <rFont val="Tahoma"/>
            <family val="2"/>
          </rPr>
          <t xml:space="preserve">
saldo 2022</t>
        </r>
      </text>
    </comment>
    <comment ref="AE227" authorId="0" shapeId="0" xr:uid="{00000000-0006-0000-4200-000016000000}">
      <text>
        <r>
          <rPr>
            <b/>
            <sz val="9"/>
            <color indexed="81"/>
            <rFont val="Tahoma"/>
            <family val="2"/>
          </rPr>
          <t>Kris Degraeve:</t>
        </r>
        <r>
          <rPr>
            <sz val="9"/>
            <color indexed="81"/>
            <rFont val="Tahoma"/>
            <family val="2"/>
          </rPr>
          <t xml:space="preserve">
schijf 2020</t>
        </r>
      </text>
    </comment>
    <comment ref="AI227" authorId="0" shapeId="0" xr:uid="{9DBC0FC4-DF2D-4EEC-8576-49321270EAE2}">
      <text>
        <r>
          <rPr>
            <b/>
            <sz val="9"/>
            <color indexed="81"/>
            <rFont val="Tahoma"/>
            <family val="2"/>
          </rPr>
          <t>Kris Degraeve:</t>
        </r>
        <r>
          <rPr>
            <sz val="9"/>
            <color indexed="81"/>
            <rFont val="Tahoma"/>
            <family val="2"/>
          </rPr>
          <t xml:space="preserve">
vs 2022
</t>
        </r>
      </text>
    </comment>
    <comment ref="AG353" authorId="0" shapeId="0" xr:uid="{00000000-0006-0000-4200-000017000000}">
      <text>
        <r>
          <rPr>
            <b/>
            <sz val="9"/>
            <color indexed="81"/>
            <rFont val="Tahoma"/>
            <family val="2"/>
          </rPr>
          <t>Kris Degraeve:</t>
        </r>
        <r>
          <rPr>
            <sz val="9"/>
            <color indexed="81"/>
            <rFont val="Tahoma"/>
            <family val="2"/>
          </rPr>
          <t xml:space="preserve">
vs 2021 9/3/22
</t>
        </r>
      </text>
    </comment>
    <comment ref="C367" authorId="1" shapeId="0" xr:uid="{00000000-0006-0000-4200-000018000000}">
      <text>
        <r>
          <rPr>
            <b/>
            <sz val="9"/>
            <color indexed="81"/>
            <rFont val="Tahoma"/>
            <family val="2"/>
          </rPr>
          <t>Degraeve Kris:</t>
        </r>
        <r>
          <rPr>
            <sz val="9"/>
            <color indexed="81"/>
            <rFont val="Tahoma"/>
            <family val="2"/>
          </rPr>
          <t xml:space="preserve">
groene stroom</t>
        </r>
      </text>
    </comment>
    <comment ref="C375" authorId="1" shapeId="0" xr:uid="{00000000-0006-0000-4200-000019000000}">
      <text>
        <r>
          <rPr>
            <b/>
            <sz val="9"/>
            <color indexed="81"/>
            <rFont val="Tahoma"/>
            <family val="2"/>
          </rPr>
          <t>Degraeve Kris:</t>
        </r>
        <r>
          <rPr>
            <sz val="9"/>
            <color indexed="81"/>
            <rFont val="Tahoma"/>
            <family val="2"/>
          </rPr>
          <t xml:space="preserve">
groene stroom</t>
        </r>
      </text>
    </comment>
    <comment ref="AG375" authorId="0" shapeId="0" xr:uid="{00000000-0006-0000-4200-00001A000000}">
      <text>
        <r>
          <rPr>
            <b/>
            <sz val="9"/>
            <color indexed="81"/>
            <rFont val="Tahoma"/>
            <family val="2"/>
          </rPr>
          <t>Kris Degraeve:</t>
        </r>
        <r>
          <rPr>
            <sz val="9"/>
            <color indexed="81"/>
            <rFont val="Tahoma"/>
            <family val="2"/>
          </rPr>
          <t xml:space="preserve">
29/11/21 2020 mina arbeiders
</t>
        </r>
      </text>
    </comment>
    <comment ref="C381" authorId="0" shapeId="0" xr:uid="{00000000-0006-0000-4200-00001B000000}">
      <text>
        <r>
          <rPr>
            <b/>
            <sz val="9"/>
            <color indexed="81"/>
            <rFont val="Tahoma"/>
            <family val="2"/>
          </rPr>
          <t>Kris Degraeve:</t>
        </r>
        <r>
          <rPr>
            <sz val="9"/>
            <color indexed="81"/>
            <rFont val="Tahoma"/>
            <family val="2"/>
          </rPr>
          <t xml:space="preserve">
groene stroomcertificaten
</t>
        </r>
      </text>
    </comment>
    <comment ref="C384" authorId="1" shapeId="0" xr:uid="{00000000-0006-0000-4200-00001C000000}">
      <text>
        <r>
          <rPr>
            <b/>
            <sz val="9"/>
            <color indexed="81"/>
            <rFont val="Tahoma"/>
            <family val="2"/>
          </rPr>
          <t>Degraeve Kris:</t>
        </r>
        <r>
          <rPr>
            <sz val="9"/>
            <color indexed="81"/>
            <rFont val="Tahoma"/>
            <family val="2"/>
          </rPr>
          <t xml:space="preserve">
groene stroom</t>
        </r>
      </text>
    </comment>
    <comment ref="AG384" authorId="0" shapeId="0" xr:uid="{00000000-0006-0000-4200-00001D000000}">
      <text>
        <r>
          <rPr>
            <b/>
            <sz val="9"/>
            <color indexed="81"/>
            <rFont val="Tahoma"/>
            <family val="2"/>
          </rPr>
          <t>Kris Degraeve:</t>
        </r>
        <r>
          <rPr>
            <sz val="9"/>
            <color indexed="81"/>
            <rFont val="Tahoma"/>
            <family val="2"/>
          </rPr>
          <t xml:space="preserve">
29/11/21 2020 mina arbeiders
</t>
        </r>
      </text>
    </comment>
    <comment ref="AG395" authorId="0" shapeId="0" xr:uid="{00000000-0006-0000-4200-00001E000000}">
      <text>
        <r>
          <rPr>
            <b/>
            <sz val="9"/>
            <color indexed="81"/>
            <rFont val="Tahoma"/>
            <family val="2"/>
          </rPr>
          <t>Kris Degraeve:</t>
        </r>
        <r>
          <rPr>
            <sz val="9"/>
            <color indexed="81"/>
            <rFont val="Tahoma"/>
            <family val="2"/>
          </rPr>
          <t xml:space="preserve">
vanaf 2021 rechtstreekse facturatie door Duinenwacht aan provincie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B6" authorId="0" shapeId="0" xr:uid="{00000000-0006-0000-1700-000001000000}">
      <text>
        <r>
          <rPr>
            <b/>
            <sz val="9"/>
            <color indexed="81"/>
            <rFont val="Tahoma"/>
            <family val="2"/>
          </rPr>
          <t>Craeye Birgit:</t>
        </r>
        <r>
          <rPr>
            <sz val="9"/>
            <color indexed="81"/>
            <rFont val="Tahoma"/>
            <family val="2"/>
          </rPr>
          <t xml:space="preserve">
ingezamelde tonnage</t>
        </r>
      </text>
    </comment>
    <comment ref="B7" authorId="0" shapeId="0" xr:uid="{00000000-0006-0000-1700-000002000000}">
      <text>
        <r>
          <rPr>
            <b/>
            <sz val="9"/>
            <color indexed="81"/>
            <rFont val="Tahoma"/>
            <family val="2"/>
          </rPr>
          <t>Craeye Birgit:</t>
        </r>
        <r>
          <rPr>
            <sz val="9"/>
            <color indexed="81"/>
            <rFont val="Tahoma"/>
            <family val="2"/>
          </rPr>
          <t xml:space="preserve">
tonnage</t>
        </r>
      </text>
    </comment>
    <comment ref="L7" authorId="0" shapeId="0" xr:uid="{00000000-0006-0000-1700-000003000000}">
      <text>
        <r>
          <rPr>
            <b/>
            <sz val="9"/>
            <color indexed="81"/>
            <rFont val="Tahoma"/>
            <family val="2"/>
          </rPr>
          <t>Craeye Birgit:</t>
        </r>
        <r>
          <rPr>
            <sz val="9"/>
            <color indexed="81"/>
            <rFont val="Tahoma"/>
            <family val="2"/>
          </rPr>
          <t xml:space="preserve">
huisvuil + grofvuil + gemeentevuil + pmd-residu; de berekeningswijze van het restafval verandert vanaf 2017 </t>
        </r>
      </text>
    </comment>
    <comment ref="M7" authorId="0" shapeId="0" xr:uid="{00000000-0006-0000-1700-000004000000}">
      <text>
        <r>
          <rPr>
            <b/>
            <sz val="9"/>
            <color indexed="81"/>
            <rFont val="Tahoma"/>
            <family val="2"/>
          </rPr>
          <t>Craeye Birgit:</t>
        </r>
        <r>
          <rPr>
            <sz val="9"/>
            <color indexed="81"/>
            <rFont val="Tahoma"/>
            <family val="2"/>
          </rPr>
          <t xml:space="preserve">
huisvuil + grofvuil </t>
        </r>
      </text>
    </comment>
    <comment ref="N7" authorId="0" shapeId="0" xr:uid="{00000000-0006-0000-1700-000005000000}">
      <text>
        <r>
          <rPr>
            <b/>
            <sz val="9"/>
            <color indexed="81"/>
            <rFont val="Tahoma"/>
            <family val="2"/>
          </rPr>
          <t>Craeye Birgit:</t>
        </r>
        <r>
          <rPr>
            <sz val="9"/>
            <color indexed="81"/>
            <rFont val="Tahoma"/>
            <family val="2"/>
          </rPr>
          <t xml:space="preserve">
huisvuil + grofvuil</t>
        </r>
      </text>
    </comment>
    <comment ref="B8" authorId="0" shapeId="0" xr:uid="{00000000-0006-0000-1700-000006000000}">
      <text>
        <r>
          <rPr>
            <b/>
            <sz val="9"/>
            <color indexed="81"/>
            <rFont val="Tahoma"/>
            <family val="2"/>
          </rPr>
          <t>Craeye Birgit:</t>
        </r>
        <r>
          <rPr>
            <sz val="9"/>
            <color indexed="81"/>
            <rFont val="Tahoma"/>
            <family val="2"/>
          </rPr>
          <t xml:space="preserve">
tonnage</t>
        </r>
      </text>
    </comment>
    <comment ref="L8" authorId="0" shapeId="0" xr:uid="{00000000-0006-0000-1700-000007000000}">
      <text>
        <r>
          <rPr>
            <b/>
            <sz val="9"/>
            <color indexed="81"/>
            <rFont val="Tahoma"/>
            <family val="2"/>
          </rPr>
          <t>Craeye Birgit:</t>
        </r>
        <r>
          <rPr>
            <sz val="9"/>
            <color indexed="81"/>
            <rFont val="Tahoma"/>
            <family val="2"/>
          </rPr>
          <t xml:space="preserve">
Door statistische afsplitsing van ambachtelijk afval in 2016 ligt dit cijfer extreem laag.</t>
        </r>
      </text>
    </comment>
    <comment ref="B10" authorId="0" shapeId="0" xr:uid="{00000000-0006-0000-1700-000008000000}">
      <text>
        <r>
          <rPr>
            <b/>
            <sz val="9"/>
            <color indexed="81"/>
            <rFont val="Tahoma"/>
            <family val="2"/>
          </rPr>
          <t>Craeye Birgit:</t>
        </r>
        <r>
          <rPr>
            <sz val="9"/>
            <color indexed="81"/>
            <rFont val="Tahoma"/>
            <family val="2"/>
          </rPr>
          <t xml:space="preserve">
tonnage</t>
        </r>
      </text>
    </comment>
    <comment ref="L10" authorId="0" shapeId="0" xr:uid="{00000000-0006-0000-1700-000009000000}">
      <text>
        <r>
          <rPr>
            <b/>
            <sz val="9"/>
            <color indexed="81"/>
            <rFont val="Tahoma"/>
            <family val="2"/>
          </rPr>
          <t>Craeye Birgit:</t>
        </r>
        <r>
          <rPr>
            <sz val="9"/>
            <color indexed="81"/>
            <rFont val="Tahoma"/>
            <family val="2"/>
          </rPr>
          <t xml:space="preserve">
inbegrepen bij restafval</t>
        </r>
      </text>
    </comment>
    <comment ref="C11" authorId="0" shapeId="0" xr:uid="{00000000-0006-0000-1700-00000A000000}">
      <text>
        <r>
          <rPr>
            <b/>
            <sz val="9"/>
            <color indexed="81"/>
            <rFont val="Tahoma"/>
            <family val="2"/>
          </rPr>
          <t>Craeye Birgit:</t>
        </r>
        <r>
          <rPr>
            <sz val="9"/>
            <color indexed="81"/>
            <rFont val="Tahoma"/>
            <family val="2"/>
          </rPr>
          <t xml:space="preserve">
tonnage</t>
        </r>
      </text>
    </comment>
    <comment ref="L11" authorId="0" shapeId="0" xr:uid="{00000000-0006-0000-1700-00000B000000}">
      <text>
        <r>
          <rPr>
            <b/>
            <sz val="9"/>
            <color indexed="81"/>
            <rFont val="Tahoma"/>
            <family val="2"/>
          </rPr>
          <t>Craeye Birgit:</t>
        </r>
        <r>
          <rPr>
            <sz val="9"/>
            <color indexed="81"/>
            <rFont val="Tahoma"/>
            <family val="2"/>
          </rPr>
          <t xml:space="preserve">
inbegrepen bij restafval</t>
        </r>
      </text>
    </comment>
    <comment ref="M11" authorId="0" shapeId="0" xr:uid="{00000000-0006-0000-1700-00000C000000}">
      <text>
        <r>
          <rPr>
            <b/>
            <sz val="9"/>
            <color indexed="81"/>
            <rFont val="Tahoma"/>
            <family val="2"/>
          </rPr>
          <t>Craeye Birgit:</t>
        </r>
        <r>
          <rPr>
            <sz val="9"/>
            <color indexed="81"/>
            <rFont val="Tahoma"/>
            <family val="2"/>
          </rPr>
          <t xml:space="preserve">
inbegrepen bij restafval</t>
        </r>
      </text>
    </comment>
    <comment ref="N17" authorId="0" shapeId="0" xr:uid="{00000000-0006-0000-1700-00000D000000}">
      <text>
        <r>
          <rPr>
            <b/>
            <sz val="9"/>
            <color indexed="81"/>
            <rFont val="Tahoma"/>
            <family val="2"/>
          </rPr>
          <t>Craeye Birgit:</t>
        </r>
        <r>
          <rPr>
            <sz val="9"/>
            <color indexed="81"/>
            <rFont val="Tahoma"/>
            <family val="2"/>
          </rPr>
          <t xml:space="preserve">
voortaan "omgevingsvergunning"</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B88" authorId="0" shapeId="0" xr:uid="{00000000-0006-0000-4300-000001000000}">
      <text>
        <r>
          <rPr>
            <b/>
            <sz val="9"/>
            <color indexed="81"/>
            <rFont val="Tahoma"/>
            <family val="2"/>
          </rPr>
          <t>Craeye Birgit:</t>
        </r>
        <r>
          <rPr>
            <sz val="9"/>
            <color indexed="81"/>
            <rFont val="Tahoma"/>
            <family val="2"/>
          </rPr>
          <t xml:space="preserve">
werkjaar 2018 (euro)</t>
        </r>
      </text>
    </comment>
    <comment ref="E115" authorId="0" shapeId="0" xr:uid="{00000000-0006-0000-4300-000002000000}">
      <text>
        <r>
          <rPr>
            <b/>
            <sz val="9"/>
            <color indexed="81"/>
            <rFont val="Tahoma"/>
            <family val="2"/>
          </rPr>
          <t>Craeye Birgit:</t>
        </r>
        <r>
          <rPr>
            <sz val="9"/>
            <color indexed="81"/>
            <rFont val="Tahoma"/>
            <family val="2"/>
          </rPr>
          <t xml:space="preserve">
rest 2008+rest2009+2010</t>
        </r>
      </text>
    </comment>
    <comment ref="B121" authorId="0" shapeId="0" xr:uid="{00000000-0006-0000-4300-000003000000}">
      <text>
        <r>
          <rPr>
            <b/>
            <sz val="9"/>
            <color indexed="81"/>
            <rFont val="Tahoma"/>
            <family val="2"/>
          </rPr>
          <t>Craeye Birgit:</t>
        </r>
        <r>
          <rPr>
            <sz val="9"/>
            <color indexed="81"/>
            <rFont val="Tahoma"/>
            <family val="2"/>
          </rPr>
          <t xml:space="preserve">
werkjaar 2008 (euro)</t>
        </r>
      </text>
    </comment>
    <comment ref="B169" authorId="0" shapeId="0" xr:uid="{00000000-0006-0000-4300-000004000000}">
      <text>
        <r>
          <rPr>
            <b/>
            <sz val="9"/>
            <color indexed="81"/>
            <rFont val="Tahoma"/>
            <family val="2"/>
          </rPr>
          <t>Craeye Birgit:</t>
        </r>
        <r>
          <rPr>
            <sz val="9"/>
            <color indexed="81"/>
            <rFont val="Tahoma"/>
            <family val="2"/>
          </rPr>
          <t xml:space="preserve">
werkjaar 2008 (euro)</t>
        </r>
      </text>
    </comment>
    <comment ref="H170" authorId="0" shapeId="0" xr:uid="{00000000-0006-0000-4300-000005000000}">
      <text>
        <r>
          <rPr>
            <b/>
            <sz val="9"/>
            <color indexed="81"/>
            <rFont val="Tahoma"/>
            <family val="2"/>
          </rPr>
          <t>Craeye Birgit:</t>
        </r>
        <r>
          <rPr>
            <sz val="9"/>
            <color indexed="81"/>
            <rFont val="Tahoma"/>
            <family val="2"/>
          </rPr>
          <t xml:space="preserve">
zie voortaan tabel "Basis- en beleidssubsidies": nieuwe regeling sinds 2014</t>
        </r>
      </text>
    </comment>
    <comment ref="C185" authorId="0" shapeId="0" xr:uid="{00000000-0006-0000-4300-000006000000}">
      <text>
        <r>
          <rPr>
            <b/>
            <sz val="9"/>
            <color indexed="81"/>
            <rFont val="Tahoma"/>
            <family val="2"/>
          </rPr>
          <t>Craeye Birgit:</t>
        </r>
        <r>
          <rPr>
            <sz val="9"/>
            <color indexed="81"/>
            <rFont val="Tahoma"/>
            <family val="2"/>
          </rPr>
          <t xml:space="preserve">
Sinds 2009, opgehouden te bestaan</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Freddy Alderweireldt</author>
  </authors>
  <commentList>
    <comment ref="G56" authorId="0" shapeId="0" xr:uid="{00000000-0006-0000-4800-000001000000}">
      <text>
        <r>
          <rPr>
            <b/>
            <sz val="9"/>
            <color indexed="81"/>
            <rFont val="Tahoma"/>
            <family val="2"/>
          </rPr>
          <t>Freddy Alderweireldt:</t>
        </r>
        <r>
          <rPr>
            <sz val="9"/>
            <color indexed="81"/>
            <rFont val="Tahoma"/>
            <family val="2"/>
          </rPr>
          <t xml:space="preserve">
sinds 2018</t>
        </r>
      </text>
    </comment>
    <comment ref="G66" authorId="0" shapeId="0" xr:uid="{00000000-0006-0000-4800-000002000000}">
      <text>
        <r>
          <rPr>
            <b/>
            <sz val="9"/>
            <color indexed="81"/>
            <rFont val="Tahoma"/>
            <family val="2"/>
          </rPr>
          <t>Freddy Alderweireldt:</t>
        </r>
        <r>
          <rPr>
            <sz val="9"/>
            <color indexed="81"/>
            <rFont val="Tahoma"/>
            <family val="2"/>
          </rPr>
          <t xml:space="preserve">
sinds 2018</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Louwye Elke</author>
    <author>Kris Degraeve</author>
  </authors>
  <commentList>
    <comment ref="A45" authorId="0" shapeId="0" xr:uid="{00000000-0006-0000-4900-000001000000}">
      <text>
        <r>
          <rPr>
            <b/>
            <sz val="9"/>
            <color indexed="81"/>
            <rFont val="Tahoma"/>
            <family val="2"/>
          </rPr>
          <t>Louwye Elke:</t>
        </r>
        <r>
          <rPr>
            <sz val="9"/>
            <color indexed="81"/>
            <rFont val="Tahoma"/>
            <family val="2"/>
          </rPr>
          <t xml:space="preserve">
Schulden op 31/12 voorgaande boekjaar
Zie 174002
</t>
        </r>
      </text>
    </comment>
    <comment ref="C45" authorId="1" shapeId="0" xr:uid="{00000000-0006-0000-4900-000002000000}">
      <text>
        <r>
          <rPr>
            <b/>
            <sz val="9"/>
            <color indexed="81"/>
            <rFont val="Tahoma"/>
            <family val="2"/>
          </rPr>
          <t>Kris Degraeve:</t>
        </r>
        <r>
          <rPr>
            <sz val="9"/>
            <color indexed="81"/>
            <rFont val="Tahoma"/>
            <family val="2"/>
          </rPr>
          <t xml:space="preserve">
 AR 1740000 JR 2019</t>
        </r>
      </text>
    </comment>
    <comment ref="C46" authorId="1" shapeId="0" xr:uid="{00000000-0006-0000-4900-000003000000}">
      <text>
        <r>
          <rPr>
            <b/>
            <sz val="9"/>
            <color indexed="81"/>
            <rFont val="Tahoma"/>
            <family val="2"/>
          </rPr>
          <t>Kris Degraeve:</t>
        </r>
        <r>
          <rPr>
            <sz val="9"/>
            <color indexed="81"/>
            <rFont val="Tahoma"/>
            <family val="2"/>
          </rPr>
          <t xml:space="preserve">
zie convergentietabel 2020
</t>
        </r>
      </text>
    </comment>
    <comment ref="D46" authorId="1" shapeId="0" xr:uid="{00000000-0006-0000-4900-000004000000}">
      <text>
        <r>
          <rPr>
            <b/>
            <sz val="9"/>
            <color indexed="81"/>
            <rFont val="Tahoma"/>
            <family val="2"/>
          </rPr>
          <t>Kris Degraeve:</t>
        </r>
        <r>
          <rPr>
            <sz val="9"/>
            <color indexed="81"/>
            <rFont val="Tahoma"/>
            <family val="2"/>
          </rPr>
          <t xml:space="preserve">
Bedrag die was ingevuld: € 676 557 met notitie erbij zie MJP 21-25
Inclusief overdracht. Nieuw ontvangstkrediet 900000
</t>
        </r>
      </text>
    </comment>
    <comment ref="A48" authorId="0" shapeId="0" xr:uid="{00000000-0006-0000-4900-000005000000}">
      <text>
        <r>
          <rPr>
            <b/>
            <sz val="9"/>
            <color indexed="81"/>
            <rFont val="Tahoma"/>
            <family val="2"/>
          </rPr>
          <t>Louwye Elke:</t>
        </r>
        <r>
          <rPr>
            <sz val="9"/>
            <color indexed="81"/>
            <rFont val="Tahoma"/>
            <family val="2"/>
          </rPr>
          <t xml:space="preserve">
Bedrag van lange naar korte termijn in 2021</t>
        </r>
      </text>
    </comment>
    <comment ref="A51" authorId="0" shapeId="0" xr:uid="{00000000-0006-0000-4900-000006000000}">
      <text>
        <r>
          <rPr>
            <b/>
            <sz val="9"/>
            <color indexed="81"/>
            <rFont val="Tahoma"/>
            <family val="2"/>
          </rPr>
          <t>Louwye Elke:</t>
        </r>
        <r>
          <rPr>
            <sz val="9"/>
            <color indexed="81"/>
            <rFont val="Tahoma"/>
            <family val="2"/>
          </rPr>
          <t xml:space="preserve">
Zie J6 1A4 (schulden op lange termijn die binnen het jaar vervallen)
</t>
        </r>
      </text>
    </comment>
    <comment ref="C62" authorId="1" shapeId="0" xr:uid="{00000000-0006-0000-4900-000007000000}">
      <text>
        <r>
          <rPr>
            <b/>
            <sz val="9"/>
            <color indexed="81"/>
            <rFont val="Tahoma"/>
            <family val="2"/>
          </rPr>
          <t>Kris Degraeve:</t>
        </r>
        <r>
          <rPr>
            <sz val="9"/>
            <color indexed="81"/>
            <rFont val="Tahoma"/>
            <family val="2"/>
          </rPr>
          <t xml:space="preserve">
1721001+1733000+1733201 31/12/19 gemeente
172100+173300 31/12/19 ocmw
</t>
        </r>
      </text>
    </comment>
    <comment ref="C68" authorId="1" shapeId="0" xr:uid="{00000000-0006-0000-4900-000008000000}">
      <text>
        <r>
          <rPr>
            <b/>
            <sz val="9"/>
            <color indexed="81"/>
            <rFont val="Tahoma"/>
            <family val="2"/>
          </rPr>
          <t>Kris Degraeve:</t>
        </r>
        <r>
          <rPr>
            <sz val="9"/>
            <color indexed="81"/>
            <rFont val="Tahoma"/>
            <family val="2"/>
          </rPr>
          <t xml:space="preserve">
4221000+4233000+4233200 31/12/19 gemeente
422100+423300 31/12/19 ocmw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Louwye Elke</author>
    <author>Kris Degraeve</author>
  </authors>
  <commentList>
    <comment ref="A45" authorId="0" shapeId="0" xr:uid="{00000000-0006-0000-4A00-000001000000}">
      <text>
        <r>
          <rPr>
            <b/>
            <sz val="9"/>
            <color indexed="81"/>
            <rFont val="Tahoma"/>
            <family val="2"/>
          </rPr>
          <t>Louwye Elke:</t>
        </r>
        <r>
          <rPr>
            <sz val="9"/>
            <color indexed="81"/>
            <rFont val="Tahoma"/>
            <family val="2"/>
          </rPr>
          <t xml:space="preserve">
Schulden op 31/12 voorgaande boekjaar
Zie 174002
</t>
        </r>
      </text>
    </comment>
    <comment ref="C45" authorId="1" shapeId="0" xr:uid="{00000000-0006-0000-4A00-000002000000}">
      <text>
        <r>
          <rPr>
            <b/>
            <sz val="9"/>
            <color indexed="81"/>
            <rFont val="Tahoma"/>
            <family val="2"/>
          </rPr>
          <t>Kris Degraeve:</t>
        </r>
        <r>
          <rPr>
            <sz val="9"/>
            <color indexed="81"/>
            <rFont val="Tahoma"/>
            <family val="2"/>
          </rPr>
          <t xml:space="preserve">
 AR 1740000 JR 2019</t>
        </r>
      </text>
    </comment>
    <comment ref="C46" authorId="1" shapeId="0" xr:uid="{00000000-0006-0000-4A00-000003000000}">
      <text>
        <r>
          <rPr>
            <b/>
            <sz val="9"/>
            <color indexed="81"/>
            <rFont val="Tahoma"/>
            <family val="2"/>
          </rPr>
          <t>Kris Degraeve:</t>
        </r>
        <r>
          <rPr>
            <sz val="9"/>
            <color indexed="81"/>
            <rFont val="Tahoma"/>
            <family val="2"/>
          </rPr>
          <t xml:space="preserve">
zie convergentietabel 2020
</t>
        </r>
      </text>
    </comment>
    <comment ref="D46" authorId="1" shapeId="0" xr:uid="{00000000-0006-0000-4A00-000004000000}">
      <text>
        <r>
          <rPr>
            <b/>
            <sz val="9"/>
            <color indexed="81"/>
            <rFont val="Tahoma"/>
            <family val="2"/>
          </rPr>
          <t>Kris Degraeve:</t>
        </r>
        <r>
          <rPr>
            <sz val="9"/>
            <color indexed="81"/>
            <rFont val="Tahoma"/>
            <family val="2"/>
          </rPr>
          <t xml:space="preserve">
Bedrag die was ingevuld: € 676 557 met notitie erbij zie MJP 21-25
Inclusief overdracht. Nieuw ontvangstkrediet 900000
</t>
        </r>
      </text>
    </comment>
    <comment ref="A48" authorId="0" shapeId="0" xr:uid="{00000000-0006-0000-4A00-000005000000}">
      <text>
        <r>
          <rPr>
            <b/>
            <sz val="9"/>
            <color indexed="81"/>
            <rFont val="Tahoma"/>
            <family val="2"/>
          </rPr>
          <t>Louwye Elke:</t>
        </r>
        <r>
          <rPr>
            <sz val="9"/>
            <color indexed="81"/>
            <rFont val="Tahoma"/>
            <family val="2"/>
          </rPr>
          <t xml:space="preserve">
Bedrag van lange naar korte termijn in 2021</t>
        </r>
      </text>
    </comment>
    <comment ref="A51" authorId="0" shapeId="0" xr:uid="{00000000-0006-0000-4A00-000006000000}">
      <text>
        <r>
          <rPr>
            <b/>
            <sz val="9"/>
            <color indexed="81"/>
            <rFont val="Tahoma"/>
            <family val="2"/>
          </rPr>
          <t>Louwye Elke:</t>
        </r>
        <r>
          <rPr>
            <sz val="9"/>
            <color indexed="81"/>
            <rFont val="Tahoma"/>
            <family val="2"/>
          </rPr>
          <t xml:space="preserve">
Zie J6 1A4 (schulden op lange termijn die binnen het jaar vervallen)
</t>
        </r>
      </text>
    </comment>
    <comment ref="C62" authorId="1" shapeId="0" xr:uid="{00000000-0006-0000-4A00-000007000000}">
      <text>
        <r>
          <rPr>
            <b/>
            <sz val="9"/>
            <color indexed="81"/>
            <rFont val="Tahoma"/>
            <family val="2"/>
          </rPr>
          <t>Kris Degraeve:</t>
        </r>
        <r>
          <rPr>
            <sz val="9"/>
            <color indexed="81"/>
            <rFont val="Tahoma"/>
            <family val="2"/>
          </rPr>
          <t xml:space="preserve">
1721001+1733000+1733201 31/12/19 gemeente
172100+173300 31/12/19 ocmw
</t>
        </r>
      </text>
    </comment>
    <comment ref="C68" authorId="1" shapeId="0" xr:uid="{00000000-0006-0000-4A00-000008000000}">
      <text>
        <r>
          <rPr>
            <b/>
            <sz val="9"/>
            <color indexed="81"/>
            <rFont val="Tahoma"/>
            <family val="2"/>
          </rPr>
          <t>Kris Degraeve:</t>
        </r>
        <r>
          <rPr>
            <sz val="9"/>
            <color indexed="81"/>
            <rFont val="Tahoma"/>
            <family val="2"/>
          </rPr>
          <t xml:space="preserve">
4221000+4233000+4233200 31/12/19 gemeente
422100+423300 31/12/19 ocmw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Kris Degraeve</author>
    <author>Degraeve Kris</author>
  </authors>
  <commentList>
    <comment ref="P4" authorId="0" shapeId="0" xr:uid="{00000000-0006-0000-4C00-000001000000}">
      <text>
        <r>
          <rPr>
            <b/>
            <sz val="9"/>
            <color indexed="81"/>
            <rFont val="Tahoma"/>
            <family val="2"/>
          </rPr>
          <t>Kris Degraeve:</t>
        </r>
        <r>
          <rPr>
            <sz val="9"/>
            <color indexed="81"/>
            <rFont val="Tahoma"/>
            <family val="2"/>
          </rPr>
          <t xml:space="preserve">
2,934 % 28/11/22-31/12/23 eindvervaldag</t>
        </r>
      </text>
    </comment>
    <comment ref="Q8" authorId="1" shapeId="0" xr:uid="{00000000-0006-0000-4C00-000002000000}">
      <text>
        <r>
          <rPr>
            <b/>
            <sz val="9"/>
            <color indexed="81"/>
            <rFont val="Tahoma"/>
            <family val="2"/>
          </rPr>
          <t>Degraeve Kris:</t>
        </r>
        <r>
          <rPr>
            <sz val="9"/>
            <color indexed="81"/>
            <rFont val="Tahoma"/>
            <family val="2"/>
          </rPr>
          <t xml:space="preserve">
1,141 tot 11/12/18
0,961 tot 11/12/21
</t>
        </r>
      </text>
    </comment>
    <comment ref="Q16" authorId="0" shapeId="0" xr:uid="{00000000-0006-0000-4C00-000003000000}">
      <text>
        <r>
          <rPr>
            <b/>
            <sz val="9"/>
            <color indexed="81"/>
            <rFont val="Tahoma"/>
            <family val="2"/>
          </rPr>
          <t>Kris Degraeve:</t>
        </r>
        <r>
          <rPr>
            <sz val="9"/>
            <color indexed="81"/>
            <rFont val="Tahoma"/>
            <family val="2"/>
          </rPr>
          <t xml:space="preserve">
2007-2012: 4,298 %
2013-2017:0,800 %
2018-2022 : 0
,138%
2022-2027 : 2,606 %
</t>
        </r>
      </text>
    </comment>
    <comment ref="Q17" authorId="0" shapeId="0" xr:uid="{00000000-0006-0000-4C00-000004000000}">
      <text>
        <r>
          <rPr>
            <b/>
            <sz val="9"/>
            <color indexed="81"/>
            <rFont val="Tahoma"/>
            <family val="2"/>
          </rPr>
          <t>Kris Degraeve:</t>
        </r>
        <r>
          <rPr>
            <sz val="9"/>
            <color indexed="81"/>
            <rFont val="Tahoma"/>
            <family val="2"/>
          </rPr>
          <t xml:space="preserve">
2007-2012: 4,298 %
2013-2017 : 0,800 %
2018-2022 : 0,138%
2022-2027 : 2,606 %</t>
        </r>
      </text>
    </comment>
    <comment ref="Q18" authorId="0" shapeId="0" xr:uid="{00000000-0006-0000-4C00-000005000000}">
      <text>
        <r>
          <rPr>
            <b/>
            <sz val="9"/>
            <color indexed="81"/>
            <rFont val="Tahoma"/>
            <family val="2"/>
          </rPr>
          <t>Kris Degraeve:</t>
        </r>
        <r>
          <rPr>
            <sz val="9"/>
            <color indexed="81"/>
            <rFont val="Tahoma"/>
            <family val="2"/>
          </rPr>
          <t xml:space="preserve">
2007-2012: 4,296 %
2013-2017: 0,822 %
2018-2022 : 0,179%
2022-2027 : 2,568 %</t>
        </r>
      </text>
    </comment>
    <comment ref="Q28" authorId="0" shapeId="0" xr:uid="{00000000-0006-0000-4C00-000006000000}">
      <text>
        <r>
          <rPr>
            <b/>
            <sz val="9"/>
            <color indexed="81"/>
            <rFont val="Tahoma"/>
            <family val="2"/>
          </rPr>
          <t>Kris Degraeve:</t>
        </r>
        <r>
          <rPr>
            <sz val="9"/>
            <color indexed="81"/>
            <rFont val="Tahoma"/>
            <family val="2"/>
          </rPr>
          <t xml:space="preserve">
3,72% daarna, 
0,759 % tot 02/12/22, 3,372 % tot 3/12/27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Freddy Alderweireldt</author>
    <author>Degraeve Kris</author>
  </authors>
  <commentList>
    <comment ref="K144" authorId="0" shapeId="0" xr:uid="{00000000-0006-0000-4F00-000001000000}">
      <text>
        <r>
          <rPr>
            <b/>
            <sz val="9"/>
            <color indexed="81"/>
            <rFont val="Tahoma"/>
            <family val="2"/>
          </rPr>
          <t>Freddy Alderweireldt:</t>
        </r>
        <r>
          <rPr>
            <sz val="9"/>
            <color indexed="81"/>
            <rFont val="Tahoma"/>
            <family val="2"/>
          </rPr>
          <t xml:space="preserve">
2018: € 943,27
2019: € 963,18</t>
        </r>
      </text>
    </comment>
    <comment ref="D149" authorId="1" shapeId="0" xr:uid="{00000000-0006-0000-4F00-000002000000}">
      <text>
        <r>
          <rPr>
            <b/>
            <sz val="9"/>
            <color indexed="81"/>
            <rFont val="Tahoma"/>
            <family val="2"/>
          </rPr>
          <t>Degraeve Kris:</t>
        </r>
        <r>
          <rPr>
            <sz val="9"/>
            <color indexed="81"/>
            <rFont val="Tahoma"/>
            <family val="2"/>
          </rPr>
          <t xml:space="preserve">
teller opname in clubhuis van verbruik 1/5-1/11 en dan extrapoleren naar 2018 en 2017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Degraeve Kris</author>
  </authors>
  <commentList>
    <comment ref="A14" authorId="0" shapeId="0" xr:uid="{00000000-0006-0000-5B00-000001000000}">
      <text>
        <r>
          <rPr>
            <b/>
            <sz val="9"/>
            <color indexed="81"/>
            <rFont val="Tahoma"/>
            <family val="2"/>
          </rPr>
          <t>Degraeve Kris:</t>
        </r>
        <r>
          <rPr>
            <sz val="9"/>
            <color indexed="81"/>
            <rFont val="Tahoma"/>
            <family val="2"/>
          </rPr>
          <t xml:space="preserve">
berekend op deficit tussen pensioenlast en de berekende basispens bijdrage niet de wett pensbijdrage</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Degraeve Kris</author>
  </authors>
  <commentList>
    <comment ref="A14" authorId="0" shapeId="0" xr:uid="{00000000-0006-0000-5C00-000001000000}">
      <text>
        <r>
          <rPr>
            <b/>
            <sz val="9"/>
            <color indexed="81"/>
            <rFont val="Tahoma"/>
            <family val="2"/>
          </rPr>
          <t>Degraeve Kris:</t>
        </r>
        <r>
          <rPr>
            <sz val="9"/>
            <color indexed="81"/>
            <rFont val="Tahoma"/>
            <family val="2"/>
          </rPr>
          <t xml:space="preserve">
berekend op deficit tussen pensioenlast en de berekende basispens bijdrage niet de wett pensbijdrage</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Birgit Craeye</author>
  </authors>
  <commentList>
    <comment ref="B4" authorId="0" shapeId="0" xr:uid="{00000000-0006-0000-5F00-000001000000}">
      <text>
        <r>
          <rPr>
            <b/>
            <sz val="9"/>
            <color indexed="81"/>
            <rFont val="Tahoma"/>
            <family val="2"/>
          </rPr>
          <t>Birgit Craeye:</t>
        </r>
        <r>
          <rPr>
            <sz val="9"/>
            <color indexed="81"/>
            <rFont val="Tahoma"/>
            <family val="2"/>
          </rPr>
          <t xml:space="preserve">
Dit omvat ook de vorraadartikelen die momenteel niet in gebruik zijn</t>
        </r>
      </text>
    </comment>
    <comment ref="B44" authorId="0" shapeId="0" xr:uid="{00000000-0006-0000-5F00-000002000000}">
      <text>
        <r>
          <rPr>
            <b/>
            <sz val="9"/>
            <color indexed="81"/>
            <rFont val="Tahoma"/>
            <family val="2"/>
          </rPr>
          <t>Birgit Craeye:</t>
        </r>
        <r>
          <rPr>
            <sz val="9"/>
            <color indexed="81"/>
            <rFont val="Tahoma"/>
            <family val="2"/>
          </rPr>
          <t xml:space="preserve">
Aantal laptops is sterk de hoogt in o.w.v. organisatie VCC in Funrevent en thuiswerk door Covid-pandemie. Ook heel wat in omloop voor soiale dienst/LOI</t>
        </r>
      </text>
    </comment>
    <comment ref="B61" authorId="0" shapeId="0" xr:uid="{00000000-0006-0000-5F00-000003000000}">
      <text>
        <r>
          <rPr>
            <b/>
            <sz val="9"/>
            <color indexed="81"/>
            <rFont val="Tahoma"/>
            <family val="2"/>
          </rPr>
          <t>Birgit Craeye:</t>
        </r>
        <r>
          <rPr>
            <sz val="9"/>
            <color indexed="81"/>
            <rFont val="Tahoma"/>
            <family val="2"/>
          </rPr>
          <t xml:space="preserve">
Aantal smartphones in gegroeid door gebruik 3P binnen UTD</t>
        </r>
      </text>
    </comment>
    <comment ref="B78" authorId="0" shapeId="0" xr:uid="{00000000-0006-0000-5F00-000004000000}">
      <text>
        <r>
          <rPr>
            <b/>
            <sz val="9"/>
            <color indexed="81"/>
            <rFont val="Tahoma"/>
            <family val="2"/>
          </rPr>
          <t>Birgit Craeye:</t>
        </r>
        <r>
          <rPr>
            <sz val="9"/>
            <color indexed="81"/>
            <rFont val="Tahoma"/>
            <family val="2"/>
          </rPr>
          <t xml:space="preserve">
In 2021 werden 2623 tickets behandeld, waarvan er momenteel nog 37 open staan. Gem. 218 tickets op maandbasis.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H5" authorId="0" shapeId="0" xr:uid="{00000000-0006-0000-1800-000001000000}">
      <text>
        <r>
          <rPr>
            <b/>
            <sz val="9"/>
            <color indexed="81"/>
            <rFont val="Tahoma"/>
            <family val="2"/>
          </rPr>
          <t>Craeye Birgit:</t>
        </r>
        <r>
          <rPr>
            <sz val="9"/>
            <color indexed="81"/>
            <rFont val="Tahoma"/>
            <family val="2"/>
          </rPr>
          <t xml:space="preserve">
31/12/2014</t>
        </r>
      </text>
    </comment>
    <comment ref="I5" authorId="0" shapeId="0" xr:uid="{00000000-0006-0000-1800-000002000000}">
      <text>
        <r>
          <rPr>
            <b/>
            <sz val="9"/>
            <color indexed="81"/>
            <rFont val="Tahoma"/>
            <family val="2"/>
          </rPr>
          <t>Craeye Birgit:</t>
        </r>
        <r>
          <rPr>
            <sz val="9"/>
            <color indexed="81"/>
            <rFont val="Tahoma"/>
            <family val="2"/>
          </rPr>
          <t xml:space="preserve">
31/12/2013</t>
        </r>
      </text>
    </comment>
    <comment ref="J5" authorId="0" shapeId="0" xr:uid="{00000000-0006-0000-1800-000003000000}">
      <text>
        <r>
          <rPr>
            <b/>
            <sz val="9"/>
            <color indexed="81"/>
            <rFont val="Tahoma"/>
            <family val="2"/>
          </rPr>
          <t>Craeye Birgit:</t>
        </r>
        <r>
          <rPr>
            <sz val="9"/>
            <color indexed="81"/>
            <rFont val="Tahoma"/>
            <family val="2"/>
          </rPr>
          <t xml:space="preserve">
31/12/2012</t>
        </r>
      </text>
    </comment>
    <comment ref="K5" authorId="0" shapeId="0" xr:uid="{00000000-0006-0000-1800-000004000000}">
      <text>
        <r>
          <rPr>
            <b/>
            <sz val="9"/>
            <color indexed="81"/>
            <rFont val="Tahoma"/>
            <family val="2"/>
          </rPr>
          <t>Craeye Birgit:</t>
        </r>
        <r>
          <rPr>
            <sz val="9"/>
            <color indexed="81"/>
            <rFont val="Tahoma"/>
            <family val="2"/>
          </rPr>
          <t xml:space="preserve">
31/12/2011</t>
        </r>
      </text>
    </comment>
    <comment ref="L5" authorId="0" shapeId="0" xr:uid="{00000000-0006-0000-1800-000005000000}">
      <text>
        <r>
          <rPr>
            <b/>
            <sz val="9"/>
            <color indexed="81"/>
            <rFont val="Tahoma"/>
            <family val="2"/>
          </rPr>
          <t>Craeye Birgit:</t>
        </r>
        <r>
          <rPr>
            <sz val="9"/>
            <color indexed="81"/>
            <rFont val="Tahoma"/>
            <family val="2"/>
          </rPr>
          <t xml:space="preserve">
31/12/2009</t>
        </r>
      </text>
    </comment>
    <comment ref="N5" authorId="0" shapeId="0" xr:uid="{00000000-0006-0000-1800-000006000000}">
      <text>
        <r>
          <rPr>
            <b/>
            <sz val="9"/>
            <color indexed="81"/>
            <rFont val="Tahoma"/>
            <family val="2"/>
          </rPr>
          <t>Craeye Birgit:</t>
        </r>
        <r>
          <rPr>
            <sz val="9"/>
            <color indexed="81"/>
            <rFont val="Tahoma"/>
            <family val="2"/>
          </rPr>
          <t xml:space="preserve">
31/12/2008</t>
        </r>
      </text>
    </comment>
    <comment ref="O5" authorId="0" shapeId="0" xr:uid="{00000000-0006-0000-1800-000007000000}">
      <text>
        <r>
          <rPr>
            <b/>
            <sz val="9"/>
            <color indexed="81"/>
            <rFont val="Tahoma"/>
            <family val="2"/>
          </rPr>
          <t>Craeye Birgit:</t>
        </r>
        <r>
          <rPr>
            <sz val="9"/>
            <color indexed="81"/>
            <rFont val="Tahoma"/>
            <family val="2"/>
          </rPr>
          <t xml:space="preserve">
31/12/2007</t>
        </r>
      </text>
    </comment>
    <comment ref="P5" authorId="0" shapeId="0" xr:uid="{00000000-0006-0000-1800-000008000000}">
      <text>
        <r>
          <rPr>
            <b/>
            <sz val="9"/>
            <color indexed="81"/>
            <rFont val="Tahoma"/>
            <family val="2"/>
          </rPr>
          <t>Craeye Birgit:</t>
        </r>
        <r>
          <rPr>
            <sz val="9"/>
            <color indexed="81"/>
            <rFont val="Tahoma"/>
            <family val="2"/>
          </rPr>
          <t xml:space="preserve">
31/12/2006</t>
        </r>
      </text>
    </comment>
    <comment ref="B21" authorId="0" shapeId="0" xr:uid="{BFEFC1F7-4CBD-44BC-95F2-64B451B4FBD3}">
      <text>
        <r>
          <rPr>
            <b/>
            <sz val="9"/>
            <color indexed="81"/>
            <rFont val="Tahoma"/>
            <family val="2"/>
          </rPr>
          <t>Craeye Birgit:</t>
        </r>
        <r>
          <rPr>
            <sz val="9"/>
            <color indexed="81"/>
            <rFont val="Tahoma"/>
            <family val="2"/>
          </rPr>
          <t xml:space="preserve">
Sinds midden februari 2018: omgevingsvergunning</t>
        </r>
      </text>
    </comment>
    <comment ref="C21" authorId="0" shapeId="0" xr:uid="{CA442520-E99B-407C-8CC0-0E1204403915}">
      <text>
        <r>
          <rPr>
            <b/>
            <sz val="9"/>
            <color indexed="81"/>
            <rFont val="Tahoma"/>
            <family val="2"/>
          </rPr>
          <t>Craeye Birgit:</t>
        </r>
        <r>
          <rPr>
            <sz val="9"/>
            <color indexed="81"/>
            <rFont val="Tahoma"/>
            <family val="2"/>
          </rPr>
          <t xml:space="preserve">
nieuw softwaresysteem (Vergunningen.NET)</t>
        </r>
      </text>
    </comment>
    <comment ref="F63" authorId="0" shapeId="0" xr:uid="{00000000-0006-0000-1800-00000B000000}">
      <text>
        <r>
          <rPr>
            <b/>
            <sz val="9"/>
            <color indexed="81"/>
            <rFont val="Tahoma"/>
            <family val="2"/>
          </rPr>
          <t>Craeye Birgit:</t>
        </r>
        <r>
          <rPr>
            <sz val="9"/>
            <color indexed="81"/>
            <rFont val="Tahoma"/>
            <family val="2"/>
          </rPr>
          <t xml:space="preserve">
1 positief en 1 negatief attest</t>
        </r>
      </text>
    </comment>
    <comment ref="B69" authorId="0" shapeId="0" xr:uid="{00000000-0006-0000-1800-00000C000000}">
      <text>
        <r>
          <rPr>
            <b/>
            <sz val="9"/>
            <color indexed="81"/>
            <rFont val="Tahoma"/>
            <family val="2"/>
          </rPr>
          <t>Craeye Birgit:</t>
        </r>
        <r>
          <rPr>
            <sz val="9"/>
            <color indexed="81"/>
            <rFont val="Tahoma"/>
            <family val="2"/>
          </rPr>
          <t xml:space="preserve">
4 ontvankelijk en ongegrond; 3 ontvankelijk en deels gegrond</t>
        </r>
      </text>
    </comment>
    <comment ref="C69" authorId="0" shapeId="0" xr:uid="{00000000-0006-0000-1800-00000D000000}">
      <text>
        <r>
          <rPr>
            <b/>
            <sz val="9"/>
            <color indexed="81"/>
            <rFont val="Tahoma"/>
            <family val="2"/>
          </rPr>
          <t>Craeye Birgit:</t>
        </r>
        <r>
          <rPr>
            <sz val="9"/>
            <color indexed="81"/>
            <rFont val="Tahoma"/>
            <family val="2"/>
          </rPr>
          <t xml:space="preserve">
6 ontvankelijk en ongegrond</t>
        </r>
      </text>
    </comment>
    <comment ref="F69" authorId="0" shapeId="0" xr:uid="{00000000-0006-0000-1800-00000E000000}">
      <text>
        <r>
          <rPr>
            <b/>
            <sz val="9"/>
            <color indexed="81"/>
            <rFont val="Tahoma"/>
            <family val="2"/>
          </rPr>
          <t>Craeye Birgit:</t>
        </r>
        <r>
          <rPr>
            <sz val="9"/>
            <color indexed="81"/>
            <rFont val="Tahoma"/>
            <family val="2"/>
          </rPr>
          <t xml:space="preserve">
4 vergunningen, 2 onontvankelijk en 1 weigering</t>
        </r>
      </text>
    </comment>
    <comment ref="G69" authorId="0" shapeId="0" xr:uid="{00000000-0006-0000-1800-00000F000000}">
      <text>
        <r>
          <rPr>
            <b/>
            <sz val="9"/>
            <color indexed="81"/>
            <rFont val="Tahoma"/>
            <family val="2"/>
          </rPr>
          <t>Craeye Birgit:</t>
        </r>
        <r>
          <rPr>
            <sz val="9"/>
            <color indexed="81"/>
            <rFont val="Tahoma"/>
            <family val="2"/>
          </rPr>
          <t xml:space="preserve">
3 vergunning, 1 geweigerd, 1 onontvankelijk</t>
        </r>
      </text>
    </comment>
    <comment ref="H69" authorId="0" shapeId="0" xr:uid="{00000000-0006-0000-1800-000010000000}">
      <text>
        <r>
          <rPr>
            <b/>
            <sz val="9"/>
            <color indexed="81"/>
            <rFont val="Tahoma"/>
            <family val="2"/>
          </rPr>
          <t>Craeye Birgit:</t>
        </r>
        <r>
          <rPr>
            <sz val="9"/>
            <color indexed="81"/>
            <rFont val="Tahoma"/>
            <family val="2"/>
          </rPr>
          <t xml:space="preserve">
3 vergunningen 2 weigeringen</t>
        </r>
      </text>
    </comment>
    <comment ref="D72" authorId="0" shapeId="0" xr:uid="{00000000-0006-0000-1800-000011000000}">
      <text>
        <r>
          <rPr>
            <b/>
            <sz val="9"/>
            <color indexed="81"/>
            <rFont val="Tahoma"/>
            <family val="2"/>
          </rPr>
          <t>Craeye Birgit:</t>
        </r>
        <r>
          <rPr>
            <sz val="9"/>
            <color indexed="81"/>
            <rFont val="Tahoma"/>
            <family val="2"/>
          </rPr>
          <t xml:space="preserve">
4 vergunningen, 2 weigeringen</t>
        </r>
      </text>
    </comment>
    <comment ref="B171" authorId="0" shapeId="0" xr:uid="{00000000-0006-0000-1800-000012000000}">
      <text>
        <r>
          <rPr>
            <b/>
            <sz val="9"/>
            <color indexed="81"/>
            <rFont val="Tahoma"/>
            <family val="2"/>
          </rPr>
          <t>Craeye Birgit:</t>
        </r>
        <r>
          <rPr>
            <sz val="9"/>
            <color indexed="81"/>
            <rFont val="Tahoma"/>
            <family val="2"/>
          </rPr>
          <t xml:space="preserve">
aanstelling van ontwerper</t>
        </r>
      </text>
    </comment>
    <comment ref="C171" authorId="0" shapeId="0" xr:uid="{00000000-0006-0000-1800-000013000000}">
      <text>
        <r>
          <rPr>
            <b/>
            <sz val="9"/>
            <color indexed="81"/>
            <rFont val="Tahoma"/>
            <family val="2"/>
          </rPr>
          <t>Craeye Birgit:</t>
        </r>
        <r>
          <rPr>
            <sz val="9"/>
            <color indexed="81"/>
            <rFont val="Tahoma"/>
            <family val="2"/>
          </rPr>
          <t xml:space="preserve">
plenaire vergadering</t>
        </r>
      </text>
    </comment>
    <comment ref="D171" authorId="0" shapeId="0" xr:uid="{00000000-0006-0000-1800-000014000000}">
      <text>
        <r>
          <rPr>
            <b/>
            <sz val="9"/>
            <color indexed="81"/>
            <rFont val="Tahoma"/>
            <family val="2"/>
          </rPr>
          <t>Craeye Birgit:</t>
        </r>
        <r>
          <rPr>
            <sz val="9"/>
            <color indexed="81"/>
            <rFont val="Tahoma"/>
            <family val="2"/>
          </rPr>
          <t xml:space="preserve">
Voorlopige vaststelling</t>
        </r>
      </text>
    </comment>
    <comment ref="E171" authorId="0" shapeId="0" xr:uid="{00000000-0006-0000-1800-000015000000}">
      <text>
        <r>
          <rPr>
            <b/>
            <sz val="9"/>
            <color indexed="81"/>
            <rFont val="Tahoma"/>
            <family val="2"/>
          </rPr>
          <t>Craeye Birgit:</t>
        </r>
        <r>
          <rPr>
            <sz val="9"/>
            <color indexed="81"/>
            <rFont val="Tahoma"/>
            <family val="2"/>
          </rPr>
          <t xml:space="preserve">
Definitieve vaststelling</t>
        </r>
      </text>
    </comment>
    <comment ref="F171" authorId="0" shapeId="0" xr:uid="{00000000-0006-0000-1800-000016000000}">
      <text>
        <r>
          <rPr>
            <b/>
            <sz val="9"/>
            <color indexed="81"/>
            <rFont val="Tahoma"/>
            <family val="2"/>
          </rPr>
          <t>Craeye Birgit:</t>
        </r>
        <r>
          <rPr>
            <sz val="9"/>
            <color indexed="81"/>
            <rFont val="Tahoma"/>
            <family val="2"/>
          </rPr>
          <t xml:space="preserve">
Goedkeuring door deputatie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Birgit Craeye</author>
  </authors>
  <commentList>
    <comment ref="C46" authorId="0" shapeId="0" xr:uid="{494A1441-EE41-48B0-B5FB-97C1BA20EAFC}">
      <text>
        <r>
          <rPr>
            <b/>
            <sz val="9"/>
            <color indexed="81"/>
            <rFont val="Tahoma"/>
            <family val="2"/>
          </rPr>
          <t>Birgit Craeye:</t>
        </r>
        <r>
          <rPr>
            <sz val="9"/>
            <color indexed="81"/>
            <rFont val="Tahoma"/>
            <family val="2"/>
          </rPr>
          <t xml:space="preserve">
(2022 niet gebruikt van januari  tot  april – corona)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Birgit Craeye</author>
    <author>Craeye Birgit</author>
  </authors>
  <commentList>
    <comment ref="P6" authorId="0" shapeId="0" xr:uid="{2BFDFA11-F3AD-4223-8139-36DF0B4D4CB3}">
      <text>
        <r>
          <rPr>
            <b/>
            <sz val="9"/>
            <color indexed="81"/>
            <rFont val="Tahoma"/>
            <charset val="1"/>
          </rPr>
          <t>Birgit Craeye:</t>
        </r>
        <r>
          <rPr>
            <sz val="9"/>
            <color indexed="81"/>
            <rFont val="Tahoma"/>
            <charset val="1"/>
          </rPr>
          <t xml:space="preserve">
gegevens worden vanaf dit schooljaar door scholen bewaard</t>
        </r>
      </text>
    </comment>
    <comment ref="M86" authorId="1" shapeId="0" xr:uid="{00000000-0006-0000-1A00-000001000000}">
      <text>
        <r>
          <rPr>
            <b/>
            <sz val="9"/>
            <color indexed="81"/>
            <rFont val="Tahoma"/>
            <family val="2"/>
          </rPr>
          <t>Craeye Birgit:</t>
        </r>
        <r>
          <rPr>
            <sz val="9"/>
            <color indexed="81"/>
            <rFont val="Tahoma"/>
            <family val="2"/>
          </rPr>
          <t xml:space="preserve">
Nieuwe indeling sinds 2018</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Craeye Birgit</author>
  </authors>
  <commentList>
    <comment ref="B12" authorId="0" shapeId="0" xr:uid="{00000000-0006-0000-1F00-000001000000}">
      <text>
        <r>
          <rPr>
            <b/>
            <sz val="9"/>
            <color indexed="81"/>
            <rFont val="Tahoma"/>
            <family val="2"/>
          </rPr>
          <t>Craeye Birgit:</t>
        </r>
        <r>
          <rPr>
            <sz val="9"/>
            <color indexed="81"/>
            <rFont val="Tahoma"/>
            <family val="2"/>
          </rPr>
          <t xml:space="preserve">
vanaf juli 2007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Kris Degraeve</author>
  </authors>
  <commentList>
    <comment ref="O86" authorId="0" shapeId="0" xr:uid="{00000000-0006-0000-2700-000001000000}">
      <text>
        <r>
          <rPr>
            <b/>
            <sz val="9"/>
            <color indexed="81"/>
            <rFont val="Tahoma"/>
            <family val="2"/>
          </rPr>
          <t>Kris Degraeve:</t>
        </r>
        <r>
          <rPr>
            <sz val="9"/>
            <color indexed="81"/>
            <rFont val="Tahoma"/>
            <family val="2"/>
          </rPr>
          <t xml:space="preserve">
2020+2021
detail op 0300-00 700000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Louwye Elke</author>
  </authors>
  <commentList>
    <comment ref="C58" authorId="0" shapeId="0" xr:uid="{00000000-0006-0000-2B00-000001000000}">
      <text>
        <r>
          <rPr>
            <b/>
            <sz val="9"/>
            <color indexed="81"/>
            <rFont val="Tahoma"/>
            <family val="2"/>
          </rPr>
          <t>Louwye Elke:</t>
        </r>
        <r>
          <rPr>
            <sz val="9"/>
            <color indexed="81"/>
            <rFont val="Tahoma"/>
            <family val="2"/>
          </rPr>
          <t xml:space="preserve">
comp mat&amp;out en compens energie op werkingssubsidies ipv OV</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Kris Degraeve</author>
  </authors>
  <commentList>
    <comment ref="AD4" authorId="0" shapeId="0" xr:uid="{00000000-0006-0000-2F00-000001000000}">
      <text>
        <r>
          <rPr>
            <b/>
            <sz val="9"/>
            <color indexed="81"/>
            <rFont val="Tahoma"/>
            <family val="2"/>
          </rPr>
          <t>Kris Degraeve:</t>
        </r>
        <r>
          <rPr>
            <sz val="9"/>
            <color indexed="81"/>
            <rFont val="Tahoma"/>
            <family val="2"/>
          </rPr>
          <t xml:space="preserve">
toestand op 1/1/21</t>
        </r>
      </text>
    </comment>
    <comment ref="AE4" authorId="0" shapeId="0" xr:uid="{00000000-0006-0000-2F00-000002000000}">
      <text>
        <r>
          <rPr>
            <b/>
            <sz val="9"/>
            <color indexed="81"/>
            <rFont val="Tahoma"/>
            <family val="2"/>
          </rPr>
          <t>Kris Degraeve:</t>
        </r>
        <r>
          <rPr>
            <sz val="9"/>
            <color indexed="81"/>
            <rFont val="Tahoma"/>
            <family val="2"/>
          </rPr>
          <t xml:space="preserve">
toestand 1/1/2022</t>
        </r>
      </text>
    </comment>
    <comment ref="AC9" authorId="0" shapeId="0" xr:uid="{00000000-0006-0000-2F00-000003000000}">
      <text>
        <r>
          <rPr>
            <b/>
            <sz val="9"/>
            <color indexed="81"/>
            <rFont val="Tahoma"/>
            <family val="2"/>
          </rPr>
          <t>Kris Degraeve:</t>
        </r>
        <r>
          <rPr>
            <sz val="9"/>
            <color indexed="81"/>
            <rFont val="Tahoma"/>
            <family val="2"/>
          </rPr>
          <t xml:space="preserve">
daling door vrijgesteld inkomen code x </t>
        </r>
      </text>
    </comment>
  </commentList>
</comments>
</file>

<file path=xl/sharedStrings.xml><?xml version="1.0" encoding="utf-8"?>
<sst xmlns="http://schemas.openxmlformats.org/spreadsheetml/2006/main" count="17406" uniqueCount="8439">
  <si>
    <t>Boordtabellen</t>
  </si>
  <si>
    <t>Zwembad</t>
  </si>
  <si>
    <t>Opvang totaal aantal kinder per deelgemeente</t>
  </si>
  <si>
    <t>Gemiddeld aantal deelnemers per activiteit Briekeljong</t>
  </si>
  <si>
    <t>Sportcheques</t>
  </si>
  <si>
    <t>Jeugdcheques</t>
  </si>
  <si>
    <t>Taxicheques</t>
  </si>
  <si>
    <t>Sportactiviteiten</t>
  </si>
  <si>
    <t>Totaal</t>
  </si>
  <si>
    <t>Bezetting Oostduinkerke - Brussel</t>
  </si>
  <si>
    <t>Aantal onbebouwde percelen</t>
  </si>
  <si>
    <t>Vergunningen Ruimtelijke ordening</t>
  </si>
  <si>
    <t>Woningen ongeschikt/onbewoonbaar</t>
  </si>
  <si>
    <t>Tijdelijk parkeerverbod</t>
  </si>
  <si>
    <t>Aantal milieuvergunningen</t>
  </si>
  <si>
    <t>Selectieve afvalinzameling Veurne</t>
  </si>
  <si>
    <t>Onderwijscheques</t>
  </si>
  <si>
    <t>Aantal onderwijscheques per school</t>
  </si>
  <si>
    <t>Overzicht gebruik Furnevent en OC's = Gebruik OC</t>
  </si>
  <si>
    <t>Aantal zwemmers in stedelijk zwembad</t>
  </si>
  <si>
    <t>Vrij Vaderland</t>
  </si>
  <si>
    <t>Inname openbaar domein</t>
  </si>
  <si>
    <t>Aantal premieaanvragen</t>
  </si>
  <si>
    <t>wegen en onderhoud</t>
  </si>
  <si>
    <t>Huur feestmateriaal (infrastructuur, natuur en milieu)</t>
  </si>
  <si>
    <t>Aflevering documenten</t>
  </si>
  <si>
    <t>Registratie akten</t>
  </si>
  <si>
    <t>Begravingen in Veurne</t>
  </si>
  <si>
    <t>Wijzigingen in huwelijksvermogenstelsels</t>
  </si>
  <si>
    <t>Aantal vreemdelingen</t>
  </si>
  <si>
    <t>GAS-inbreuken</t>
  </si>
  <si>
    <t>Evolutie Bibliotheek AGB</t>
  </si>
  <si>
    <t>Personeels-en werkingssubsidies</t>
  </si>
  <si>
    <t>Subsidies socio-culturele verengingen</t>
  </si>
  <si>
    <t>Gebouwensubsidies</t>
  </si>
  <si>
    <t>Impulssubsidies</t>
  </si>
  <si>
    <t>Basis- en beleidssubsidie</t>
  </si>
  <si>
    <t>Subsidies jeugd</t>
  </si>
  <si>
    <t>Kadervorming subsidie jeugd</t>
  </si>
  <si>
    <t>Projectsubsidies</t>
  </si>
  <si>
    <t>Projectsubsidies samenwerkingsverbanden</t>
  </si>
  <si>
    <t>Beleggingen</t>
  </si>
  <si>
    <t>Plattelandsfonds</t>
  </si>
  <si>
    <t>Facturatie ontvangsten</t>
  </si>
  <si>
    <t>Gemeentefonds - berekening</t>
  </si>
  <si>
    <t>Ontvangsten vs. Uitgaven</t>
  </si>
  <si>
    <t xml:space="preserve">Financiële schulden OUD STAD </t>
  </si>
  <si>
    <t>Schuld</t>
  </si>
  <si>
    <t>Reservefondsen</t>
  </si>
  <si>
    <t>Interne controle Matrix ontvangsten</t>
  </si>
  <si>
    <t>Investeringssubsidies</t>
  </si>
  <si>
    <t>Subsidies projecten jeugd feestraden en socia-culturele verenigingen</t>
  </si>
  <si>
    <t>Subsidies projectinvesteringen feestraden en socia-culturele verenigingen</t>
  </si>
  <si>
    <t>Belastingreglementen</t>
  </si>
  <si>
    <t>Saldo eigen dienstjaar/autofinancieringsmarge</t>
  </si>
  <si>
    <t xml:space="preserve">Economische groepen </t>
  </si>
  <si>
    <t>Investeringen - Eigen aandeel investeringen</t>
  </si>
  <si>
    <t>Energiekosten</t>
  </si>
  <si>
    <t>Inventaris leningen</t>
  </si>
  <si>
    <t>Financiering via overboekingen</t>
  </si>
  <si>
    <t>Verzekeringen - diversen</t>
  </si>
  <si>
    <t>Verzekeringen - voertuigen</t>
  </si>
  <si>
    <t>Aantal afgeleverde vergunningen RO</t>
  </si>
  <si>
    <t>Inwoners per deelgemeente (algemeen beleid)</t>
  </si>
  <si>
    <t>schoolbevolking StAPwest</t>
  </si>
  <si>
    <t>Sociaal pedagogische toelage voor gezinnen met gehandicapte kinderen</t>
  </si>
  <si>
    <t>WELZIJN</t>
  </si>
  <si>
    <t>BURGER</t>
  </si>
  <si>
    <t>VRIJE TIJD</t>
  </si>
  <si>
    <t>CIJFERS</t>
  </si>
  <si>
    <t>FINANCIËN</t>
  </si>
  <si>
    <t>WZC TER LINDEN</t>
  </si>
  <si>
    <t>GEZINSHULP</t>
  </si>
  <si>
    <t>ZONNEBLOEM</t>
  </si>
  <si>
    <t>ZONNEWENDE</t>
  </si>
  <si>
    <t>ONDERWIJS EN OPVANG</t>
  </si>
  <si>
    <t>WONEN</t>
  </si>
  <si>
    <t>MILIEU EN AFVAL</t>
  </si>
  <si>
    <t>PERSONEEL</t>
  </si>
  <si>
    <t>SPORT</t>
  </si>
  <si>
    <t>VISIT VEURNE</t>
  </si>
  <si>
    <t>JEUGD</t>
  </si>
  <si>
    <t>ZWEMBAD</t>
  </si>
  <si>
    <t>BIBLIOTHEEK</t>
  </si>
  <si>
    <t>BELASTINGEN</t>
  </si>
  <si>
    <t>BELEGGINGEN</t>
  </si>
  <si>
    <t>FONDSEN</t>
  </si>
  <si>
    <t>SUBSIDIES</t>
  </si>
  <si>
    <t>EVENEMENT OF PRIVE FEEST ORGANISEREN</t>
  </si>
  <si>
    <t>VERZEKERINGEN</t>
  </si>
  <si>
    <t>FISCALITEIT</t>
  </si>
  <si>
    <t>KERKFABRIEKEN</t>
  </si>
  <si>
    <t>KOHIEREN</t>
  </si>
  <si>
    <t>KADASTRAAL INKOMEN</t>
  </si>
  <si>
    <t>RETRIBUTIE BLAUWE ZONE</t>
  </si>
  <si>
    <t>GEMEENTELIJKE SANERINGSBIJDRAGE</t>
  </si>
  <si>
    <t>HOSPITALISATIEVERZEKERING</t>
  </si>
  <si>
    <t>RESPONSABILISERINGSBIJDRAGE</t>
  </si>
  <si>
    <t>TM1 PERSONEEL</t>
  </si>
  <si>
    <t>SOCIALE ZEKERHEIDSBIJDRAGE</t>
  </si>
  <si>
    <t>MOBILITEIT</t>
  </si>
  <si>
    <t>BURGERZAKEN</t>
  </si>
  <si>
    <t>Subsidies - onderdeel van vrije tijd:</t>
  </si>
  <si>
    <t>MILIEU &amp; AFVAL</t>
  </si>
  <si>
    <t>BOORDTABELLEN WELZIJN</t>
  </si>
  <si>
    <t>BOORDTABELLEN BURGER</t>
  </si>
  <si>
    <t>BOORDTABELLEN VRIJE TIJD</t>
  </si>
  <si>
    <t>BOORDTABELLEN FINANCIËN</t>
  </si>
  <si>
    <t>FEEST</t>
  </si>
  <si>
    <t>BOORDTABELLEN PERSONEEL</t>
  </si>
  <si>
    <t>BANK</t>
  </si>
  <si>
    <t>Dividenden</t>
  </si>
  <si>
    <t>GEMEENTELIJKE SANERINGSVERGOEDING</t>
  </si>
  <si>
    <t>Subsidies recreatie- en comptetitiesport</t>
  </si>
  <si>
    <t>Werkingssubsidie feestraden</t>
  </si>
  <si>
    <t>VR</t>
  </si>
  <si>
    <t>B-VR</t>
  </si>
  <si>
    <t>02000/7317000</t>
  </si>
  <si>
    <t>Afgifte milieuverg.</t>
  </si>
  <si>
    <t>02000/7020004</t>
  </si>
  <si>
    <t>Afgifte adm.stukken</t>
  </si>
  <si>
    <t>02000/7332600</t>
  </si>
  <si>
    <t>Ophalen grof vuilnis</t>
  </si>
  <si>
    <t>02000/7332800</t>
  </si>
  <si>
    <t>Sluikstortingen</t>
  </si>
  <si>
    <t>02000/7331100</t>
  </si>
  <si>
    <t>Begravingen, asver</t>
  </si>
  <si>
    <t>02000/7331400</t>
  </si>
  <si>
    <t>Opgravingen</t>
  </si>
  <si>
    <t>02000/7332300</t>
  </si>
  <si>
    <t>Huisvuilzakken</t>
  </si>
  <si>
    <t>02000/7342200</t>
  </si>
  <si>
    <t>Reklameborden</t>
  </si>
  <si>
    <t>02000/7342400</t>
  </si>
  <si>
    <t>Verspreiden reclame</t>
  </si>
  <si>
    <t>02000/7341900</t>
  </si>
  <si>
    <t>Verblijfsbelasting</t>
  </si>
  <si>
    <t>02000/7360000</t>
  </si>
  <si>
    <t>Markten</t>
  </si>
  <si>
    <t>02000/7360800</t>
  </si>
  <si>
    <t>Terrrassen</t>
  </si>
  <si>
    <t>02000/7360500</t>
  </si>
  <si>
    <t>Benzinepompen</t>
  </si>
  <si>
    <t>02000/7369999</t>
  </si>
  <si>
    <t>Inname openb.weg</t>
  </si>
  <si>
    <t>02000/7371000</t>
  </si>
  <si>
    <t>Niet-bebouwde gronden</t>
  </si>
  <si>
    <t>02000/7373000</t>
  </si>
  <si>
    <t>Ontbreken parking</t>
  </si>
  <si>
    <t>02000/7377000</t>
  </si>
  <si>
    <t>Tweede verblijven</t>
  </si>
  <si>
    <t>02000/7374000</t>
  </si>
  <si>
    <t>Leegstand</t>
  </si>
  <si>
    <t>02000/7380000</t>
  </si>
  <si>
    <t>AGB</t>
  </si>
  <si>
    <t>02000/7300000</t>
  </si>
  <si>
    <t>OV</t>
  </si>
  <si>
    <t>02000/7301000</t>
  </si>
  <si>
    <t>APB</t>
  </si>
  <si>
    <t>02000/7302000</t>
  </si>
  <si>
    <t>Motor</t>
  </si>
  <si>
    <t>02000/7304000</t>
  </si>
  <si>
    <t>EIGEN BELASTINGEN</t>
  </si>
  <si>
    <t>AANVULLENDE BELASTINGEN</t>
  </si>
  <si>
    <t>BEGROTING</t>
  </si>
  <si>
    <t>TOTAAL</t>
  </si>
  <si>
    <t>ALGEMEEN TOTAAL</t>
  </si>
  <si>
    <t>AANSLAGVOET ONROERENDE VOORHEFFING EN AANVULLENDE PERSONENBELASTING PER JAAR</t>
  </si>
  <si>
    <t>JAARLIJKSE OPBRENGST PER BELASTING OF RETRIBUTIE</t>
  </si>
  <si>
    <t>Rekeningnr.</t>
  </si>
  <si>
    <t>Aard belasting/retributie</t>
  </si>
  <si>
    <t>Algemene gemeentebelasting</t>
  </si>
  <si>
    <t>- gezinnen</t>
  </si>
  <si>
    <t>- bedrijven</t>
  </si>
  <si>
    <t>- gemeenschappen</t>
  </si>
  <si>
    <t>Terrassen, tafels, stoelen</t>
  </si>
  <si>
    <t>Verspreiding niet-geadresseerde drukwerken</t>
  </si>
  <si>
    <t>-</t>
  </si>
  <si>
    <t>Leegstand gebouwen en woningen</t>
  </si>
  <si>
    <t>Krotten/verwaarloosde en ongeschikte woningen en gebouwen</t>
  </si>
  <si>
    <t>Afgifte stukken voor gevaarlijke, ongezonde en hinderlijke inrichtingen</t>
  </si>
  <si>
    <t>Afgifte e-id, paspoorten ed.</t>
  </si>
  <si>
    <t>Aanvragen stedebouwkundige vergunningen</t>
  </si>
  <si>
    <t>Ontbreken van parkeerplaatsen</t>
  </si>
  <si>
    <t>Ophalen nijverheidsvuil en grof vuilnis</t>
  </si>
  <si>
    <t>Afgifte van huisvuilzakken, -recipiënten en klevers</t>
  </si>
  <si>
    <t>Reclameborden</t>
  </si>
  <si>
    <t>Ander gebruik van de openbare weg</t>
  </si>
  <si>
    <t>Masten en pylonen</t>
  </si>
  <si>
    <t>Aanvullende belasting op de O.V.</t>
  </si>
  <si>
    <t>Aanvullende belasting op de personenbelasting</t>
  </si>
  <si>
    <t>Aanvullende belasting op de belasting op motorrijtuigen</t>
  </si>
  <si>
    <t>Aanvullende belasting op leegstand en verkrotting</t>
  </si>
  <si>
    <t>Interventies brandweer</t>
  </si>
  <si>
    <t>Blauwe zone</t>
  </si>
  <si>
    <t>Nutsvoorzieningen gas</t>
  </si>
  <si>
    <t>Nutsvoorzieningen elektriciteit</t>
  </si>
  <si>
    <t>Kermis</t>
  </si>
  <si>
    <t>Kinderopvang</t>
  </si>
  <si>
    <t>Containerpark (diftar) + GFT</t>
  </si>
  <si>
    <t>Gemeentelijke saneringsbijdrage</t>
  </si>
  <si>
    <t xml:space="preserve">Huisaansluitingen </t>
  </si>
  <si>
    <t>Concessies begraafplaatsen</t>
  </si>
  <si>
    <t>Grafkelders - naamplaatjes</t>
  </si>
  <si>
    <t>Medewerking TD</t>
  </si>
  <si>
    <t>ONROERENDE VOORHEFFING</t>
  </si>
  <si>
    <t>AANVULLENDE PERSONENBELASTING</t>
  </si>
  <si>
    <t>De belastingsreglementen zijn consulteerbaar op de stedelijke website www.veurne.be</t>
  </si>
  <si>
    <t>RETRIBUTIES</t>
  </si>
  <si>
    <t>Belastingen en retributies</t>
  </si>
  <si>
    <t>BELASTINGSREGLEMENTEN</t>
  </si>
  <si>
    <t>Reglement</t>
  </si>
  <si>
    <t>Datum G.R.</t>
  </si>
  <si>
    <t>Periode</t>
  </si>
  <si>
    <t>bedrag</t>
  </si>
  <si>
    <t>Hervaststelling</t>
  </si>
  <si>
    <t>geïndexeerd bedrag</t>
  </si>
  <si>
    <t>Opmerkingen</t>
  </si>
  <si>
    <t>OPCENTIEMEN OP DE ONROERENDE VOORHEFFING</t>
  </si>
  <si>
    <t>ALGEMENE GEMEENTEBELASTING</t>
  </si>
  <si>
    <t>2020-2025</t>
  </si>
  <si>
    <t>geindexeerde bedragen zie bijlage</t>
  </si>
  <si>
    <t>Algemene gemeentebelasting gezinnen***</t>
  </si>
  <si>
    <t>meer dan 1 persoon*</t>
  </si>
  <si>
    <t>10,00 EUR vermindering éénoudergezin</t>
  </si>
  <si>
    <t>alleenstaanden*</t>
  </si>
  <si>
    <t>meer dan 1 persoon - verhoogde tegemoetkoming*</t>
  </si>
  <si>
    <t>alleenstaanden - verhoogde tegemoetkoming*</t>
  </si>
  <si>
    <t>gemeenschappen - per groep 5 personen*</t>
  </si>
  <si>
    <t>Algemene gemeentebelasting bedrijven</t>
  </si>
  <si>
    <t>natuurlijke personen-1° jaar vrijstelling</t>
  </si>
  <si>
    <t>basistarief - tot 150 m²*</t>
  </si>
  <si>
    <t>150 m² tot 1000 m²/m²**</t>
  </si>
  <si>
    <t>1001 m² tot 10000 m²/m²**</t>
  </si>
  <si>
    <t>10001 m² tot 50000 m²/m²**</t>
  </si>
  <si>
    <t xml:space="preserve"> </t>
  </si>
  <si>
    <t>vanaf 50000 m²**</t>
  </si>
  <si>
    <t>* jaarlijkse verhoogd met de procentuele stijging van de gezondheidsindex.  De verhoging wordt enkel toegepast wanneer die meer dan 1,00 EUR bedraagt en wordt afgerond naar beneden euro</t>
  </si>
  <si>
    <t>INDEXERING</t>
  </si>
  <si>
    <t>** jaarlijkse verhoogd met de procentuele stijging van de gezondheidsindex.  De verhoging wordt enkel toegepast wanneer die meer dan 1,00 eurocent bedraagt en wordt afgerond naar beneden euroeurocent</t>
  </si>
  <si>
    <t>***een gezin geniet vrijstelling van de belasting indien de referentiepersoon van het gezin op 1 januari van het aanslagjaar recht heeft op maatschappelijke integratie (leefloon) op basis van de wet van 26 mei 2002 betreffende het recht op maatschappelijke integratie of steun ontvangt van een OCMW dat geheel of gedeeltelijk ten laste wordt genomen door de federale staat</t>
  </si>
  <si>
    <t>ADMINISTRATIEVE STUKKEN EN GEBRUIK STADSDIENSTEN</t>
  </si>
  <si>
    <t>Identiteitsbewijzen en paspoorten</t>
  </si>
  <si>
    <t>Identiteitskaarten Belgen/verblijfsdocumenten vreemdelingen</t>
  </si>
  <si>
    <t>Boven de door FOD bin.zaken aangerekende productiekost</t>
  </si>
  <si>
    <t>identiteitsbewijzen kinderen -12 jaar</t>
  </si>
  <si>
    <t>gratis</t>
  </si>
  <si>
    <t>Paspoorten 5 jaar geldig/bovenconsulaire rechten</t>
  </si>
  <si>
    <t>paspoorten minderjarigen</t>
  </si>
  <si>
    <t>Huwelijken</t>
  </si>
  <si>
    <t>trouwboekje</t>
  </si>
  <si>
    <t>Wettelijke samenwoonst</t>
  </si>
  <si>
    <t>betekening wettelijke beëindiging bij deurwaardersexploot en kennisgeving ambtenaar burgerlijke stand</t>
  </si>
  <si>
    <t>effectieve kosten betekening en kennisgeving, vooraf te betalen</t>
  </si>
  <si>
    <t>Rijbewijzen</t>
  </si>
  <si>
    <t>Rijbewijzen - boven de FOD Mobiliteit gevraagde retributie</t>
  </si>
  <si>
    <t>E-rijbewijzen - boven de FOD mobiliteit gevraagde retributie</t>
  </si>
  <si>
    <t>Adressenlijsten - statistische gegevens</t>
  </si>
  <si>
    <t>één tot vijf geboortejaren - per lijst</t>
  </si>
  <si>
    <t>tarief x 2 indien op etiketten/informatische drager</t>
  </si>
  <si>
    <t>per schijf van 5 geboortejaren</t>
  </si>
  <si>
    <t>per set statistische gegevens</t>
  </si>
  <si>
    <t>Kopieën van bestuursdocumenten</t>
  </si>
  <si>
    <t>documenten ivm openbaarheid bestuur</t>
  </si>
  <si>
    <t>Zwart-wit A4</t>
  </si>
  <si>
    <t>Zwart-wit A3</t>
  </si>
  <si>
    <t>Kleur A4</t>
  </si>
  <si>
    <t>Kleur A3</t>
  </si>
  <si>
    <t>Documenten niet ivm openbaarheid bestuur</t>
  </si>
  <si>
    <t>Opzoekingen in registers door personeel</t>
  </si>
  <si>
    <t>Per uur geleverd werk</t>
  </si>
  <si>
    <t>voorafbetaling van 2 uur/afrekening achteraf</t>
  </si>
  <si>
    <t>Afdruk zegelmatrijzen</t>
  </si>
  <si>
    <t>per afdruk</t>
  </si>
  <si>
    <t>Gebruik stadsarchief</t>
  </si>
  <si>
    <t>per dag/deelnemer</t>
  </si>
  <si>
    <t>OMGEVINGSVERGUNNING OF -MELDING, NOTARIËLE INLICHTINGEN</t>
  </si>
  <si>
    <t>Aanvraag omgevingsvergunning</t>
  </si>
  <si>
    <t>Vereenvoudigde procedure digitaal</t>
  </si>
  <si>
    <t>Vereenvoudigde procedure Analoog</t>
  </si>
  <si>
    <t>Vereenvoudigde procedure ingediend samen met ambtenaar</t>
  </si>
  <si>
    <t>Gewone procedure digitaal</t>
  </si>
  <si>
    <t>Gewone procedure Analoog</t>
  </si>
  <si>
    <t>Gewone procedure ingediend samen met ambtenaar</t>
  </si>
  <si>
    <t>Bekendmaking in dag- of weekblad en/of informatievergadering</t>
  </si>
  <si>
    <t>Gebouw met meer dan 1 woongelegenheid</t>
  </si>
  <si>
    <t>per bijkomende woongelegenheid indien aantal vergunde woongelegeheden meer dan 1</t>
  </si>
  <si>
    <t>Adviesprocedure andere vergunningverlenende overheid (Provincie of Vlaams gewest)</t>
  </si>
  <si>
    <t>Geen bekendmaking in dag- of weekblad en/of informatievergadering</t>
  </si>
  <si>
    <t>+ Kosten openbaar onderzoek en aanplakking</t>
  </si>
  <si>
    <t xml:space="preserve"> Industrieterreinen : + kosten nazicht door deskundige ivm afvoer regenwater</t>
  </si>
  <si>
    <t>Afdruk digitale beslissingen</t>
  </si>
  <si>
    <t>Houders van een digitale vergunningsbeslissing kunnen een papieren afdruk krijgen van de vergunningsbeslissing na betaling van 100 euro.</t>
  </si>
  <si>
    <t>Omgevingsvergunning: verkavelen van gronden en wijzigen van een verkavelingsvergunning</t>
  </si>
  <si>
    <t>Digitaal</t>
  </si>
  <si>
    <t>Analoog</t>
  </si>
  <si>
    <t>Ingediend samen met ambtenaar</t>
  </si>
  <si>
    <t>Voor elke kavel zonder wegeniswerken</t>
  </si>
  <si>
    <t>extra</t>
  </si>
  <si>
    <t>Voor elke kavel met wegeniswerken</t>
  </si>
  <si>
    <t>Verkavelingsplan met afzonderlijk rioleringsstelsel</t>
  </si>
  <si>
    <t>Meldingsprocedure</t>
  </si>
  <si>
    <t xml:space="preserve">Aanvraag planologisch en stedenbouwkundig attest </t>
  </si>
  <si>
    <t>Stedenbouwkundige inlichtingen</t>
  </si>
  <si>
    <t>NIET BEBOUWDE GRONDEN GELEGEN IN INDUSTRIEGEBIED</t>
  </si>
  <si>
    <t>per m²</t>
  </si>
  <si>
    <t>jaarlijkse verhoging ABEX-index per 1/1 (index december)</t>
  </si>
  <si>
    <t>minimum</t>
  </si>
  <si>
    <t>jaarlijkse verhoging met 20 % vanaf 2° jaar tot 10° jaar</t>
  </si>
  <si>
    <t>GEMEENTELIJKE ACTIVERINGSHEFFING</t>
  </si>
  <si>
    <t>jaarlijkse verhoging ABEX-index per 1/1(index december)</t>
  </si>
  <si>
    <t>AMBULANCTE ACTIVITEITEN OP DE OPENBARE MARKTEN EN OPENBAAR DOMEIN</t>
  </si>
  <si>
    <t>Openbaar domein</t>
  </si>
  <si>
    <t>per strekkende meter, met een minimum van 10,00 EUR (uitgez. Pluimvee)</t>
  </si>
  <si>
    <t>Enkel bebouwde kom vroegere gemeente Veurne</t>
  </si>
  <si>
    <t>per strekkende meter, met een minimum van 2,5 EUR voor pluimvee</t>
  </si>
  <si>
    <t>Feestelijkheden op openbaar domein</t>
  </si>
  <si>
    <t>per standplaats</t>
  </si>
  <si>
    <t>Openbare markten</t>
  </si>
  <si>
    <t>Vaste marktkramers, houders van een abonnement</t>
  </si>
  <si>
    <t>01/01-31/05 en 01/10-31/12 (alle kramen, uitgez. Pluimvee)</t>
  </si>
  <si>
    <t>per strekkende meter en per dag</t>
  </si>
  <si>
    <t>minimum 10,00 EUR</t>
  </si>
  <si>
    <t>01/06-30/09 (alle kramen, uitgez. Pluimvee)</t>
  </si>
  <si>
    <t>minimum 16,00 EUR</t>
  </si>
  <si>
    <t>01/01-31/05 en 01/10-31/12 (pluimvee)</t>
  </si>
  <si>
    <t>minimum 2,50 EUR</t>
  </si>
  <si>
    <t>01/06-30/09 (Pluimvee)</t>
  </si>
  <si>
    <t>minimum 4,00 EUR</t>
  </si>
  <si>
    <t>Betaling per kwartaal, 10 % korting, semester, 15 % korting, jaar, 20 % korting</t>
  </si>
  <si>
    <t>Bij niet tijdige betaling, verhoging met toegestane korting</t>
  </si>
  <si>
    <t>Voor de koopwaren, die op de wekelijkse marktdag, op de kermis of op andere openbare feesten gehangen worden aan de muren van de huizen en gebouwen of op de voetpaden worden toegelaten, wordt het standgeld bepaald per dag en per strekkende meter op 0,50 EUR.</t>
  </si>
  <si>
    <t>losse marktkramers</t>
  </si>
  <si>
    <t>minimum 15,00 EUR</t>
  </si>
  <si>
    <t>minimum 24,00 EUR</t>
  </si>
  <si>
    <t>TARIEVEN ELEKTRICITEIT MARKT</t>
  </si>
  <si>
    <t>Voedingskramen met koel- en/of verwarmingsinstallaties</t>
  </si>
  <si>
    <t>per marktdag</t>
  </si>
  <si>
    <t>per kwartaal</t>
  </si>
  <si>
    <t>Voedingskramen zonder koel- en/of verwarmingsinstallaties en niet-voedingskramen</t>
  </si>
  <si>
    <t>VERSPREIDING NIET-GEADRESSEERDE DRUKWERKEN EN GELIJKGESTELDE PRODUCTEN</t>
  </si>
  <si>
    <t>per exemplaar 21 - 99 gram</t>
  </si>
  <si>
    <t>jaarlijkse verhoging op 1 januari van het aanslagjaar met de procentuele stijging</t>
  </si>
  <si>
    <t>per exemplaar 100 - 499 gram</t>
  </si>
  <si>
    <t xml:space="preserve">van de gezondheidsindex, van zodra de gecumuleerde stijging resulteert in een </t>
  </si>
  <si>
    <t>per exemplaar 500 - 999 gram</t>
  </si>
  <si>
    <t>verhoging van minstens 0,01 EUR</t>
  </si>
  <si>
    <t>vanaf 1000 gram</t>
  </si>
  <si>
    <t>PLAATSEN VAN TAFELS, STOELEN E.D. OP VOETPADEN</t>
  </si>
  <si>
    <t>Zone I (Grote Markt) : per m²</t>
  </si>
  <si>
    <t>Minimum</t>
  </si>
  <si>
    <t>van de gezondheidsindex,  de bedragen worden afgerond naar boven , naar de</t>
  </si>
  <si>
    <t xml:space="preserve">Zone II : per m² </t>
  </si>
  <si>
    <t>eerstvolgende euro,</t>
  </si>
  <si>
    <t>Zone III : per m²</t>
  </si>
  <si>
    <t>BENZINEPOMPEN</t>
  </si>
  <si>
    <t>Vaste pompen</t>
  </si>
  <si>
    <t>per brandstofslang met een debiet tot 70 liter/minuut</t>
  </si>
  <si>
    <t>jaarlijkse verhoging met de procentuele stijging van de gezondheidsindex,  Het bedrag wordt afgerond naar boven, naar de eerstvolgende euro</t>
  </si>
  <si>
    <t>per brandstofslang met een debiet groter dan 70 liter/minuut</t>
  </si>
  <si>
    <t>Beweegbare pompen</t>
  </si>
  <si>
    <t>per pomp</t>
  </si>
  <si>
    <t>TWEEDE VERBLIJVEN</t>
  </si>
  <si>
    <t>per tweede verblijf</t>
  </si>
  <si>
    <t>LEEGSTAND EN VERWAARLOZING BEDRIJFSRUIMTEN</t>
  </si>
  <si>
    <t>per m² grondoppervlakte van het bedrijfsgebouw</t>
  </si>
  <si>
    <t>belastbaar vanaf 12 maanden eerste vaststelling leegstand en verwaarlozing</t>
  </si>
  <si>
    <t>jaarlijkse verhoging met 20 % per bijkomende termijn</t>
  </si>
  <si>
    <t>LEEGSTAND GEBOUWEN EN WONINGEN</t>
  </si>
  <si>
    <t>gebouw, woonhuis of woongelegenheid</t>
  </si>
  <si>
    <t>belastbaar vanaf 12 maanden opname in leegstandsregister</t>
  </si>
  <si>
    <t>VERWAARLOZING VAN WONINGEN EN GEBOUWEN</t>
  </si>
  <si>
    <t>volledig gebouw of woonhuis</t>
  </si>
  <si>
    <t>overig gebouw of woning</t>
  </si>
  <si>
    <t>ONTBREKEN VAN PARKEERPLAATSEN BIJ MEERGEZINSWONINGEN</t>
  </si>
  <si>
    <t>per ontbrekende parkeerplaats</t>
  </si>
  <si>
    <t>COMPOSTVATEN EN -BAKKEN</t>
  </si>
  <si>
    <t xml:space="preserve">Compostvat </t>
  </si>
  <si>
    <t>Compostbak</t>
  </si>
  <si>
    <t>Aanbouwmodule</t>
  </si>
  <si>
    <t>INZAMELING AFVALFRACTIES HUISHOUDELIJKE EN VERGELIJKBARE BEDRIJFSMATIGE OORSPRONG</t>
  </si>
  <si>
    <t>restfractie huisvuil en gemengde fractie vergelijkbaar bedrijfsafval</t>
  </si>
  <si>
    <t>Bruine huisvuilzak, gewoon formaat, per zak</t>
  </si>
  <si>
    <t>bruine huisvuilzak, klein formaat, per zak</t>
  </si>
  <si>
    <t>witte luierzakken inhoud 30 liter, per zak</t>
  </si>
  <si>
    <t>Huur rolcontainer</t>
  </si>
  <si>
    <t>per jaar</t>
  </si>
  <si>
    <t>vanaf 1/4-30/6</t>
  </si>
  <si>
    <t>vanaf 1/7-30/9</t>
  </si>
  <si>
    <t>vanaf 1/10-31/12</t>
  </si>
  <si>
    <t>GFT-FRACTIE</t>
  </si>
  <si>
    <t>ophalen en composteren GFT-fractie - per kg</t>
  </si>
  <si>
    <t>PMD-fractie</t>
  </si>
  <si>
    <t>blauwe zakken, gewoon formaat, per zak</t>
  </si>
  <si>
    <t>blauwe zakken, groot formaat, per zak</t>
  </si>
  <si>
    <t>groot- en grof huisvuil</t>
  </si>
  <si>
    <t>per kilogram</t>
  </si>
  <si>
    <t>oude metalen</t>
  </si>
  <si>
    <t>per ophaling</t>
  </si>
  <si>
    <t>AFGIFTE RESTFRACTIE OP HET GEMEENTELIJK CONTAINERPARK</t>
  </si>
  <si>
    <t>Inwonders en tweede verblijvers</t>
  </si>
  <si>
    <t>grof vuil (brandbaar afval) /per kg</t>
  </si>
  <si>
    <t>Asbestafval (vanaf 1,001 kg/gezin/jaar)/per kg</t>
  </si>
  <si>
    <t>Inert bouwafval/houtafval- per kg</t>
  </si>
  <si>
    <t>tuinafval/per kg</t>
  </si>
  <si>
    <t>bedrijven, verenigingen, scholen, instellingen en kerkfabrieken</t>
  </si>
  <si>
    <t>Asbestafval/per kg</t>
  </si>
  <si>
    <t>VERBLIJFSBELASTING</t>
  </si>
  <si>
    <t>Hotel, per slaapkamer</t>
  </si>
  <si>
    <t>B &amp; B of vakantiewoning</t>
  </si>
  <si>
    <t>VASTSTELLING OUDERBIJDRAGE B.K.O.</t>
  </si>
  <si>
    <t>jaarlijks verhoogd op 01/09 met de procentuele stijging index (basis augustus)</t>
  </si>
  <si>
    <t>Voor- en naschoolse opvang, per begonnen halfuur</t>
  </si>
  <si>
    <t>van zodra gecumuleerde stijging resulteert in verhoging van minstens 0,12 EUR</t>
  </si>
  <si>
    <t>schoolvrije dagen</t>
  </si>
  <si>
    <t>op minimum basisbedrag voor hele dag</t>
  </si>
  <si>
    <t>volledige dag (langer dan 6 uur)</t>
  </si>
  <si>
    <t>halve dag (tussen 3 en 6 uur)</t>
  </si>
  <si>
    <t>minder dan 3 uur</t>
  </si>
  <si>
    <t>koek</t>
  </si>
  <si>
    <t>drank</t>
  </si>
  <si>
    <t>OUDERBIJDRAGE SPORTACTIVITEITEN</t>
  </si>
  <si>
    <t>Vakantiekampen per dag</t>
  </si>
  <si>
    <t>Groepslessen</t>
  </si>
  <si>
    <t>&lt; 1 uur groepslessen kids (&lt; 18 jaar) eigen lesgever/per les</t>
  </si>
  <si>
    <t>&gt; 1 uur groepslessen kind (&lt; 18 jaar), eigen lesgever/per les</t>
  </si>
  <si>
    <t>1 uur groepslessen volwassenen (&gt; 18 jaar), eigen lesgever/per les</t>
  </si>
  <si>
    <t>1 uur groepslessen volwassenen (&gt; 18 jaar), externe lesgever/per les</t>
  </si>
  <si>
    <t>zwemlessen &lt; 18 jaar, eigen lesgever/per les</t>
  </si>
  <si>
    <t>Jaaractiviteit zonder lesgever/per reeks</t>
  </si>
  <si>
    <t>Sportdagen</t>
  </si>
  <si>
    <t>basis sporten</t>
  </si>
  <si>
    <t>populaire sporten</t>
  </si>
  <si>
    <t>Extreme sporten</t>
  </si>
  <si>
    <t>TARIEVEN JACHTHAVEN</t>
  </si>
  <si>
    <t>Gebruik combipomp</t>
  </si>
  <si>
    <t>lozen van vuil water, per beurt</t>
  </si>
  <si>
    <t>nemen van bilgewater, per beurt van 3 minuten</t>
  </si>
  <si>
    <t>douches, per beurt</t>
  </si>
  <si>
    <t>toiletten, per beurt</t>
  </si>
  <si>
    <t>waterhaspel, per beurt van 8 minuten</t>
  </si>
  <si>
    <t>magneetkaart electiciteit, 10 kilowatt</t>
  </si>
  <si>
    <t>WERKEN AAN NUTSVOORZIENINGEN OP GEMEENTELIJK OPENBAAR DOMEIN</t>
  </si>
  <si>
    <t>2020-2022</t>
  </si>
  <si>
    <t>Sleufwerken</t>
  </si>
  <si>
    <t>Werken in rijwegen, per lopende meter per dag</t>
  </si>
  <si>
    <t>Indien in zelfde sleuf gelijktijdig werken worden uitgevoerd voor meerdere nutsvoorzieningen</t>
  </si>
  <si>
    <t>werken in voetpaden, per lopende meter per dag</t>
  </si>
  <si>
    <t>60 % van bedrag</t>
  </si>
  <si>
    <t>werken in aardewegen, per lopende meter per dag</t>
  </si>
  <si>
    <t>dringend werken, aansluitingswerken, herstellingen en kleine onderhoudswerken</t>
  </si>
  <si>
    <t>werken maximum 3m², per aanwezig aansluitpunt op grondgebied gemeente</t>
  </si>
  <si>
    <t>TIJDELIJKE INGEBRUIKNAME OPENBAAR DOMEIN BIJ UITVOEREN VAN BOUW- EN/OF AFBRAAKWERKEN</t>
  </si>
  <si>
    <t>per dag, per m²</t>
  </si>
  <si>
    <t>Verdubbeling tarief bij niet binnen de voorziene termijnen aanvraag, of onjuiste gegevens aanvraag</t>
  </si>
  <si>
    <t>HUUR INSTRUMENTEN MUZIEKACADEMIE</t>
  </si>
  <si>
    <t>onb.duur</t>
  </si>
  <si>
    <t>8 % actuele waarde instrument met een maximum van 50 EUR</t>
  </si>
  <si>
    <t>WERKINGSBIJDRAGE STEDELIJKE MUZIEACADEMIE</t>
  </si>
  <si>
    <t>bijdrage omvat : agenda, gratis toegang aperitiefconcerten en concerten vermeld op website</t>
  </si>
  <si>
    <t>gratis kopies</t>
  </si>
  <si>
    <t>STUDIETOEZICHT GEMEENTELIJKE LAGERE SCHOOL STEENKERKE</t>
  </si>
  <si>
    <t>eerste trimester</t>
  </si>
  <si>
    <t>tweede trimester</t>
  </si>
  <si>
    <t>derde trimester</t>
  </si>
  <si>
    <t>MIDDAGTOEZICHT GEMEENTELIJKE LAGERE SCHOOL STEENKERKE</t>
  </si>
  <si>
    <t>Eerste en tweede trimester</t>
  </si>
  <si>
    <t>Derde trimester</t>
  </si>
  <si>
    <t>Per middag</t>
  </si>
  <si>
    <t>TARIEVEN VOOR DE PRESTATIES EN PRODUCTEN VAN DE DIENST TOERISME</t>
  </si>
  <si>
    <t>Voorstelling streekproducten in etalagekast</t>
  </si>
  <si>
    <t>per jaar, per zaak</t>
  </si>
  <si>
    <t>Advertentie in toeristische brochure</t>
  </si>
  <si>
    <t>voor volledige A4 pagina</t>
  </si>
  <si>
    <t>voor 1/2 van A4 pagina</t>
  </si>
  <si>
    <t>voor 1/4 van A4 pagina</t>
  </si>
  <si>
    <t>voor 1/8 van A4 pagina</t>
  </si>
  <si>
    <t>Sponsoring in brochure groepsarrangementen</t>
  </si>
  <si>
    <t>volledige bladzijde A6 formaat</t>
  </si>
  <si>
    <t>halve bladzijde A6 formaat</t>
  </si>
  <si>
    <t>Deelname monumentenwandeling</t>
  </si>
  <si>
    <t>gratis voor inwoners van Veurne</t>
  </si>
  <si>
    <t>deelname aan thema-, landschaps- of toeristische wandelingen</t>
  </si>
  <si>
    <t>reële kostprijs</t>
  </si>
  <si>
    <t>deelname aan fietstocht</t>
  </si>
  <si>
    <t>deelname aan huifkartochten</t>
  </si>
  <si>
    <t>deelname aan tocht toeristisch treintje</t>
  </si>
  <si>
    <t>volwassenen</t>
  </si>
  <si>
    <t>kinderen tot 12 jaar</t>
  </si>
  <si>
    <t>Verkoop diverse folders</t>
  </si>
  <si>
    <t>volgens tarieflijst</t>
  </si>
  <si>
    <t>Diverse arrangementen en groepsbezoeken</t>
  </si>
  <si>
    <t>Standplaats bloemenmarkt</t>
  </si>
  <si>
    <t>parkeerschijf</t>
  </si>
  <si>
    <t>Producten vrij vaderland</t>
  </si>
  <si>
    <t>STANDGELD VOOR KERMISACTIVITEITEN OP DE OPENBARE KERMISSEN</t>
  </si>
  <si>
    <t>Wijkkermissen : geen standgeld</t>
  </si>
  <si>
    <t>Categorie A : eendjes-, vis-, ballen-, basketbal-,pottenspel, koordjetrek,piekballon, derbyrace : per meter voorgevel</t>
  </si>
  <si>
    <t>Categorie B : schietkraam,spookkasteel, spiegeldoolhof,museum, cinema : per meter voorgevel</t>
  </si>
  <si>
    <t>categorie C : kinder-,vliegtuig-,paardemolen, mini-paratroopers, mini-autoscooters, buggies, lambada: per meter voorgevel</t>
  </si>
  <si>
    <t xml:space="preserve">categorie D : kramen uitsluitend met voedingswaren : per meter voorgevel </t>
  </si>
  <si>
    <t>categorie E : alle soorten loterijen, kansspelen, autoscooters,  grote attracties zoals polyp, ea.: per meter voorgevel</t>
  </si>
  <si>
    <t>categorie F : lunaparken en automatische spelen : per meter grootste gevellengte</t>
  </si>
  <si>
    <t>categorie G : tot 150 cm breedt zoals boksbal, horoscoop, liefdesmeter : per stuk</t>
  </si>
  <si>
    <t>Julifoor</t>
  </si>
  <si>
    <t>Het te betalen standgeld berekend door toepassing van de volgende formule :</t>
  </si>
  <si>
    <t>Grote Markt : 100 %</t>
  </si>
  <si>
    <t>lengte van de voorgevel x  vastgesteld tarief per meter x opgegeven percentage</t>
  </si>
  <si>
    <t>Appelmarkt : 80 %</t>
  </si>
  <si>
    <t>St. Denisplaats : 40 %</t>
  </si>
  <si>
    <t>Palmfoor : 20 %</t>
  </si>
  <si>
    <t xml:space="preserve">Elektriciteitstarieven: </t>
  </si>
  <si>
    <t xml:space="preserve">Palmfoor 63 A </t>
  </si>
  <si>
    <t>Palmfoor 32 A</t>
  </si>
  <si>
    <t>Julifoor 63 A</t>
  </si>
  <si>
    <t>Julifoor 32 A(3)</t>
  </si>
  <si>
    <t>Julifoor 32 A(2)</t>
  </si>
  <si>
    <t>Stoomgroep met woonwagen</t>
  </si>
  <si>
    <t>PARKEREN IN BLAUWE ZONE</t>
  </si>
  <si>
    <t>Per dag, voor elke periode die langer is dan deze die gratis is</t>
  </si>
  <si>
    <t>1,4 x de bovengemeentelijke saneringsbijdrage</t>
  </si>
  <si>
    <t>RETRIBUTIEREGLEMENT SPORTINFRASTRUCTUUR</t>
  </si>
  <si>
    <t>Openluchtsportterreinen</t>
  </si>
  <si>
    <t>Voetbalveld en kunstgrasveld</t>
  </si>
  <si>
    <t>per uur buiten competitieverband</t>
  </si>
  <si>
    <t>per uur in competitieverband</t>
  </si>
  <si>
    <t>dagtarief, per terrein</t>
  </si>
  <si>
    <t>vanaf 5 opeenvolgende kalenderdagen, vanaf de 2° dag per terrein</t>
  </si>
  <si>
    <t>kleedkamers bij kunstgrasveld</t>
  </si>
  <si>
    <t>per gebruik kleedkamer</t>
  </si>
  <si>
    <t>atletiekpiste, per uur</t>
  </si>
  <si>
    <t>krachtbalveld, per uur</t>
  </si>
  <si>
    <t>tennis, per uur per tennisveld</t>
  </si>
  <si>
    <t>Binneninfrastructuur</t>
  </si>
  <si>
    <t>Sportzaal college</t>
  </si>
  <si>
    <t>per uur</t>
  </si>
  <si>
    <t>Sportloods Bulskamp</t>
  </si>
  <si>
    <t>per uur sport na 18,00 uur en in het weeke-end</t>
  </si>
  <si>
    <t>voor 18,00 uur</t>
  </si>
  <si>
    <t>Dagtarief</t>
  </si>
  <si>
    <t>Voor sportevenementen, tot 18.00 uur</t>
  </si>
  <si>
    <t>activiteiten die niet als sportactiviteit worden beschouwd :</t>
  </si>
  <si>
    <t>eerste dag</t>
  </si>
  <si>
    <t>per extra dag</t>
  </si>
  <si>
    <t>Individueel tarief</t>
  </si>
  <si>
    <t>kinderen tot 14 jaar, per beurt</t>
  </si>
  <si>
    <t>volwassenen, per beurt</t>
  </si>
  <si>
    <t xml:space="preserve">abonnement kinderen, per beurt </t>
  </si>
  <si>
    <t>abonnement volwassenen, per beurt</t>
  </si>
  <si>
    <t>schoolzwemmen, per beurt</t>
  </si>
  <si>
    <t>huur zwembad buiten de openingsuren</t>
  </si>
  <si>
    <t>per uur, indien vereniging zelf instaat voor redder</t>
  </si>
  <si>
    <t>per uur, indien vereniging niet zelf instaat voor redder</t>
  </si>
  <si>
    <t>TARIEVEN OP DE STEDELIJKE BEGRAAFPLAATSEN</t>
  </si>
  <si>
    <t>Na overlijden inwoner</t>
  </si>
  <si>
    <t>plaatsing grafkelder en concessie</t>
  </si>
  <si>
    <t xml:space="preserve">kelder </t>
  </si>
  <si>
    <t>concessie</t>
  </si>
  <si>
    <t>Volle grond met concessie</t>
  </si>
  <si>
    <t>Volle grond zonder concessie</t>
  </si>
  <si>
    <t>plaatsing urnekelder en concessie</t>
  </si>
  <si>
    <t>urnekelder</t>
  </si>
  <si>
    <t>Columbariumnis en concessie</t>
  </si>
  <si>
    <t xml:space="preserve">Columbariumnis </t>
  </si>
  <si>
    <t>Columbariumnis 10 jaar zonder concessie</t>
  </si>
  <si>
    <t>Naamplaatje strooiweide</t>
  </si>
  <si>
    <t>Voor overlijden inwoner</t>
  </si>
  <si>
    <t>Niet-inwoner</t>
  </si>
  <si>
    <t>OVERPLAATSING</t>
  </si>
  <si>
    <t>Grafkelder naar urnekelder</t>
  </si>
  <si>
    <t>Grafkelder naar columbariumnis</t>
  </si>
  <si>
    <t>Urnekelder naar grafkelder</t>
  </si>
  <si>
    <t>kelder</t>
  </si>
  <si>
    <t>Urnekelder naar columbariumnis</t>
  </si>
  <si>
    <t>Columbariumnis naar grafkelder</t>
  </si>
  <si>
    <t>Columbariumnis naar urnekelder</t>
  </si>
  <si>
    <t>Concessie</t>
  </si>
  <si>
    <t>Peterschap grafmonument</t>
  </si>
  <si>
    <t>Retributie hergebruik grafmonument</t>
  </si>
  <si>
    <t>delven put</t>
  </si>
  <si>
    <t>RETRIBUTIE AANSLUITING OPENBARE RIOLERING</t>
  </si>
  <si>
    <t>2014-2019</t>
  </si>
  <si>
    <t>aansluiting op stadsrioolnet, inclusief BTW</t>
  </si>
  <si>
    <t>JEUGDCULTUURWEEK</t>
  </si>
  <si>
    <t>per activiteit</t>
  </si>
  <si>
    <t>VERKOOP HOUTSNIPPERS</t>
  </si>
  <si>
    <t>per lading van maximum 500 kg</t>
  </si>
  <si>
    <t>BELASTING OP MASTEN EN PYLONEN</t>
  </si>
  <si>
    <t>per pyloon</t>
  </si>
  <si>
    <t xml:space="preserve">BELASTING OP HET NIET AFKOPPELEN VAN HEMELWATER </t>
  </si>
  <si>
    <t>Per jaar</t>
  </si>
  <si>
    <t>Zie reglement feestelijkheden</t>
  </si>
  <si>
    <t>Toevoeging aan reglement feestelijkheden</t>
  </si>
  <si>
    <t>TARIEVEN GEBRUIK STADSLOKALEN</t>
  </si>
  <si>
    <t>Zie reglement op het gebruik van ontmoetingscentra</t>
  </si>
  <si>
    <t>RETRIBUTIE VOOR HET TER BESCHIKKING STELLEN VAN FIETSKLUIZEN</t>
  </si>
  <si>
    <t>groepstarief, vanaf 20 personen, per persoon, binnen de openingsuren</t>
  </si>
  <si>
    <t>A. Creditintresten op rekening.</t>
  </si>
  <si>
    <t>Bruto intrest</t>
  </si>
  <si>
    <t>RV/kosten</t>
  </si>
  <si>
    <t>Netto</t>
  </si>
  <si>
    <t xml:space="preserve">Rentevoet </t>
  </si>
  <si>
    <t>1 kw</t>
  </si>
  <si>
    <t xml:space="preserve">2 kw </t>
  </si>
  <si>
    <t>3 kw</t>
  </si>
  <si>
    <t>4 kw</t>
  </si>
  <si>
    <t>2. BELEGGINGEN RECORD-FORTIS-DEXIA</t>
  </si>
  <si>
    <t>Spaarrek</t>
  </si>
  <si>
    <t>SICAV's</t>
  </si>
  <si>
    <t>SCE</t>
  </si>
  <si>
    <t>Kasbons</t>
  </si>
  <si>
    <t>Bruto Intrest</t>
  </si>
  <si>
    <t>RV/Kosten</t>
  </si>
  <si>
    <t>Rentevoet</t>
  </si>
  <si>
    <t>Fortis</t>
  </si>
  <si>
    <t>Record</t>
  </si>
  <si>
    <t>3. FORTIS-BBL-KBC</t>
  </si>
  <si>
    <t>01/01-31/03</t>
  </si>
  <si>
    <t>01/04-30/06</t>
  </si>
  <si>
    <t>31/07/13</t>
  </si>
  <si>
    <t>01/07-30/09</t>
  </si>
  <si>
    <t>01/10-31/12</t>
  </si>
  <si>
    <t>4. TOTAAL</t>
  </si>
  <si>
    <t>Artikel</t>
  </si>
  <si>
    <t>Omschrijving</t>
  </si>
  <si>
    <t>Budget</t>
  </si>
  <si>
    <t>Rekening</t>
  </si>
  <si>
    <t>0300-00/751000</t>
  </si>
  <si>
    <t>Creditintr. R/C</t>
  </si>
  <si>
    <t>0300-00/751002</t>
  </si>
  <si>
    <t>Opbr. Termijn-spaarrek.</t>
  </si>
  <si>
    <t>DIVIDENDEN</t>
  </si>
  <si>
    <t>1. BELEGGINGEN BELFIUS</t>
  </si>
  <si>
    <t>BELEGGINGEN                    DIVIDENDEN</t>
  </si>
  <si>
    <t>jaar</t>
  </si>
  <si>
    <t>Dexia</t>
  </si>
  <si>
    <t>%</t>
  </si>
  <si>
    <t>IWVA</t>
  </si>
  <si>
    <t xml:space="preserve">Bedrag verhogen met kosten voor nazicht van de riolering in het verkavelingsplan door de ontwerper van het Totaal Rioleringsplan (T.R.P.) met de kosten van nazicht van de uitvoering van de rioleringswerken van het Totaal Rioleringsplan (T.R.P.), met een minimum van 200 EUR. </t>
  </si>
  <si>
    <r>
      <t>TARIEVEN VERHURING MATERIALEN</t>
    </r>
    <r>
      <rPr>
        <sz val="8"/>
        <rFont val="Calibri"/>
        <family val="2"/>
        <scheme val="minor"/>
      </rPr>
      <t xml:space="preserve"> </t>
    </r>
  </si>
  <si>
    <t>Rekeningcijfers</t>
  </si>
  <si>
    <t>Budgetcijfers</t>
  </si>
  <si>
    <t xml:space="preserve">Jaar </t>
  </si>
  <si>
    <t xml:space="preserve">APB </t>
  </si>
  <si>
    <t>differentiatie bedrijven</t>
  </si>
  <si>
    <t xml:space="preserve"> 25 EUR +</t>
  </si>
  <si>
    <t>1950 opc</t>
  </si>
  <si>
    <t>115 EUR</t>
  </si>
  <si>
    <t>75 EUR</t>
  </si>
  <si>
    <t>50 EUR</t>
  </si>
  <si>
    <t>kohier bedrijven in 2011</t>
  </si>
  <si>
    <t xml:space="preserve">Doorstortingssysteem </t>
  </si>
  <si>
    <t>Effectieve cijfers</t>
  </si>
  <si>
    <t>Vgl Rek vs Effect</t>
  </si>
  <si>
    <t>Belastingsdienst Vlaanderen</t>
  </si>
  <si>
    <t>Begroting</t>
  </si>
  <si>
    <t>Verschil</t>
  </si>
  <si>
    <t>95% VS</t>
  </si>
  <si>
    <t>5% saldo</t>
  </si>
  <si>
    <t>VS</t>
  </si>
  <si>
    <t>Saldo</t>
  </si>
  <si>
    <t>Comp M&amp;T</t>
  </si>
  <si>
    <t>Comp Energie+sov verhuurkant</t>
  </si>
  <si>
    <t>Vl vr dj</t>
  </si>
  <si>
    <t>MinFin vr dj</t>
  </si>
  <si>
    <t>Kohier</t>
  </si>
  <si>
    <t>Gestort</t>
  </si>
  <si>
    <t>Te storten</t>
  </si>
  <si>
    <t>MJP 2014-2022 VI : 3 %</t>
  </si>
  <si>
    <t xml:space="preserve">APB % </t>
  </si>
  <si>
    <t>waarde 1 %</t>
  </si>
  <si>
    <t>OV opc</t>
  </si>
  <si>
    <t>waarde 1 opct</t>
  </si>
  <si>
    <t>Afloop compensatie M&amp;T</t>
  </si>
  <si>
    <t>KI M&amp;O</t>
  </si>
  <si>
    <t xml:space="preserve">vrijst. KI </t>
  </si>
  <si>
    <t>% vrijst</t>
  </si>
  <si>
    <t>verlies M&amp;O</t>
  </si>
  <si>
    <t>comp M&amp;T</t>
  </si>
  <si>
    <t>verlies</t>
  </si>
  <si>
    <t>Toekenningen APB</t>
  </si>
  <si>
    <t>&lt; Aj 2005</t>
  </si>
  <si>
    <t xml:space="preserve"> Aj 2006</t>
  </si>
  <si>
    <t>Aj 2007</t>
  </si>
  <si>
    <t>Aj 2008</t>
  </si>
  <si>
    <t>Aj 2009</t>
  </si>
  <si>
    <t>Aj 2010</t>
  </si>
  <si>
    <t>Aj 2011</t>
  </si>
  <si>
    <t>Aj 2012</t>
  </si>
  <si>
    <t>Aj 2013</t>
  </si>
  <si>
    <t>Aj 2014</t>
  </si>
  <si>
    <t>Aj 2015</t>
  </si>
  <si>
    <t>Aj 2016</t>
  </si>
  <si>
    <t>Manueel</t>
  </si>
  <si>
    <t>Ontheffingen</t>
  </si>
  <si>
    <t xml:space="preserve">Tot ontv 173X </t>
  </si>
  <si>
    <t>Reële fiscale capaciteit</t>
  </si>
  <si>
    <t>Groeicoëfficiënt</t>
  </si>
  <si>
    <t>Aanslagvoet</t>
  </si>
  <si>
    <t>rechten jaar</t>
  </si>
  <si>
    <t>rechten vorig jaar</t>
  </si>
  <si>
    <t>totaal overgedr rechten</t>
  </si>
  <si>
    <t>bruto recht sinds 1/1/xx</t>
  </si>
  <si>
    <t>totaal vastgest rechten</t>
  </si>
  <si>
    <t>ontvangsten sins 1/1/xx</t>
  </si>
  <si>
    <t>openstaande rechten</t>
  </si>
  <si>
    <t>inkohier x</t>
  </si>
  <si>
    <t>inkohier x-1</t>
  </si>
  <si>
    <t>inkohier x-2</t>
  </si>
  <si>
    <t>ontvangsten ICPC</t>
  </si>
  <si>
    <t>ontheffingen</t>
  </si>
  <si>
    <t>amd kn 1 %</t>
  </si>
  <si>
    <t xml:space="preserve">netto </t>
  </si>
  <si>
    <t>december</t>
  </si>
  <si>
    <t>november</t>
  </si>
  <si>
    <t>oktober</t>
  </si>
  <si>
    <t>september</t>
  </si>
  <si>
    <t>augustus</t>
  </si>
  <si>
    <t>juli</t>
  </si>
  <si>
    <t>juni</t>
  </si>
  <si>
    <t>mei</t>
  </si>
  <si>
    <t>april</t>
  </si>
  <si>
    <t>maart</t>
  </si>
  <si>
    <t>februari</t>
  </si>
  <si>
    <t>januari</t>
  </si>
  <si>
    <t>Bedrag</t>
  </si>
  <si>
    <t>Jaar</t>
  </si>
  <si>
    <t>Fonds</t>
  </si>
  <si>
    <t>Eliacomp</t>
  </si>
  <si>
    <t>GEMEENTEFONDS</t>
  </si>
  <si>
    <t>aanvraag</t>
  </si>
  <si>
    <t>goedkeuring</t>
  </si>
  <si>
    <t>begin</t>
  </si>
  <si>
    <t>einde</t>
  </si>
  <si>
    <t>verantwoording</t>
  </si>
  <si>
    <t>subsidie</t>
  </si>
  <si>
    <t>verlenging</t>
  </si>
  <si>
    <t>opmerkingen</t>
  </si>
  <si>
    <t>Sikkelstraat</t>
  </si>
  <si>
    <t>Moeresteenweg</t>
  </si>
  <si>
    <t>8/06/2015+11/10/16</t>
  </si>
  <si>
    <t>uitvoering 2016</t>
  </si>
  <si>
    <t>pas in 2017, best opnieuw verlenging aanvragen</t>
  </si>
  <si>
    <t>geen verlening aangevraagd</t>
  </si>
  <si>
    <t>Reygaerdijkstraat</t>
  </si>
  <si>
    <t>toch reeds uitgevoerd ???</t>
  </si>
  <si>
    <t>Zomerweg</t>
  </si>
  <si>
    <t>goedkeuring gemeentelijke toelage 16/12/13 : verbintenis boekhouding ?</t>
  </si>
  <si>
    <t>Bulskampstraat</t>
  </si>
  <si>
    <t>is in principe voldoende voor verantwoording</t>
  </si>
  <si>
    <t>Oerenstraat</t>
  </si>
  <si>
    <t>uitgevoerd</t>
  </si>
  <si>
    <t>Torreelhoek</t>
  </si>
  <si>
    <t>295000 in budgetten voorzien</t>
  </si>
  <si>
    <t>Kasteeldreef</t>
  </si>
  <si>
    <t>wellicht verlenging nodig gelet op prijzen dossier Moeresteenweg en Bulskampstraat</t>
  </si>
  <si>
    <t>Boonakkerstraat</t>
  </si>
  <si>
    <t>1. Na goedkeuring wordt telkens het jaartrekkingsrecht van 234926 EUR uitbetaald</t>
  </si>
  <si>
    <t>2. Uiterlijke uitvoering binnen de drie jaar na einde beleidscyclus, dus uiterlijk 31/12/22</t>
  </si>
  <si>
    <t>3. Wijziging einde uitvoeringstermijn telkens melde aan de VLM</t>
  </si>
  <si>
    <t>4. Financiële verantwoording binnen de 6 maanden na einde project.</t>
  </si>
  <si>
    <t>5. (Gedeeltelijk) niet uitgevoerde projecten kunnen niet gecompenseerd worden dr verhoging andere projecten.</t>
  </si>
  <si>
    <t>6. Geen verschuiving naar een ander jaar bij niet-gebruikte budgetten.</t>
  </si>
  <si>
    <t>TO DO</t>
  </si>
  <si>
    <t>verlenging dossiers 2013 Moeresteenweg voor 2017</t>
  </si>
  <si>
    <t>verlenging dossiers 2014 !!!!</t>
  </si>
  <si>
    <t>PLATTELANDSFONDS</t>
  </si>
  <si>
    <t>GEWOON RESERVEFONDS</t>
  </si>
  <si>
    <t>BEF</t>
  </si>
  <si>
    <t>plus/min</t>
  </si>
  <si>
    <t>EUR</t>
  </si>
  <si>
    <t>ZILVERFONDS</t>
  </si>
  <si>
    <t>BUITENGEWOON RESERVEFONDS</t>
  </si>
  <si>
    <t>AC&amp;BIB</t>
  </si>
  <si>
    <t>FIGGA</t>
  </si>
  <si>
    <t xml:space="preserve">Sporthal </t>
  </si>
  <si>
    <t>Bl. Zusters</t>
  </si>
  <si>
    <t>Bij de invoering van de BBC vielen alle reservefondsen weg en werden de bedragen opgenomen in de berekening van</t>
  </si>
  <si>
    <t>het gecumuleerd budgettair resultaat van het vorig boekjaar bij de start op 1/1/2014.</t>
  </si>
  <si>
    <t>RESERVEFONDS</t>
  </si>
  <si>
    <t xml:space="preserve">Basistarief </t>
  </si>
  <si>
    <t xml:space="preserve">Vlak tarief </t>
  </si>
  <si>
    <t>Comforttarief</t>
  </si>
  <si>
    <t xml:space="preserve">1 kw </t>
  </si>
  <si>
    <t>2 kw</t>
  </si>
  <si>
    <t xml:space="preserve">3 kw </t>
  </si>
  <si>
    <t>4,5 % adm.kn</t>
  </si>
  <si>
    <t>2005 + 2006 = derdebetalersysteem</t>
  </si>
  <si>
    <t xml:space="preserve">2007+2008 = ook voor eigen waterwinners, </t>
  </si>
  <si>
    <t>bedragen BTWE</t>
  </si>
  <si>
    <t>GEMEENTELIJKE SANERINGSVERGOEDING (GSV)</t>
  </si>
  <si>
    <t>Kadastraal Inkomen</t>
  </si>
  <si>
    <t>Bebouwde percelen</t>
  </si>
  <si>
    <t>Onbebouwde percelen</t>
  </si>
  <si>
    <t>Mat &amp; Out</t>
  </si>
  <si>
    <t xml:space="preserve">Onbelastbaar/vrijgesteld </t>
  </si>
  <si>
    <t>Vrijst. Econ.doeleinden</t>
  </si>
  <si>
    <t xml:space="preserve">Niet belast </t>
  </si>
  <si>
    <t>Totaal KI</t>
  </si>
  <si>
    <t>Werkelijk belastbaar</t>
  </si>
  <si>
    <t>bedragen zijn niet geïndexeerd</t>
  </si>
  <si>
    <t>48 % vh KI belastbaar in de Onr.Voorheffing</t>
  </si>
  <si>
    <t>KI 2004 vs KI 2008</t>
  </si>
  <si>
    <t>gederfde jaarlijkse OV</t>
  </si>
  <si>
    <t>simulatiekohier 2010</t>
  </si>
  <si>
    <t>verschil</t>
  </si>
  <si>
    <t xml:space="preserve">F </t>
  </si>
  <si>
    <t>totaal belastbaar</t>
  </si>
  <si>
    <t>ongebouwd gewoon</t>
  </si>
  <si>
    <t>ongebouwd nijverheid</t>
  </si>
  <si>
    <t>nijverheid gebouw</t>
  </si>
  <si>
    <t>mat&amp;out gebouw perceel</t>
  </si>
  <si>
    <t xml:space="preserve">nijverheid  </t>
  </si>
  <si>
    <t>gebouwd gewoon</t>
  </si>
  <si>
    <t>Kohieren</t>
  </si>
  <si>
    <t>Code</t>
  </si>
  <si>
    <t>Aanslagbilj.</t>
  </si>
  <si>
    <t>Aanman.</t>
  </si>
  <si>
    <t>Waarsch.</t>
  </si>
  <si>
    <t>Aanget.</t>
  </si>
  <si>
    <t>Deurw.</t>
  </si>
  <si>
    <t>AGB - bedrijven</t>
  </si>
  <si>
    <t>AGB - bedrijven (aanvullend)</t>
  </si>
  <si>
    <t>AGB - gemeenschappen</t>
  </si>
  <si>
    <t>AGB - gezinnen</t>
  </si>
  <si>
    <t>Drukwerk - 4° kw.'17</t>
  </si>
  <si>
    <t>Drukwerk - 3° kwartaal 17</t>
  </si>
  <si>
    <t>Drukwerk - 1° kwartaal</t>
  </si>
  <si>
    <t>Drukwerk - 2° kwartaal</t>
  </si>
  <si>
    <t>Drukwerk - 3° kwartaal</t>
  </si>
  <si>
    <t>Onb. percelen - industrie</t>
  </si>
  <si>
    <t>activeringsheffing</t>
  </si>
  <si>
    <t>ontbreken parkeerplaatsen</t>
  </si>
  <si>
    <t>Leegstand aanvullend</t>
  </si>
  <si>
    <t xml:space="preserve">Masten en pylonen </t>
  </si>
  <si>
    <t>Verwaarlozing en verkrotting</t>
  </si>
  <si>
    <t>Terrassen</t>
  </si>
  <si>
    <t>Terrassen -aanvullend</t>
  </si>
  <si>
    <t xml:space="preserve">Tweede verblijven </t>
  </si>
  <si>
    <t>Tweede verblijven - aj 2017</t>
  </si>
  <si>
    <t>Tweede verblijven - aanv</t>
  </si>
  <si>
    <t>Tweede verblijven-aanv</t>
  </si>
  <si>
    <t>Drukwerk - 4° kw.'18</t>
  </si>
  <si>
    <t>24/02/2020-xxx</t>
  </si>
  <si>
    <t>Leegstand aanvullend, aj 2018</t>
  </si>
  <si>
    <t>24/02/2020 &amp; xxx</t>
  </si>
  <si>
    <t>Verblijfsbelasting - aj 2018</t>
  </si>
  <si>
    <t>Tweede verblijven - aj 2018</t>
  </si>
  <si>
    <t>Verwaarlozing en verkrotting - aanv. 2019</t>
  </si>
  <si>
    <t>Tweede verblijven - aj 2019</t>
  </si>
  <si>
    <t xml:space="preserve">Aanslagvoeten opcentiemen Onroerende Voorheffing (OV) </t>
  </si>
  <si>
    <t>en aanvullende personenbelasting (APB)</t>
  </si>
  <si>
    <t>2009-2012</t>
  </si>
  <si>
    <t>2013-2017</t>
  </si>
  <si>
    <t>2018-2019</t>
  </si>
  <si>
    <t>?</t>
  </si>
  <si>
    <t>OV : 1700 (1995), 1950 (2002), 1940 (2007) 1930 (2008)</t>
  </si>
  <si>
    <t>APB : 8 % (1995), 7,9 % (2007), 7,8 % (2008)</t>
  </si>
  <si>
    <t>Publicatie eigen belastings- en retributiereglementen</t>
  </si>
  <si>
    <t>www.veurne.be</t>
  </si>
  <si>
    <t>Overzicht wijzigingen aanslagvoeten belastingen looptijd meerjarenplan</t>
  </si>
  <si>
    <t>nihil</t>
  </si>
  <si>
    <t>Overzicht jaarlijkse opbrengst per belastings-/retributiesoort</t>
  </si>
  <si>
    <t>Opcentiemen op de onroerende voorheffing</t>
  </si>
  <si>
    <t>Motorrijtuigen</t>
  </si>
  <si>
    <t>Gewestelijke milieuheffing</t>
  </si>
  <si>
    <t>Gewestbelasting op verwaarlozing woningen en gebouwen</t>
  </si>
  <si>
    <t>Gewestbelasting op leegstand en verwaarlozing van bedrijfsruimten</t>
  </si>
  <si>
    <t>Andere aanvullende belastingen</t>
  </si>
  <si>
    <t>Aansluiting riolering</t>
  </si>
  <si>
    <t>Vervoer van personen die overlast veroorzaken</t>
  </si>
  <si>
    <t>Afgifte identiteitsbewijzen/paspoorten/trouwboekjes/uittreksels</t>
  </si>
  <si>
    <t>Aanvragen stedenbouwkundige vergunningen</t>
  </si>
  <si>
    <t>Aanvragen/meldingen hinderlijke inrichtingen</t>
  </si>
  <si>
    <t>Andere belastingen op de afgifte van administratieve stukken</t>
  </si>
  <si>
    <t>Op rioolnet aangesloten en aansluitbare gebouwen</t>
  </si>
  <si>
    <t>Afkoppelen hemelwater</t>
  </si>
  <si>
    <t>Verblijf lijkenhuis</t>
  </si>
  <si>
    <t>Begraving / bijzetting / verstrooiing</t>
  </si>
  <si>
    <t>Ontgraving</t>
  </si>
  <si>
    <t>Diftar/ophaalronde</t>
  </si>
  <si>
    <t>Afgifte zakken, klevers, recipiënten</t>
  </si>
  <si>
    <t>Toegang containerpark</t>
  </si>
  <si>
    <t>Grof vuil</t>
  </si>
  <si>
    <t>Bedrijfsvuil / nijverheidsvuil</t>
  </si>
  <si>
    <t>Sluikstorten</t>
  </si>
  <si>
    <t>Reinigen openbare weg</t>
  </si>
  <si>
    <t>Andere belastingen inzake openbare hygiëne</t>
  </si>
  <si>
    <t>Algemene bedrijfsbelasting</t>
  </si>
  <si>
    <t>Exploitatie hinderlijke inrichtingen</t>
  </si>
  <si>
    <t>Verspreiding kosteloos reclamedrukwerk</t>
  </si>
  <si>
    <t>Plaatsrecht markten</t>
  </si>
  <si>
    <t>Plaatsrecht kermissen</t>
  </si>
  <si>
    <t>Benzine-, olie- persdrukpompen</t>
  </si>
  <si>
    <t>Andere inname openbaar domein</t>
  </si>
  <si>
    <t>Parkeren</t>
  </si>
  <si>
    <t>Andere belastingen op het gebruik van het openbaar domein</t>
  </si>
  <si>
    <t>Belasting op niet-bebouwde gronden (wet 29.03.1962 art.70bis)</t>
  </si>
  <si>
    <t>Belasting op niet-bebouwde gronden in het woongebied</t>
  </si>
  <si>
    <t>Leegstaande woningen en gebouwen</t>
  </si>
  <si>
    <t>Krotten / verwaarloosde en ongeschikte woningen en gebouwen</t>
  </si>
  <si>
    <t>Leegstand / verkrotting bedrijfsruimten</t>
  </si>
  <si>
    <t>onderscheid maken belasting/retributie</t>
  </si>
  <si>
    <t xml:space="preserve">onwaarden verrekenen </t>
  </si>
  <si>
    <t>B 2000</t>
  </si>
  <si>
    <t>B 2001</t>
  </si>
  <si>
    <t>B(W)2001</t>
  </si>
  <si>
    <t>B 2002</t>
  </si>
  <si>
    <t>B 2003</t>
  </si>
  <si>
    <t>B 2004</t>
  </si>
  <si>
    <t>B 2005</t>
  </si>
  <si>
    <t>B 2006</t>
  </si>
  <si>
    <t>B 2007</t>
  </si>
  <si>
    <t>B 2008</t>
  </si>
  <si>
    <t>B 2009</t>
  </si>
  <si>
    <t>B 2010</t>
  </si>
  <si>
    <t>B 2011</t>
  </si>
  <si>
    <t>B 2012</t>
  </si>
  <si>
    <t>B 2013</t>
  </si>
  <si>
    <t>B 2014</t>
  </si>
  <si>
    <t>B 2015</t>
  </si>
  <si>
    <t>B 2016</t>
  </si>
  <si>
    <t>B 2017</t>
  </si>
  <si>
    <t>B 2018</t>
  </si>
  <si>
    <t>B 2019</t>
  </si>
  <si>
    <t>B 2020</t>
  </si>
  <si>
    <t>St Niklaas</t>
  </si>
  <si>
    <t>St Walburga</t>
  </si>
  <si>
    <t>Steenkerke</t>
  </si>
  <si>
    <t>Eggewaartsk.</t>
  </si>
  <si>
    <t>Avekapelle</t>
  </si>
  <si>
    <t>Booitshoeke</t>
  </si>
  <si>
    <t>Bulskamp</t>
  </si>
  <si>
    <t>Wulveringem&amp;Vinkem</t>
  </si>
  <si>
    <t>Vinkem</t>
  </si>
  <si>
    <t>Houtem</t>
  </si>
  <si>
    <t>Doorgeefleningen</t>
  </si>
  <si>
    <t>Investeringstoelagen</t>
  </si>
  <si>
    <t>R 2008</t>
  </si>
  <si>
    <t>R 2009</t>
  </si>
  <si>
    <t>R 2010</t>
  </si>
  <si>
    <t>R 2011</t>
  </si>
  <si>
    <t>R 2012</t>
  </si>
  <si>
    <t>R 2013</t>
  </si>
  <si>
    <t>R 2014</t>
  </si>
  <si>
    <t>R 2015</t>
  </si>
  <si>
    <t>R 2016</t>
  </si>
  <si>
    <t>R 2017</t>
  </si>
  <si>
    <t>R 2018</t>
  </si>
  <si>
    <t>R 2019</t>
  </si>
  <si>
    <t>Rekeningen</t>
  </si>
  <si>
    <t>Ontv</t>
  </si>
  <si>
    <t>Uitg</t>
  </si>
  <si>
    <t>ST. Laurentius</t>
  </si>
  <si>
    <t>St. Jan Onthoofding</t>
  </si>
  <si>
    <t>St. Michiel</t>
  </si>
  <si>
    <t>St. Audomarius</t>
  </si>
  <si>
    <t>St. Bertinus</t>
  </si>
  <si>
    <t>OLV &amp; Audomarius Beauvoorde</t>
  </si>
  <si>
    <t>O.L.V.</t>
  </si>
  <si>
    <t>St. Laurentius</t>
  </si>
  <si>
    <t>St. Niklaas</t>
  </si>
  <si>
    <t>St. Walburga</t>
  </si>
  <si>
    <t>Veurne</t>
  </si>
  <si>
    <t xml:space="preserve">januari </t>
  </si>
  <si>
    <t>aug</t>
  </si>
  <si>
    <t xml:space="preserve">sept </t>
  </si>
  <si>
    <t xml:space="preserve">okt </t>
  </si>
  <si>
    <t>nov</t>
  </si>
  <si>
    <t>dec</t>
  </si>
  <si>
    <t>Betaalde retributies</t>
  </si>
  <si>
    <t>13/25 % OPC</t>
  </si>
  <si>
    <t>OCMW, Politiezone Spoorkin en HVZ Westhoek</t>
  </si>
  <si>
    <t>OCMW</t>
  </si>
  <si>
    <t>PZ</t>
  </si>
  <si>
    <t>HVZ</t>
  </si>
  <si>
    <t>gemid 2012-2016</t>
  </si>
  <si>
    <t>cursief : budgetcijfers</t>
  </si>
  <si>
    <t>DOTATIES</t>
  </si>
  <si>
    <t>Exploitatieresultaat</t>
  </si>
  <si>
    <t>JAARREKENING</t>
  </si>
  <si>
    <t>MJP TOTAAL</t>
  </si>
  <si>
    <t>St. Jan Onth.</t>
  </si>
  <si>
    <t>Verschil met MJP Religiosoft</t>
  </si>
  <si>
    <t>Verschil met MJP stad</t>
  </si>
  <si>
    <t>K WAARDE MJP STAD gem</t>
  </si>
  <si>
    <t>Uitgaven</t>
  </si>
  <si>
    <t>Ontvangsten</t>
  </si>
  <si>
    <t>Boni/mali</t>
  </si>
  <si>
    <t>Personeel</t>
  </si>
  <si>
    <t>Werkingskosten</t>
  </si>
  <si>
    <t>Overdracht</t>
  </si>
  <si>
    <t>schuld/afschrijving</t>
  </si>
  <si>
    <t>% jaarlijkse stijging personeel</t>
  </si>
  <si>
    <t>% jaarlijkse stijging werkingskosten</t>
  </si>
  <si>
    <t>% jaarlijkse stijging schuld</t>
  </si>
  <si>
    <t>Bibliotheek</t>
  </si>
  <si>
    <t>Dorpshuizen</t>
  </si>
  <si>
    <t>Gemeenteschool</t>
  </si>
  <si>
    <t>Schuld/afschrijving</t>
  </si>
  <si>
    <t>Cijfers: BIB</t>
  </si>
  <si>
    <t>Cultuur &amp; Erfgoed</t>
  </si>
  <si>
    <t>omschrijving</t>
  </si>
  <si>
    <t>GEWONE DIENST</t>
  </si>
  <si>
    <t>Personeelsuitgaven</t>
  </si>
  <si>
    <t>0739-00 6201000</t>
  </si>
  <si>
    <t>bezoldigingen vastbenoemd personeel</t>
  </si>
  <si>
    <t>0739-00 6201100</t>
  </si>
  <si>
    <t>vakantiegeld vastbenoemd personeel</t>
  </si>
  <si>
    <t>0739-00 6201200</t>
  </si>
  <si>
    <t>eindejaarstoelage vastbenoemd personeel</t>
  </si>
  <si>
    <t>0739-00 6202000</t>
  </si>
  <si>
    <t>Bezoldiging gesco's</t>
  </si>
  <si>
    <t>0739-00 6202100</t>
  </si>
  <si>
    <t>Vakantiegeld - gesco's</t>
  </si>
  <si>
    <t>0739-00 6202200</t>
  </si>
  <si>
    <t>eindejaarstoelage gesco's</t>
  </si>
  <si>
    <t>0739-00 6203000</t>
  </si>
  <si>
    <t>bezoldiging contractuelen</t>
  </si>
  <si>
    <t>0739-00 6203100</t>
  </si>
  <si>
    <t>vakantiegeld contractuelen</t>
  </si>
  <si>
    <t>0739-00 6203200</t>
  </si>
  <si>
    <t>eindejaarstoelage contractuelen</t>
  </si>
  <si>
    <t>0739-00 6206000</t>
  </si>
  <si>
    <t>bezoldiging ander niet-vastbenoemd personeel</t>
  </si>
  <si>
    <t>0739-00 6211000</t>
  </si>
  <si>
    <t>Patr. bijdr. wettelijke verzekeringen</t>
  </si>
  <si>
    <t>0739-00 6211001</t>
  </si>
  <si>
    <t>Patr. bijdr. omslagkas vastbenoem personeel</t>
  </si>
  <si>
    <t>0739-00 6212000</t>
  </si>
  <si>
    <t>Patr. bijdr. RSZPPO - gesco's</t>
  </si>
  <si>
    <t>0739-00 6213000</t>
  </si>
  <si>
    <t>0739-00 6216000</t>
  </si>
  <si>
    <t>patr bijdr ander niet vastbenoemd personeel</t>
  </si>
  <si>
    <t>0739-00 6221100</t>
  </si>
  <si>
    <t>hospitalisatieverzekering vastbenoemd personeel</t>
  </si>
  <si>
    <t>0739-00 6222000</t>
  </si>
  <si>
    <t>2de pensioenpijler gesco's</t>
  </si>
  <si>
    <t>0739-00 6222100</t>
  </si>
  <si>
    <t>hospitalisatieverzekering gesco's</t>
  </si>
  <si>
    <t>0739-00 6223000</t>
  </si>
  <si>
    <t>2de pensioenpijler contractuelen</t>
  </si>
  <si>
    <t>0739-00 6223100</t>
  </si>
  <si>
    <t>hospitalisatieverzekering contractuelen</t>
  </si>
  <si>
    <t>0739-00 6230001</t>
  </si>
  <si>
    <t>verplaatsingskosten van en naar het werk</t>
  </si>
  <si>
    <t>0739-00 6231004</t>
  </si>
  <si>
    <t>Maaltijdcheques</t>
  </si>
  <si>
    <t>0739-00 6231005</t>
  </si>
  <si>
    <t>verzekering arbeidsongevallen</t>
  </si>
  <si>
    <t>76200/111-01</t>
  </si>
  <si>
    <t>Bezoldiging personeel</t>
  </si>
  <si>
    <t>76200/111-02</t>
  </si>
  <si>
    <t>76200/112-01</t>
  </si>
  <si>
    <t>Vakantiegeld</t>
  </si>
  <si>
    <t>76200/112-02</t>
  </si>
  <si>
    <t>76200/112-48</t>
  </si>
  <si>
    <t>76200/113-01</t>
  </si>
  <si>
    <t>Patr. bijdr. RSZPPO</t>
  </si>
  <si>
    <t>76200/113-02</t>
  </si>
  <si>
    <t>76200/113-21</t>
  </si>
  <si>
    <t>Patr. bijdr. omslagkas</t>
  </si>
  <si>
    <t>76200/113-48</t>
  </si>
  <si>
    <t>patr bijdr andere pensioenkassen</t>
  </si>
  <si>
    <t>76200/115-01</t>
  </si>
  <si>
    <t>76200/115-02</t>
  </si>
  <si>
    <t>76200/117-01</t>
  </si>
  <si>
    <t>Premie verzekering AO</t>
  </si>
  <si>
    <t>76200/118-01</t>
  </si>
  <si>
    <t>Bijdragen GSD</t>
  </si>
  <si>
    <t>77800/111-01</t>
  </si>
  <si>
    <t>77800/111-02</t>
  </si>
  <si>
    <t>77800/112-01</t>
  </si>
  <si>
    <t>77800/112-02</t>
  </si>
  <si>
    <t>77800/112-48</t>
  </si>
  <si>
    <t>77800/113-01</t>
  </si>
  <si>
    <t>77800/113-02</t>
  </si>
  <si>
    <t>77800/113-21</t>
  </si>
  <si>
    <t>77800/113-48</t>
  </si>
  <si>
    <t>77800/115-01</t>
  </si>
  <si>
    <t>77800/115-02</t>
  </si>
  <si>
    <t>77800/117-01</t>
  </si>
  <si>
    <t>77800/118-01</t>
  </si>
  <si>
    <t>TOTAAL PERSONEEL</t>
  </si>
  <si>
    <t>ACT 21 0739-00 6141006</t>
  </si>
  <si>
    <t>Adm drukwerk en kopieerkosten</t>
  </si>
  <si>
    <t>ACT 21 0739-00 6150001</t>
  </si>
  <si>
    <t>aankoop klein materieel</t>
  </si>
  <si>
    <t>ACT 23 0739-00 6150015</t>
  </si>
  <si>
    <t>beheersvergoeding</t>
  </si>
  <si>
    <t>ACT 25 0739-00 6150015</t>
  </si>
  <si>
    <t>0739-00 6131005</t>
  </si>
  <si>
    <t>auteursrechten</t>
  </si>
  <si>
    <t>0739-00 6131006</t>
  </si>
  <si>
    <t>erelonen en vergoedingen</t>
  </si>
  <si>
    <t>0739-00 6141001</t>
  </si>
  <si>
    <t>Kantoorbenodigdheden</t>
  </si>
  <si>
    <t>0739-00 6141002</t>
  </si>
  <si>
    <t>Aankoop documentatie</t>
  </si>
  <si>
    <t>0739-00 6141003</t>
  </si>
  <si>
    <t>Frankeringskosten</t>
  </si>
  <si>
    <t>0739-00 6141004</t>
  </si>
  <si>
    <t>Telefoonkosten</t>
  </si>
  <si>
    <t>0739-00 6141006</t>
  </si>
  <si>
    <t>0739-00 6141200</t>
  </si>
  <si>
    <t>huur meubilair en bureaumateriaal</t>
  </si>
  <si>
    <t>0739-00 6141300</t>
  </si>
  <si>
    <t>onderhoud meubilair en bureaumateriaal</t>
  </si>
  <si>
    <t>0739-00 6143001</t>
  </si>
  <si>
    <t>Receptie- en representatiekosten</t>
  </si>
  <si>
    <t>0739-00 6143005</t>
  </si>
  <si>
    <t>Reis- en verblijfkosten</t>
  </si>
  <si>
    <t>0739-00 6150006</t>
  </si>
  <si>
    <t>lidmaatschappen</t>
  </si>
  <si>
    <t>0739-00 6150010</t>
  </si>
  <si>
    <t>Beroepsopleiding</t>
  </si>
  <si>
    <t>0739-00 6150015</t>
  </si>
  <si>
    <t>0171-00 6141001</t>
  </si>
  <si>
    <t>BWP kantoorbehoeften</t>
  </si>
  <si>
    <t>0171-00 6141003</t>
  </si>
  <si>
    <t>BWP frankeringskosten</t>
  </si>
  <si>
    <t>76200/121-01</t>
  </si>
  <si>
    <t>76200/122-04</t>
  </si>
  <si>
    <t>auteursrechten, erelonen</t>
  </si>
  <si>
    <t>76200/123-02</t>
  </si>
  <si>
    <t>76203/123-02</t>
  </si>
  <si>
    <t>culturele raad - kantoorbehoeften</t>
  </si>
  <si>
    <t>76206/123-02</t>
  </si>
  <si>
    <t>bewonersplatforms - kantoorbehoeften</t>
  </si>
  <si>
    <t>76200/123-06</t>
  </si>
  <si>
    <t>Adm. - Prestaties van derden</t>
  </si>
  <si>
    <t>76206/123-06</t>
  </si>
  <si>
    <t>bewonersplatforms - prest derden</t>
  </si>
  <si>
    <t>76200/123-07</t>
  </si>
  <si>
    <t>76203/123-07</t>
  </si>
  <si>
    <t>76206/123-07</t>
  </si>
  <si>
    <t>76200/123-11</t>
  </si>
  <si>
    <t>76200/123-12</t>
  </si>
  <si>
    <t>Onderhoudskosten bureaumaterieel</t>
  </si>
  <si>
    <t>76200/123-17</t>
  </si>
  <si>
    <t>76200/123-19</t>
  </si>
  <si>
    <t>76200/123-48</t>
  </si>
  <si>
    <t>Andere adm. kosten</t>
  </si>
  <si>
    <t>76206/123-48</t>
  </si>
  <si>
    <t>76200/123-16</t>
  </si>
  <si>
    <t>76206/123-16</t>
  </si>
  <si>
    <t>76200/124-02</t>
  </si>
  <si>
    <t>Tech. Benodigdheden</t>
  </si>
  <si>
    <t>76205/124-02</t>
  </si>
  <si>
    <t>76206/124-02</t>
  </si>
  <si>
    <t>77500/124-02</t>
  </si>
  <si>
    <t>tentoonstellingen</t>
  </si>
  <si>
    <t>77800/121-01</t>
  </si>
  <si>
    <t>77800/123-02</t>
  </si>
  <si>
    <t>77800/123-06</t>
  </si>
  <si>
    <t>77800/123-07</t>
  </si>
  <si>
    <t>77800/123-11</t>
  </si>
  <si>
    <t>77800/123-12</t>
  </si>
  <si>
    <t>77800/123-17</t>
  </si>
  <si>
    <t>77800/123-19</t>
  </si>
  <si>
    <t>77800/123-16</t>
  </si>
  <si>
    <t>77800/124-02</t>
  </si>
  <si>
    <t>TOTAAL WERKINGSKOSTEN</t>
  </si>
  <si>
    <t>Overdrachten</t>
  </si>
  <si>
    <t>76200/301-01</t>
  </si>
  <si>
    <t>onwaarden niet geïnde rechten</t>
  </si>
  <si>
    <t>76203/332-02</t>
  </si>
  <si>
    <t>culturele raad - toelage</t>
  </si>
  <si>
    <t>0739-00 6494000</t>
  </si>
  <si>
    <t>werkingssubsidies aan andere overheidsinstellingen</t>
  </si>
  <si>
    <t>76206/332-03</t>
  </si>
  <si>
    <t>bewonersplatform - toelage</t>
  </si>
  <si>
    <t>0171-00 6493000</t>
  </si>
  <si>
    <t>werkingssubsidies aan verenigingen</t>
  </si>
  <si>
    <t>76204/332-02</t>
  </si>
  <si>
    <t>toelage culturele verenigingen</t>
  </si>
  <si>
    <t>ACT 22 0709-00 6493000</t>
  </si>
  <si>
    <t>76200/415-02</t>
  </si>
  <si>
    <t>Vakbondpremies</t>
  </si>
  <si>
    <t>0739-00 6231003</t>
  </si>
  <si>
    <t>77800/415-02</t>
  </si>
  <si>
    <t>TOTAAL OVERDRACHTEN</t>
  </si>
  <si>
    <t>leninglasten - aflossingen</t>
  </si>
  <si>
    <t>leninglasten - intresten</t>
  </si>
  <si>
    <t>verrekening afschrijvingen investeringen eigen middelen</t>
  </si>
  <si>
    <t>TOTAAL SCHULD</t>
  </si>
  <si>
    <t>TOTAAL UITGAVEN GEWONE DIENST</t>
  </si>
  <si>
    <t>BUITENGEWONE DIENST</t>
  </si>
  <si>
    <t>ander bureaumateriaal</t>
  </si>
  <si>
    <t>Aankoop expl. mat. &amp; uitrusting</t>
  </si>
  <si>
    <t>BO gebouwen</t>
  </si>
  <si>
    <t>kunstwerken</t>
  </si>
  <si>
    <t>TOTAAL UITGAVEN BUITENGEWONE DIENST</t>
  </si>
  <si>
    <t>BD Cultuur &amp; Archief</t>
  </si>
  <si>
    <t>afschrijvingen</t>
  </si>
  <si>
    <t>kost/jaar</t>
  </si>
  <si>
    <t>expl. mat. &amp; uitrusting</t>
  </si>
  <si>
    <t>5 jaar</t>
  </si>
  <si>
    <t>10 jaar</t>
  </si>
  <si>
    <t>expl mat &amp; uitrusting</t>
  </si>
  <si>
    <t>digitaal fototoestel</t>
  </si>
  <si>
    <t>AFSCHRIJVINGSKOSTEN</t>
  </si>
  <si>
    <t>Prestaties</t>
  </si>
  <si>
    <t>76200/106-01</t>
  </si>
  <si>
    <t>creditnota's gewone dienst</t>
  </si>
  <si>
    <t>76200/161-04</t>
  </si>
  <si>
    <t>toegangsgelden</t>
  </si>
  <si>
    <t>0739-00 7010003</t>
  </si>
  <si>
    <t>0739-00 7470000</t>
  </si>
  <si>
    <t>werknemersinhouding maaltijdcheques</t>
  </si>
  <si>
    <t>0739-00 7020000</t>
  </si>
  <si>
    <t>opbrengsten uit prestaties</t>
  </si>
  <si>
    <t>76200/161-48</t>
  </si>
  <si>
    <t>Andere ontvangsten en terugvorderingen</t>
  </si>
  <si>
    <t>77500/161-02</t>
  </si>
  <si>
    <t>verkoop betreffende de functie</t>
  </si>
  <si>
    <t>77500/161-04</t>
  </si>
  <si>
    <t>77500/161-48</t>
  </si>
  <si>
    <t>77800/161-01</t>
  </si>
  <si>
    <t>rechtstreekse prestaties betreffende de functie</t>
  </si>
  <si>
    <t>77800/161-48</t>
  </si>
  <si>
    <t>TOTAAL PRESTATIES</t>
  </si>
  <si>
    <t>76200/465-01</t>
  </si>
  <si>
    <t>bijdragen hogere overheid werkingsuitgaven</t>
  </si>
  <si>
    <t>76200/465-02</t>
  </si>
  <si>
    <t>bijdragen hogere overheid personeelsuitgaven</t>
  </si>
  <si>
    <t>0739-00 7040999</t>
  </si>
  <si>
    <t>overige specifieke werkingssubsidies</t>
  </si>
  <si>
    <t>76201/465-02</t>
  </si>
  <si>
    <t>76200/465-05</t>
  </si>
  <si>
    <t>premie gesco's</t>
  </si>
  <si>
    <t>77500/465-01</t>
  </si>
  <si>
    <t>bijdrage hogere overheid werkingsuitgaven</t>
  </si>
  <si>
    <t>77800/465-02</t>
  </si>
  <si>
    <t>TOTAAL ONTVANGSTEN GEWONE DIENST</t>
  </si>
  <si>
    <t>Afval</t>
  </si>
  <si>
    <t>KGA</t>
  </si>
  <si>
    <t>Recup mat + verwerkingskn containerpark+fostplus</t>
  </si>
  <si>
    <t>Ldbfolie</t>
  </si>
  <si>
    <t>bermmaaisel</t>
  </si>
  <si>
    <t>GFT</t>
  </si>
  <si>
    <t>Beheersverg</t>
  </si>
  <si>
    <t>Comm verg</t>
  </si>
  <si>
    <t>Huisvuil</t>
  </si>
  <si>
    <t>87601/222-01</t>
  </si>
  <si>
    <t>Sensibilisatie</t>
  </si>
  <si>
    <t>Ophalen Huisvuil</t>
  </si>
  <si>
    <t>Ophalen GFT</t>
  </si>
  <si>
    <t>Ophalen+verwerking luierafval</t>
  </si>
  <si>
    <t>Afvalbanden</t>
  </si>
  <si>
    <t>Aankoop zakken</t>
  </si>
  <si>
    <t>TOT UITG</t>
  </si>
  <si>
    <t>Verkoop zakken</t>
  </si>
  <si>
    <t>Ristorno handelaars</t>
  </si>
  <si>
    <t>GFT ontvangst</t>
  </si>
  <si>
    <t>DIFTAR ontvangst</t>
  </si>
  <si>
    <t>TOT ONTV</t>
  </si>
  <si>
    <t>0703-00 6201000</t>
  </si>
  <si>
    <t>bezoldiging vastbenoemd personeel</t>
  </si>
  <si>
    <t>0703-00 6201100</t>
  </si>
  <si>
    <t>0703-00 6201200</t>
  </si>
  <si>
    <t>0703-00 6201300</t>
  </si>
  <si>
    <t>vergoedingen vastbenoemd personeel</t>
  </si>
  <si>
    <t>0703-00 6202000</t>
  </si>
  <si>
    <t>0703-00 6202100</t>
  </si>
  <si>
    <t>vakantiegeld gesco's</t>
  </si>
  <si>
    <t>0703-00 6202200</t>
  </si>
  <si>
    <t>0703-00 62030000</t>
  </si>
  <si>
    <t>bezoldiging contractueel pers</t>
  </si>
  <si>
    <t>0703-00 6203100</t>
  </si>
  <si>
    <t>0703-00 6203200</t>
  </si>
  <si>
    <t>0703-00 6211000</t>
  </si>
  <si>
    <t>werkgeversbijdrage vastbenoemd personeel</t>
  </si>
  <si>
    <t>0703-00 6211001</t>
  </si>
  <si>
    <t>werkgeversbijdrage omslagkas vastbenoemd personeel</t>
  </si>
  <si>
    <t>0703-00 6212000</t>
  </si>
  <si>
    <t>werkgeversbijdrage gesco's</t>
  </si>
  <si>
    <t>0703-00 6213000</t>
  </si>
  <si>
    <t>werkgeversbijdrage contractuelen</t>
  </si>
  <si>
    <t>0703-00 6221100</t>
  </si>
  <si>
    <t>hospitalisatie vastbenoemd personeel</t>
  </si>
  <si>
    <t>0703-00 6222000</t>
  </si>
  <si>
    <t>2° pensioenpijler  gesco's</t>
  </si>
  <si>
    <t>0703-00 6223000</t>
  </si>
  <si>
    <t>2° pensioenpijler  contractuelen</t>
  </si>
  <si>
    <t>0703-00 6223100</t>
  </si>
  <si>
    <t>hospitalisatie contractuelen</t>
  </si>
  <si>
    <t>0703-00 6230001</t>
  </si>
  <si>
    <t>0703-00 6231004</t>
  </si>
  <si>
    <t>maaltijdcheques</t>
  </si>
  <si>
    <t>0703-00 6231005</t>
  </si>
  <si>
    <t>76700/111-01</t>
  </si>
  <si>
    <t>bezoldiging personeel</t>
  </si>
  <si>
    <t>76700/111-02</t>
  </si>
  <si>
    <t>76701/111-02</t>
  </si>
  <si>
    <t>76700/112-01</t>
  </si>
  <si>
    <t>vakantiegeld</t>
  </si>
  <si>
    <t>76700/112-02</t>
  </si>
  <si>
    <t>76701/112-02</t>
  </si>
  <si>
    <t>76700/122-48</t>
  </si>
  <si>
    <t>76700/113-01</t>
  </si>
  <si>
    <t>patr bijdragen</t>
  </si>
  <si>
    <t>76700/113-02</t>
  </si>
  <si>
    <t>patr bijdragen gesco's</t>
  </si>
  <si>
    <t>76701/113-02</t>
  </si>
  <si>
    <t>76700/113-21</t>
  </si>
  <si>
    <t>patr bijdragen omslagkas</t>
  </si>
  <si>
    <t>76700/113-48</t>
  </si>
  <si>
    <t>patr bijdragen andere pensioenkassen</t>
  </si>
  <si>
    <t>76700/115-01</t>
  </si>
  <si>
    <t>fietsvergoeding</t>
  </si>
  <si>
    <t>76700/115-02</t>
  </si>
  <si>
    <t>76700/117-01</t>
  </si>
  <si>
    <t>76701/117-01</t>
  </si>
  <si>
    <t>76700/118-01</t>
  </si>
  <si>
    <t>0703-00 6001000</t>
  </si>
  <si>
    <t>aankoop collecties</t>
  </si>
  <si>
    <t>0703-00 6103001</t>
  </si>
  <si>
    <t>onderhoud gebouwen - benodigdheden</t>
  </si>
  <si>
    <t>0703-00 6103010</t>
  </si>
  <si>
    <t>prestatie van derden - gebouwen</t>
  </si>
  <si>
    <t>0703-00 6110000</t>
  </si>
  <si>
    <t>elektriciteit</t>
  </si>
  <si>
    <t>0703-00 6111000</t>
  </si>
  <si>
    <t>gas</t>
  </si>
  <si>
    <t>0703-00 6120100</t>
  </si>
  <si>
    <t>verzekering gebouw</t>
  </si>
  <si>
    <t>0703-00 6120160</t>
  </si>
  <si>
    <t>verzekering voertuigen</t>
  </si>
  <si>
    <t>0703-00 6131006</t>
  </si>
  <si>
    <t>0703-00 6141001</t>
  </si>
  <si>
    <t>kantoorbehoeften</t>
  </si>
  <si>
    <t>0703-00 6141003</t>
  </si>
  <si>
    <t>frankeringskosten</t>
  </si>
  <si>
    <t>0703-00 6141004</t>
  </si>
  <si>
    <t>telefoonkosten</t>
  </si>
  <si>
    <t>0703-00 6141300</t>
  </si>
  <si>
    <t>0703-00 6141800</t>
  </si>
  <si>
    <t>0703-00 6142200</t>
  </si>
  <si>
    <t>informaticakosten</t>
  </si>
  <si>
    <t>0703-00 6143001</t>
  </si>
  <si>
    <t>receptiekosten</t>
  </si>
  <si>
    <t>0703-006143003</t>
  </si>
  <si>
    <t>relatiegeschenken</t>
  </si>
  <si>
    <t>0703-00 6143004</t>
  </si>
  <si>
    <t>restaurantkosten</t>
  </si>
  <si>
    <t>0703-00 6143005</t>
  </si>
  <si>
    <t>0703-00 6150005</t>
  </si>
  <si>
    <t>vervoer</t>
  </si>
  <si>
    <t>0703-00 6150006</t>
  </si>
  <si>
    <t>0703-00 6150010</t>
  </si>
  <si>
    <t>beroepsopleiding</t>
  </si>
  <si>
    <t>0703-00 6150013</t>
  </si>
  <si>
    <t>drukwerk voor exploitatie</t>
  </si>
  <si>
    <t>0703-00 6150300</t>
  </si>
  <si>
    <t>onderhoud en herstelling tech mat</t>
  </si>
  <si>
    <t>0703-00 6400008</t>
  </si>
  <si>
    <t>bijdragen Reprobel</t>
  </si>
  <si>
    <t>76700/123-06</t>
  </si>
  <si>
    <t>adm kosten derden</t>
  </si>
  <si>
    <t>76700/123-12</t>
  </si>
  <si>
    <t>huur &amp; onderhoud adm. benodigdheden</t>
  </si>
  <si>
    <t>76700/123-48</t>
  </si>
  <si>
    <t>andere adm kosten</t>
  </si>
  <si>
    <t>76700/124-08</t>
  </si>
  <si>
    <t>verzekering ba</t>
  </si>
  <si>
    <t>76702/124-08</t>
  </si>
  <si>
    <t>verzekering collecties</t>
  </si>
  <si>
    <t>76702/124-12</t>
  </si>
  <si>
    <t>collecties huur &amp; onderhoud</t>
  </si>
  <si>
    <t>76700/124-48</t>
  </si>
  <si>
    <t>andere tech kosten</t>
  </si>
  <si>
    <t>76700/125-10</t>
  </si>
  <si>
    <t>belastingen, taksen en retributies</t>
  </si>
  <si>
    <t>76700/125-15</t>
  </si>
  <si>
    <t>water</t>
  </si>
  <si>
    <t>76700/301-01</t>
  </si>
  <si>
    <t>onwaarden niet geïnde vastgestelde rechten</t>
  </si>
  <si>
    <t>76700/415-02</t>
  </si>
  <si>
    <t>aankoop informaticahardware</t>
  </si>
  <si>
    <t>bouw De Seylsteen</t>
  </si>
  <si>
    <t>meubilair</t>
  </si>
  <si>
    <t>BD bibliotheek</t>
  </si>
  <si>
    <t>informaticahardware</t>
  </si>
  <si>
    <t>meubilair Seylsteen</t>
  </si>
  <si>
    <t>20 jaar</t>
  </si>
  <si>
    <t>bouw Seylsteen</t>
  </si>
  <si>
    <t>vast meubilair Seylsteen</t>
  </si>
  <si>
    <t>0703-00 7000001</t>
  </si>
  <si>
    <t>verkoop van goederen betreffende de functie</t>
  </si>
  <si>
    <t>0703-00 7010002</t>
  </si>
  <si>
    <t>inschrijvingsgelden</t>
  </si>
  <si>
    <t>0703-00 7010003</t>
  </si>
  <si>
    <t>0703-00 7020000</t>
  </si>
  <si>
    <t>0703-00 7040999</t>
  </si>
  <si>
    <t>andere terugvorderingen en tussenkomsten</t>
  </si>
  <si>
    <t>0703-00 7470000</t>
  </si>
  <si>
    <t>0703-00 7599999</t>
  </si>
  <si>
    <t>andere financiële opbrengsten</t>
  </si>
  <si>
    <t>76700/106-01</t>
  </si>
  <si>
    <t>76700/161-01</t>
  </si>
  <si>
    <t>76700/161-48</t>
  </si>
  <si>
    <t>76701/161-48</t>
  </si>
  <si>
    <t>76700/380-01</t>
  </si>
  <si>
    <t>vergoeding kleine schade</t>
  </si>
  <si>
    <t>76700/465-02</t>
  </si>
  <si>
    <t>76700/465-05</t>
  </si>
  <si>
    <t>Premie hogere overheid - gesco's</t>
  </si>
  <si>
    <t>76701/465-05</t>
  </si>
  <si>
    <t>76700/485-01</t>
  </si>
  <si>
    <t>0703-00 7404999</t>
  </si>
  <si>
    <t>algemene werkingssubsidies</t>
  </si>
  <si>
    <t>0703-00 7409999</t>
  </si>
  <si>
    <t>overige specifieke werkjngssubsidies</t>
  </si>
  <si>
    <t>Gemeenteschool Steenkerke</t>
  </si>
  <si>
    <t>0800-00 6202000</t>
  </si>
  <si>
    <t>0800-00 6203000</t>
  </si>
  <si>
    <t>0800-00 6202100</t>
  </si>
  <si>
    <t>0800-00 6202200</t>
  </si>
  <si>
    <t>0800-00 6203100</t>
  </si>
  <si>
    <t>0800-00 6203200</t>
  </si>
  <si>
    <t>0800-00 6207000</t>
  </si>
  <si>
    <t>bezoldiging onderw pers tlv bestuur</t>
  </si>
  <si>
    <t>0800-00 6207100</t>
  </si>
  <si>
    <t>vakantiegeld onderw pers tlv bestuur</t>
  </si>
  <si>
    <t>0800-00 6207200</t>
  </si>
  <si>
    <t>eindejaarstoelage onderw pers tlv bestuur</t>
  </si>
  <si>
    <t>0800-00 6207300</t>
  </si>
  <si>
    <t>vergoedingen onderw pers</t>
  </si>
  <si>
    <t>0800-00 6208000</t>
  </si>
  <si>
    <t>bezoldiging onderw pers hogere overheid</t>
  </si>
  <si>
    <t>0800-00 6212000</t>
  </si>
  <si>
    <t>Patr. bijdr. - gesco's</t>
  </si>
  <si>
    <t>0800-00 6213000</t>
  </si>
  <si>
    <t xml:space="preserve">Patr. bijdr. </t>
  </si>
  <si>
    <t>0800-00 6217000</t>
  </si>
  <si>
    <t xml:space="preserve">Patr. bijdr. onderw pers tlv bestuur </t>
  </si>
  <si>
    <t>0800-00 6222000</t>
  </si>
  <si>
    <t>2° pensioenpijler gesco's</t>
  </si>
  <si>
    <t>0800-00 6222100</t>
  </si>
  <si>
    <t>hospitalisatieverzek gesco's</t>
  </si>
  <si>
    <t>0800-00 6223000</t>
  </si>
  <si>
    <t>2° pensioenpijler contractuelen</t>
  </si>
  <si>
    <t>0800-00 6223100</t>
  </si>
  <si>
    <t>hospitalisatieverzek contractuelen</t>
  </si>
  <si>
    <t>0800-00 6230001</t>
  </si>
  <si>
    <t>kosten verplaatsingen van en naar werk</t>
  </si>
  <si>
    <t>0800-00 6231004</t>
  </si>
  <si>
    <t>0800-00 6231005</t>
  </si>
  <si>
    <t>0800-00 6227000</t>
  </si>
  <si>
    <t xml:space="preserve">Patr. bijdr. bovenwettelijke verzek onderw pers tlv bestuur </t>
  </si>
  <si>
    <t>72200/112-01</t>
  </si>
  <si>
    <t>vakantiegeld onderw pers</t>
  </si>
  <si>
    <t>72201/113-01</t>
  </si>
  <si>
    <t>72200/113-48</t>
  </si>
  <si>
    <t>72201/113-48</t>
  </si>
  <si>
    <t>72201/115-01</t>
  </si>
  <si>
    <t>72201/117-01</t>
  </si>
  <si>
    <t>72200/118-01</t>
  </si>
  <si>
    <t>72201/118-01</t>
  </si>
  <si>
    <t>0800-00 6103001</t>
  </si>
  <si>
    <t>0800-00 6110000</t>
  </si>
  <si>
    <t>0800-00 6111000</t>
  </si>
  <si>
    <t>0800-00 6113000</t>
  </si>
  <si>
    <t>0800-00 6120100</t>
  </si>
  <si>
    <t>0800-00 6120150</t>
  </si>
  <si>
    <t>0800-00 6135001</t>
  </si>
  <si>
    <t>tech benod rechtstr verkoop</t>
  </si>
  <si>
    <t>0800-00 6141001</t>
  </si>
  <si>
    <t>0800-00 6141002</t>
  </si>
  <si>
    <t>0800-00 6141004</t>
  </si>
  <si>
    <t>0800-00 6141200</t>
  </si>
  <si>
    <t>0800-00 6142999</t>
  </si>
  <si>
    <t>0800-00 6143005</t>
  </si>
  <si>
    <t>0800-00 6150001</t>
  </si>
  <si>
    <t>0800-00 6150005</t>
  </si>
  <si>
    <t>0800-00 6150010</t>
  </si>
  <si>
    <t>0800-00 6150015</t>
  </si>
  <si>
    <t xml:space="preserve">beheersvergoeding </t>
  </si>
  <si>
    <t>0800-00 6400007</t>
  </si>
  <si>
    <t>taksen eetwareninspectie</t>
  </si>
  <si>
    <t>0800-00 6400008</t>
  </si>
  <si>
    <t>auteursrechten fotocopie</t>
  </si>
  <si>
    <t>0800-00 6135002</t>
  </si>
  <si>
    <t>uitgegeven was en linnen</t>
  </si>
  <si>
    <t>72200/123-07</t>
  </si>
  <si>
    <t>72200/123-48</t>
  </si>
  <si>
    <t>72200/124-12</t>
  </si>
  <si>
    <t>onderhoud tech benodigdheden</t>
  </si>
  <si>
    <t>72200/125-06</t>
  </si>
  <si>
    <t>72100/301-01</t>
  </si>
  <si>
    <t>72200/433-01</t>
  </si>
  <si>
    <t>bijdr werkingskosten GOW</t>
  </si>
  <si>
    <t>72201/415-02</t>
  </si>
  <si>
    <t>expl mat</t>
  </si>
  <si>
    <t>uitrusting gronden</t>
  </si>
  <si>
    <t>informatica/expl. mat.</t>
  </si>
  <si>
    <t>speelpleintje</t>
  </si>
  <si>
    <t>informatica</t>
  </si>
  <si>
    <t>0800-00 7050001</t>
  </si>
  <si>
    <t>verhuring onroerende goederen</t>
  </si>
  <si>
    <t>72200/106-01</t>
  </si>
  <si>
    <t>creditnota's gd</t>
  </si>
  <si>
    <t>0800-00 7040002</t>
  </si>
  <si>
    <t>middagmalen</t>
  </si>
  <si>
    <t>72200/161-09</t>
  </si>
  <si>
    <t>middagtoezicht</t>
  </si>
  <si>
    <t>0800-00 7040999</t>
  </si>
  <si>
    <t>0800-00 7470000</t>
  </si>
  <si>
    <t>72201/161-48</t>
  </si>
  <si>
    <t>0800-00 7405004</t>
  </si>
  <si>
    <t>0800-00 7409999</t>
  </si>
  <si>
    <t>72200/465-05</t>
  </si>
  <si>
    <t>SAMWD</t>
  </si>
  <si>
    <t>0820-01 6202000</t>
  </si>
  <si>
    <t>bezoldiging gesco's</t>
  </si>
  <si>
    <t>0820-01 6202100</t>
  </si>
  <si>
    <t>0820-01 6202200</t>
  </si>
  <si>
    <t>0820-01 6203000</t>
  </si>
  <si>
    <t>0820-01 6203100</t>
  </si>
  <si>
    <t>0820-01 6203200</t>
  </si>
  <si>
    <t>0820-01 6207000</t>
  </si>
  <si>
    <t>bezoldiging tlv gemeente</t>
  </si>
  <si>
    <t>0820-01 6207100</t>
  </si>
  <si>
    <t>vakantiegeld tlv gemeente</t>
  </si>
  <si>
    <t>0820-01 6207200</t>
  </si>
  <si>
    <t>0820-01 6208000</t>
  </si>
  <si>
    <t>bezoldiging tlv hogere overheid</t>
  </si>
  <si>
    <t>0820-01 6212000</t>
  </si>
  <si>
    <t>patr bijdr rszppo gesco</t>
  </si>
  <si>
    <t>0820-01 6213000</t>
  </si>
  <si>
    <t>patr bijdr rszppo pers</t>
  </si>
  <si>
    <t>0820-01 6217000</t>
  </si>
  <si>
    <t>patr bijdr rzsppo tlv gemeente</t>
  </si>
  <si>
    <t>0820-01 6222000</t>
  </si>
  <si>
    <t>0820-01 6223000</t>
  </si>
  <si>
    <t>0820-01 6227000</t>
  </si>
  <si>
    <t>2° pensioenpijler tlv gemeente</t>
  </si>
  <si>
    <t>0820-01 6230001</t>
  </si>
  <si>
    <t>vergoeding verplaatsing v en nr werk</t>
  </si>
  <si>
    <t>0820-01 6231004</t>
  </si>
  <si>
    <t>0820-01 6231005</t>
  </si>
  <si>
    <t>verzekering ao</t>
  </si>
  <si>
    <t>73402/111-02</t>
  </si>
  <si>
    <t>73401/111-12</t>
  </si>
  <si>
    <t>73402/112-02</t>
  </si>
  <si>
    <t>73402/112-48</t>
  </si>
  <si>
    <t>andere sociale toelagen</t>
  </si>
  <si>
    <t>73402/113-02</t>
  </si>
  <si>
    <t>73400/113-21</t>
  </si>
  <si>
    <t>patr bijdr omslagkas</t>
  </si>
  <si>
    <t>73400/113-48</t>
  </si>
  <si>
    <t>73401/113-48</t>
  </si>
  <si>
    <t>73402/113-48</t>
  </si>
  <si>
    <t>73400/115-01</t>
  </si>
  <si>
    <t>73400/115-02</t>
  </si>
  <si>
    <t>73402/115-02</t>
  </si>
  <si>
    <t>73401/117-01</t>
  </si>
  <si>
    <t>73402/117-01</t>
  </si>
  <si>
    <t>73400/118-01</t>
  </si>
  <si>
    <t>0820-01 6100800</t>
  </si>
  <si>
    <t>huurlasten gebouw</t>
  </si>
  <si>
    <t>0820-01 6103001</t>
  </si>
  <si>
    <t>0820-01 6103010</t>
  </si>
  <si>
    <t>0820-01 6110000</t>
  </si>
  <si>
    <t>0820-01 6111000</t>
  </si>
  <si>
    <t>0820-01 6113000</t>
  </si>
  <si>
    <t>0820-01 6120100</t>
  </si>
  <si>
    <t>0820-01 6120150</t>
  </si>
  <si>
    <t>0820-01 6131004</t>
  </si>
  <si>
    <t>presentiegeld jury</t>
  </si>
  <si>
    <t>0820-01 6131005</t>
  </si>
  <si>
    <t>0820-01 6135002</t>
  </si>
  <si>
    <t>0820-01 6141001</t>
  </si>
  <si>
    <t>0820-01 6141002</t>
  </si>
  <si>
    <t>0820-01 6141003</t>
  </si>
  <si>
    <t>0820-01 6141004</t>
  </si>
  <si>
    <t>0820-01 6141006</t>
  </si>
  <si>
    <t>adm drukwerk en kopieerkosten</t>
  </si>
  <si>
    <t>0820-01 6141200</t>
  </si>
  <si>
    <t>0820-01 6142200</t>
  </si>
  <si>
    <t>kosten informatica</t>
  </si>
  <si>
    <t>0820-01 6142800</t>
  </si>
  <si>
    <t>0820-01 6142999</t>
  </si>
  <si>
    <t>overige informaticakosten</t>
  </si>
  <si>
    <t>0820-01 6143001</t>
  </si>
  <si>
    <t>0820-01 6143004</t>
  </si>
  <si>
    <t>0820-01 6143005</t>
  </si>
  <si>
    <t>0820-01 6143006</t>
  </si>
  <si>
    <t>benodigdheden prijsuitreiking</t>
  </si>
  <si>
    <t>0820-01 6150001</t>
  </si>
  <si>
    <t>0820-01 6150005</t>
  </si>
  <si>
    <t>0820-01 6150006</t>
  </si>
  <si>
    <t>0820-01 6150010</t>
  </si>
  <si>
    <t>0820-01 6150300</t>
  </si>
  <si>
    <t>Huur &amp; onderhoud tech. benodigdheden</t>
  </si>
  <si>
    <t>0820-01 6159999</t>
  </si>
  <si>
    <t>overige expl kosten</t>
  </si>
  <si>
    <t>0820-01 6400008</t>
  </si>
  <si>
    <t>reprobel</t>
  </si>
  <si>
    <t>73400/123-06</t>
  </si>
  <si>
    <t>73400/123-18</t>
  </si>
  <si>
    <t>kosten inrichten examens</t>
  </si>
  <si>
    <t>73400/301-01</t>
  </si>
  <si>
    <t>onwaarden op niet geïnde vastgestelde rechten</t>
  </si>
  <si>
    <t>0820-01 6493000</t>
  </si>
  <si>
    <t>toelage "Legato"</t>
  </si>
  <si>
    <t>0820-01 6494000</t>
  </si>
  <si>
    <t>toegestane werkingssubsidies</t>
  </si>
  <si>
    <t>0820-01 6231003</t>
  </si>
  <si>
    <t>73400/433-01</t>
  </si>
  <si>
    <t>bijdr werkingskosten andere overheden</t>
  </si>
  <si>
    <t>bo gebouwen</t>
  </si>
  <si>
    <t>BO SAWMD</t>
  </si>
  <si>
    <t>aankoop expl mat</t>
  </si>
  <si>
    <t>informatica mat</t>
  </si>
  <si>
    <t>73400/106-01</t>
  </si>
  <si>
    <t>73400/161-01</t>
  </si>
  <si>
    <t>0820-01 7000099</t>
  </si>
  <si>
    <t>0820-01 7050999</t>
  </si>
  <si>
    <t>verhuring van goederen</t>
  </si>
  <si>
    <t>0820-01 7010003</t>
  </si>
  <si>
    <t>0820-01 7040999</t>
  </si>
  <si>
    <t>73402/161-48</t>
  </si>
  <si>
    <t>73400/380-01</t>
  </si>
  <si>
    <t>0820-01 7405004</t>
  </si>
  <si>
    <t>bijdr hogere overh onderw pers</t>
  </si>
  <si>
    <t>0820-01 7409999</t>
  </si>
  <si>
    <t>bijdr hogere overh werkingskosten</t>
  </si>
  <si>
    <t>0820-01 7470000</t>
  </si>
  <si>
    <t>73400/465-05</t>
  </si>
  <si>
    <t>73402/465-05</t>
  </si>
  <si>
    <t>0820-01 7405002</t>
  </si>
  <si>
    <t>bijdr andere overh bezoldiging</t>
  </si>
  <si>
    <t>73400/483-01</t>
  </si>
  <si>
    <t>bijdr andere overh werkingskosten</t>
  </si>
  <si>
    <t>Toerisme</t>
  </si>
  <si>
    <t>0520-00 6202000</t>
  </si>
  <si>
    <t>0520-00 6202100</t>
  </si>
  <si>
    <t>0520-00 6202200</t>
  </si>
  <si>
    <t>0520-00 6203000</t>
  </si>
  <si>
    <t>0520-00 6203100</t>
  </si>
  <si>
    <t>0520-00 6203200</t>
  </si>
  <si>
    <t>0520-00 623300</t>
  </si>
  <si>
    <t>vergoeding contractuelen</t>
  </si>
  <si>
    <t>0520-00 6212000</t>
  </si>
  <si>
    <t>0520-00 6213000</t>
  </si>
  <si>
    <t>0520-00 6222000</t>
  </si>
  <si>
    <t>2° pensoenpijler gesco's</t>
  </si>
  <si>
    <t>0520-00 6222100</t>
  </si>
  <si>
    <t>hospitalisatie gesco's</t>
  </si>
  <si>
    <t>0520-00 6223000</t>
  </si>
  <si>
    <t>0520-00 6223100</t>
  </si>
  <si>
    <t>0520-00 6230001</t>
  </si>
  <si>
    <t>0520-00 6231004</t>
  </si>
  <si>
    <t>0520-00 6231005</t>
  </si>
  <si>
    <t>56100/113-21</t>
  </si>
  <si>
    <t>56100/113-48</t>
  </si>
  <si>
    <t>56100/115-02</t>
  </si>
  <si>
    <t>56100/118-01</t>
  </si>
  <si>
    <t>ACT 41 0520-00 6110000</t>
  </si>
  <si>
    <t>elektriciteit ijspiste</t>
  </si>
  <si>
    <t>ACT 41 0520-00 6139999</t>
  </si>
  <si>
    <t>ACT 41 0520-00 6143007</t>
  </si>
  <si>
    <t>Publiciteit toer activiteiten</t>
  </si>
  <si>
    <t>ACT 41 0520-00 6150015</t>
  </si>
  <si>
    <t xml:space="preserve">Beheersvergoeding </t>
  </si>
  <si>
    <t>0520-00 6040000</t>
  </si>
  <si>
    <t>goederen voor verkoop</t>
  </si>
  <si>
    <t>0520-00 6102999</t>
  </si>
  <si>
    <t>overige vergoedingen voor het gebruik van onroerende goederen</t>
  </si>
  <si>
    <t>0520-00 6103001</t>
  </si>
  <si>
    <t>benodigdheden gebouwen Jachthaven</t>
  </si>
  <si>
    <t>0520-00 6110000</t>
  </si>
  <si>
    <t>Elektriciteit jachthaven</t>
  </si>
  <si>
    <t>0520-00 6113000</t>
  </si>
  <si>
    <t>water jachthaven</t>
  </si>
  <si>
    <t>0520-00 6120100</t>
  </si>
  <si>
    <t>brandverzekering</t>
  </si>
  <si>
    <t>0520-00 6120150</t>
  </si>
  <si>
    <t>0520-00 6131006</t>
  </si>
  <si>
    <t>0520-00 6141001</t>
  </si>
  <si>
    <t>0520-00 6141003</t>
  </si>
  <si>
    <t>0520-00 6141004</t>
  </si>
  <si>
    <t>0520-00 6141006</t>
  </si>
  <si>
    <t>Adm drukwerk &amp; kopieerkosten</t>
  </si>
  <si>
    <t>0520-00 6141200</t>
  </si>
  <si>
    <t>0520-00 6141300</t>
  </si>
  <si>
    <t>0520-00 6142999</t>
  </si>
  <si>
    <t>0520-00 6143001</t>
  </si>
  <si>
    <t>0520-00 6143005</t>
  </si>
  <si>
    <t>0520-00 6149000</t>
  </si>
  <si>
    <t>0520-00 6150001</t>
  </si>
  <si>
    <t>0520-00 6150006</t>
  </si>
  <si>
    <t>0520-00 6150010</t>
  </si>
  <si>
    <t>0520-00 6150015</t>
  </si>
  <si>
    <t>0520-00 6159999</t>
  </si>
  <si>
    <t>overige exploitatiekosten</t>
  </si>
  <si>
    <t>0520-00 6400007</t>
  </si>
  <si>
    <t>Taksen eetwareninspectie</t>
  </si>
  <si>
    <t>56100/123-19</t>
  </si>
  <si>
    <t>56100/124-02</t>
  </si>
  <si>
    <t>Tech. Benodigdheden (VVV)</t>
  </si>
  <si>
    <t>56200/123-06</t>
  </si>
  <si>
    <t>prestaties derden publicaties</t>
  </si>
  <si>
    <t>56200/124-06</t>
  </si>
  <si>
    <t>kosten Belleman</t>
  </si>
  <si>
    <t>56200/124-08</t>
  </si>
  <si>
    <t>0700-00 6131006</t>
  </si>
  <si>
    <t>erelonen en vergoedingen vrijwilligers museum</t>
  </si>
  <si>
    <t>0700-00 6141004</t>
  </si>
  <si>
    <t>0700-00 6143007</t>
  </si>
  <si>
    <t>publiciteit museum</t>
  </si>
  <si>
    <t>0700-00 6150001</t>
  </si>
  <si>
    <t>aankoop klein mat museum</t>
  </si>
  <si>
    <t>52100/332-02</t>
  </si>
  <si>
    <t>toelagen aan beurzen en markten</t>
  </si>
  <si>
    <t>0520-00 6231003</t>
  </si>
  <si>
    <t>vakbondspremies</t>
  </si>
  <si>
    <t>56200/332-01</t>
  </si>
  <si>
    <t>toerisme en propaganda (VVV)</t>
  </si>
  <si>
    <t>bezoekerscentrum</t>
  </si>
  <si>
    <t>museum "verhaal achter het front"</t>
  </si>
  <si>
    <t>bo landhuis (backoffice)</t>
  </si>
  <si>
    <t>bureaumaterieel</t>
  </si>
  <si>
    <t>BD Toerisme</t>
  </si>
  <si>
    <t>meubilair &amp; kantooruitrusting</t>
  </si>
  <si>
    <t>kantooruitrusting</t>
  </si>
  <si>
    <t>kantooruitrusitng</t>
  </si>
  <si>
    <t>verhaal achter het front</t>
  </si>
  <si>
    <t>Verhaal achter het front</t>
  </si>
  <si>
    <t>bo dienst toerisme</t>
  </si>
  <si>
    <t>bureaumeubilair</t>
  </si>
  <si>
    <t>0520-00 7000099</t>
  </si>
  <si>
    <t>verkoop goederen</t>
  </si>
  <si>
    <t>0520-00 7010001</t>
  </si>
  <si>
    <t>ticketverkoop</t>
  </si>
  <si>
    <t>0520-00 7010003</t>
  </si>
  <si>
    <t>0520-00 7020000</t>
  </si>
  <si>
    <t>0520-00 7020999</t>
  </si>
  <si>
    <t>0520-00 7040999</t>
  </si>
  <si>
    <t>0520-00 7050999</t>
  </si>
  <si>
    <t>andere huuropbrengsten</t>
  </si>
  <si>
    <t>0520-00 7070000</t>
  </si>
  <si>
    <t>doorfacturatie nutsvoorzieningen</t>
  </si>
  <si>
    <t>toegekende kortingen, ristorno's</t>
  </si>
  <si>
    <t>0520-00 7450000</t>
  </si>
  <si>
    <t>recuperatie van kosten</t>
  </si>
  <si>
    <t>0520-00 7470000</t>
  </si>
  <si>
    <t>werknemersbijdrage maaltijdcheques</t>
  </si>
  <si>
    <t>0520-00 7409999</t>
  </si>
  <si>
    <t>overige algemene werkingssubsidies</t>
  </si>
  <si>
    <t>0520-00 7599999</t>
  </si>
  <si>
    <t>56200/106-01</t>
  </si>
  <si>
    <t>56100/106-01</t>
  </si>
  <si>
    <t>56200/161-04</t>
  </si>
  <si>
    <t>56200/161-48</t>
  </si>
  <si>
    <t>0520-00 7405002</t>
  </si>
  <si>
    <t>56100/465-05</t>
  </si>
  <si>
    <t>Groendienst</t>
  </si>
  <si>
    <t>0680-00 6201000</t>
  </si>
  <si>
    <t>bezoldiging vast personeel</t>
  </si>
  <si>
    <t>0680-00 6201100</t>
  </si>
  <si>
    <t>vakantiegeld vast personeel</t>
  </si>
  <si>
    <t>0680-00 6201200</t>
  </si>
  <si>
    <t>eindejaarstoelage vast personeel</t>
  </si>
  <si>
    <t>0680-00 6201300</t>
  </si>
  <si>
    <t>0680-00 6203000</t>
  </si>
  <si>
    <t>0680-00 6203100</t>
  </si>
  <si>
    <t>0680-00 6203200</t>
  </si>
  <si>
    <t>0680-00 6203300</t>
  </si>
  <si>
    <t>vergoedingen contractuelen</t>
  </si>
  <si>
    <t>0680-00 6211000</t>
  </si>
  <si>
    <t>werkgeversbijdrage vast personeel</t>
  </si>
  <si>
    <t>0680-00 6211001</t>
  </si>
  <si>
    <t>omslagkas vast personeel</t>
  </si>
  <si>
    <t>0680-00 6221100</t>
  </si>
  <si>
    <t>hospitalisatieverzekering vast personeel</t>
  </si>
  <si>
    <t>0680-00 6213000</t>
  </si>
  <si>
    <t>0680-00 6223000</t>
  </si>
  <si>
    <t>2° pensioenpijler - contractuelen</t>
  </si>
  <si>
    <t>0680-00 6223100</t>
  </si>
  <si>
    <t>0680-00 6230001</t>
  </si>
  <si>
    <t>0680-00 6231004</t>
  </si>
  <si>
    <t>0680-00 6231005</t>
  </si>
  <si>
    <t>0680-00 6202000</t>
  </si>
  <si>
    <t>0680-00 6202100</t>
  </si>
  <si>
    <t>0680-00 6202200</t>
  </si>
  <si>
    <t>0680-00 6202300</t>
  </si>
  <si>
    <t>vergoedingen gesco's</t>
  </si>
  <si>
    <t>0680-00 6212000</t>
  </si>
  <si>
    <t>0680-00 6222000</t>
  </si>
  <si>
    <t>2° pensioenpijler - gesco's</t>
  </si>
  <si>
    <t>0680-00 6222100</t>
  </si>
  <si>
    <t>42100/111-01</t>
  </si>
  <si>
    <t>42100/111-02</t>
  </si>
  <si>
    <t>42100/112-01</t>
  </si>
  <si>
    <t>42100/112-02</t>
  </si>
  <si>
    <t>42100/112-48</t>
  </si>
  <si>
    <t>42100/113-01</t>
  </si>
  <si>
    <t>42100/113-02</t>
  </si>
  <si>
    <t>42100/113-48</t>
  </si>
  <si>
    <t>42100/115-02</t>
  </si>
  <si>
    <t>42100/117-01</t>
  </si>
  <si>
    <t>42100/118-01</t>
  </si>
  <si>
    <t>76600/111-01</t>
  </si>
  <si>
    <t>76600/111-02</t>
  </si>
  <si>
    <t>76600/112-01</t>
  </si>
  <si>
    <t>76600/112-02</t>
  </si>
  <si>
    <t>76600/112-48</t>
  </si>
  <si>
    <t>76600/113-01</t>
  </si>
  <si>
    <t>76600/113-02</t>
  </si>
  <si>
    <t>76600/113-21</t>
  </si>
  <si>
    <t>76600/113-48</t>
  </si>
  <si>
    <t>76600/115-01</t>
  </si>
  <si>
    <t>76600/115-02</t>
  </si>
  <si>
    <t>76600/117-01</t>
  </si>
  <si>
    <t>76600/118-01</t>
  </si>
  <si>
    <t>87800/111-01</t>
  </si>
  <si>
    <t>87800/111-02</t>
  </si>
  <si>
    <t>87800/112-01</t>
  </si>
  <si>
    <t>87800/112-02</t>
  </si>
  <si>
    <t>87800/112-48</t>
  </si>
  <si>
    <t>87800/113-01</t>
  </si>
  <si>
    <t>87800/113-02</t>
  </si>
  <si>
    <t>87800/113-21</t>
  </si>
  <si>
    <t>87800/113-48</t>
  </si>
  <si>
    <t>87800/115-01</t>
  </si>
  <si>
    <t>87800/115-02</t>
  </si>
  <si>
    <t>87800/117-01</t>
  </si>
  <si>
    <t>87800/118-01</t>
  </si>
  <si>
    <t>0680-00 6103001</t>
  </si>
  <si>
    <t>benodigdheden voor gebouwen</t>
  </si>
  <si>
    <t>0680-00 6103501</t>
  </si>
  <si>
    <t>benodigdheden voor aanleg en onderhoud van wegen</t>
  </si>
  <si>
    <t>0680-00 6103510</t>
  </si>
  <si>
    <t>prestaties van derden onderhoud bermen en wegen</t>
  </si>
  <si>
    <t>0680-00 6110000</t>
  </si>
  <si>
    <t>0680-00 6113000</t>
  </si>
  <si>
    <t>0680-00 6120100</t>
  </si>
  <si>
    <t>0680-00 6120160</t>
  </si>
  <si>
    <t>0680-00 6141001</t>
  </si>
  <si>
    <t>0680-00 6141002</t>
  </si>
  <si>
    <t>0680-00 6141004</t>
  </si>
  <si>
    <t>0680-00 6150001</t>
  </si>
  <si>
    <t>0680-00 6150006</t>
  </si>
  <si>
    <t>0680-00 6150010</t>
  </si>
  <si>
    <t>opleidingskosten</t>
  </si>
  <si>
    <t>0680-00 6150011</t>
  </si>
  <si>
    <t>kosten werkkledij</t>
  </si>
  <si>
    <t>0680-00 6150015</t>
  </si>
  <si>
    <t>0680-00 0150200</t>
  </si>
  <si>
    <t>huur tech mat</t>
  </si>
  <si>
    <t>0680-00 6150300</t>
  </si>
  <si>
    <t>0680-00 6160001</t>
  </si>
  <si>
    <t>aankoop benodigdheden voor voertuigen</t>
  </si>
  <si>
    <t>0680-00 6160003</t>
  </si>
  <si>
    <t>controle- en keuringskosten</t>
  </si>
  <si>
    <t>0680-00 6160004</t>
  </si>
  <si>
    <t>brandstof voertuigen</t>
  </si>
  <si>
    <t>0680-00 6160200</t>
  </si>
  <si>
    <t>0680-00 6160300</t>
  </si>
  <si>
    <t>onderhoud en herstelling voertuigen</t>
  </si>
  <si>
    <t>0680-00 6400003</t>
  </si>
  <si>
    <t>milieubelasting</t>
  </si>
  <si>
    <t>0680-00 6143005</t>
  </si>
  <si>
    <t>reis- en verblijfkosten</t>
  </si>
  <si>
    <t>0984-00 6120160</t>
  </si>
  <si>
    <t>0984-00 6150001</t>
  </si>
  <si>
    <t>0984-00 6159999</t>
  </si>
  <si>
    <t>0984-00 6160001</t>
  </si>
  <si>
    <t>benodigdheden voor voertuigen</t>
  </si>
  <si>
    <t>0984-00 6160003</t>
  </si>
  <si>
    <t>0984-00 6160004</t>
  </si>
  <si>
    <t>0984-00 6160300</t>
  </si>
  <si>
    <t>0990-00 6103001</t>
  </si>
  <si>
    <t>kerkhof - onderhoud gebouwen</t>
  </si>
  <si>
    <t>0990-00 6110000</t>
  </si>
  <si>
    <t>kerkhof - elektriciteit</t>
  </si>
  <si>
    <t>0990-00 6111000</t>
  </si>
  <si>
    <t>kerkhof - gas</t>
  </si>
  <si>
    <t>0990-00 6113000</t>
  </si>
  <si>
    <t>kerkhof - water</t>
  </si>
  <si>
    <t>0990-00 6120100</t>
  </si>
  <si>
    <t>kerkhof - verzekering gebouwen</t>
  </si>
  <si>
    <t>0990-00 6141004</t>
  </si>
  <si>
    <t>kerkhof - telefoonkosten</t>
  </si>
  <si>
    <t>0990-00 6150001</t>
  </si>
  <si>
    <t>kerkhof - aankoop klein materieel</t>
  </si>
  <si>
    <t>42100/140-02</t>
  </si>
  <si>
    <t>benodigdheden voor wegen (onkruidbestrijding)</t>
  </si>
  <si>
    <t>42500/124-02</t>
  </si>
  <si>
    <t>aanplantingen langs de wegen - tech benodigd</t>
  </si>
  <si>
    <t>42500/124-06</t>
  </si>
  <si>
    <t>aanplantingen langs de wegen - derden</t>
  </si>
  <si>
    <t>42500/124-12</t>
  </si>
  <si>
    <t>aanplantingen langs de wegen - onderhoud mat.</t>
  </si>
  <si>
    <t>76600/123-02</t>
  </si>
  <si>
    <t>76600/123-17</t>
  </si>
  <si>
    <t>76600/123-19</t>
  </si>
  <si>
    <t>76600/123-48</t>
  </si>
  <si>
    <t>76600/123-16</t>
  </si>
  <si>
    <t>Entente Florale</t>
  </si>
  <si>
    <t>76600/124-02</t>
  </si>
  <si>
    <t>Park - Tech. Benodigdheden</t>
  </si>
  <si>
    <t>76600/124-05</t>
  </si>
  <si>
    <t>Park - kledij</t>
  </si>
  <si>
    <t>76600/124-06</t>
  </si>
  <si>
    <t>Park - werken derden</t>
  </si>
  <si>
    <t>76600/124-12</t>
  </si>
  <si>
    <t>Park - onderhoud mat.</t>
  </si>
  <si>
    <t>76600/125-02</t>
  </si>
  <si>
    <t>Park - onderhoud gebouwen</t>
  </si>
  <si>
    <t>76600/125-08</t>
  </si>
  <si>
    <t>Park - verzekering gebouw</t>
  </si>
  <si>
    <t>76600/125-10</t>
  </si>
  <si>
    <t>Park - belastingen</t>
  </si>
  <si>
    <t>76600/125-15</t>
  </si>
  <si>
    <t>Park - water</t>
  </si>
  <si>
    <t>76600/127-02</t>
  </si>
  <si>
    <t>Park - mat. voertuigen</t>
  </si>
  <si>
    <t>76600/127-03</t>
  </si>
  <si>
    <t>Park - brandstof voertuigen</t>
  </si>
  <si>
    <t>76600/127-06</t>
  </si>
  <si>
    <t>76600/127-08</t>
  </si>
  <si>
    <t>Park - verzekering voertuigen</t>
  </si>
  <si>
    <t>76600/127-10</t>
  </si>
  <si>
    <t>Park - belastingen voertuigen</t>
  </si>
  <si>
    <t>87800/123-11</t>
  </si>
  <si>
    <t>87800/123-17</t>
  </si>
  <si>
    <t>kerkhof - opleiding</t>
  </si>
  <si>
    <t>87800/124-02</t>
  </si>
  <si>
    <t>kerkhof - techn benodigdheden</t>
  </si>
  <si>
    <t>87800/124-05</t>
  </si>
  <si>
    <t>kerkhof - kledij</t>
  </si>
  <si>
    <t>87800/125-02</t>
  </si>
  <si>
    <t>87800/125-08</t>
  </si>
  <si>
    <t>87800/125-12</t>
  </si>
  <si>
    <t>87800/125-13</t>
  </si>
  <si>
    <t>87800/125-15</t>
  </si>
  <si>
    <t>42100/415-02</t>
  </si>
  <si>
    <t>76600/415-02</t>
  </si>
  <si>
    <t>0680-00 6231003</t>
  </si>
  <si>
    <t>87800/415-02</t>
  </si>
  <si>
    <t>aankoop bloembakken</t>
  </si>
  <si>
    <t>aankoop beplantingen</t>
  </si>
  <si>
    <t>GNOP aankoop beplantingen</t>
  </si>
  <si>
    <t>aankoop &amp; onderhoud voertuigen</t>
  </si>
  <si>
    <t>Walburgapark</t>
  </si>
  <si>
    <t>aankoop gronden Vaubanpark</t>
  </si>
  <si>
    <t>Aanleg Vaubanpark</t>
  </si>
  <si>
    <t>BD groendienst</t>
  </si>
  <si>
    <t>St Walburgapark</t>
  </si>
  <si>
    <t>30 jaar</t>
  </si>
  <si>
    <t>diverse beplantingen</t>
  </si>
  <si>
    <t xml:space="preserve">aankoop expl mat </t>
  </si>
  <si>
    <t>aankoop en onderhoud voertuigen</t>
  </si>
  <si>
    <t>Vauban park</t>
  </si>
  <si>
    <t>aankoop voertuigen rattenvangers</t>
  </si>
  <si>
    <t>Toelage aanleg Vauban</t>
  </si>
  <si>
    <t>5  jaar</t>
  </si>
  <si>
    <t>76600/106-01</t>
  </si>
  <si>
    <t>creditnota's GD</t>
  </si>
  <si>
    <t>76600/161-48</t>
  </si>
  <si>
    <t>0680-00 7470000</t>
  </si>
  <si>
    <t>87800/161-01</t>
  </si>
  <si>
    <t>87800/161-48</t>
  </si>
  <si>
    <t>42100/465-05</t>
  </si>
  <si>
    <t>76600/380-01</t>
  </si>
  <si>
    <t>76600/465-01</t>
  </si>
  <si>
    <t>76600/465-02</t>
  </si>
  <si>
    <t>76600/465-05</t>
  </si>
  <si>
    <t>87800/465-01</t>
  </si>
  <si>
    <t>0990-00 7409999</t>
  </si>
  <si>
    <t>87800/465-05</t>
  </si>
  <si>
    <t>Overzicht sport (zwembad - sportinrichtingen - sportdienst)</t>
  </si>
  <si>
    <t>ontvangsten</t>
  </si>
  <si>
    <t>boni/mali</t>
  </si>
  <si>
    <t>0740-02 6201000</t>
  </si>
  <si>
    <t>Bezoldiging vast personeel</t>
  </si>
  <si>
    <t>0740-02 6201100</t>
  </si>
  <si>
    <t>0740-02 6201200</t>
  </si>
  <si>
    <t>0740-02 6201300</t>
  </si>
  <si>
    <t>vergoeding vastbenoem personeel</t>
  </si>
  <si>
    <t>0740-02 6202000</t>
  </si>
  <si>
    <t>0740-02 6202100</t>
  </si>
  <si>
    <t>0740-02 6202200</t>
  </si>
  <si>
    <t>0740-02 6203000</t>
  </si>
  <si>
    <t>Bezoldiging contractueel personeel</t>
  </si>
  <si>
    <t>0740-02 6203100</t>
  </si>
  <si>
    <t>0740-02 6203200</t>
  </si>
  <si>
    <t>0740-02 6203300</t>
  </si>
  <si>
    <t>0740-02 6211000</t>
  </si>
  <si>
    <t>werkgeversbijdragen vast personeel</t>
  </si>
  <si>
    <t>0740-02 6211001</t>
  </si>
  <si>
    <t>werkgeversbijdragen omslagkas</t>
  </si>
  <si>
    <t>0740-02 6212000</t>
  </si>
  <si>
    <t>werkgeversbijdragen gesco's</t>
  </si>
  <si>
    <t>0740-02 6213000</t>
  </si>
  <si>
    <t>werkgeversbijdragen contractuelen</t>
  </si>
  <si>
    <t>0740-02 6221100</t>
  </si>
  <si>
    <t>hospitalisatie verzekering vast personeel</t>
  </si>
  <si>
    <t>0740-02 6222000</t>
  </si>
  <si>
    <t>0740-02 6222100</t>
  </si>
  <si>
    <t>hospitalisatie verzekering gesco's</t>
  </si>
  <si>
    <t>0740-02 6223000</t>
  </si>
  <si>
    <t>0740-02 6223100</t>
  </si>
  <si>
    <t>0740-02 6230001</t>
  </si>
  <si>
    <t>0740-02 6231002</t>
  </si>
  <si>
    <t>bijdragen aan andere sociale diensten</t>
  </si>
  <si>
    <t>0740-02 6231004</t>
  </si>
  <si>
    <t>0740-02 6231005</t>
  </si>
  <si>
    <t>verzekering AO</t>
  </si>
  <si>
    <t>76401/111-01</t>
  </si>
  <si>
    <t>76401/111-02</t>
  </si>
  <si>
    <t>76401/112-01</t>
  </si>
  <si>
    <t>76401/112-02</t>
  </si>
  <si>
    <t>76401/112-48</t>
  </si>
  <si>
    <t>76401/113-01</t>
  </si>
  <si>
    <t>76401/113-02</t>
  </si>
  <si>
    <t>76401/113-21</t>
  </si>
  <si>
    <t>76401/115-01</t>
  </si>
  <si>
    <t>76401/115-02</t>
  </si>
  <si>
    <t>76401/117-01</t>
  </si>
  <si>
    <t>76401/118-01</t>
  </si>
  <si>
    <t>0740-02 6040000</t>
  </si>
  <si>
    <t>goederen bestemd voor de verkoop</t>
  </si>
  <si>
    <t>0740-02 6103001</t>
  </si>
  <si>
    <t>0740-02 6103010</t>
  </si>
  <si>
    <t>prestaties derden voor de gebouwen</t>
  </si>
  <si>
    <t>0740-02 6110000</t>
  </si>
  <si>
    <t>0740-02 6111000</t>
  </si>
  <si>
    <t>0740-02 6113000</t>
  </si>
  <si>
    <t>0740-02 6120100</t>
  </si>
  <si>
    <t>0740-02 6131006</t>
  </si>
  <si>
    <t>0740-02 6135002</t>
  </si>
  <si>
    <t>uitgegeven was</t>
  </si>
  <si>
    <t>0740-02 6141001</t>
  </si>
  <si>
    <t>0740-02 6141004</t>
  </si>
  <si>
    <t>0740-02 6141006</t>
  </si>
  <si>
    <t>0740-02 6141200</t>
  </si>
  <si>
    <t>0740-02 6143001</t>
  </si>
  <si>
    <t>0740-02 6143005</t>
  </si>
  <si>
    <t>Reis en verblijfkosten</t>
  </si>
  <si>
    <t>0740-02 6150001</t>
  </si>
  <si>
    <t>0740-02 6150010</t>
  </si>
  <si>
    <t>0740-02 6150011</t>
  </si>
  <si>
    <t>0740-02 6150015</t>
  </si>
  <si>
    <t>0740-02 6150200</t>
  </si>
  <si>
    <t>huur technisch materieel</t>
  </si>
  <si>
    <t>0740-02 6400003</t>
  </si>
  <si>
    <t>0740-02 6400007</t>
  </si>
  <si>
    <t>76401/121-01</t>
  </si>
  <si>
    <t>76401/123-02</t>
  </si>
  <si>
    <t>76401/123-06</t>
  </si>
  <si>
    <t>76401/123-07</t>
  </si>
  <si>
    <t>76401/123-11</t>
  </si>
  <si>
    <t>76401/123-12</t>
  </si>
  <si>
    <t>76401/123-17</t>
  </si>
  <si>
    <t>76401/123-19</t>
  </si>
  <si>
    <t>aankoop documentatie</t>
  </si>
  <si>
    <t>76401/123-48</t>
  </si>
  <si>
    <t>76401/123-16</t>
  </si>
  <si>
    <t>76401/124-05</t>
  </si>
  <si>
    <t>Aankoop werkkledij</t>
  </si>
  <si>
    <t>76401/124-02</t>
  </si>
  <si>
    <t>76401/124-04</t>
  </si>
  <si>
    <t>snoepautomaat</t>
  </si>
  <si>
    <t>76401/124-06</t>
  </si>
  <si>
    <t>Prestaties van derden</t>
  </si>
  <si>
    <t>76401/124-12</t>
  </si>
  <si>
    <t>76401/124-13</t>
  </si>
  <si>
    <t>energie &amp; expl. kosten</t>
  </si>
  <si>
    <t>76401/125-02</t>
  </si>
  <si>
    <t>76401/125-06</t>
  </si>
  <si>
    <t>76401/125-08</t>
  </si>
  <si>
    <t>76401/125-10</t>
  </si>
  <si>
    <t>76401/301-01</t>
  </si>
  <si>
    <t>0740-02 6231003</t>
  </si>
  <si>
    <t>76401/415-02</t>
  </si>
  <si>
    <t>76401/724-60</t>
  </si>
  <si>
    <t>BO zwembad</t>
  </si>
  <si>
    <t>76401/744-51</t>
  </si>
  <si>
    <t>onderstutting perrongewelven</t>
  </si>
  <si>
    <t>bo zwembad</t>
  </si>
  <si>
    <t>zandfilters</t>
  </si>
  <si>
    <t>springplank</t>
  </si>
  <si>
    <t>condensatieketels</t>
  </si>
  <si>
    <t>0740-02 7005003</t>
  </si>
  <si>
    <t>opbrengsten automaat</t>
  </si>
  <si>
    <t>0740-02 7010003</t>
  </si>
  <si>
    <t>zwembad - toegangsgelden</t>
  </si>
  <si>
    <t>0740-02 7040999</t>
  </si>
  <si>
    <t>0740-02 7470000</t>
  </si>
  <si>
    <t>76401/106-01</t>
  </si>
  <si>
    <t>76401/161-01</t>
  </si>
  <si>
    <t>76401/161-02</t>
  </si>
  <si>
    <t>76401/161-04</t>
  </si>
  <si>
    <t>76406/161-04</t>
  </si>
  <si>
    <t>Aquaspinning</t>
  </si>
  <si>
    <t>76401/161-48</t>
  </si>
  <si>
    <t>76401/163-01</t>
  </si>
  <si>
    <t>verhuring onroerende goederen (kantine)</t>
  </si>
  <si>
    <t>76401/380-01</t>
  </si>
  <si>
    <t>vergoedingen kleine schade</t>
  </si>
  <si>
    <t>76401/465-02</t>
  </si>
  <si>
    <t>76401/465-05</t>
  </si>
  <si>
    <t>Sportinrichtingen</t>
  </si>
  <si>
    <t>Overzicht uitgaven sportinrichtingen</t>
  </si>
  <si>
    <t>76402/111-01</t>
  </si>
  <si>
    <t>76402/111-02</t>
  </si>
  <si>
    <t>0740-01 6202000</t>
  </si>
  <si>
    <t>76402/112-01</t>
  </si>
  <si>
    <t>76402/112-02</t>
  </si>
  <si>
    <t>0740-01 6202100</t>
  </si>
  <si>
    <t>0740-01 6202200</t>
  </si>
  <si>
    <t>76402/112-48</t>
  </si>
  <si>
    <t>76402/113-01</t>
  </si>
  <si>
    <t>0740-01 6212000</t>
  </si>
  <si>
    <t>0740-01 6222000</t>
  </si>
  <si>
    <t>76402/113-02</t>
  </si>
  <si>
    <t>76402/113-48</t>
  </si>
  <si>
    <t>Patr. bijdr. andere pensioenkassen</t>
  </si>
  <si>
    <t>76402/115-02</t>
  </si>
  <si>
    <t>76402/117-01</t>
  </si>
  <si>
    <t>76402/118-01</t>
  </si>
  <si>
    <t>76402/124-02</t>
  </si>
  <si>
    <t>76402/124-06</t>
  </si>
  <si>
    <t>76402/124-12</t>
  </si>
  <si>
    <t>76402/125-02</t>
  </si>
  <si>
    <t>76402/125-06</t>
  </si>
  <si>
    <t>76402/125-08</t>
  </si>
  <si>
    <t>76402/125-12</t>
  </si>
  <si>
    <t>76402/125-13</t>
  </si>
  <si>
    <t>76402/125-15</t>
  </si>
  <si>
    <t>76402/126-01</t>
  </si>
  <si>
    <t>huur sportzalen</t>
  </si>
  <si>
    <t>76402/127-02</t>
  </si>
  <si>
    <t>mat. voertuigen</t>
  </si>
  <si>
    <t>76402/127-03</t>
  </si>
  <si>
    <t>76402/127-06</t>
  </si>
  <si>
    <t>prestaties derden</t>
  </si>
  <si>
    <t>76402/127-08</t>
  </si>
  <si>
    <t>Will Tura Sportpark</t>
  </si>
  <si>
    <t>0740-03 6103001</t>
  </si>
  <si>
    <t>0740-03 6103010</t>
  </si>
  <si>
    <t>prestaties van derden voor onderhoud gebouwen</t>
  </si>
  <si>
    <t>0740-03 6103501</t>
  </si>
  <si>
    <t>benodigdheden voor onderhoud sportvelden</t>
  </si>
  <si>
    <t>0740-03 6110000</t>
  </si>
  <si>
    <t>0740-03 6120100</t>
  </si>
  <si>
    <t>0740-03 6150001</t>
  </si>
  <si>
    <t>0740-03 6150015</t>
  </si>
  <si>
    <t>prestaties van derden onderhoud velden</t>
  </si>
  <si>
    <t>0740-03 6150300</t>
  </si>
  <si>
    <t>onderhoud en herstel technisch materieel</t>
  </si>
  <si>
    <t>Coberghersportpark</t>
  </si>
  <si>
    <t>0740-05 6103001</t>
  </si>
  <si>
    <t>0740-05 6103010</t>
  </si>
  <si>
    <t>0740-05 6103501</t>
  </si>
  <si>
    <t>0740-05 6111000</t>
  </si>
  <si>
    <t>0740-05 6113000</t>
  </si>
  <si>
    <t>0740-05 6120100</t>
  </si>
  <si>
    <t xml:space="preserve">brandverzekering </t>
  </si>
  <si>
    <t>0740-05 6150001</t>
  </si>
  <si>
    <t>0740-05 6150003</t>
  </si>
  <si>
    <t>0740-05 6150015</t>
  </si>
  <si>
    <t>0740-05 6150300</t>
  </si>
  <si>
    <t>onderhoud en herstel van technisch materieel</t>
  </si>
  <si>
    <t>0740-01 6100200</t>
  </si>
  <si>
    <t>Sporthal &amp; kleedkamers en synthetisch veld(agb)</t>
  </si>
  <si>
    <t>0740-01 6103001</t>
  </si>
  <si>
    <t>0740-01 6103010</t>
  </si>
  <si>
    <t>0740-01 6103510</t>
  </si>
  <si>
    <t>prestaties van derden voor onderhoud velden</t>
  </si>
  <si>
    <t>0740-01 6110000</t>
  </si>
  <si>
    <t>0740-01 6111000</t>
  </si>
  <si>
    <t>0740-01 6113000</t>
  </si>
  <si>
    <t>0740-01 6120100</t>
  </si>
  <si>
    <t>0740-01 6400000</t>
  </si>
  <si>
    <t>onroerende voorheffing</t>
  </si>
  <si>
    <t>0740-01 6400005</t>
  </si>
  <si>
    <t>belastingen op polders en wateringen</t>
  </si>
  <si>
    <t>0740-01 6131005</t>
  </si>
  <si>
    <t>0740-01 6143001</t>
  </si>
  <si>
    <t>receptiekosten opening sporthal</t>
  </si>
  <si>
    <t>0740-01 6150001</t>
  </si>
  <si>
    <t>aankoop klein materiaal</t>
  </si>
  <si>
    <t>0740-01 6150300</t>
  </si>
  <si>
    <t>76402/301-01</t>
  </si>
  <si>
    <t>76402/415-02</t>
  </si>
  <si>
    <t>gebouwen</t>
  </si>
  <si>
    <t>schutterpers Houtem</t>
  </si>
  <si>
    <t>Will Tura sportpark</t>
  </si>
  <si>
    <t>Sporthal</t>
  </si>
  <si>
    <t>wc nutsgebouw kajakclub</t>
  </si>
  <si>
    <t>sportvelden</t>
  </si>
  <si>
    <t>vernieuwen atletiekpiste</t>
  </si>
  <si>
    <t>nieuwe sporthal</t>
  </si>
  <si>
    <t>expl. Mat. Sporthal</t>
  </si>
  <si>
    <t>expl &amp; uitrusting Will Tura</t>
  </si>
  <si>
    <t>bo voetbalvelden Will Tura</t>
  </si>
  <si>
    <t>bo gebouwen Will Tura</t>
  </si>
  <si>
    <t>bo gebouwen Cobergher</t>
  </si>
  <si>
    <t>uitrusting sporthal</t>
  </si>
  <si>
    <t>Sporthal - AGB investeringssubsidie</t>
  </si>
  <si>
    <t>dak Coberghersportpark</t>
  </si>
  <si>
    <t>afsluiting Cobergher</t>
  </si>
  <si>
    <t>draadafsluiting-verlichting Will Tura</t>
  </si>
  <si>
    <t>Sporthal - investeringssubsidie AGB</t>
  </si>
  <si>
    <t>verlichting Cobergher</t>
  </si>
  <si>
    <t>ereloon dak Cobergher</t>
  </si>
  <si>
    <t>dak schutters Veurne</t>
  </si>
  <si>
    <t>douches collegezaal</t>
  </si>
  <si>
    <t>BO voetbalveld 1</t>
  </si>
  <si>
    <t>schutters Houtem</t>
  </si>
  <si>
    <t>Will Turasportpark</t>
  </si>
  <si>
    <t>Will Tura</t>
  </si>
  <si>
    <t>schutterspers Houtem</t>
  </si>
  <si>
    <t>Coberghersportzaal</t>
  </si>
  <si>
    <t>Cobergher</t>
  </si>
  <si>
    <t>cobergher</t>
  </si>
  <si>
    <t>meubilair/uitrusting</t>
  </si>
  <si>
    <t>76402/106-01</t>
  </si>
  <si>
    <t>76402/161-04</t>
  </si>
  <si>
    <t>verhuur sportzalen</t>
  </si>
  <si>
    <t>0740-01 7050001</t>
  </si>
  <si>
    <t>0740-01 7050003 (agb)</t>
  </si>
  <si>
    <t>opbrengsten uit verpachtingen</t>
  </si>
  <si>
    <t>0740-01 7060001 (agb)</t>
  </si>
  <si>
    <t>opbrengsten uit concessies</t>
  </si>
  <si>
    <t>0740-03 7040999</t>
  </si>
  <si>
    <t>Andere terugvorderingen en tussenkomsten</t>
  </si>
  <si>
    <t>0740-01 7005002</t>
  </si>
  <si>
    <t>opbrengsten bar - operning sporthal</t>
  </si>
  <si>
    <t>76402/161-48</t>
  </si>
  <si>
    <t>76402/163-01</t>
  </si>
  <si>
    <t>76402/380-01</t>
  </si>
  <si>
    <t>76402/465-05</t>
  </si>
  <si>
    <t>0740-01 6201000</t>
  </si>
  <si>
    <t>bezoldigingen vast personeel</t>
  </si>
  <si>
    <t>0740-01 6201100</t>
  </si>
  <si>
    <t>0740-01 6201200</t>
  </si>
  <si>
    <t>0740-01 6201300</t>
  </si>
  <si>
    <t>vergoedingen vast personeel</t>
  </si>
  <si>
    <t>0740-01 6203000</t>
  </si>
  <si>
    <t>bezoldigingen contractuelen</t>
  </si>
  <si>
    <t>0740-01 6203100</t>
  </si>
  <si>
    <t>0740-01 6203200</t>
  </si>
  <si>
    <t>0740-01 6203300</t>
  </si>
  <si>
    <t>0740-01 6211000</t>
  </si>
  <si>
    <t>werkgeversbijdrage vast benoemd personeel</t>
  </si>
  <si>
    <t>0740-01 6211001</t>
  </si>
  <si>
    <t>werkgeversbijdrage omslagkas vast benoemd personeel</t>
  </si>
  <si>
    <t>0740-01 6213000</t>
  </si>
  <si>
    <t>0740-01 6221100</t>
  </si>
  <si>
    <t>hospitalisatieverzekering vast benoemden</t>
  </si>
  <si>
    <t>0740-01 6223000</t>
  </si>
  <si>
    <t>0740-01 6223100</t>
  </si>
  <si>
    <t>0740-01 6230001</t>
  </si>
  <si>
    <t>0740-01 6231004</t>
  </si>
  <si>
    <t>0740-01 6231005</t>
  </si>
  <si>
    <t>76406/111-01</t>
  </si>
  <si>
    <t>76406/112-01</t>
  </si>
  <si>
    <t>76406/112-48</t>
  </si>
  <si>
    <t>76406/113-01</t>
  </si>
  <si>
    <t>76406/113-21</t>
  </si>
  <si>
    <t>76406/115-01</t>
  </si>
  <si>
    <t>76406/117-01</t>
  </si>
  <si>
    <t>76406/118-01</t>
  </si>
  <si>
    <t>ACT-19 0740-01 6150001</t>
  </si>
  <si>
    <t>Aankoop klein materiaal</t>
  </si>
  <si>
    <t>0740-01 6131006</t>
  </si>
  <si>
    <t>0740-01 6141006</t>
  </si>
  <si>
    <t>0740-01 6141200</t>
  </si>
  <si>
    <t>0740-01 6143005</t>
  </si>
  <si>
    <t>0740-01 6150006</t>
  </si>
  <si>
    <t>0740-01 6150010</t>
  </si>
  <si>
    <t>0740-01 6150011</t>
  </si>
  <si>
    <t>0740-01 6141001</t>
  </si>
  <si>
    <t>0740-01 6141002</t>
  </si>
  <si>
    <t>documentatie en abonnementen</t>
  </si>
  <si>
    <t>0740-01 6141003</t>
  </si>
  <si>
    <t>0740-01 6141004</t>
  </si>
  <si>
    <t>0740-01 6142800</t>
  </si>
  <si>
    <t>0740-06 6131006</t>
  </si>
  <si>
    <t>0740-06 6150015</t>
  </si>
  <si>
    <t>76406/122-04</t>
  </si>
  <si>
    <t>vergoeding lesgevers</t>
  </si>
  <si>
    <t>76406/121-01</t>
  </si>
  <si>
    <t>76405/123-02</t>
  </si>
  <si>
    <t>sportraad - kantoorbenodigdheden</t>
  </si>
  <si>
    <t>76406/123-02</t>
  </si>
  <si>
    <t>76406/123-06</t>
  </si>
  <si>
    <t>76405/123-07</t>
  </si>
  <si>
    <t>76406/123-07</t>
  </si>
  <si>
    <t>76406/123-11</t>
  </si>
  <si>
    <t>76406/123-12</t>
  </si>
  <si>
    <t>76406/123-13</t>
  </si>
  <si>
    <t>Informatica</t>
  </si>
  <si>
    <t>76406/123-17</t>
  </si>
  <si>
    <t>76406/123-19</t>
  </si>
  <si>
    <t>76406/123-48</t>
  </si>
  <si>
    <t>76406/123-16</t>
  </si>
  <si>
    <t>76406/124-02</t>
  </si>
  <si>
    <t>76406/124-06</t>
  </si>
  <si>
    <t>76407/124-06</t>
  </si>
  <si>
    <t>sportdag - prestaties derden</t>
  </si>
  <si>
    <t>76406/124-12</t>
  </si>
  <si>
    <t>huur sportmateriaal</t>
  </si>
  <si>
    <t>76406/126-01</t>
  </si>
  <si>
    <t>76405/332-03</t>
  </si>
  <si>
    <t>sportraad toelage</t>
  </si>
  <si>
    <t>0740-01 6494000</t>
  </si>
  <si>
    <t>76400/332-02</t>
  </si>
  <si>
    <t>toelage sportverenigingen</t>
  </si>
  <si>
    <t>0740-01 6231003</t>
  </si>
  <si>
    <t>0740-01 6491000</t>
  </si>
  <si>
    <t>0740-01 6493000</t>
  </si>
  <si>
    <t>werkingssubsidies verenigingen</t>
  </si>
  <si>
    <t>bakfiets</t>
  </si>
  <si>
    <t>zweedse bank Cobergher</t>
  </si>
  <si>
    <t>fototoestel</t>
  </si>
  <si>
    <t>laptop</t>
  </si>
  <si>
    <t>76406/106-01</t>
  </si>
  <si>
    <t>76407/161-01</t>
  </si>
  <si>
    <t>76404/161-04</t>
  </si>
  <si>
    <t>sportdienst - toegangsgelden</t>
  </si>
  <si>
    <t>aquaspinning</t>
  </si>
  <si>
    <t>0740-01 7010002</t>
  </si>
  <si>
    <t>0740-01 7040999</t>
  </si>
  <si>
    <t>0740-06 7010002</t>
  </si>
  <si>
    <t>inschrijvingsgelden sportdagen</t>
  </si>
  <si>
    <t>76404/161-48</t>
  </si>
  <si>
    <t>76406/161-48</t>
  </si>
  <si>
    <t>76407/161-48</t>
  </si>
  <si>
    <t>76406/465-01</t>
  </si>
  <si>
    <t>0740-01 7404999</t>
  </si>
  <si>
    <t>0740-01 7470000</t>
  </si>
  <si>
    <t>76406/465-02</t>
  </si>
  <si>
    <t>0945-00 6202000</t>
  </si>
  <si>
    <t>0945-00 6203000</t>
  </si>
  <si>
    <t>0945-00 6203100</t>
  </si>
  <si>
    <t>vakantiegeld personeel</t>
  </si>
  <si>
    <t>0945-00 6203200</t>
  </si>
  <si>
    <t>eindejaarstoelage personeel</t>
  </si>
  <si>
    <t>0945-00 6203300</t>
  </si>
  <si>
    <t>0945-00 6206000</t>
  </si>
  <si>
    <t>bezoldiging ander niet vastbenoemd personeel</t>
  </si>
  <si>
    <t>0945-00 6202100</t>
  </si>
  <si>
    <t>0945-00 6202200</t>
  </si>
  <si>
    <t>0945-00 6212000</t>
  </si>
  <si>
    <t>patr. bijdr. gesco</t>
  </si>
  <si>
    <t>0945-00 6213000</t>
  </si>
  <si>
    <t>patr. bijdr. personeel</t>
  </si>
  <si>
    <t>0945-00 6216000</t>
  </si>
  <si>
    <t>patr. bijdr. ander  niet vastbenoemd pers</t>
  </si>
  <si>
    <t>0945-00 6222000</t>
  </si>
  <si>
    <t>0945-00 6222100</t>
  </si>
  <si>
    <t>0945-00 6223000</t>
  </si>
  <si>
    <t>0945-00 6223100</t>
  </si>
  <si>
    <t>0945-00 6230001</t>
  </si>
  <si>
    <t>kosten verplaatsingen van en naar het werk</t>
  </si>
  <si>
    <t>0945-00 6231004</t>
  </si>
  <si>
    <t>0945-00 6231005</t>
  </si>
  <si>
    <t>verzekering personeel</t>
  </si>
  <si>
    <t>84405/111-01</t>
  </si>
  <si>
    <t>bezoldiging schoonmaak</t>
  </si>
  <si>
    <t>84405/112-01</t>
  </si>
  <si>
    <t>vakantiegeld schoonmaak</t>
  </si>
  <si>
    <t>84405/113-01</t>
  </si>
  <si>
    <t>patr. bijdr. schoonmaak</t>
  </si>
  <si>
    <t>84401/113-48</t>
  </si>
  <si>
    <t>bijdragen andere pensioenkassen</t>
  </si>
  <si>
    <t>84405/113-48</t>
  </si>
  <si>
    <t>84401/115-01</t>
  </si>
  <si>
    <t>verplaatsingkosten</t>
  </si>
  <si>
    <t>84401/115-02</t>
  </si>
  <si>
    <t>84405/117-01</t>
  </si>
  <si>
    <t>verzekering schoonmaak</t>
  </si>
  <si>
    <t>84401/118-01</t>
  </si>
  <si>
    <t>84405/118-01</t>
  </si>
  <si>
    <t>0945-00 6000100</t>
  </si>
  <si>
    <t>aankoop voedingswaren</t>
  </si>
  <si>
    <t>0945-00 6100200</t>
  </si>
  <si>
    <t>huurlasten gebouwen</t>
  </si>
  <si>
    <t>0945-00 6103001</t>
  </si>
  <si>
    <t>0945-00 6110000</t>
  </si>
  <si>
    <t>0945-00 6111000</t>
  </si>
  <si>
    <t>0945-00 6112000</t>
  </si>
  <si>
    <t>stookolie</t>
  </si>
  <si>
    <t>0945-00 6113000</t>
  </si>
  <si>
    <t>0945-00 6120100</t>
  </si>
  <si>
    <t>0945-00 6120150</t>
  </si>
  <si>
    <t>verzekering BA</t>
  </si>
  <si>
    <t>0945-00 6120160</t>
  </si>
  <si>
    <t>0945-00 6131005</t>
  </si>
  <si>
    <t>auteursvergoedingen</t>
  </si>
  <si>
    <t>0945-00 6131006</t>
  </si>
  <si>
    <t>vergoedingen optredens, lesgevers, gidsen</t>
  </si>
  <si>
    <t>0945-00 6141001</t>
  </si>
  <si>
    <t>0945-00 6141002</t>
  </si>
  <si>
    <t>0945-00 6141003</t>
  </si>
  <si>
    <t>0945-00 6141004</t>
  </si>
  <si>
    <t>0945-00 6141200</t>
  </si>
  <si>
    <t>0945-00 6141999</t>
  </si>
  <si>
    <t>0945-00 6142200</t>
  </si>
  <si>
    <t>0945-00 6143001</t>
  </si>
  <si>
    <t>Representatie- en receptiekosten</t>
  </si>
  <si>
    <t>0945-00 6143005</t>
  </si>
  <si>
    <t>0945-00 6150001</t>
  </si>
  <si>
    <t>0945-00 6150005</t>
  </si>
  <si>
    <t>0945-00 6150010</t>
  </si>
  <si>
    <t>0945-00 6150011</t>
  </si>
  <si>
    <t>aankoop werkkledij</t>
  </si>
  <si>
    <t>0945-00 6160001</t>
  </si>
  <si>
    <t>mat voor onderhoud voertuigen</t>
  </si>
  <si>
    <t>0945-00 6160003</t>
  </si>
  <si>
    <t>controle- en keuringskosten voertuigen</t>
  </si>
  <si>
    <t>0945-00 6160004</t>
  </si>
  <si>
    <t>0945-00 6160300</t>
  </si>
  <si>
    <t>prestaties derden voertuigen</t>
  </si>
  <si>
    <t>0945-00 6400007</t>
  </si>
  <si>
    <t>0945-00 6400009</t>
  </si>
  <si>
    <t>belastingen rollend mat</t>
  </si>
  <si>
    <t>84401/126-01</t>
  </si>
  <si>
    <t>0945-00 6494000</t>
  </si>
  <si>
    <t>lokaal overleg kinderopvang</t>
  </si>
  <si>
    <t>0945-00 6231003</t>
  </si>
  <si>
    <t>0945-00 2210307</t>
  </si>
  <si>
    <t>BO gebouwen kinderopvang</t>
  </si>
  <si>
    <t>nieuwbouw</t>
  </si>
  <si>
    <t>0945-00 2250000</t>
  </si>
  <si>
    <t>0945-00 2400000</t>
  </si>
  <si>
    <t>aankoop meubilair</t>
  </si>
  <si>
    <t>0945-00 2410000</t>
  </si>
  <si>
    <t>0945-00 2300000</t>
  </si>
  <si>
    <t>84401/743-98</t>
  </si>
  <si>
    <t>aankoop busjes</t>
  </si>
  <si>
    <t>BD Kinderopvang</t>
  </si>
  <si>
    <t>meublair</t>
  </si>
  <si>
    <t>nieuwbouw bko</t>
  </si>
  <si>
    <t>bo diverse gebouwen</t>
  </si>
  <si>
    <t>gordijnen + uitrusting</t>
  </si>
  <si>
    <t>opbergkasten</t>
  </si>
  <si>
    <t>elektrische app.</t>
  </si>
  <si>
    <t>bo steenkerke</t>
  </si>
  <si>
    <t>divers meubilair</t>
  </si>
  <si>
    <t>speeltoestel Houtem</t>
  </si>
  <si>
    <t>huiswerktafels</t>
  </si>
  <si>
    <t>stofzuiger/diepvriezer</t>
  </si>
  <si>
    <t>onderhoud Veurne</t>
  </si>
  <si>
    <t>meubilair Bulskamp</t>
  </si>
  <si>
    <t>84401/106-01</t>
  </si>
  <si>
    <t>0945-00 7040005</t>
  </si>
  <si>
    <t>84401/161-48</t>
  </si>
  <si>
    <t>84401/380-01</t>
  </si>
  <si>
    <t>0945-00 7404999</t>
  </si>
  <si>
    <t>bijdr hogere overheid werkingsuitgaven</t>
  </si>
  <si>
    <t>0945-00 7405002</t>
  </si>
  <si>
    <t>84401/465-05</t>
  </si>
  <si>
    <t>0945-00 7470000</t>
  </si>
  <si>
    <t>BKO</t>
  </si>
  <si>
    <t>Cult &amp; archief</t>
  </si>
  <si>
    <t>Cijfers: Afval</t>
  </si>
  <si>
    <t>Cijfers: BKO</t>
  </si>
  <si>
    <t>BIB</t>
  </si>
  <si>
    <t>Sport</t>
  </si>
  <si>
    <t>School</t>
  </si>
  <si>
    <t>0705-01 6100999</t>
  </si>
  <si>
    <t>andere huur en huurlasten van onroerende goederen</t>
  </si>
  <si>
    <t>0705-01 6103001</t>
  </si>
  <si>
    <t>benodigheden gebouwen</t>
  </si>
  <si>
    <t>0705-01 6103010</t>
  </si>
  <si>
    <t>0705-01 6110000</t>
  </si>
  <si>
    <t>0705-01 6111000</t>
  </si>
  <si>
    <t>0705-01 6112000</t>
  </si>
  <si>
    <t>0705-01 6113000</t>
  </si>
  <si>
    <t>0705-01 6120100</t>
  </si>
  <si>
    <t>0705-01 6131005</t>
  </si>
  <si>
    <t>erelonen en vergoedingen auteursrechten</t>
  </si>
  <si>
    <t>0705-01 6131006</t>
  </si>
  <si>
    <t>vergoeding zaalwachters</t>
  </si>
  <si>
    <t>0705-01 6141004</t>
  </si>
  <si>
    <t>0705-01 6400005</t>
  </si>
  <si>
    <t>polderbelasting</t>
  </si>
  <si>
    <t>76201/123-11</t>
  </si>
  <si>
    <t>76201/124-12</t>
  </si>
  <si>
    <t>huur- en onderhoud tech benodigh</t>
  </si>
  <si>
    <t>76201/125-02</t>
  </si>
  <si>
    <t>76201/125-03</t>
  </si>
  <si>
    <t>mazout gebouwen</t>
  </si>
  <si>
    <t>76201/125-06</t>
  </si>
  <si>
    <t>76201/125-08</t>
  </si>
  <si>
    <t>verzekering gebouwen</t>
  </si>
  <si>
    <t>76201/125-10</t>
  </si>
  <si>
    <t>belastingen, taksen</t>
  </si>
  <si>
    <t>76201/125-12</t>
  </si>
  <si>
    <t>76201/125-13</t>
  </si>
  <si>
    <t>76201/125-15</t>
  </si>
  <si>
    <t>Nieuw + BO</t>
  </si>
  <si>
    <t>OC De Callicannes</t>
  </si>
  <si>
    <t>OC Houtem De Troenke</t>
  </si>
  <si>
    <t>JOC Vinkem</t>
  </si>
  <si>
    <t>De Caroline</t>
  </si>
  <si>
    <t>OC Avekapelle</t>
  </si>
  <si>
    <t>OC Bulskamp</t>
  </si>
  <si>
    <t>OC Eggewaartskapelle</t>
  </si>
  <si>
    <t>BO dorpshuizen</t>
  </si>
  <si>
    <t>uitrusting</t>
  </si>
  <si>
    <t>meubilair JOC Vinkem</t>
  </si>
  <si>
    <t>gordijnen JOC Vinkem</t>
  </si>
  <si>
    <t>informaticamateriaal</t>
  </si>
  <si>
    <t>dak Caroline</t>
  </si>
  <si>
    <t>div gebouwen</t>
  </si>
  <si>
    <t>gasfornuis Caroline</t>
  </si>
  <si>
    <t>uitrusting gebouwen</t>
  </si>
  <si>
    <t>OC Houtem - De Troenke</t>
  </si>
  <si>
    <t>JOC Beauvoorde</t>
  </si>
  <si>
    <t>76201/161-01</t>
  </si>
  <si>
    <t>0705-01 7010002</t>
  </si>
  <si>
    <t>0705-01 7010003</t>
  </si>
  <si>
    <t>0705-01 7040999</t>
  </si>
  <si>
    <t>0705-01 7050001</t>
  </si>
  <si>
    <t>verhuur van zalen en lokalen</t>
  </si>
  <si>
    <t>76201/380-01</t>
  </si>
  <si>
    <t>Cijfers: cultuur &amp; erfgoed</t>
  </si>
  <si>
    <t>Cijfers: Dorpshuizen</t>
  </si>
  <si>
    <t>Cijfers: Gemeenteschool</t>
  </si>
  <si>
    <t>Cijfers: SAMWD</t>
  </si>
  <si>
    <t>Cijfers: Sport</t>
  </si>
  <si>
    <t>Cijfers: Toerisme</t>
  </si>
  <si>
    <t>Functie</t>
  </si>
  <si>
    <t>Vast.</t>
  </si>
  <si>
    <t>Beschikb.</t>
  </si>
  <si>
    <t>jan</t>
  </si>
  <si>
    <t>feb</t>
  </si>
  <si>
    <t>mrt</t>
  </si>
  <si>
    <t>apr</t>
  </si>
  <si>
    <t>jun</t>
  </si>
  <si>
    <t>jul</t>
  </si>
  <si>
    <t>sep</t>
  </si>
  <si>
    <t>okt</t>
  </si>
  <si>
    <t>0020-00</t>
  </si>
  <si>
    <t>fiscale aangelegenheden</t>
  </si>
  <si>
    <t>0050-00</t>
  </si>
  <si>
    <t>patrimonium zonder maatschappelijk doel</t>
  </si>
  <si>
    <t>0100-00</t>
  </si>
  <si>
    <t>politieke organen</t>
  </si>
  <si>
    <t>diverse</t>
  </si>
  <si>
    <t>Adm. diensten</t>
  </si>
  <si>
    <t>Technische dienst</t>
  </si>
  <si>
    <t>Afvalbeheer</t>
  </si>
  <si>
    <t>Pompstations &amp; waterbeheer</t>
  </si>
  <si>
    <t>0410-00</t>
  </si>
  <si>
    <t>Brandweer</t>
  </si>
  <si>
    <t>Handel en middenstand</t>
  </si>
  <si>
    <t>Toerisme &amp; museum</t>
  </si>
  <si>
    <t>Leefmilieu (RO &amp; milieu)</t>
  </si>
  <si>
    <t>0670-00</t>
  </si>
  <si>
    <t>Openbare verlichting</t>
  </si>
  <si>
    <t>Dienst Cultuur</t>
  </si>
  <si>
    <t>0710-00</t>
  </si>
  <si>
    <t>Feesten en plechtigheden</t>
  </si>
  <si>
    <t>Jeugd</t>
  </si>
  <si>
    <t>0790-00</t>
  </si>
  <si>
    <t>Erediensten</t>
  </si>
  <si>
    <t>Onderwijs</t>
  </si>
  <si>
    <t>0945-00</t>
  </si>
  <si>
    <t>Buitenschoolse kinderopvang</t>
  </si>
  <si>
    <t>0986-00</t>
  </si>
  <si>
    <t>De Sleutel</t>
  </si>
  <si>
    <t>Begraafplaatsen</t>
  </si>
  <si>
    <t>Diversen</t>
  </si>
  <si>
    <t>B2020</t>
  </si>
  <si>
    <t>Werkingskredieten - evolutie</t>
  </si>
  <si>
    <t>Cum.</t>
  </si>
  <si>
    <t>cijfers</t>
  </si>
  <si>
    <t xml:space="preserve">Reële </t>
  </si>
  <si>
    <t>Gemid.</t>
  </si>
  <si>
    <t>reële</t>
  </si>
  <si>
    <t>2003-2010</t>
  </si>
  <si>
    <t>2008-2013</t>
  </si>
  <si>
    <t>2009-2013</t>
  </si>
  <si>
    <t>2010-2014</t>
  </si>
  <si>
    <t>2011-2015</t>
  </si>
  <si>
    <t>cum</t>
  </si>
  <si>
    <t>A. Aanvullende gewestbijdrage</t>
  </si>
  <si>
    <t>Project</t>
  </si>
  <si>
    <t>DR</t>
  </si>
  <si>
    <t>Nr</t>
  </si>
  <si>
    <t>Def.Bedrag</t>
  </si>
  <si>
    <t>VS 1</t>
  </si>
  <si>
    <t>VS 2</t>
  </si>
  <si>
    <t>VS 3</t>
  </si>
  <si>
    <t>VS 4</t>
  </si>
  <si>
    <t>Voorschotten</t>
  </si>
  <si>
    <t>Calonnegracht, Hogebrugstraat</t>
  </si>
  <si>
    <t>DR 2774/08</t>
  </si>
  <si>
    <t>Duinkerkestraat</t>
  </si>
  <si>
    <t>DR 630/10</t>
  </si>
  <si>
    <t>W207159</t>
  </si>
  <si>
    <t>D. de Haenelaan</t>
  </si>
  <si>
    <t>DR 631/10</t>
  </si>
  <si>
    <t>W206154</t>
  </si>
  <si>
    <t>saldo vervalt</t>
  </si>
  <si>
    <t>Proostdijkstraat, Hennestraat</t>
  </si>
  <si>
    <t>DR 2866/11</t>
  </si>
  <si>
    <t>W207134</t>
  </si>
  <si>
    <t>Rioleringswerken Avekapelle</t>
  </si>
  <si>
    <t>Astridlaan</t>
  </si>
  <si>
    <t>W212020</t>
  </si>
  <si>
    <t>begunstigde: IWVA</t>
  </si>
  <si>
    <t>Collector Hanssensln, Noordst, Astridln</t>
  </si>
  <si>
    <t>W212010</t>
  </si>
  <si>
    <t>Steenkerke faze 2</t>
  </si>
  <si>
    <t>W209036</t>
  </si>
  <si>
    <t>Rioleringswerken Houtem</t>
  </si>
  <si>
    <t>W214115A</t>
  </si>
  <si>
    <t>W214115B</t>
  </si>
  <si>
    <t>Dorpskernvernieuwing Houtem</t>
  </si>
  <si>
    <t>WVL2016-P101-Houtem</t>
  </si>
  <si>
    <t>B. Restauratiesubsidies</t>
  </si>
  <si>
    <t>Kerk Vinkem onderhoud.</t>
  </si>
  <si>
    <t>DR 3023/06</t>
  </si>
  <si>
    <t>Bliksemafleider SAMW Gewest</t>
  </si>
  <si>
    <t>DR 2775/08</t>
  </si>
  <si>
    <t>Bliksemafleider SAMW Provincie</t>
  </si>
  <si>
    <t>DR 2776/08</t>
  </si>
  <si>
    <t>Toren St-Niklaaskerk Gew</t>
  </si>
  <si>
    <t>DR  2696/10</t>
  </si>
  <si>
    <t>Toren St-Niklaaskerk Prov</t>
  </si>
  <si>
    <t>DR  2697/10</t>
  </si>
  <si>
    <t>Belfort schilderw.onderh.</t>
  </si>
  <si>
    <t>DR 2870/11</t>
  </si>
  <si>
    <t>Kerk Booitsh.schild.onderh.</t>
  </si>
  <si>
    <t>DR 2694/10</t>
  </si>
  <si>
    <t>Kerk Eggew. brandglas en monelen</t>
  </si>
  <si>
    <t>DR 1601/11</t>
  </si>
  <si>
    <t>Kerk Wulveringem gewest</t>
  </si>
  <si>
    <t>DR 2864/11</t>
  </si>
  <si>
    <t>Kerk Wulveringem provincie</t>
  </si>
  <si>
    <t>DR 2865/11</t>
  </si>
  <si>
    <t>Mech beveiliging Vrients gewest</t>
  </si>
  <si>
    <t>DR 1602/12</t>
  </si>
  <si>
    <t>Mech beveiliging Vrients prov</t>
  </si>
  <si>
    <t>DR 1603/12</t>
  </si>
  <si>
    <t>Portaal Sint-Niklaas gewest</t>
  </si>
  <si>
    <t>DR 541/13</t>
  </si>
  <si>
    <t>Portaal Sint-Niklaas prov</t>
  </si>
  <si>
    <t>DR 542/12</t>
  </si>
  <si>
    <t>Kerk Avekapelle-glas in lood</t>
  </si>
  <si>
    <t>DR 1341/13</t>
  </si>
  <si>
    <t>elektr beveiliging stad &amp; landhuis</t>
  </si>
  <si>
    <t>C. Andere</t>
  </si>
  <si>
    <t xml:space="preserve">DR </t>
  </si>
  <si>
    <t>VS 5</t>
  </si>
  <si>
    <t>Dorpsherw. Pl. Prov</t>
  </si>
  <si>
    <t>DR 3021/06</t>
  </si>
  <si>
    <t>Dorpsherw. Pl. Gewest</t>
  </si>
  <si>
    <t>DR 990/07</t>
  </si>
  <si>
    <t>Coberghersportpark-zonneboiler</t>
  </si>
  <si>
    <t>DR 1529/07</t>
  </si>
  <si>
    <t>Brug Speyevaart-VLM</t>
  </si>
  <si>
    <t>DR 2897/07</t>
  </si>
  <si>
    <t>Bezoekerscentrum Toerisme Vlaanderen</t>
  </si>
  <si>
    <t>DR 1002/10</t>
  </si>
  <si>
    <t>Bezoekerscentrum prov</t>
  </si>
  <si>
    <t>DR 1600/11</t>
  </si>
  <si>
    <t>Bezoekerscentrum Interreg</t>
  </si>
  <si>
    <t>DR 1815/11</t>
  </si>
  <si>
    <t>Groene wig Interreg</t>
  </si>
  <si>
    <t>DR 2408/12+2647/13</t>
  </si>
  <si>
    <t xml:space="preserve">Groene wig Provincie  </t>
  </si>
  <si>
    <t>DR 2645/13</t>
  </si>
  <si>
    <t>Grensstraat VLM</t>
  </si>
  <si>
    <t>DR 2211/10</t>
  </si>
  <si>
    <t>Verhaal achter front Toerisme Vl - toeg</t>
  </si>
  <si>
    <t>DR 1420/12</t>
  </si>
  <si>
    <t>Verhaal achter front Toerisme Vl - Museum</t>
  </si>
  <si>
    <t>DR 2646/13</t>
  </si>
  <si>
    <t>Verhaal achter front Provincie - toeg</t>
  </si>
  <si>
    <t>Verhaal achter front Prov  - museum</t>
  </si>
  <si>
    <t>DR 543/13</t>
  </si>
  <si>
    <t>Dorpskern Avekapelle</t>
  </si>
  <si>
    <t>DR 2453/13</t>
  </si>
  <si>
    <t xml:space="preserve">BTW aanrekenen op het gedeelte wegenis  anders geen subsidie van VLM </t>
  </si>
  <si>
    <t>Stadspark</t>
  </si>
  <si>
    <t>Vlaams Plattelandsfonds (2016)</t>
  </si>
  <si>
    <t>Houtem - herwaarderingsplan - erfgoedpremie</t>
  </si>
  <si>
    <t xml:space="preserve">openst. DR </t>
  </si>
  <si>
    <t>AR 27041+27061</t>
  </si>
  <si>
    <t>bedrag storting jan 2014</t>
  </si>
  <si>
    <t>Interne Controle Matrix Ontvangsten</t>
  </si>
  <si>
    <t>Worden alle ontvangsten, waar de gemeente recht op heeft, vastgesteld ?</t>
  </si>
  <si>
    <t>Wordt er voldoende verantwoording afgelegd omtrent de (niet-)geïnde bedragen ?</t>
  </si>
  <si>
    <t>Kas</t>
  </si>
  <si>
    <t>Rek.</t>
  </si>
  <si>
    <t>Controle-instrument</t>
  </si>
  <si>
    <t>Tarief</t>
  </si>
  <si>
    <t>Basis</t>
  </si>
  <si>
    <t>Periodiciteit</t>
  </si>
  <si>
    <t>Facturatie</t>
  </si>
  <si>
    <t>Financiën</t>
  </si>
  <si>
    <t>Ja</t>
  </si>
  <si>
    <t>pachten</t>
  </si>
  <si>
    <t>tabblad facturatie</t>
  </si>
  <si>
    <t>periodiek</t>
  </si>
  <si>
    <t>facturatie FIND</t>
  </si>
  <si>
    <t>marktgelden abonnementen</t>
  </si>
  <si>
    <t>excel/accessfile</t>
  </si>
  <si>
    <t>GR 25/08/08</t>
  </si>
  <si>
    <t>facturatie FIIND</t>
  </si>
  <si>
    <t>marktgelden risico's</t>
  </si>
  <si>
    <t>excelfile</t>
  </si>
  <si>
    <t>wekelijks</t>
  </si>
  <si>
    <t>cashontvangst</t>
  </si>
  <si>
    <t>2/23 EUR of 3/35 EUR</t>
  </si>
  <si>
    <t>CBS 06/10/08</t>
  </si>
  <si>
    <t>wekelijks/trimestrieel</t>
  </si>
  <si>
    <t>cashontvangst/facturatie FIND</t>
  </si>
  <si>
    <t>andere ontvangsten</t>
  </si>
  <si>
    <t>ja</t>
  </si>
  <si>
    <t>GFT-afval</t>
  </si>
  <si>
    <t xml:space="preserve">geen </t>
  </si>
  <si>
    <t>0,04 EUR/kg</t>
  </si>
  <si>
    <t>GR 17/12/07</t>
  </si>
  <si>
    <t>maandelijks</t>
  </si>
  <si>
    <t>facturatie IVVO</t>
  </si>
  <si>
    <t>restfracties containerpark</t>
  </si>
  <si>
    <t>GR 20/12/10</t>
  </si>
  <si>
    <t>gem.saneringsbijdrage</t>
  </si>
  <si>
    <t>1,2555 EUR/m³</t>
  </si>
  <si>
    <t>trimestrieel</t>
  </si>
  <si>
    <t>facturatie IWVA</t>
  </si>
  <si>
    <t>blauwe zone</t>
  </si>
  <si>
    <t>30 EUR/dag</t>
  </si>
  <si>
    <t>GR 29/03/04</t>
  </si>
  <si>
    <t>facturatie OPC</t>
  </si>
  <si>
    <t>werken nutsvoorzieningen</t>
  </si>
  <si>
    <t>0,9 of 1,5 of 2 EUR</t>
  </si>
  <si>
    <t>GR 22/10/07</t>
  </si>
  <si>
    <t>jaarlijks</t>
  </si>
  <si>
    <t>aansluiting riolering</t>
  </si>
  <si>
    <t>lijst aanvragen</t>
  </si>
  <si>
    <t>1000 EUR</t>
  </si>
  <si>
    <t>GR 22/06/09</t>
  </si>
  <si>
    <t>per aanvraag</t>
  </si>
  <si>
    <t>belastingen</t>
  </si>
  <si>
    <t>kohieren/belastbare feiten</t>
  </si>
  <si>
    <t>Nee</t>
  </si>
  <si>
    <t>eigen aandeel maaltijdcheques</t>
  </si>
  <si>
    <t>weddemandaten</t>
  </si>
  <si>
    <t>1,45 EUR</t>
  </si>
  <si>
    <t>GR 22/12/2008</t>
  </si>
  <si>
    <t>cashontvangst/weddes</t>
  </si>
  <si>
    <t>Secretarie</t>
  </si>
  <si>
    <t>Burgerzaken</t>
  </si>
  <si>
    <t>grond- en columb.concessie</t>
  </si>
  <si>
    <t>620 of 400 EUR</t>
  </si>
  <si>
    <t>naamplaatje</t>
  </si>
  <si>
    <t>100 EUR</t>
  </si>
  <si>
    <t xml:space="preserve">100 of 150 of 200 EUR </t>
  </si>
  <si>
    <t>lijkbezorging vreemden</t>
  </si>
  <si>
    <t>75 of 150 EUR</t>
  </si>
  <si>
    <t>ontgraving</t>
  </si>
  <si>
    <t>185 EUR</t>
  </si>
  <si>
    <t>12,5 EUR</t>
  </si>
  <si>
    <t>e-IK</t>
  </si>
  <si>
    <t>lijst levering e-IK</t>
  </si>
  <si>
    <t>3,5 EUR + aanmaakk.</t>
  </si>
  <si>
    <t>paspoort</t>
  </si>
  <si>
    <t>lijst levering paspoorten</t>
  </si>
  <si>
    <t>10 EUR + aanmaakk.</t>
  </si>
  <si>
    <t>rijbewijs</t>
  </si>
  <si>
    <t xml:space="preserve">lijst aanvragen </t>
  </si>
  <si>
    <t>aanmaakkost</t>
  </si>
  <si>
    <t>RO</t>
  </si>
  <si>
    <t>stedeb.attest/inlichtingen</t>
  </si>
  <si>
    <t>25 of 37 EUR</t>
  </si>
  <si>
    <t>GR 25/01/10</t>
  </si>
  <si>
    <t>bouw/verkavelingsverg.</t>
  </si>
  <si>
    <t xml:space="preserve">diverse </t>
  </si>
  <si>
    <t>interne facturatie</t>
  </si>
  <si>
    <t>waarborg werken openb.dom.</t>
  </si>
  <si>
    <t>50 of 100 EUR/lm</t>
  </si>
  <si>
    <t>GR 10/12/96</t>
  </si>
  <si>
    <t>GGZ</t>
  </si>
  <si>
    <t>medewerking</t>
  </si>
  <si>
    <t>lijst aanvragen medewerking</t>
  </si>
  <si>
    <t>GR 24/02/03</t>
  </si>
  <si>
    <t>waarborg medewerking</t>
  </si>
  <si>
    <t>125 EUR</t>
  </si>
  <si>
    <t>inname openbaar domein</t>
  </si>
  <si>
    <t>lijst aanvragen inname</t>
  </si>
  <si>
    <t>0,25 EUR /m²</t>
  </si>
  <si>
    <t>parkeerverbod</t>
  </si>
  <si>
    <t>lijst aanvragen parkeerverbod</t>
  </si>
  <si>
    <t>foor</t>
  </si>
  <si>
    <t>excel lijst met contracten</t>
  </si>
  <si>
    <t>GR 27/02/12</t>
  </si>
  <si>
    <t>2 X/jaar</t>
  </si>
  <si>
    <t>Milieu</t>
  </si>
  <si>
    <t>compostvaten</t>
  </si>
  <si>
    <t>lijst verkopen</t>
  </si>
  <si>
    <t>7,5 EUR</t>
  </si>
  <si>
    <t>GR 28/01/02</t>
  </si>
  <si>
    <t>cash ontvangst</t>
  </si>
  <si>
    <t>compostbakken</t>
  </si>
  <si>
    <t>21,5 EUR</t>
  </si>
  <si>
    <t>groene zetel</t>
  </si>
  <si>
    <t>50 % KP</t>
  </si>
  <si>
    <t>GR 24/02/97</t>
  </si>
  <si>
    <t>grof huisvuil</t>
  </si>
  <si>
    <t>lijst aanvragen ophaling</t>
  </si>
  <si>
    <t>25 of 75 EUR</t>
  </si>
  <si>
    <t>snoeihout</t>
  </si>
  <si>
    <t>15 of 75 EUR</t>
  </si>
  <si>
    <t>bruine huisvuilzakken</t>
  </si>
  <si>
    <t>bestelbons winkels</t>
  </si>
  <si>
    <t>0,80 of 1,25 EUR</t>
  </si>
  <si>
    <t>groene Horecazakken</t>
  </si>
  <si>
    <t>2 EUR</t>
  </si>
  <si>
    <t>PMD zakken</t>
  </si>
  <si>
    <t>0,12 of 0,25 EUR</t>
  </si>
  <si>
    <t>witte luierzakken</t>
  </si>
  <si>
    <t>0,25 EUR</t>
  </si>
  <si>
    <t>landbouwfolie</t>
  </si>
  <si>
    <t>leveringsbonnen IVVO</t>
  </si>
  <si>
    <t>0,05 EUR</t>
  </si>
  <si>
    <t>GR 29/11/99</t>
  </si>
  <si>
    <t>milieuvergunningen</t>
  </si>
  <si>
    <t>lijst aanvragen milieuverg.</t>
  </si>
  <si>
    <t>100 of 300 EUR</t>
  </si>
  <si>
    <t>verkoop hout</t>
  </si>
  <si>
    <t>leveringsboekje</t>
  </si>
  <si>
    <t xml:space="preserve">6 of 37 EUR </t>
  </si>
  <si>
    <t>GR 27/11/95 + CBS 18/01/96</t>
  </si>
  <si>
    <t>schoolzwemmen</t>
  </si>
  <si>
    <t>bezettingslijst</t>
  </si>
  <si>
    <t>0,75 EUR</t>
  </si>
  <si>
    <t>dag/maand.</t>
  </si>
  <si>
    <t>cash/fact.FD</t>
  </si>
  <si>
    <t>individueel zwemmen</t>
  </si>
  <si>
    <t>verkochte tickest/abonn.</t>
  </si>
  <si>
    <t>1,25 of 1,5 EUR</t>
  </si>
  <si>
    <t>dagelijks</t>
  </si>
  <si>
    <t>drank-en soepautomaat</t>
  </si>
  <si>
    <t>aankoopfakturen/maand.afrek.</t>
  </si>
  <si>
    <t>zie excelblad</t>
  </si>
  <si>
    <t>haardrogers</t>
  </si>
  <si>
    <t>maandelijke afrekening</t>
  </si>
  <si>
    <t>naschoolse sport</t>
  </si>
  <si>
    <t>inschrijvingslijsten</t>
  </si>
  <si>
    <t>1,25 EUR</t>
  </si>
  <si>
    <t>sportacademie</t>
  </si>
  <si>
    <t>35 of 50 EUR</t>
  </si>
  <si>
    <t>aquafitness</t>
  </si>
  <si>
    <t>2,5 EUR</t>
  </si>
  <si>
    <t>kleuterturnen</t>
  </si>
  <si>
    <t>1,5 EUR</t>
  </si>
  <si>
    <t>sportkampen</t>
  </si>
  <si>
    <t>lijst deelnemers</t>
  </si>
  <si>
    <t>5,5 of 11 EUR</t>
  </si>
  <si>
    <t>per kamp</t>
  </si>
  <si>
    <t>sportdagen</t>
  </si>
  <si>
    <t xml:space="preserve">10 EUR </t>
  </si>
  <si>
    <t>ouderbijdrage</t>
  </si>
  <si>
    <t>aanwezigheidslijsten</t>
  </si>
  <si>
    <t>GR/CBS 21/12/09</t>
  </si>
  <si>
    <t>koek en drank</t>
  </si>
  <si>
    <t>0,30 EUR</t>
  </si>
  <si>
    <t>GR+CBS 21/12/09</t>
  </si>
  <si>
    <t>lijst aanwezigen</t>
  </si>
  <si>
    <t>0,30 of 7 of 8 EUR</t>
  </si>
  <si>
    <t>GR 28/09/09</t>
  </si>
  <si>
    <t>2,70 + 0,50 EUR</t>
  </si>
  <si>
    <t>studietoezicht</t>
  </si>
  <si>
    <t>6, 9 of 10 EUR</t>
  </si>
  <si>
    <t>GR 26/09/05</t>
  </si>
  <si>
    <t>zonnekind/straal/land</t>
  </si>
  <si>
    <t>lijst inschrijvingen</t>
  </si>
  <si>
    <t xml:space="preserve">extern bepaald prijs </t>
  </si>
  <si>
    <t>kerst/paas/vakantieboek</t>
  </si>
  <si>
    <t>vakantieblaadjes</t>
  </si>
  <si>
    <t>brevet</t>
  </si>
  <si>
    <t>KP</t>
  </si>
  <si>
    <t>schoolfoto's</t>
  </si>
  <si>
    <t>Cultuur&amp;Erfgoed</t>
  </si>
  <si>
    <t>verhuur zalen</t>
  </si>
  <si>
    <t>GR 26/04/10</t>
  </si>
  <si>
    <t>opzoekingswerk</t>
  </si>
  <si>
    <t>overzicht ontvangsten</t>
  </si>
  <si>
    <t>copies</t>
  </si>
  <si>
    <t>semestrieel</t>
  </si>
  <si>
    <t>Dorpshuisverantw.</t>
  </si>
  <si>
    <t>verhuring dorpshuizen</t>
  </si>
  <si>
    <t>lijst betalingen</t>
  </si>
  <si>
    <t>divers</t>
  </si>
  <si>
    <t>GR 26/01/04</t>
  </si>
  <si>
    <t>verkoop folders</t>
  </si>
  <si>
    <t>kassaregistr/stock controle</t>
  </si>
  <si>
    <t>GR 20/12/10 + CBS 03/01/11</t>
  </si>
  <si>
    <t>tickets stadhuis+toren</t>
  </si>
  <si>
    <t>verkoop tickets</t>
  </si>
  <si>
    <t>2 of 3 EUR</t>
  </si>
  <si>
    <t>monumenten/thema/landschapswandeling</t>
  </si>
  <si>
    <t>arrangementen</t>
  </si>
  <si>
    <t>nutsv. jachthaven</t>
  </si>
  <si>
    <t>kassaregistratie</t>
  </si>
  <si>
    <t>GR 25/05/10</t>
  </si>
  <si>
    <t>magneetkaarten elektr</t>
  </si>
  <si>
    <t>Lokale economie</t>
  </si>
  <si>
    <t>SAMW</t>
  </si>
  <si>
    <t>verhuring instrumenten</t>
  </si>
  <si>
    <t>lijst verhuringen/WIZA</t>
  </si>
  <si>
    <t>8 % act.waarde max 50 EUR</t>
  </si>
  <si>
    <t>GR 31/01/1984</t>
  </si>
  <si>
    <t xml:space="preserve">jaarlijks </t>
  </si>
  <si>
    <t>lijst verkochte kaarten</t>
  </si>
  <si>
    <t>2,50 EUR</t>
  </si>
  <si>
    <t>GR 29/08/11</t>
  </si>
  <si>
    <t>telefoon</t>
  </si>
  <si>
    <t>lijst telefoongesprekken</t>
  </si>
  <si>
    <t>0,25 EUR / 0,5 EUR</t>
  </si>
  <si>
    <t>bindruggen</t>
  </si>
  <si>
    <t>lijst verkochte bindruggen</t>
  </si>
  <si>
    <t>werkingsbijdrage</t>
  </si>
  <si>
    <t>9 EUR</t>
  </si>
  <si>
    <t xml:space="preserve">Ja </t>
  </si>
  <si>
    <t>ziekenvervoer</t>
  </si>
  <si>
    <t>interventieverslagen</t>
  </si>
  <si>
    <t>GR 26/02/2007</t>
  </si>
  <si>
    <t>brandpreventieverslagen</t>
  </si>
  <si>
    <t>brandweerinterventies</t>
  </si>
  <si>
    <t>vullen duikflessen</t>
  </si>
  <si>
    <t>lijst gebruikers</t>
  </si>
  <si>
    <t>2 EUR/vulling</t>
  </si>
  <si>
    <t>Welzijn&amp;Jeugd</t>
  </si>
  <si>
    <t>jeugdcultuurweek</t>
  </si>
  <si>
    <t>lijst aantal deelnemers/school</t>
  </si>
  <si>
    <t>1 EUR/activiteit</t>
  </si>
  <si>
    <t>Personeels- en werkingssubsidies</t>
  </si>
  <si>
    <t>R 2020</t>
  </si>
  <si>
    <t xml:space="preserve">Subsdies Gesco's </t>
  </si>
  <si>
    <t>0010-00 7405999</t>
  </si>
  <si>
    <t>0010-00 7404999</t>
  </si>
  <si>
    <t>0010-00 740300</t>
  </si>
  <si>
    <t>wgbijdragvermindering</t>
  </si>
  <si>
    <t>loonpremie</t>
  </si>
  <si>
    <t>Subsidies WeerwerkGesco's</t>
  </si>
  <si>
    <t>zie</t>
  </si>
  <si>
    <t>0945-00/7405002</t>
  </si>
  <si>
    <t>afrekening</t>
  </si>
  <si>
    <t>Sociale Maribel</t>
  </si>
  <si>
    <t>0520-00 740800</t>
  </si>
  <si>
    <t>VIA subsidie</t>
  </si>
  <si>
    <t>VIA IV</t>
  </si>
  <si>
    <t>Sectorsubsidies</t>
  </si>
  <si>
    <t>0010-00 7404999/740010</t>
  </si>
  <si>
    <t>Elia-heffing</t>
  </si>
  <si>
    <t>Mat&amp;Out comp, EZW, SVK,verlaagd tarief</t>
  </si>
  <si>
    <t>Provinciaal extranet P-net</t>
  </si>
  <si>
    <t>10400/485-01</t>
  </si>
  <si>
    <t>VOP-subsidies Strybol</t>
  </si>
  <si>
    <t>40 % 1-5 kwartaal</t>
  </si>
  <si>
    <t>30 % 6-9 kwartaal</t>
  </si>
  <si>
    <t>20 % 10-20 kwartaal</t>
  </si>
  <si>
    <t>dossier 1444524</t>
  </si>
  <si>
    <t>tekort</t>
  </si>
  <si>
    <t>Detachering Degraeve Kris</t>
  </si>
  <si>
    <t>10401/465-06</t>
  </si>
  <si>
    <t>35100/465-01</t>
  </si>
  <si>
    <t>44 broeken 36 vesten</t>
  </si>
  <si>
    <t>Ziekenwagen</t>
  </si>
  <si>
    <t>35200/465-01</t>
  </si>
  <si>
    <t>Voorschot werkingssubiside</t>
  </si>
  <si>
    <t>Sadlo werkingssubsidie</t>
  </si>
  <si>
    <t>periode 1/4/2014-31/3/2015</t>
  </si>
  <si>
    <t>Brandweer Alveringem+oproepsysteem</t>
  </si>
  <si>
    <t>35100/485-01</t>
  </si>
  <si>
    <t>Oproepsysteem Lo-Reninge</t>
  </si>
  <si>
    <t>Oproepsysteem De Panne</t>
  </si>
  <si>
    <t>Verplaatsingskn preventie Lo-Reninge</t>
  </si>
  <si>
    <t>25 % OPZ 70 vesten en broeken</t>
  </si>
  <si>
    <t>25 % OPZ 6 interventiekledij</t>
  </si>
  <si>
    <t>forfaitaire bijdrage 2011</t>
  </si>
  <si>
    <t>forfaitaire bijdrage 2012</t>
  </si>
  <si>
    <t>75 % 5 broeken</t>
  </si>
  <si>
    <t>Omslag Alveringem</t>
  </si>
  <si>
    <t>Brandweer - detachering OPZ</t>
  </si>
  <si>
    <t>35100/465-06</t>
  </si>
  <si>
    <t>1° kwartaal - Gaytant</t>
  </si>
  <si>
    <t xml:space="preserve">mei/juli </t>
  </si>
  <si>
    <t>aug/sept/okt</t>
  </si>
  <si>
    <t>nov/dec</t>
  </si>
  <si>
    <t>OPZ uren dienstschefs</t>
  </si>
  <si>
    <t>Degraeve Kris</t>
  </si>
  <si>
    <t>Gaytant J-C</t>
  </si>
  <si>
    <t>Van Praet Robert</t>
  </si>
  <si>
    <t>Saldo 4° kw X-1</t>
  </si>
  <si>
    <t>dossier 2183342</t>
  </si>
  <si>
    <t>Duurzaam naar school</t>
  </si>
  <si>
    <t>42301/465-01</t>
  </si>
  <si>
    <t>duurzaam naar school basisluik</t>
  </si>
  <si>
    <t>School Steenkerke (nascholing, werking, ICT)</t>
  </si>
  <si>
    <t>72200/463-01</t>
  </si>
  <si>
    <t xml:space="preserve">  Werkingstoelage (voorschot) jan.</t>
  </si>
  <si>
    <t>080000/7409999</t>
  </si>
  <si>
    <t>Werkingstoelage (saldo) (juni)</t>
  </si>
  <si>
    <t>Nascholing (voorschot)</t>
  </si>
  <si>
    <t>Nascholing (saldo)</t>
  </si>
  <si>
    <t>éénmalig extra werkingssubsidie</t>
  </si>
  <si>
    <t>werkingssubs 3° schijf</t>
  </si>
  <si>
    <t>3° schijf ict</t>
  </si>
  <si>
    <t>ICT</t>
  </si>
  <si>
    <t>werkingsbudget</t>
  </si>
  <si>
    <t>SAMW (nascholing, ICT, vervoer)</t>
  </si>
  <si>
    <t>73400/463-01</t>
  </si>
  <si>
    <t>voorschot  werkingstoelage</t>
  </si>
  <si>
    <t>082001/7409999</t>
  </si>
  <si>
    <t>werkingstoelage 2018-2019</t>
  </si>
  <si>
    <t>salso jaar -1</t>
  </si>
  <si>
    <t>voorschot nascholing</t>
  </si>
  <si>
    <t>voorschot vervoerskosten</t>
  </si>
  <si>
    <t>Saldo werkingstoelage</t>
  </si>
  <si>
    <t>saldo vervoerskosten</t>
  </si>
  <si>
    <t>Vervoerskosten</t>
  </si>
  <si>
    <t>saldo nascholing</t>
  </si>
  <si>
    <t>extra wm</t>
  </si>
  <si>
    <t>ict</t>
  </si>
  <si>
    <t>SAMW (Kok/De Panne/Nieuwp/Alveringem)</t>
  </si>
  <si>
    <t>73400/481-01</t>
  </si>
  <si>
    <t>Nieuwpoort 1° kw</t>
  </si>
  <si>
    <t>0820-01/7405002</t>
  </si>
  <si>
    <t>Koksijde 1° kw</t>
  </si>
  <si>
    <t>Alveringem 1° kw</t>
  </si>
  <si>
    <t>De Panne 1° kw</t>
  </si>
  <si>
    <t>De Panne 2° kw</t>
  </si>
  <si>
    <t>Alveringem 2° kw</t>
  </si>
  <si>
    <t>Koksijde 2° kw</t>
  </si>
  <si>
    <t>Nieuwpoort 2° kw</t>
  </si>
  <si>
    <t>Koksijde 3° kw</t>
  </si>
  <si>
    <t>Nieuwpoort 3° kw</t>
  </si>
  <si>
    <t>De Panne 3° kw</t>
  </si>
  <si>
    <t>Alveringem 3° kw</t>
  </si>
  <si>
    <t>Koksijde 4° kw</t>
  </si>
  <si>
    <t>Nieuwpoort 4° kw</t>
  </si>
  <si>
    <t>Alveringem 4° kw</t>
  </si>
  <si>
    <t>De Panne 4° kw</t>
  </si>
  <si>
    <t>SAMW (Koksijde, Alveringem)</t>
  </si>
  <si>
    <t>De Panne (jan-feb)</t>
  </si>
  <si>
    <t>0820-01/7409999</t>
  </si>
  <si>
    <t>Koksijde (jan-feb)</t>
  </si>
  <si>
    <t>Nieuwpoort (jan-feb)</t>
  </si>
  <si>
    <t>Alveringem (jan-feb)</t>
  </si>
  <si>
    <t>Koksijde (mrt-apr)</t>
  </si>
  <si>
    <t>Nieuwpoort (mrt-apr)</t>
  </si>
  <si>
    <t>De Panne (mrt-apr)</t>
  </si>
  <si>
    <t>Alveringem (mrt-apr)</t>
  </si>
  <si>
    <t>Koksijde (mei-juni)</t>
  </si>
  <si>
    <t>Nieuwpoort (mei-juni)</t>
  </si>
  <si>
    <t>De Panne (mei-juni)</t>
  </si>
  <si>
    <t>Alveringem (mei-juni)</t>
  </si>
  <si>
    <t>Koksijde (adm. kosten)</t>
  </si>
  <si>
    <t>Nieuwpoort (adm.kosten)</t>
  </si>
  <si>
    <t>De Panne (adm.kosten)</t>
  </si>
  <si>
    <t>Alveringem (adm.kosten)</t>
  </si>
  <si>
    <t>Alveringem (folder)</t>
  </si>
  <si>
    <t>De Panne (folder)</t>
  </si>
  <si>
    <t>Nieuwpoort (folder)</t>
  </si>
  <si>
    <t>Koksijde (folder)</t>
  </si>
  <si>
    <t>Alveringem (sep-okt)</t>
  </si>
  <si>
    <t>Nieuwpoort (sep-okt)</t>
  </si>
  <si>
    <t>Nieuwpoort (nov-dec)</t>
  </si>
  <si>
    <t>Koksijde (sep-okt)</t>
  </si>
  <si>
    <t>Alveringem (nov-dec)</t>
  </si>
  <si>
    <t>De Panne (nov-dec)</t>
  </si>
  <si>
    <t>Koksijde (nov-dec)</t>
  </si>
  <si>
    <t>Vlaams ministerie</t>
  </si>
  <si>
    <t>Koksijde (juryleden)</t>
  </si>
  <si>
    <t>Nieuwpoort (juryleden)</t>
  </si>
  <si>
    <t>verpl. Alveringem 2006-2007</t>
  </si>
  <si>
    <t>verpl. Alveringem 2007-2008</t>
  </si>
  <si>
    <t>verpl. Alveringem 2008-2009</t>
  </si>
  <si>
    <t>Jeugdwerkbeleidsplan</t>
  </si>
  <si>
    <t>76107/465-48</t>
  </si>
  <si>
    <t>Voorschot jaar x</t>
  </si>
  <si>
    <t>0750-01/7409999</t>
  </si>
  <si>
    <t>saldo jaar x-1</t>
  </si>
  <si>
    <t>uitgesteld voorschot</t>
  </si>
  <si>
    <t>Drugshulpverlening gerecht.arr.Veurne</t>
  </si>
  <si>
    <t>76113/465-02</t>
  </si>
  <si>
    <t>max.subs. 39.662,96 EUR (75,494527 % vd brutoloonkost)</t>
  </si>
  <si>
    <t>2011  70 % VS</t>
  </si>
  <si>
    <t>0986-00/7405002</t>
  </si>
  <si>
    <t>verlaagd tot 19.831 EUR</t>
  </si>
  <si>
    <t>saldo 2007 (VS 27.764,07)</t>
  </si>
  <si>
    <t xml:space="preserve">saldo 2008 </t>
  </si>
  <si>
    <t>76113/485-01</t>
  </si>
  <si>
    <t>Prov. West-Vlaanderen</t>
  </si>
  <si>
    <t>0986-00/7404999</t>
  </si>
  <si>
    <t>Vl. Gewest</t>
  </si>
  <si>
    <t>Fod Justitie</t>
  </si>
  <si>
    <t>saldo 2009</t>
  </si>
  <si>
    <t>Alveringem</t>
  </si>
  <si>
    <t>De Panne</t>
  </si>
  <si>
    <t>Diksmuide</t>
  </si>
  <si>
    <t>Houthulst</t>
  </si>
  <si>
    <t>Koekelare</t>
  </si>
  <si>
    <t>Lo-Reninge</t>
  </si>
  <si>
    <t>Koksijde</t>
  </si>
  <si>
    <t>Nieuwpoort</t>
  </si>
  <si>
    <t>Detachering OCMW</t>
  </si>
  <si>
    <t>0947-00/7405002</t>
  </si>
  <si>
    <t>Cultuurbeleid-werking</t>
  </si>
  <si>
    <t>saldo 2013 lokaal cultuurbeleid</t>
  </si>
  <si>
    <t>0739-00/7404999</t>
  </si>
  <si>
    <t>cultuurbeleid</t>
  </si>
  <si>
    <t>één euro subsidie</t>
  </si>
  <si>
    <t>aanvullen voorschot 2014</t>
  </si>
  <si>
    <t>suppl.subsidie</t>
  </si>
  <si>
    <t>lokale subsidiëring archief</t>
  </si>
  <si>
    <t>VOP subsidies De Kee Karolien</t>
  </si>
  <si>
    <t>Cultuurbeleidscoördinator</t>
  </si>
  <si>
    <t>personeelssubsidie (voorschot)</t>
  </si>
  <si>
    <t>073900/7409999</t>
  </si>
  <si>
    <t>VOP subsidies</t>
  </si>
  <si>
    <t>Sport werking</t>
  </si>
  <si>
    <t>Beleidssubs : 1,55305287*inw VS</t>
  </si>
  <si>
    <t>074001/7404999</t>
  </si>
  <si>
    <t>saldo x-1</t>
  </si>
  <si>
    <t>Impulssubs : 0,8 * inw VS</t>
  </si>
  <si>
    <t>Principiële subsidie - 1° schijf</t>
  </si>
  <si>
    <t>Principiële subsidie - 2° schijf</t>
  </si>
  <si>
    <t>Multimove</t>
  </si>
  <si>
    <t>Bib personeel</t>
  </si>
  <si>
    <t>1° voorschot</t>
  </si>
  <si>
    <t>070300/7404999</t>
  </si>
  <si>
    <t>participatie bibliotheekportalen</t>
  </si>
  <si>
    <t>2° voorschot</t>
  </si>
  <si>
    <t>3° voorschot</t>
  </si>
  <si>
    <t>4° voorschot</t>
  </si>
  <si>
    <t>saldo vorig jaar</t>
  </si>
  <si>
    <t>forf.subs. Prov.blib.systeem</t>
  </si>
  <si>
    <t>prov. Bibl. Systeem</t>
  </si>
  <si>
    <t>bijkomend voorschot 2008</t>
  </si>
  <si>
    <t>maribel</t>
  </si>
  <si>
    <t>sociale maribel</t>
  </si>
  <si>
    <t>BKO werking</t>
  </si>
  <si>
    <t>84401/465-01</t>
  </si>
  <si>
    <t>kindereanimatie</t>
  </si>
  <si>
    <t>0945-00/7404999</t>
  </si>
  <si>
    <t>herziening</t>
  </si>
  <si>
    <t>susidie</t>
  </si>
  <si>
    <t>éénm. tegem. Brandbeveil.</t>
  </si>
  <si>
    <t>informatiseringsvergoeding</t>
  </si>
  <si>
    <t>vergoeding bijk.vakantieopv.</t>
  </si>
  <si>
    <t>subsidie 2014</t>
  </si>
  <si>
    <t>werkingssubs RKW</t>
  </si>
  <si>
    <t>projectsubsidie</t>
  </si>
  <si>
    <t>saldo 2016</t>
  </si>
  <si>
    <t>BKO personeel</t>
  </si>
  <si>
    <t>84401/465-02</t>
  </si>
  <si>
    <t>projectgeco 1° kwartaal</t>
  </si>
  <si>
    <t>projectgeco 2° kwartaal</t>
  </si>
  <si>
    <t>projectgeco 3° kwartaal</t>
  </si>
  <si>
    <t>projectgeco 4° kwartaal</t>
  </si>
  <si>
    <t>1° kwartaal</t>
  </si>
  <si>
    <t>2° kwartaal</t>
  </si>
  <si>
    <t>3° kwartaal</t>
  </si>
  <si>
    <t>4° kwartaal</t>
  </si>
  <si>
    <t>saldo vorig dj</t>
  </si>
  <si>
    <t>Via Gesco 2006 -2007</t>
  </si>
  <si>
    <t>saldo vorig dienstjaar</t>
  </si>
  <si>
    <t>saldo via</t>
  </si>
  <si>
    <t>Via Gesco 2008</t>
  </si>
  <si>
    <t>Via gesco vorig diensjaar</t>
  </si>
  <si>
    <t>Via Gesco jaar x 9 VTE</t>
  </si>
  <si>
    <t>huis van het kind</t>
  </si>
  <si>
    <t>lokaal loket kinderonvag</t>
  </si>
  <si>
    <t>compensatie corona</t>
  </si>
  <si>
    <t>sociale maribel/VIA tewerkstelling</t>
  </si>
  <si>
    <t>subsidieprojecten KO</t>
  </si>
  <si>
    <t>personeelsubs RKW</t>
  </si>
  <si>
    <t>Zorgnetwerk Verona</t>
  </si>
  <si>
    <t>84407/465-48</t>
  </si>
  <si>
    <t>declaratie 1</t>
  </si>
  <si>
    <t>declaratie 2</t>
  </si>
  <si>
    <t>declaratie 3</t>
  </si>
  <si>
    <t>declaratie 4</t>
  </si>
  <si>
    <t>Militaire begraafplaatsen</t>
  </si>
  <si>
    <t>militaire begraafplaatsen</t>
  </si>
  <si>
    <t>Samenwerkingsovereenkomst</t>
  </si>
  <si>
    <t>87900/465-48</t>
  </si>
  <si>
    <t>Natuur</t>
  </si>
  <si>
    <t>Saldo 2007</t>
  </si>
  <si>
    <t>0350-00 7000006</t>
  </si>
  <si>
    <t>Minawerkers</t>
  </si>
  <si>
    <t>eindafrek 2006/2007</t>
  </si>
  <si>
    <t>0329-00 7404999</t>
  </si>
  <si>
    <t>Vaste Stoffen</t>
  </si>
  <si>
    <t>0390-00 740900</t>
  </si>
  <si>
    <t>Hinder</t>
  </si>
  <si>
    <t>0390-00 740100</t>
  </si>
  <si>
    <t>Energie</t>
  </si>
  <si>
    <t>Mobiliteit</t>
  </si>
  <si>
    <t>proj.rap. 2010/2009</t>
  </si>
  <si>
    <t>proj.rap 2013</t>
  </si>
  <si>
    <t xml:space="preserve">voorschot </t>
  </si>
  <si>
    <t>2007 + saldo vr. dj</t>
  </si>
  <si>
    <t>eindafrek 2008</t>
  </si>
  <si>
    <t>Groenestroomcertifciaten</t>
  </si>
  <si>
    <t>rop</t>
  </si>
  <si>
    <t>hondenpoepzakjes</t>
  </si>
  <si>
    <t>premie zonnepanelen</t>
  </si>
  <si>
    <t>premies eandis</t>
  </si>
  <si>
    <t>SO 2005 oeverzw</t>
  </si>
  <si>
    <t>lokaal waterbeleid 2014</t>
  </si>
  <si>
    <t>lokaal waterbeleid 2014 2° schijf</t>
  </si>
  <si>
    <t>klimaatsubsidie hernieuwbare energie</t>
  </si>
  <si>
    <t>herbruikbare bekers</t>
  </si>
  <si>
    <t>Ander milieusubsidies</t>
  </si>
  <si>
    <t>0340-00 7040999</t>
  </si>
  <si>
    <t>provincie</t>
  </si>
  <si>
    <t>50 % lasten ruilverkaveling</t>
  </si>
  <si>
    <t>OVAM</t>
  </si>
  <si>
    <t>asbest-enveloppefinanciereing</t>
  </si>
  <si>
    <t>ombouw caroline</t>
  </si>
  <si>
    <t>Hinder door hondepoep</t>
  </si>
  <si>
    <t>Eandis</t>
  </si>
  <si>
    <t>nacht van de duisternis</t>
  </si>
  <si>
    <t>lasten ruilverkaveling</t>
  </si>
  <si>
    <t>Opleiding Debrock Shana</t>
  </si>
  <si>
    <t>93000/465-01</t>
  </si>
  <si>
    <t>opleidingssubsidie</t>
  </si>
  <si>
    <t>Detachering Wackenier Lieselot</t>
  </si>
  <si>
    <t>93000/465-06</t>
  </si>
  <si>
    <t>kwartaalopgave personeelsdienst</t>
  </si>
  <si>
    <t xml:space="preserve">4 kw </t>
  </si>
  <si>
    <t>FACTURATIE ONTVANGSTEN</t>
  </si>
  <si>
    <t>Jaarbudgetrekening</t>
  </si>
  <si>
    <t>Startdatum</t>
  </si>
  <si>
    <t>Naam</t>
  </si>
  <si>
    <t xml:space="preserve">Oud </t>
  </si>
  <si>
    <t>nieuw</t>
  </si>
  <si>
    <t>Index A</t>
  </si>
  <si>
    <t>Index B</t>
  </si>
  <si>
    <t xml:space="preserve">Geïndex. </t>
  </si>
  <si>
    <t>Herziening</t>
  </si>
  <si>
    <t>Indexbasis</t>
  </si>
  <si>
    <t>Pieter Clement</t>
  </si>
  <si>
    <t>huur bergruimte stadspark</t>
  </si>
  <si>
    <t>0050-00/7050999</t>
  </si>
  <si>
    <t>Herita (Stichting Vlaams Erfgoed)</t>
  </si>
  <si>
    <t>Erfpacht</t>
  </si>
  <si>
    <t>recht van opstal</t>
  </si>
  <si>
    <t>EGTS</t>
  </si>
  <si>
    <t>Hoge Wacht</t>
  </si>
  <si>
    <t>0050-00/7050002</t>
  </si>
  <si>
    <t>Gemeentebestuur Koksijde</t>
  </si>
  <si>
    <t>Station Koksijde</t>
  </si>
  <si>
    <t>MACW</t>
  </si>
  <si>
    <t xml:space="preserve">onroerende voorheffing </t>
  </si>
  <si>
    <t>0740-01/7040999</t>
  </si>
  <si>
    <t>KSV Veurne</t>
  </si>
  <si>
    <t>TC Bachten de kupe</t>
  </si>
  <si>
    <t>Edelen Ridder Sint-Sebastiaan</t>
  </si>
  <si>
    <t>De Vleemuis</t>
  </si>
  <si>
    <t>0750-01/7040999</t>
  </si>
  <si>
    <t xml:space="preserve">Zwembclub </t>
  </si>
  <si>
    <t>0740-02/7040999</t>
  </si>
  <si>
    <t>Telenet Group</t>
  </si>
  <si>
    <t>Belforttoren</t>
  </si>
  <si>
    <t>0050-00/703000</t>
  </si>
  <si>
    <t>Vanbelleghem Johan</t>
  </si>
  <si>
    <t>Kelder Spaans Paviljoen</t>
  </si>
  <si>
    <t>Romac International</t>
  </si>
  <si>
    <t>ondergrondse boring Nijverheidstr.</t>
  </si>
  <si>
    <t>0200-01/7050999</t>
  </si>
  <si>
    <t>Diverse marktkramers</t>
  </si>
  <si>
    <t>Abonnement</t>
  </si>
  <si>
    <t>0200-01/7360000</t>
  </si>
  <si>
    <t>0200-01/7060001</t>
  </si>
  <si>
    <t>Meubelen Vandermeere</t>
  </si>
  <si>
    <t>Ondergrondse leiding Koksijdestraat</t>
  </si>
  <si>
    <t>119,95</t>
  </si>
  <si>
    <t>kabine Oude Vestingstraat</t>
  </si>
  <si>
    <t>Ons dossier nr : NG_013235 cabine 5821 “Arsenaal”.</t>
  </si>
  <si>
    <t>Compovit, Knollestraat 11</t>
  </si>
  <si>
    <t>E-kabel en H-20 leiding Knollestraat</t>
  </si>
  <si>
    <t>uitweg stadspark Pannestraat</t>
  </si>
  <si>
    <t>Annuntiatenklooster vzw</t>
  </si>
  <si>
    <t>E-verbindingskabel D. de haenelaan</t>
  </si>
  <si>
    <t>Devloo Ann (groep Delva)</t>
  </si>
  <si>
    <t>afvoerleiding</t>
  </si>
  <si>
    <t>VME Residentie Dolci</t>
  </si>
  <si>
    <t>Concessie openbaar groen</t>
  </si>
  <si>
    <t>factuur opsturen naar : VME residentie Dolci, p/a West Littoral Leopold II-laan 205 8670 Oostduinkerke</t>
  </si>
  <si>
    <t>Cardon M.</t>
  </si>
  <si>
    <t>Grond steengracht-west</t>
  </si>
  <si>
    <t>0530-00/7050003</t>
  </si>
  <si>
    <t>Gemeentebesturen</t>
  </si>
  <si>
    <t>verplaatsingskosten MA</t>
  </si>
  <si>
    <t>grond Bulskampstraat</t>
  </si>
  <si>
    <t>0530-00/703000</t>
  </si>
  <si>
    <t>0520-00/7070000</t>
  </si>
  <si>
    <t>abonnement</t>
  </si>
  <si>
    <t>0739-00/7010003</t>
  </si>
  <si>
    <t>terug wedde MA</t>
  </si>
  <si>
    <t>Castelein Vervoer</t>
  </si>
  <si>
    <t>Uitweg stadspark</t>
  </si>
  <si>
    <t>Sierens Joseph</t>
  </si>
  <si>
    <t>De Waele Bart</t>
  </si>
  <si>
    <t>Kabine Grote Markt 29</t>
  </si>
  <si>
    <t>De Hoppeschoppers</t>
  </si>
  <si>
    <t>opslag doelen</t>
  </si>
  <si>
    <t>juryleden</t>
  </si>
  <si>
    <t>Kabine Grote Markt 9</t>
  </si>
  <si>
    <t>Moeder Pupegaele</t>
  </si>
  <si>
    <t>Concessievergoeding VLF</t>
  </si>
  <si>
    <t>0520-00/7000099</t>
  </si>
  <si>
    <t>Gemeentebestuur De Panne</t>
  </si>
  <si>
    <t>oproepssysteem De Panne</t>
  </si>
  <si>
    <t>Vynckier Roger</t>
  </si>
  <si>
    <t>jachtrecht</t>
  </si>
  <si>
    <t>Gaselwest</t>
  </si>
  <si>
    <t>retributie nutsvoorz. gas</t>
  </si>
  <si>
    <t>0650-00/7020000</t>
  </si>
  <si>
    <t>retributie nutsvoorz. elektr.</t>
  </si>
  <si>
    <t>0640-00/7020000</t>
  </si>
  <si>
    <t>gemeentebesturen</t>
  </si>
  <si>
    <t>administratiekosten</t>
  </si>
  <si>
    <t>kosten folder MA</t>
  </si>
  <si>
    <t>Tennisclub</t>
  </si>
  <si>
    <t>Woonmaatschappij Ijzer en Zee</t>
  </si>
  <si>
    <t>recht van opstal Pannestraat 17</t>
  </si>
  <si>
    <t>Lagrou Luc</t>
  </si>
  <si>
    <t>Uitweg Zwarte Nonnenstraat 13</t>
  </si>
  <si>
    <t>leiding domein sportpark</t>
  </si>
  <si>
    <t>Dequeecker Chris</t>
  </si>
  <si>
    <t>bufferbekken Westmoerstraat</t>
  </si>
  <si>
    <t>Drukkerij Pattyn  NV</t>
  </si>
  <si>
    <t>conc. Gedeelte baanvak Handelstr,</t>
  </si>
  <si>
    <t>Milieudienst/Duinenwacht</t>
  </si>
  <si>
    <t>doorrekening ruilverkaveling provincie</t>
  </si>
  <si>
    <t>0340-00/7040999</t>
  </si>
  <si>
    <t>Vansteelandt Bernadette (Fonteyne)</t>
  </si>
  <si>
    <t>Uitweg Zwarte Nonenstraat 17</t>
  </si>
  <si>
    <t>Bond Moyson</t>
  </si>
  <si>
    <t>grond statieplaats</t>
  </si>
  <si>
    <t>Kerkfabrieken</t>
  </si>
  <si>
    <t>kerstbomen</t>
  </si>
  <si>
    <t>0710-00/7020000</t>
  </si>
  <si>
    <t xml:space="preserve">Gemeentebesturen </t>
  </si>
  <si>
    <t>drugshulpverlening</t>
  </si>
  <si>
    <t>ING België</t>
  </si>
  <si>
    <t>sierverlichting</t>
  </si>
  <si>
    <t>42600/161-48</t>
  </si>
  <si>
    <t xml:space="preserve">Zwemclub </t>
  </si>
  <si>
    <t>verbruik elektricteit</t>
  </si>
  <si>
    <t>Dep. RWO</t>
  </si>
  <si>
    <t>actualisatie leegstandsregister</t>
  </si>
  <si>
    <t>13800/465-01</t>
  </si>
  <si>
    <t>100+0,5/nieuw gebouw</t>
  </si>
  <si>
    <t>De Lijn</t>
  </si>
  <si>
    <t>facturatie woensdagmarkt</t>
  </si>
  <si>
    <t>020001/7360000</t>
  </si>
  <si>
    <t>ereloon geneesheren crematies</t>
  </si>
  <si>
    <t>10400/161-48</t>
  </si>
  <si>
    <t>Kajakclub</t>
  </si>
  <si>
    <t xml:space="preserve">electr clubhuis </t>
  </si>
  <si>
    <t>Bedrag 2012:</t>
  </si>
  <si>
    <t>Voorafnames (40,8%)</t>
  </si>
  <si>
    <t>Centrumfunctie (8,0%)</t>
  </si>
  <si>
    <t>Fiscale draagkracht (30,2%)</t>
  </si>
  <si>
    <t>Open ruimte (6,0%)</t>
  </si>
  <si>
    <t>Sociale criteria (15,0%)</t>
  </si>
  <si>
    <t>Bedrag vóór toepassing waarborgregeling</t>
  </si>
  <si>
    <t>Waarborgregeling</t>
  </si>
  <si>
    <t>Bedrag na toepassing waarborgregeling</t>
  </si>
  <si>
    <t>Fiscale penalisatie</t>
  </si>
  <si>
    <t>Definitief aandeel 2012 (gemeente + OCMW) afgerond tot op de euro</t>
  </si>
  <si>
    <t>Bedrag per inwoner</t>
  </si>
  <si>
    <t>Aandeel:</t>
  </si>
  <si>
    <t>Totaal per inw.</t>
  </si>
  <si>
    <t>NIS</t>
  </si>
  <si>
    <t>GEMEENTE</t>
  </si>
  <si>
    <t>Inwoners  1.1.2012</t>
  </si>
  <si>
    <t>Antwerpen en Gent</t>
  </si>
  <si>
    <t>Centrumsteden excl. Brugge</t>
  </si>
  <si>
    <t>Brugge</t>
  </si>
  <si>
    <t xml:space="preserve"> Regionale steden</t>
  </si>
  <si>
    <t>Kustgemeenten</t>
  </si>
  <si>
    <t>Werk-gelegenheid</t>
  </si>
  <si>
    <t>Werk-gelegenheid (relat.)</t>
  </si>
  <si>
    <t>Leerlingen</t>
  </si>
  <si>
    <t>Leerlingen
relatief</t>
  </si>
  <si>
    <t xml:space="preserve">Inkohiering personenbelasting </t>
  </si>
  <si>
    <t>Inwoners²/
Inkohiering personenbelasting</t>
  </si>
  <si>
    <t>PB
relatief</t>
  </si>
  <si>
    <t>PB/inw.</t>
  </si>
  <si>
    <t>Kadastraal inkomen</t>
  </si>
  <si>
    <t>Inwoners²/
Kadastraal inkomen</t>
  </si>
  <si>
    <t>KI
relatief</t>
  </si>
  <si>
    <t>KI/inw.</t>
  </si>
  <si>
    <t>Oppervlakte</t>
  </si>
  <si>
    <t>Oppervlakte relatief</t>
  </si>
  <si>
    <t>Omnio</t>
  </si>
  <si>
    <t>Omnio
relatief</t>
  </si>
  <si>
    <t>Geboorten kansarme gezinnen</t>
  </si>
  <si>
    <t>Geboorten kansarme gez.
relatief</t>
  </si>
  <si>
    <t>Laaggesch.
werklozen</t>
  </si>
  <si>
    <t>Laaggesch.
werklozen relatief</t>
  </si>
  <si>
    <t>Leefloners</t>
  </si>
  <si>
    <t>Leefloners
relatief</t>
  </si>
  <si>
    <t>Sociale huurapp.</t>
  </si>
  <si>
    <t>Sociale huurapp. relatief</t>
  </si>
  <si>
    <t>Waarborg</t>
  </si>
  <si>
    <t>Noodzakelijke bijpassing</t>
  </si>
  <si>
    <t>Bedrag boven waarborg</t>
  </si>
  <si>
    <t>Bedrag boven waarborg  relatief</t>
  </si>
  <si>
    <t>Afname</t>
  </si>
  <si>
    <t>APB-tarief 2011</t>
  </si>
  <si>
    <t>Afname wegens te lage APB</t>
  </si>
  <si>
    <t>OOV-tarief 2011</t>
  </si>
  <si>
    <t>Afname wegens te lage OOV</t>
  </si>
  <si>
    <t>Voorlopig bedrag na afname te lage APB en OV</t>
  </si>
  <si>
    <t>Voorlopige bedragen zonder fiscaal bestrafte  en waarborggemeenten</t>
  </si>
  <si>
    <t>Aandeel</t>
  </si>
  <si>
    <t>Herverdeling fiscale penalisatie</t>
  </si>
  <si>
    <t>41002</t>
  </si>
  <si>
    <t>AALST</t>
  </si>
  <si>
    <t>44001</t>
  </si>
  <si>
    <t>AALTER</t>
  </si>
  <si>
    <t>24001</t>
  </si>
  <si>
    <t>AARSCHOT</t>
  </si>
  <si>
    <t>11001</t>
  </si>
  <si>
    <t>AARTSELAAR</t>
  </si>
  <si>
    <t>23105</t>
  </si>
  <si>
    <t>AFFLIGEM</t>
  </si>
  <si>
    <t>73001</t>
  </si>
  <si>
    <t>ALKEN</t>
  </si>
  <si>
    <t>38002</t>
  </si>
  <si>
    <t>ALVERINGEM</t>
  </si>
  <si>
    <t>11002</t>
  </si>
  <si>
    <t>ANTWERPEN</t>
  </si>
  <si>
    <t>34002</t>
  </si>
  <si>
    <t>ANZEGEM</t>
  </si>
  <si>
    <t>37020</t>
  </si>
  <si>
    <t>ARDOOIE</t>
  </si>
  <si>
    <t>13001</t>
  </si>
  <si>
    <t>ARENDONK</t>
  </si>
  <si>
    <t>71002</t>
  </si>
  <si>
    <t>AS</t>
  </si>
  <si>
    <t>23002</t>
  </si>
  <si>
    <t>ASSE</t>
  </si>
  <si>
    <t>43002</t>
  </si>
  <si>
    <t>ASSENEDE</t>
  </si>
  <si>
    <t>34003</t>
  </si>
  <si>
    <t>AVELGEM</t>
  </si>
  <si>
    <t>13002</t>
  </si>
  <si>
    <t>BAARLE-HERTOG</t>
  </si>
  <si>
    <t>13003</t>
  </si>
  <si>
    <t>BALEN</t>
  </si>
  <si>
    <t>31003</t>
  </si>
  <si>
    <t>BEERNEM</t>
  </si>
  <si>
    <t>13004</t>
  </si>
  <si>
    <t>BEERSE</t>
  </si>
  <si>
    <t>23003</t>
  </si>
  <si>
    <t>BEERSEL</t>
  </si>
  <si>
    <t>24007</t>
  </si>
  <si>
    <t>BEGIJNENDIJK</t>
  </si>
  <si>
    <t>24008</t>
  </si>
  <si>
    <t>BEKKEVOORT</t>
  </si>
  <si>
    <t>71004</t>
  </si>
  <si>
    <t>BERINGEN</t>
  </si>
  <si>
    <t>12002</t>
  </si>
  <si>
    <t>BERLAAR</t>
  </si>
  <si>
    <t>42003</t>
  </si>
  <si>
    <t>BERLARE</t>
  </si>
  <si>
    <t>24009</t>
  </si>
  <si>
    <t>BERTEM</t>
  </si>
  <si>
    <t>23009</t>
  </si>
  <si>
    <t>BEVER</t>
  </si>
  <si>
    <t>46003</t>
  </si>
  <si>
    <t>BEVEREN</t>
  </si>
  <si>
    <t>24011</t>
  </si>
  <si>
    <t>BIERBEEK</t>
  </si>
  <si>
    <t>73006</t>
  </si>
  <si>
    <t>BILZEN</t>
  </si>
  <si>
    <t>31004</t>
  </si>
  <si>
    <t>BLANKENBERGE</t>
  </si>
  <si>
    <t>72003</t>
  </si>
  <si>
    <t>BOCHOLT</t>
  </si>
  <si>
    <t>11004</t>
  </si>
  <si>
    <t>BOECHOUT</t>
  </si>
  <si>
    <t>12005</t>
  </si>
  <si>
    <t>BONHEIDEN</t>
  </si>
  <si>
    <t>11005</t>
  </si>
  <si>
    <t>BOOM</t>
  </si>
  <si>
    <t>24014</t>
  </si>
  <si>
    <t>BOORTMEERBEEK</t>
  </si>
  <si>
    <t>73009</t>
  </si>
  <si>
    <t>BORGLOON</t>
  </si>
  <si>
    <t>12007</t>
  </si>
  <si>
    <t>BORNEM</t>
  </si>
  <si>
    <t>11007</t>
  </si>
  <si>
    <t>BORSBEEK</t>
  </si>
  <si>
    <t>24016</t>
  </si>
  <si>
    <t>BOUTERSEM</t>
  </si>
  <si>
    <t>45059</t>
  </si>
  <si>
    <t>BRAKEL</t>
  </si>
  <si>
    <t>11008</t>
  </si>
  <si>
    <t>BRASSCHAAT</t>
  </si>
  <si>
    <t>11009</t>
  </si>
  <si>
    <t>BRECHT</t>
  </si>
  <si>
    <t>35002</t>
  </si>
  <si>
    <t>BREDENE</t>
  </si>
  <si>
    <t>72004</t>
  </si>
  <si>
    <t>BREE</t>
  </si>
  <si>
    <t>31005</t>
  </si>
  <si>
    <t>BRUGGE</t>
  </si>
  <si>
    <t>42004</t>
  </si>
  <si>
    <t>BUGGENHOUT</t>
  </si>
  <si>
    <t>31006</t>
  </si>
  <si>
    <t>DAMME</t>
  </si>
  <si>
    <t>35029</t>
  </si>
  <si>
    <t>DE HAAN</t>
  </si>
  <si>
    <t>38008</t>
  </si>
  <si>
    <t>DE PANNE</t>
  </si>
  <si>
    <t>44012</t>
  </si>
  <si>
    <t>DE PINTE</t>
  </si>
  <si>
    <t>34009</t>
  </si>
  <si>
    <t>DEERLIJK</t>
  </si>
  <si>
    <t>44011</t>
  </si>
  <si>
    <t>DEINZE</t>
  </si>
  <si>
    <t>41011</t>
  </si>
  <si>
    <t>DENDERLEEUW</t>
  </si>
  <si>
    <t>42006</t>
  </si>
  <si>
    <t>DENDERMONDE</t>
  </si>
  <si>
    <t>37002</t>
  </si>
  <si>
    <t>DENTERGEM</t>
  </si>
  <si>
    <t>13006</t>
  </si>
  <si>
    <t>DESSEL</t>
  </si>
  <si>
    <t>44013</t>
  </si>
  <si>
    <t>DESTELBERGEN</t>
  </si>
  <si>
    <t>71011</t>
  </si>
  <si>
    <t>DIEPENBEEK</t>
  </si>
  <si>
    <t>24020</t>
  </si>
  <si>
    <t>DIEST</t>
  </si>
  <si>
    <t>32003</t>
  </si>
  <si>
    <t>DIKSMUIDE</t>
  </si>
  <si>
    <t>23016</t>
  </si>
  <si>
    <t>DILBEEK</t>
  </si>
  <si>
    <t>72041</t>
  </si>
  <si>
    <t>DILSEN-STOKKEM</t>
  </si>
  <si>
    <t>23098</t>
  </si>
  <si>
    <t>DROGENBOS</t>
  </si>
  <si>
    <t>12009</t>
  </si>
  <si>
    <t>DUFFEL</t>
  </si>
  <si>
    <t>11013</t>
  </si>
  <si>
    <t>EDEGEM</t>
  </si>
  <si>
    <t>43005</t>
  </si>
  <si>
    <t>EEKLO</t>
  </si>
  <si>
    <t>41082</t>
  </si>
  <si>
    <t>ERPE-MERE</t>
  </si>
  <si>
    <t>11016</t>
  </si>
  <si>
    <t>ESSEN</t>
  </si>
  <si>
    <t>44019</t>
  </si>
  <si>
    <t>EVERGEM</t>
  </si>
  <si>
    <t>23023</t>
  </si>
  <si>
    <t>GALMAARDEN</t>
  </si>
  <si>
    <t>44020</t>
  </si>
  <si>
    <t>GAVERE</t>
  </si>
  <si>
    <t>13008</t>
  </si>
  <si>
    <t>GEEL</t>
  </si>
  <si>
    <t>24028</t>
  </si>
  <si>
    <t>GEETBETS</t>
  </si>
  <si>
    <t>71016</t>
  </si>
  <si>
    <t>GENK</t>
  </si>
  <si>
    <t>44021</t>
  </si>
  <si>
    <t>GENT</t>
  </si>
  <si>
    <t>41018</t>
  </si>
  <si>
    <t>GERAARDSBERGEN</t>
  </si>
  <si>
    <t>71017</t>
  </si>
  <si>
    <t>GINGELOM</t>
  </si>
  <si>
    <t>35005</t>
  </si>
  <si>
    <t>GISTEL</t>
  </si>
  <si>
    <t>24137</t>
  </si>
  <si>
    <t>GLABBEEK</t>
  </si>
  <si>
    <t>23024</t>
  </si>
  <si>
    <t>GOOIK</t>
  </si>
  <si>
    <t>23025</t>
  </si>
  <si>
    <t>GRIMBERGEN</t>
  </si>
  <si>
    <t>13010</t>
  </si>
  <si>
    <t>GROBBENDONK</t>
  </si>
  <si>
    <t>24033</t>
  </si>
  <si>
    <t>HAACHT</t>
  </si>
  <si>
    <t>41024</t>
  </si>
  <si>
    <t>HAALTERT</t>
  </si>
  <si>
    <t>71020</t>
  </si>
  <si>
    <t>HALEN</t>
  </si>
  <si>
    <t>23027</t>
  </si>
  <si>
    <t>HALLE</t>
  </si>
  <si>
    <t>71069</t>
  </si>
  <si>
    <t>HAM</t>
  </si>
  <si>
    <t>42008</t>
  </si>
  <si>
    <t>HAMME</t>
  </si>
  <si>
    <t>72037</t>
  </si>
  <si>
    <t>HAMONT-ACHEL</t>
  </si>
  <si>
    <t>34013</t>
  </si>
  <si>
    <t>HARELBEKE</t>
  </si>
  <si>
    <t>71022</t>
  </si>
  <si>
    <t>HASSELT</t>
  </si>
  <si>
    <t>72038</t>
  </si>
  <si>
    <t>HECHTEL-EKSEL</t>
  </si>
  <si>
    <t>73022</t>
  </si>
  <si>
    <t>HEERS</t>
  </si>
  <si>
    <t>12014</t>
  </si>
  <si>
    <t>HEIST-OP-DEN-BERG</t>
  </si>
  <si>
    <t>11018</t>
  </si>
  <si>
    <t>HEMIKSEM</t>
  </si>
  <si>
    <t>24038</t>
  </si>
  <si>
    <t>HERENT</t>
  </si>
  <si>
    <t>13011</t>
  </si>
  <si>
    <t>HERENTALS</t>
  </si>
  <si>
    <t>13012</t>
  </si>
  <si>
    <t>HERENTHOUT</t>
  </si>
  <si>
    <t>71024</t>
  </si>
  <si>
    <t>HERK-DE-STAD</t>
  </si>
  <si>
    <t>23032</t>
  </si>
  <si>
    <t>HERNE</t>
  </si>
  <si>
    <t>13013</t>
  </si>
  <si>
    <t>HERSELT</t>
  </si>
  <si>
    <t>73028</t>
  </si>
  <si>
    <t>HERSTAPPE</t>
  </si>
  <si>
    <t>41027</t>
  </si>
  <si>
    <t>HERZELE</t>
  </si>
  <si>
    <t>71070</t>
  </si>
  <si>
    <t>HEUSDEN-ZOLDER</t>
  </si>
  <si>
    <t>33039</t>
  </si>
  <si>
    <t>HEUVELLAND</t>
  </si>
  <si>
    <t>24041</t>
  </si>
  <si>
    <t>HOEGAARDEN</t>
  </si>
  <si>
    <t>23033</t>
  </si>
  <si>
    <t>HOEILAART</t>
  </si>
  <si>
    <t>73032</t>
  </si>
  <si>
    <t>HOESELT</t>
  </si>
  <si>
    <t>24043</t>
  </si>
  <si>
    <t>HOLSBEEK</t>
  </si>
  <si>
    <t>36006</t>
  </si>
  <si>
    <t>HOOGLEDE</t>
  </si>
  <si>
    <t>13014</t>
  </si>
  <si>
    <t>HOOGSTRATEN</t>
  </si>
  <si>
    <t>45062</t>
  </si>
  <si>
    <t>HOREBEKE</t>
  </si>
  <si>
    <t>72039</t>
  </si>
  <si>
    <t>HOUTHALEN-HELCHTEREN</t>
  </si>
  <si>
    <t>32006</t>
  </si>
  <si>
    <t>HOUTHULST</t>
  </si>
  <si>
    <t>11021</t>
  </si>
  <si>
    <t>HOVE</t>
  </si>
  <si>
    <t>24045</t>
  </si>
  <si>
    <t>HULDENBERG</t>
  </si>
  <si>
    <t>13016</t>
  </si>
  <si>
    <t>HULSHOUT</t>
  </si>
  <si>
    <t>35006</t>
  </si>
  <si>
    <t>ICHTEGEM</t>
  </si>
  <si>
    <t>33011</t>
  </si>
  <si>
    <t>IEPER</t>
  </si>
  <si>
    <t>36007</t>
  </si>
  <si>
    <t>INGELMUNSTER</t>
  </si>
  <si>
    <t>36008</t>
  </si>
  <si>
    <t>IZEGEM</t>
  </si>
  <si>
    <t>31012</t>
  </si>
  <si>
    <t>JABBEKE</t>
  </si>
  <si>
    <t>11022</t>
  </si>
  <si>
    <t>KALMTHOUT</t>
  </si>
  <si>
    <t>23038</t>
  </si>
  <si>
    <t>KAMPENHOUT</t>
  </si>
  <si>
    <t>11023</t>
  </si>
  <si>
    <t>KAPELLEN</t>
  </si>
  <si>
    <t>23039</t>
  </si>
  <si>
    <t>KAPELLE-OP-DEN-BOS</t>
  </si>
  <si>
    <t>43007</t>
  </si>
  <si>
    <t>KAPRIJKE</t>
  </si>
  <si>
    <t>13017</t>
  </si>
  <si>
    <t>KASTERLEE</t>
  </si>
  <si>
    <t>24048</t>
  </si>
  <si>
    <t>KEERBERGEN</t>
  </si>
  <si>
    <t>72018</t>
  </si>
  <si>
    <t>KINROOI</t>
  </si>
  <si>
    <t>45060</t>
  </si>
  <si>
    <t>KLUISBERGEN</t>
  </si>
  <si>
    <t>44029</t>
  </si>
  <si>
    <t>KNESSELARE</t>
  </si>
  <si>
    <t>31043</t>
  </si>
  <si>
    <t>KNOKKE-HEIST</t>
  </si>
  <si>
    <t>32010</t>
  </si>
  <si>
    <t>KOEKELARE</t>
  </si>
  <si>
    <t>38014</t>
  </si>
  <si>
    <t>KOKSIJDE</t>
  </si>
  <si>
    <t>11024</t>
  </si>
  <si>
    <t>KONTICH</t>
  </si>
  <si>
    <t>32011</t>
  </si>
  <si>
    <t>KORTEMARK</t>
  </si>
  <si>
    <t>24054</t>
  </si>
  <si>
    <t>KORTENAKEN</t>
  </si>
  <si>
    <t>24055</t>
  </si>
  <si>
    <t>KORTENBERG</t>
  </si>
  <si>
    <t>73040</t>
  </si>
  <si>
    <t>KORTESSEM</t>
  </si>
  <si>
    <t>34022</t>
  </si>
  <si>
    <t>KORTRIJK</t>
  </si>
  <si>
    <t>23099</t>
  </si>
  <si>
    <t>KRAAINEM</t>
  </si>
  <si>
    <t>46013</t>
  </si>
  <si>
    <t>KRUIBEKE</t>
  </si>
  <si>
    <t>45017</t>
  </si>
  <si>
    <t>KRUISHOUTEM</t>
  </si>
  <si>
    <t>34023</t>
  </si>
  <si>
    <t>KUURNE</t>
  </si>
  <si>
    <t>13053</t>
  </si>
  <si>
    <t>LAAKDAL</t>
  </si>
  <si>
    <t>42010</t>
  </si>
  <si>
    <t>LAARNE</t>
  </si>
  <si>
    <t>73042</t>
  </si>
  <si>
    <t>LANAKEN</t>
  </si>
  <si>
    <t>24059</t>
  </si>
  <si>
    <t>LANDEN</t>
  </si>
  <si>
    <t>33040</t>
  </si>
  <si>
    <t>LANGEMARK-POELKAPELLE</t>
  </si>
  <si>
    <t>42011</t>
  </si>
  <si>
    <t>LEBBEKE</t>
  </si>
  <si>
    <t>41034</t>
  </si>
  <si>
    <t>LEDE</t>
  </si>
  <si>
    <t>36010</t>
  </si>
  <si>
    <t>LEDEGEM</t>
  </si>
  <si>
    <t>34025</t>
  </si>
  <si>
    <t>LENDELEDE</t>
  </si>
  <si>
    <t>23104</t>
  </si>
  <si>
    <t>LENNIK</t>
  </si>
  <si>
    <t>71034</t>
  </si>
  <si>
    <t>LEOPOLDSBURG</t>
  </si>
  <si>
    <t>24062</t>
  </si>
  <si>
    <t>LEUVEN</t>
  </si>
  <si>
    <t>36011</t>
  </si>
  <si>
    <t>LICHTERVELDE</t>
  </si>
  <si>
    <t>23044</t>
  </si>
  <si>
    <t>LIEDEKERKE</t>
  </si>
  <si>
    <t>12021</t>
  </si>
  <si>
    <t>LIER</t>
  </si>
  <si>
    <t>45063</t>
  </si>
  <si>
    <t>LIERDE</t>
  </si>
  <si>
    <t>13019</t>
  </si>
  <si>
    <t>LILLE</t>
  </si>
  <si>
    <t>23100</t>
  </si>
  <si>
    <t>LINKEBEEK</t>
  </si>
  <si>
    <t>11025</t>
  </si>
  <si>
    <t>LINT</t>
  </si>
  <si>
    <t>24133</t>
  </si>
  <si>
    <t>LINTER</t>
  </si>
  <si>
    <t>44034</t>
  </si>
  <si>
    <t>LOCHRISTI</t>
  </si>
  <si>
    <t>46014</t>
  </si>
  <si>
    <t>LOKEREN</t>
  </si>
  <si>
    <t>72020</t>
  </si>
  <si>
    <t>LOMMEL</t>
  </si>
  <si>
    <t>23045</t>
  </si>
  <si>
    <t>LONDERZEEL</t>
  </si>
  <si>
    <t>32030</t>
  </si>
  <si>
    <t>LO-RENINGE</t>
  </si>
  <si>
    <t>44036</t>
  </si>
  <si>
    <t>LOVENDEGEM</t>
  </si>
  <si>
    <t>24066</t>
  </si>
  <si>
    <t>LUBBEEK</t>
  </si>
  <si>
    <t>71037</t>
  </si>
  <si>
    <t>LUMMEN</t>
  </si>
  <si>
    <t>45064</t>
  </si>
  <si>
    <t>MAARKEDAL</t>
  </si>
  <si>
    <t>72021</t>
  </si>
  <si>
    <t>MAASEIK</t>
  </si>
  <si>
    <t>73107</t>
  </si>
  <si>
    <t>MAASMECHELEN</t>
  </si>
  <si>
    <t>23047</t>
  </si>
  <si>
    <t>MACHELEN</t>
  </si>
  <si>
    <t>43010</t>
  </si>
  <si>
    <t>MALDEGEM</t>
  </si>
  <si>
    <t>11057</t>
  </si>
  <si>
    <t>MALLE</t>
  </si>
  <si>
    <t>12025</t>
  </si>
  <si>
    <t>MECHELEN</t>
  </si>
  <si>
    <t>13021</t>
  </si>
  <si>
    <t>MEERHOUT</t>
  </si>
  <si>
    <t>72040</t>
  </si>
  <si>
    <t>MEEUWEN-GRUITRODE</t>
  </si>
  <si>
    <t>23050</t>
  </si>
  <si>
    <t>MEISE</t>
  </si>
  <si>
    <t>44040</t>
  </si>
  <si>
    <t>MELLE</t>
  </si>
  <si>
    <t>34027</t>
  </si>
  <si>
    <t>MENEN</t>
  </si>
  <si>
    <t>23052</t>
  </si>
  <si>
    <t>MERCHTEM</t>
  </si>
  <si>
    <t>44043</t>
  </si>
  <si>
    <t>MERELBEKE</t>
  </si>
  <si>
    <t>13023</t>
  </si>
  <si>
    <t>MERKSPLAS</t>
  </si>
  <si>
    <t>33016</t>
  </si>
  <si>
    <t>MESEN</t>
  </si>
  <si>
    <t>37007</t>
  </si>
  <si>
    <t>MEULEBEKE</t>
  </si>
  <si>
    <t>35011</t>
  </si>
  <si>
    <t>MIDDELKERKE</t>
  </si>
  <si>
    <t>44045</t>
  </si>
  <si>
    <t>MOERBEKE</t>
  </si>
  <si>
    <t>13025</t>
  </si>
  <si>
    <t>MOL</t>
  </si>
  <si>
    <t>36012</t>
  </si>
  <si>
    <t>MOORSLEDE</t>
  </si>
  <si>
    <t>11029</t>
  </si>
  <si>
    <t>MORTSEL</t>
  </si>
  <si>
    <t>44048</t>
  </si>
  <si>
    <t>NAZARETH</t>
  </si>
  <si>
    <t>72025</t>
  </si>
  <si>
    <t>NEERPELT</t>
  </si>
  <si>
    <t>44049</t>
  </si>
  <si>
    <t>NEVELE</t>
  </si>
  <si>
    <t>11030</t>
  </si>
  <si>
    <t>NIEL</t>
  </si>
  <si>
    <t>71045</t>
  </si>
  <si>
    <t>NIEUWERKERKEN</t>
  </si>
  <si>
    <t>38016</t>
  </si>
  <si>
    <t>NIEUWPOORT</t>
  </si>
  <si>
    <t>12026</t>
  </si>
  <si>
    <t>NIJLEN</t>
  </si>
  <si>
    <t>41048</t>
  </si>
  <si>
    <t>NINOVE</t>
  </si>
  <si>
    <t>13029</t>
  </si>
  <si>
    <t>OLEN</t>
  </si>
  <si>
    <t>35013</t>
  </si>
  <si>
    <t>OOSTENDE</t>
  </si>
  <si>
    <t>44052</t>
  </si>
  <si>
    <t>OOSTERZELE</t>
  </si>
  <si>
    <t>31022</t>
  </si>
  <si>
    <t>OOSTKAMP</t>
  </si>
  <si>
    <t>37010</t>
  </si>
  <si>
    <t>OOSTROZEBEKE</t>
  </si>
  <si>
    <t>71047</t>
  </si>
  <si>
    <t>OPGLABBEEK</t>
  </si>
  <si>
    <t>23060</t>
  </si>
  <si>
    <t>OPWIJK</t>
  </si>
  <si>
    <t>45035</t>
  </si>
  <si>
    <t>OUDENAARDE</t>
  </si>
  <si>
    <t>35014</t>
  </si>
  <si>
    <t>OUDENBURG</t>
  </si>
  <si>
    <t>24086</t>
  </si>
  <si>
    <t>OUD-HEVERLEE</t>
  </si>
  <si>
    <t>13031</t>
  </si>
  <si>
    <t>OUD-TURNHOUT</t>
  </si>
  <si>
    <t>23062</t>
  </si>
  <si>
    <t>OVERIJSE</t>
  </si>
  <si>
    <t>72029</t>
  </si>
  <si>
    <t>OVERPELT</t>
  </si>
  <si>
    <t>72030</t>
  </si>
  <si>
    <t>PEER</t>
  </si>
  <si>
    <t>23064</t>
  </si>
  <si>
    <t>PEPINGEN</t>
  </si>
  <si>
    <t>37011</t>
  </si>
  <si>
    <t>PITTEM</t>
  </si>
  <si>
    <t>33021</t>
  </si>
  <si>
    <t>POPERINGE</t>
  </si>
  <si>
    <t>12029</t>
  </si>
  <si>
    <t>PUTTE</t>
  </si>
  <si>
    <t>12030</t>
  </si>
  <si>
    <t>PUURS</t>
  </si>
  <si>
    <t>11035</t>
  </si>
  <si>
    <t>RANST</t>
  </si>
  <si>
    <t>13035</t>
  </si>
  <si>
    <t>RAVELS</t>
  </si>
  <si>
    <t>13036</t>
  </si>
  <si>
    <t>RETIE</t>
  </si>
  <si>
    <t>73066</t>
  </si>
  <si>
    <t>RIEMST</t>
  </si>
  <si>
    <t>13037</t>
  </si>
  <si>
    <t>RIJKEVORSEL</t>
  </si>
  <si>
    <t>36015</t>
  </si>
  <si>
    <t>ROESELARE</t>
  </si>
  <si>
    <t>45041</t>
  </si>
  <si>
    <t>RONSE</t>
  </si>
  <si>
    <t>23097</t>
  </si>
  <si>
    <t>ROOSDAAL</t>
  </si>
  <si>
    <t>24094</t>
  </si>
  <si>
    <t>ROTSELAAR</t>
  </si>
  <si>
    <t>37012</t>
  </si>
  <si>
    <t>RUISELEDE</t>
  </si>
  <si>
    <t>11037</t>
  </si>
  <si>
    <t>RUMST</t>
  </si>
  <si>
    <t>11038</t>
  </si>
  <si>
    <t>SCHELLE</t>
  </si>
  <si>
    <t>24134</t>
  </si>
  <si>
    <t>SCHERPENHEUVEL-ZICHEM</t>
  </si>
  <si>
    <t>11039</t>
  </si>
  <si>
    <t>SCHILDE</t>
  </si>
  <si>
    <t>11040</t>
  </si>
  <si>
    <t>SCHOTEN</t>
  </si>
  <si>
    <t>12034</t>
  </si>
  <si>
    <t>SINT-AMANDS</t>
  </si>
  <si>
    <t>23101</t>
  </si>
  <si>
    <t>SINT-GENESIUS-RODE</t>
  </si>
  <si>
    <t>46020</t>
  </si>
  <si>
    <t>SINT-GILLIS-WAAS</t>
  </si>
  <si>
    <t>12035</t>
  </si>
  <si>
    <t>SINT-KATELIJNE-WAVER</t>
  </si>
  <si>
    <t>43014</t>
  </si>
  <si>
    <t>SINT-LAUREINS</t>
  </si>
  <si>
    <t>41063</t>
  </si>
  <si>
    <t>SINT-LIEVENS-HOUTEM</t>
  </si>
  <si>
    <t>44064</t>
  </si>
  <si>
    <t>SINT-MARTENS-LATEM</t>
  </si>
  <si>
    <t>46021</t>
  </si>
  <si>
    <t>SINT-NIKLAAS</t>
  </si>
  <si>
    <t>23077</t>
  </si>
  <si>
    <t>SINT-PIETERS-LEEUW</t>
  </si>
  <si>
    <t>71053</t>
  </si>
  <si>
    <t>SINT-TRUIDEN</t>
  </si>
  <si>
    <t>34043</t>
  </si>
  <si>
    <t>SPIERE-HELKIJN</t>
  </si>
  <si>
    <t>11044</t>
  </si>
  <si>
    <t>STABROEK</t>
  </si>
  <si>
    <t>36019</t>
  </si>
  <si>
    <t>STADEN</t>
  </si>
  <si>
    <t>23081</t>
  </si>
  <si>
    <t>STEENOKKERZEEL</t>
  </si>
  <si>
    <t>46024</t>
  </si>
  <si>
    <t>STEKENE</t>
  </si>
  <si>
    <t>46025</t>
  </si>
  <si>
    <t>TEMSE</t>
  </si>
  <si>
    <t>23086</t>
  </si>
  <si>
    <t>TERNAT</t>
  </si>
  <si>
    <t>24104</t>
  </si>
  <si>
    <t>TERVUREN</t>
  </si>
  <si>
    <t>71057</t>
  </si>
  <si>
    <t>TESSENDERLO</t>
  </si>
  <si>
    <t>37015</t>
  </si>
  <si>
    <t>TIELT</t>
  </si>
  <si>
    <t>24135</t>
  </si>
  <si>
    <t>TIELT-WINGE</t>
  </si>
  <si>
    <t>24107</t>
  </si>
  <si>
    <t>TIENEN</t>
  </si>
  <si>
    <t>73083</t>
  </si>
  <si>
    <t>TONGEREN</t>
  </si>
  <si>
    <t>31033</t>
  </si>
  <si>
    <t>TORHOUT</t>
  </si>
  <si>
    <t>24109</t>
  </si>
  <si>
    <t>TREMELO</t>
  </si>
  <si>
    <t>13040</t>
  </si>
  <si>
    <t>TURNHOUT</t>
  </si>
  <si>
    <t>38025</t>
  </si>
  <si>
    <t>VEURNE</t>
  </si>
  <si>
    <t>23088</t>
  </si>
  <si>
    <t>VILVOORDE</t>
  </si>
  <si>
    <t>33041</t>
  </si>
  <si>
    <t>VLETEREN</t>
  </si>
  <si>
    <t>73109</t>
  </si>
  <si>
    <t>VOEREN</t>
  </si>
  <si>
    <t>13044</t>
  </si>
  <si>
    <t>VORSELAAR</t>
  </si>
  <si>
    <t>13046</t>
  </si>
  <si>
    <t>VOSSELAAR</t>
  </si>
  <si>
    <t>44072</t>
  </si>
  <si>
    <t>WAARSCHOOT</t>
  </si>
  <si>
    <t>42023</t>
  </si>
  <si>
    <t>WAASMUNSTER</t>
  </si>
  <si>
    <t>44073</t>
  </si>
  <si>
    <t>WACHTEBEKE</t>
  </si>
  <si>
    <t>34040</t>
  </si>
  <si>
    <t>WAREGEM</t>
  </si>
  <si>
    <t>73098</t>
  </si>
  <si>
    <t>WELLEN</t>
  </si>
  <si>
    <t>23102</t>
  </si>
  <si>
    <t>WEMMEL</t>
  </si>
  <si>
    <t>33029</t>
  </si>
  <si>
    <t>WERVIK</t>
  </si>
  <si>
    <t>13049</t>
  </si>
  <si>
    <t>WESTERLO</t>
  </si>
  <si>
    <t>42025</t>
  </si>
  <si>
    <t>WETTEREN</t>
  </si>
  <si>
    <t>34041</t>
  </si>
  <si>
    <t>WEVELGEM</t>
  </si>
  <si>
    <t>23103</t>
  </si>
  <si>
    <t>WEZEMBEEK-OPPEM</t>
  </si>
  <si>
    <t>42026</t>
  </si>
  <si>
    <t>WICHELEN</t>
  </si>
  <si>
    <t>37017</t>
  </si>
  <si>
    <t>WIELSBEKE</t>
  </si>
  <si>
    <t>11050</t>
  </si>
  <si>
    <t>WIJNEGEM</t>
  </si>
  <si>
    <t>12040</t>
  </si>
  <si>
    <t>WILLEBROEK</t>
  </si>
  <si>
    <t>37018</t>
  </si>
  <si>
    <t>WINGENE</t>
  </si>
  <si>
    <t>11052</t>
  </si>
  <si>
    <t>WOMMELGEM</t>
  </si>
  <si>
    <t>45061</t>
  </si>
  <si>
    <t>WORTEGEM-PETEGEM</t>
  </si>
  <si>
    <t>11053</t>
  </si>
  <si>
    <t>WUUSTWEZEL</t>
  </si>
  <si>
    <t>11054</t>
  </si>
  <si>
    <t>ZANDHOVEN</t>
  </si>
  <si>
    <t>23094</t>
  </si>
  <si>
    <t>ZAVENTEM</t>
  </si>
  <si>
    <t>31040</t>
  </si>
  <si>
    <t>ZEDELGEM</t>
  </si>
  <si>
    <t>42028</t>
  </si>
  <si>
    <t>ZELE</t>
  </si>
  <si>
    <t>43018</t>
  </si>
  <si>
    <t>ZELZATE</t>
  </si>
  <si>
    <t>23096</t>
  </si>
  <si>
    <t>ZEMST</t>
  </si>
  <si>
    <t>45057</t>
  </si>
  <si>
    <t>ZINGEM</t>
  </si>
  <si>
    <t>11055</t>
  </si>
  <si>
    <t>ZOERSEL</t>
  </si>
  <si>
    <t>44080</t>
  </si>
  <si>
    <t>ZOMERGEM</t>
  </si>
  <si>
    <t>71066</t>
  </si>
  <si>
    <t>ZONHOVEN</t>
  </si>
  <si>
    <t>33037</t>
  </si>
  <si>
    <t>ZONNEBEKE</t>
  </si>
  <si>
    <t>41081</t>
  </si>
  <si>
    <t>ZOTTEGEM</t>
  </si>
  <si>
    <t>24130</t>
  </si>
  <si>
    <t>ZOUTLEEUW</t>
  </si>
  <si>
    <t>31042</t>
  </si>
  <si>
    <t>ZUIENKERKE</t>
  </si>
  <si>
    <t>44081</t>
  </si>
  <si>
    <t>ZULTE</t>
  </si>
  <si>
    <t>71067</t>
  </si>
  <si>
    <t>ZUTENDAAL</t>
  </si>
  <si>
    <t>45065</t>
  </si>
  <si>
    <t>ZWALM</t>
  </si>
  <si>
    <t>34042</t>
  </si>
  <si>
    <t>ZWEVEGEM</t>
  </si>
  <si>
    <t>11056</t>
  </si>
  <si>
    <t>ZWIJNDRECHT</t>
  </si>
  <si>
    <t>Oude aandelen</t>
  </si>
  <si>
    <t>Certificaten</t>
  </si>
  <si>
    <t>Nieuwe aandelen</t>
  </si>
  <si>
    <t>Dividenden 2008 (over 2007)</t>
  </si>
  <si>
    <t>Dividenden 2009 (over 2008)</t>
  </si>
  <si>
    <t>Dividenden 2010 (over 2009)</t>
  </si>
  <si>
    <t>Dividenden 2011 (over 2010)</t>
  </si>
  <si>
    <t>Gewone aandelen</t>
  </si>
  <si>
    <t>Aandelen A</t>
  </si>
  <si>
    <t>Aandelen B</t>
  </si>
  <si>
    <t>Totaal aantal aandelen in GH</t>
  </si>
  <si>
    <t>Procen-tueel belang in GH</t>
  </si>
  <si>
    <t>Prov/arr.</t>
  </si>
  <si>
    <t>Aantal</t>
  </si>
  <si>
    <t>Aantal in bezit</t>
  </si>
  <si>
    <t>Aantal ontvangen</t>
  </si>
  <si>
    <t>Gekocht / verkocht (-)</t>
  </si>
  <si>
    <t>Oude aandelen x 57</t>
  </si>
  <si>
    <t>Aantal aandelen</t>
  </si>
  <si>
    <t>Betaald bedrag</t>
  </si>
  <si>
    <t>Certificaten /5</t>
  </si>
  <si>
    <t>Aalst</t>
  </si>
  <si>
    <t>oa</t>
  </si>
  <si>
    <t>Aalter</t>
  </si>
  <si>
    <t>og</t>
  </si>
  <si>
    <t>Aarschot</t>
  </si>
  <si>
    <t>vl</t>
  </si>
  <si>
    <t>Aartselaar</t>
  </si>
  <si>
    <t>aa</t>
  </si>
  <si>
    <t>Affligem</t>
  </si>
  <si>
    <t>vh</t>
  </si>
  <si>
    <t>Alken</t>
  </si>
  <si>
    <t>lt</t>
  </si>
  <si>
    <t>wv</t>
  </si>
  <si>
    <t>Antwerpen</t>
  </si>
  <si>
    <t>Anzegem</t>
  </si>
  <si>
    <t>wk</t>
  </si>
  <si>
    <t>Ardooie</t>
  </si>
  <si>
    <t>wt</t>
  </si>
  <si>
    <t>Arendonk</t>
  </si>
  <si>
    <t>at</t>
  </si>
  <si>
    <t>As</t>
  </si>
  <si>
    <t>lh</t>
  </si>
  <si>
    <t>Asse</t>
  </si>
  <si>
    <t>Assenede</t>
  </si>
  <si>
    <t>oe</t>
  </si>
  <si>
    <t>Avelgem</t>
  </si>
  <si>
    <t>Baarle-Hertog</t>
  </si>
  <si>
    <t>Balen</t>
  </si>
  <si>
    <t>Beernem</t>
  </si>
  <si>
    <t>wb</t>
  </si>
  <si>
    <t>Beerse</t>
  </si>
  <si>
    <t>Beersel</t>
  </si>
  <si>
    <t>Begijnendijk</t>
  </si>
  <si>
    <t>Bekkevoort</t>
  </si>
  <si>
    <t>Beringen</t>
  </si>
  <si>
    <t>Berlaar</t>
  </si>
  <si>
    <t>am</t>
  </si>
  <si>
    <t>Berlare</t>
  </si>
  <si>
    <t>od</t>
  </si>
  <si>
    <t>Bertem</t>
  </si>
  <si>
    <t>Bever</t>
  </si>
  <si>
    <t>Beveren</t>
  </si>
  <si>
    <t>os</t>
  </si>
  <si>
    <t>Bierbeek</t>
  </si>
  <si>
    <t>Bilzen</t>
  </si>
  <si>
    <t>Blankenberge</t>
  </si>
  <si>
    <t>Bocholt</t>
  </si>
  <si>
    <t>lm</t>
  </si>
  <si>
    <t>Boechout</t>
  </si>
  <si>
    <t>Bonheiden</t>
  </si>
  <si>
    <t>Boom</t>
  </si>
  <si>
    <t>Boortmeerbeek</t>
  </si>
  <si>
    <t>Borgloon</t>
  </si>
  <si>
    <t>Bornem</t>
  </si>
  <si>
    <t>Borsbeek</t>
  </si>
  <si>
    <t>Boutersem</t>
  </si>
  <si>
    <t>Brakel</t>
  </si>
  <si>
    <t>oo</t>
  </si>
  <si>
    <t>Brasschaat</t>
  </si>
  <si>
    <t>Brecht</t>
  </si>
  <si>
    <t>Bredene</t>
  </si>
  <si>
    <t>wo</t>
  </si>
  <si>
    <t>Bree</t>
  </si>
  <si>
    <t>Buggenhout</t>
  </si>
  <si>
    <t>Damme</t>
  </si>
  <si>
    <t>De Haan</t>
  </si>
  <si>
    <t>De Pinte</t>
  </si>
  <si>
    <t>Deerlijk</t>
  </si>
  <si>
    <t>Deinze</t>
  </si>
  <si>
    <t>Denderleeuw</t>
  </si>
  <si>
    <t>Dendermonde</t>
  </si>
  <si>
    <t>Dentergem</t>
  </si>
  <si>
    <t>Dessel</t>
  </si>
  <si>
    <t>Destelbergen</t>
  </si>
  <si>
    <t>Diepenbeek</t>
  </si>
  <si>
    <t>Diest</t>
  </si>
  <si>
    <t>wd</t>
  </si>
  <si>
    <t>Dilbeek</t>
  </si>
  <si>
    <t>Dilsen-Stokkem</t>
  </si>
  <si>
    <t>Drogenbos</t>
  </si>
  <si>
    <t>Duffel</t>
  </si>
  <si>
    <t>Edegem</t>
  </si>
  <si>
    <t>Eeklo</t>
  </si>
  <si>
    <t>Erpe-Mere</t>
  </si>
  <si>
    <t>Essen</t>
  </si>
  <si>
    <t>Evergem</t>
  </si>
  <si>
    <t>Galmaarden</t>
  </si>
  <si>
    <t>Gavere</t>
  </si>
  <si>
    <t>Geel</t>
  </si>
  <si>
    <t>Geetbets</t>
  </si>
  <si>
    <t>Genk</t>
  </si>
  <si>
    <t>Gent</t>
  </si>
  <si>
    <t>Geraardsbergen</t>
  </si>
  <si>
    <t>Gingelom</t>
  </si>
  <si>
    <t>Gistel</t>
  </si>
  <si>
    <t>Glabbeek</t>
  </si>
  <si>
    <t>Gooik</t>
  </si>
  <si>
    <t>Grimbergen</t>
  </si>
  <si>
    <t>Grobbendonk</t>
  </si>
  <si>
    <t>Haacht</t>
  </si>
  <si>
    <t>Haaltert</t>
  </si>
  <si>
    <t>Halen</t>
  </si>
  <si>
    <t>Halle</t>
  </si>
  <si>
    <t>Ham</t>
  </si>
  <si>
    <t>Hamme</t>
  </si>
  <si>
    <t>Hamont-Achel</t>
  </si>
  <si>
    <t>Harelbeke</t>
  </si>
  <si>
    <t>Hasselt</t>
  </si>
  <si>
    <t>Hechtel-Eksel</t>
  </si>
  <si>
    <t>Heers</t>
  </si>
  <si>
    <t>Heist-op-den-Berg</t>
  </si>
  <si>
    <t>Hemiksem</t>
  </si>
  <si>
    <t>Herent</t>
  </si>
  <si>
    <t>Herentals</t>
  </si>
  <si>
    <t>Herenthout</t>
  </si>
  <si>
    <t>Herk-de-Stad</t>
  </si>
  <si>
    <t>Herne</t>
  </si>
  <si>
    <t>Herselt</t>
  </si>
  <si>
    <t>Herstappe</t>
  </si>
  <si>
    <t>Herzele</t>
  </si>
  <si>
    <t>Heusden-Zolder</t>
  </si>
  <si>
    <t>Heuvelland</t>
  </si>
  <si>
    <t>wi</t>
  </si>
  <si>
    <t>Hoegaarden</t>
  </si>
  <si>
    <t>Hoeilaart</t>
  </si>
  <si>
    <t>Hoeselt</t>
  </si>
  <si>
    <t>Holsbeek</t>
  </si>
  <si>
    <t>Hooglede</t>
  </si>
  <si>
    <t>wr</t>
  </si>
  <si>
    <t>Hoogstraten</t>
  </si>
  <si>
    <t>Horebeke</t>
  </si>
  <si>
    <t>Houthalen-Helchteren</t>
  </si>
  <si>
    <t>Hove</t>
  </si>
  <si>
    <t>Huldenberg</t>
  </si>
  <si>
    <t>Hulshout</t>
  </si>
  <si>
    <t>Ichtegem</t>
  </si>
  <si>
    <t>Ieper</t>
  </si>
  <si>
    <t>Ingelmunster</t>
  </si>
  <si>
    <t>Izegem</t>
  </si>
  <si>
    <t>Jabbeke</t>
  </si>
  <si>
    <t>Kalmthout</t>
  </si>
  <si>
    <t>Kampenhout</t>
  </si>
  <si>
    <t>Kapellen</t>
  </si>
  <si>
    <t>Kapelle-op-den-Bos</t>
  </si>
  <si>
    <t>Kaprijke</t>
  </si>
  <si>
    <t>Kasterlee</t>
  </si>
  <si>
    <t>Keerbergen</t>
  </si>
  <si>
    <t>Kinrooi</t>
  </si>
  <si>
    <t>Kluisbergen</t>
  </si>
  <si>
    <t>Knesselare</t>
  </si>
  <si>
    <t>Knokke-Heist</t>
  </si>
  <si>
    <t>Kontich</t>
  </si>
  <si>
    <t>Kortemark</t>
  </si>
  <si>
    <t>Kortenaken</t>
  </si>
  <si>
    <t>Kortenberg</t>
  </si>
  <si>
    <t>Kortessem</t>
  </si>
  <si>
    <t>Kortrijk</t>
  </si>
  <si>
    <t>Kraainem</t>
  </si>
  <si>
    <t>Kruibeke</t>
  </si>
  <si>
    <t>Kruishoutem</t>
  </si>
  <si>
    <t>Kuurne</t>
  </si>
  <si>
    <t>Laakdal</t>
  </si>
  <si>
    <t>Laarne</t>
  </si>
  <si>
    <t>Lanaken</t>
  </si>
  <si>
    <t>Landen</t>
  </si>
  <si>
    <t>Langemark-Poelkapelle</t>
  </si>
  <si>
    <t>Lebbeke</t>
  </si>
  <si>
    <t>Lede</t>
  </si>
  <si>
    <t>Ledegem</t>
  </si>
  <si>
    <t>Lendelede</t>
  </si>
  <si>
    <t>Lennik</t>
  </si>
  <si>
    <t>Leopoldsburg</t>
  </si>
  <si>
    <t>Leuven</t>
  </si>
  <si>
    <t>Lichtervelde</t>
  </si>
  <si>
    <t>Liedekerke</t>
  </si>
  <si>
    <t>Lier</t>
  </si>
  <si>
    <t>Lierde</t>
  </si>
  <si>
    <t>Lille</t>
  </si>
  <si>
    <t>Linkebeek</t>
  </si>
  <si>
    <t>Lint</t>
  </si>
  <si>
    <t>Linter</t>
  </si>
  <si>
    <t>Lochristi</t>
  </si>
  <si>
    <t>Lokeren</t>
  </si>
  <si>
    <t>Lommel</t>
  </si>
  <si>
    <t>Londerzeel</t>
  </si>
  <si>
    <t>Lovendegem</t>
  </si>
  <si>
    <t>Lubbeek</t>
  </si>
  <si>
    <t>Lummen</t>
  </si>
  <si>
    <t>Maarkedal</t>
  </si>
  <si>
    <t>Maaseik</t>
  </si>
  <si>
    <t>Maasmechelen</t>
  </si>
  <si>
    <t>Machelen</t>
  </si>
  <si>
    <t>Maldegem</t>
  </si>
  <si>
    <t>Malle</t>
  </si>
  <si>
    <t>Mechelen</t>
  </si>
  <si>
    <t>Meerhout</t>
  </si>
  <si>
    <t>Meeuwen-Gruitrode</t>
  </si>
  <si>
    <t>Meise</t>
  </si>
  <si>
    <t>Melle</t>
  </si>
  <si>
    <t>Menen</t>
  </si>
  <si>
    <t>Merchtem</t>
  </si>
  <si>
    <t>Merelbeke</t>
  </si>
  <si>
    <t>Merksplas</t>
  </si>
  <si>
    <t>Mesen</t>
  </si>
  <si>
    <t>Meulebeke</t>
  </si>
  <si>
    <t>Middelkerke</t>
  </si>
  <si>
    <t>Moerbeke</t>
  </si>
  <si>
    <t>Mol</t>
  </si>
  <si>
    <t>Moorslede</t>
  </si>
  <si>
    <t>Mortsel</t>
  </si>
  <si>
    <t>Nazareth</t>
  </si>
  <si>
    <t>Neerpelt</t>
  </si>
  <si>
    <t>Nevele</t>
  </si>
  <si>
    <t>Niel</t>
  </si>
  <si>
    <t>Nieuwerkerken</t>
  </si>
  <si>
    <t>Nijlen</t>
  </si>
  <si>
    <t>Ninove</t>
  </si>
  <si>
    <t>Olen</t>
  </si>
  <si>
    <t>Oostende</t>
  </si>
  <si>
    <t>Oosterzele</t>
  </si>
  <si>
    <t>Oostkamp</t>
  </si>
  <si>
    <t>Oostrozebeke</t>
  </si>
  <si>
    <t>Opglabbeek</t>
  </si>
  <si>
    <t>Opwijk</t>
  </si>
  <si>
    <t>Oudenaarde</t>
  </si>
  <si>
    <t>Oudenburg</t>
  </si>
  <si>
    <t>Oud-Heverlee</t>
  </si>
  <si>
    <t>Oud-Turnhout</t>
  </si>
  <si>
    <t>Overijse</t>
  </si>
  <si>
    <t>Overpelt</t>
  </si>
  <si>
    <t>Peer</t>
  </si>
  <si>
    <t>Pepingen</t>
  </si>
  <si>
    <t>Pittem</t>
  </si>
  <si>
    <t>Poperinge</t>
  </si>
  <si>
    <t>Putte</t>
  </si>
  <si>
    <t>Puurs</t>
  </si>
  <si>
    <t>Ranst</t>
  </si>
  <si>
    <t>Ravels</t>
  </si>
  <si>
    <t>Retie</t>
  </si>
  <si>
    <t>Riemst</t>
  </si>
  <si>
    <t>Rijkevorsel</t>
  </si>
  <si>
    <t>Roeselare</t>
  </si>
  <si>
    <t>Ronse</t>
  </si>
  <si>
    <t>Roosdaal</t>
  </si>
  <si>
    <t>Rotselaar</t>
  </si>
  <si>
    <t>Ruiselede</t>
  </si>
  <si>
    <t>Rumst</t>
  </si>
  <si>
    <t>Schelle</t>
  </si>
  <si>
    <t>Scherpenheuvel-Zichem</t>
  </si>
  <si>
    <t>Schilde</t>
  </si>
  <si>
    <t>Schoten</t>
  </si>
  <si>
    <t>Sint-Amands</t>
  </si>
  <si>
    <t>Sint-Genesius-Rode</t>
  </si>
  <si>
    <t>Sint-Gillis-Waas</t>
  </si>
  <si>
    <t>Sint-Katelijne-Waver</t>
  </si>
  <si>
    <t>Sint-Laureins</t>
  </si>
  <si>
    <t>Sint-Lievens-Houtem</t>
  </si>
  <si>
    <t>Sint-Martens-Latem</t>
  </si>
  <si>
    <t>Sint-Niklaas</t>
  </si>
  <si>
    <t>Sint-Pieters-Leeuw</t>
  </si>
  <si>
    <t>Sint-Truiden</t>
  </si>
  <si>
    <t>Spiere-Helkijn</t>
  </si>
  <si>
    <t>Stabroek</t>
  </si>
  <si>
    <t>Staden</t>
  </si>
  <si>
    <t>Steenokkerzeel</t>
  </si>
  <si>
    <t>Stekene</t>
  </si>
  <si>
    <t>Temse</t>
  </si>
  <si>
    <t>Ternat</t>
  </si>
  <si>
    <t>Tervuren</t>
  </si>
  <si>
    <t>Tessenderlo</t>
  </si>
  <si>
    <t>Tielt</t>
  </si>
  <si>
    <t>Tielt-Winge</t>
  </si>
  <si>
    <t>Tienen</t>
  </si>
  <si>
    <t>Tongeren</t>
  </si>
  <si>
    <t>Torhout</t>
  </si>
  <si>
    <t>Tremelo</t>
  </si>
  <si>
    <t>Turnhout</t>
  </si>
  <si>
    <t>Vilvoorde</t>
  </si>
  <si>
    <t>Vleteren</t>
  </si>
  <si>
    <t>Voeren</t>
  </si>
  <si>
    <t>Vorselaar</t>
  </si>
  <si>
    <t>Vosselaar</t>
  </si>
  <si>
    <t>Waarschoot</t>
  </si>
  <si>
    <t>Waasmunster</t>
  </si>
  <si>
    <t>Wachtebeke</t>
  </si>
  <si>
    <t>Waregem</t>
  </si>
  <si>
    <t>Wellen</t>
  </si>
  <si>
    <t>Wemmel</t>
  </si>
  <si>
    <t>Wervik</t>
  </si>
  <si>
    <t>Westerlo</t>
  </si>
  <si>
    <t>Wetteren</t>
  </si>
  <si>
    <t>Wevelgem</t>
  </si>
  <si>
    <t>Wezembeek-Oppem</t>
  </si>
  <si>
    <t>Wichelen</t>
  </si>
  <si>
    <t>Wielsbeke</t>
  </si>
  <si>
    <t>Wijnegem</t>
  </si>
  <si>
    <t>Willebroek</t>
  </si>
  <si>
    <t>Wingene</t>
  </si>
  <si>
    <t>Wommelgem</t>
  </si>
  <si>
    <t>Wortegem-Petegem</t>
  </si>
  <si>
    <t>Wuustwezel</t>
  </si>
  <si>
    <t>Zandhoven</t>
  </si>
  <si>
    <t>Zaventem</t>
  </si>
  <si>
    <t>Zedelgem</t>
  </si>
  <si>
    <t>Zele</t>
  </si>
  <si>
    <t>Zelzate</t>
  </si>
  <si>
    <t>Zemst</t>
  </si>
  <si>
    <t>Zingem</t>
  </si>
  <si>
    <t>Zoersel</t>
  </si>
  <si>
    <t>Zomergem</t>
  </si>
  <si>
    <t>Zonhoven</t>
  </si>
  <si>
    <t>Zonnebeke</t>
  </si>
  <si>
    <t>Zottegem</t>
  </si>
  <si>
    <t>Zoutleeuw</t>
  </si>
  <si>
    <t>Zuienkerke</t>
  </si>
  <si>
    <t>Zulte</t>
  </si>
  <si>
    <t>Zutendaal</t>
  </si>
  <si>
    <t>Zwalm</t>
  </si>
  <si>
    <t>Zwevegem</t>
  </si>
  <si>
    <t>Zwijndrecht</t>
  </si>
  <si>
    <t>Totaal Vlaamse gemeenten</t>
  </si>
  <si>
    <t>Provincie Antwerpen</t>
  </si>
  <si>
    <t>Provincie Limburg</t>
  </si>
  <si>
    <t>Provincie Oost-Vlaanderen</t>
  </si>
  <si>
    <t>Provincie Vlaams-Brabant</t>
  </si>
  <si>
    <t>Provincie West-Vlaanderen</t>
  </si>
  <si>
    <t>Watering Schulensbroek</t>
  </si>
  <si>
    <t>Totaal Vlaamse aandeelhouders</t>
  </si>
  <si>
    <t>Aiseau-Presles</t>
  </si>
  <si>
    <t>Amay</t>
  </si>
  <si>
    <t>Amel</t>
  </si>
  <si>
    <t>Andenne</t>
  </si>
  <si>
    <t>Anderlues</t>
  </si>
  <si>
    <t>Anhée</t>
  </si>
  <si>
    <t>Ans</t>
  </si>
  <si>
    <t>Anthisnes</t>
  </si>
  <si>
    <t>Antoing</t>
  </si>
  <si>
    <t>Arlon</t>
  </si>
  <si>
    <t>Assesse</t>
  </si>
  <si>
    <t>Ath</t>
  </si>
  <si>
    <t>Attert</t>
  </si>
  <si>
    <t>Aubange</t>
  </si>
  <si>
    <t>Aubel</t>
  </si>
  <si>
    <t>Awans</t>
  </si>
  <si>
    <t>Aywaille</t>
  </si>
  <si>
    <t>Baelen</t>
  </si>
  <si>
    <t>Bassenge</t>
  </si>
  <si>
    <t>Bastogne</t>
  </si>
  <si>
    <t>Beaumont</t>
  </si>
  <si>
    <t>Beauraing</t>
  </si>
  <si>
    <t>Beauvechain</t>
  </si>
  <si>
    <t>Beloeil</t>
  </si>
  <si>
    <t>Berloz</t>
  </si>
  <si>
    <t>Bernissart</t>
  </si>
  <si>
    <t>Bertogne</t>
  </si>
  <si>
    <t>Bertrix</t>
  </si>
  <si>
    <t>Beyne-Heusay</t>
  </si>
  <si>
    <t>Bièvre</t>
  </si>
  <si>
    <t>Binche</t>
  </si>
  <si>
    <t>Blégny</t>
  </si>
  <si>
    <t>Bouillon</t>
  </si>
  <si>
    <t>Boussu</t>
  </si>
  <si>
    <t>Braine-l'Alleud</t>
  </si>
  <si>
    <t>Braine-le-Château</t>
  </si>
  <si>
    <t>Braine-le-Compte</t>
  </si>
  <si>
    <t>Braives</t>
  </si>
  <si>
    <t>Brugelette</t>
  </si>
  <si>
    <t>Brunehaut</t>
  </si>
  <si>
    <t>Büllingen</t>
  </si>
  <si>
    <t>Burdinne</t>
  </si>
  <si>
    <t>Burg-Reuland</t>
  </si>
  <si>
    <t>Bütgenbach</t>
  </si>
  <si>
    <t>Celles</t>
  </si>
  <si>
    <t>Cerfontaine</t>
  </si>
  <si>
    <t>Chapelle-lez-Herlaimont</t>
  </si>
  <si>
    <t>Charleroi</t>
  </si>
  <si>
    <t>Chastre</t>
  </si>
  <si>
    <t>Châtelet</t>
  </si>
  <si>
    <t>Chaudfontaine</t>
  </si>
  <si>
    <t>Chaumont-Gistoux</t>
  </si>
  <si>
    <t>Chièvres</t>
  </si>
  <si>
    <t>Chimay</t>
  </si>
  <si>
    <t>Chiny</t>
  </si>
  <si>
    <t>Ciney</t>
  </si>
  <si>
    <t>Clavier</t>
  </si>
  <si>
    <t>Colfontaine</t>
  </si>
  <si>
    <t>Comblain-au-Pont</t>
  </si>
  <si>
    <t>Comines-Warneton</t>
  </si>
  <si>
    <t>Courcelles</t>
  </si>
  <si>
    <t>Court-Saint-Etienne</t>
  </si>
  <si>
    <t>Couvin</t>
  </si>
  <si>
    <t>Crisnée</t>
  </si>
  <si>
    <t>Dalhem</t>
  </si>
  <si>
    <t>Daverdisse</t>
  </si>
  <si>
    <t>Dinant</t>
  </si>
  <si>
    <t>Dison</t>
  </si>
  <si>
    <t>Doische</t>
  </si>
  <si>
    <t>Donceel</t>
  </si>
  <si>
    <t>Dour</t>
  </si>
  <si>
    <t>Durbuy</t>
  </si>
  <si>
    <t>Ecaussinnes</t>
  </si>
  <si>
    <t>Eghezée</t>
  </si>
  <si>
    <t>Ellezelles</t>
  </si>
  <si>
    <t>Enghien</t>
  </si>
  <si>
    <t>Engis</t>
  </si>
  <si>
    <t>Erezée</t>
  </si>
  <si>
    <t>Erquelinnes</t>
  </si>
  <si>
    <t>Esneux</t>
  </si>
  <si>
    <t>Estaimuis</t>
  </si>
  <si>
    <t>Estinnes</t>
  </si>
  <si>
    <t>Etalle</t>
  </si>
  <si>
    <t>Eupen</t>
  </si>
  <si>
    <t>Faimes</t>
  </si>
  <si>
    <t>Farciennes</t>
  </si>
  <si>
    <t>Fauvillers</t>
  </si>
  <si>
    <t>Fernelmont</t>
  </si>
  <si>
    <t>Ferrières</t>
  </si>
  <si>
    <t>Fexhe-le-haut-Clocher</t>
  </si>
  <si>
    <t>Flémalle</t>
  </si>
  <si>
    <t>Fléron</t>
  </si>
  <si>
    <t>Fleurus</t>
  </si>
  <si>
    <t>Flobecq</t>
  </si>
  <si>
    <t>Floreffe</t>
  </si>
  <si>
    <t>Florennes</t>
  </si>
  <si>
    <t>Florenville</t>
  </si>
  <si>
    <t>Fontaine-l'Eveque</t>
  </si>
  <si>
    <t>Fosses-la-Ville</t>
  </si>
  <si>
    <t>Frameries</t>
  </si>
  <si>
    <t>Frasnes-lez-Anvaing</t>
  </si>
  <si>
    <t>Froidchapelle</t>
  </si>
  <si>
    <t>Gedinne</t>
  </si>
  <si>
    <t>Geer</t>
  </si>
  <si>
    <t>Gembloux</t>
  </si>
  <si>
    <t>Genappe</t>
  </si>
  <si>
    <t>Gerpinnes</t>
  </si>
  <si>
    <t>Gesves</t>
  </si>
  <si>
    <t>Gouvy</t>
  </si>
  <si>
    <t>Grace-Hollogne</t>
  </si>
  <si>
    <t>Grez-Doiceau</t>
  </si>
  <si>
    <t>Habay</t>
  </si>
  <si>
    <t>Hamoir</t>
  </si>
  <si>
    <t>Hamois</t>
  </si>
  <si>
    <t>Ham-sur-Heure-Nalinnes</t>
  </si>
  <si>
    <t>Hannut</t>
  </si>
  <si>
    <t>Hastière</t>
  </si>
  <si>
    <t>Havelange</t>
  </si>
  <si>
    <t>Hélecine</t>
  </si>
  <si>
    <t>Hensies</t>
  </si>
  <si>
    <t>Herbeumont</t>
  </si>
  <si>
    <t>Héron</t>
  </si>
  <si>
    <t>Herstal</t>
  </si>
  <si>
    <t>Herve</t>
  </si>
  <si>
    <t>Honnelles</t>
  </si>
  <si>
    <t>Hotton</t>
  </si>
  <si>
    <t>Houffalize</t>
  </si>
  <si>
    <t>Houyet</t>
  </si>
  <si>
    <t>Huy</t>
  </si>
  <si>
    <t>Incourt</t>
  </si>
  <si>
    <t>Ittre</t>
  </si>
  <si>
    <t>Jalhay</t>
  </si>
  <si>
    <t>Jemeppe-sur-Sambre</t>
  </si>
  <si>
    <t>Jodoigne</t>
  </si>
  <si>
    <t>Juprelle</t>
  </si>
  <si>
    <t>Jurbise</t>
  </si>
  <si>
    <t>Kelmis</t>
  </si>
  <si>
    <t>La Bruyère</t>
  </si>
  <si>
    <t>La Hulpe</t>
  </si>
  <si>
    <t>La Louvière</t>
  </si>
  <si>
    <t>la-Roche-en-Ardenne</t>
  </si>
  <si>
    <t>Lasne</t>
  </si>
  <si>
    <t>Le Roeulx</t>
  </si>
  <si>
    <t>Léglise</t>
  </si>
  <si>
    <t>Lens</t>
  </si>
  <si>
    <t>Les-Bons-Villers</t>
  </si>
  <si>
    <t>Lessines</t>
  </si>
  <si>
    <t>Leuze-en-Hainaut</t>
  </si>
  <si>
    <t>Libin</t>
  </si>
  <si>
    <t>Libramont-Chévigny</t>
  </si>
  <si>
    <t>Liège</t>
  </si>
  <si>
    <t>Lierneux</t>
  </si>
  <si>
    <t>Limbourg</t>
  </si>
  <si>
    <t>Lincent</t>
  </si>
  <si>
    <t>Lobbes</t>
  </si>
  <si>
    <t>Lontzen</t>
  </si>
  <si>
    <t>Malmédy</t>
  </si>
  <si>
    <t>Manage</t>
  </si>
  <si>
    <t>Manhay</t>
  </si>
  <si>
    <t>Marche-en-Famenne</t>
  </si>
  <si>
    <t>Marchin</t>
  </si>
  <si>
    <t>Martelange</t>
  </si>
  <si>
    <t>Meix-devant-Virton</t>
  </si>
  <si>
    <t>Merbes-le-Château</t>
  </si>
  <si>
    <t>Messancy</t>
  </si>
  <si>
    <t>Mettet</t>
  </si>
  <si>
    <t>Modave</t>
  </si>
  <si>
    <t>Momignies</t>
  </si>
  <si>
    <t>Mons</t>
  </si>
  <si>
    <t>Mont-de-l'Enclus</t>
  </si>
  <si>
    <t>Montigny-le-Tilleul</t>
  </si>
  <si>
    <t>Mont-Saint-Guibert</t>
  </si>
  <si>
    <t>Morlanwelz</t>
  </si>
  <si>
    <t>Mouscron</t>
  </si>
  <si>
    <t>Musson</t>
  </si>
  <si>
    <t>Namur</t>
  </si>
  <si>
    <t>Nandrin</t>
  </si>
  <si>
    <t>Nassogne</t>
  </si>
  <si>
    <t>Neufchâteau</t>
  </si>
  <si>
    <t>Neupré</t>
  </si>
  <si>
    <t>Nivelles</t>
  </si>
  <si>
    <t>Ohey</t>
  </si>
  <si>
    <t>Olne</t>
  </si>
  <si>
    <t>Onhaye</t>
  </si>
  <si>
    <t>Oreye</t>
  </si>
  <si>
    <t>Orp-Jauche</t>
  </si>
  <si>
    <t>Ottignies-Louvain-la-Neuve</t>
  </si>
  <si>
    <t>Ouffet</t>
  </si>
  <si>
    <t>Oupeye</t>
  </si>
  <si>
    <t>Paliseul</t>
  </si>
  <si>
    <t>Pecq</t>
  </si>
  <si>
    <t>Pepinster</t>
  </si>
  <si>
    <t>Peruwelz</t>
  </si>
  <si>
    <t>Perwez</t>
  </si>
  <si>
    <t>Philippeville</t>
  </si>
  <si>
    <t>Plombières</t>
  </si>
  <si>
    <t>Pont-à-Celles</t>
  </si>
  <si>
    <t>Profondéville</t>
  </si>
  <si>
    <t>Quaregnon</t>
  </si>
  <si>
    <t>Quévy</t>
  </si>
  <si>
    <t>Quiévrain</t>
  </si>
  <si>
    <t>Raeren</t>
  </si>
  <si>
    <t>Ramillies</t>
  </si>
  <si>
    <t>Rebecq</t>
  </si>
  <si>
    <t>Remicourt</t>
  </si>
  <si>
    <t>Rendeux</t>
  </si>
  <si>
    <t>Rixensart</t>
  </si>
  <si>
    <t>Rochefort</t>
  </si>
  <si>
    <t>Rouvroy</t>
  </si>
  <si>
    <t>Rumes</t>
  </si>
  <si>
    <t>Saint-Ode</t>
  </si>
  <si>
    <t>Saint-Georges-sur-Meuse</t>
  </si>
  <si>
    <t>Saint-Ghislain</t>
  </si>
  <si>
    <t>Saint-Hubert</t>
  </si>
  <si>
    <t>Saint-Léger</t>
  </si>
  <si>
    <t>Saint-Nicolas</t>
  </si>
  <si>
    <t>Sambreville</t>
  </si>
  <si>
    <t>Sankt-Vith</t>
  </si>
  <si>
    <t>Seneffe</t>
  </si>
  <si>
    <t>Seraing</t>
  </si>
  <si>
    <t>Silly</t>
  </si>
  <si>
    <t>Sivry-Rance</t>
  </si>
  <si>
    <t>Soignies</t>
  </si>
  <si>
    <t>Sombreffe</t>
  </si>
  <si>
    <t>Somme-Leuze</t>
  </si>
  <si>
    <t>Soumagne</t>
  </si>
  <si>
    <t>Spa</t>
  </si>
  <si>
    <t>Sprimont</t>
  </si>
  <si>
    <t>Stavelot</t>
  </si>
  <si>
    <t>Stoumont</t>
  </si>
  <si>
    <t>Tellin</t>
  </si>
  <si>
    <t>Tenneville</t>
  </si>
  <si>
    <t>Theux</t>
  </si>
  <si>
    <t>Thiminster-Clermont</t>
  </si>
  <si>
    <t>Thuin</t>
  </si>
  <si>
    <t>Tinlot</t>
  </si>
  <si>
    <t>Tintigny</t>
  </si>
  <si>
    <t>Tournai</t>
  </si>
  <si>
    <t>Trois-Ponts</t>
  </si>
  <si>
    <t>Trooz</t>
  </si>
  <si>
    <t>Tubize</t>
  </si>
  <si>
    <t>Vaux-sur-Sûre</t>
  </si>
  <si>
    <t>Verlaine</t>
  </si>
  <si>
    <t>Verviers</t>
  </si>
  <si>
    <t>Vielsalm</t>
  </si>
  <si>
    <t>Villers-la-Ville</t>
  </si>
  <si>
    <t>Villers-le-Bouillet</t>
  </si>
  <si>
    <t>Viroinval</t>
  </si>
  <si>
    <t>Virton</t>
  </si>
  <si>
    <t>Visé</t>
  </si>
  <si>
    <t>Vresse-sur-Semois</t>
  </si>
  <si>
    <t>Waimes</t>
  </si>
  <si>
    <t>Walcourt</t>
  </si>
  <si>
    <t>Walhain</t>
  </si>
  <si>
    <t>Wanze</t>
  </si>
  <si>
    <t>Waremme</t>
  </si>
  <si>
    <t>Wasseiges</t>
  </si>
  <si>
    <t>Waterloo</t>
  </si>
  <si>
    <t>Wavre</t>
  </si>
  <si>
    <t>Welkenraedt</t>
  </si>
  <si>
    <t>Wellin</t>
  </si>
  <si>
    <t>Yvoir</t>
  </si>
  <si>
    <t>Totaal Waalse gemeenten</t>
  </si>
  <si>
    <t>Brabant Wallon</t>
  </si>
  <si>
    <t>Hainaut</t>
  </si>
  <si>
    <t>Luxembourg</t>
  </si>
  <si>
    <t>Totaal Waalse aandeelhouders</t>
  </si>
  <si>
    <t>Anderlecht</t>
  </si>
  <si>
    <t>Brussel</t>
  </si>
  <si>
    <t>Elsene</t>
  </si>
  <si>
    <t>Etterbeek</t>
  </si>
  <si>
    <t>Evere</t>
  </si>
  <si>
    <t>Ganshoren</t>
  </si>
  <si>
    <t>Jette</t>
  </si>
  <si>
    <t>Koekelberg</t>
  </si>
  <si>
    <t>Oudergem</t>
  </si>
  <si>
    <t>Schaarbeek</t>
  </si>
  <si>
    <t>Sint-Agatha-Berchem</t>
  </si>
  <si>
    <t>Sint-Gillis</t>
  </si>
  <si>
    <t>Sint-Jans-Molenbeek</t>
  </si>
  <si>
    <t>Sint-Joost-ten-Node</t>
  </si>
  <si>
    <t>Sint-Lambrechts-Woluwe</t>
  </si>
  <si>
    <t>Sint-Pieters-Woluwe</t>
  </si>
  <si>
    <t>Ukkel</t>
  </si>
  <si>
    <t>Vorst</t>
  </si>
  <si>
    <t>Watermaal-Bosvoorde</t>
  </si>
  <si>
    <t>Brusselse gemeenten</t>
  </si>
  <si>
    <t>Algemeen totaal</t>
  </si>
  <si>
    <t>Certificaten:</t>
  </si>
  <si>
    <t>Intekening op kapitaalverhoging 2009:</t>
  </si>
  <si>
    <t>- aantal kopende aandeelhouders</t>
  </si>
  <si>
    <t>- aantal aandeelhouders die meededen:</t>
  </si>
  <si>
    <t>- Vlaamse:</t>
  </si>
  <si>
    <t>- Waalse:</t>
  </si>
  <si>
    <t>- Waalse</t>
  </si>
  <si>
    <t>- Brusselse:</t>
  </si>
  <si>
    <t>- aantal verkopende aandeelhouders</t>
  </si>
  <si>
    <t xml:space="preserve">- aantal aandeelhouders die niet meededen </t>
  </si>
  <si>
    <t>ONTVANGSTEN versus UITGAVEN</t>
  </si>
  <si>
    <t>Eigen dienstjaar</t>
  </si>
  <si>
    <t>Gecorr. Ontvangst</t>
  </si>
  <si>
    <t>Saldi eigen dienstjaar/autofinancieringsmarge</t>
  </si>
  <si>
    <t>Eigen dj. Rekening</t>
  </si>
  <si>
    <t>Eigen dj. Budget</t>
  </si>
  <si>
    <t>Vorige dj.</t>
  </si>
  <si>
    <t>Overboek.</t>
  </si>
  <si>
    <t>Res. dj.</t>
  </si>
  <si>
    <t>Begr. res. vj.</t>
  </si>
  <si>
    <t>Begr.res.</t>
  </si>
  <si>
    <t>Form T</t>
  </si>
  <si>
    <t>Boekh.res.</t>
  </si>
  <si>
    <t>Economische groepen</t>
  </si>
  <si>
    <t>Werking</t>
  </si>
  <si>
    <t>gemidd.</t>
  </si>
  <si>
    <t>Bestedingspercentages</t>
  </si>
  <si>
    <t>gemid.</t>
  </si>
  <si>
    <t>Hospitalisatieverzekering</t>
  </si>
  <si>
    <t>Premie</t>
  </si>
  <si>
    <t>Ex-Ethias</t>
  </si>
  <si>
    <t>2001-2004</t>
  </si>
  <si>
    <t>2005-2007</t>
  </si>
  <si>
    <t>2008-2010</t>
  </si>
  <si>
    <t>2011-2013</t>
  </si>
  <si>
    <t>2014-2017</t>
  </si>
  <si>
    <t xml:space="preserve">AG </t>
  </si>
  <si>
    <t>Ethias 2018</t>
  </si>
  <si>
    <t>AXA</t>
  </si>
  <si>
    <t>Axa versus Ethias 18</t>
  </si>
  <si>
    <t xml:space="preserve">&lt; 20 </t>
  </si>
  <si>
    <t>21-49</t>
  </si>
  <si>
    <t>50-64</t>
  </si>
  <si>
    <t>65-69</t>
  </si>
  <si>
    <t>bedrag tlv gepensioneerde</t>
  </si>
  <si>
    <t>premie basisformule tweepersoonskamer</t>
  </si>
  <si>
    <t>Kostprijs</t>
  </si>
  <si>
    <t>KP stad</t>
  </si>
  <si>
    <t>KP OCMW</t>
  </si>
  <si>
    <t>AR 6221100</t>
  </si>
  <si>
    <t>vastbenoemden</t>
  </si>
  <si>
    <t>stad</t>
  </si>
  <si>
    <t>AR 6222100</t>
  </si>
  <si>
    <t>gesco</t>
  </si>
  <si>
    <t>AR 6223100</t>
  </si>
  <si>
    <t>contractuelen</t>
  </si>
  <si>
    <t>Responsabiliseringsbijdrage</t>
  </si>
  <si>
    <t>1. Pensioenen lokale ambtenaren volledig ten laste van lokale besturen</t>
  </si>
  <si>
    <t>2. Huidige pensioenbijdragen financieren de huidige pensioenlasten</t>
  </si>
  <si>
    <t>STAD</t>
  </si>
  <si>
    <t>Pensioenlast PDOS</t>
  </si>
  <si>
    <t>Verhouding pens.last/loonmassa</t>
  </si>
  <si>
    <t>Verschil pensioenbijdrage en pensioenlast</t>
  </si>
  <si>
    <t>korting responsabiliseringsbijdrage</t>
  </si>
  <si>
    <t>Netto Respons.bijdrage *</t>
  </si>
  <si>
    <t>Gecumuleerde respo bijdrage stad en ocmw</t>
  </si>
  <si>
    <t>compensatie Vlaanderen</t>
  </si>
  <si>
    <t>Respo bijdrag stad en ocmw na compensatie</t>
  </si>
  <si>
    <t>respo bijdrage jaar x betaalbaar in jaar x+1</t>
  </si>
  <si>
    <t>TM 1 Personeel</t>
  </si>
  <si>
    <t>Aantal voltijds equivalenten (VTE)</t>
  </si>
  <si>
    <t>Vastbenoemd</t>
  </si>
  <si>
    <t>Niveau A</t>
  </si>
  <si>
    <t>Niveau B</t>
  </si>
  <si>
    <t>Niveau C</t>
  </si>
  <si>
    <t>Niveau D</t>
  </si>
  <si>
    <t>Niveau E</t>
  </si>
  <si>
    <t>Contractueel (niet-gesco)</t>
  </si>
  <si>
    <t>(Weer-werk) Geco</t>
  </si>
  <si>
    <t xml:space="preserve">Aantal personeelsleden </t>
  </si>
  <si>
    <t>Statutair</t>
  </si>
  <si>
    <t>GECO</t>
  </si>
  <si>
    <t>Ww-Gesco</t>
  </si>
  <si>
    <t>Contract.</t>
  </si>
  <si>
    <t>Soc Mar</t>
  </si>
  <si>
    <t>Overige</t>
  </si>
  <si>
    <t>Eigen aandeel investeringen</t>
  </si>
  <si>
    <t>Eigen A.</t>
  </si>
  <si>
    <t>Overdr.</t>
  </si>
  <si>
    <t>Invest.</t>
  </si>
  <si>
    <t>DGL</t>
  </si>
  <si>
    <t>Vorige dj</t>
  </si>
  <si>
    <t>Leningen</t>
  </si>
  <si>
    <t>laatste 5 j</t>
  </si>
  <si>
    <t>legislatuur</t>
  </si>
  <si>
    <t>Realisatiegraad buitengewone dienst</t>
  </si>
  <si>
    <t xml:space="preserve">Budget </t>
  </si>
  <si>
    <t>Niet-real.</t>
  </si>
  <si>
    <t>Realis.</t>
  </si>
  <si>
    <t>Omschrijving investering</t>
  </si>
  <si>
    <t>Subsidies</t>
  </si>
  <si>
    <t>Eigen aandeel</t>
  </si>
  <si>
    <t>104/</t>
  </si>
  <si>
    <t>de Seylsteen</t>
  </si>
  <si>
    <t>10400/722-60</t>
  </si>
  <si>
    <t>Administratief centrum en bibliotheek</t>
  </si>
  <si>
    <t>10400/723-60</t>
  </si>
  <si>
    <t>Restauratie Cellenbroederklooster</t>
  </si>
  <si>
    <t>10400/742-53</t>
  </si>
  <si>
    <t>Aankoop hard- &amp; software</t>
  </si>
  <si>
    <t>35100/743-98</t>
  </si>
  <si>
    <t>Aankoop brandweervoertuigen</t>
  </si>
  <si>
    <t>35100/744-51</t>
  </si>
  <si>
    <t>Aankoop expl.mat. &amp; uitr. brandweer</t>
  </si>
  <si>
    <t>42100/</t>
  </si>
  <si>
    <t>Evenementenhall</t>
  </si>
  <si>
    <t>42100/711-57</t>
  </si>
  <si>
    <t xml:space="preserve">aankoop gronden </t>
  </si>
  <si>
    <t>42100/711-60</t>
  </si>
  <si>
    <t>aankoop onbebouwde gronden</t>
  </si>
  <si>
    <t>42100/712-54</t>
  </si>
  <si>
    <t xml:space="preserve">aankoop gebouw </t>
  </si>
  <si>
    <t>76200/723-60</t>
  </si>
  <si>
    <t>inrichten evenementenhall studiekosten</t>
  </si>
  <si>
    <t>10408/</t>
  </si>
  <si>
    <t>DGL AGB Bouw Evenementenhall/brandweer</t>
  </si>
  <si>
    <t>42100/731-60</t>
  </si>
  <si>
    <t>Wegeniswerken</t>
  </si>
  <si>
    <t>B.O. diverse wegeniswerken</t>
  </si>
  <si>
    <t>B.O. &amp; aanleg voetpaden</t>
  </si>
  <si>
    <t>B.O. asfalt &amp; beton diverse wegen</t>
  </si>
  <si>
    <t>B.O. gemeentewegen</t>
  </si>
  <si>
    <t>Heraanleg P. Benoitlaan (thv Seylsteen)</t>
  </si>
  <si>
    <t xml:space="preserve">Fietspad Vaartstraat </t>
  </si>
  <si>
    <t>Fietspad Avekapelle - Veurne</t>
  </si>
  <si>
    <t>42100/743-52</t>
  </si>
  <si>
    <t>Aankoop voertuigen TD</t>
  </si>
  <si>
    <t>42100/744-51</t>
  </si>
  <si>
    <t>Aankoop expl.mat. &amp; uitrusting TD</t>
  </si>
  <si>
    <t>42500/734-60</t>
  </si>
  <si>
    <t>Aankoop beplantingen</t>
  </si>
  <si>
    <t>48200/732-60</t>
  </si>
  <si>
    <t>Watergebonden kunstwerken</t>
  </si>
  <si>
    <t>56100/723-60</t>
  </si>
  <si>
    <t>Bezoekerscentrum</t>
  </si>
  <si>
    <t>73400/744-51</t>
  </si>
  <si>
    <t>Aankoop instrum.&amp;audio-apparatuur</t>
  </si>
  <si>
    <t>76201/723-60</t>
  </si>
  <si>
    <t>76201/724-60</t>
  </si>
  <si>
    <t>Dak OC De Caroline</t>
  </si>
  <si>
    <t>76200/</t>
  </si>
  <si>
    <t>Wijkhuis Voorstad (AGB)</t>
  </si>
  <si>
    <t>76300/744-51</t>
  </si>
  <si>
    <t>Aankoop expl.mat. &amp; uitr. feestelijkh.</t>
  </si>
  <si>
    <t>B.O. zwembad</t>
  </si>
  <si>
    <t>76402/722-60</t>
  </si>
  <si>
    <t>Sportgebouwen</t>
  </si>
  <si>
    <t>Schutterspers &amp; -kantine Houtem</t>
  </si>
  <si>
    <t>Ontwerper uitbreiding sportpark</t>
  </si>
  <si>
    <t>Coberghersportpark + buitenaanleg</t>
  </si>
  <si>
    <t>76600/</t>
  </si>
  <si>
    <t>Groene Wig / Vaubanpark</t>
  </si>
  <si>
    <t>76600/743-52</t>
  </si>
  <si>
    <t>Aankoop voertuigen groendienst</t>
  </si>
  <si>
    <t>76600/744-51</t>
  </si>
  <si>
    <t>Aankoop expl.mat. &amp; uitrust. groendienst</t>
  </si>
  <si>
    <t>76700/742-53</t>
  </si>
  <si>
    <t>Hardware bib - oa zelfuitleenbalie</t>
  </si>
  <si>
    <t>77300/512-51</t>
  </si>
  <si>
    <t>Restauratiepremies</t>
  </si>
  <si>
    <t>KF St. Walburga</t>
  </si>
  <si>
    <t>KF St. Niklaas</t>
  </si>
  <si>
    <t>De Ploeg</t>
  </si>
  <si>
    <t>77300/724-60</t>
  </si>
  <si>
    <t>Restauratie geklasseerde gebouwen</t>
  </si>
  <si>
    <t>Spaans Paviljoen - noordelijk dak</t>
  </si>
  <si>
    <t>B.O. kerk Vinkem</t>
  </si>
  <si>
    <t>St. Niklaaskerk - toren</t>
  </si>
  <si>
    <t>St. Niklaaskerk - portaal</t>
  </si>
  <si>
    <t>Kerk Avekapelle</t>
  </si>
  <si>
    <t>Toegankelijkheid Stadhuis</t>
  </si>
  <si>
    <t>B.O. kerk Wulveringem</t>
  </si>
  <si>
    <t>B.O. pastorie Wulveringem</t>
  </si>
  <si>
    <t>Daken Stadhuis</t>
  </si>
  <si>
    <t>Blauwe Zusters</t>
  </si>
  <si>
    <t>Kerk Booitshoeke</t>
  </si>
  <si>
    <t>Kerk Eggewaartskapelle</t>
  </si>
  <si>
    <t>83100/635-51</t>
  </si>
  <si>
    <t>OCMW investeringstoelage</t>
  </si>
  <si>
    <t>87600/635-51</t>
  </si>
  <si>
    <t>Investeringssub. containerpark</t>
  </si>
  <si>
    <t>87700/732-60</t>
  </si>
  <si>
    <t>Rioleringswerken</t>
  </si>
  <si>
    <t>Noordelijk omleiding RWA Beauvoorde</t>
  </si>
  <si>
    <t>Oratorie-, Paviljoen- en Molenstraat</t>
  </si>
  <si>
    <t>Calonnegracht</t>
  </si>
  <si>
    <t>Riolerings- en wegenisw.  de Haenelaan</t>
  </si>
  <si>
    <t>Proostdijkstraat</t>
  </si>
  <si>
    <t>Fietspad N35 - Klokhofstraat</t>
  </si>
  <si>
    <t>Rioleringswerken Steenkerke</t>
  </si>
  <si>
    <t>93000/733-60</t>
  </si>
  <si>
    <t>RUP's</t>
  </si>
  <si>
    <t>Elektr</t>
  </si>
  <si>
    <t>Gas</t>
  </si>
  <si>
    <t>ijspiste</t>
  </si>
  <si>
    <t>Elektriciteit</t>
  </si>
  <si>
    <t>Totaal Elektr</t>
  </si>
  <si>
    <t>Totaal Gas</t>
  </si>
  <si>
    <t>Verdere uitsplitsing van de gegevens per afnamepunt</t>
  </si>
  <si>
    <t>Schema OUD De financiële schulden STAD</t>
  </si>
  <si>
    <t>Inhoud!A1</t>
  </si>
  <si>
    <t>Financiële schulden tlv bestuur</t>
  </si>
  <si>
    <t>A. Financiële schulden op  1 januari</t>
  </si>
  <si>
    <t>B. Nieuwe leningen</t>
  </si>
  <si>
    <t>C. Periodieke aflossingen</t>
  </si>
  <si>
    <t>D. Niet-periodieke aflossingen</t>
  </si>
  <si>
    <t>E. Financiële schulden op  31 dec. (A+B-C-D)</t>
  </si>
  <si>
    <t>F. Intresten</t>
  </si>
  <si>
    <t>G. Periodieke leningslasten (C+F)</t>
  </si>
  <si>
    <t>Financiële schulden tlv van derden</t>
  </si>
  <si>
    <t>EIGEN AANDEEL</t>
  </si>
  <si>
    <t>FORTIS</t>
  </si>
  <si>
    <t>2013</t>
  </si>
  <si>
    <t>2014</t>
  </si>
  <si>
    <t>Saldo op 1/1</t>
  </si>
  <si>
    <t>Nieuwe leningen</t>
  </si>
  <si>
    <t>Aflossingen dienstjaar</t>
  </si>
  <si>
    <t>Saldo 31/12</t>
  </si>
  <si>
    <t>Interesten</t>
  </si>
  <si>
    <t>Jaarlijkse last</t>
  </si>
  <si>
    <t>KBC</t>
  </si>
  <si>
    <t>BELFIUS</t>
  </si>
  <si>
    <t>ING</t>
  </si>
  <si>
    <t>NIEUWE LENINGEN</t>
  </si>
  <si>
    <t>Saldo 1/1</t>
  </si>
  <si>
    <t>Jaarlijkse lasten</t>
  </si>
  <si>
    <t xml:space="preserve">DERDEN-AGB </t>
  </si>
  <si>
    <t>2012</t>
  </si>
  <si>
    <t>DERDEN</t>
  </si>
  <si>
    <t xml:space="preserve">EIGEN AANDEEL </t>
  </si>
  <si>
    <t>Intresten</t>
  </si>
  <si>
    <t>DERDEN - AGB</t>
  </si>
  <si>
    <t xml:space="preserve">DERDEN </t>
  </si>
  <si>
    <t>DERDEN  - KERKFABRIEKEN</t>
  </si>
  <si>
    <t>Financiële schulden op 31 december</t>
  </si>
  <si>
    <t>A. Financiële schulden op lange termijn</t>
  </si>
  <si>
    <t>1. Financiële schulden op 1 januari</t>
  </si>
  <si>
    <t>2. Nieuwe leningen</t>
  </si>
  <si>
    <t>3. Aflossingen</t>
  </si>
  <si>
    <t>4. Overboekingen</t>
  </si>
  <si>
    <t>5. Andere mutaties</t>
  </si>
  <si>
    <t>B. Financiële schulden op lange termijn die binnen het jaar vervallen</t>
  </si>
  <si>
    <t>2. Aflossingen</t>
  </si>
  <si>
    <t>3. Overboekingen</t>
  </si>
  <si>
    <t>4. Andere mutaties</t>
  </si>
  <si>
    <t>C. Financiële schulden op  korte termijn</t>
  </si>
  <si>
    <t>Totaal financiële schulden</t>
  </si>
  <si>
    <t>intresten</t>
  </si>
  <si>
    <t>Berekening autofinancieringsmarge en gecorrigeerde autofinancieringsmarge (BBC 2020)</t>
  </si>
  <si>
    <t>Autofinancieringsmarge</t>
  </si>
  <si>
    <t>Algemene rekeningen (AR) voor de budgettaire verrichtingen</t>
  </si>
  <si>
    <t>I. Exploitatiesaldo</t>
  </si>
  <si>
    <t>(a-b)</t>
  </si>
  <si>
    <t>a. Ontvangsten</t>
  </si>
  <si>
    <t xml:space="preserve">AR 70 tot en met 75 + AR 7940 </t>
  </si>
  <si>
    <t>b. Uitgaven</t>
  </si>
  <si>
    <t>AR 60 tot en met 65 + AR 6940</t>
  </si>
  <si>
    <t>II. Netto periodieke aflossingen</t>
  </si>
  <si>
    <t>a. Periodieke aflossingen conform de verbintenissen</t>
  </si>
  <si>
    <t>AR 421 tot en met 424 (uitgezonderd AR 424-2 en 424-3 voor geïntegreerde rapporten gemeente en OCMW)</t>
  </si>
  <si>
    <t>b. Periodieke terugvordering leningen</t>
  </si>
  <si>
    <t>AR 4943 (uitgezonderd AR 4943-2 en 4943-3 voor geïntegreerde rapporten gemeente en OCMW) + AR 4944 + AR 4952</t>
  </si>
  <si>
    <t>III. Autofinancieringsmarge</t>
  </si>
  <si>
    <t>(I-II)</t>
  </si>
  <si>
    <t>Gecorrigeerde autofinancieringsmarge</t>
  </si>
  <si>
    <t>I. Autofinancieringsmarge</t>
  </si>
  <si>
    <t xml:space="preserve">zie bovenstaand schema </t>
  </si>
  <si>
    <t>II. Correctie op de periodieke aflossingen</t>
  </si>
  <si>
    <t>zie bovenstaand schema</t>
  </si>
  <si>
    <t>b. Gecorrigeerde aflossingen o.b.v. de financiële schulden</t>
  </si>
  <si>
    <t xml:space="preserve">8% van de totale uitstaande financiële schulden per 31/12/J-1 (*) </t>
  </si>
  <si>
    <t>III. Gecorrigeerde autofinancieringsmarge</t>
  </si>
  <si>
    <t>(I+II)</t>
  </si>
  <si>
    <t>SCHULD</t>
  </si>
  <si>
    <t>Gemeente</t>
  </si>
  <si>
    <t>AGB/KF</t>
  </si>
  <si>
    <t>Intern nr.</t>
  </si>
  <si>
    <t>Bank nr</t>
  </si>
  <si>
    <t>Lasten</t>
  </si>
  <si>
    <t>Openst.schuld</t>
  </si>
  <si>
    <t>Looptijd</t>
  </si>
  <si>
    <t>Herz.per.</t>
  </si>
  <si>
    <t>Aanvang</t>
  </si>
  <si>
    <t xml:space="preserve">Herz.datum </t>
  </si>
  <si>
    <t>Einde</t>
  </si>
  <si>
    <t>Intrest</t>
  </si>
  <si>
    <t>Marge</t>
  </si>
  <si>
    <t>Aanbest</t>
  </si>
  <si>
    <t>Forward fix</t>
  </si>
  <si>
    <t>Huidige rente</t>
  </si>
  <si>
    <t>Type afl</t>
  </si>
  <si>
    <t>Ref.rente</t>
  </si>
  <si>
    <t>Ber.basis</t>
  </si>
  <si>
    <t>011-8056531-62</t>
  </si>
  <si>
    <t>Diverse investeringe</t>
  </si>
  <si>
    <t>vast semestrialiteit</t>
  </si>
  <si>
    <t>IRS ask duration-gottex</t>
  </si>
  <si>
    <t>245-5631378-39</t>
  </si>
  <si>
    <t>DGL KF St-Walburga</t>
  </si>
  <si>
    <t>derden</t>
  </si>
  <si>
    <t>2007-2009</t>
  </si>
  <si>
    <t>360/360</t>
  </si>
  <si>
    <t>245-5631380-41</t>
  </si>
  <si>
    <t>245-5631384-45</t>
  </si>
  <si>
    <t>DGL AGB Wijkhuis voorstad</t>
  </si>
  <si>
    <t>245-5631387-48</t>
  </si>
  <si>
    <t>245-5730809-45</t>
  </si>
  <si>
    <t>245-5730818-54</t>
  </si>
  <si>
    <t>80-114101-55</t>
  </si>
  <si>
    <t>RWA Beauvoorde</t>
  </si>
  <si>
    <t>0,01 %</t>
  </si>
  <si>
    <t>80-114102-56</t>
  </si>
  <si>
    <t>BO gemeentewegen</t>
  </si>
  <si>
    <t>80-114103-57</t>
  </si>
  <si>
    <t>80-114104-58</t>
  </si>
  <si>
    <t>Riolering Oratoriestraat</t>
  </si>
  <si>
    <t>80-114105-59</t>
  </si>
  <si>
    <t>De Seylsteen</t>
  </si>
  <si>
    <t>80-114677-49</t>
  </si>
  <si>
    <t>Cellenbroeder</t>
  </si>
  <si>
    <t>360/361</t>
  </si>
  <si>
    <t>80-114676-48</t>
  </si>
  <si>
    <t>360/362</t>
  </si>
  <si>
    <t>80-114678-50</t>
  </si>
  <si>
    <t>360/363</t>
  </si>
  <si>
    <t>726-2062079-36</t>
  </si>
  <si>
    <t>Wulveringemstraat</t>
  </si>
  <si>
    <t>act/360</t>
  </si>
  <si>
    <t>726-2062086-43</t>
  </si>
  <si>
    <t>726-3911635-93</t>
  </si>
  <si>
    <t>Administratief centrum</t>
  </si>
  <si>
    <t>726-3911650-11</t>
  </si>
  <si>
    <t>Presendestraat</t>
  </si>
  <si>
    <t>726-3911652-13</t>
  </si>
  <si>
    <t>Electr.cab.P.Benoitlaan</t>
  </si>
  <si>
    <t>726-3911653-14</t>
  </si>
  <si>
    <t>Rio-herrekening</t>
  </si>
  <si>
    <t>420-2275594-78</t>
  </si>
  <si>
    <t>Lening 2017-2018</t>
  </si>
  <si>
    <t>245-7568414-82</t>
  </si>
  <si>
    <t>Lening 2014</t>
  </si>
  <si>
    <t>geen</t>
  </si>
  <si>
    <t>245-7756871-68</t>
  </si>
  <si>
    <t>Lening 2015</t>
  </si>
  <si>
    <t>FINANCIERING VIA OVERBOEKINGEN</t>
  </si>
  <si>
    <t>bg reservefonds Figga</t>
  </si>
  <si>
    <t>bg reservefonds</t>
  </si>
  <si>
    <t>gewoon reservefonds</t>
  </si>
  <si>
    <t>ex-Investeringsfonds</t>
  </si>
  <si>
    <t>Dexia II financiering BD</t>
  </si>
  <si>
    <t>Dexia I vervroegde aflossing</t>
  </si>
  <si>
    <t>afname gew.reservefonds</t>
  </si>
  <si>
    <t>bg reservefonds AC&amp;BIB</t>
  </si>
  <si>
    <t>financiering BD</t>
  </si>
  <si>
    <t>ex-investeringsfonds</t>
  </si>
  <si>
    <t>bg reserverfonds Figga</t>
  </si>
  <si>
    <t>bg reservefonds Sporthal en Blauwe Zusters</t>
  </si>
  <si>
    <t>Zilverfonds</t>
  </si>
  <si>
    <t>Publi T kapitaalsverhoging</t>
  </si>
  <si>
    <t>bg reserevfonds Blauwe Zusters en Sporthal</t>
  </si>
  <si>
    <t>verkoop Distrigas</t>
  </si>
  <si>
    <t>zilverfonds</t>
  </si>
  <si>
    <t>zilverifonds</t>
  </si>
  <si>
    <t>ex-investeringsonds</t>
  </si>
  <si>
    <t>Bg Dienst</t>
  </si>
  <si>
    <t>Figga</t>
  </si>
  <si>
    <t>Andere</t>
  </si>
  <si>
    <t>AC&amp;Bib</t>
  </si>
  <si>
    <t>Bl.Z&amp;Sport</t>
  </si>
  <si>
    <t>Gew Res.</t>
  </si>
  <si>
    <t>Sinds de invoering van de BBC op 1/1/2014 bestaat er geen afzonderlijke financiering gewone dienst versus buitengewone dienst</t>
  </si>
  <si>
    <t>ofwel exploitatie versus investeringen in BBC termen. Er is één liquiditeit, één resultaat.</t>
  </si>
  <si>
    <t>Uitsplitsing patrimoniumpolis : 38.102.199</t>
  </si>
  <si>
    <t>4,82273 %</t>
  </si>
  <si>
    <t>oude premie</t>
  </si>
  <si>
    <t>2016</t>
  </si>
  <si>
    <t>INDEX : 705</t>
  </si>
  <si>
    <t>gebouw</t>
  </si>
  <si>
    <t>inhoud</t>
  </si>
  <si>
    <t>PREMIE</t>
  </si>
  <si>
    <t>artikel</t>
  </si>
  <si>
    <t>Sinds 2020</t>
  </si>
  <si>
    <t>premie</t>
  </si>
  <si>
    <t>verrekening korting</t>
  </si>
  <si>
    <t>Knollestraat z/n - toren van de St. Jan-Onthoofdkerk Eggew</t>
  </si>
  <si>
    <t>79000/125-08</t>
  </si>
  <si>
    <t>0790-00 6120100</t>
  </si>
  <si>
    <t>0790-00 612000</t>
  </si>
  <si>
    <t>St. Audomaruskerk Vinkem</t>
  </si>
  <si>
    <t>0705-01 612000</t>
  </si>
  <si>
    <t>Vinkemstraat 13 : Ontmoetingscentrum &amp; kinderopvang</t>
  </si>
  <si>
    <t>0945-00 612000</t>
  </si>
  <si>
    <t>Wulveringem z/n : Pastorij</t>
  </si>
  <si>
    <t>Askappelplein 17 : Woning + klaslokalen</t>
  </si>
  <si>
    <t>Noordstraat 16 : Cultureel centrum &amp; muziekschool</t>
  </si>
  <si>
    <t>73400/125-08</t>
  </si>
  <si>
    <t>0820-01 612000</t>
  </si>
  <si>
    <t>Kerkhoek z/n : Toren O.L.V.-Hemelvaartkerk</t>
  </si>
  <si>
    <t>Dorpsstraat 11 : kinderopvang, jeugdbeweging &amp; muziekacademie</t>
  </si>
  <si>
    <t>Oude Vestingstraat z/n : Archiefruimte</t>
  </si>
  <si>
    <t>10400/125-08</t>
  </si>
  <si>
    <t>0119-00 6120100</t>
  </si>
  <si>
    <t>0119-00 612000</t>
  </si>
  <si>
    <t>St.-Niklaasplaats : Toren St. Niklaaskerk</t>
  </si>
  <si>
    <t>Sportpark z/n</t>
  </si>
  <si>
    <t>Kantine voetbal</t>
  </si>
  <si>
    <t>0742-03 612000</t>
  </si>
  <si>
    <t>Kleedkamers voetbal</t>
  </si>
  <si>
    <t>Kantine boogschutters</t>
  </si>
  <si>
    <t>Tribune met kleedkamers</t>
  </si>
  <si>
    <t>Nutsgebouw tennis</t>
  </si>
  <si>
    <t>Nutsgebouw atletiek</t>
  </si>
  <si>
    <t>gebouwen speelplein</t>
  </si>
  <si>
    <t>0752-00</t>
  </si>
  <si>
    <t>0752-00 612000</t>
  </si>
  <si>
    <t>Jeugdcentrum</t>
  </si>
  <si>
    <t>Kinderopvang &amp; jeugdlokalen "Briekeljong II"</t>
  </si>
  <si>
    <t>Bulskampstraat 92 : kinderopvang</t>
  </si>
  <si>
    <t>84401/125-08</t>
  </si>
  <si>
    <t>Kerkstraat 1 : Houten schoollokalen</t>
  </si>
  <si>
    <t>Haenestraat 6</t>
  </si>
  <si>
    <t>Gemeente- en vrije school</t>
  </si>
  <si>
    <t>72200/125-08</t>
  </si>
  <si>
    <t>Nieuwe school</t>
  </si>
  <si>
    <t>Inhoud in het algemeen</t>
  </si>
  <si>
    <t>Electriciteitskabine</t>
  </si>
  <si>
    <t>Centrum Steenkerke : Kerktoren</t>
  </si>
  <si>
    <t>Noordstraat 163</t>
  </si>
  <si>
    <t>Schrijnwerkerij met autoberging</t>
  </si>
  <si>
    <t>42100/125-08</t>
  </si>
  <si>
    <t>0119-02 6120100</t>
  </si>
  <si>
    <t>0119-02 612000</t>
  </si>
  <si>
    <t>Houten open loods</t>
  </si>
  <si>
    <t>Inhoud algemeen</t>
  </si>
  <si>
    <t>Inhoud van uitdrijvingen</t>
  </si>
  <si>
    <t>loods</t>
  </si>
  <si>
    <t>metalen frisomat loods</t>
  </si>
  <si>
    <t>Stadspark Kiosk</t>
  </si>
  <si>
    <t>tuinhuisje</t>
  </si>
  <si>
    <t>0680-00 612000</t>
  </si>
  <si>
    <t>Open kiosk</t>
  </si>
  <si>
    <t>32 Grote schaakstukken</t>
  </si>
  <si>
    <t>St. Denisplaats 16</t>
  </si>
  <si>
    <t>administratief gebouw</t>
  </si>
  <si>
    <t>Grote Markt z/n : kantoren Handelskamer</t>
  </si>
  <si>
    <t>12400/125-08</t>
  </si>
  <si>
    <t>0050-00 6120100</t>
  </si>
  <si>
    <t>0050-00 612000</t>
  </si>
  <si>
    <t>Grote Markt z/n : kantoren VVV, archief, leegstaande lokalen</t>
  </si>
  <si>
    <t>Dorpsplaats z/n : kerktoren St. Bertinuskerk</t>
  </si>
  <si>
    <t>Kerkstraat 2 : kerktoren Avekapelle</t>
  </si>
  <si>
    <t>Sint-Denisplaats : zwembad met cafetaria</t>
  </si>
  <si>
    <t>0742-02 612000</t>
  </si>
  <si>
    <t>Grote Markt 1 : Leegstaand gebouw</t>
  </si>
  <si>
    <t>73401/125-08</t>
  </si>
  <si>
    <t>0820-02 6120100</t>
  </si>
  <si>
    <t>0820-02 612000</t>
  </si>
  <si>
    <t>Hoek Oosstraat z/n : Tentoonstellingsruimte &amp; cafetaria</t>
  </si>
  <si>
    <t>Noordstraat z/n : dienstgebouw kerkhof</t>
  </si>
  <si>
    <t>0990-00 612000</t>
  </si>
  <si>
    <t>Oude Vestingstraat z/n : Brandweerkazerne</t>
  </si>
  <si>
    <t>35100/125-08</t>
  </si>
  <si>
    <t>0050-01 6120100</t>
  </si>
  <si>
    <t>0410-00 612000</t>
  </si>
  <si>
    <t>Hoek K. Coggelaan/Rösrathplein : Sporthal</t>
  </si>
  <si>
    <t>Zuidstraat z/n : Electriciteitskabine</t>
  </si>
  <si>
    <t>76601/125-08</t>
  </si>
  <si>
    <t>Bieswalplein 1 : kinderopvang</t>
  </si>
  <si>
    <t>Pannestraat 3</t>
  </si>
  <si>
    <t>St. Idesbaldusstraat z/n : garages</t>
  </si>
  <si>
    <t>Ooststraat 28 : les- en repetitielokaal muziekacademie</t>
  </si>
  <si>
    <t>Kaaiplaats z/n : nutsgebouw</t>
  </si>
  <si>
    <t>76500/125-08</t>
  </si>
  <si>
    <t>0520-00 612000</t>
  </si>
  <si>
    <t>Bulskampstraat z/n : sportzaal met cafetaria</t>
  </si>
  <si>
    <t>0742-04 612000</t>
  </si>
  <si>
    <t>Gouden Hoofdstraat 17 : ontmoetingscentrum</t>
  </si>
  <si>
    <t>Albert I-laan 31 : brandweerkazerne (fuifzaal AGB)</t>
  </si>
  <si>
    <t>De citerne : tentoonstellingsruimte</t>
  </si>
  <si>
    <t>Zuidkapelweg z/n : wijklokaal</t>
  </si>
  <si>
    <t>76201-125-08</t>
  </si>
  <si>
    <t>Galgenhoek z/n : houten kleedruimte</t>
  </si>
  <si>
    <t>Loods oude Suikerfabriek Veurne</t>
  </si>
  <si>
    <t>Houtemstraat z/nr (clublokaal met cafetaria schutters)</t>
  </si>
  <si>
    <t>Brikkerijstraat (Suikerklontje) é houten tuinhuis</t>
  </si>
  <si>
    <t>0705-00 6120100</t>
  </si>
  <si>
    <t>Vaubanpark : openbaar toilet</t>
  </si>
  <si>
    <t>BKO Benjamien - Brugsesteenweg 101</t>
  </si>
  <si>
    <t>Daniël de Haenelaan 50 (HOB)</t>
  </si>
  <si>
    <t>creditnota te ontvangen</t>
  </si>
  <si>
    <t>creditnota</t>
  </si>
  <si>
    <t>0820-02 6210100</t>
  </si>
  <si>
    <t>OVERZICHT DIVERSE POLISSEN</t>
  </si>
  <si>
    <t>POLIS</t>
  </si>
  <si>
    <t>VERZEKERDE WAARDE</t>
  </si>
  <si>
    <t>Alle risico's permanent verblijf kunstwerken</t>
  </si>
  <si>
    <t>Alle risico's electronica</t>
  </si>
  <si>
    <t>alle risico's oproepsysteem brandweer</t>
  </si>
  <si>
    <t>Globale verzekering tegen diefstal</t>
  </si>
  <si>
    <t>B.A. Bewonerplatforms</t>
  </si>
  <si>
    <t>L.O. leden bewonerplatforms</t>
  </si>
  <si>
    <t>L.O. leden gemeentelijke adviesraden</t>
  </si>
  <si>
    <t>L.O. gemeenteschool Steenkerke</t>
  </si>
  <si>
    <t>L.O. Muziekacademie</t>
  </si>
  <si>
    <t>B.A. &amp; L.O. fiets- en wandeltochten toerisme</t>
  </si>
  <si>
    <t>ABA</t>
  </si>
  <si>
    <t>BA Vrijwilligers</t>
  </si>
  <si>
    <t>BA Lokale mandatarissen</t>
  </si>
  <si>
    <t>omnium dienstverplaatsingen personeelsleden</t>
  </si>
  <si>
    <t>omnium dienstverplaatsingen brandweer</t>
  </si>
  <si>
    <t>GLOBAAL</t>
  </si>
  <si>
    <t>STADSBESTUUR VAN VEURNE : vlootlijst, toestand op 24 november 2016</t>
  </si>
  <si>
    <t>KARAKTERISTIEKEN VAN DE VOERTUIGEN</t>
  </si>
  <si>
    <t>JAARPREMIES ZONDER TAKS EN BIJDRAGEN</t>
  </si>
  <si>
    <t>Polis</t>
  </si>
  <si>
    <t>Merk</t>
  </si>
  <si>
    <t>Plaat</t>
  </si>
  <si>
    <t>KW</t>
  </si>
  <si>
    <t>Cyl.</t>
  </si>
  <si>
    <t>GEW</t>
  </si>
  <si>
    <t>Catalogus</t>
  </si>
  <si>
    <t>V. P.</t>
  </si>
  <si>
    <t>BM</t>
  </si>
  <si>
    <t>Categ.</t>
  </si>
  <si>
    <t>B.A.</t>
  </si>
  <si>
    <t>Diefstal</t>
  </si>
  <si>
    <t>S.S.</t>
  </si>
  <si>
    <t>Glas</t>
  </si>
  <si>
    <t>Rechtsbijst</t>
  </si>
  <si>
    <t>Brand</t>
  </si>
  <si>
    <t>B.S.</t>
  </si>
  <si>
    <t>Taksen</t>
  </si>
  <si>
    <t>0119-00 6120160</t>
  </si>
  <si>
    <t xml:space="preserve">OMNIUM-DIENSTVERPL  </t>
  </si>
  <si>
    <t xml:space="preserve">            </t>
  </si>
  <si>
    <t>Dienst verplaatsingen</t>
  </si>
  <si>
    <t xml:space="preserve">CITROEN             </t>
  </si>
  <si>
    <t>LMX126</t>
  </si>
  <si>
    <t>interne zaken (De Seylsteen)</t>
  </si>
  <si>
    <t>OMNIUM-DIENST OCMW/STAD</t>
  </si>
  <si>
    <t>Dienstverplaatsingen stad &amp; OCMW</t>
  </si>
  <si>
    <t>TECHNISCHE DIENST</t>
  </si>
  <si>
    <t>0119-02 6120160</t>
  </si>
  <si>
    <t xml:space="preserve">PACKO               </t>
  </si>
  <si>
    <t>Aanhangwagen</t>
  </si>
  <si>
    <t xml:space="preserve">RENAULT             </t>
  </si>
  <si>
    <t>GFZ868</t>
  </si>
  <si>
    <t>Lichte vrachtauto</t>
  </si>
  <si>
    <t xml:space="preserve">VFAD35TP            </t>
  </si>
  <si>
    <t>UPD572</t>
  </si>
  <si>
    <t xml:space="preserve">MERCEDES            </t>
  </si>
  <si>
    <t>CVZ300</t>
  </si>
  <si>
    <t>Vrachtauto</t>
  </si>
  <si>
    <t>GRY103</t>
  </si>
  <si>
    <t xml:space="preserve">JANSSENS            </t>
  </si>
  <si>
    <t xml:space="preserve">PEUGEOT             </t>
  </si>
  <si>
    <t>RWB609</t>
  </si>
  <si>
    <t>Auto voor dubbel gebruik</t>
  </si>
  <si>
    <t>RWC986</t>
  </si>
  <si>
    <t xml:space="preserve">HONDA  SH125        </t>
  </si>
  <si>
    <t>1MKD362</t>
  </si>
  <si>
    <t>Motorfiets</t>
  </si>
  <si>
    <t xml:space="preserve">VSO                 </t>
  </si>
  <si>
    <t>USY733</t>
  </si>
  <si>
    <t xml:space="preserve">ATLAS COPCO         </t>
  </si>
  <si>
    <t>QBA186</t>
  </si>
  <si>
    <t>Werktuigaanhangwagen</t>
  </si>
  <si>
    <t xml:space="preserve">MAN                 </t>
  </si>
  <si>
    <t>JMX912</t>
  </si>
  <si>
    <t xml:space="preserve">VSO D21327          </t>
  </si>
  <si>
    <t xml:space="preserve">FORD                </t>
  </si>
  <si>
    <t>TJR143</t>
  </si>
  <si>
    <t>TPT749</t>
  </si>
  <si>
    <t xml:space="preserve">CITROEN BERLINGO    </t>
  </si>
  <si>
    <t>XJT879</t>
  </si>
  <si>
    <t>Toerisme en zaken</t>
  </si>
  <si>
    <t xml:space="preserve">VSO  D21327         </t>
  </si>
  <si>
    <t>QHE259</t>
  </si>
  <si>
    <t xml:space="preserve">DOOSAN D30 G        </t>
  </si>
  <si>
    <t>1FPH724</t>
  </si>
  <si>
    <t>Bedrijfsmaterieel - Heftruck</t>
  </si>
  <si>
    <t xml:space="preserve">CITROEN JUMPY       </t>
  </si>
  <si>
    <t>504ALC</t>
  </si>
  <si>
    <t xml:space="preserve">CITROEN JUMPER      </t>
  </si>
  <si>
    <t>381BYP</t>
  </si>
  <si>
    <t xml:space="preserve">NISSAN CABSTAR      </t>
  </si>
  <si>
    <t>1ACF526</t>
  </si>
  <si>
    <t xml:space="preserve">HENRA MTK35         </t>
  </si>
  <si>
    <t xml:space="preserve">FIAT DUCATO         </t>
  </si>
  <si>
    <t>1BTW886</t>
  </si>
  <si>
    <t>TUZ798</t>
  </si>
  <si>
    <t>RJV830</t>
  </si>
  <si>
    <t xml:space="preserve">RENAULT KANGOO      </t>
  </si>
  <si>
    <t>BQP083</t>
  </si>
  <si>
    <t>BQP090</t>
  </si>
  <si>
    <t>RENAULT MASTER</t>
  </si>
  <si>
    <t>1JSZ061</t>
  </si>
  <si>
    <t>FORD TRANSIT</t>
  </si>
  <si>
    <t>1LVH705</t>
  </si>
  <si>
    <t>FORD</t>
  </si>
  <si>
    <t>1GCA717</t>
  </si>
  <si>
    <t>minibus</t>
  </si>
  <si>
    <t>1GCA443</t>
  </si>
  <si>
    <t>1GEA181</t>
  </si>
  <si>
    <t xml:space="preserve">RENAULT MASTER      </t>
  </si>
  <si>
    <t>293AAX</t>
  </si>
  <si>
    <t>DIENST BKO</t>
  </si>
  <si>
    <t>RENAULT TRAFFIC</t>
  </si>
  <si>
    <t>1FTS435</t>
  </si>
  <si>
    <t>Minibus</t>
  </si>
  <si>
    <t>1FTS449</t>
  </si>
  <si>
    <t>GROENDIENST</t>
  </si>
  <si>
    <t xml:space="preserve">FIAT                </t>
  </si>
  <si>
    <t>CTD893</t>
  </si>
  <si>
    <t>FRX486</t>
  </si>
  <si>
    <t>Landbouwtractor</t>
  </si>
  <si>
    <t>LNM813</t>
  </si>
  <si>
    <t>TTI342</t>
  </si>
  <si>
    <t>XDF280</t>
  </si>
  <si>
    <t xml:space="preserve">OPEL COMBO          </t>
  </si>
  <si>
    <t>XZU390</t>
  </si>
  <si>
    <t xml:space="preserve">KUBOTA  ZD21        </t>
  </si>
  <si>
    <t>YQP937</t>
  </si>
  <si>
    <t>Mini tractor met aanhangwagen</t>
  </si>
  <si>
    <t xml:space="preserve">NEW HOLLAND BOOMER  </t>
  </si>
  <si>
    <t>1ATK950</t>
  </si>
  <si>
    <t>1BJW604</t>
  </si>
  <si>
    <t>1BLH009</t>
  </si>
  <si>
    <t xml:space="preserve">NEW HOLLAND         </t>
  </si>
  <si>
    <t>1BWH481</t>
  </si>
  <si>
    <t xml:space="preserve">NEW HOLLAND TC      </t>
  </si>
  <si>
    <t>JMS236</t>
  </si>
  <si>
    <t>Mini tractor</t>
  </si>
  <si>
    <t>ASP327</t>
  </si>
  <si>
    <t xml:space="preserve">OPEL                </t>
  </si>
  <si>
    <t>KBE894</t>
  </si>
  <si>
    <t xml:space="preserve">AIRMAN              </t>
  </si>
  <si>
    <t>BYP310</t>
  </si>
  <si>
    <t>Bedrijfsmaterieel</t>
  </si>
  <si>
    <t>HAKO CITYMASTER</t>
  </si>
  <si>
    <t>1PCS178</t>
  </si>
  <si>
    <t>ONKRUIDVERDELGMACHINE</t>
  </si>
  <si>
    <t>HUISVUIL</t>
  </si>
  <si>
    <t>0300-00 6120160</t>
  </si>
  <si>
    <t>1EMV867</t>
  </si>
  <si>
    <t>JEUGDDIENST</t>
  </si>
  <si>
    <t>0750-01 6120160</t>
  </si>
  <si>
    <t xml:space="preserve">WESTTRAILER         </t>
  </si>
  <si>
    <t xml:space="preserve">OPEL  MOVANO        </t>
  </si>
  <si>
    <t>1EUM069</t>
  </si>
  <si>
    <t>RATTENVANGERS</t>
  </si>
  <si>
    <t>RENAULT KANGOO</t>
  </si>
  <si>
    <t>1JEN867</t>
  </si>
  <si>
    <t>lichte vrachtauto</t>
  </si>
  <si>
    <t>1JEN917</t>
  </si>
  <si>
    <t>Factuur 2018</t>
  </si>
  <si>
    <t>Saris</t>
  </si>
  <si>
    <t>QAEV317</t>
  </si>
  <si>
    <t>geschrapt 14/12/2017</t>
  </si>
  <si>
    <t>UTF998</t>
  </si>
  <si>
    <t>Renault Master</t>
  </si>
  <si>
    <t>New Holland</t>
  </si>
  <si>
    <t>1SRB845</t>
  </si>
  <si>
    <t>l</t>
  </si>
  <si>
    <t>1SSL049</t>
  </si>
  <si>
    <t>geschrapt 01/01/2018</t>
  </si>
  <si>
    <t>Boomer 54 D (huur tractor)</t>
  </si>
  <si>
    <t>1CGR194</t>
  </si>
  <si>
    <t>tractor</t>
  </si>
  <si>
    <t>NISSAN CABSTAR</t>
  </si>
  <si>
    <t>1TJX961</t>
  </si>
  <si>
    <t>1TNT168</t>
  </si>
  <si>
    <t>IVECO</t>
  </si>
  <si>
    <t>1TQR696</t>
  </si>
  <si>
    <t>Factuur 2019</t>
  </si>
  <si>
    <t>JCS</t>
  </si>
  <si>
    <t>QAFZ985</t>
  </si>
  <si>
    <t>RENAULT</t>
  </si>
  <si>
    <t>1ULA147</t>
  </si>
  <si>
    <t>1UWZ991</t>
  </si>
  <si>
    <t>Kubota Z0326</t>
  </si>
  <si>
    <t>1AZV365</t>
  </si>
  <si>
    <t>Factuur 2020</t>
  </si>
  <si>
    <t>CREDITNOTA</t>
  </si>
  <si>
    <t>0119-00 612200</t>
  </si>
  <si>
    <t>0119-02 612200</t>
  </si>
  <si>
    <t>19863335/00</t>
  </si>
  <si>
    <t>1VQP783</t>
  </si>
  <si>
    <t>19905527/00</t>
  </si>
  <si>
    <t>Iveco</t>
  </si>
  <si>
    <t>1WUG469</t>
  </si>
  <si>
    <t>19921681/00</t>
  </si>
  <si>
    <t>Volvo</t>
  </si>
  <si>
    <t>1XFH459</t>
  </si>
  <si>
    <t>0945-00 612200</t>
  </si>
  <si>
    <t>0680-00 612200</t>
  </si>
  <si>
    <t>0300-00 612200</t>
  </si>
  <si>
    <t>0751-00 612200</t>
  </si>
  <si>
    <t>riziv</t>
  </si>
  <si>
    <t>bovennorm</t>
  </si>
  <si>
    <t>derde luik</t>
  </si>
  <si>
    <t>bewoners</t>
  </si>
  <si>
    <t>Sociale zekerheidsbijdragen</t>
  </si>
  <si>
    <t>STAT</t>
  </si>
  <si>
    <t>CONTR</t>
  </si>
  <si>
    <t>Art 60</t>
  </si>
  <si>
    <t>JOBST</t>
  </si>
  <si>
    <t>Pensioen</t>
  </si>
  <si>
    <t>Geneesk. Verzorgin</t>
  </si>
  <si>
    <t>Uitkeringen</t>
  </si>
  <si>
    <t>Werkloosheid</t>
  </si>
  <si>
    <t>Gezinsbijslag</t>
  </si>
  <si>
    <t>Beroepsz.</t>
  </si>
  <si>
    <t>Asbestfonds</t>
  </si>
  <si>
    <t>Loonmatigingsbijdrage</t>
  </si>
  <si>
    <t>Loonmatigingsbijdrage - deel 1</t>
  </si>
  <si>
    <t>Loonmatigingsbijdrage - deel 2</t>
  </si>
  <si>
    <t>Loonmatigingsbijdrage - deel 3</t>
  </si>
  <si>
    <t>Bijdrage 10WN</t>
  </si>
  <si>
    <t>TOTAAL WG-bijdragen</t>
  </si>
  <si>
    <t>GSD</t>
  </si>
  <si>
    <t>TOTAAL WN-bijdrage</t>
  </si>
  <si>
    <t>Overzicht Processen Lokale Besturen</t>
  </si>
  <si>
    <t>Proces</t>
  </si>
  <si>
    <t>Subprocessen</t>
  </si>
  <si>
    <t>Budgetering</t>
  </si>
  <si>
    <t>Opmaak SMJP</t>
  </si>
  <si>
    <t>Bijsturing van meerjarenplanning</t>
  </si>
  <si>
    <t>Beleidsopvolging</t>
  </si>
  <si>
    <t>1-Budgethouderschap/Delegatie</t>
  </si>
  <si>
    <t>Monitoring/
Beheersopvolging</t>
  </si>
  <si>
    <t>Opvolgen van BBC- en interne indicatoren</t>
  </si>
  <si>
    <t>Monitoring kernprocessen</t>
  </si>
  <si>
    <t>Budgetopvolging / monitoring</t>
  </si>
  <si>
    <t>2-Adviesverlening: conformiteitscontrole/
Budgetbewaking</t>
  </si>
  <si>
    <t>Actief Schuldbeheer</t>
  </si>
  <si>
    <t xml:space="preserve">Aankopen </t>
  </si>
  <si>
    <t>4-Overheidsopdrachten met geringe waarde</t>
  </si>
  <si>
    <t>Overheidsopdrachten 
(boven geringe waarde)</t>
  </si>
  <si>
    <t>dringende aankopen</t>
  </si>
  <si>
    <t>Toelagen / toegestane subsidies</t>
  </si>
  <si>
    <t>Toekenning en verwerking van prijssubsidies naar AGB</t>
  </si>
  <si>
    <t>Toekenning en verwerking van algemene en specifieke werkingssubsidies</t>
  </si>
  <si>
    <t>Toekenning en verwerking van toegestane investeringssubsidies</t>
  </si>
  <si>
    <t>Personeelskosten</t>
  </si>
  <si>
    <t>Uitbetaling en boekhoudkundige verwerking van personeelskosten (BV, RSZ, …)</t>
  </si>
  <si>
    <t>Opvolging van de personeelsschulden</t>
  </si>
  <si>
    <t>Debiteuren &amp; Crediteuren</t>
  </si>
  <si>
    <t>Debiteurenbeheer</t>
  </si>
  <si>
    <t>Crediteurenbeheer</t>
  </si>
  <si>
    <t>Niet-fiscale opbrengsten</t>
  </si>
  <si>
    <t>Facturatie van geleverde goederen en diensten (rubriek 70)</t>
  </si>
  <si>
    <t>Geringe dagontvangsten</t>
  </si>
  <si>
    <t>Verwerking specifieke werkingssubsidies (rubriek 74)</t>
  </si>
  <si>
    <t>GAS</t>
  </si>
  <si>
    <t>Fiscale opbrengsten</t>
  </si>
  <si>
    <t xml:space="preserve">Fiscale 
opbrengsten
 (rubriek 73) </t>
  </si>
  <si>
    <t>Individuele Maatschappelijke dienstverlening</t>
  </si>
  <si>
    <t>Uitbetalingen van een leefloon en andere steunen (incl. dringende steun)</t>
  </si>
  <si>
    <t>Terugvordering van een leefloon (en andere steunen) bij verantwoordelijke instanties / cliënten</t>
  </si>
  <si>
    <t>huurwaarborgen</t>
  </si>
  <si>
    <t xml:space="preserve">Geldmiddelen </t>
  </si>
  <si>
    <t>Beheer van de bankrekeningen</t>
  </si>
  <si>
    <t>Beheer van beleggingen</t>
  </si>
  <si>
    <t>Thesaurieplanning</t>
  </si>
  <si>
    <t>Betalingen via toegekende provisies (cash en/of elektronisch)</t>
  </si>
  <si>
    <t>Vaste Activa</t>
  </si>
  <si>
    <t>Verwerving materieel / financieel vast actief</t>
  </si>
  <si>
    <t>Beheer van het materieel / financieel vast actief (inventarisatie)</t>
  </si>
  <si>
    <t>Verwerking en in kaart brengen van buitengebruikstellingen/afvoer en verkoop</t>
  </si>
  <si>
    <t>Aanvraag en verwerving investeringsubsidies</t>
  </si>
  <si>
    <t>Aanvraag, opvolging en terugbetaling van leningen</t>
  </si>
  <si>
    <t>Aflossingen (K+I) van leningen</t>
  </si>
  <si>
    <t>toegestane leningen</t>
  </si>
  <si>
    <t>afsluiting</t>
  </si>
  <si>
    <t>5-Periodiek</t>
  </si>
  <si>
    <t>Jaarlijks</t>
  </si>
  <si>
    <t>Voorraadbeheer</t>
  </si>
  <si>
    <t>Registratie en opvolging van de voorraad</t>
  </si>
  <si>
    <t>BTW</t>
  </si>
  <si>
    <t>BTW-facturatie</t>
  </si>
  <si>
    <t>Beheer van basisgegevens</t>
  </si>
  <si>
    <t>Beheer masterdata</t>
  </si>
  <si>
    <t>3-Delegatie van autorisaties handhaven</t>
  </si>
  <si>
    <t>Bankautorisaties / Volmachten op rekeningen</t>
  </si>
  <si>
    <t>Contractbeheer</t>
  </si>
  <si>
    <t>Opvolging onderhoudscontracten</t>
  </si>
  <si>
    <t>Opvolging verzekeringscontracten</t>
  </si>
  <si>
    <t>Opvolging speciale contracten (huur, erfpachten en leasings)</t>
  </si>
  <si>
    <t>LUIJ</t>
  </si>
  <si>
    <t>SCHULDEN</t>
  </si>
  <si>
    <t xml:space="preserve"> (*) Totale uitstaande financiële schulden per 31/12/J-1:  AR 171 tot en met 174 (uitgezonderd 174-2 en 174-3 voor geïntegreerde rapporten gemeente en OCMW) + AR 421 tot en met 424 (uitgezonderd 424-2 
    en 424-3 voor geïntegreerde rapporten gemeente en OCMW) + AR 43.</t>
  </si>
  <si>
    <t>SUBSIDIES:</t>
  </si>
  <si>
    <t>WERKINGSKREDIETEN</t>
  </si>
  <si>
    <t>Voertuigen</t>
  </si>
  <si>
    <t>Ontvangsten vs uitgaven</t>
  </si>
  <si>
    <t>CIJFERS:</t>
  </si>
  <si>
    <t>EVOLUTIE</t>
  </si>
  <si>
    <t>ENERGIEKOSTEN</t>
  </si>
  <si>
    <t xml:space="preserve">AGB: </t>
  </si>
  <si>
    <t>Schema T4: EVOLUTIE VAN DE FINANCIËLE SCHULDEN</t>
  </si>
  <si>
    <t>SCHULD &amp; EVOLUTIE T4</t>
  </si>
  <si>
    <t>SCHULD OUD</t>
  </si>
  <si>
    <t>Verzekeringen voertuigen</t>
  </si>
  <si>
    <t>INVENTARIS LENINGEN</t>
  </si>
  <si>
    <t>Bezetting KV (%)</t>
  </si>
  <si>
    <t>Aantal aangerekende afwezigheidsdagen</t>
  </si>
  <si>
    <t>Aantal aangerekende ontslagdagen</t>
  </si>
  <si>
    <t>Budg. kostprijs/dag/bewoner (excl. afschr...)</t>
  </si>
  <si>
    <t>Gemiddeld aangerekende bewonersdagprijs</t>
  </si>
  <si>
    <t>Aantal ontslag/overleden</t>
  </si>
  <si>
    <t>Gerealiseerde opnames</t>
  </si>
  <si>
    <t>Aantal bewoners 31/12</t>
  </si>
  <si>
    <t>% mannen</t>
  </si>
  <si>
    <t>% vrouwen</t>
  </si>
  <si>
    <t>Gemiddelde leeftijd algemeen</t>
  </si>
  <si>
    <t>Gemiddelde leeftijd mannen</t>
  </si>
  <si>
    <t>Gemiddelde leeftijd vrouwen</t>
  </si>
  <si>
    <t>Gemiddelde verblijfsduur algemeen</t>
  </si>
  <si>
    <t>Gemiddelde verblijfsduur mannen</t>
  </si>
  <si>
    <t>Gemiddelde verblijfsduur vrouwen</t>
  </si>
  <si>
    <t>Bewoners</t>
  </si>
  <si>
    <t>prijs</t>
  </si>
  <si>
    <t>eenpersoonskamer site 1997</t>
  </si>
  <si>
    <t>echtparenprijs site 1997</t>
  </si>
  <si>
    <t>eenpersoonskamer site 2013</t>
  </si>
  <si>
    <t>eenpersoonskamer XL site 2013</t>
  </si>
  <si>
    <t>tweepersoonskamer site 2013</t>
  </si>
  <si>
    <t>echtparenprijs site 2013</t>
  </si>
  <si>
    <t>Gepresteerde eenheden WZC Ter Linden</t>
  </si>
  <si>
    <t>LDE - Lokale diensteneconomie</t>
  </si>
  <si>
    <t>Boodschappenhulp</t>
  </si>
  <si>
    <t>Vervoersdienst - aantal km</t>
  </si>
  <si>
    <t>Klusjesdienst</t>
  </si>
  <si>
    <t>Aantal personen</t>
  </si>
  <si>
    <t>Gefactureerde klusjes</t>
  </si>
  <si>
    <t>Poetsdienst</t>
  </si>
  <si>
    <t>Aantal gezinnen poetsdienst (jaar)</t>
  </si>
  <si>
    <t>Aantal gezinnen poetsdienst (31/12)</t>
  </si>
  <si>
    <t>Aantal uren geleverde prestaties</t>
  </si>
  <si>
    <t>Waarvan klanten</t>
  </si>
  <si>
    <t>Waarvan eigen diensten</t>
  </si>
  <si>
    <t>Gemiddeld aangerekend tarief per uur</t>
  </si>
  <si>
    <t>Mantelzorgtoelage</t>
  </si>
  <si>
    <t>Aantal personen mantelzorgtoelage (31/12)</t>
  </si>
  <si>
    <t>Aantal personen mantelzorgtoelage (jaar)</t>
  </si>
  <si>
    <t>GEPRESTEERDE EENHEDEN GEZINSHULP</t>
  </si>
  <si>
    <t>Aantal dagschotels</t>
  </si>
  <si>
    <t>Verhuring lokalen (aantal uren)</t>
  </si>
  <si>
    <t>Polyvalente zaal + podium</t>
  </si>
  <si>
    <t>Cafetaria</t>
  </si>
  <si>
    <t>Keuken</t>
  </si>
  <si>
    <t>Hobbylokaal + vergaderlokalen + loges</t>
  </si>
  <si>
    <t>Totaal verhuringen</t>
  </si>
  <si>
    <t>GEPRESTEERDE EENHEDEN ZONNEBLOEM</t>
  </si>
  <si>
    <t>Paviljoen 1</t>
  </si>
  <si>
    <t>Paviljoen 2</t>
  </si>
  <si>
    <t>Paviljoen 3</t>
  </si>
  <si>
    <t>Paviljoen 4</t>
  </si>
  <si>
    <t>Paviljoen 5 (TCK)</t>
  </si>
  <si>
    <t>CB + CBAW</t>
  </si>
  <si>
    <t>Norm van 80% gehaald?</t>
  </si>
  <si>
    <t>Aantal nieuwe opnames</t>
  </si>
  <si>
    <t>Aantal afrondingen</t>
  </si>
  <si>
    <t>Subsidie jongerenwelzijn/dag/bewoner</t>
  </si>
  <si>
    <t>GEPRESTEERDE EENHEDEN ZONNEWENDE</t>
  </si>
  <si>
    <t>Gepresteerde eenheden Gezinshulp</t>
  </si>
  <si>
    <t>Gepresteerde eenheden Zonnebloem</t>
  </si>
  <si>
    <t>Gepresteerde eenheden Zonnewende</t>
  </si>
  <si>
    <t>Leefloon</t>
  </si>
  <si>
    <t>Aantal leefloontrekkers (31/12)</t>
  </si>
  <si>
    <t>Aantal dossiers (jaar)</t>
  </si>
  <si>
    <t>Per geslacht:</t>
  </si>
  <si>
    <t>Mannen</t>
  </si>
  <si>
    <t>Vrouwen</t>
  </si>
  <si>
    <t>Per leeftijdscategorie:</t>
  </si>
  <si>
    <t>- 26 jaar</t>
  </si>
  <si>
    <t>26 - 65 jaar</t>
  </si>
  <si>
    <t>+ 65 jaar</t>
  </si>
  <si>
    <t>Steun</t>
  </si>
  <si>
    <t>Andere financiële steun</t>
  </si>
  <si>
    <t>Aantal dossiers aanvullende financiële steun (jaar)</t>
  </si>
  <si>
    <t>Aantal dossiers gas- en elktriciteitsfonds (jaar)</t>
  </si>
  <si>
    <t>Aantal dossiers stookoliepremie (jaar)</t>
  </si>
  <si>
    <t>Aantal dossiers begeleid zelfstandig wonen (jaar)</t>
  </si>
  <si>
    <t>Huisvesting</t>
  </si>
  <si>
    <t>Tussenkomsten Woon- en Zorgcentra</t>
  </si>
  <si>
    <t>Aantal dossiers Ter Linden (31/12)</t>
  </si>
  <si>
    <t>Aantal dossiers Ter Linden (jaar)</t>
  </si>
  <si>
    <t>Aantal dossiers andere WZC (31/12)</t>
  </si>
  <si>
    <t>Aantal dossiers andere WZC (jaar)</t>
  </si>
  <si>
    <t>Aantal dossiers voorschotten (jaar)</t>
  </si>
  <si>
    <t>Aantal verleende voorschotten huurwaarborgen (jaar)</t>
  </si>
  <si>
    <t>Diensten</t>
  </si>
  <si>
    <t>Aantal dossiers schuldhulpverlening (jaar)</t>
  </si>
  <si>
    <t>Aantal dossiers collectieve schuldenregeling</t>
  </si>
  <si>
    <t>Aantal actieve budgetmeters</t>
  </si>
  <si>
    <t>Lokale adviescommissie (LAC)</t>
  </si>
  <si>
    <t>Aantal behandelde dossiers IWVA</t>
  </si>
  <si>
    <t>Asielzoekers - Lokaal opvanginitiatief</t>
  </si>
  <si>
    <t>Asielzoekers</t>
  </si>
  <si>
    <t>Aantal dossiers equivalent leefloon (jaar)</t>
  </si>
  <si>
    <t>Aantal dossiers equivalent leefloon (31/12)</t>
  </si>
  <si>
    <t>LOI</t>
  </si>
  <si>
    <t>Capaciteit (31/12)</t>
  </si>
  <si>
    <t>Aanwezigheidsdagen</t>
  </si>
  <si>
    <t>Bezettingsgraad</t>
  </si>
  <si>
    <t>Maximum aantal dagen</t>
  </si>
  <si>
    <t>Aantal personen (31/12)</t>
  </si>
  <si>
    <t>Aantal geholpen personen (jaar)</t>
  </si>
  <si>
    <t>Aantal geholpen vrouwen</t>
  </si>
  <si>
    <t>Aantal geholpen mannen</t>
  </si>
  <si>
    <t>Reden vertrek</t>
  </si>
  <si>
    <t>Nationaliteiten</t>
  </si>
  <si>
    <t>Afghanistan</t>
  </si>
  <si>
    <t>Eritrea</t>
  </si>
  <si>
    <t>Iran</t>
  </si>
  <si>
    <t>Soedan</t>
  </si>
  <si>
    <t>Syrië</t>
  </si>
  <si>
    <t>Gepresteerde eenheden sociale dienst</t>
  </si>
  <si>
    <t>SOCIALE DIENST</t>
  </si>
  <si>
    <t>GEPRESTEERDE EENHEDEN SOCIALE DIENST</t>
  </si>
  <si>
    <t>Arbeidsovereenkomst bepaalde duur</t>
  </si>
  <si>
    <t>Arbeidsovereenkomst onbepaalde duur</t>
  </si>
  <si>
    <t>Vervangingsovereenkomsten</t>
  </si>
  <si>
    <t>Studentenovereenkomsten</t>
  </si>
  <si>
    <t>Vaste benoeming</t>
  </si>
  <si>
    <t>Einde contract bepaalde duur</t>
  </si>
  <si>
    <t>Einde contract bepaalde duur student</t>
  </si>
  <si>
    <t>Einde van tewerkstelling in bepaald statuut</t>
  </si>
  <si>
    <t>Ontslag wegens niet reageren</t>
  </si>
  <si>
    <t>Ontslag door werkgever</t>
  </si>
  <si>
    <t>Einde vervangingsovereenkomst</t>
  </si>
  <si>
    <t>Einde wegens medische overmacht</t>
  </si>
  <si>
    <t>Vervroegde pensionering wegens ziekte</t>
  </si>
  <si>
    <t>Ontslag op eigen verzoek</t>
  </si>
  <si>
    <t>Ontslag op eigen verzoek (student)</t>
  </si>
  <si>
    <t>Overlijden</t>
  </si>
  <si>
    <t>Andere uitdiensttreding</t>
  </si>
  <si>
    <t>Overzicht afwezigheden</t>
  </si>
  <si>
    <t>Aantal
kalender-
dagen</t>
  </si>
  <si>
    <t>Arbeidsongeval</t>
  </si>
  <si>
    <t>Moederschapsbescherming - bevallingsverlof - borstvoedingsverlof</t>
  </si>
  <si>
    <t>Disponibiliteit</t>
  </si>
  <si>
    <t>Verlof zonder wedde</t>
  </si>
  <si>
    <t>Ziekte</t>
  </si>
  <si>
    <t>Jeugdvakantie</t>
  </si>
  <si>
    <t>Vaderschapsverlof (mutualiteit)</t>
  </si>
  <si>
    <t>Onwettig afwezig</t>
  </si>
  <si>
    <t>Seniorvakantie</t>
  </si>
  <si>
    <t>Staking</t>
  </si>
  <si>
    <t>Tijdelijke werkloosheid</t>
  </si>
  <si>
    <t>PERSONEELSCIJFERS OCMW</t>
  </si>
  <si>
    <t>PERSONEELSCIJFERS ALGEMEEN</t>
  </si>
  <si>
    <t>GEMIDDELDE TEWERKSTELLING</t>
  </si>
  <si>
    <t>PERSONEELSCIJFERS OCMW:</t>
  </si>
  <si>
    <t>Niet vastbenoemd</t>
  </si>
  <si>
    <t>Jobstudent</t>
  </si>
  <si>
    <t>Art. 60 - TWE</t>
  </si>
  <si>
    <t>Plan activa</t>
  </si>
  <si>
    <t>BI 0050-01</t>
  </si>
  <si>
    <t>Conciërge</t>
  </si>
  <si>
    <t>BI 0110-00</t>
  </si>
  <si>
    <t>Administratief medewerker</t>
  </si>
  <si>
    <t>Secretaris</t>
  </si>
  <si>
    <t>BI 0111-00</t>
  </si>
  <si>
    <t>Boekhouder</t>
  </si>
  <si>
    <t>Financieel beheerder</t>
  </si>
  <si>
    <t>Financieel manager</t>
  </si>
  <si>
    <t>BI 0112-00</t>
  </si>
  <si>
    <t>Diensthoofd personeelszaken</t>
  </si>
  <si>
    <t>Diensthoofd personeelsdienst</t>
  </si>
  <si>
    <t>BI 0119-01</t>
  </si>
  <si>
    <t>ICT-manager</t>
  </si>
  <si>
    <t>PC-Technicus</t>
  </si>
  <si>
    <t>ICT-Systeemverantwoordelijke</t>
  </si>
  <si>
    <t>BI 0119-02</t>
  </si>
  <si>
    <t>Preventieadviseur</t>
  </si>
  <si>
    <t>Technisch medewerker</t>
  </si>
  <si>
    <t>Technisch assistent</t>
  </si>
  <si>
    <t>Technisch beambte</t>
  </si>
  <si>
    <t>BI 0900-00</t>
  </si>
  <si>
    <t>Hoofd sociale dienst</t>
  </si>
  <si>
    <t>Maatschappelijk werker</t>
  </si>
  <si>
    <t>Maatschappelijk assistent/werker</t>
  </si>
  <si>
    <t>BI 0903-00</t>
  </si>
  <si>
    <t>BI 0904-00</t>
  </si>
  <si>
    <t>BI 0909-01</t>
  </si>
  <si>
    <t>Begeleider kl 1</t>
  </si>
  <si>
    <t>Begeleider kl 2A</t>
  </si>
  <si>
    <t>Begeleider kl 2B</t>
  </si>
  <si>
    <t>Bijzondere functie</t>
  </si>
  <si>
    <t>Directeur begeleidingstehuizen</t>
  </si>
  <si>
    <t>Begeleider kl 2</t>
  </si>
  <si>
    <t>Begeleider kl 3</t>
  </si>
  <si>
    <t>Projectmedewerker</t>
  </si>
  <si>
    <t>BI 0943-01</t>
  </si>
  <si>
    <t>BI 0943-03</t>
  </si>
  <si>
    <t>BI 0948-00</t>
  </si>
  <si>
    <t>BI 0951-00</t>
  </si>
  <si>
    <t>Centrumleider</t>
  </si>
  <si>
    <t>Coördinator Buurtgerichte zorg</t>
  </si>
  <si>
    <t>BI 0953-00</t>
  </si>
  <si>
    <t>Dagelijks verantwoordelijke</t>
  </si>
  <si>
    <t>Gegradueerd verpleegkundige</t>
  </si>
  <si>
    <t>Hoofd schoonmaak</t>
  </si>
  <si>
    <t>Hulpkok(kin)</t>
  </si>
  <si>
    <t>Opvoeder</t>
  </si>
  <si>
    <t>Paramedicus (ergo - kine - palliatief)</t>
  </si>
  <si>
    <t>Verpleegassistent(e)</t>
  </si>
  <si>
    <t>Ziekenhuis verpleegkundige</t>
  </si>
  <si>
    <t>Zorgcoach</t>
  </si>
  <si>
    <t>Animatie deskundige</t>
  </si>
  <si>
    <t>Animator</t>
  </si>
  <si>
    <t>Assistent in de psychologie</t>
  </si>
  <si>
    <t>Bejaardenhelpster</t>
  </si>
  <si>
    <t>Diensthoofd schoonmaak</t>
  </si>
  <si>
    <t>Dietist(e)</t>
  </si>
  <si>
    <t>Gebrevett./ziekenhuisverpleegkundige</t>
  </si>
  <si>
    <t>Gegradueerde verpleegkundige</t>
  </si>
  <si>
    <t>Kok</t>
  </si>
  <si>
    <t>Kwaliteitscoördinator</t>
  </si>
  <si>
    <t>Logistiek assistent(e)</t>
  </si>
  <si>
    <t>Paramedicus (ergo - kine)</t>
  </si>
  <si>
    <t>Paramedicus (logo)</t>
  </si>
  <si>
    <t>Psycholoog</t>
  </si>
  <si>
    <t>Verzorgende/zorgkundige</t>
  </si>
  <si>
    <t>Verzorgende (animatie)</t>
  </si>
  <si>
    <t>Ziekenhuis verpl animatie</t>
  </si>
  <si>
    <t>Verzorgende</t>
  </si>
  <si>
    <t>Plan Activa</t>
  </si>
  <si>
    <t>ALGEMENE PERSONEELSCIJFERS OCMW</t>
  </si>
  <si>
    <t>Gepresteerde eenheden: Personeelscijfers algemeen</t>
  </si>
  <si>
    <t>Gepresteerde eenheden: gemiddelde tewerkstelling</t>
  </si>
  <si>
    <t>BI 0050-00 - Overig privaat patrimonium</t>
  </si>
  <si>
    <t>Pacht</t>
  </si>
  <si>
    <t>Aantal pachters:</t>
  </si>
  <si>
    <t>Aantal ha verpacht:</t>
  </si>
  <si>
    <t>Gemiddelde pachtprijs/ha</t>
  </si>
  <si>
    <t>Verkoop onroerende goederen</t>
  </si>
  <si>
    <t>Aantal verkochte ha</t>
  </si>
  <si>
    <t>Verkoopprijs</t>
  </si>
  <si>
    <t>Boekhoudkundige waarde</t>
  </si>
  <si>
    <t>Gecumuleerde meer(+)/minder(-)waarde</t>
  </si>
  <si>
    <t>Gemiddelde verkoopprijs/ha</t>
  </si>
  <si>
    <t>BI 00500-01 - Brussel</t>
  </si>
  <si>
    <t>Bezetting appartementen Brussel</t>
  </si>
  <si>
    <t>Aantal te verhuren appartementen:</t>
  </si>
  <si>
    <t>Gerealiseerde huurmaanden:</t>
  </si>
  <si>
    <t>Bezetting:</t>
  </si>
  <si>
    <t>Gemiddelde huurprijs/appartement:</t>
  </si>
  <si>
    <t>Garages Brussel</t>
  </si>
  <si>
    <t>Aantal te verhuren garages:</t>
  </si>
  <si>
    <t>Gemiddelde huurprijs/garage:</t>
  </si>
  <si>
    <t>BI 0050-02 - Oostduinkerke</t>
  </si>
  <si>
    <t>Bezetting appartementen Oostduinkerke</t>
  </si>
  <si>
    <t>Collectie</t>
  </si>
  <si>
    <t xml:space="preserve">Aantal leners </t>
  </si>
  <si>
    <t>Aantal uitleningen</t>
  </si>
  <si>
    <t>Bezoekers</t>
  </si>
  <si>
    <t>80 031</t>
  </si>
  <si>
    <t>80 117</t>
  </si>
  <si>
    <t>82 500</t>
  </si>
  <si>
    <t>81 075</t>
  </si>
  <si>
    <t>79 706</t>
  </si>
  <si>
    <t>77 755</t>
  </si>
  <si>
    <t>74 671</t>
  </si>
  <si>
    <t>Publiek</t>
  </si>
  <si>
    <t>Scholen</t>
  </si>
  <si>
    <t>Verenigingen</t>
  </si>
  <si>
    <t>AANTAL ZWEMMERS IN STEDELIJK ZWEMBAD</t>
  </si>
  <si>
    <t>EVOLUTIE BIBLIOTHEEK (AGB)</t>
  </si>
  <si>
    <t>pasen</t>
  </si>
  <si>
    <t>herfst</t>
  </si>
  <si>
    <t>krokus</t>
  </si>
  <si>
    <t>Bivakdag</t>
  </si>
  <si>
    <t>Bivakactiviteit</t>
  </si>
  <si>
    <t>Kleuters</t>
  </si>
  <si>
    <t>Speelplein lager</t>
  </si>
  <si>
    <t>Totaal aantal deelnemers over hele jaar</t>
  </si>
  <si>
    <t>2015-2016</t>
  </si>
  <si>
    <t>2016-2017</t>
  </si>
  <si>
    <t>2017-2018</t>
  </si>
  <si>
    <t>Aantal bundels (van 6 cheques)</t>
  </si>
  <si>
    <t xml:space="preserve">Aantal </t>
  </si>
  <si>
    <t>Deelnemers</t>
  </si>
  <si>
    <t>Naam vereniging</t>
  </si>
  <si>
    <t>2008 (euro)</t>
  </si>
  <si>
    <t>Landelijke Gilde Bulskamp-De Moeren</t>
  </si>
  <si>
    <t>Landelijke Gilde Beauvoorde</t>
  </si>
  <si>
    <t>Landelijke Gilde Houtem</t>
  </si>
  <si>
    <t>K.V.L.V. Beauvoorde vanaf 2020  Ferm</t>
  </si>
  <si>
    <t xml:space="preserve">K.V.L.V. Bulskamp - De Moeren vanaf 2020 Ferm </t>
  </si>
  <si>
    <t>K.V.L.V. Houtem vanaf 2020 Ferm</t>
  </si>
  <si>
    <t>K.V.L.V. Steenkerke vanaf 2020 Ferm</t>
  </si>
  <si>
    <t>K.V.L.V. Avekapelle vanaf 2020 Ferm</t>
  </si>
  <si>
    <t>Kon. Landbouwcomice</t>
  </si>
  <si>
    <t>ABS Gewest Veurne</t>
  </si>
  <si>
    <t>Davidsfonds Veurne</t>
  </si>
  <si>
    <t>Willemsfonds Veurne</t>
  </si>
  <si>
    <t>Curieus</t>
  </si>
  <si>
    <t>Fugato de Furnis</t>
  </si>
  <si>
    <t>Het Secreet</t>
  </si>
  <si>
    <t>Kon. Harmonie Moreau</t>
  </si>
  <si>
    <t>Kon. Fanfare Houtemnaere</t>
  </si>
  <si>
    <t>Kon. Harmonie Sint-Cecilia</t>
  </si>
  <si>
    <t>Plovi-koor</t>
  </si>
  <si>
    <t>Sint-Walburgakoor</t>
  </si>
  <si>
    <t>Sint-Niklaaskoor</t>
  </si>
  <si>
    <t>Veurns Vocaal Ensemble</t>
  </si>
  <si>
    <t>Toneel St.-Lutgardis</t>
  </si>
  <si>
    <t>Sint-Omaarsgilde</t>
  </si>
  <si>
    <t>Markant Veurne</t>
  </si>
  <si>
    <t>Fotoclub Westhoek</t>
  </si>
  <si>
    <t>Femma Veurne</t>
  </si>
  <si>
    <t>Opbouwwerk IJzerstreek</t>
  </si>
  <si>
    <t>Bond Atheneum Veurne</t>
  </si>
  <si>
    <t>Oudervereniging Moraal Westhoek</t>
  </si>
  <si>
    <t>Regionale Heemkring Bachten de Kupe</t>
  </si>
  <si>
    <t>Vakantiegenoegens</t>
  </si>
  <si>
    <t>Vriendenkring Bloedgevers Houtem</t>
  </si>
  <si>
    <t>Zannekin</t>
  </si>
  <si>
    <t>Zonnepalet</t>
  </si>
  <si>
    <t>V.V.F. Westkust</t>
  </si>
  <si>
    <t>Gezinsbond Avekapelle</t>
  </si>
  <si>
    <t>Gezinsbond Beauvoorde</t>
  </si>
  <si>
    <t>Gezinsbond Bulskamp-De Moeren</t>
  </si>
  <si>
    <t>Gezinsbond Steenkerke</t>
  </si>
  <si>
    <t>Gezinsbond Houtem</t>
  </si>
  <si>
    <t>Gezinsbond Veurne</t>
  </si>
  <si>
    <t>Texas Ranger</t>
  </si>
  <si>
    <t>Modelvliegclub Veurne</t>
  </si>
  <si>
    <t>Het Jonge Geweld</t>
  </si>
  <si>
    <t>Vrienden van het Veurns Archief</t>
  </si>
  <si>
    <t>Con Fuoco</t>
  </si>
  <si>
    <t>Schola Forensis Henricus Beauvarlet</t>
  </si>
  <si>
    <t>De Beauvoordse Pictores</t>
  </si>
  <si>
    <t>Audite Silté</t>
  </si>
  <si>
    <t>Dunetrotters Veurne Westhoek</t>
  </si>
  <si>
    <t>Toesa Ensemble</t>
  </si>
  <si>
    <t>Moevement</t>
  </si>
  <si>
    <t>WVA werkgroep vorming en aktie</t>
  </si>
  <si>
    <t>De Vlijtige Vingerhoedjes</t>
  </si>
  <si>
    <t>Vlaamse Wijngilde commanderij</t>
  </si>
  <si>
    <t>Vrienden van bakkerijmuseum</t>
  </si>
  <si>
    <t>Vorming plus Westhoek</t>
  </si>
  <si>
    <t>De hangende piste van pistagoras</t>
  </si>
  <si>
    <t>Ghesellen van de Kastelnij</t>
  </si>
  <si>
    <t>Goe Gestemd</t>
  </si>
  <si>
    <t>De Kolonisten</t>
  </si>
  <si>
    <t>Badmintonclub Veurne</t>
  </si>
  <si>
    <t>Bridgeclub</t>
  </si>
  <si>
    <t>Damesnetbal Bulskamp</t>
  </si>
  <si>
    <t>Damesnetbal Petit Paris</t>
  </si>
  <si>
    <t>Dans sport club Westhoek</t>
  </si>
  <si>
    <t>Dansgroep Adagio</t>
  </si>
  <si>
    <t>De Jonge Schutters</t>
  </si>
  <si>
    <t>Edelen Ridder St Sebastiaan</t>
  </si>
  <si>
    <t>FC Botermand</t>
  </si>
  <si>
    <t>FC De Kwinte</t>
  </si>
  <si>
    <t>FC Nieuwstad</t>
  </si>
  <si>
    <t>Hondenclub The Max</t>
  </si>
  <si>
    <t>H. C. Sporkin</t>
  </si>
  <si>
    <t>Jeugdsport</t>
  </si>
  <si>
    <t>Judo en jiu-jitsu club</t>
  </si>
  <si>
    <t>KSV Veurne vzw</t>
  </si>
  <si>
    <t>M.A.C.W.-Veurne vzw</t>
  </si>
  <si>
    <t>Mercator sport</t>
  </si>
  <si>
    <t>Netbal Sportiva Centrum</t>
  </si>
  <si>
    <t>RBC Bulskamp</t>
  </si>
  <si>
    <t>Revolver en pistoolschutters</t>
  </si>
  <si>
    <t>schaakkring Het Witte Paard</t>
  </si>
  <si>
    <t xml:space="preserve">Tennisclub Bachten de kupe </t>
  </si>
  <si>
    <t>Veteranen Veurne</t>
  </si>
  <si>
    <t>Westhoek kajakclub</t>
  </si>
  <si>
    <t>WS Bulskamp vzw</t>
  </si>
  <si>
    <t>TC BDK</t>
  </si>
  <si>
    <t>Adagio</t>
  </si>
  <si>
    <t xml:space="preserve">Judo en jiu jitsu </t>
  </si>
  <si>
    <t>VZV</t>
  </si>
  <si>
    <t>WSB</t>
  </si>
  <si>
    <t>HC Sporkin</t>
  </si>
  <si>
    <t>BASIS</t>
  </si>
  <si>
    <t>BELEID</t>
  </si>
  <si>
    <t>Badminton</t>
  </si>
  <si>
    <t>H.C. Sporkin</t>
  </si>
  <si>
    <t>Judo en jiujitsu club</t>
  </si>
  <si>
    <t>KSV</t>
  </si>
  <si>
    <t>Schaakkring Het Witte Paard</t>
  </si>
  <si>
    <t>St. Sebastiaan Schutters Houtem</t>
  </si>
  <si>
    <t>TC Bachten de Kupe</t>
  </si>
  <si>
    <t>Veurnse Wielertoeristen</t>
  </si>
  <si>
    <t>Volleyteam Veurne</t>
  </si>
  <si>
    <t>Wandelteam</t>
  </si>
  <si>
    <t>WS Bulskamp</t>
  </si>
  <si>
    <t>WTC De rappetrappers</t>
  </si>
  <si>
    <t>Recreatiesport zonder jeugdopleiding</t>
  </si>
  <si>
    <t>Dunetrotters - Veurne</t>
  </si>
  <si>
    <t>nieuwe regeling</t>
  </si>
  <si>
    <t>Veteranen voetbalclub Veurne</t>
  </si>
  <si>
    <t>Veurnse wielertoeristen</t>
  </si>
  <si>
    <t>Voetbalclub FC Nieuwstad</t>
  </si>
  <si>
    <t>Edelen Ridder St. Sebastiaan</t>
  </si>
  <si>
    <t>wandelteam</t>
  </si>
  <si>
    <t>Danssportclub Westhoek</t>
  </si>
  <si>
    <t>Alcoholica</t>
  </si>
  <si>
    <t>Recreatiesport met jeugdopleiding</t>
  </si>
  <si>
    <t>Competitiesport zonder jeugdopleiding</t>
  </si>
  <si>
    <t>Competitiesport met jeugdopleiding</t>
  </si>
  <si>
    <t>Tennisclub Bachten de kupe</t>
  </si>
  <si>
    <t xml:space="preserve">Jeugdsport vzw </t>
  </si>
  <si>
    <t>Denksporten zonder jeugdopleiding</t>
  </si>
  <si>
    <t>Denksporten met jeugdopleiding</t>
  </si>
  <si>
    <t>Schaakkring Het witte paard</t>
  </si>
  <si>
    <t>ALGEMEEN TOTAAL SUBSIDIES</t>
  </si>
  <si>
    <t>Subsidies jeugdverenigingen</t>
  </si>
  <si>
    <t>Kampvervoer</t>
  </si>
  <si>
    <t>KSA Roodkapjes</t>
  </si>
  <si>
    <t>KSA Kerelstede</t>
  </si>
  <si>
    <t>Chiro Trezebees</t>
  </si>
  <si>
    <t>KLJ Veurne</t>
  </si>
  <si>
    <t>KLJ Beauvoorde</t>
  </si>
  <si>
    <t>Jeugdraad</t>
  </si>
  <si>
    <t>Totaalbedrag</t>
  </si>
  <si>
    <t>Gebruik ontmoetingscentra</t>
  </si>
  <si>
    <t>OC Steenkerke</t>
  </si>
  <si>
    <t>OC Caroline</t>
  </si>
  <si>
    <t>OC De Troenke</t>
  </si>
  <si>
    <t>Suikerklontje</t>
  </si>
  <si>
    <t>Spaans Paviljoen</t>
  </si>
  <si>
    <t>Oude Vleeshalle</t>
  </si>
  <si>
    <t>Furnevent (foyer)</t>
  </si>
  <si>
    <t xml:space="preserve">Werkingssubsidie feestraden </t>
  </si>
  <si>
    <t>Feestraad Beauvoorde</t>
  </si>
  <si>
    <t>Feestcommissie Houtem</t>
  </si>
  <si>
    <t>Feestcommissie Steenkerke</t>
  </si>
  <si>
    <t>Wijk Drie Coninghen</t>
  </si>
  <si>
    <t>De Voorstad vzw</t>
  </si>
  <si>
    <t>Animatie Nieuwstad veurne vzw</t>
  </si>
  <si>
    <t>t Zwaantje</t>
  </si>
  <si>
    <t>Feestcomité Avekapelle</t>
  </si>
  <si>
    <t>Feestcomité Eggewaartskapelle</t>
  </si>
  <si>
    <t>Feestcommissie stad Veurne vzw</t>
  </si>
  <si>
    <t>De Weideroosjes</t>
  </si>
  <si>
    <t>Recreatief Bulskamp</t>
  </si>
  <si>
    <t>Totaal (EUR)</t>
  </si>
  <si>
    <t>Projectsubsidie</t>
  </si>
  <si>
    <t>Vincentiusvereniging Veurne</t>
  </si>
  <si>
    <t>Koninklijke Fanfare ‘Houthemnaere blyft te gaere’</t>
  </si>
  <si>
    <t>Werkgroep De Vrienden van Sasmeester Victor Kemp</t>
  </si>
  <si>
    <t>Koninklijke Harmonie Sint-Cecilia</t>
  </si>
  <si>
    <t>Wijkbestuur De Voorstad</t>
  </si>
  <si>
    <t>Herita</t>
  </si>
  <si>
    <t xml:space="preserve">Sint-Vincentiusgenootschap </t>
  </si>
  <si>
    <t>Projectsubsidie samenwerkingsverbanden</t>
  </si>
  <si>
    <t>Sint-Vincentiusvereniging Veurne</t>
  </si>
  <si>
    <t xml:space="preserve">Rozenwingerd en vzw Vondels </t>
  </si>
  <si>
    <t>Koninklijke harmonie Sint-Cecilia</t>
  </si>
  <si>
    <t>Kon. Fanfare Houthemnaere blyft te gaere</t>
  </si>
  <si>
    <t>Volksdansgroep Zannekin</t>
  </si>
  <si>
    <t>Gezinsbond Veurne vzw</t>
  </si>
  <si>
    <t>Landelijke Gilde Bulskamp - De Moeren</t>
  </si>
  <si>
    <t>De hangende Piste van Pistagoras</t>
  </si>
  <si>
    <t xml:space="preserve"> Feestcommissie Houtem</t>
  </si>
  <si>
    <t>Wijkcomité Voorstad</t>
  </si>
  <si>
    <t>Animatie Nieuwstad Veurne vzw</t>
  </si>
  <si>
    <t>Wijkcomité 't Zwaantje</t>
  </si>
  <si>
    <t>Bulskamp Recreatief</t>
  </si>
  <si>
    <t>KVLV Bulskamp - De Moeren</t>
  </si>
  <si>
    <t>K.V.L.V. Steenkerke</t>
  </si>
  <si>
    <t xml:space="preserve">Feestcommissie Veurne </t>
  </si>
  <si>
    <t>Projectinhoud</t>
  </si>
  <si>
    <t>bedrag 2017</t>
  </si>
  <si>
    <t>subsidieerbaar bedrag 2017</t>
  </si>
  <si>
    <t>reëel bedrag 2017</t>
  </si>
  <si>
    <t>bedrag 2018</t>
  </si>
  <si>
    <t>subsidieerbaar</t>
  </si>
  <si>
    <t>reëel bedrag 2018</t>
  </si>
  <si>
    <t>bedrag 2019</t>
  </si>
  <si>
    <t>reëel bedrag 2019</t>
  </si>
  <si>
    <t>Toneelgilde "Sint-lutgardis" Veurne</t>
  </si>
  <si>
    <t>naaimachine</t>
  </si>
  <si>
    <t>Koninklijke Harmonie St. Cecilia</t>
  </si>
  <si>
    <t>Muziekinstrumenten</t>
  </si>
  <si>
    <t>Muziekpartituren</t>
  </si>
  <si>
    <t>Landelijke gilde Bulskamp - De Moeren</t>
  </si>
  <si>
    <t>muziekinstallatie</t>
  </si>
  <si>
    <t>Barbecue</t>
  </si>
  <si>
    <t>Houthemnaere blyft te gaere</t>
  </si>
  <si>
    <t>Aankoop instrumenten</t>
  </si>
  <si>
    <t>Aankoop lichten om op zangpartituren te plaatsen /partituurhouders</t>
  </si>
  <si>
    <t xml:space="preserve">Koninklijke Harmonie Sinte-Cecilia </t>
  </si>
  <si>
    <t>Aankoop kostumering, muziekpartituren  en muziekpartituren</t>
  </si>
  <si>
    <t>Koninklijke Fotoclub Westhoek Veurne</t>
  </si>
  <si>
    <t xml:space="preserve">Aankoop twee achtergrondrollen Polar White en Storm Grey </t>
  </si>
  <si>
    <t>KVLV Steenkerke</t>
  </si>
  <si>
    <t>Aankoop mobiele geluidsinstallatie met micro, afstandsbediening</t>
  </si>
  <si>
    <t xml:space="preserve">Aankoop kar soundsysteem </t>
  </si>
  <si>
    <t xml:space="preserve">Aankoop 122 fotokaders </t>
  </si>
  <si>
    <t>Muziekstandaards</t>
  </si>
  <si>
    <t>opnametoestel</t>
  </si>
  <si>
    <t>Koninklijke Toneelgilde Sint-Lutgardis Veurne</t>
  </si>
  <si>
    <t>kleine actieve luidspreker</t>
  </si>
  <si>
    <t>Samsung J3 + samsung SSD 860 EVO 500 GB</t>
  </si>
  <si>
    <t>Feestcommissie Avekapelle</t>
  </si>
  <si>
    <t xml:space="preserve">Beamer en Scherm </t>
  </si>
  <si>
    <t xml:space="preserve">wegens mogelijkheid gratis gebruik via  Visit Veiurne </t>
  </si>
  <si>
    <t>Bezoekers aan de balie van dienst Toerisme</t>
  </si>
  <si>
    <t>aantal</t>
  </si>
  <si>
    <t>Sporthal: aantal gereserveerde uren per categorie zaal</t>
  </si>
  <si>
    <t>gevechtssportzaal</t>
  </si>
  <si>
    <t>grote zaal 1/2 zaal links</t>
  </si>
  <si>
    <t>grote zaal 1/2 zaal rechts</t>
  </si>
  <si>
    <t>grote zaal badmintonveld1 links</t>
  </si>
  <si>
    <t>grote zaal badmintonveld2 links</t>
  </si>
  <si>
    <t>grote zaal badmintonveld3 links</t>
  </si>
  <si>
    <t>grote zaal tennis links</t>
  </si>
  <si>
    <t>grote zaal tennis midden</t>
  </si>
  <si>
    <t>grote zaal tennis midden L</t>
  </si>
  <si>
    <t>grote zaal tennis rechts</t>
  </si>
  <si>
    <t>grote zaal volledig</t>
  </si>
  <si>
    <t>Totaal Grote Zaal</t>
  </si>
  <si>
    <t>kleine zaal 1/3 zaal links</t>
  </si>
  <si>
    <t>kleine zaal 1/3 zaal midden</t>
  </si>
  <si>
    <t>kleine zaal 1/3 zaal rechts</t>
  </si>
  <si>
    <t>kleine zaal 2/3 zaal rechts</t>
  </si>
  <si>
    <t>kleine zaal badmintonveld1 rechts</t>
  </si>
  <si>
    <t>kleine zaal badmintonveld2 rechts</t>
  </si>
  <si>
    <t>kleine zaal badmintonveld3 rechts</t>
  </si>
  <si>
    <t>kleine zaal volledig</t>
  </si>
  <si>
    <t>Totaal Kleine zaal</t>
  </si>
  <si>
    <t>Eindtotaal</t>
  </si>
  <si>
    <t>Totaal 2018</t>
  </si>
  <si>
    <t>Sporthal: aantal reservaties per categorie zaal</t>
  </si>
  <si>
    <t>Gevechtssportzaal</t>
  </si>
  <si>
    <t>Grote Zaal</t>
  </si>
  <si>
    <t>Kleine zaal</t>
  </si>
  <si>
    <t>Totaal 2019</t>
  </si>
  <si>
    <t>Aantal activiteiten</t>
  </si>
  <si>
    <t>ID (Aantal)</t>
  </si>
  <si>
    <t>Unieke deelnemers</t>
  </si>
  <si>
    <t>Inschrijving per dag Briekeljong Krokusvakantie</t>
  </si>
  <si>
    <t>Sportkriebels</t>
  </si>
  <si>
    <t>Avonturenkamp</t>
  </si>
  <si>
    <t>Halloween sport- en knutselkamp</t>
  </si>
  <si>
    <t>Kleuterkamp paasvakantie</t>
  </si>
  <si>
    <t>Schaats- en omnisportkamp</t>
  </si>
  <si>
    <t>Multimove kleuters: abonnement 10 beurten</t>
  </si>
  <si>
    <t>Multimove kleuters: abonnement 15 beurten</t>
  </si>
  <si>
    <t>Multimove kleuters: abonnement 5 beurten</t>
  </si>
  <si>
    <t>Themakleuterkamp</t>
  </si>
  <si>
    <t>Zwem- en omnisportkamp augustus</t>
  </si>
  <si>
    <t>Zwem- en omnisportkamp juli</t>
  </si>
  <si>
    <t>Zwem- en omnisportkamp paasvakantie</t>
  </si>
  <si>
    <t>VT-SPORT</t>
  </si>
  <si>
    <t>SUBSIDIES VRIJE TIJD</t>
  </si>
  <si>
    <t>Aanvragen in dienst toerisme</t>
  </si>
  <si>
    <t>zie voor 2014 en volgende jaren</t>
  </si>
  <si>
    <t>Aantal informatiebezoeken aan balie</t>
  </si>
  <si>
    <t>andere berekening gehanteerd dan 2009</t>
  </si>
  <si>
    <t>zie hieronder Vrij Vaderland</t>
  </si>
  <si>
    <t>bezoekers Landhuis vanaf 1 mei 2011</t>
  </si>
  <si>
    <t>Vlaanderen</t>
  </si>
  <si>
    <t>Wallonië</t>
  </si>
  <si>
    <t>Nederland</t>
  </si>
  <si>
    <t>Duitsland</t>
  </si>
  <si>
    <t>Frankrijk</t>
  </si>
  <si>
    <t>Groot-Brittanië</t>
  </si>
  <si>
    <t>Aantal aanvragen om documentatie</t>
  </si>
  <si>
    <t>dit wordt niet meer bijge-houden</t>
  </si>
  <si>
    <t>post</t>
  </si>
  <si>
    <t>346 genoteerd op papier niet alle telefoons</t>
  </si>
  <si>
    <t>fax</t>
  </si>
  <si>
    <t>mail</t>
  </si>
  <si>
    <t>6678 brochures via display inkomsas</t>
  </si>
  <si>
    <t>Aantal stad- en landshuisbezoeken</t>
  </si>
  <si>
    <t>individueel</t>
  </si>
  <si>
    <t>groep</t>
  </si>
  <si>
    <t>Baretta normaal</t>
  </si>
  <si>
    <t>Baretta reductie</t>
  </si>
  <si>
    <t>Baretta Veurnaars</t>
  </si>
  <si>
    <t>monumentenwandeling</t>
  </si>
  <si>
    <t>monumentenwandeling gratis</t>
  </si>
  <si>
    <t>monumentenwandeling Veurnaars</t>
  </si>
  <si>
    <t>monumentenwandeling hotel Driekoningen</t>
  </si>
  <si>
    <t>themawandelingen</t>
  </si>
  <si>
    <t>totaal</t>
  </si>
  <si>
    <t>Aantal bezoeken Sint-Niklaastoren</t>
  </si>
  <si>
    <t>Aantal deelnemers</t>
  </si>
  <si>
    <t>Vrij Vaderland 2014</t>
  </si>
  <si>
    <t>Volwassenen (ind)</t>
  </si>
  <si>
    <t>Senioren (ind)</t>
  </si>
  <si>
    <t>7 - 18 jaar (ind)</t>
  </si>
  <si>
    <t>&lt; 7 jaar (ind)</t>
  </si>
  <si>
    <t>reductietarief (ind)</t>
  </si>
  <si>
    <t>Volwassenen (groep)</t>
  </si>
  <si>
    <t>School (groep)</t>
  </si>
  <si>
    <t>Gratis</t>
  </si>
  <si>
    <t>Inkomsten</t>
  </si>
  <si>
    <t>IVV-dag</t>
  </si>
  <si>
    <t>Nocturne</t>
  </si>
  <si>
    <t>Individuele vs. Groepen vs. Schoolgroepen</t>
  </si>
  <si>
    <t>Maand/jaar</t>
  </si>
  <si>
    <t>Individueel</t>
  </si>
  <si>
    <t>Groepen</t>
  </si>
  <si>
    <t>Schoolgroepen</t>
  </si>
  <si>
    <t>Opening 15 maart: 1850 gratis bezoekers (In Vlaamse Velden dag)</t>
  </si>
  <si>
    <t>Cijfers maart: Vanaf 16 maart + Senioren zitten in de maand maart bij reductietarief</t>
  </si>
  <si>
    <t>Vrij Vaderland 2015</t>
  </si>
  <si>
    <t>Vrij Vaderland 2016</t>
  </si>
  <si>
    <t>Vrij Vaderland 2017</t>
  </si>
  <si>
    <t>Vrij Vaderland 2018</t>
  </si>
  <si>
    <t>Totaal 2016</t>
  </si>
  <si>
    <t>Totaal 2017</t>
  </si>
  <si>
    <t>% 2016-2017</t>
  </si>
  <si>
    <t>% 2017-2018</t>
  </si>
  <si>
    <t>Inkomsten 2018</t>
  </si>
  <si>
    <t>Opmerking</t>
  </si>
  <si>
    <t>Nog 82 personen bij te tellen van de arrangementen en 185 euro</t>
  </si>
  <si>
    <t>Aantal bezoekers Stad- en Landshuis 2018</t>
  </si>
  <si>
    <t>datum</t>
  </si>
  <si>
    <t>open van</t>
  </si>
  <si>
    <t>tot</t>
  </si>
  <si>
    <t>vrijwilliger</t>
  </si>
  <si>
    <t>aantal bezoekers</t>
  </si>
  <si>
    <t>donatie</t>
  </si>
  <si>
    <t>10u</t>
  </si>
  <si>
    <t>17u</t>
  </si>
  <si>
    <t>Roland Delsael</t>
  </si>
  <si>
    <t>12u</t>
  </si>
  <si>
    <t>???</t>
  </si>
  <si>
    <t>11+</t>
  </si>
  <si>
    <t>14u</t>
  </si>
  <si>
    <t>groepen, proevertjes?</t>
  </si>
  <si>
    <t>TOTAAL MEI</t>
  </si>
  <si>
    <t>Willem</t>
  </si>
  <si>
    <t>15u15</t>
  </si>
  <si>
    <t>13u30</t>
  </si>
  <si>
    <t>TOTAAL JUNI</t>
  </si>
  <si>
    <t>Gerd</t>
  </si>
  <si>
    <t>Didier</t>
  </si>
  <si>
    <t>Willy Louwye</t>
  </si>
  <si>
    <t>VM (Bewolkt/lichte regen) - NM (zonnig)</t>
  </si>
  <si>
    <t>Nelly + Willem</t>
  </si>
  <si>
    <t>Voorstel bij het toepassen van toegangsprijs --&gt; een prijs voor groepen en gezinnen voorzien. Wat betreft de rondleiding van het bezoek: koppels en individuen kiezen verder voor het huidige systeem of info-panelen. Rolstoelgebruikers = ?</t>
  </si>
  <si>
    <t>Walter</t>
  </si>
  <si>
    <t>VM (lichtbewolkt) - NM (zonnig &amp; warm)</t>
  </si>
  <si>
    <t>Vrij Vaderland van 10u-12u</t>
  </si>
  <si>
    <t>Willy   Francis</t>
  </si>
  <si>
    <t>13u</t>
  </si>
  <si>
    <t>geld gestort                   namiddag proevertjes</t>
  </si>
  <si>
    <t>Francis + Didier</t>
  </si>
  <si>
    <t xml:space="preserve">Roland   </t>
  </si>
  <si>
    <t>Willy + Willem</t>
  </si>
  <si>
    <t>Roland</t>
  </si>
  <si>
    <t>Willy</t>
  </si>
  <si>
    <t>bezoek stadhuis -Isabella- 14u-15,30u  13p</t>
  </si>
  <si>
    <t>Walter + Didier</t>
  </si>
  <si>
    <t xml:space="preserve">weer = heet </t>
  </si>
  <si>
    <t xml:space="preserve">Francis     </t>
  </si>
  <si>
    <t>Francis</t>
  </si>
  <si>
    <t>TOTAAL JULI</t>
  </si>
  <si>
    <t>Francis + Dymphna</t>
  </si>
  <si>
    <t>Gerd + Roland</t>
  </si>
  <si>
    <t>Walter + Nelly</t>
  </si>
  <si>
    <t>12u30</t>
  </si>
  <si>
    <t>Didier + Willem</t>
  </si>
  <si>
    <t>voormiddag gouden bruiloft</t>
  </si>
  <si>
    <t>Furnival</t>
  </si>
  <si>
    <t>Willy + Francis</t>
  </si>
  <si>
    <t>Gestort uit geldkist € 287,10</t>
  </si>
  <si>
    <t>Roland + Willem</t>
  </si>
  <si>
    <t>Gerd + Willem</t>
  </si>
  <si>
    <t xml:space="preserve">Walter + Didier </t>
  </si>
  <si>
    <t>Francis + Nelly</t>
  </si>
  <si>
    <t>Proevertjes vanaf 13u30</t>
  </si>
  <si>
    <t>Nelly</t>
  </si>
  <si>
    <t xml:space="preserve">Feestdag + markt </t>
  </si>
  <si>
    <t xml:space="preserve">Roland Delsael </t>
  </si>
  <si>
    <t>Trouw van 15u-15u30</t>
  </si>
  <si>
    <t xml:space="preserve">VM: 2 huwelijken </t>
  </si>
  <si>
    <t xml:space="preserve">Roland + Gerd </t>
  </si>
  <si>
    <t xml:space="preserve">Roland + Willem </t>
  </si>
  <si>
    <t xml:space="preserve">VM: proevertjes </t>
  </si>
  <si>
    <t xml:space="preserve">Willy + Dymphna </t>
  </si>
  <si>
    <t>Gestort uit geldkist € 340,5</t>
  </si>
  <si>
    <t>Nelly + Walter</t>
  </si>
  <si>
    <t>NM: 2 huwelijken (13u00 + 15u15)</t>
  </si>
  <si>
    <t>11u30</t>
  </si>
  <si>
    <t>Didier + Willy</t>
  </si>
  <si>
    <t>VM: huwelijk</t>
  </si>
  <si>
    <t xml:space="preserve">Francis + Nelly </t>
  </si>
  <si>
    <t>Dymphna + Willy</t>
  </si>
  <si>
    <t>Francis + Willy</t>
  </si>
  <si>
    <t>Gerd + Dymphna</t>
  </si>
  <si>
    <t>11u45</t>
  </si>
  <si>
    <t>Walter + Willy</t>
  </si>
  <si>
    <t>TOTAAL AUG</t>
  </si>
  <si>
    <t>Wily + Willem</t>
  </si>
  <si>
    <t>Nelly + Didier</t>
  </si>
  <si>
    <t>Gestort uit geldkist € 181</t>
  </si>
  <si>
    <t>Francis + Walter</t>
  </si>
  <si>
    <t>open monumentendag</t>
  </si>
  <si>
    <t xml:space="preserve">Gerd + Walter </t>
  </si>
  <si>
    <t>Roland + Willy</t>
  </si>
  <si>
    <t xml:space="preserve">VM: jubileum + NM: proevertjes + gidsbeurten </t>
  </si>
  <si>
    <t>VM: proevertjes</t>
  </si>
  <si>
    <t>TOTAAL SEPT</t>
  </si>
  <si>
    <t>VM: huwelijk + proevertjes</t>
  </si>
  <si>
    <t>Gestort uit geldkist €102</t>
  </si>
  <si>
    <t xml:space="preserve">VM + NM: proevertjes </t>
  </si>
  <si>
    <t>VM + NM: proevertjes</t>
  </si>
  <si>
    <t>Didier + Nelly</t>
  </si>
  <si>
    <t>Gestort uit geldkist €60</t>
  </si>
  <si>
    <t>slecht weer</t>
  </si>
  <si>
    <t>Markt</t>
  </si>
  <si>
    <t>TOTAAL OKT</t>
  </si>
  <si>
    <t>Gerd + Willy</t>
  </si>
  <si>
    <t>Roland + Didier</t>
  </si>
  <si>
    <t>11u</t>
  </si>
  <si>
    <t>16u</t>
  </si>
  <si>
    <t>Didier + Walter</t>
  </si>
  <si>
    <t>Gestort uit geldkist €261,53</t>
  </si>
  <si>
    <t>TOTAAL NOV</t>
  </si>
  <si>
    <t>TOTAAL 2018</t>
  </si>
  <si>
    <t xml:space="preserve">TOTAAL DONATIE </t>
  </si>
  <si>
    <t>Balie 2018</t>
  </si>
  <si>
    <t>TELLER</t>
  </si>
  <si>
    <t>Zie ook andere bijlage (per maand uitgesplitst)</t>
  </si>
  <si>
    <t>JANUARI</t>
  </si>
  <si>
    <t>FEBRUARI</t>
  </si>
  <si>
    <t>MAART</t>
  </si>
  <si>
    <t>APRIL</t>
  </si>
  <si>
    <t>MEI</t>
  </si>
  <si>
    <t>JUNI</t>
  </si>
  <si>
    <t>JULI</t>
  </si>
  <si>
    <t>AUGUSTUS</t>
  </si>
  <si>
    <t>SEPTEMBER</t>
  </si>
  <si>
    <t>OKTOBER</t>
  </si>
  <si>
    <t>NOVEMBER</t>
  </si>
  <si>
    <t>DECEMBER</t>
  </si>
  <si>
    <t>Vrij Vaderland 2019</t>
  </si>
  <si>
    <t>Statistieken 2019</t>
  </si>
  <si>
    <t>% 2018-2019</t>
  </si>
  <si>
    <t>Inkomsten 2019</t>
  </si>
  <si>
    <t>Baliebezoekers 2019</t>
  </si>
  <si>
    <t>Aantal bezoekers Stad- en Landshuis 2019</t>
  </si>
  <si>
    <t>Donaties 1900,77</t>
  </si>
  <si>
    <t>donatie (EUR)</t>
  </si>
  <si>
    <t>Dymphna</t>
  </si>
  <si>
    <t>willem</t>
  </si>
  <si>
    <t>gesloten van 12,30-13,30</t>
  </si>
  <si>
    <t>delsael roland</t>
  </si>
  <si>
    <t>walter,stefaan</t>
  </si>
  <si>
    <t>markt en koude wind</t>
  </si>
  <si>
    <t>gerd blomer</t>
  </si>
  <si>
    <t>kermis opbouw,koude wind</t>
  </si>
  <si>
    <t>louwye willy</t>
  </si>
  <si>
    <t>koud,grimmig weer</t>
  </si>
  <si>
    <t>barzeele stefaan</t>
  </si>
  <si>
    <t>mooi ,fris weer</t>
  </si>
  <si>
    <t>15u gidsbeurt en proevertjes in stadhuis</t>
  </si>
  <si>
    <t>nederlandse en franse gids,dringend</t>
  </si>
  <si>
    <t>zeer mooi weer</t>
  </si>
  <si>
    <t>uit het bakje 19/04 € 25</t>
  </si>
  <si>
    <t>blomme nelly</t>
  </si>
  <si>
    <t>huwelijk en gouden bruiloft</t>
  </si>
  <si>
    <t>TOTAAL APRIL</t>
  </si>
  <si>
    <t>walter</t>
  </si>
  <si>
    <t>marktdag, fris, proevertjes 2x</t>
  </si>
  <si>
    <t xml:space="preserve">gerd </t>
  </si>
  <si>
    <t>10-12,30 gesloten, 2x trouw, 1x proevertjes</t>
  </si>
  <si>
    <t>uit het bakje op 21/05/2019 € 94</t>
  </si>
  <si>
    <t>gesloten om 11u door huwelijk om 11u30</t>
  </si>
  <si>
    <t>mooi weer</t>
  </si>
  <si>
    <t>11-12 gesloten,proevertjes en 1 groep met gids</t>
  </si>
  <si>
    <t>uit het bakje op 18/06/2019 € 102</t>
  </si>
  <si>
    <t>trouw en proevertjes</t>
  </si>
  <si>
    <t>dympha</t>
  </si>
  <si>
    <t>uit bakje op 2/07/2019 € 152</t>
  </si>
  <si>
    <t>stefaan</t>
  </si>
  <si>
    <t>bewolkt</t>
  </si>
  <si>
    <t>huwelijk in voormiddag</t>
  </si>
  <si>
    <t>groep met gids,mooi weer</t>
  </si>
  <si>
    <t>roland</t>
  </si>
  <si>
    <t>wisselvallig weer,groepje met gids</t>
  </si>
  <si>
    <t>willy</t>
  </si>
  <si>
    <t>regen</t>
  </si>
  <si>
    <t>voormidd gesloten door huwelijk</t>
  </si>
  <si>
    <t>open na 16u door gids en proevertjes</t>
  </si>
  <si>
    <t>markt,regen heel veel Nederlanders</t>
  </si>
  <si>
    <t>gids met 15p</t>
  </si>
  <si>
    <t>marktdag</t>
  </si>
  <si>
    <t>13,30tot 14,30 huwelijk</t>
  </si>
  <si>
    <t>dymphna</t>
  </si>
  <si>
    <t>stef</t>
  </si>
  <si>
    <t>gerd</t>
  </si>
  <si>
    <t>marktdag,vlieg 7</t>
  </si>
  <si>
    <t>uit bakje op 16/7 € 198,10</t>
  </si>
  <si>
    <t>avondmarkt</t>
  </si>
  <si>
    <t>proevertjes</t>
  </si>
  <si>
    <t>mooi weer marktdag</t>
  </si>
  <si>
    <t>13,30trouw</t>
  </si>
  <si>
    <t>2 gidsbeurten in voormiddag</t>
  </si>
  <si>
    <t>zeer warm</t>
  </si>
  <si>
    <t>nelly</t>
  </si>
  <si>
    <t>27/072019</t>
  </si>
  <si>
    <t>voormid gesloten,gouden bruiloft,namid vlieg</t>
  </si>
  <si>
    <t>uit bakje op 1/08 € 247,42</t>
  </si>
  <si>
    <t>uit bakje op 6/08 € 51,14</t>
  </si>
  <si>
    <t>uit bakje op 28/08 € 336</t>
  </si>
  <si>
    <t>vlieg</t>
  </si>
  <si>
    <t>16u trouw</t>
  </si>
  <si>
    <t>kinderrommelmarkt 13-17</t>
  </si>
  <si>
    <t>markt, zonnig. Vlieg</t>
  </si>
  <si>
    <t>trouw</t>
  </si>
  <si>
    <t>bewolkt,droog</t>
  </si>
  <si>
    <t>marktdag, optredens trouwzaal, Vlieg</t>
  </si>
  <si>
    <t>2 huwelijken</t>
  </si>
  <si>
    <t>trouw,groep met gids</t>
  </si>
  <si>
    <t>11.30</t>
  </si>
  <si>
    <t>tot11.30 proevertjes, vlieg</t>
  </si>
  <si>
    <t>trouw 14u</t>
  </si>
  <si>
    <t>markt,optreden kiosk,lenteweer</t>
  </si>
  <si>
    <t>willy/chris</t>
  </si>
  <si>
    <t>Vm en Nm proevertjes/bezoek stadhuis</t>
  </si>
  <si>
    <t>uit bakje op 04/09/2019 € 159,64</t>
  </si>
  <si>
    <t>uit bakje op 28/10/2019 € 304</t>
  </si>
  <si>
    <t>schat van vlieg(7)</t>
  </si>
  <si>
    <t>markt,vlieg</t>
  </si>
  <si>
    <t>trouw 11u, 14u tijdelijk gesloten boodschappen</t>
  </si>
  <si>
    <t>totaal aug</t>
  </si>
  <si>
    <t>gerd,roland</t>
  </si>
  <si>
    <t>schat vlieg (1)</t>
  </si>
  <si>
    <t>markt,wisselvallig weer</t>
  </si>
  <si>
    <t>trouw,podium voor stadhuis,regen</t>
  </si>
  <si>
    <t>open om 12u, Open monumentendag</t>
  </si>
  <si>
    <t>regenachtig en fris</t>
  </si>
  <si>
    <t>11.45</t>
  </si>
  <si>
    <t>door trouw later open</t>
  </si>
  <si>
    <t>door gouden bruiloft later open, proevertjes</t>
  </si>
  <si>
    <t>13.30</t>
  </si>
  <si>
    <t>15.30</t>
  </si>
  <si>
    <t>2 huwelijken,proevertjes vm en namid</t>
  </si>
  <si>
    <t>proevertjes om 11u,om 13u open</t>
  </si>
  <si>
    <t>veel regen</t>
  </si>
  <si>
    <t>voormid proevertjes</t>
  </si>
  <si>
    <t>totaal sept</t>
  </si>
  <si>
    <t>groep met gids /gitaar</t>
  </si>
  <si>
    <t>tstijds receptie en 2x proevertjes</t>
  </si>
  <si>
    <t>vrmid gesloten proevertjes 2 groepen</t>
  </si>
  <si>
    <t>trouw van 11-12</t>
  </si>
  <si>
    <t>14u gesloten,groep spec,evenement</t>
  </si>
  <si>
    <t>trouw, 14,30 gidsbeurt</t>
  </si>
  <si>
    <t>gouden bruiloft, namid proevertjes</t>
  </si>
  <si>
    <t>vrmid proevertjes</t>
  </si>
  <si>
    <t>trouw om 11u,namid Duitsers met gids</t>
  </si>
  <si>
    <t>totaal okt</t>
  </si>
  <si>
    <t>05/12: € 166,50 van de kist</t>
  </si>
  <si>
    <t>03/01: € 64,97 van de kist</t>
  </si>
  <si>
    <t>vrmid gesloten door trouw</t>
  </si>
  <si>
    <t>tot 16:30 voorbereiding St.Maartenstoet</t>
  </si>
  <si>
    <t>TOTAAL DONATIES: 1900,77</t>
  </si>
  <si>
    <t>Totaal nov</t>
  </si>
  <si>
    <t>TOTAAL 2019</t>
  </si>
  <si>
    <t>VIZIT VEURNE</t>
  </si>
  <si>
    <t>Aantal bezoekers aan de balie dienst toerisme</t>
  </si>
  <si>
    <t>De Moeren</t>
  </si>
  <si>
    <t>Eggewaartskapelle</t>
  </si>
  <si>
    <t>Wulveringem</t>
  </si>
  <si>
    <t>Zoutenaaie</t>
  </si>
  <si>
    <t>Bevolkingsgegevens</t>
  </si>
  <si>
    <t>Geboorten</t>
  </si>
  <si>
    <t>Overlijdens</t>
  </si>
  <si>
    <t>Aankomst</t>
  </si>
  <si>
    <t>Vertrek</t>
  </si>
  <si>
    <t>Totale bevolking</t>
  </si>
  <si>
    <t>Identiteitsstukken</t>
  </si>
  <si>
    <t>Paspoorten</t>
  </si>
  <si>
    <t>Pensioenaanvragen</t>
  </si>
  <si>
    <t>Echtscheidingen</t>
  </si>
  <si>
    <t>Jaartal</t>
  </si>
  <si>
    <t>Man</t>
  </si>
  <si>
    <t>Vrouw</t>
  </si>
  <si>
    <t xml:space="preserve">7330 Volkstelling </t>
  </si>
  <si>
    <t>9496 fusie + volkstelling</t>
  </si>
  <si>
    <t>11204 fusie</t>
  </si>
  <si>
    <t>11253 Volkstelling</t>
  </si>
  <si>
    <t>RR 11235</t>
  </si>
  <si>
    <t>RR 11247</t>
  </si>
  <si>
    <t>RR 11304</t>
  </si>
  <si>
    <t>RR 11352</t>
  </si>
  <si>
    <t>Kelder</t>
  </si>
  <si>
    <t>Urnekelder</t>
  </si>
  <si>
    <t>Columbarium</t>
  </si>
  <si>
    <t>asverstrooiing</t>
  </si>
  <si>
    <t>volle grond</t>
  </si>
  <si>
    <t>Wijzigingen huwelijksvermogenstelsels</t>
  </si>
  <si>
    <t>zie e-loket</t>
  </si>
  <si>
    <t xml:space="preserve">M </t>
  </si>
  <si>
    <t>V</t>
  </si>
  <si>
    <t>M</t>
  </si>
  <si>
    <t>Albanië</t>
  </si>
  <si>
    <t>Algerije</t>
  </si>
  <si>
    <t>Angola</t>
  </si>
  <si>
    <t>Armenië</t>
  </si>
  <si>
    <t>Bangladesh</t>
  </si>
  <si>
    <t>Benin</t>
  </si>
  <si>
    <t>Bosnië en Herzegovina</t>
  </si>
  <si>
    <t>Brazilië</t>
  </si>
  <si>
    <t>Bulgarije</t>
  </si>
  <si>
    <t>Buthan</t>
  </si>
  <si>
    <t>Canada</t>
  </si>
  <si>
    <t>Chili</t>
  </si>
  <si>
    <t>China</t>
  </si>
  <si>
    <t>Colombia</t>
  </si>
  <si>
    <t>Congo (Dem.rep)</t>
  </si>
  <si>
    <t>Congo (Volksrep)</t>
  </si>
  <si>
    <t>Costa Rica</t>
  </si>
  <si>
    <t>Ecuador</t>
  </si>
  <si>
    <t>Egypte</t>
  </si>
  <si>
    <t>Filipijnen</t>
  </si>
  <si>
    <t>Ghana</t>
  </si>
  <si>
    <t>Honduras</t>
  </si>
  <si>
    <t>Hongarije</t>
  </si>
  <si>
    <t>Ierland</t>
  </si>
  <si>
    <t>India</t>
  </si>
  <si>
    <t>Indonesië</t>
  </si>
  <si>
    <t>Irak</t>
  </si>
  <si>
    <t>Italië</t>
  </si>
  <si>
    <t>Ivoorkust</t>
  </si>
  <si>
    <t>Kameroen</t>
  </si>
  <si>
    <t>Kenia</t>
  </si>
  <si>
    <t>Kroatie</t>
  </si>
  <si>
    <t>Letland</t>
  </si>
  <si>
    <t>Liberia</t>
  </si>
  <si>
    <t>Litouwen</t>
  </si>
  <si>
    <t>Luxemburg</t>
  </si>
  <si>
    <t>Marokko</t>
  </si>
  <si>
    <t>Mauritius</t>
  </si>
  <si>
    <t>Mexico</t>
  </si>
  <si>
    <t>Mozambique</t>
  </si>
  <si>
    <t>Nepal</t>
  </si>
  <si>
    <t>Niger</t>
  </si>
  <si>
    <t>Nigeria</t>
  </si>
  <si>
    <t>nog niet definitief bewezen</t>
  </si>
  <si>
    <t>Oekraïne</t>
  </si>
  <si>
    <t>Oezbekistan</t>
  </si>
  <si>
    <t>onbepaald</t>
  </si>
  <si>
    <t>Oostenrijk</t>
  </si>
  <si>
    <t>Pakistan</t>
  </si>
  <si>
    <t>Peru</t>
  </si>
  <si>
    <t>Polen</t>
  </si>
  <si>
    <t>Portugal</t>
  </si>
  <si>
    <t>Roemenië</t>
  </si>
  <si>
    <t>Russische Federatie</t>
  </si>
  <si>
    <t>Senegal</t>
  </si>
  <si>
    <t>Servië en Montenegro</t>
  </si>
  <si>
    <t>Slowakije</t>
  </si>
  <si>
    <t>Somalië</t>
  </si>
  <si>
    <t>Spanje</t>
  </si>
  <si>
    <t>Sri Lanka</t>
  </si>
  <si>
    <t>Thailand</t>
  </si>
  <si>
    <t>Togo</t>
  </si>
  <si>
    <t>Tsjechische Republiek</t>
  </si>
  <si>
    <t>Tunesië</t>
  </si>
  <si>
    <t>Turkije</t>
  </si>
  <si>
    <t>USSR</t>
  </si>
  <si>
    <t>Vaderlandsloos</t>
  </si>
  <si>
    <t>Van Somalische afkomst</t>
  </si>
  <si>
    <t>Verenigde Staten van Amerika</t>
  </si>
  <si>
    <t>Verenigd Koninkrijk</t>
  </si>
  <si>
    <t>Vluchteling</t>
  </si>
  <si>
    <t>Zweden</t>
  </si>
  <si>
    <t>GAS-inbreuk</t>
  </si>
  <si>
    <t>Dieren onbewaakt laten rondlopen</t>
  </si>
  <si>
    <t>Geluidsoverlast</t>
  </si>
  <si>
    <t>Hinderlijke werkzaamheden</t>
  </si>
  <si>
    <t>Wildplassen</t>
  </si>
  <si>
    <t>Afvalverbranding/ vuur maken</t>
  </si>
  <si>
    <t>Hondenpoep</t>
  </si>
  <si>
    <t>Modder op de weg</t>
  </si>
  <si>
    <t>Verontreinigde werkzaamheden</t>
  </si>
  <si>
    <t>Zonder toestemming wegnemen van verkeersbord</t>
  </si>
  <si>
    <t>Zonder toestemming reclamedrukwerk verspreiden</t>
  </si>
  <si>
    <t>Private ingebruikname openbaar domein</t>
  </si>
  <si>
    <t>Niet zindelijke staat perceel</t>
  </si>
  <si>
    <t>Kamperen langer dan 24u zonder toelating</t>
  </si>
  <si>
    <t>E-loketfomulieren op website</t>
  </si>
  <si>
    <t>Aangifte rampenschade</t>
  </si>
  <si>
    <t>Aankoopsuggestie van een boek, CD, DVD</t>
  </si>
  <si>
    <t>Aanvraag premie voor herbruikbare luiers</t>
  </si>
  <si>
    <t>Aanvraag machtiging tot gebruik van het openbaar domein</t>
  </si>
  <si>
    <t>Aanvraag grafisch ontwerp</t>
  </si>
  <si>
    <t>Aanvraag tot belastingvermindering - algemene gemeentebelasting gezinnen</t>
  </si>
  <si>
    <t>Aanvraagformulier voor een verhuurvergunning kamer</t>
  </si>
  <si>
    <t>Achthoek- Opleiding voor bestuursvrijwilligers</t>
  </si>
  <si>
    <t>Adoptie (uittreksel)</t>
  </si>
  <si>
    <t>cevi</t>
  </si>
  <si>
    <t>Adreswijziging</t>
  </si>
  <si>
    <t>Advies brandpreventie - stel jouw vraag</t>
  </si>
  <si>
    <t>Advies brandpreventie - aanvraag huisbezoek</t>
  </si>
  <si>
    <t>Afspraak maken bij de dienst burgerzaken</t>
  </si>
  <si>
    <t>Afval - bestelformulier voor de handelaar (restafvalzak en PMD)</t>
  </si>
  <si>
    <t>Afvalophaling - melding zwerfvuil</t>
  </si>
  <si>
    <t>Afvalophaling - ophalen van grof huisvuil</t>
  </si>
  <si>
    <t>Afvalophaling - ophalen van oude metalen</t>
  </si>
  <si>
    <t>Afvalophaling - ophalen van snoeihout</t>
  </si>
  <si>
    <t>Afvalophaling - probleem</t>
  </si>
  <si>
    <t>Attest van nationaliteit</t>
  </si>
  <si>
    <t>Attest van verblijf voor huwelijk</t>
  </si>
  <si>
    <t>Attest van wettelijke samenwoning</t>
  </si>
  <si>
    <t>Attest van woonplaatshistoriek</t>
  </si>
  <si>
    <t>Attest van woonst met adressenhistoriek</t>
  </si>
  <si>
    <t>Attest van woonst (uittreksel)</t>
  </si>
  <si>
    <t>Attest verklaring afstand van organen (uittreksel)</t>
  </si>
  <si>
    <t>Attest wijze van teraardebestelling</t>
  </si>
  <si>
    <t>Basketbalwedstrijd Oostende-Limburg op 13 februari 2016</t>
  </si>
  <si>
    <t>Bekendmaken van jouw evenement in Info Veurne</t>
  </si>
  <si>
    <t>Bevestiging persmoment Historisch Veurne</t>
  </si>
  <si>
    <t>Bevestigingsformulier 1D</t>
  </si>
  <si>
    <t>Bevestigingsformulier 1T</t>
  </si>
  <si>
    <t>Bevestigingsformulier 2D</t>
  </si>
  <si>
    <t>Bevestigingsformulier genodigde Boetprocessie</t>
  </si>
  <si>
    <t xml:space="preserve">Bevestigingsformulier opening Veurne on Ice </t>
  </si>
  <si>
    <t>Bestellen van toeristische folders</t>
  </si>
  <si>
    <t>Bevraging Historisch Veurne</t>
  </si>
  <si>
    <t>Bewijs aangifte adreswijziging</t>
  </si>
  <si>
    <t>Bewijs aangifte vertrek buitenland (uittreksel)</t>
  </si>
  <si>
    <t>Beroepswijziging</t>
  </si>
  <si>
    <t>Concessie kandidatuurstelling cafetaria</t>
  </si>
  <si>
    <t>Cultuur -  Wil je vrijwilliger worden bij de dienst Cultuur en Erfgoed?</t>
  </si>
  <si>
    <t>Cultuur - Aanvraag subsidie via project (project- investeringen en jeugd) socio-culturele verenigingen en Feestraden Veurne</t>
  </si>
  <si>
    <t>Cultuur - 150 jaar Baretta inschrijven boekvoorstelling 2016</t>
  </si>
  <si>
    <t>Cultuur - 150 jaar Baretta inschrijven Dichter(s) bij Baretta 2016</t>
  </si>
  <si>
    <t>Cultuur - 150 jaar Baretta inschrijven lezing restauratie 2016</t>
  </si>
  <si>
    <t>Cultuur - Aanmelden Winter-Variaties</t>
  </si>
  <si>
    <t>Cultuur - Enquête 'Toeren en Loeren 2015'</t>
  </si>
  <si>
    <t>Cultuur - Evaluatie 'Toeren en Loeren 2015'</t>
  </si>
  <si>
    <t>Cultuur - Evaluatie Maandag-Variaties 2016</t>
  </si>
  <si>
    <t>Cultuur - Evaluatie Zomervariaties 2017</t>
  </si>
  <si>
    <t>Cultuur - Evaluatie Zomervariaties 2018</t>
  </si>
  <si>
    <t>Cultuur - Evaluatieformulier gebruik lokalen</t>
  </si>
  <si>
    <t>Cultuur - Inschrijvingen Erfgoeddag 2017</t>
  </si>
  <si>
    <t>Cultuur - Identiteitskaart socio - culturele verenigingen Veurne en Feestraden</t>
  </si>
  <si>
    <t>Cultuur - JEUGD - Meldingsfiche socio-culturele verenigingen</t>
  </si>
  <si>
    <t>Cultuur - Meldingsfiche feestraden</t>
  </si>
  <si>
    <t>Cultuur - Meldingsfiche socio-culturele verenigingen</t>
  </si>
  <si>
    <t>Cultuur - Reserveren Maandag-Variaties 2016</t>
  </si>
  <si>
    <t>Cultuur - Reserveren Officiële opening Toeren&amp;Loeren</t>
  </si>
  <si>
    <t>Cultuur - Toeren en Loeren - Aanvragen 2016</t>
  </si>
  <si>
    <t xml:space="preserve">Cultuur - Evaluatie 'Toeren en Loeren </t>
  </si>
  <si>
    <t>Digicoach - hulp aanvragen</t>
  </si>
  <si>
    <t>Drankvergunning</t>
  </si>
  <si>
    <t>Duoticket voor voetbalwedstrijd Club Brugge (info Veurne december)</t>
  </si>
  <si>
    <t>E-reader en e-boeken aanvragen</t>
  </si>
  <si>
    <t>Enquete verkeersveiligheid Spaans Kwartier</t>
  </si>
  <si>
    <t>Enquete verkeersveiligheid Wulpendammestraat</t>
  </si>
  <si>
    <t>Echtscheiding (uittreksel)</t>
  </si>
  <si>
    <t>Erkenning van een kind (uittreksel)</t>
  </si>
  <si>
    <t>Evaluatie Open Kiosk 2018</t>
  </si>
  <si>
    <t>Evaluatie Wintervariaties 2016-2017</t>
  </si>
  <si>
    <t>Evaluatieformulier gebruik ontmoetingscentra</t>
  </si>
  <si>
    <t>Evaluatie jeugdcultuurweken</t>
  </si>
  <si>
    <t>Fietsmarkeren</t>
  </si>
  <si>
    <t>Folders/ flyers uitdelen op het grondgebied van Veurne: aanvraag</t>
  </si>
  <si>
    <t>Geboorte (uittreksel)</t>
  </si>
  <si>
    <t>Huwelijk (uittreksel)</t>
  </si>
  <si>
    <t>Huldiging van sportlaureaten</t>
  </si>
  <si>
    <t>Geluid - toestemming voor verhoogd geluidsniveau aanvragen</t>
  </si>
  <si>
    <t>Hout ophalen (houtsnippers of brandhout)</t>
  </si>
  <si>
    <t>Infomoment Suikerfabrieksite februari 2016</t>
  </si>
  <si>
    <t>Infomoment Suikerfabrieksite op 21 september 2016</t>
  </si>
  <si>
    <t>Infovergadering "Digitale Bouwaanvraag" op 4 oktober 2016</t>
  </si>
  <si>
    <t>Inname openbaar domein bij bouwwerkzaamheden</t>
  </si>
  <si>
    <t>Inschrijven voor "Week van de opvoeding"</t>
  </si>
  <si>
    <t xml:space="preserve">Inschrijven OMD </t>
  </si>
  <si>
    <t>Inschrijving zwerfvuilopruimdag 23 maart 2019</t>
  </si>
  <si>
    <t>Inschrijven infoavonden Veurne App</t>
  </si>
  <si>
    <t>Inschrijving Herdenkingsfakkeltocht</t>
  </si>
  <si>
    <t>Inschrijving genodigden Historisch Veurne</t>
  </si>
  <si>
    <t>Infomoment suikerpark op 7 maart 2018 (voor omwonenden)</t>
  </si>
  <si>
    <t>Inschrijving infomarkt suikerpark</t>
  </si>
  <si>
    <t>Inschrijving infomarkt suikerpark 13 december</t>
  </si>
  <si>
    <t>Inschrijving op adres (uittreksel)</t>
  </si>
  <si>
    <t>Inschrijving herfstvakantie 2016 BKO Benjamien</t>
  </si>
  <si>
    <t>inschrijving kerstvakantie BKO benjamien</t>
  </si>
  <si>
    <t>Inschrijving krokusvakantie BKO Benjamien</t>
  </si>
  <si>
    <t>Inschrijving paasvakantie BKO Benjamien</t>
  </si>
  <si>
    <t>Inschrijving zomervakantie BKO Benjamien</t>
  </si>
  <si>
    <t>Inschrijven opening Toeren &amp; Loeren 2017</t>
  </si>
  <si>
    <t>Inschrijving proclamatie (lagere graad)</t>
  </si>
  <si>
    <t>Inschrijving feestelijke proclamatie en prijsuitreiking op 30 juni 2018 (voor genodigden)</t>
  </si>
  <si>
    <t>Inschrijvingen Stap en trapdagen</t>
  </si>
  <si>
    <t>Inschrijven school battle</t>
  </si>
  <si>
    <t>Inschrijvingsformulier Lokale Helden</t>
  </si>
  <si>
    <t>Isolatiebon: gratis isolatieadvies aan huis (info Veurne oktober 2016)</t>
  </si>
  <si>
    <t>Kunstwerken overzichtstentoonstelling 2016</t>
  </si>
  <si>
    <t>Laatste wilsbeschikking: uittreksel attest</t>
  </si>
  <si>
    <t>Levensbewijs (attest van leven)</t>
  </si>
  <si>
    <t>Klimaatsubsidie voor Veurnse verenigingen aanvragen</t>
  </si>
  <si>
    <t>Kick off Monnikenhoek</t>
  </si>
  <si>
    <t>Jeugdcheques aanvragen</t>
  </si>
  <si>
    <t>Melden van evenement of fuif op grondgebied Veurne</t>
  </si>
  <si>
    <t>Meldingsfiche feestraden</t>
  </si>
  <si>
    <t>Meldingsfiche socio-culturele verenigingen</t>
  </si>
  <si>
    <t>Meldingsfiche socio-culturele verenigingen/ feestraden (jeugdwerking)</t>
  </si>
  <si>
    <t>Meldingskaart</t>
  </si>
  <si>
    <t>Milieuklachten</t>
  </si>
  <si>
    <t>Nationaliteit (afschrift van de akte)</t>
  </si>
  <si>
    <t>Nationaliteitsbewijs uit het bevolkingsregister (attest)</t>
  </si>
  <si>
    <t>Onderhoud van hagen, houtkanten, knotbomen</t>
  </si>
  <si>
    <t>Onderwijscheques aanvragen</t>
  </si>
  <si>
    <t>Ontvang een sms in geval van een noodsituatie op grondgebied Veurne</t>
  </si>
  <si>
    <t>Onthaalmoment voor nieuwe inwoners</t>
  </si>
  <si>
    <t>Open Kiosk - aanmeldingsfiche</t>
  </si>
  <si>
    <t>Organiseren van een tombola</t>
  </si>
  <si>
    <t>Overlijden (uittreksel)</t>
  </si>
  <si>
    <t>Openbaar domein - machtiging tot aanleg tegeltuintje aanvragen</t>
  </si>
  <si>
    <t>Opening sporthal Noordstraat 21 april 2018</t>
  </si>
  <si>
    <t>Persaccreditatie Historisch Veurne</t>
  </si>
  <si>
    <t>PIN- en PUK-code van jouw eID (aanvraag herdruk)</t>
  </si>
  <si>
    <t>Plaatsen van een terras op het openbaar domein</t>
  </si>
  <si>
    <t>Plaatsen van tijdelijke publiciteitsborden</t>
  </si>
  <si>
    <t>Reservatie finnisage Toeren Loeren</t>
  </si>
  <si>
    <t>Reservatieformulier groepen</t>
  </si>
  <si>
    <t>Rookmelders - aankopen of advies aanvragen</t>
  </si>
  <si>
    <t>Samenstelling van het gezin (attest)</t>
  </si>
  <si>
    <t>Sociaal-pedagogische toelage voor gehandicapt kind</t>
  </si>
  <si>
    <t xml:space="preserve">Sollicitatie bij BKO Benjamien als jobstudent voor paas- en zomervakantie </t>
  </si>
  <si>
    <t>Sollicitatie bij Briekeljong als jobstudent of monitor artikel 17 tijdens de zomervakantie</t>
  </si>
  <si>
    <t>Sollicitatie bij Briekeljong als jobstudent of monitor artikel 17 tijdens de paasvakantie</t>
  </si>
  <si>
    <t>Sollicitatie bij Briekeljong als vrijwilliger tijdens de zomervakantie</t>
  </si>
  <si>
    <t>Sollicitatie bij Briekeljong als vrijwilliger tijdens de paasvakantie</t>
  </si>
  <si>
    <t>Sollicitatie bij Briekeljong als vrijwilliger tijdens de herfstvakantie</t>
  </si>
  <si>
    <t>Sollicitatie bij Briekeljong als vrijwilliger tijdens de krokusvakantie</t>
  </si>
  <si>
    <t>Sollicitatieformulier bij Stad Veurne voor coördinator BKO</t>
  </si>
  <si>
    <t>Sollicitatieformulier bij Stad Veurne voor jeugdconsulent</t>
  </si>
  <si>
    <t>Sollicitatieformulier bij Stad Veurne voor jeugdwerker jeugddienst</t>
  </si>
  <si>
    <t>Sollicitatieformulier bij Stad Veurne voor jobstudent dienst burgerzaken</t>
  </si>
  <si>
    <t>Sollicitatieformulier bij Stad Veurne voor jobstudent dienst cultuur en erfgoed</t>
  </si>
  <si>
    <t>Sollicitatieformulier bij Stad Veurne voor monitoren sportkampen</t>
  </si>
  <si>
    <t>Sollicitatieformulier bij Stad Veurne voor medewerker schoonmaak (M/V)</t>
  </si>
  <si>
    <t>Sollicitatieformulier redder</t>
  </si>
  <si>
    <t>Sollicitatieformulier bij Stad Veurne voor pedagogisch begeleider BKO</t>
  </si>
  <si>
    <t>Sollicitatieformulier bij Stad Veurne voor technisch medewerker openbaar domein (C1-C3)</t>
  </si>
  <si>
    <t>Sollicitatieformulier seizoensarbeider</t>
  </si>
  <si>
    <t>Solliciatieformulier BKO begeleidster</t>
  </si>
  <si>
    <t>Sollicitatieformulier financieel expert</t>
  </si>
  <si>
    <t>Sollicitatieformulier 2018 bij Stad Veurne voor zaalwachter Furnevent</t>
  </si>
  <si>
    <t>Sollicitatieformulier bevordering herwaardering E naar D</t>
  </si>
  <si>
    <t>Sollicitatieformulier arbeider (onbepaalde duur)</t>
  </si>
  <si>
    <t>Sollicitatieformulier bij OCMW Veurne voor coordinator buurtgerichte zorg</t>
  </si>
  <si>
    <t>Sollicitatieformulier bij OCMW Veurne voor psycholoog bij WZC Ter Linden</t>
  </si>
  <si>
    <t>Sollicitatieformulier bij OCMW Veurne voor verpleegkundige en zorgkundige</t>
  </si>
  <si>
    <t>Sollicitatieformulier bij stad Veurne voor deskundige lokale economie</t>
  </si>
  <si>
    <t>Sollicitatieformulier bij stad Veurne voor personeelsconsulent B1-3</t>
  </si>
  <si>
    <t>Sollicitatieformulier bij stad Veurne voor technisch medewerker dienst coordinatie</t>
  </si>
  <si>
    <t>Sollicitatieformulier voor bibliotheekassistent</t>
  </si>
  <si>
    <t>Sollicitatieformulier voor deskundige openbaar domein</t>
  </si>
  <si>
    <t>Sollicitatieformulier voor ICT-manager</t>
  </si>
  <si>
    <t>Speeddaten met collega's</t>
  </si>
  <si>
    <t>Spontaan sollicitatieformulier bij Stad Veurne</t>
  </si>
  <si>
    <t>Spontaan sollicitatieformulier OCMW - Woonzorgcentrum Ter Linden</t>
  </si>
  <si>
    <t>Spontaan sollicitatieformulier Zonnewende - Organisatie voor bijzondere jeugdzorg</t>
  </si>
  <si>
    <t>Spontane aanvraag stageplaats bij Stad Veurne</t>
  </si>
  <si>
    <t>Sportcheques aanvragen</t>
  </si>
  <si>
    <t>Strafregister: uittreksel (voorheen goed gedrag en zeden)</t>
  </si>
  <si>
    <t>Subsidie via projecten aanvragen 2018-2019 (voor socio-culturele verenigingen en feestraden)</t>
  </si>
  <si>
    <t>Signalisatiemachtiging aanvragen</t>
  </si>
  <si>
    <t>Tickets Historisch Veurne</t>
  </si>
  <si>
    <t>Tickets Historisch Veurne 2018 balie</t>
  </si>
  <si>
    <t>Tickets Taptoe</t>
  </si>
  <si>
    <t>Tickets Vrij Vaderland Nocturne met Jennie Vanlerberghe</t>
  </si>
  <si>
    <t>Tijdelijke publiciteitsborden of bepijling van routes langs wegen aanvragen</t>
  </si>
  <si>
    <t>Toeren en Loeren - project Delvaux</t>
  </si>
  <si>
    <t>Toeren en Loeren - kunstwerken overzichtstentoonstelling</t>
  </si>
  <si>
    <t>Toeren en Loeren - aanvragen</t>
  </si>
  <si>
    <t>Uitnodiging eerstesteenlegging van nieuwe BKO Benjamien (voor genodigden)</t>
  </si>
  <si>
    <t>Uitnodiging infosessie voor bedrijven rond glasvezelnetwerk</t>
  </si>
  <si>
    <t>Uitnodiging feestelijke opening op 3 juni 2017</t>
  </si>
  <si>
    <t>Uitnodiging feestelijke opening Steenkerke september 2017</t>
  </si>
  <si>
    <t>Uittreksels en attesten bevolkingsregister</t>
  </si>
  <si>
    <t>Uittreksels en attesten burgerlijke stand</t>
  </si>
  <si>
    <t>Uitnodiging ceremonie Maud Vanhauwaert</t>
  </si>
  <si>
    <t>Uitnodiging clubhuis Westhoek Kajakclub op 12 mei 2018 (voor genodigden)</t>
  </si>
  <si>
    <t>Uitnodiging feestelijke opening sporthal Noordstraat op 21 april 2018 (voor genodigden)</t>
  </si>
  <si>
    <t>Uitnodiging opening atletiekpiste</t>
  </si>
  <si>
    <t>Uitnodiging opening BKO Benjamien op 24 augustus 2018 (voor genodigden)</t>
  </si>
  <si>
    <t>Uitnodiging speeddate Huizen van het Kind Veurne-Alveringem op 15 maart 2018</t>
  </si>
  <si>
    <t>Verhuispremie voor handelszaken</t>
  </si>
  <si>
    <t>Vakantietoelage voor andersvaliden en landurig zieken</t>
  </si>
  <si>
    <t>Verkeerstekens (bv. parkeerverbod) aanvragen</t>
  </si>
  <si>
    <t>Veurne blokt inschrijving</t>
  </si>
  <si>
    <t>Voetbalwedstrijd info Veurne</t>
  </si>
  <si>
    <t>Vrijwilliger worden bij dienst toerisme</t>
  </si>
  <si>
    <t>Vuurwerk - toelating aanvragen</t>
  </si>
  <si>
    <t>Viering huwelijksjubileum</t>
  </si>
  <si>
    <t>Vuurwerk: aanvraag toelating</t>
  </si>
  <si>
    <t>Wintervariaties 2018-2019 balie</t>
  </si>
  <si>
    <t>Zwembad - Huur stedelijk zwembad buiten de openingsuren</t>
  </si>
  <si>
    <t xml:space="preserve">Totaal </t>
  </si>
  <si>
    <t>E-loket (egov flow burgerzaken)</t>
  </si>
  <si>
    <t>Afgeleverd</t>
  </si>
  <si>
    <t>waarvan automatisch afgeleverd</t>
  </si>
  <si>
    <t>Attest van hoofdplaatsverblijf</t>
  </si>
  <si>
    <t>Attest van leven</t>
  </si>
  <si>
    <t>Uittreksel strafregister (voorheen: Getuigschrift goed gedrag en zeden)</t>
  </si>
  <si>
    <t>Uittreksel bevolkingsregister</t>
  </si>
  <si>
    <t>Attest van verblijf en nationaliteit</t>
  </si>
  <si>
    <t>Attest van verblijf voor een huwelijk</t>
  </si>
  <si>
    <t>Attest van woonst</t>
  </si>
  <si>
    <t>Afschrift akte van geboorte</t>
  </si>
  <si>
    <t>Afschrift akte van overlijden</t>
  </si>
  <si>
    <t>Afschrift akte van echtscheiding</t>
  </si>
  <si>
    <t>Uittreksel internationale geboorteakte</t>
  </si>
  <si>
    <t>Afschrift akte van huwelijk</t>
  </si>
  <si>
    <t>Uittreksel internationale overlijdensakte</t>
  </si>
  <si>
    <t>Uittreksel uit register</t>
  </si>
  <si>
    <t>Internationale overlijdensakte</t>
  </si>
  <si>
    <t>Attest van erkenning</t>
  </si>
  <si>
    <t>Andere akte</t>
  </si>
  <si>
    <t>Migratie van akten</t>
  </si>
  <si>
    <t>Attesten en uittreksels bevolking</t>
  </si>
  <si>
    <t>Uittreksel adoptie</t>
  </si>
  <si>
    <t>Attesten en uittreksels burgerlijke stand</t>
  </si>
  <si>
    <t>Laatste wilsbeschikking</t>
  </si>
  <si>
    <t>Uittreksel attest laatste wilsbeschikking</t>
  </si>
  <si>
    <t>Uittreksel attest verklaring afstand van organen</t>
  </si>
  <si>
    <t>Uittreksel bewijs aangifte adreswijziging</t>
  </si>
  <si>
    <t>Uittreksel bewijs van woonst</t>
  </si>
  <si>
    <t>Uittreksel echtscheiding</t>
  </si>
  <si>
    <t>Uittreksel erkenning</t>
  </si>
  <si>
    <t>Uittreksel geboorte</t>
  </si>
  <si>
    <t>Uittreksel historiek burgerlijke staat</t>
  </si>
  <si>
    <t>Uittreksel historiek van de adressen</t>
  </si>
  <si>
    <t>Uittreksel huwelijk</t>
  </si>
  <si>
    <t>Uittreksel inschrijving op adres</t>
  </si>
  <si>
    <t>Uittreksel levensbewijs</t>
  </si>
  <si>
    <t>Uittreksel nationaliteit</t>
  </si>
  <si>
    <t>Uittreksel nationaliteit (enkel voor Belgen)</t>
  </si>
  <si>
    <t>Uittreksel overlijden</t>
  </si>
  <si>
    <t>Uittreksel samenstelling van het gezin</t>
  </si>
  <si>
    <t>Uittreksel strafregister</t>
  </si>
  <si>
    <t>Wettelijke samenwoning</t>
  </si>
  <si>
    <t>e-loketformulier</t>
  </si>
  <si>
    <t>zie RecreateX</t>
  </si>
  <si>
    <t>zie 3P</t>
  </si>
  <si>
    <t>container</t>
  </si>
  <si>
    <t>stelling</t>
  </si>
  <si>
    <t>kraan</t>
  </si>
  <si>
    <t>tent</t>
  </si>
  <si>
    <t>vrachtwagen</t>
  </si>
  <si>
    <t xml:space="preserve">werfbezetting </t>
  </si>
  <si>
    <t>firmawagen</t>
  </si>
  <si>
    <t>hoogtewerker</t>
  </si>
  <si>
    <t xml:space="preserve">afzetten voetpad </t>
  </si>
  <si>
    <t>werfmateriaal</t>
  </si>
  <si>
    <t>bureelcontainer</t>
  </si>
  <si>
    <t>bouwlift</t>
  </si>
  <si>
    <t>betonpomp</t>
  </si>
  <si>
    <t>schaarlift</t>
  </si>
  <si>
    <t>rolsteiger</t>
  </si>
  <si>
    <t>bronbemaling</t>
  </si>
  <si>
    <t>meubellift</t>
  </si>
  <si>
    <t>tafels en stoelen</t>
  </si>
  <si>
    <t>werfkeet</t>
  </si>
  <si>
    <t>stapelen bouwmateriaal</t>
  </si>
  <si>
    <t>camionettes</t>
  </si>
  <si>
    <t>beveiliging</t>
  </si>
  <si>
    <t>pleistersilo</t>
  </si>
  <si>
    <t>stockeren brug</t>
  </si>
  <si>
    <t>parkings</t>
  </si>
  <si>
    <t>Huur feestmateriaal</t>
  </si>
  <si>
    <t>stoelen</t>
  </si>
  <si>
    <t>schraag- of klaptafels</t>
  </si>
  <si>
    <t>kaarttafels</t>
  </si>
  <si>
    <t>polyvalente podiumelementen</t>
  </si>
  <si>
    <t>treden</t>
  </si>
  <si>
    <t>plankenvloer</t>
  </si>
  <si>
    <t>tentoonstellingspanelen</t>
  </si>
  <si>
    <t>tentoonstellingskasten</t>
  </si>
  <si>
    <t>nadarafsluitingen</t>
  </si>
  <si>
    <t>schijnwerpers</t>
  </si>
  <si>
    <t>schakelkasten</t>
  </si>
  <si>
    <t>standtentjes</t>
  </si>
  <si>
    <t>vlaggenmasten</t>
  </si>
  <si>
    <t xml:space="preserve">vlaggen </t>
  </si>
  <si>
    <t>leuning + trap</t>
  </si>
  <si>
    <t>spreekgestoelte</t>
  </si>
  <si>
    <t>toogtafels</t>
  </si>
  <si>
    <t>tribune</t>
  </si>
  <si>
    <t>mobiele tribune</t>
  </si>
  <si>
    <t>stemhokjes</t>
  </si>
  <si>
    <t>toognadars</t>
  </si>
  <si>
    <t>vuilniszakhouders</t>
  </si>
  <si>
    <t>vuurkorven</t>
  </si>
  <si>
    <t>herashekkens</t>
  </si>
  <si>
    <t>toiletwagens met 2 wc's</t>
  </si>
  <si>
    <t>plaspaal</t>
  </si>
  <si>
    <t>chemische toiletcabine</t>
  </si>
  <si>
    <t>overdekking podia</t>
  </si>
  <si>
    <t>Selectieve afvalinzameling</t>
  </si>
  <si>
    <t>Selectieve GFT-inzameling Veurne</t>
  </si>
  <si>
    <t>Restafval</t>
  </si>
  <si>
    <t>Ambachtelijk, aan huishoudelijk gelijkgesteld afval</t>
  </si>
  <si>
    <t>Grof vuil (groot huisvuilophaling)</t>
  </si>
  <si>
    <t>Grof vuil containerpark Veurne</t>
  </si>
  <si>
    <t>Inzameling luierafval via containerpark Veurne</t>
  </si>
  <si>
    <t>Totaal tonnage</t>
  </si>
  <si>
    <t>Klasse 1</t>
  </si>
  <si>
    <t>/</t>
  </si>
  <si>
    <t>Klasse 2</t>
  </si>
  <si>
    <t>Klasse 3</t>
  </si>
  <si>
    <t>zonneboiler</t>
  </si>
  <si>
    <t>bestaat niet meer</t>
  </si>
  <si>
    <t>warmtepomp</t>
  </si>
  <si>
    <t>zonnepanelen</t>
  </si>
  <si>
    <t>onderhoud ecologisch wegbermbeheer</t>
  </si>
  <si>
    <t>Onderhoud kleine landschapselementen :</t>
  </si>
  <si>
    <t xml:space="preserve">hagen </t>
  </si>
  <si>
    <t>knotbomen</t>
  </si>
  <si>
    <t>houtkanten</t>
  </si>
  <si>
    <t>Groene zetel :</t>
  </si>
  <si>
    <t>pakket hagen en houtkanten</t>
  </si>
  <si>
    <t>laanbomen</t>
  </si>
  <si>
    <t>fruitbomen</t>
  </si>
  <si>
    <t>groendak</t>
  </si>
  <si>
    <t>huiszwaluwkolonies</t>
  </si>
  <si>
    <t>oeverzwaluwkolonies</t>
  </si>
  <si>
    <t>IBA</t>
  </si>
  <si>
    <t>hemelwaterputten</t>
  </si>
  <si>
    <t>ecoluiers</t>
  </si>
  <si>
    <t>Wegen en onderhoud</t>
  </si>
  <si>
    <t>aantal km. bermonderhoud</t>
  </si>
  <si>
    <t>aantal hectare openbaar groen</t>
  </si>
  <si>
    <t>aantal km gewestelijke wegen</t>
  </si>
  <si>
    <t>aantal km gemeentelijke wegen</t>
  </si>
  <si>
    <t>stedenbouwkundige attesten</t>
  </si>
  <si>
    <t>ingediende omgevingsvergunningen</t>
  </si>
  <si>
    <t>ingetrokken of onvolledig/onontvankelijk</t>
  </si>
  <si>
    <t>aanvragen vergund door CBS</t>
  </si>
  <si>
    <t>aanvragen geweigerd door CBS</t>
  </si>
  <si>
    <t>meldingen</t>
  </si>
  <si>
    <t>aantal beroepen</t>
  </si>
  <si>
    <t>planologische attesten</t>
  </si>
  <si>
    <t>geen tijdige beslissing</t>
  </si>
  <si>
    <t>bevat milieu</t>
  </si>
  <si>
    <t>bevat RO</t>
  </si>
  <si>
    <t>VVO provincie</t>
  </si>
  <si>
    <t>VVO departement omgeving</t>
  </si>
  <si>
    <t>ONDERWERP</t>
  </si>
  <si>
    <t>Vellen bomen</t>
  </si>
  <si>
    <t>gebruik terrein wijzigen</t>
  </si>
  <si>
    <t>nieuwbouw infrastructuur</t>
  </si>
  <si>
    <t>nieuwbouw infrastructuur verkaveling</t>
  </si>
  <si>
    <t>Reclame</t>
  </si>
  <si>
    <t>nieuwbouw bijgebouw</t>
  </si>
  <si>
    <t xml:space="preserve">  Nieuwbouw van bijgebouwen en niet overdekte lage constructie  </t>
  </si>
  <si>
    <t xml:space="preserve">  Gevel-, dak-, instandhoudings- en renovatiewerken binnen een gebouw, zonder volume- of oppervlaktewijziging  </t>
  </si>
  <si>
    <t>verbouwen infrastructuur</t>
  </si>
  <si>
    <t xml:space="preserve">  Verbouwen met het wijzigen van alle zelfstandige gebruikseenheden (unit) binnen het gebouw   </t>
  </si>
  <si>
    <t xml:space="preserve">  Verbouwen met functiewijziging en met wijziging van aantal woongelegenheden     </t>
  </si>
  <si>
    <t xml:space="preserve">  Verbouwen met functiewijziging, maar zonder wijziging van het aantal woongelegenheden  </t>
  </si>
  <si>
    <t xml:space="preserve">  Verbouwen zonder functiewijziging en met wijzigen van aantal woongelegenheden   </t>
  </si>
  <si>
    <t xml:space="preserve">  Verbouwen zonder functiewijziging en zonder wijziging van aantal woongelegenheden    </t>
  </si>
  <si>
    <t>verbouwen reclame</t>
  </si>
  <si>
    <t xml:space="preserve">  Verbouwen van bijgebouwen, niet-overdekte lage constructies of wijzigen van andere beperkte handelingen  </t>
  </si>
  <si>
    <t xml:space="preserve">  Verbouwen van bijgebouwen en niet overdekte lage constructies   </t>
  </si>
  <si>
    <t xml:space="preserve">  Verbouwen met functiewijziging en met wijziging van het aantal woongelegenheden   </t>
  </si>
  <si>
    <t>Functiewijziging</t>
  </si>
  <si>
    <t>Reliefwijziging</t>
  </si>
  <si>
    <t>Vergunningen RO</t>
  </si>
  <si>
    <t>Aantal stedenbouwkundige attesten</t>
  </si>
  <si>
    <t>zie tabel hierboven</t>
  </si>
  <si>
    <t>Bouwvergunningen</t>
  </si>
  <si>
    <t>verleend door cbs</t>
  </si>
  <si>
    <t>geweigerd door cbs</t>
  </si>
  <si>
    <t>Stedenbouwkundige vergunningen afgegeven door ruimtelijke ordening</t>
  </si>
  <si>
    <t>Aantal beroepen bij  bestendige deputatie</t>
  </si>
  <si>
    <t>Aantal weigeringen door minister op basis beroepsprocedure</t>
  </si>
  <si>
    <t>Aantal verkavelingswijzigingen</t>
  </si>
  <si>
    <t>Aantal verkavelingsvergunningen voor twee bouwpercelen</t>
  </si>
  <si>
    <t>Aantal planologische attesten</t>
  </si>
  <si>
    <t>Geen (tijdige) beslissing</t>
  </si>
  <si>
    <t>Nieuwbouw:</t>
  </si>
  <si>
    <t>ééngezinswoningen</t>
  </si>
  <si>
    <t>meergezinswoningen</t>
  </si>
  <si>
    <t>bijgebouw</t>
  </si>
  <si>
    <t>industrie, ambacht</t>
  </si>
  <si>
    <t>land- en tuinbouw</t>
  </si>
  <si>
    <t>handel, horeca, diensten</t>
  </si>
  <si>
    <t>toerisme en recreatie</t>
  </si>
  <si>
    <t>gemeenschapsvoorziening of openbaar nut</t>
  </si>
  <si>
    <t>infrastructuur</t>
  </si>
  <si>
    <t>kantoren</t>
  </si>
  <si>
    <t>Verbouwen van/tot of uitbreiden:</t>
  </si>
  <si>
    <t>ééngezinswoning</t>
  </si>
  <si>
    <t>meergezinswoning</t>
  </si>
  <si>
    <t>uitbreiden van infrastructuur</t>
  </si>
  <si>
    <t>gemeenschapsvoorziening</t>
  </si>
  <si>
    <t>Slopen:</t>
  </si>
  <si>
    <t>Andere:</t>
  </si>
  <si>
    <t>vellen hoogstammige bomen</t>
  </si>
  <si>
    <t>reliëfwijziging</t>
  </si>
  <si>
    <t>gronden inrichten voor opslag van diverse</t>
  </si>
  <si>
    <t>gronden inrichten voor parkeren van diverse</t>
  </si>
  <si>
    <t>wijziging aantal woongelegenheden bestemd voor huisvesting</t>
  </si>
  <si>
    <t>publiciteitsinrichting of uithangbord plaatsen of wijzigen</t>
  </si>
  <si>
    <t>plaatsen zonnepanelen</t>
  </si>
  <si>
    <t>wijziging vergunde verkaveling (wonen of industrie)</t>
  </si>
  <si>
    <t>nieuwe verkaveling (wonen of industrie)</t>
  </si>
  <si>
    <t>Aantal woningen ongeschikt verklaard</t>
  </si>
  <si>
    <t>Aantal woningen ongeschiktheid opgeheven</t>
  </si>
  <si>
    <t>Aantal woningen onbewoonbaarheid opgeheven</t>
  </si>
  <si>
    <t>Aantal woningen ongeschikt en onbewoonbaar</t>
  </si>
  <si>
    <t>Aantal woningen onbewoonbaar</t>
  </si>
  <si>
    <t>Aantal woningen op inventaris leegstand</t>
  </si>
  <si>
    <t>Aantal kamers ongeschikt- en onbewoonbaar</t>
  </si>
  <si>
    <t>Conformiteitsattesten</t>
  </si>
  <si>
    <t>Koksijde/Wulpen</t>
  </si>
  <si>
    <t>Plannen</t>
  </si>
  <si>
    <t>ontwerper</t>
  </si>
  <si>
    <t xml:space="preserve">plenaire </t>
  </si>
  <si>
    <t>VV</t>
  </si>
  <si>
    <t>DV</t>
  </si>
  <si>
    <t>deputatie</t>
  </si>
  <si>
    <t>Zannekinlaan</t>
  </si>
  <si>
    <t>Petit Paris</t>
  </si>
  <si>
    <t>Sint-Livinus</t>
  </si>
  <si>
    <t>Hondschootebaan</t>
  </si>
  <si>
    <t>Daniël De Haenelaan - Europalaan</t>
  </si>
  <si>
    <t>Pannestraat</t>
  </si>
  <si>
    <t>Sportif</t>
  </si>
  <si>
    <t>Zonevreemde Bedrijven</t>
  </si>
  <si>
    <t>27/6/2008 ( fase1)</t>
  </si>
  <si>
    <t>RUP Beauvoorde</t>
  </si>
  <si>
    <t>WVI</t>
  </si>
  <si>
    <t>RUP Bulskamp</t>
  </si>
  <si>
    <t>RUP Bieswal</t>
  </si>
  <si>
    <t>Geomex</t>
  </si>
  <si>
    <t>RUP Zuidburgweg</t>
  </si>
  <si>
    <t>RUP Proostdijk</t>
  </si>
  <si>
    <t>Grontmij</t>
  </si>
  <si>
    <t>RUP Burgweg</t>
  </si>
  <si>
    <t>RUP Suikerfabriek uitbreiding</t>
  </si>
  <si>
    <t>RUP standstill tankstations</t>
  </si>
  <si>
    <t>RUp stationsomgeving</t>
  </si>
  <si>
    <t>OMGEVING</t>
  </si>
  <si>
    <t>Herziening Mobiliteitsplan</t>
  </si>
  <si>
    <t>PSG: 20 maart 2020</t>
  </si>
  <si>
    <t>Wonen</t>
  </si>
  <si>
    <t>2007-2008</t>
  </si>
  <si>
    <t>2008-2009</t>
  </si>
  <si>
    <t>2009-2010</t>
  </si>
  <si>
    <t>2010-2011</t>
  </si>
  <si>
    <t>2011-2012</t>
  </si>
  <si>
    <t>2012-2013</t>
  </si>
  <si>
    <t>2013-2014</t>
  </si>
  <si>
    <t>2014-2015</t>
  </si>
  <si>
    <t>Aantal cheques</t>
  </si>
  <si>
    <t>kleuter</t>
  </si>
  <si>
    <t>lager</t>
  </si>
  <si>
    <t>1ste graad</t>
  </si>
  <si>
    <t>2-4de graad</t>
  </si>
  <si>
    <t>Hoger onderwijs</t>
  </si>
  <si>
    <t>Bedrag cheques</t>
  </si>
  <si>
    <t>Netto voor stad</t>
  </si>
  <si>
    <t>Gemeentelijke lagere school Steenkerke</t>
  </si>
  <si>
    <t>Annuntiata Instituut</t>
  </si>
  <si>
    <t>Gemeenschapsonderwijs Veurne</t>
  </si>
  <si>
    <t>Vrije Basisschool Pervijze</t>
  </si>
  <si>
    <t>De Nieuwe Poort - Nieuwpoort</t>
  </si>
  <si>
    <t>Gemeenteschool De Panne</t>
  </si>
  <si>
    <t>Rozenkrans-Oostduinkerke</t>
  </si>
  <si>
    <t>MPI Koksijde</t>
  </si>
  <si>
    <t>VABI Roeselare</t>
  </si>
  <si>
    <t>Sted. Academie Schone Kunsten</t>
  </si>
  <si>
    <t>T.I. Heilige Familie</t>
  </si>
  <si>
    <t>Ter Strepe</t>
  </si>
  <si>
    <t>Maria Ter Engelen Klerken</t>
  </si>
  <si>
    <t>PHTI Gent</t>
  </si>
  <si>
    <t>Sint-Amandscollege</t>
  </si>
  <si>
    <t>Sint-Ludgardisinstituut Oostende</t>
  </si>
  <si>
    <t>Ter Zee Oostende</t>
  </si>
  <si>
    <t>Leerplaneet Adinkerke</t>
  </si>
  <si>
    <t>CLW Nieuwpoort</t>
  </si>
  <si>
    <t>Vrij instituut voor secundair onderwijs</t>
  </si>
  <si>
    <t>De Varens</t>
  </si>
  <si>
    <t>Technisch Instituut Brugge</t>
  </si>
  <si>
    <t>Campus "Impuls" Merelbeke</t>
  </si>
  <si>
    <t>Scheppersinstituut Wetteren</t>
  </si>
  <si>
    <t>IVG Gent</t>
  </si>
  <si>
    <t>Gemeenteschool Oostduinkerke</t>
  </si>
  <si>
    <t>Sint-Norbertinstituut Antwerpen</t>
  </si>
  <si>
    <t>SIVI</t>
  </si>
  <si>
    <t>De Viertorre Koksijde</t>
  </si>
  <si>
    <t>St. Jozefinstituut Tielt</t>
  </si>
  <si>
    <t>Secundair kunstinstituut Gent</t>
  </si>
  <si>
    <t>De Ast Poperinge</t>
  </si>
  <si>
    <t>Viso</t>
  </si>
  <si>
    <t>Campus De Reynaert Tielt</t>
  </si>
  <si>
    <t>Spelenderwijs Alveringem</t>
  </si>
  <si>
    <t>De Strandloper</t>
  </si>
  <si>
    <t>De Letterzee</t>
  </si>
  <si>
    <t>Schoolbevolking StAPwest</t>
  </si>
  <si>
    <t>studierichting muziek</t>
  </si>
  <si>
    <t>Specialisatie Klassiek</t>
  </si>
  <si>
    <t>lagere graad jongeren</t>
  </si>
  <si>
    <t>Kortlopend Muziekcultuur</t>
  </si>
  <si>
    <t>lagere graad volwassenen</t>
  </si>
  <si>
    <t>Domeinoverschrijdend</t>
  </si>
  <si>
    <t>middelbare graad</t>
  </si>
  <si>
    <t>hogere graad</t>
  </si>
  <si>
    <t>studierichting woord</t>
  </si>
  <si>
    <t>Domein muziek  </t>
  </si>
  <si>
    <t>Eerste graad muziekinitiatie</t>
  </si>
  <si>
    <t>lagere graad</t>
  </si>
  <si>
    <t>Tweede graad</t>
  </si>
  <si>
    <t>Derde graad</t>
  </si>
  <si>
    <t xml:space="preserve">Vierde graad </t>
  </si>
  <si>
    <t>studierichting dans</t>
  </si>
  <si>
    <t>Domein Woordkunst-Drama</t>
  </si>
  <si>
    <t>Vierde graad</t>
  </si>
  <si>
    <t>Domein Dans</t>
  </si>
  <si>
    <t>Eerste graad dansinitiatie</t>
  </si>
  <si>
    <t>Schoolbevolking GLS Steenkerke</t>
  </si>
  <si>
    <t>2006-2007</t>
  </si>
  <si>
    <t>NIEUW</t>
  </si>
  <si>
    <t>eerste graad</t>
  </si>
  <si>
    <t>1,2,3</t>
  </si>
  <si>
    <t>tweede graad</t>
  </si>
  <si>
    <t>4,5,6</t>
  </si>
  <si>
    <t>derde graad</t>
  </si>
  <si>
    <t>Stopzetting</t>
  </si>
  <si>
    <t>Pers.</t>
  </si>
  <si>
    <t>Pers</t>
  </si>
  <si>
    <t>Thuis verzorgd en opgevoed</t>
  </si>
  <si>
    <t xml:space="preserve">geen schoolbezoek </t>
  </si>
  <si>
    <t>250 EUR</t>
  </si>
  <si>
    <t>350 EUR</t>
  </si>
  <si>
    <t>Thuis overnachting</t>
  </si>
  <si>
    <t>met schoolbezoek</t>
  </si>
  <si>
    <t>200 EUR</t>
  </si>
  <si>
    <t>Thuis tijdens weekend</t>
  </si>
  <si>
    <t xml:space="preserve">en vakantie </t>
  </si>
  <si>
    <t>150 EUR</t>
  </si>
  <si>
    <t>Onderwijs en opvang</t>
  </si>
  <si>
    <t>ONDERWIJS&amp;OPVANG</t>
  </si>
  <si>
    <t>BRUSSEL-ODK</t>
  </si>
  <si>
    <t>Gepresteerde eenheden: Brussel  ODK</t>
  </si>
  <si>
    <t>BRUSSEL - ODK</t>
  </si>
  <si>
    <t>WERKINGSKREDIETEN (EVOLUTIE)</t>
  </si>
  <si>
    <t>VERZEKERINGEN:</t>
  </si>
  <si>
    <t>Interne controle matrix ontv.</t>
  </si>
  <si>
    <t>OCMW, POLITIEZONE SPOORKIN EN HVZ WESTHOEK = dotaties</t>
  </si>
  <si>
    <t>Gezondheids</t>
  </si>
  <si>
    <t>€ 1 betaald in februari</t>
  </si>
  <si>
    <t>(Financiering via overboeking)</t>
  </si>
  <si>
    <t>(Saldo eigen dienstjaar / AFM)</t>
  </si>
  <si>
    <t>((Eigen aandeel) investeringen)</t>
  </si>
  <si>
    <t>STAD &amp; OCMW OVERZICHT:</t>
  </si>
  <si>
    <t>* OCMW</t>
  </si>
  <si>
    <t xml:space="preserve">* STAD KBC </t>
  </si>
  <si>
    <t>* STAD FORTIS</t>
  </si>
  <si>
    <t>* STAD ING</t>
  </si>
  <si>
    <t>* NIEUWE LENINGEN</t>
  </si>
  <si>
    <t>* STAD LEASE AGB</t>
  </si>
  <si>
    <t>(BEREKENING GEMEENTEFONDS)</t>
  </si>
  <si>
    <t>BELASTINGREGLEMENTEN</t>
  </si>
  <si>
    <t>(Afval)</t>
  </si>
  <si>
    <t>Cijfers: Groendienst</t>
  </si>
  <si>
    <t>OVERZICHT UITGAVEN BIBLIOTHEEK</t>
  </si>
  <si>
    <t>OVERZICHT ONTVANGSTEN BIBLIOTHEEK</t>
  </si>
  <si>
    <t>OVERZICHT ONTVANGSTEN KINDEROPVANG:</t>
  </si>
  <si>
    <t>OVERZICHT UITGAVEN KINDEROPVANG:</t>
  </si>
  <si>
    <t>OVERZICHT ONTVANGSTEN CULTUUR &amp; ARCHIEF</t>
  </si>
  <si>
    <t>OVERZICHT UITGAVEN CULTUUR &amp; ARCHIEF:</t>
  </si>
  <si>
    <t>OVERZICHT ONTVANGSTEN DORPSHUIZEN:</t>
  </si>
  <si>
    <t>OVERZICHT UITGAVEN DORPSHUIZEN:</t>
  </si>
  <si>
    <t>OVERZICHT UITGAVEN GROENDIENST:</t>
  </si>
  <si>
    <t>OVERZICHT ONTVANGSTEN GROENDIENST:</t>
  </si>
  <si>
    <t>Drukwerk - 4° kw.'19</t>
  </si>
  <si>
    <t>TARIEVEN DEELFIETSEN</t>
  </si>
  <si>
    <t>TARIEVEN GRAFZORG</t>
  </si>
  <si>
    <t>Open ruimte</t>
  </si>
  <si>
    <t>0010-00 740100</t>
  </si>
  <si>
    <t>0010-00 7404999/740100</t>
  </si>
  <si>
    <t>Loonmassa na overdracht</t>
  </si>
  <si>
    <t>Loonmassa voor overdracht</t>
  </si>
  <si>
    <t>Compensatie respo-bijdrage Vlaanderen</t>
  </si>
  <si>
    <t>Berekende pensioenbijdrage (ex-pool 1)</t>
  </si>
  <si>
    <t xml:space="preserve">Wettelijke Pensioenbijdrage </t>
  </si>
  <si>
    <t>Wettelijke pensioenbijdrage %</t>
  </si>
  <si>
    <t>Berekende pensioenbijdrage (ex-pool 1) %</t>
  </si>
  <si>
    <t>Aanrekening op 0190-00 621900</t>
  </si>
  <si>
    <t>Bruto rsesponsabiliseringsbijdrage %</t>
  </si>
  <si>
    <t xml:space="preserve">Bruto rsesponsabiliseringsbijdrage </t>
  </si>
  <si>
    <t>respo bijdrage compensatie betaald in jaar x</t>
  </si>
  <si>
    <t>OVERZICHT UITGAVEN SAMWD</t>
  </si>
  <si>
    <t>OVERZICHT ONTVANGSTEN SAMWD</t>
  </si>
  <si>
    <t>OVERZICHT UITGAVEN GEMEENTESCHOOL</t>
  </si>
  <si>
    <t>OVERZICHT ONTVANGSTEN KINDEROPVANG</t>
  </si>
  <si>
    <t>ZWEMBAD:</t>
  </si>
  <si>
    <t>OVERZICHT UITGAVEN ZWEMBAD</t>
  </si>
  <si>
    <t>OVERZICHT ONTVANGSTEN ZWEMBAD</t>
  </si>
  <si>
    <t>SPORTINRICHTINGEN</t>
  </si>
  <si>
    <t>OVERZICHT ONTVANGSTEN SPORTINRICHTINGEN</t>
  </si>
  <si>
    <t xml:space="preserve">TOTAAL SCHULD </t>
  </si>
  <si>
    <t>SPORTDIENST</t>
  </si>
  <si>
    <t>OVERZICHT UITGAVEN SPORTDIENST</t>
  </si>
  <si>
    <t>OVERZICHT ONTVANGSTEN SPORTDIENST</t>
  </si>
  <si>
    <t>OVERZICHT UITGAVEN TOERISME</t>
  </si>
  <si>
    <t>OVERZICHT ONTVANGSTEN TOERISME</t>
  </si>
  <si>
    <t xml:space="preserve">GEBOUWENSUBSIDIE </t>
  </si>
  <si>
    <t>SUBSIDIES SOCIO-CULTURELE VERENINGINGEN</t>
  </si>
  <si>
    <t>IMPULSSUBSIDIE</t>
  </si>
  <si>
    <t>BASIS-EN BELEIDSSUBSIDIES</t>
  </si>
  <si>
    <t>SUBSIDIE RECREATIE- EN COMPETITIESPORT</t>
  </si>
  <si>
    <t>SUBSIDIE JEUGD</t>
  </si>
  <si>
    <t>KADERVORMING SUBSIDIE JEUGD</t>
  </si>
  <si>
    <t>WERKINGSSUBSIDIE FEESTRADEN</t>
  </si>
  <si>
    <t>PROJECTSUBSIDIE</t>
  </si>
  <si>
    <t>PROJECTSUBSIDIE SAMENWERKINGSVERBANDEN</t>
  </si>
  <si>
    <t>SUBSIDIE PROJECT JEUGD FEESTRADEN EN SOCIO-CULTURELE VERENINGEN</t>
  </si>
  <si>
    <t>SUBSIDIE PROJECT INVESTERINGEN FEESTRADEN EN SOCIO-CULTURELE VERENINGEN</t>
  </si>
  <si>
    <t>Processen Financiële dienst</t>
  </si>
  <si>
    <t>Personeel-en werkingssubsidies</t>
  </si>
  <si>
    <t>Gemeentefonds</t>
  </si>
  <si>
    <t>Uitsplitsing patrimoniumpolis (brand)</t>
  </si>
  <si>
    <t>Schuld en evolutie schuld T4 AGB en stad</t>
  </si>
  <si>
    <t>Werkingskredieten</t>
  </si>
  <si>
    <t>Werkingskredieten evolutie</t>
  </si>
  <si>
    <t>INWONERS PER DEELGEMEENTE:</t>
  </si>
  <si>
    <t>SOORTEN DOSSIERS:</t>
  </si>
  <si>
    <t>..\..\06_0_Financien\6_2_Boekhouding&amp;Jaarrekening\Investeringen\Facturen Plattelandsfonds\Oerenstraat.pdf</t>
  </si>
  <si>
    <t>..\..\06_0_Financien\6_2_Boekhouding&amp;Jaarrekening\Investeringen\Facturen Plattelandsfonds\St Rijkers - Zomerweg.pdf</t>
  </si>
  <si>
    <t>..\..\06_0_Financien\6_2_Boekhouding&amp;Jaarrekening\Investeringen\Facturen Plattelandsfonds\Moeresteenweg 2014.pdf</t>
  </si>
  <si>
    <t>..\..\06_0_Financien\6_2_Boekhouding&amp;Jaarrekening\Investeringen\Facturen Plattelandsfonds\Elzentap faze 2.pdf</t>
  </si>
  <si>
    <t>Product/dienst</t>
  </si>
  <si>
    <t>DEXIA</t>
  </si>
  <si>
    <t>Extra: Dexia</t>
  </si>
  <si>
    <t>(Economische groepen)</t>
  </si>
  <si>
    <t>Alle risico's</t>
  </si>
  <si>
    <t>RIZIV BEWONERS</t>
  </si>
  <si>
    <t>Extra: RIZIV Bewoners</t>
  </si>
  <si>
    <t>EXTRA</t>
  </si>
  <si>
    <t>RIZIV bewoners</t>
  </si>
  <si>
    <t>Extra: processen fin</t>
  </si>
  <si>
    <t>Processen financiële dienst</t>
  </si>
  <si>
    <t>&gt; &gt; Terug naar overzichtspagina</t>
  </si>
  <si>
    <t>&gt; &gt; Terug naar dashboard</t>
  </si>
  <si>
    <t>&gt; &gt; Terug naar boordtabellen</t>
  </si>
  <si>
    <t xml:space="preserve">&gt; &gt; Terug naar overzichtspagina </t>
  </si>
  <si>
    <t>Overzicht</t>
  </si>
  <si>
    <t>OVERZICHTSPAGINA BOORDTABELLEN</t>
  </si>
  <si>
    <t>Basisschool Gemeenschapsonderwijs Nieuwstad</t>
  </si>
  <si>
    <t>t Brugje</t>
  </si>
  <si>
    <t>Vrije basisschool Annuntiata</t>
  </si>
  <si>
    <t>Vrije basisschool Beauvoorde</t>
  </si>
  <si>
    <t>Vrije basisschool Houtmarkt</t>
  </si>
  <si>
    <t>Vrije basisschool Houtem</t>
  </si>
  <si>
    <t xml:space="preserve">Vrije basisschool Nieuwstad </t>
  </si>
  <si>
    <t>Vrije basisschool Bulskamp</t>
  </si>
  <si>
    <t>Bisschoppelijk College</t>
  </si>
  <si>
    <t>VTI Veurne</t>
  </si>
  <si>
    <t>Sint-Bernarduscollege Nieuwpoort</t>
  </si>
  <si>
    <t>Middenschool De Vierboeten Nieuwpoort</t>
  </si>
  <si>
    <t>Immaculata De Panne</t>
  </si>
  <si>
    <t>KTA De Panne</t>
  </si>
  <si>
    <t>KTA Diksmuide</t>
  </si>
  <si>
    <t>Sint-Aloysiuscollege Diksmuide</t>
  </si>
  <si>
    <t>VTI Diksmuide</t>
  </si>
  <si>
    <t>Maria Margaretha Instituut Kortemark</t>
  </si>
  <si>
    <t>VTI Roeselare</t>
  </si>
  <si>
    <t>2019</t>
  </si>
  <si>
    <t>AR vanaf 2020</t>
  </si>
  <si>
    <t>Niet-bebouwde industriegronden</t>
  </si>
  <si>
    <t>Niet-bebouwde woonpercelen</t>
  </si>
  <si>
    <t>Andere belastingen op prestaties (ziekenvervoer, retributies wapenvergunning)</t>
  </si>
  <si>
    <t>0220-00/7020000</t>
  </si>
  <si>
    <t>0300-00/7020000</t>
  </si>
  <si>
    <t>0710-00/7060999</t>
  </si>
  <si>
    <t>0220-00/700000</t>
  </si>
  <si>
    <t>0650-00/700000</t>
  </si>
  <si>
    <t>0300-00/700000</t>
  </si>
  <si>
    <t>0710-00/700000</t>
  </si>
  <si>
    <t>0640-00/70000</t>
  </si>
  <si>
    <t>0710-00/703200</t>
  </si>
  <si>
    <t>correctie aflossingen met lease aflossingen</t>
  </si>
  <si>
    <t>(60395 EUR lease agb jaarlijks corrigeren)</t>
  </si>
  <si>
    <t>VIA V</t>
  </si>
  <si>
    <t>0986-00/740900</t>
  </si>
  <si>
    <t>0986-00/740880</t>
  </si>
  <si>
    <t>Factuur 2021</t>
  </si>
  <si>
    <t>QBV038</t>
  </si>
  <si>
    <t>Vandaele</t>
  </si>
  <si>
    <t>QAKN512</t>
  </si>
  <si>
    <t>HYUNDAI IONIQ</t>
  </si>
  <si>
    <t>1XXN059</t>
  </si>
  <si>
    <t>Elektrische wagen</t>
  </si>
  <si>
    <t>1YPJ765</t>
  </si>
  <si>
    <t>Axel Sennesael - Maja De Coninck</t>
  </si>
  <si>
    <t>huur nutsgebouw Kaaiplaats</t>
  </si>
  <si>
    <t>niet op de aanslag 2019</t>
  </si>
  <si>
    <t>Ijzer en Zee</t>
  </si>
  <si>
    <t>0050-00 747000</t>
  </si>
  <si>
    <t>onroerende voorheffing (AGB)</t>
  </si>
  <si>
    <t>0740-01-747000</t>
  </si>
  <si>
    <t>De Hoge Wacht</t>
  </si>
  <si>
    <t>Drukwerk - 4° kwartaal</t>
  </si>
  <si>
    <t>vrijstelling</t>
  </si>
  <si>
    <t>VACC</t>
  </si>
  <si>
    <t>uit gebruik sinds 2020</t>
  </si>
  <si>
    <t>indexering</t>
  </si>
  <si>
    <t>Nieuwe overeenkomsten</t>
  </si>
  <si>
    <t>Beëindigde overeenkomsten</t>
  </si>
  <si>
    <t>BI 0941-00</t>
  </si>
  <si>
    <t>BI 0952-00</t>
  </si>
  <si>
    <t>Administratief assistent</t>
  </si>
  <si>
    <t>1e begeleider</t>
  </si>
  <si>
    <t>Medewerker coördinerend team</t>
  </si>
  <si>
    <t>Directeur WZC Ter Linden</t>
  </si>
  <si>
    <t>BI 01119-04</t>
  </si>
  <si>
    <t>2021</t>
  </si>
  <si>
    <t>Langdurige ziekte (&gt; 1 jaar)</t>
  </si>
  <si>
    <t>Aantal behandelde dossiers Fluvius</t>
  </si>
  <si>
    <t>Aantal dossiers LAC (jaar)</t>
  </si>
  <si>
    <t>Erkend</t>
  </si>
  <si>
    <t>Subsidiaire bescherming</t>
  </si>
  <si>
    <t>Palestina</t>
  </si>
  <si>
    <t>Totaal 2020</t>
  </si>
  <si>
    <t>Aquafit sessie1</t>
  </si>
  <si>
    <t>Aquagym - abonnement</t>
  </si>
  <si>
    <t>Buik, benen, billen - abonnement</t>
  </si>
  <si>
    <t>Good Body 1e trimester: sessie 1</t>
  </si>
  <si>
    <t>Good Body 1e trimester: sessie 2</t>
  </si>
  <si>
    <t>Zwemlessen najaar: sessie 2</t>
  </si>
  <si>
    <t>Zwemlessen najaar: sessie1</t>
  </si>
  <si>
    <t>Zwemlessen voorjaar: testmoment 1</t>
  </si>
  <si>
    <t>Zwemlessen voorjaar: testmoment 2</t>
  </si>
  <si>
    <t>Aantal reservaties per categorie zaal sporthal</t>
  </si>
  <si>
    <t xml:space="preserve">Aantal gereserveerde uren per categorie zaal </t>
  </si>
  <si>
    <t>2020-2021</t>
  </si>
  <si>
    <t>De Branding</t>
  </si>
  <si>
    <t>Centrum leren &amp; werken</t>
  </si>
  <si>
    <t>2019-2020</t>
  </si>
  <si>
    <t>gegevens niet meer beschikbaar; nieuwe website</t>
  </si>
  <si>
    <r>
      <t> </t>
    </r>
    <r>
      <rPr>
        <b/>
        <sz val="10"/>
        <rFont val="Calibri"/>
        <family val="2"/>
      </rPr>
      <t>12176</t>
    </r>
  </si>
  <si>
    <t>B 2021</t>
  </si>
  <si>
    <t>R 2021</t>
  </si>
  <si>
    <t>Attest van Belgische nationaliteit</t>
  </si>
  <si>
    <t>Attest van hoofdverblijfplaats</t>
  </si>
  <si>
    <t>Attest van hoofdplaatsverblijf met historiek in deze gemeente</t>
  </si>
  <si>
    <t>Attest van verblijf met het oog op een huwelijk</t>
  </si>
  <si>
    <t>Attest van verblijf en Belgische nationaliteit</t>
  </si>
  <si>
    <t>Attest van gezinssamenstelling</t>
  </si>
  <si>
    <t>Attest van echtscheiding</t>
  </si>
  <si>
    <t>Afschrift van erkenning (postnataal)</t>
  </si>
  <si>
    <t>Afschrift akte Belgische nationaliteit</t>
  </si>
  <si>
    <t>Attest van reistoelating minderjarig kind</t>
  </si>
  <si>
    <t>Verklaring donatie menselijk lichaamsmateriaal</t>
  </si>
  <si>
    <t>Burgerzaken - Akte van geboorte</t>
  </si>
  <si>
    <t>Burgerzaken - Akte van huwelijk</t>
  </si>
  <si>
    <t>Burgerzaken - Akte van overlijden</t>
  </si>
  <si>
    <t>Burgerzaken - Attest van hoofdverblijfplaats met volledige historiek</t>
  </si>
  <si>
    <t>Burgerzaken - Attest van Belgische nationaliteit</t>
  </si>
  <si>
    <t>Burgerzaken - Attest van leven</t>
  </si>
  <si>
    <t>Burgerzaken - Uittreksel strafregister</t>
  </si>
  <si>
    <t>Burgerzaken - Uittreksel uit de registers</t>
  </si>
  <si>
    <t>Burgerzaken - Attest van hoofdverblijfplaats met historiek in deze gemeente</t>
  </si>
  <si>
    <t>Burgerzaken - Attest van wettelijke samenwoning</t>
  </si>
  <si>
    <t>Burgerzaken - Attest van verblijf en Belgische nationaliteit</t>
  </si>
  <si>
    <t>Burgerzaken - Attest van verblijfplaats met het oog op een huwelijk</t>
  </si>
  <si>
    <t>Burgerzaken - Attest van wijze van teraardebestelling en/of rituelen</t>
  </si>
  <si>
    <t>Burgerzaken - Attest van hoofdverblijfplaats</t>
  </si>
  <si>
    <t>Burgerzaken - Attest van gezinssamenstelling</t>
  </si>
  <si>
    <t>Burgerzaken - Akte van echtscheiding</t>
  </si>
  <si>
    <t>Burgerzaken - Akte van erkenning (postnataal)</t>
  </si>
  <si>
    <t>Burgerzaken - Migratie akte van geboorte</t>
  </si>
  <si>
    <t>Burgerzaken - Migratie akte van huwelijk</t>
  </si>
  <si>
    <t>Burgerzaken - Migratie akte van overlijden</t>
  </si>
  <si>
    <t>Burgerzaken - Migratie akte van nationaliteit</t>
  </si>
  <si>
    <t>Burgerzaken - Migratie akte van erkenning (postnataal)</t>
  </si>
  <si>
    <t>Burgerzaken - Migratie akte van levenloos kind</t>
  </si>
  <si>
    <t>Burgerzaken - Akte van Belgische nationaliteit</t>
  </si>
  <si>
    <t>Burgerzaken - Migratie akte van echtscheiding</t>
  </si>
  <si>
    <t>Burgerzaken - Attest van reistoelating minderjarig kind</t>
  </si>
  <si>
    <t>Burgerzaken - Verklaring donatie menselijk lichaamsmateriaal</t>
  </si>
  <si>
    <t>Balie 2020</t>
  </si>
  <si>
    <t>BALIE</t>
  </si>
  <si>
    <t>DISPLAY</t>
  </si>
  <si>
    <t xml:space="preserve">De teller functioneert niet 2/03-15/03, 23/03-5/04, 13/04-19/04, 12/08-11/10, 22/10-27/10, 22/12-31/12 en verder </t>
  </si>
  <si>
    <t>corona van maart tot en met 7 juni 2020</t>
  </si>
  <si>
    <t>Statistieken 2020 Vrij Vaderland</t>
  </si>
  <si>
    <t>totaal 2019</t>
  </si>
  <si>
    <t>totaal 2020</t>
  </si>
  <si>
    <t>inkomsten 2020</t>
  </si>
  <si>
    <t>(L3-K3)/K3</t>
  </si>
  <si>
    <t>(J3-L3)/L3</t>
  </si>
  <si>
    <t>2020: Bezoekers Stadhuis</t>
  </si>
  <si>
    <t xml:space="preserve">Stefaan </t>
  </si>
  <si>
    <t>Gesloten van 15u-16u30 wegens gidsbeurt Françoise</t>
  </si>
  <si>
    <t>Stefaan</t>
  </si>
  <si>
    <t>geen detail</t>
  </si>
  <si>
    <t>Bewolkt</t>
  </si>
  <si>
    <t>tropisch warm</t>
  </si>
  <si>
    <t>gesloten om 16.00 uur</t>
  </si>
  <si>
    <t>huwelijk 11u30 + 15u</t>
  </si>
  <si>
    <t>VM gesloten</t>
  </si>
  <si>
    <t>TOTAAL AUGUSTUS</t>
  </si>
  <si>
    <t>10.30</t>
  </si>
  <si>
    <t>TOTAAL SEPTEMBER</t>
  </si>
  <si>
    <t>Donatie in totaal van heel de periode tot 5/10/2020</t>
  </si>
  <si>
    <t>Uit kist op 14/10</t>
  </si>
  <si>
    <t>TOTAAL OKTOBER</t>
  </si>
  <si>
    <t>Statistieken 2020 (corona-jaar)</t>
  </si>
  <si>
    <t>OC avekapelle</t>
  </si>
  <si>
    <t>OC Calicannes</t>
  </si>
  <si>
    <t>Furnevent (zaal + Foyer)</t>
  </si>
  <si>
    <t>Kort en SP</t>
  </si>
  <si>
    <t>Kort &amp; SP</t>
  </si>
  <si>
    <t>De Panne (sept-okt)</t>
  </si>
  <si>
    <t>Joncheere Roland</t>
  </si>
  <si>
    <t>per plaats per jaar</t>
  </si>
  <si>
    <t>TARIEVEN KAJAKVERHUUR</t>
  </si>
  <si>
    <t>5/7,5</t>
  </si>
  <si>
    <t>5 EUR monoboot/sub, 7,5 EUR voro dubbele boot</t>
  </si>
  <si>
    <r>
      <t xml:space="preserve">3. Overboekingen </t>
    </r>
    <r>
      <rPr>
        <i/>
        <sz val="10"/>
        <rFont val="Calibri"/>
        <family val="2"/>
        <scheme val="minor"/>
      </rPr>
      <t>(deel dat volgend jaar vervalt)</t>
    </r>
  </si>
  <si>
    <t>0119-02 620200</t>
  </si>
  <si>
    <t>0119-04 620200</t>
  </si>
  <si>
    <t>Verwaarlozing en verkrotting - ongechikt</t>
  </si>
  <si>
    <t>0820-01/740860</t>
  </si>
  <si>
    <t>0990-00/7409999</t>
  </si>
  <si>
    <t>0990-00/740900</t>
  </si>
  <si>
    <t>mooimakers zwerfvuil</t>
  </si>
  <si>
    <t>0350-00 700050</t>
  </si>
  <si>
    <t>https://provincies.incijfers.be/jive?workspace_guid=ff593898-a5fa-41de-bddc-ebf303c20587&amp;mtm_campaign=pinc-nieuwsbrief-mei-2021&amp;mtm_kwd=afval-algemeen&amp;mtm_source=pinc-nieuwsbrief&amp;mtm_medium=e-mail&amp;mtm_content=cijfervdmaand</t>
  </si>
  <si>
    <t>Klik via deze link voor de huishoudelijke afvalcijfers voor alle gemeenten, waaronder Veurne:</t>
  </si>
  <si>
    <t xml:space="preserve">Klik via deze link naar alle huishoudelijk afvalcijfers van de gemeenten, waaronder Veurne: </t>
  </si>
  <si>
    <t>Aanvullende belasting op belasting motorrijtuigen</t>
  </si>
  <si>
    <t>Verwaarloosde en ongeschikte woningen en gebouwen</t>
  </si>
  <si>
    <t>BBC 2020</t>
  </si>
  <si>
    <t>0220-00</t>
  </si>
  <si>
    <t>0650-00</t>
  </si>
  <si>
    <t>0640-00</t>
  </si>
  <si>
    <t>0130-00</t>
  </si>
  <si>
    <t>Concessie fotocabine</t>
  </si>
  <si>
    <t>0990-00</t>
  </si>
  <si>
    <t>B 2022</t>
  </si>
  <si>
    <t>Y:\6_2_Boekhouding&amp;Jaarrekening\Exploitatie\Algemene kostenopvolging\overzicht energieverbruik.xls</t>
  </si>
  <si>
    <t>Vrijgesteld/onbelast mat &amp; out</t>
  </si>
  <si>
    <t>vrijgesteld/onbelast gebouwd</t>
  </si>
  <si>
    <t>vergoedingen vrijwilligers en verenigingswerk</t>
  </si>
  <si>
    <t>(auteursrechten) andere erelonen en vergoedingen</t>
  </si>
  <si>
    <t>onderhoud meubilair, bureaumateriaal, machines</t>
  </si>
  <si>
    <t>huur ( &amp; onderhouds)contracten meubilair, machines, uitrusting</t>
  </si>
  <si>
    <t>informaticakosten - hardware</t>
  </si>
  <si>
    <t>informaticakosten - software</t>
  </si>
  <si>
    <t>diverse financiële kosten</t>
  </si>
  <si>
    <t>prijssubsidies</t>
  </si>
  <si>
    <t>jobstudenten</t>
  </si>
  <si>
    <t>patr. bijdr. Jobstudenten</t>
  </si>
  <si>
    <t>onderhoudsprodukten</t>
  </si>
  <si>
    <t>huur machines, installaties, meubilair &amp; kantooruitrusting</t>
  </si>
  <si>
    <t>werkingskosten informatica - hard &amp; software</t>
  </si>
  <si>
    <t>Patr. bijdr. contractuelen</t>
  </si>
  <si>
    <t>klein materiaal</t>
  </si>
  <si>
    <t>(beheersvergoeding) - culturele evenmenten</t>
  </si>
  <si>
    <t>(beheersvergoeding) - jeugdcultuurweken</t>
  </si>
  <si>
    <t>toegestane algemene werkingssubsidies</t>
  </si>
  <si>
    <t>sub regl jeugdwerking cult verenigingen</t>
  </si>
  <si>
    <t>sub regl investeringen cult verenigingen</t>
  </si>
  <si>
    <t>0113-00 602000</t>
  </si>
  <si>
    <t>Archief - klein materiaal</t>
  </si>
  <si>
    <t>0113-00 616200</t>
  </si>
  <si>
    <t>Archief - vergoedingen vrijwilligers en verenigingswerk</t>
  </si>
  <si>
    <t>0113-00 623400</t>
  </si>
  <si>
    <t>archief - vakbondspremies</t>
  </si>
  <si>
    <t>0113-00 620200</t>
  </si>
  <si>
    <t>0113-00 621200</t>
  </si>
  <si>
    <t>0113-00 622200</t>
  </si>
  <si>
    <t>0113-00 622600</t>
  </si>
  <si>
    <t>0113-00 623000</t>
  </si>
  <si>
    <t>0113-00 623100</t>
  </si>
  <si>
    <t>archief - bezoldiging contractureel personeel</t>
  </si>
  <si>
    <t>archief - werkgeversbijdrage contractueel personeel</t>
  </si>
  <si>
    <t>archief - 2de pensioenpijler</t>
  </si>
  <si>
    <t>archief - hospitalisatieverzekering</t>
  </si>
  <si>
    <t>archief -  AO</t>
  </si>
  <si>
    <t>archief - maaltijdcheques</t>
  </si>
  <si>
    <t>0013-00 740900</t>
  </si>
  <si>
    <t>archief - overige specifieke werkingssubsidies</t>
  </si>
  <si>
    <t>0113-00 745000</t>
  </si>
  <si>
    <t>archief - werknemersinhouding maaltijdcheques</t>
  </si>
  <si>
    <t>De Troenke</t>
  </si>
  <si>
    <t>0705-01 6142200</t>
  </si>
  <si>
    <t>dierse oc's</t>
  </si>
  <si>
    <t>huur computermaterieel - software</t>
  </si>
  <si>
    <t>huur install, mach, uitr en meubilair</t>
  </si>
  <si>
    <t>benodigdheden voor gebouwen &amp; terreinen</t>
  </si>
  <si>
    <t>huur install, mach, uitr, meubilair</t>
  </si>
  <si>
    <t>huur rollend materieel</t>
  </si>
  <si>
    <t xml:space="preserve">adm &amp; beheersvergoeding </t>
  </si>
  <si>
    <t>0680-00</t>
  </si>
  <si>
    <t>andere algemene werkingssubsidies (Duinenwacht)</t>
  </si>
  <si>
    <t>beheersvergoeding - overige kosten dienstverleners</t>
  </si>
  <si>
    <t>0820-01 7010002</t>
  </si>
  <si>
    <t>Tech. Benodigdheden - klein materiaal</t>
  </si>
  <si>
    <t>huur &amp; contracten software</t>
  </si>
  <si>
    <t>onderhoudscontracten computermat - hardware</t>
  </si>
  <si>
    <t>0740-02 6131005</t>
  </si>
  <si>
    <t>erelonen auteursrechten - billijke vergoeding</t>
  </si>
  <si>
    <t>Tweede verblijven - aanv 2020</t>
  </si>
  <si>
    <t>AGB - bedrijven, aj 2020</t>
  </si>
  <si>
    <t>0742-02 620200</t>
  </si>
  <si>
    <t>0742-02 621200</t>
  </si>
  <si>
    <t>0742-02 622200</t>
  </si>
  <si>
    <t>0742-02 622600</t>
  </si>
  <si>
    <t>0742-02 623200</t>
  </si>
  <si>
    <t>0742-02 622610</t>
  </si>
  <si>
    <t>0742-02 623100</t>
  </si>
  <si>
    <t>0742-02 623000</t>
  </si>
  <si>
    <t>0742-02 602300</t>
  </si>
  <si>
    <t>0742-02 602100</t>
  </si>
  <si>
    <t>0742-02 610300</t>
  </si>
  <si>
    <t>0742-02 611000</t>
  </si>
  <si>
    <t>0742-02 611100</t>
  </si>
  <si>
    <t>0742-00 611300</t>
  </si>
  <si>
    <t>0742-02 616900</t>
  </si>
  <si>
    <t>0742-02 616200</t>
  </si>
  <si>
    <t>erelonen vrijwilligers &amp; lesgevers</t>
  </si>
  <si>
    <t>0742-02 615000</t>
  </si>
  <si>
    <t>0742-02 615100</t>
  </si>
  <si>
    <t>0742-02 615400</t>
  </si>
  <si>
    <t>0742-02 613000</t>
  </si>
  <si>
    <t>0742-02 613010</t>
  </si>
  <si>
    <t>onderhoud install, mach, uitr, meubilair</t>
  </si>
  <si>
    <t>0742-02 615700</t>
  </si>
  <si>
    <t>0742-02 615610</t>
  </si>
  <si>
    <t>0742-02 602000</t>
  </si>
  <si>
    <t>0742-02 615620</t>
  </si>
  <si>
    <t>0742-02 615600</t>
  </si>
  <si>
    <t>0742-02 616400</t>
  </si>
  <si>
    <t>0742-02 640900</t>
  </si>
  <si>
    <t>0742-02 623400</t>
  </si>
  <si>
    <t>0742-02 700060</t>
  </si>
  <si>
    <t>0742-02 701000</t>
  </si>
  <si>
    <t>0742-02 747000</t>
  </si>
  <si>
    <t>0742-02 745000</t>
  </si>
  <si>
    <t>0742-01 610300</t>
  </si>
  <si>
    <t>0742-01 610310</t>
  </si>
  <si>
    <t>0742-01 611000</t>
  </si>
  <si>
    <t>0742-01 611100</t>
  </si>
  <si>
    <t>0742-01 611300</t>
  </si>
  <si>
    <t>0742-01 612000</t>
  </si>
  <si>
    <t>0742-01 640000</t>
  </si>
  <si>
    <t>0742-01 616900</t>
  </si>
  <si>
    <t>0742-01 602000</t>
  </si>
  <si>
    <t>0742-01 613010</t>
  </si>
  <si>
    <t>omnisportveld</t>
  </si>
  <si>
    <t>meubilair sporthal</t>
  </si>
  <si>
    <t>0742-01 703000</t>
  </si>
  <si>
    <t>0742-01 703200</t>
  </si>
  <si>
    <t>0742-01 747000</t>
  </si>
  <si>
    <t>0742-01 613000</t>
  </si>
  <si>
    <t>0742-01 615700</t>
  </si>
  <si>
    <t>0742-01 615300</t>
  </si>
  <si>
    <t>0742-01 615620</t>
  </si>
  <si>
    <t>0742-01 615600</t>
  </si>
  <si>
    <t>0742-01 615000</t>
  </si>
  <si>
    <t>0742-01 615100</t>
  </si>
  <si>
    <t>0742-01 613110</t>
  </si>
  <si>
    <t>vergoedingen vrijwilligers</t>
  </si>
  <si>
    <t>tribunes ksv</t>
  </si>
  <si>
    <t>15 jaar</t>
  </si>
  <si>
    <t>0740-01 6150015</t>
  </si>
  <si>
    <t>0740-00 649100</t>
  </si>
  <si>
    <t>0740-00 649010</t>
  </si>
  <si>
    <t>toegestane werkingssubsidies - sportcheques</t>
  </si>
  <si>
    <t>0740-00 649000</t>
  </si>
  <si>
    <t>0740-00 649609</t>
  </si>
  <si>
    <t>0740-00 649610</t>
  </si>
  <si>
    <t>0740-00 649611</t>
  </si>
  <si>
    <t>werkingssubsidies sportverenigingen</t>
  </si>
  <si>
    <t>impulssubsidie sportverenigingen</t>
  </si>
  <si>
    <t>gebouwensubsidie sportverenigingen</t>
  </si>
  <si>
    <t>0741-00 602000</t>
  </si>
  <si>
    <t>0741-00 615100</t>
  </si>
  <si>
    <t>0741-00 615600</t>
  </si>
  <si>
    <t>arbeidskledij</t>
  </si>
  <si>
    <t>0741-00 615610</t>
  </si>
  <si>
    <t>dienstvergoedingen</t>
  </si>
  <si>
    <t>0741-00 616200</t>
  </si>
  <si>
    <t>0741-00 616400</t>
  </si>
  <si>
    <t>beheersvergoeding - sportdagen</t>
  </si>
  <si>
    <t>0741-00 616404</t>
  </si>
  <si>
    <t>0741-00 620100</t>
  </si>
  <si>
    <t>0741-00 620300</t>
  </si>
  <si>
    <t>0741-00 621100</t>
  </si>
  <si>
    <t>0741-00 621300</t>
  </si>
  <si>
    <t>0741-00 623000</t>
  </si>
  <si>
    <t>0741-00 620200</t>
  </si>
  <si>
    <t>bezoldiging jobstudenten</t>
  </si>
  <si>
    <t>0741-00 621200</t>
  </si>
  <si>
    <t>0741-00 622200</t>
  </si>
  <si>
    <t>0741-00 623200</t>
  </si>
  <si>
    <t>werkgeversbijdrage jobstudenten</t>
  </si>
  <si>
    <t>0741-00 622600</t>
  </si>
  <si>
    <t>hospitalisatieverzekering (contractuelen)</t>
  </si>
  <si>
    <t>0741-00 623400</t>
  </si>
  <si>
    <t>0741-00 701000</t>
  </si>
  <si>
    <t>0741-00 747000</t>
  </si>
  <si>
    <t>0741-00 745000</t>
  </si>
  <si>
    <t>0741-00 745900</t>
  </si>
  <si>
    <t>andere terugvorderingen personeel</t>
  </si>
  <si>
    <t>0742-03 610300</t>
  </si>
  <si>
    <t>0742-03 611000</t>
  </si>
  <si>
    <t>0742-03 602000</t>
  </si>
  <si>
    <t>0742-03 610310</t>
  </si>
  <si>
    <t>0742-03 613010</t>
  </si>
  <si>
    <t>0742-04 602000</t>
  </si>
  <si>
    <t>0742-04 602100</t>
  </si>
  <si>
    <t>0742-04 610300</t>
  </si>
  <si>
    <t>0742-04 611100</t>
  </si>
  <si>
    <t>0742-04 611300</t>
  </si>
  <si>
    <t>0742-04 613010</t>
  </si>
  <si>
    <t>0742-04 616200</t>
  </si>
  <si>
    <t>vergoeding vrijwilligers -  bewaking en veiligheid</t>
  </si>
  <si>
    <t>omnisportveld (sporthal)</t>
  </si>
  <si>
    <t>0520-00 6143007</t>
  </si>
  <si>
    <t>publiciteit, advertenties &amp; info</t>
  </si>
  <si>
    <t>huur meubilair, bureaumateriaal, mach, install</t>
  </si>
  <si>
    <t>informatica - hardware</t>
  </si>
  <si>
    <t>informatica - software</t>
  </si>
  <si>
    <t>erelonen en vergoedingen studieopdrachten</t>
  </si>
  <si>
    <t>toeristische evenementen</t>
  </si>
  <si>
    <t>Beheersvergoeding  - promotiepool Westtoer</t>
  </si>
  <si>
    <t>opbrengsten uit andere prestaties (arrangementen)</t>
  </si>
  <si>
    <t>2012-2016</t>
  </si>
  <si>
    <t>2014-2018</t>
  </si>
  <si>
    <t>2015-2019</t>
  </si>
  <si>
    <t>2016-2020</t>
  </si>
  <si>
    <t>VIA VI</t>
  </si>
  <si>
    <t>Activeringsheffing</t>
  </si>
  <si>
    <t>Verblijfsbelasting -aanv</t>
  </si>
  <si>
    <t>Planning</t>
  </si>
  <si>
    <t>Lokaal loket kinderopvang</t>
  </si>
  <si>
    <t>tweede verblijven</t>
  </si>
  <si>
    <t>R 2022</t>
  </si>
  <si>
    <t>CO2meters en sneltests</t>
  </si>
  <si>
    <t>0945-00 740880</t>
  </si>
  <si>
    <t>Factuur 2022</t>
  </si>
  <si>
    <t>19981171/00</t>
  </si>
  <si>
    <t>Man TGM</t>
  </si>
  <si>
    <t>1YTL269</t>
  </si>
  <si>
    <t>19991120/01</t>
  </si>
  <si>
    <t>QALU718</t>
  </si>
  <si>
    <t>24022052/00</t>
  </si>
  <si>
    <t>Fiat Doblo</t>
  </si>
  <si>
    <t>2ATZ422</t>
  </si>
  <si>
    <t>24022053/00</t>
  </si>
  <si>
    <t>2ATZ445</t>
  </si>
  <si>
    <t>24022054/00</t>
  </si>
  <si>
    <t>2ATZ460</t>
  </si>
  <si>
    <t>24032318/00</t>
  </si>
  <si>
    <t>Opel Combo</t>
  </si>
  <si>
    <t>2BFC149</t>
  </si>
  <si>
    <t>QAFU605</t>
  </si>
  <si>
    <t xml:space="preserve">Kleuteropvang 1 kw </t>
  </si>
  <si>
    <t>plaatsen van sleutelkoker ikv brandbestrijding</t>
  </si>
  <si>
    <t>alcoholconsumptie op openbaar domein</t>
  </si>
  <si>
    <t>VIPA ventialtiemaatregelen</t>
  </si>
  <si>
    <t>Y:\6_2_Boekhouding&amp;Jaarrekening\project\overheidsopdrachten 3P\investeringstoelagen\2021 toelagen &amp; premies\Onroerend Erfgoed - Dorpskom Houtem - kerkhoek en omgeving - ministrieel besluit.pdf</t>
  </si>
  <si>
    <t>4.003/38025/42.8</t>
  </si>
  <si>
    <t>2021/705</t>
  </si>
  <si>
    <t>Dorpskern Houtem - Kerkhoek en omgeving (AOE)</t>
  </si>
  <si>
    <t>Y:\6_2_Boekhouding&amp;Jaarrekening\project\overheidsopdrachten 3P\investeringstoelagen\2021 toelagen &amp; premies\Onroerend Erfgoed - renovatie exterieur en intereur Huis Claus - ministrieel besluit.pdf</t>
  </si>
  <si>
    <t>4.003/38025/42.10</t>
  </si>
  <si>
    <t>Huis Claus (AOE - OCMW)</t>
  </si>
  <si>
    <t>Y:\6_2_Boekhouding&amp;Jaarrekening\project\overheidsopdrachten 3P\investeringstoelagen\2021 toelagen &amp; premies\Interreg - aanvraag toelage Transmobil.pdf</t>
  </si>
  <si>
    <t>Transmobil Interreg V (Europa)</t>
  </si>
  <si>
    <t>Samenwerkingsovereenkomst met provincie GR 10/21</t>
  </si>
  <si>
    <t>Fietsbrug Vaartstraat (prov)</t>
  </si>
  <si>
    <t>Y:\6_2_Boekhouding&amp;Jaarrekening\project\overheidsopdrachten 3P\investeringstoelagen\2021 toelagen &amp; premies\Provincie - autokampeerterrein.pdf</t>
  </si>
  <si>
    <t>Kampeerautoterrein (prov) (AGB)</t>
  </si>
  <si>
    <t>Y:\6_2_Boekhouding&amp;Jaarrekening\project\overheidsopdrachten 3P\investeringstoelagen\2021 toelagen &amp; premies\Vlaamse Regering - kopenhagenplan fietsinfrastructuur - subsidie verdeling.pdf</t>
  </si>
  <si>
    <t>Y:\6_2_Boekhouding&amp;Jaarrekening\project\overheidsopdrachten 3P\investeringstoelagen\2021 toelagen &amp; premies\Vlaamse Regering - kopenhagenplan fietsinfrastructuur.pdf</t>
  </si>
  <si>
    <t>Kopenhagenplan fietsinfrastructuur lokale wegen</t>
  </si>
  <si>
    <t>premieaanvraag obv gunningsbedrag, premie binnen 3 m, betekening na premiebevestiging</t>
  </si>
  <si>
    <t>Restauratie pui stadhuis</t>
  </si>
  <si>
    <t>Inkomhal Stadhuis - saneren wandafwerking</t>
  </si>
  <si>
    <t>project Veurne_2018_26</t>
  </si>
  <si>
    <t>Lokaal project klimaat (prov)</t>
  </si>
  <si>
    <t>project Veurne 2021_41</t>
  </si>
  <si>
    <t>2021/608</t>
  </si>
  <si>
    <t>Aansluiten warmtenet - lokaal project klimaat (prov)</t>
  </si>
  <si>
    <t>4.003/38025/150.1-6742</t>
  </si>
  <si>
    <t>Glasramen O.L.Vrouw Hemelvaartkerk Wulveringem (AOE)</t>
  </si>
  <si>
    <t>19/0040</t>
  </si>
  <si>
    <t>2021/164</t>
  </si>
  <si>
    <t>Afvalbakken zwerfvuil</t>
  </si>
  <si>
    <t>Y:\6_2_Boekhouding&amp;Jaarrekening\project\overheidsopdrachten 3P\investeringstoelagen\2021 toelagen &amp; premies\Vlaamse Regering - beleidskader leefkwaliteit.pdf</t>
  </si>
  <si>
    <t>2021/46</t>
  </si>
  <si>
    <t>Beleidskader leefkwaliteit Veurne</t>
  </si>
  <si>
    <t>Y:\6_2_Boekhouding&amp;Jaarrekening\project\overheidsopdrachten 3P\investeringstoelagen\2021 toelagen &amp; premies\Agentschap Natuur en Bos - vergroening en ontharding Statieplaats.pdf</t>
  </si>
  <si>
    <t>2021/704</t>
  </si>
  <si>
    <t>Project vergroening en ontharding Statieplaats</t>
  </si>
  <si>
    <t>Aanleg fietspad Vaartstraat</t>
  </si>
  <si>
    <t>koepelmodule</t>
  </si>
  <si>
    <t>38025/10/A module 10</t>
  </si>
  <si>
    <t xml:space="preserve">Mobilteitsconvenant </t>
  </si>
  <si>
    <t>plattelandsfonds (+)</t>
  </si>
  <si>
    <t>WVL16/P101</t>
  </si>
  <si>
    <t>Dorpskernvernieuwing Houtem (VLM)</t>
  </si>
  <si>
    <t>Project Horizon (Westtoer) - St Niklaastoren</t>
  </si>
  <si>
    <t>2021/612</t>
  </si>
  <si>
    <t>Plattelandsfonds 2021</t>
  </si>
  <si>
    <t>verrekend op de factuur van Bryggia</t>
  </si>
  <si>
    <t>WIFI4EU - hard- &amp; software autokampeerterrein</t>
  </si>
  <si>
    <t>Aanleg fietspad N35 - aankoop gronden</t>
  </si>
  <si>
    <t>koepelmodule 38025/3/4/A module 4 DD Duinkerkestraat</t>
  </si>
  <si>
    <t>Beheersplan Sint-Niklaaskerk</t>
  </si>
  <si>
    <t>Aankoop Mobit fietsen (prov)</t>
  </si>
  <si>
    <t>Koepelmodule 38025/3/4/A</t>
  </si>
  <si>
    <t>W2017134</t>
  </si>
  <si>
    <t>Renovatie stookketel Oude Vleeshalle AGION</t>
  </si>
  <si>
    <t>Renovatie stookketel Oude Vleeshalle</t>
  </si>
  <si>
    <t>Aankoop elektrische deelwagen</t>
  </si>
  <si>
    <t>ESR6322</t>
  </si>
  <si>
    <t>Beheersplan circulaire burcht</t>
  </si>
  <si>
    <t>Uiterste datum</t>
  </si>
  <si>
    <t>Tot VS</t>
  </si>
  <si>
    <t>VS 6</t>
  </si>
  <si>
    <t>Saldo A</t>
  </si>
  <si>
    <t>A 3</t>
  </si>
  <si>
    <t>A 2</t>
  </si>
  <si>
    <t>A 1</t>
  </si>
  <si>
    <t>projcectcode</t>
  </si>
  <si>
    <t>vordering</t>
  </si>
  <si>
    <t>Subsidie</t>
  </si>
  <si>
    <t>Coronasubsidie VIPA</t>
  </si>
  <si>
    <t>*</t>
  </si>
  <si>
    <t>Afgeschafte diensten</t>
  </si>
  <si>
    <t>Subsidie Veilige Schoolomgeving</t>
  </si>
  <si>
    <t>Het Taltent Houtem</t>
  </si>
  <si>
    <t>Totaal 2021</t>
  </si>
  <si>
    <t>Inschrijving week 1 paasvakantie briekeljong</t>
  </si>
  <si>
    <t>Inschrijving week 2 paasvakantie Briekeljong</t>
  </si>
  <si>
    <t>Inschrijving JULI w1 Briekeljong</t>
  </si>
  <si>
    <t>Inschrijving JULI w2 Briekeljong</t>
  </si>
  <si>
    <t>Inschrijving JULI w3 Briekeljong</t>
  </si>
  <si>
    <t>Inschrijving JULI w4 Briekeljong</t>
  </si>
  <si>
    <t>Inschrijving JULI W5 Briekeljong</t>
  </si>
  <si>
    <t>Inschrijving AUG w1 Briekeljong</t>
  </si>
  <si>
    <t>Inschrijving AUG w2 Briekeljong</t>
  </si>
  <si>
    <t>Inschrijving AUG w3 Briekeljong</t>
  </si>
  <si>
    <t>Inschrijving AUG w4 Briekeljong</t>
  </si>
  <si>
    <t>Inschrijving AUG w5 Briekeljong</t>
  </si>
  <si>
    <t>Inschrijving per dag Briekeljong Herfstvakantie</t>
  </si>
  <si>
    <t>Rage room for schmackos</t>
  </si>
  <si>
    <t>Dia de los bivakos</t>
  </si>
  <si>
    <t>Sherlock Holmes escape</t>
  </si>
  <si>
    <t>De ranch van Johny Jumper + zonnegloed</t>
  </si>
  <si>
    <t>Paaeierentocht + slimste bivakker</t>
  </si>
  <si>
    <t>Pizzahut</t>
  </si>
  <si>
    <t>Supercops + wie zoekt die vindt</t>
  </si>
  <si>
    <t>Siamese Picasso</t>
  </si>
  <si>
    <t>Binnen de minuut + gezelschapsspellen met een twist</t>
  </si>
  <si>
    <t>Kennismakingsdag</t>
  </si>
  <si>
    <t>The bachelor</t>
  </si>
  <si>
    <t>het lichaal van de bivak</t>
  </si>
  <si>
    <t>mijn keuken, mijn restaurant</t>
  </si>
  <si>
    <t>wat als</t>
  </si>
  <si>
    <t>plopsa express</t>
  </si>
  <si>
    <t>de mol</t>
  </si>
  <si>
    <t>levensweg in real life</t>
  </si>
  <si>
    <t>maffia monopoly</t>
  </si>
  <si>
    <t>classic games</t>
  </si>
  <si>
    <t>2-daagse juli</t>
  </si>
  <si>
    <t>gallerie de bivaque</t>
  </si>
  <si>
    <t>action painting</t>
  </si>
  <si>
    <t>pimp my outfit</t>
  </si>
  <si>
    <t>bivak the movie</t>
  </si>
  <si>
    <t>the legend of bivak</t>
  </si>
  <si>
    <t>the sims</t>
  </si>
  <si>
    <t>bivakmon 'catch m all'</t>
  </si>
  <si>
    <t>real life mario kart &amp; mario golf</t>
  </si>
  <si>
    <t>retro gaming</t>
  </si>
  <si>
    <t>the culture master xxl</t>
  </si>
  <si>
    <t>rijk der bivakkoningen</t>
  </si>
  <si>
    <t>battle of the crimes</t>
  </si>
  <si>
    <t>dagje planckendael</t>
  </si>
  <si>
    <t>mange à la bivak</t>
  </si>
  <si>
    <t>super cops</t>
  </si>
  <si>
    <t>2 daagse aug</t>
  </si>
  <si>
    <t>dino hunt</t>
  </si>
  <si>
    <t>battle of the gladiators</t>
  </si>
  <si>
    <t>clash of the titans</t>
  </si>
  <si>
    <t>gravensteen + stadsspel gent</t>
  </si>
  <si>
    <t>alienlaser wars</t>
  </si>
  <si>
    <t>vampire: the masquerade</t>
  </si>
  <si>
    <t>metalhead highland games</t>
  </si>
  <si>
    <t>couleur café - vuilspel</t>
  </si>
  <si>
    <t>pukkels vs rimpels - bivak vs monis</t>
  </si>
  <si>
    <t>fin de saison</t>
  </si>
  <si>
    <t>strandgangers</t>
  </si>
  <si>
    <t>hungergames</t>
  </si>
  <si>
    <t>among the bivak</t>
  </si>
  <si>
    <t>workshop praatjes en plaatjes</t>
  </si>
  <si>
    <t>workshop VR 360°</t>
  </si>
  <si>
    <t xml:space="preserve">ketnetband </t>
  </si>
  <si>
    <t>Uberdope</t>
  </si>
  <si>
    <t>workshop skateboarding</t>
  </si>
  <si>
    <t>workshop fireskills</t>
  </si>
  <si>
    <t>halloween in bobbejaanland</t>
  </si>
  <si>
    <t>Aantal bemiddeling uithuiszettingen</t>
  </si>
  <si>
    <t>Aantal referentieadressen </t>
  </si>
  <si>
    <t>Aantal tussenkost Fonds Bestrijding Uithuiszetting (FBU)</t>
  </si>
  <si>
    <t>Eerste leeftijdsmelk en Tweede leeftijdsmelk</t>
  </si>
  <si>
    <t>Individueel verminderd tarief kinderopvang </t>
  </si>
  <si>
    <t>Incontinentiepremie </t>
  </si>
  <si>
    <t xml:space="preserve">aantal </t>
  </si>
  <si>
    <t>BOORDTABELLEN ICT</t>
  </si>
  <si>
    <t>Aantal assets (apparaat types)</t>
  </si>
  <si>
    <t>Aantal desktops</t>
  </si>
  <si>
    <t>Aantal laptops</t>
  </si>
  <si>
    <t>Aantal laptops per werkpost</t>
  </si>
  <si>
    <t>Aantal desktops per werkpost</t>
  </si>
  <si>
    <t>Aantal smartphones per werkpost</t>
  </si>
  <si>
    <t>Aantal behandelde tickets</t>
  </si>
  <si>
    <t>apparaat type</t>
  </si>
  <si>
    <t>apparaat aantal</t>
  </si>
  <si>
    <t xml:space="preserve">telefoon </t>
  </si>
  <si>
    <t>smartphone</t>
  </si>
  <si>
    <t>desktop</t>
  </si>
  <si>
    <t>wifi ap</t>
  </si>
  <si>
    <t>tablet</t>
  </si>
  <si>
    <t>switch</t>
  </si>
  <si>
    <t>printer</t>
  </si>
  <si>
    <t>randapparatuur</t>
  </si>
  <si>
    <t>undefined</t>
  </si>
  <si>
    <t>TV scherm</t>
  </si>
  <si>
    <t>ClickShare</t>
  </si>
  <si>
    <t>Monitor</t>
  </si>
  <si>
    <t>Projector</t>
  </si>
  <si>
    <t>Scanner</t>
  </si>
  <si>
    <t>Seylsteen</t>
  </si>
  <si>
    <t>OCMW WZC</t>
  </si>
  <si>
    <t>OCMW Zonnewende</t>
  </si>
  <si>
    <t>De Westhoek</t>
  </si>
  <si>
    <t>OCMW Sociale dienst</t>
  </si>
  <si>
    <t>Stapwest</t>
  </si>
  <si>
    <t>sport</t>
  </si>
  <si>
    <t>Furnevent</t>
  </si>
  <si>
    <t>jeugddienst</t>
  </si>
  <si>
    <t>De Zonnebloem</t>
  </si>
  <si>
    <t>Aantal smartphones</t>
  </si>
  <si>
    <t>software</t>
  </si>
  <si>
    <t>systeem</t>
  </si>
  <si>
    <t>hardware client</t>
  </si>
  <si>
    <t>telefonie</t>
  </si>
  <si>
    <t>netwerk</t>
  </si>
  <si>
    <t>administratief</t>
  </si>
  <si>
    <t>printing</t>
  </si>
  <si>
    <t>toestellen IOT</t>
  </si>
  <si>
    <t>andere</t>
  </si>
  <si>
    <t>AANTAL ASSETS</t>
  </si>
  <si>
    <t>AANTAL DESKTOPS PER WERKPOST</t>
  </si>
  <si>
    <t>AANTAL LAPTOPS PER WERKPOST</t>
  </si>
  <si>
    <t>AANTAL SMARTPHONES PER WERKPOST</t>
  </si>
  <si>
    <t>AANTAL BEHANDELDE TICKETS</t>
  </si>
  <si>
    <t>2022</t>
  </si>
  <si>
    <t>niet 2021 - 2022 oktober</t>
  </si>
  <si>
    <t>kohier 2021/390</t>
  </si>
  <si>
    <t>kohier 2021/340</t>
  </si>
  <si>
    <t>dossier 1000027.204</t>
  </si>
  <si>
    <t>Taiwan</t>
  </si>
  <si>
    <t>Burgerzaken - Akte van adoptie</t>
  </si>
  <si>
    <t>Burgerzaken - Akte van levenloos kind</t>
  </si>
  <si>
    <t>Burgerzaken - Akte van naamkeuze</t>
  </si>
  <si>
    <t>Burgerzaken - Akte van naamsverandering</t>
  </si>
  <si>
    <t>Burgerzaken - Migratie akte van adoptie</t>
  </si>
  <si>
    <t>Burgerzaken - Migratie akte van erkenning (prenataal)</t>
  </si>
  <si>
    <t>Burgerzaken - Nieuwen PIN/PUK-codes voor Eid of KIDS-ID</t>
  </si>
  <si>
    <t>Aantal assets</t>
  </si>
  <si>
    <t>Aquafit sessie2</t>
  </si>
  <si>
    <t>Bib- en zwemkamp augustus</t>
  </si>
  <si>
    <t>Bib- en zwemkamp juli</t>
  </si>
  <si>
    <t>Circuittraining</t>
  </si>
  <si>
    <t>Inschrijvingen zwemlessen: sessie 1</t>
  </si>
  <si>
    <t>Inschrijvingen zwemlessen: sessie 2</t>
  </si>
  <si>
    <t>Jump-it</t>
  </si>
  <si>
    <t>knutsel- en detectivesportkamp</t>
  </si>
  <si>
    <t>Kook-,knutsel- en omnisportkamp</t>
  </si>
  <si>
    <t>Kook-en omnisportkamp</t>
  </si>
  <si>
    <t>Skatekamp</t>
  </si>
  <si>
    <t>Sportsnack Houtmarkt: 1e en 2e leerjaar voorjaar</t>
  </si>
  <si>
    <t>sportsnack VBS Vliegerboom 2021-2022</t>
  </si>
  <si>
    <t>Zwem- en alles met de bal sportkamp</t>
  </si>
  <si>
    <t>Zwem- en outdoorsportkamp</t>
  </si>
  <si>
    <t>Zwemlessen najaar: sessie 3</t>
  </si>
  <si>
    <t>Zwemlessen najaar: testmoment</t>
  </si>
  <si>
    <t>zwemlessen voorjaar sessie 1</t>
  </si>
  <si>
    <t>zwemlessen voorjaar sessie 2</t>
  </si>
  <si>
    <t>Zwemlessen: sessie 1</t>
  </si>
  <si>
    <t>Zwemlessen: sessie 2</t>
  </si>
  <si>
    <t>G sportkamp</t>
  </si>
  <si>
    <t>sportsnack houtmarkt 1e leerjaar</t>
  </si>
  <si>
    <t>Sportsnack Houtmarkt 2e en 3e leerjaar</t>
  </si>
  <si>
    <t>Sportsnack Houtmarkt 4-6e lj</t>
  </si>
  <si>
    <t>Sportsnack Houtmarkt: 3e leerjaar voorjaar</t>
  </si>
  <si>
    <t>Sportsnack Houtmarkt: 4,5 en 6 leerjaar voorjaar</t>
  </si>
  <si>
    <t>Overzicht opbrengst per zaal</t>
  </si>
  <si>
    <t>Reservaties zonder annulaties</t>
  </si>
  <si>
    <t>De Boerderie</t>
  </si>
  <si>
    <t>huur BKO</t>
  </si>
  <si>
    <t>4 weken-30 per week</t>
  </si>
  <si>
    <t>Indoor Veurne vzw</t>
  </si>
  <si>
    <t>elektr verbruik padelvelden</t>
  </si>
  <si>
    <t>AGB- werkelijke kostprijs per kwartaal - afsplitsing factuur sporthal</t>
  </si>
  <si>
    <t>Gebruikers deelwagen</t>
  </si>
  <si>
    <t>huur en gebruik deelwagen - 1° kw</t>
  </si>
  <si>
    <t>0119-00 703000</t>
  </si>
  <si>
    <t>kohier 2021/346</t>
  </si>
  <si>
    <t>kohier 302/2021</t>
  </si>
  <si>
    <t>Kerk Vinkem toren</t>
  </si>
  <si>
    <t>30/08/2021-16/02/2022</t>
  </si>
  <si>
    <t>niet meer terug te vorderen</t>
  </si>
  <si>
    <t>VIA koopkrachtondersteuning</t>
  </si>
  <si>
    <t>VTE OCMW</t>
  </si>
  <si>
    <t>Voorman</t>
  </si>
  <si>
    <t>0820-01/740900</t>
  </si>
  <si>
    <t>0,48 betaald</t>
  </si>
  <si>
    <t xml:space="preserve">Kleuteropvang 2 kw </t>
  </si>
  <si>
    <t>SITMEDIA</t>
  </si>
  <si>
    <t>Vansteenlant geen aanmaningen/beroepsprocedure</t>
  </si>
  <si>
    <t>voorschotten boeken op AR 416010</t>
  </si>
  <si>
    <t>Aanvragen omgevingsvergunningen</t>
  </si>
  <si>
    <t>RP, HAH restafval + GFT</t>
  </si>
  <si>
    <t>B 2023</t>
  </si>
  <si>
    <t>BUDGET 2023 voor aftrek K waarde</t>
  </si>
  <si>
    <t>K WAARDE 2022</t>
  </si>
  <si>
    <t>BUDGET 2023 na aftrek K waarde</t>
  </si>
  <si>
    <t>Investeringsresultaat</t>
  </si>
  <si>
    <t>TOTAAL exploitatieresultaat en investeringsresultaat</t>
  </si>
  <si>
    <t>Exploitatietoelage</t>
  </si>
  <si>
    <t>BUDGET</t>
  </si>
  <si>
    <t>RELIGIOSOFT</t>
  </si>
  <si>
    <t xml:space="preserve">MEERJARENPLAN </t>
  </si>
  <si>
    <t>CIJFERS STAD VEURNE</t>
  </si>
  <si>
    <t>Verschil Jaarrekening tov budget</t>
  </si>
  <si>
    <t>B  2011</t>
  </si>
  <si>
    <t>MJP 2020</t>
  </si>
  <si>
    <t>MJP 2021</t>
  </si>
  <si>
    <t>MJP 2022</t>
  </si>
  <si>
    <t>MJP 2023</t>
  </si>
  <si>
    <t>MJP 2024</t>
  </si>
  <si>
    <t>MJP 2025</t>
  </si>
  <si>
    <t>Budget t.o.v. MJP</t>
  </si>
  <si>
    <t xml:space="preserve">exploitatie uitgaven budget - exploitatie uitgaven jaarrekening </t>
  </si>
  <si>
    <t>OLV &amp; Audomarius Beauvoorde-Wulveringem</t>
  </si>
  <si>
    <t>St.Walburga</t>
  </si>
  <si>
    <t>ALLE KERKFABRIEKEN</t>
  </si>
  <si>
    <t>ONROERENDE GOEDEREN</t>
  </si>
  <si>
    <r>
      <t>Onroerende goederen</t>
    </r>
    <r>
      <rPr>
        <sz val="11"/>
        <color rgb="FFFF0000"/>
        <rFont val="Calibri"/>
        <family val="2"/>
        <scheme val="minor"/>
      </rPr>
      <t xml:space="preserve"> (Jaarrekening)</t>
    </r>
  </si>
  <si>
    <r>
      <t xml:space="preserve">Bouwland </t>
    </r>
    <r>
      <rPr>
        <sz val="11"/>
        <color rgb="FFFF0000"/>
        <rFont val="Calibri"/>
        <family val="2"/>
        <scheme val="minor"/>
      </rPr>
      <t>(kadaster)</t>
    </r>
  </si>
  <si>
    <t>Overgenomen uit kadaster. Bouwland m² x € 6.</t>
  </si>
  <si>
    <t>ROERENDE GOEDEREN EN ROLLEND MATERIEEL</t>
  </si>
  <si>
    <t>BESCHIKBARE KASVOORRAAD (betaalrekening)</t>
  </si>
  <si>
    <t>GELDBELEGGINGEN</t>
  </si>
  <si>
    <t>Kapitalen van stichtingen</t>
  </si>
  <si>
    <t>Investeringsbeleggingen (patrimoniumrekening)</t>
  </si>
  <si>
    <t>Termijnrekeningen</t>
  </si>
  <si>
    <t xml:space="preserve">Obligaties en kasbons </t>
  </si>
  <si>
    <t>PRIVAAT PATRIMONIUM (opbrengst)</t>
  </si>
  <si>
    <t>Bergplaats P.H.Scherpereelstraat - Booitshoeke - Opbrengst</t>
  </si>
  <si>
    <t>Bouwland kerkwijk - booitshoeke - Opbrengst</t>
  </si>
  <si>
    <t>Weiland kerkwijk - Opbrengst</t>
  </si>
  <si>
    <t>Landbouwland  Presendestraat 21 - Bulskamp</t>
  </si>
  <si>
    <t>Landbouwland - Bulskampstraat 10 - Bulskamp</t>
  </si>
  <si>
    <t>Landbouwland - Cromfortstraat 6 - Bulskamp</t>
  </si>
  <si>
    <t>Landbouwland - Burgweg 1 - Veurne</t>
  </si>
  <si>
    <t>Landbouwland - Wulpendammestraat 128, Veurne</t>
  </si>
  <si>
    <t>Landbouwland - Bewesterpoort-West 5, Bulskamp</t>
  </si>
  <si>
    <t>Landbouwland - Beauvoordestraat 47, Bulskamp</t>
  </si>
  <si>
    <t>Dekenij - Boterweegschaalstraat</t>
  </si>
  <si>
    <t>Zuidkapel + grond</t>
  </si>
  <si>
    <t>Bergplaats + tuin</t>
  </si>
  <si>
    <t xml:space="preserve">Landbouwgrond - Cappoenstraat </t>
  </si>
  <si>
    <t>Landbouwgrond - Den Spooraetshouk</t>
  </si>
  <si>
    <t>Landbouwgrond - Geushoek - Burgweg</t>
  </si>
  <si>
    <t xml:space="preserve">Landbouwgrond - Hammerswal  </t>
  </si>
  <si>
    <t>Landbouwgrond Kerkwyk</t>
  </si>
  <si>
    <t>Landbouwgrond Oostland</t>
  </si>
  <si>
    <t>Landbouwgrond Westcannaertshoek</t>
  </si>
  <si>
    <t>Zorgflats De Zuidburg - 2 zorglfats met garage</t>
  </si>
  <si>
    <t>Landbouwgrond Grote Kwynte</t>
  </si>
  <si>
    <t>Landbouwgrond Lobbestraatwijk</t>
  </si>
  <si>
    <t>Baan Veurne Koksijde II</t>
  </si>
  <si>
    <t>Baan Veurne Koksijde I</t>
  </si>
  <si>
    <t>Bergplaats</t>
  </si>
  <si>
    <t>Bommelaersbruggehoek</t>
  </si>
  <si>
    <t>Dekeniershoek</t>
  </si>
  <si>
    <t>Hamerswal</t>
  </si>
  <si>
    <t>Kapel OLVr Goddelijke Herderin</t>
  </si>
  <si>
    <t>Stuk stadpark rond park - Sint Walburgapark</t>
  </si>
  <si>
    <t>Tuin Noordstraat</t>
  </si>
  <si>
    <t>Woutersjanhoek</t>
  </si>
  <si>
    <t>KADASTER m² (€ 6 landbouwgrond)</t>
  </si>
  <si>
    <t>Kapel Steenkerkestraat 8 -6m²</t>
  </si>
  <si>
    <t>Weiland Middelhoek - 7520 m²</t>
  </si>
  <si>
    <t>Weiland Den Grooten Pronck - 13649 m²</t>
  </si>
  <si>
    <t>Bouwland Kerkwyk - 4101 m²</t>
  </si>
  <si>
    <t>Bouwland Den Grooten Pronck - 6000 m²</t>
  </si>
  <si>
    <t>Bouwland oost hoek - 7547 m²</t>
  </si>
  <si>
    <t>Bouwland de moeren - 9330 m²</t>
  </si>
  <si>
    <t>Bouwland Rosdamme WYK - 1430 m²</t>
  </si>
  <si>
    <t>Bouwland Rosdamme WYK - 24972 m²</t>
  </si>
  <si>
    <t>Bouwland Rosdamme WYK - 21481 m²</t>
  </si>
  <si>
    <t>Bouwland Rosdamme WYK - 26108 m²</t>
  </si>
  <si>
    <t>Bouwland Rosdamme WYK - 2000 m²</t>
  </si>
  <si>
    <t>Bouwland Zevecotestraat - 1040 m²</t>
  </si>
  <si>
    <t>Bouwland Kerkwyk - 3651 m²</t>
  </si>
  <si>
    <t>Landgebouw Presendestraat 15 - 28 m² - OCMW mede eigenaar</t>
  </si>
  <si>
    <t>Weiland Beudaarshoek - 15463 m² - OCMW mede eigenaar</t>
  </si>
  <si>
    <t>Bouwland Gansweidehoek - 16696 m²</t>
  </si>
  <si>
    <t>Weiland Den Grooten Pronck - 3814 m²</t>
  </si>
  <si>
    <t>Bouwland Kerk Houk - 16000 m²</t>
  </si>
  <si>
    <t>Weiland Pletz Houk - 19951 m²</t>
  </si>
  <si>
    <t>Bouwland boonhilhoek - 2377-NP De Burghgrave André</t>
  </si>
  <si>
    <t>Bouwland Boonhilhoek - 2775 m²-NP Notredame Auguste</t>
  </si>
  <si>
    <t>Bouwland Noordwesthoek - 5097 m²- in gemeenschap Claeys wilfriek - natuurlijke persoon Claeys Linda</t>
  </si>
  <si>
    <t>Bouwland Noordwesthoek - 11170 m²</t>
  </si>
  <si>
    <t>Landgebouw Kerkhoek 7 - 197 m²</t>
  </si>
  <si>
    <t>Weiland Doornhoek - 2112 m ²</t>
  </si>
  <si>
    <t>Bouwland Klein Moertje - 3948 m²</t>
  </si>
  <si>
    <t>Weiland Klein Moertje - 3669 m²</t>
  </si>
  <si>
    <t>Bouwland kerkhoek - 1971 m²</t>
  </si>
  <si>
    <t>Bouwland Kerkhoek - 1663 m²</t>
  </si>
  <si>
    <t>Weiland Kerkhoek - 230 m²</t>
  </si>
  <si>
    <t>Tuin kerkhoek - 550 m²</t>
  </si>
  <si>
    <t>Bouwland oostmoerhoek - 5867 m²</t>
  </si>
  <si>
    <t>Bouwland oostmoerhoek - 1000 m²</t>
  </si>
  <si>
    <t>Bouwland oostmoerhoek - 2394 m²</t>
  </si>
  <si>
    <t>Bouwland oostmoerhoek - 1377 m²</t>
  </si>
  <si>
    <t>Bouwland westmoerhoek - 5105 m²</t>
  </si>
  <si>
    <t>Bouwland De Plaats - 6202 m²</t>
  </si>
  <si>
    <t>Bouwland De Plaats - 7927 m² - in gemeenschap Cottry Pierre</t>
  </si>
  <si>
    <t>Bouwland Oosthoek - 21228 m²</t>
  </si>
  <si>
    <t>Bouwland Boonakkerwijk 2425 m²</t>
  </si>
  <si>
    <t>Bouwland Boonakkerwijk 5674 m²</t>
  </si>
  <si>
    <t>Bouwland Dorpwijk 5267 m²</t>
  </si>
  <si>
    <t>Bouwland Moerewijk 24834 m²</t>
  </si>
  <si>
    <t>Bouwland Moerewijk 3354 m²</t>
  </si>
  <si>
    <t>Bouwland Moerewijk 5025 m²</t>
  </si>
  <si>
    <t>Bouwland Moerewijk 14935 m²</t>
  </si>
  <si>
    <t>Bouwland Zuidhoek - 2247 m²</t>
  </si>
  <si>
    <t xml:space="preserve">Bouwland Oosthoek -15077 m² </t>
  </si>
  <si>
    <t>Bouwland lot 4 Heyde Houk - 2297m²</t>
  </si>
  <si>
    <t>Bouwland Heyde Houk -1940m²</t>
  </si>
  <si>
    <t>Bouwland heyde houk - 12800 m²</t>
  </si>
  <si>
    <t>Bouwland heyde houk -9500 m²</t>
  </si>
  <si>
    <t>Weiland Cnol houk - 11168 m²</t>
  </si>
  <si>
    <t>Bouwland middel houk - 4375 m²</t>
  </si>
  <si>
    <t>Bouwland Rosdamme WYK - 5600 m²</t>
  </si>
  <si>
    <t>Bouwland oost hoek - 8600 m²</t>
  </si>
  <si>
    <t>Bergplaats PH Scherpereelstraat 23 - 15 m²</t>
  </si>
  <si>
    <t>Kerk PH Scherpereelstraat 28 - vrijgesteld - 260 m²</t>
  </si>
  <si>
    <t>Bouwland Westhoek - 4150 m²</t>
  </si>
  <si>
    <t>Bouwland kerkwijk - 5037 m²</t>
  </si>
  <si>
    <t>Bouwland kerkwijk - 4024 m² - mede eigenaar OCMW Veurne</t>
  </si>
  <si>
    <t>Weiland kerkwijk - 4270 m² - mede eigenaar OCMW Veurne</t>
  </si>
  <si>
    <t>Bouwland kerkwijk - 6383 m²</t>
  </si>
  <si>
    <t>Weiland Kerkwijk - 9042 m²</t>
  </si>
  <si>
    <t>Weiland plaats - 3278 m²</t>
  </si>
  <si>
    <t>Tuin PH Scherpereelstraat - 281 m²</t>
  </si>
  <si>
    <t>Plein kerkwijk - 550 m²</t>
  </si>
  <si>
    <t>Kerkhof PH Scherpereelstraat - 1930 m²</t>
  </si>
  <si>
    <t>Kapel Noordburgweg 21 - 1 m²</t>
  </si>
  <si>
    <t>Bergplaats Grote markt 31 - 330 m²</t>
  </si>
  <si>
    <t>Kerk St. Walburgapark - vrijgesteld - 1943 m²</t>
  </si>
  <si>
    <t>Bouwland bommelaersbruggehoek - 31924 m²</t>
  </si>
  <si>
    <t>Tuin Noordstraat - 124 m²</t>
  </si>
  <si>
    <t>Tuin Noordstraat - 250 m²</t>
  </si>
  <si>
    <t>Plein Noordstraat - 30 m²- mede eigenaar zoete august</t>
  </si>
  <si>
    <t>Sint Walburgapark - 550 m²</t>
  </si>
  <si>
    <t>Sint Walburgapark - 961 m²</t>
  </si>
  <si>
    <t>Bouwland Westcanaertshoek -37724 m² - OCMW mede eigenaar</t>
  </si>
  <si>
    <t>DIV PRIV DEEL Zuidburgweg 56 Vaartstraat 01 13</t>
  </si>
  <si>
    <t>DIV PRIV DEEL Zuidburgweg 56 Vaartstraat 01 08</t>
  </si>
  <si>
    <t xml:space="preserve">Garagebox G 33 Zuidburgweg 46/56 </t>
  </si>
  <si>
    <t xml:space="preserve">Garagebox G 24 Zuidburgweg 46/56 </t>
  </si>
  <si>
    <t>Kapel Zuidkapelweg 13 - vrijgesteld - 820 m²</t>
  </si>
  <si>
    <t>Bergplaats Ooststraat 9 -132 m²</t>
  </si>
  <si>
    <t>Bouwland Grote Kwynte 2968 m²</t>
  </si>
  <si>
    <t>Bouwland Lobbestraatwijk 6505 m²</t>
  </si>
  <si>
    <t>Kerk brugse steenweg -1144 m²</t>
  </si>
  <si>
    <t>Pastorie Boterweegschaalstraat 5 - 1124 m²</t>
  </si>
  <si>
    <t>Garage Kaatspelpl - 73 m²</t>
  </si>
  <si>
    <t>Garage Kaatspelpl - 65 m²</t>
  </si>
  <si>
    <t>Weg Katsspel - 230 m²</t>
  </si>
  <si>
    <t>Kerk Appelmarkt  -1640 m² - niet belastbaar</t>
  </si>
  <si>
    <t>Weiland Den Spooraets houk - 2100 m²</t>
  </si>
  <si>
    <t>Bouwland Den Spooraets Houk - 5870 m²</t>
  </si>
  <si>
    <t>KERKFABRIEKEN - VERMOGEN</t>
  </si>
  <si>
    <t>KF VERMOGEN</t>
  </si>
  <si>
    <t>TOTAAL ENERGIE GEBOUWEN</t>
  </si>
  <si>
    <t xml:space="preserve">TOTAAL ENERGIE </t>
  </si>
  <si>
    <t>Y:\6_2_Boekhouding&amp;Jaarrekening\project\overheidsopdrachten 3P\investeringstoelagen\2021 toelagen &amp; premies\lokaal energie- en klimaatproject.pdf</t>
  </si>
  <si>
    <t>Restauratie buitenschil JOC Vinkem</t>
  </si>
  <si>
    <t>Y:\6_2_Boekhouding&amp;Jaarrekening\project\overheidsopdrachten 3P\investeringstoelagen\2022 toelagen &amp; premies\Buitenschil JOC Vinkem - ministrieel besluit.pdf</t>
  </si>
  <si>
    <t>Y:\6_2_Boekhouding&amp;Jaarrekening\project\overheidsopdrachten 3P\investeringstoelagen\2022 toelagen &amp; premies\Buitenschil JOC Vinkem - toekenning premie en toelating werken.pdf</t>
  </si>
  <si>
    <t>WZC Ter Linden - renovatie beglazing</t>
  </si>
  <si>
    <t>VKF-537-1</t>
  </si>
  <si>
    <t>VKF-537-4</t>
  </si>
  <si>
    <t>VKF-537-2</t>
  </si>
  <si>
    <t>VKF-537-3</t>
  </si>
  <si>
    <t>WZC Ter Linden - zonnewering</t>
  </si>
  <si>
    <t>Y:\6_2_Boekhouding&amp;Jaarrekening\project\overheidsopdrachten 3P\investeringstoelagen\2022 toelagen &amp; premies\toekenning klimaatsubsidies - WZC Ter Linden.pdf</t>
  </si>
  <si>
    <t>Y:\6_2_Boekhouding&amp;Jaarrekening\project\overheidsopdrachten 3P\investeringstoelagen\2022 toelagen &amp; premies\OVAM - uitbetaling 1° schijf ondergrondse containers.pdf</t>
  </si>
  <si>
    <t>Y:\6_2_Boekhouding&amp;Jaarrekening\project\overheidsopdrachten 3P\investeringstoelagen\2022 toelagen &amp; premies\OVAM - aanvraag toelage ondergrondse container.pdf</t>
  </si>
  <si>
    <t>0010-00 740320</t>
  </si>
  <si>
    <t>Lokaal energie- en klimaatproject - 2021</t>
  </si>
  <si>
    <t>Verhuur/ gebruik deelwagen</t>
  </si>
  <si>
    <t>geregistreerde gebruikers</t>
  </si>
  <si>
    <t>gebruik wagen</t>
  </si>
  <si>
    <t>aantal km door externe gebruikers</t>
  </si>
  <si>
    <t>eindteller km</t>
  </si>
  <si>
    <t>Aantal woningen ongeschikt en/of onbewoonbaar verklaard (VCW)</t>
  </si>
  <si>
    <t>Aantal kamers ongeschikt en/of onbewoonbaar verklaard (VCW)</t>
  </si>
  <si>
    <t>Aantal woningen onbewoonbaar verklaard (NGW)</t>
  </si>
  <si>
    <t>Aantal woningen ongeschikt en/of onbewoonbaarheid opgeheven (VCW)</t>
  </si>
  <si>
    <t>Aantal kamers ongeschikt en/of onbewoonbaar opgegeven (VCW)</t>
  </si>
  <si>
    <t>Aantal woningen onbewoonbaarheid opgeheven (NGW)</t>
  </si>
  <si>
    <t>Aantal woningen ongeschikt en/of onbewoonbaar in VIVOO (VCW)</t>
  </si>
  <si>
    <t>Aantal kamers ongeschikt en/of onbewoonbaar in VIVOO (VCW)</t>
  </si>
  <si>
    <t>Aantal woningen onbewoonbaar in VIVOO (NGW)</t>
  </si>
  <si>
    <t>Aantal conformiteitsattesten</t>
  </si>
  <si>
    <t>Statistieken 2021</t>
  </si>
  <si>
    <t>Bezoekers Sint-Niklaastoren</t>
  </si>
  <si>
    <t xml:space="preserve">Statistieken </t>
  </si>
  <si>
    <t>jaar 2021</t>
  </si>
  <si>
    <t xml:space="preserve">April - mei </t>
  </si>
  <si>
    <t>Juni</t>
  </si>
  <si>
    <t>Juli</t>
  </si>
  <si>
    <t xml:space="preserve">Augustus </t>
  </si>
  <si>
    <t xml:space="preserve">september </t>
  </si>
  <si>
    <t xml:space="preserve">oktober </t>
  </si>
  <si>
    <t xml:space="preserve">November </t>
  </si>
  <si>
    <t>December</t>
  </si>
  <si>
    <t>2021: Bezoekers Stadhuis</t>
  </si>
  <si>
    <t>Stefaan Barzeele</t>
  </si>
  <si>
    <t>opnames in nm</t>
  </si>
  <si>
    <t>Erfgoeddag</t>
  </si>
  <si>
    <t xml:space="preserve">                                                                                                                                                       </t>
  </si>
  <si>
    <t>Delsael</t>
  </si>
  <si>
    <t>Geert</t>
  </si>
  <si>
    <t>Anny</t>
  </si>
  <si>
    <t>Barzeele</t>
  </si>
  <si>
    <t xml:space="preserve">Willy </t>
  </si>
  <si>
    <t>vm Proevertjes</t>
  </si>
  <si>
    <t>geen cijfers</t>
  </si>
  <si>
    <t>bewolkt + regen nm buien</t>
  </si>
  <si>
    <t>vm proevertjes nm regen</t>
  </si>
  <si>
    <t>nm proevertjes</t>
  </si>
  <si>
    <t>vm proevertjes</t>
  </si>
  <si>
    <t>190,32 euro op 23 december 2021 ingetikt kist Vrijwilligers</t>
  </si>
  <si>
    <t>Willem/Willy/Geert</t>
  </si>
  <si>
    <t>80 104</t>
  </si>
  <si>
    <t>1-persoonskamer</t>
  </si>
  <si>
    <t>2-persoonskamer</t>
  </si>
  <si>
    <t>Tegemoetkoming wzc en cvk op 31/12</t>
  </si>
  <si>
    <t>Gemiddelde tegemoetkoming wzc en cvk per dag</t>
  </si>
  <si>
    <t>Bezetting instelling (%)</t>
  </si>
  <si>
    <t>Aantal verblijfsdagen WZC</t>
  </si>
  <si>
    <t>Bezetting</t>
  </si>
  <si>
    <t>Bezetting %</t>
  </si>
  <si>
    <t>Bezetting gemiddeld</t>
  </si>
  <si>
    <t>Aantal opnames crisisverblijf</t>
  </si>
  <si>
    <t>Aantal dossiers tussenkomst WZC (jaar)</t>
  </si>
  <si>
    <t xml:space="preserve">Aantal toegekende installatiepremies </t>
  </si>
  <si>
    <t>Y:\6_2_Boekhouding&amp;Jaarrekening\Investeringen\Projectsubsidies\Besluit investeringstoelage pui Stadhuis.pdf</t>
  </si>
  <si>
    <t>Fod Justitie -glob, plan 2018</t>
  </si>
  <si>
    <t>projectsubsidie cultuur</t>
  </si>
  <si>
    <t>0742-02 569000</t>
  </si>
  <si>
    <t>0741-00 623100</t>
  </si>
  <si>
    <t>0740-00 649619</t>
  </si>
  <si>
    <t>projectsubsidie sportevenementen</t>
  </si>
  <si>
    <t>0741-00 615400</t>
  </si>
  <si>
    <t>0740-01 700900</t>
  </si>
  <si>
    <t>opbrengsten andere verkopen</t>
  </si>
  <si>
    <t>0741-00 701010</t>
  </si>
  <si>
    <t>0741-00 703000</t>
  </si>
  <si>
    <t>verhuur patrimonium</t>
  </si>
  <si>
    <t>0742-03 611300</t>
  </si>
  <si>
    <t>heraanleg tennisvelden</t>
  </si>
  <si>
    <t>indoor tennishal - investeringssubsidie (padelvelden)</t>
  </si>
  <si>
    <t>investeringssubsidie Indoor (padelvelden)</t>
  </si>
  <si>
    <t>tennisvelden</t>
  </si>
  <si>
    <t>terreinverlichting Cobergher</t>
  </si>
  <si>
    <t>expl mat sporthal</t>
  </si>
  <si>
    <t>0741-00 613110</t>
  </si>
  <si>
    <t>0742-01 613100</t>
  </si>
  <si>
    <t>huur &amp; contracten hardware</t>
  </si>
  <si>
    <t>Toelage ondergrondse afvalcontainers (OVAM)</t>
  </si>
  <si>
    <t>straatmeubilair</t>
  </si>
  <si>
    <t>ESR6321 - 1QG783</t>
  </si>
  <si>
    <t>Y:\6_2_Boekhouding&amp;Jaarrekening\project\overheidsopdrachten 3P\2022\2022 toelagen\Agentschap Onroerend Erfgoed - toekenning premie Kerk Vinkem.pdf</t>
  </si>
  <si>
    <t>Y:\6_2_Boekhouding&amp;Jaarrekening\project\overheidsopdrachten 3P\2022\2022 toelagen\Agentschap Onroerend Erfgoed - kennisgeving premie Kerk Vinkem.pdf</t>
  </si>
  <si>
    <t>herberekening kwartaalvoorschot</t>
  </si>
  <si>
    <t>Vandaele Etienne, Avekapelle - wachten voor aanmanen - beroepsprocedure</t>
  </si>
  <si>
    <t>Nieuw kohier opgemaakt op naam van bedrijven</t>
  </si>
  <si>
    <t>Drukwerk (sit Media)</t>
  </si>
  <si>
    <t>Kohier : 404/2021</t>
  </si>
  <si>
    <t>herberekening kwartaalvoorschot - huis van het kind</t>
  </si>
  <si>
    <t xml:space="preserve">Kleuteropvang 3 kw </t>
  </si>
  <si>
    <t>Y:\6_2_Boekhouding&amp;Jaarrekening\project\overheidsopdrachten 3P\investeringstoelagen\2022 toelagen &amp; premies</t>
  </si>
  <si>
    <t>Axa 2023</t>
  </si>
  <si>
    <t>50-67</t>
  </si>
  <si>
    <t>actief</t>
  </si>
  <si>
    <t>70-xx</t>
  </si>
  <si>
    <t>Vandaele Etienne - beroepsprocedure</t>
  </si>
  <si>
    <t>lokaal loket kinderonvag 4de kwartaal</t>
  </si>
  <si>
    <t xml:space="preserve">Kleuteropvang 4 kw </t>
  </si>
  <si>
    <t>VOP subsidies Veramme Michiel &amp; Claeys Danny&amp;De Keyser Eddy</t>
  </si>
  <si>
    <t>dossier 2218993</t>
  </si>
  <si>
    <t>Y:\6_2_Boekhouding&amp;Jaarrekening\Investeringen\Projectsubsidies\ondergrondse afvalcontainer Kaaiplaats.pdf</t>
  </si>
  <si>
    <t>2022/237</t>
  </si>
  <si>
    <t>Y:\6_2_Boekhouding&amp;Jaarrekening\Investeringen\Projectsubsidies\2022\Onze-Lieve-Vrouw Hemelvaart kerk Wulveringem - glasramen - toekenning premie - Agentschap Roerend Erfgoed.pdf</t>
  </si>
  <si>
    <t>* STAD LEASE AGB + FLUVIUS</t>
  </si>
  <si>
    <t>Verwaarlozing en verkrotting (ongeschiktheid)</t>
  </si>
  <si>
    <t>Tweede verblijven - aanv 2022</t>
  </si>
  <si>
    <t>huis van het kind - saldo 2021</t>
  </si>
  <si>
    <t>herberekening kwartaalvoorschot kleuteropvang</t>
  </si>
  <si>
    <t>Vernieuwbouw Ter Linden</t>
  </si>
  <si>
    <t>245-6536326-74</t>
  </si>
  <si>
    <t>erfgenamen aangetekend schrijven gestuurd</t>
  </si>
  <si>
    <t>2022 - BO subsidie - kleuteropvang</t>
  </si>
  <si>
    <t>Factuur 2023</t>
  </si>
  <si>
    <t>24051269/01</t>
  </si>
  <si>
    <t>Karcher hogedrukreiniger</t>
  </si>
  <si>
    <t>QAPL547</t>
  </si>
  <si>
    <t>hogedrukreiniger</t>
  </si>
  <si>
    <t>24071972/00</t>
  </si>
  <si>
    <t>Ford Transit</t>
  </si>
  <si>
    <t>2CGH879</t>
  </si>
  <si>
    <t>24072892/00</t>
  </si>
  <si>
    <t>2CHB411</t>
  </si>
  <si>
    <t>2CLM972</t>
  </si>
  <si>
    <t>19236255/00</t>
  </si>
  <si>
    <t>24078386/00</t>
  </si>
  <si>
    <t>2CMK236</t>
  </si>
  <si>
    <t>loonpremie - subsidiejaar 2021</t>
  </si>
  <si>
    <t>kohier 302/2022</t>
  </si>
  <si>
    <t>Aanvullende opmerkingen</t>
  </si>
  <si>
    <t>24090586/00</t>
  </si>
  <si>
    <t>Maxus E-+Deliver</t>
  </si>
  <si>
    <t>2CWF478</t>
  </si>
  <si>
    <t>Hyundai Ioniq</t>
  </si>
  <si>
    <t>Man TMG</t>
  </si>
  <si>
    <t>2023</t>
  </si>
  <si>
    <t>onkruid op openbaar domein</t>
  </si>
  <si>
    <t>VOP subsidies Zielens Greet</t>
  </si>
  <si>
    <t>dossier 1000036.385-0</t>
  </si>
  <si>
    <t>Totaal 2022</t>
  </si>
  <si>
    <t>Aquabalance</t>
  </si>
  <si>
    <t>Aquafit</t>
  </si>
  <si>
    <t>BadmintonMis</t>
  </si>
  <si>
    <t>Crea- en omnisportkamp</t>
  </si>
  <si>
    <t>Good Body 2e trimester: sessie 1</t>
  </si>
  <si>
    <t>Good Body 3e trimester: sessie 1</t>
  </si>
  <si>
    <t>Good Body 3e trimester: sessie 2</t>
  </si>
  <si>
    <t>Ladies-only-sports-night</t>
  </si>
  <si>
    <t>Raja Yoga met Marlies</t>
  </si>
  <si>
    <t>Raja Yoga met Marlies 2022-2023</t>
  </si>
  <si>
    <t>Sport- en knutselkamp</t>
  </si>
  <si>
    <t>Sport- en techniekkamp</t>
  </si>
  <si>
    <t>Sportsnack Droomvlieger 1e + 2e lj</t>
  </si>
  <si>
    <t>Sportsnack Droomvlieger 3e+ 4e leerjaar</t>
  </si>
  <si>
    <t>Sportsnack Droomvlieger 5e + 6e leerjaar</t>
  </si>
  <si>
    <t>Sportsnack Vliegerboom 2022-2023</t>
  </si>
  <si>
    <t>Sportstad</t>
  </si>
  <si>
    <t>Trampo-workout</t>
  </si>
  <si>
    <t>Trampo-workout 1e trimester</t>
  </si>
  <si>
    <t>Trampo-workout 3e trimester</t>
  </si>
  <si>
    <t>Winter-sport-en-knutselkamp</t>
  </si>
  <si>
    <t>zwemlessen 1e trimester sessie 1</t>
  </si>
  <si>
    <t>zwemlessen 1e trimester sessie 2</t>
  </si>
  <si>
    <t>zwemlessen 1e trimester sessie 3</t>
  </si>
  <si>
    <t>Zwemlessen april-juni: testmoment</t>
  </si>
  <si>
    <t>Zwemlessen mei-juni sessie 1</t>
  </si>
  <si>
    <t>Zwemlessen mei-juni sessie 2</t>
  </si>
  <si>
    <t>Zwemlessen mei-juni sessie 3</t>
  </si>
  <si>
    <t>Zwemlessen sept-dec: testmoment 1</t>
  </si>
  <si>
    <t>Zwemlessen sept-dec: testmoment2</t>
  </si>
  <si>
    <t>Zwemlessen voorjaar: sessie 1</t>
  </si>
  <si>
    <t>Zwemlessen voorjaar: sessie 2</t>
  </si>
  <si>
    <t>Zwemlessen voorjaar: Sessie 3</t>
  </si>
  <si>
    <t>Zwemlessen voorjaar: testmoment1</t>
  </si>
  <si>
    <t>Zwemlessen voorjaar: testmoment2</t>
  </si>
  <si>
    <t>‘Now this is QUADracing’ - Bivak</t>
  </si>
  <si>
    <t>2-daagse (sunparks/ dropping/ BBQ) - Bivak</t>
  </si>
  <si>
    <t>2-daagse (Zoo van Antwerpen)</t>
  </si>
  <si>
    <t>3.2.1 ACTIE - Bivak</t>
  </si>
  <si>
    <t>Animator voor één dag - Bivak</t>
  </si>
  <si>
    <t>Aquacafé - Bivak</t>
  </si>
  <si>
    <t>Bellewaerde - Bivak</t>
  </si>
  <si>
    <t>Binnen de minuut - Bivak</t>
  </si>
  <si>
    <t>Bivak Beach - Bivak</t>
  </si>
  <si>
    <t>Bivak vs Monis: strandeditie - Bivak</t>
  </si>
  <si>
    <t>Bobbejaanland - Bivak</t>
  </si>
  <si>
    <t>Bowling - bivak</t>
  </si>
  <si>
    <t>Brieky Blinders - Bivak</t>
  </si>
  <si>
    <t>Build-A-Boardgame - Bivak</t>
  </si>
  <si>
    <t>Castle Crashers - Bivak</t>
  </si>
  <si>
    <t>Cat Snap - Bivak</t>
  </si>
  <si>
    <t>Chocolade baseball - bivak</t>
  </si>
  <si>
    <t>Cinema - bivak</t>
  </si>
  <si>
    <t>Cliché Clash - Bivak</t>
  </si>
  <si>
    <t>Crimibox + Stadsspel</t>
  </si>
  <si>
    <t>Dagje Gent (Graffiti + O’Learys) - Bivak</t>
  </si>
  <si>
    <t>De grote kaasplank Quiz - Bivak</t>
  </si>
  <si>
    <t>Dungeons &amp; Dragons - bivak</t>
  </si>
  <si>
    <t>Eurovision - bivak</t>
  </si>
  <si>
    <t>Fin de saison - Bivak</t>
  </si>
  <si>
    <t>Formule 1 - Bivak</t>
  </si>
  <si>
    <t xml:space="preserve">Fotografie kamp +12j </t>
  </si>
  <si>
    <t>Fotografie kamp -12j</t>
  </si>
  <si>
    <t>Frietness - Bivak</t>
  </si>
  <si>
    <t>Go hard or go home - Bivak</t>
  </si>
  <si>
    <t>Halloween in Bobbejaanland</t>
  </si>
  <si>
    <t>Harde pleinspelen - Bivak</t>
  </si>
  <si>
    <t>Inschrijving per dag Speelpleinwerking herfst 2022</t>
  </si>
  <si>
    <t>Introductiespel: wie is wie? - Bivak</t>
  </si>
  <si>
    <t>Jumpplay - bivak</t>
  </si>
  <si>
    <t>Koezio - Bivak</t>
  </si>
  <si>
    <t>Lü speelwand - bivak</t>
  </si>
  <si>
    <t>Masterchef Bivak</t>
  </si>
  <si>
    <t>Mensen Bingo - Bivak</t>
  </si>
  <si>
    <t>Mocktail quiz - Bivak</t>
  </si>
  <si>
    <t>Multifunctionele gabbers</t>
  </si>
  <si>
    <t>Nachtspel - Bivak</t>
  </si>
  <si>
    <t>Spa-day met hottub - Bivak</t>
  </si>
  <si>
    <t>Speelpleinwerking Krokusvakantie 2022</t>
  </si>
  <si>
    <t>Speelpleinwerking Paasvakantie 2022</t>
  </si>
  <si>
    <t>Speelpleinwerking Zomvakantie AUGUSTUS 2022</t>
  </si>
  <si>
    <t>Speelpleinwerking Zomvakantie JULI 2022</t>
  </si>
  <si>
    <t>Spekketocht - Bivak</t>
  </si>
  <si>
    <t>Sportkriebels - Bivak</t>
  </si>
  <si>
    <t>Squid game/ vuil spel - Bivak</t>
  </si>
  <si>
    <t>Stratego stadsspel - bivak</t>
  </si>
  <si>
    <t>Survival of the fittest - Bivak</t>
  </si>
  <si>
    <t>Uitstap Bellewaerde 2022</t>
  </si>
  <si>
    <t>Viva Piñata - Bivak</t>
  </si>
  <si>
    <t>Vlaggenroof - Bivak</t>
  </si>
  <si>
    <t>Wat eten we vandaag? - Bivak</t>
  </si>
  <si>
    <t>We goan noa Brugge - Bivak</t>
  </si>
  <si>
    <t>Workshop Breakdance 6-9j</t>
  </si>
  <si>
    <t>Workshop Halloween Pompoen maken 6-9j</t>
  </si>
  <si>
    <t>Workshop valse wonden 10-12j</t>
  </si>
  <si>
    <t>Yorben's birthday bash</t>
  </si>
  <si>
    <t>Vandaele - beroep aangetekend</t>
  </si>
  <si>
    <t>kleinstedelijk gebied</t>
  </si>
  <si>
    <t>ander</t>
  </si>
  <si>
    <t>2022-2025</t>
  </si>
  <si>
    <t>POMPEN_2023</t>
  </si>
  <si>
    <t>AGB - bedrijven, aj 2022</t>
  </si>
  <si>
    <t>Stevens Philip - onbeheerde nalatenschap</t>
  </si>
  <si>
    <t>Mertens - via notaris/Luyssen Yves - OCMW</t>
  </si>
  <si>
    <t>R 2023</t>
  </si>
  <si>
    <t>MASTEN_2023</t>
  </si>
  <si>
    <t>TV_2023</t>
  </si>
  <si>
    <t>Compensatie energie</t>
  </si>
  <si>
    <t>0010-00 740120</t>
  </si>
  <si>
    <t>Verpleegkundige residentiële ouderenzorg</t>
  </si>
  <si>
    <t>Medewerker sociale dienst in de residentiële ouderenzorg</t>
  </si>
  <si>
    <t>Hoofdverpleegkundige residentiële ouderenzorg</t>
  </si>
  <si>
    <t>Voedingshost</t>
  </si>
  <si>
    <t>Keukenhulp</t>
  </si>
  <si>
    <t>Logistiek medewerker</t>
  </si>
  <si>
    <t>Schoonmaker</t>
  </si>
  <si>
    <t>Zorgkundige residentiële ouderenzorg</t>
  </si>
  <si>
    <t>Animator residentiële ouderenzorg</t>
  </si>
  <si>
    <t>Dienstverantwoordelijke paramedische diensten</t>
  </si>
  <si>
    <t>Therapeutisch coördinator</t>
  </si>
  <si>
    <t>Naaier</t>
  </si>
  <si>
    <t>Referentiepersoon dementie</t>
  </si>
  <si>
    <t>Medewerker wasserij</t>
  </si>
  <si>
    <t>Medewerker duaal leren</t>
  </si>
  <si>
    <t>Medewerker project 600</t>
  </si>
  <si>
    <t>Zorgondersteuner</t>
  </si>
  <si>
    <t>zorgkundige residentiële ouderenzorg</t>
  </si>
  <si>
    <t>Koksijde (semester 1)</t>
  </si>
  <si>
    <t>Nieuwpoort (semester 2)</t>
  </si>
  <si>
    <t>Alveringem (semester 1)</t>
  </si>
  <si>
    <t>Nieuwpoort (semester 1)</t>
  </si>
  <si>
    <t>Koksijde (semester 2)</t>
  </si>
  <si>
    <t>Alveringem (semester 2)</t>
  </si>
  <si>
    <t>GENION - bezwaar aantal entiteiten - AM 6/4</t>
  </si>
  <si>
    <t>Belgium Tower partners</t>
  </si>
  <si>
    <t>RETRIBUTIES BLAUWE ZONE EN GAS5</t>
  </si>
  <si>
    <t>BLAUWE ZONE en GAS5</t>
  </si>
  <si>
    <t>Retributies Blauwe Zone</t>
  </si>
  <si>
    <t>Avekapellelstraat</t>
  </si>
  <si>
    <t>Gouden-Hoofdstraat</t>
  </si>
  <si>
    <t>GAS 5 boetes</t>
  </si>
  <si>
    <t>20/5 - Vandenbussche Vicky</t>
  </si>
  <si>
    <t>OPMERKINGEN</t>
  </si>
  <si>
    <t>AGB_GM_2023</t>
  </si>
  <si>
    <t>Mommen Audry - schuldbemiddeling</t>
  </si>
  <si>
    <t>BI</t>
  </si>
  <si>
    <t>Diftar restafval, gft en recyclagepark</t>
  </si>
  <si>
    <t>Afgifte zakken</t>
  </si>
  <si>
    <t>Aantal erkende bedden kortverblijf 31/12</t>
  </si>
  <si>
    <t>Bezetting WZC (%)</t>
  </si>
  <si>
    <t>Aantal erkende bedden WZC 31/12</t>
  </si>
  <si>
    <t>Verkoop Brussel</t>
  </si>
  <si>
    <t>Terugkeerplaats</t>
  </si>
  <si>
    <t>Georgië</t>
  </si>
  <si>
    <t>Macedonië</t>
  </si>
  <si>
    <t>Waarvan Oekraïners</t>
  </si>
  <si>
    <t>Pinson Anthony : bezwaarschrift/Domus - Zuidstraat 8
Depa Projects - bezwaar</t>
  </si>
  <si>
    <t>Taartjes</t>
  </si>
  <si>
    <t>UITGAVEN</t>
  </si>
  <si>
    <t>Goed&amp;diensten</t>
  </si>
  <si>
    <t>Kosten sociale dienst</t>
  </si>
  <si>
    <t>Werkingssubsidies</t>
  </si>
  <si>
    <t>Financieel</t>
  </si>
  <si>
    <t>ONTVANGSTEN</t>
  </si>
  <si>
    <t>Ontvangsten werking</t>
  </si>
  <si>
    <t xml:space="preserve">Fiscale ontvangsten </t>
  </si>
  <si>
    <t>Recup kosten SD</t>
  </si>
  <si>
    <t xml:space="preserve">Andere </t>
  </si>
  <si>
    <t>JAARREKENING - Taartjes</t>
  </si>
  <si>
    <t>Jaar 2022 - Uitgaven</t>
  </si>
  <si>
    <t>Jaar 2022 - Ontvangsten</t>
  </si>
  <si>
    <t>Jaar 2021 - Uitgaven</t>
  </si>
  <si>
    <t>Staat van opbr. &amp; kosten</t>
  </si>
  <si>
    <t>STAAT VAN OPBRENGSTEN EN KOSTEN</t>
  </si>
  <si>
    <t>KOSTEN STAD</t>
  </si>
  <si>
    <t>Personeelskost stad</t>
  </si>
  <si>
    <t>Goederen en diensten</t>
  </si>
  <si>
    <t>Afschrijvingen en voorzieningen</t>
  </si>
  <si>
    <t>Toegestane werkingssubsidies</t>
  </si>
  <si>
    <t>Andere operationele kosten</t>
  </si>
  <si>
    <t>Toegestane investeringssubsidies</t>
  </si>
  <si>
    <t>Financiële kosten</t>
  </si>
  <si>
    <t xml:space="preserve">KOSTEN OCMW </t>
  </si>
  <si>
    <t>Personeelskost OCMW</t>
  </si>
  <si>
    <t>Toegestande werkingssubsidies</t>
  </si>
  <si>
    <t>Minderwaarden bij realisatie vast actief</t>
  </si>
  <si>
    <t xml:space="preserve">Andere operatione kosten </t>
  </si>
  <si>
    <t>Personeel stad</t>
  </si>
  <si>
    <t>Personeel OCMW</t>
  </si>
  <si>
    <t>Personeel stad en OCMW</t>
  </si>
  <si>
    <t>KOSTEN AGB</t>
  </si>
  <si>
    <t>Personeelskost</t>
  </si>
  <si>
    <t>GECONSOLIDEERD</t>
  </si>
  <si>
    <t>Totaal opbrengsten S</t>
  </si>
  <si>
    <t>Totaal opbrengsten O</t>
  </si>
  <si>
    <t>Totaal opbrengsten A</t>
  </si>
  <si>
    <t>Totaal opbrengsten Veurne</t>
  </si>
  <si>
    <t>Totaal kosten S</t>
  </si>
  <si>
    <t>Totaal kosten O</t>
  </si>
  <si>
    <t>Totaal kosten A</t>
  </si>
  <si>
    <t>Totaal kosten Veurne</t>
  </si>
  <si>
    <t>Resultaat S</t>
  </si>
  <si>
    <t>Resultaat O</t>
  </si>
  <si>
    <t>Resultaat A</t>
  </si>
  <si>
    <t>Resultaat Veurne</t>
  </si>
  <si>
    <t>OPBRENGSTEN STAD</t>
  </si>
  <si>
    <t>Opbrengsten uit de werking</t>
  </si>
  <si>
    <t>Meerwaarden bij realisatie vast actief</t>
  </si>
  <si>
    <t>Andere opbrengsten</t>
  </si>
  <si>
    <t>Financiele opbrengsten</t>
  </si>
  <si>
    <t>Totaal opbrengsten</t>
  </si>
  <si>
    <t xml:space="preserve">TOTAAL kosten </t>
  </si>
  <si>
    <t>Resultaat</t>
  </si>
  <si>
    <t>OPBRENGSTEN OCMW</t>
  </si>
  <si>
    <t>Algemene werkingssubsidies</t>
  </si>
  <si>
    <t>specifieke werkingssubsidies</t>
  </si>
  <si>
    <t>Recup kosten sociale dienst</t>
  </si>
  <si>
    <t>Andere operationele opbrengsten</t>
  </si>
  <si>
    <t>Meerwaarden bij de realisatie vast activa</t>
  </si>
  <si>
    <t>Financiële opbrengsten</t>
  </si>
  <si>
    <t>Totaal kosten</t>
  </si>
  <si>
    <t>OPBRENGSTEN AGB</t>
  </si>
  <si>
    <t>Staat van kosten en opbrengsten</t>
  </si>
  <si>
    <t>Financieel evenwicht</t>
  </si>
  <si>
    <t>Budget 2020</t>
  </si>
  <si>
    <t>budgettair resultaat S</t>
  </si>
  <si>
    <t>budgettair resultaat O</t>
  </si>
  <si>
    <t>budgettair resultaat A</t>
  </si>
  <si>
    <t>Gecum. Resultaat vorig boekjaar S</t>
  </si>
  <si>
    <t>Gecum. Resultaat vorig boekjaar O</t>
  </si>
  <si>
    <t>Gecum. Resultaat vorig boekjaar A</t>
  </si>
  <si>
    <t>Gecum. Resultaat S</t>
  </si>
  <si>
    <t>Gecum. Resultaat O</t>
  </si>
  <si>
    <t>Gecum. Resultaat A</t>
  </si>
  <si>
    <t>Exploitatiesaldo S</t>
  </si>
  <si>
    <t>Exploitatiesaldo O</t>
  </si>
  <si>
    <t>Exploitatiesaldo A</t>
  </si>
  <si>
    <t>Exploitatiesaldo Veurne</t>
  </si>
  <si>
    <t>Leninguitgaven S</t>
  </si>
  <si>
    <t>Leninguitgaven O</t>
  </si>
  <si>
    <t>Leninguitgaven A</t>
  </si>
  <si>
    <t>AFM S</t>
  </si>
  <si>
    <t>AFM O</t>
  </si>
  <si>
    <t>AFM A</t>
  </si>
  <si>
    <t>AFM Veurne</t>
  </si>
  <si>
    <t>Jaar 2020 - Uitgaven</t>
  </si>
  <si>
    <t>Jaar 2020 - Ontvangsten</t>
  </si>
  <si>
    <t>AGB_GZ_2023</t>
  </si>
  <si>
    <t>VERBLIJF_2023_2</t>
  </si>
  <si>
    <t xml:space="preserve">Albert I-laan </t>
  </si>
  <si>
    <t>24 EUR/boete</t>
  </si>
  <si>
    <t>MVh</t>
  </si>
  <si>
    <t>BTWI</t>
  </si>
  <si>
    <t>Deckers Simonne overleden</t>
  </si>
  <si>
    <t>20/04/2023-05/06/2023</t>
  </si>
  <si>
    <t>26/04/2023-05/06/2023</t>
  </si>
  <si>
    <t>Aantal dossiers TWE (jaar)</t>
  </si>
  <si>
    <t>Aantal dossiers TWE (31/12)</t>
  </si>
  <si>
    <t>VVO stad</t>
  </si>
  <si>
    <t>stemapparatuur</t>
  </si>
  <si>
    <t>track en trace</t>
  </si>
  <si>
    <t>brandcentrale</t>
  </si>
  <si>
    <t>DEC AP</t>
  </si>
  <si>
    <t>IOT CO2 meter</t>
  </si>
  <si>
    <t>2021-2022</t>
  </si>
  <si>
    <t>Griekenland</t>
  </si>
  <si>
    <t>80 820</t>
  </si>
  <si>
    <t>4 812</t>
  </si>
  <si>
    <t>137 289</t>
  </si>
  <si>
    <t>57 605</t>
  </si>
  <si>
    <t>Mobiele</t>
  </si>
  <si>
    <t>6 EUR/boete</t>
  </si>
  <si>
    <t>Facturatie TAAS Mobiele camera's</t>
  </si>
  <si>
    <t>Facturatie TAAS vaste camera's</t>
  </si>
  <si>
    <t>Belgium Tower Partners</t>
  </si>
  <si>
    <t>980 betaald</t>
  </si>
  <si>
    <t>980 betaald 15/5 - dec 9,14</t>
  </si>
  <si>
    <t>Laleman Bram : bezwaarschrift - EM 14/06</t>
  </si>
  <si>
    <t>Totaal Alfa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</si>
</sst>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3" formatCode="_ * #,##0.00_ ;_ * \-#,##0.00_ ;_ * &quot;-&quot;??_ ;_ @_ "/>
    <numFmt numFmtId="164" formatCode="_-* #,##0.00\ _€_-;\-* #,##0.00\ _€_-;_-* &quot;-&quot;??\ _€_-;_-@_-"/>
    <numFmt numFmtId="165" formatCode="_-* #,##0.00\ _B_F_-;\-* #,##0.00\ _B_F_-;_-* &quot;-&quot;??\ _B_F_-;_-@_-"/>
    <numFmt numFmtId="166" formatCode="d\-m"/>
    <numFmt numFmtId="167" formatCode="_(&quot;€&quot;* #,##0.00_);_(&quot;€&quot;* \(#,##0.00\);_(&quot;€&quot;* &quot;-&quot;??_);_(@_)"/>
    <numFmt numFmtId="168" formatCode="0%_);\(0%\)"/>
    <numFmt numFmtId="169" formatCode="0.0%"/>
    <numFmt numFmtId="170" formatCode="0.0"/>
    <numFmt numFmtId="171" formatCode="0.0000"/>
    <numFmt numFmtId="172" formatCode="d/mm/yy;@"/>
    <numFmt numFmtId="173" formatCode="#,##0.0000"/>
    <numFmt numFmtId="174" formatCode="#,##0_ ;[Red]\-#,##0\ "/>
    <numFmt numFmtId="175" formatCode="d/mm/yyyy;@"/>
    <numFmt numFmtId="176" formatCode="0_ ;[Red]\-0\ "/>
    <numFmt numFmtId="177" formatCode="#,##0.00_ ;[Red]\-#,##0.00\ "/>
    <numFmt numFmtId="178" formatCode="#,##0.0"/>
    <numFmt numFmtId="179" formatCode="0.000"/>
    <numFmt numFmtId="180" formatCode="0.00000000"/>
    <numFmt numFmtId="181" formatCode="#,##0.000000000"/>
    <numFmt numFmtId="182" formatCode="#,#00"/>
    <numFmt numFmtId="183" formatCode="#,##0.00000000"/>
    <numFmt numFmtId="184" formatCode="0.000%"/>
    <numFmt numFmtId="185" formatCode="#,##0&quot; dagen&quot;"/>
    <numFmt numFmtId="186" formatCode="#,##0&quot; u&quot;"/>
    <numFmt numFmtId="187" formatCode="#,##0.0000&quot; ha&quot;"/>
    <numFmt numFmtId="188" formatCode="#,##0.00&quot;/ha&quot;"/>
    <numFmt numFmtId="189" formatCode="General&quot;/300 maand&quot;"/>
    <numFmt numFmtId="190" formatCode="General&quot;/180 maand&quot;"/>
    <numFmt numFmtId="191" formatCode="General&quot;/48 maand&quot;"/>
    <numFmt numFmtId="192" formatCode="#0.00;\-#0.00;#0.00"/>
    <numFmt numFmtId="193" formatCode="#0;\-#0;#0"/>
    <numFmt numFmtId="194" formatCode="&quot;€&quot;\ #,##0.00"/>
    <numFmt numFmtId="195" formatCode="#0.##,&quot;K&quot;;\-#0.##,&quot;K&quot;;#0.##,&quot;K&quot;"/>
    <numFmt numFmtId="196" formatCode="#,##0.00\ &quot;€&quot;"/>
    <numFmt numFmtId="197" formatCode="General&quot;/247 maand&quot;"/>
    <numFmt numFmtId="198" formatCode="General&quot;/133 maand&quot;"/>
  </numFmts>
  <fonts count="220">
    <font>
      <sz val="11"/>
      <color theme="1"/>
      <name val="Calibri"/>
      <family val="2"/>
      <scheme val="minor"/>
    </font>
    <font>
      <sz val="11"/>
      <name val="Calibri"/>
      <family val="2"/>
    </font>
    <font>
      <u/>
      <sz val="11"/>
      <color theme="10"/>
      <name val="Calibri"/>
      <family val="2"/>
      <scheme val="minor"/>
    </font>
    <font>
      <sz val="8"/>
      <color theme="1"/>
      <name val="Calibri"/>
      <family val="2"/>
      <scheme val="minor"/>
    </font>
    <font>
      <sz val="20"/>
      <color theme="0"/>
      <name val="Calibri"/>
      <family val="2"/>
      <scheme val="minor"/>
    </font>
    <font>
      <sz val="10"/>
      <name val="Book Antiqua"/>
      <family val="1"/>
    </font>
    <font>
      <u/>
      <sz val="12"/>
      <color indexed="12"/>
      <name val="Times New Roman"/>
      <family val="1"/>
    </font>
    <font>
      <sz val="10"/>
      <name val="Arial"/>
      <family val="2"/>
    </font>
    <font>
      <b/>
      <sz val="11"/>
      <color theme="1"/>
      <name val="Calibri"/>
      <family val="2"/>
      <scheme val="minor"/>
    </font>
    <font>
      <sz val="11"/>
      <color theme="0"/>
      <name val="Calibri"/>
      <family val="2"/>
      <scheme val="minor"/>
    </font>
    <font>
      <b/>
      <sz val="28"/>
      <color theme="0"/>
      <name val="Calibri"/>
      <family val="2"/>
      <scheme val="minor"/>
    </font>
    <font>
      <b/>
      <sz val="15"/>
      <color rgb="FF739D89"/>
      <name val="Calibri"/>
      <family val="2"/>
      <scheme val="minor"/>
    </font>
    <font>
      <b/>
      <i/>
      <sz val="26"/>
      <color theme="0"/>
      <name val="Calibri"/>
      <family val="2"/>
      <scheme val="minor"/>
    </font>
    <font>
      <b/>
      <sz val="14"/>
      <color theme="0"/>
      <name val="Calibri"/>
      <family val="2"/>
      <scheme val="minor"/>
    </font>
    <font>
      <sz val="10"/>
      <color theme="1"/>
      <name val="Calibri"/>
      <family val="2"/>
      <scheme val="minor"/>
    </font>
    <font>
      <i/>
      <sz val="11"/>
      <color theme="0"/>
      <name val="Calibri"/>
      <family val="2"/>
      <scheme val="minor"/>
    </font>
    <font>
      <sz val="11"/>
      <color indexed="8"/>
      <name val="Calibri"/>
      <family val="2"/>
    </font>
    <font>
      <u/>
      <sz val="11"/>
      <color theme="10"/>
      <name val="Calibri"/>
      <family val="2"/>
    </font>
    <font>
      <b/>
      <sz val="12"/>
      <color theme="0"/>
      <name val="Calibri"/>
      <family val="2"/>
      <scheme val="minor"/>
    </font>
    <font>
      <sz val="10"/>
      <name val="Calibri"/>
      <family val="2"/>
      <scheme val="minor"/>
    </font>
    <font>
      <b/>
      <sz val="10"/>
      <name val="Calibri"/>
      <family val="2"/>
      <scheme val="minor"/>
    </font>
    <font>
      <u/>
      <sz val="10"/>
      <name val="Calibri"/>
      <family val="2"/>
      <scheme val="minor"/>
    </font>
    <font>
      <i/>
      <sz val="10"/>
      <name val="Calibri"/>
      <family val="2"/>
      <scheme val="minor"/>
    </font>
    <font>
      <sz val="12"/>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24"/>
      <color theme="0"/>
      <name val="Calibri"/>
      <family val="2"/>
      <scheme val="minor"/>
    </font>
    <font>
      <b/>
      <sz val="12"/>
      <color rgb="FF739D89"/>
      <name val="Calibri"/>
      <family val="2"/>
      <scheme val="minor"/>
    </font>
    <font>
      <b/>
      <sz val="22"/>
      <color theme="0"/>
      <name val="Calibri"/>
      <family val="2"/>
      <scheme val="minor"/>
    </font>
    <font>
      <b/>
      <sz val="10"/>
      <name val="Arial"/>
      <family val="2"/>
    </font>
    <font>
      <u/>
      <sz val="10"/>
      <color indexed="12"/>
      <name val="Arial"/>
      <family val="2"/>
    </font>
    <font>
      <sz val="11"/>
      <color indexed="8"/>
      <name val="Calibri"/>
      <family val="2"/>
      <scheme val="minor"/>
    </font>
    <font>
      <sz val="11"/>
      <name val="Calibri"/>
      <family val="2"/>
      <scheme val="minor"/>
    </font>
    <font>
      <b/>
      <sz val="12"/>
      <color indexed="62"/>
      <name val="Arial"/>
      <family val="2"/>
    </font>
    <font>
      <b/>
      <sz val="10"/>
      <color indexed="18"/>
      <name val="Arial"/>
      <family val="2"/>
    </font>
    <font>
      <b/>
      <sz val="10"/>
      <color indexed="10"/>
      <name val="Arial"/>
      <family val="2"/>
    </font>
    <font>
      <u/>
      <sz val="7"/>
      <color indexed="12"/>
      <name val="Calibri"/>
      <family val="2"/>
      <scheme val="minor"/>
    </font>
    <font>
      <b/>
      <u/>
      <sz val="9"/>
      <color indexed="12"/>
      <name val="Arial"/>
      <family val="2"/>
    </font>
    <font>
      <b/>
      <sz val="16"/>
      <color theme="0"/>
      <name val="Calibri"/>
      <family val="2"/>
      <scheme val="minor"/>
    </font>
    <font>
      <sz val="10"/>
      <color theme="0"/>
      <name val="Calibri"/>
      <family val="2"/>
      <scheme val="minor"/>
    </font>
    <font>
      <sz val="8"/>
      <color theme="0"/>
      <name val="Calibri"/>
      <family val="2"/>
      <scheme val="minor"/>
    </font>
    <font>
      <b/>
      <u/>
      <sz val="11"/>
      <color rgb="FF234F63"/>
      <name val="Calibri"/>
      <family val="2"/>
      <scheme val="minor"/>
    </font>
    <font>
      <b/>
      <sz val="10"/>
      <color theme="0"/>
      <name val="Calibri"/>
      <family val="2"/>
      <scheme val="minor"/>
    </font>
    <font>
      <b/>
      <i/>
      <sz val="9"/>
      <name val="Calibri"/>
      <family val="2"/>
      <scheme val="minor"/>
    </font>
    <font>
      <b/>
      <sz val="9"/>
      <name val="Calibri"/>
      <family val="2"/>
      <scheme val="minor"/>
    </font>
    <font>
      <sz val="9"/>
      <name val="Calibri"/>
      <family val="2"/>
      <scheme val="minor"/>
    </font>
    <font>
      <sz val="9"/>
      <color theme="1"/>
      <name val="Calibri"/>
      <family val="2"/>
      <scheme val="minor"/>
    </font>
    <font>
      <b/>
      <sz val="11"/>
      <color rgb="FF234F63"/>
      <name val="Calibri"/>
      <family val="2"/>
      <scheme val="minor"/>
    </font>
    <font>
      <i/>
      <sz val="10"/>
      <color rgb="FF234F63"/>
      <name val="Arial"/>
      <family val="2"/>
    </font>
    <font>
      <sz val="16"/>
      <color theme="0"/>
      <name val="Calibri"/>
      <family val="2"/>
      <scheme val="minor"/>
    </font>
    <font>
      <sz val="16"/>
      <color theme="1"/>
      <name val="Calibri"/>
      <family val="2"/>
      <scheme val="minor"/>
    </font>
    <font>
      <b/>
      <i/>
      <sz val="10"/>
      <color theme="1"/>
      <name val="Calibri"/>
      <family val="2"/>
      <scheme val="minor"/>
    </font>
    <font>
      <b/>
      <i/>
      <sz val="9"/>
      <color theme="1"/>
      <name val="Calibri"/>
      <family val="2"/>
      <scheme val="minor"/>
    </font>
    <font>
      <b/>
      <sz val="9"/>
      <color theme="1"/>
      <name val="Calibri"/>
      <family val="2"/>
      <scheme val="minor"/>
    </font>
    <font>
      <sz val="10"/>
      <name val="Arial"/>
      <family val="2"/>
    </font>
    <font>
      <sz val="18"/>
      <color theme="0"/>
      <name val="Calibri"/>
      <family val="2"/>
      <scheme val="minor"/>
    </font>
    <font>
      <b/>
      <u/>
      <sz val="10"/>
      <name val="Calibri"/>
      <family val="2"/>
      <scheme val="minor"/>
    </font>
    <font>
      <sz val="10"/>
      <color theme="0"/>
      <name val="Arial"/>
      <family val="2"/>
    </font>
    <font>
      <b/>
      <sz val="12"/>
      <color theme="1"/>
      <name val="Calibri"/>
      <family val="2"/>
      <scheme val="minor"/>
    </font>
    <font>
      <b/>
      <sz val="14"/>
      <color theme="1"/>
      <name val="Calibri"/>
      <family val="2"/>
      <scheme val="minor"/>
    </font>
    <font>
      <sz val="9"/>
      <color indexed="81"/>
      <name val="Tahoma"/>
      <family val="2"/>
    </font>
    <font>
      <b/>
      <sz val="9"/>
      <color indexed="81"/>
      <name val="Tahoma"/>
      <family val="2"/>
    </font>
    <font>
      <i/>
      <sz val="9"/>
      <name val="Calibri"/>
      <family val="2"/>
      <scheme val="minor"/>
    </font>
    <font>
      <u/>
      <sz val="16"/>
      <color indexed="12"/>
      <name val="Calibri"/>
      <family val="2"/>
      <scheme val="minor"/>
    </font>
    <font>
      <u/>
      <sz val="10"/>
      <color indexed="12"/>
      <name val="Calibri"/>
      <family val="2"/>
      <scheme val="minor"/>
    </font>
    <font>
      <sz val="10"/>
      <color rgb="FF000000"/>
      <name val="Calibri"/>
      <family val="2"/>
      <scheme val="minor"/>
    </font>
    <font>
      <b/>
      <i/>
      <sz val="10"/>
      <name val="Calibri"/>
      <family val="2"/>
      <scheme val="minor"/>
    </font>
    <font>
      <sz val="8"/>
      <name val="Calibri"/>
      <family val="2"/>
      <scheme val="minor"/>
    </font>
    <font>
      <i/>
      <u/>
      <sz val="10"/>
      <name val="Calibri"/>
      <family val="2"/>
      <scheme val="minor"/>
    </font>
    <font>
      <b/>
      <sz val="14"/>
      <name val="Calibri"/>
      <family val="2"/>
      <scheme val="minor"/>
    </font>
    <font>
      <b/>
      <sz val="8"/>
      <name val="Calibri"/>
      <family val="2"/>
      <scheme val="minor"/>
    </font>
    <font>
      <b/>
      <sz val="12"/>
      <name val="Arial"/>
      <family val="2"/>
    </font>
    <font>
      <sz val="8"/>
      <name val="Arial"/>
      <family val="2"/>
    </font>
    <font>
      <b/>
      <sz val="8"/>
      <name val="Arial"/>
      <family val="2"/>
    </font>
    <font>
      <b/>
      <sz val="14"/>
      <name val="Arial"/>
      <family val="2"/>
    </font>
    <font>
      <i/>
      <sz val="10"/>
      <name val="Arial"/>
      <family val="2"/>
    </font>
    <font>
      <b/>
      <sz val="11"/>
      <name val="Arial"/>
      <family val="2"/>
    </font>
    <font>
      <b/>
      <sz val="11"/>
      <name val="Calibri"/>
      <family val="2"/>
      <scheme val="minor"/>
    </font>
    <font>
      <b/>
      <sz val="10"/>
      <color theme="0"/>
      <name val="Arial"/>
      <family val="2"/>
    </font>
    <font>
      <b/>
      <sz val="11"/>
      <color rgb="FF739D89"/>
      <name val="Calibri"/>
      <family val="2"/>
      <scheme val="minor"/>
    </font>
    <font>
      <i/>
      <sz val="10"/>
      <color indexed="10"/>
      <name val="Calibri"/>
      <family val="2"/>
      <scheme val="minor"/>
    </font>
    <font>
      <b/>
      <sz val="12"/>
      <name val="Calibri"/>
      <family val="2"/>
      <scheme val="minor"/>
    </font>
    <font>
      <b/>
      <u/>
      <sz val="11"/>
      <name val="Calibri"/>
      <family val="2"/>
      <scheme val="minor"/>
    </font>
    <font>
      <sz val="11"/>
      <color rgb="FF9AB8AA"/>
      <name val="Calibri"/>
      <family val="2"/>
      <scheme val="minor"/>
    </font>
    <font>
      <b/>
      <sz val="11"/>
      <color rgb="FF8AAC9C"/>
      <name val="Calibri"/>
      <family val="2"/>
      <scheme val="minor"/>
    </font>
    <font>
      <i/>
      <sz val="10"/>
      <color theme="0"/>
      <name val="Calibri"/>
      <family val="2"/>
      <scheme val="minor"/>
    </font>
    <font>
      <i/>
      <sz val="11"/>
      <color theme="1"/>
      <name val="Calibri"/>
      <family val="2"/>
      <scheme val="minor"/>
    </font>
    <font>
      <b/>
      <i/>
      <sz val="11"/>
      <name val="Calibri"/>
      <family val="2"/>
      <scheme val="minor"/>
    </font>
    <font>
      <b/>
      <i/>
      <sz val="10"/>
      <color theme="0"/>
      <name val="Calibri"/>
      <family val="2"/>
      <scheme val="minor"/>
    </font>
    <font>
      <i/>
      <sz val="8"/>
      <name val="Calibri"/>
      <family val="2"/>
      <scheme val="minor"/>
    </font>
    <font>
      <b/>
      <i/>
      <sz val="8"/>
      <name val="Calibri"/>
      <family val="2"/>
      <scheme val="minor"/>
    </font>
    <font>
      <sz val="14"/>
      <color theme="0"/>
      <name val="Calibri"/>
      <family val="2"/>
      <scheme val="minor"/>
    </font>
    <font>
      <sz val="12"/>
      <color theme="0"/>
      <name val="Calibri"/>
      <family val="2"/>
      <scheme val="minor"/>
    </font>
    <font>
      <b/>
      <u/>
      <sz val="14"/>
      <color indexed="12"/>
      <name val="Arial"/>
      <family val="2"/>
    </font>
    <font>
      <b/>
      <u/>
      <sz val="10"/>
      <name val="Arial"/>
      <family val="2"/>
    </font>
    <font>
      <b/>
      <u/>
      <sz val="16"/>
      <color indexed="12"/>
      <name val="Arial"/>
      <family val="2"/>
    </font>
    <font>
      <b/>
      <sz val="16"/>
      <name val="Arial"/>
      <family val="2"/>
    </font>
    <font>
      <sz val="12"/>
      <name val="Arial"/>
      <family val="2"/>
    </font>
    <font>
      <sz val="12"/>
      <color rgb="FFFF0000"/>
      <name val="Arial"/>
      <family val="2"/>
    </font>
    <font>
      <sz val="11"/>
      <name val="Calibri"/>
      <family val="2"/>
    </font>
    <font>
      <sz val="8"/>
      <name val="Courier"/>
      <family val="3"/>
    </font>
    <font>
      <sz val="10"/>
      <color indexed="8"/>
      <name val="MS Sans Serif"/>
      <family val="2"/>
    </font>
    <font>
      <sz val="11"/>
      <name val="Arial"/>
      <family val="2"/>
    </font>
    <font>
      <b/>
      <i/>
      <sz val="10"/>
      <name val="Arial"/>
      <family val="2"/>
    </font>
    <font>
      <b/>
      <i/>
      <sz val="11"/>
      <color theme="1"/>
      <name val="Calibri"/>
      <family val="2"/>
      <scheme val="minor"/>
    </font>
    <font>
      <b/>
      <i/>
      <u/>
      <sz val="10"/>
      <name val="Arial"/>
      <family val="2"/>
    </font>
    <font>
      <b/>
      <sz val="11"/>
      <color rgb="FF7030A0"/>
      <name val="Calibri"/>
      <family val="2"/>
      <scheme val="minor"/>
    </font>
    <font>
      <sz val="10"/>
      <name val="Calibri"/>
      <family val="2"/>
    </font>
    <font>
      <b/>
      <sz val="10"/>
      <name val="Calibri"/>
      <family val="2"/>
    </font>
    <font>
      <sz val="12"/>
      <color rgb="FFFF0000"/>
      <name val="Calibri"/>
      <family val="2"/>
      <scheme val="minor"/>
    </font>
    <font>
      <strike/>
      <sz val="12"/>
      <color theme="0"/>
      <name val="Calibri"/>
      <family val="2"/>
      <scheme val="minor"/>
    </font>
    <font>
      <u/>
      <sz val="10"/>
      <color indexed="9"/>
      <name val="Calibri"/>
      <family val="2"/>
      <scheme val="minor"/>
    </font>
    <font>
      <b/>
      <u/>
      <sz val="10"/>
      <color theme="3" tint="0.39997558519241921"/>
      <name val="Calibri"/>
      <family val="2"/>
      <scheme val="minor"/>
    </font>
    <font>
      <b/>
      <i/>
      <sz val="11"/>
      <color rgb="FF8AAC9C"/>
      <name val="Calibri"/>
      <family val="2"/>
      <scheme val="minor"/>
    </font>
    <font>
      <i/>
      <sz val="11"/>
      <color rgb="FF739D89"/>
      <name val="Calibri"/>
      <family val="2"/>
      <scheme val="minor"/>
    </font>
    <font>
      <sz val="10"/>
      <color theme="1"/>
      <name val="Calibri"/>
      <family val="2"/>
    </font>
    <font>
      <u/>
      <sz val="10"/>
      <color theme="1"/>
      <name val="Calibri"/>
      <family val="2"/>
    </font>
    <font>
      <sz val="9"/>
      <color theme="1"/>
      <name val="Calibri"/>
      <family val="2"/>
    </font>
    <font>
      <u/>
      <sz val="10"/>
      <name val="Calibri"/>
      <family val="2"/>
    </font>
    <font>
      <b/>
      <u/>
      <sz val="11"/>
      <name val="Calibri"/>
      <family val="2"/>
    </font>
    <font>
      <b/>
      <sz val="11"/>
      <name val="Calibri"/>
      <family val="2"/>
    </font>
    <font>
      <b/>
      <sz val="8"/>
      <color indexed="8"/>
      <name val="Verdana"/>
      <family val="2"/>
    </font>
    <font>
      <sz val="8"/>
      <color rgb="FF000000"/>
      <name val="Verdana"/>
      <family val="2"/>
    </font>
    <font>
      <sz val="8"/>
      <color theme="1"/>
      <name val="Verdana"/>
      <family val="2"/>
    </font>
    <font>
      <sz val="8"/>
      <color indexed="8"/>
      <name val="Verdana"/>
      <family val="2"/>
    </font>
    <font>
      <sz val="10"/>
      <color indexed="8"/>
      <name val="Calibri"/>
      <family val="2"/>
      <scheme val="minor"/>
    </font>
    <font>
      <b/>
      <sz val="8"/>
      <name val="Verdana"/>
      <family val="2"/>
    </font>
    <font>
      <sz val="8"/>
      <name val="Verdana"/>
      <family val="2"/>
    </font>
    <font>
      <sz val="11"/>
      <color rgb="FF1F497D"/>
      <name val="Calibri"/>
      <family val="2"/>
      <scheme val="minor"/>
    </font>
    <font>
      <sz val="11"/>
      <color rgb="FFFF0000"/>
      <name val="Calibri"/>
      <family val="2"/>
    </font>
    <font>
      <b/>
      <sz val="8"/>
      <color theme="1"/>
      <name val="Verdana"/>
      <family val="2"/>
    </font>
    <font>
      <b/>
      <sz val="10"/>
      <color indexed="8"/>
      <name val="Calibri"/>
      <family val="2"/>
      <scheme val="minor"/>
    </font>
    <font>
      <b/>
      <sz val="11"/>
      <color indexed="8"/>
      <name val="Calibri"/>
      <family val="2"/>
      <scheme val="minor"/>
    </font>
    <font>
      <sz val="8"/>
      <color rgb="FFFF0000"/>
      <name val="Verdana"/>
      <family val="2"/>
    </font>
    <font>
      <i/>
      <sz val="8"/>
      <color rgb="FF000000"/>
      <name val="Verdana"/>
      <family val="2"/>
    </font>
    <font>
      <b/>
      <sz val="8"/>
      <color rgb="FF000000"/>
      <name val="Verdana"/>
      <family val="2"/>
    </font>
    <font>
      <u/>
      <sz val="8"/>
      <color indexed="8"/>
      <name val="Verdana"/>
      <family val="2"/>
    </font>
    <font>
      <u/>
      <sz val="8"/>
      <color rgb="FF000000"/>
      <name val="Verdana"/>
      <family val="2"/>
    </font>
    <font>
      <b/>
      <sz val="16"/>
      <name val="Calibri"/>
      <family val="2"/>
      <scheme val="minor"/>
    </font>
    <font>
      <b/>
      <u/>
      <sz val="12"/>
      <name val="Calibri"/>
      <family val="2"/>
      <scheme val="minor"/>
    </font>
    <font>
      <b/>
      <sz val="10"/>
      <color indexed="10"/>
      <name val="Calibri"/>
      <family val="2"/>
      <scheme val="minor"/>
    </font>
    <font>
      <b/>
      <u/>
      <sz val="12"/>
      <color theme="0"/>
      <name val="Calibri"/>
      <family val="2"/>
      <scheme val="minor"/>
    </font>
    <font>
      <i/>
      <sz val="8"/>
      <name val="Arial"/>
      <family val="2"/>
    </font>
    <font>
      <sz val="12"/>
      <color theme="3"/>
      <name val="Arial"/>
      <family val="2"/>
    </font>
    <font>
      <b/>
      <sz val="10"/>
      <color theme="3"/>
      <name val="Arial"/>
      <family val="2"/>
    </font>
    <font>
      <sz val="10"/>
      <color theme="3"/>
      <name val="Arial"/>
      <family val="2"/>
    </font>
    <font>
      <b/>
      <i/>
      <sz val="10"/>
      <color theme="0"/>
      <name val="Arial"/>
      <family val="2"/>
    </font>
    <font>
      <i/>
      <sz val="11"/>
      <name val="Calibri"/>
      <family val="2"/>
      <scheme val="minor"/>
    </font>
    <font>
      <i/>
      <sz val="10"/>
      <color theme="0"/>
      <name val="Arial"/>
      <family val="2"/>
    </font>
    <font>
      <b/>
      <u/>
      <sz val="11"/>
      <color theme="0"/>
      <name val="Calibri"/>
      <family val="2"/>
      <scheme val="minor"/>
    </font>
    <font>
      <strike/>
      <sz val="10"/>
      <name val="Calibri"/>
      <family val="2"/>
      <scheme val="minor"/>
    </font>
    <font>
      <b/>
      <strike/>
      <sz val="10"/>
      <name val="Calibri"/>
      <family val="2"/>
      <scheme val="minor"/>
    </font>
    <font>
      <i/>
      <sz val="14"/>
      <color theme="0"/>
      <name val="Calibri"/>
      <family val="2"/>
      <scheme val="minor"/>
    </font>
    <font>
      <sz val="14"/>
      <color theme="1"/>
      <name val="Calibri"/>
      <family val="2"/>
      <scheme val="minor"/>
    </font>
    <font>
      <u/>
      <sz val="14"/>
      <color theme="10"/>
      <name val="Calibri"/>
      <family val="2"/>
      <scheme val="minor"/>
    </font>
    <font>
      <u/>
      <sz val="11"/>
      <color theme="0"/>
      <name val="Calibri"/>
      <family val="2"/>
    </font>
    <font>
      <b/>
      <sz val="8"/>
      <color theme="0"/>
      <name val="Verdana"/>
      <family val="2"/>
    </font>
    <font>
      <sz val="8"/>
      <color theme="0"/>
      <name val="Verdana"/>
      <family val="2"/>
    </font>
    <font>
      <b/>
      <sz val="10"/>
      <color theme="1"/>
      <name val="Calibri"/>
      <family val="2"/>
      <scheme val="minor"/>
    </font>
    <font>
      <sz val="10"/>
      <name val="Calibri "/>
    </font>
    <font>
      <u/>
      <sz val="10"/>
      <color theme="10"/>
      <name val="Calibri"/>
      <family val="2"/>
      <scheme val="minor"/>
    </font>
    <font>
      <b/>
      <u/>
      <sz val="10"/>
      <color indexed="12"/>
      <name val="Calibri"/>
      <family val="2"/>
      <scheme val="minor"/>
    </font>
    <font>
      <sz val="16"/>
      <name val="Calibri"/>
      <family val="2"/>
      <scheme val="minor"/>
    </font>
    <font>
      <i/>
      <sz val="10"/>
      <color indexed="8"/>
      <name val="Calibri"/>
      <family val="2"/>
      <scheme val="minor"/>
    </font>
    <font>
      <u/>
      <sz val="10"/>
      <color theme="1"/>
      <name val="Calibri"/>
      <family val="2"/>
      <scheme val="minor"/>
    </font>
    <font>
      <u/>
      <sz val="10"/>
      <color theme="0"/>
      <name val="Calibri"/>
      <family val="2"/>
      <scheme val="minor"/>
    </font>
    <font>
      <b/>
      <i/>
      <u/>
      <sz val="10"/>
      <name val="Calibri"/>
      <family val="2"/>
      <scheme val="minor"/>
    </font>
    <font>
      <b/>
      <i/>
      <sz val="11"/>
      <color theme="0"/>
      <name val="Calibri"/>
      <family val="2"/>
      <scheme val="minor"/>
    </font>
    <font>
      <b/>
      <sz val="10"/>
      <color rgb="FF739D89"/>
      <name val="Calibri"/>
      <family val="2"/>
      <scheme val="minor"/>
    </font>
    <font>
      <b/>
      <i/>
      <sz val="11"/>
      <color rgb="FF739D89"/>
      <name val="Calibri"/>
      <family val="2"/>
      <scheme val="minor"/>
    </font>
    <font>
      <sz val="10"/>
      <color theme="0"/>
      <name val="Calibri"/>
      <family val="2"/>
    </font>
    <font>
      <b/>
      <sz val="10"/>
      <color theme="0"/>
      <name val="Calibri"/>
      <family val="2"/>
    </font>
    <font>
      <sz val="11"/>
      <color theme="0"/>
      <name val="Calibri"/>
      <family val="2"/>
    </font>
    <font>
      <b/>
      <sz val="11"/>
      <color theme="0"/>
      <name val="Calibri"/>
      <family val="2"/>
    </font>
    <font>
      <b/>
      <u/>
      <sz val="11"/>
      <color theme="0"/>
      <name val="Calibri"/>
      <family val="2"/>
    </font>
    <font>
      <b/>
      <sz val="10"/>
      <color rgb="FFFF0000"/>
      <name val="Calibri"/>
      <family val="2"/>
      <scheme val="minor"/>
    </font>
    <font>
      <b/>
      <i/>
      <sz val="10"/>
      <color rgb="FFFF0000"/>
      <name val="Calibri"/>
      <family val="2"/>
      <scheme val="minor"/>
    </font>
    <font>
      <b/>
      <u val="double"/>
      <sz val="10"/>
      <color theme="1"/>
      <name val="Calibri"/>
      <family val="2"/>
      <scheme val="minor"/>
    </font>
    <font>
      <b/>
      <u val="double"/>
      <sz val="10"/>
      <name val="Calibri"/>
      <family val="2"/>
      <scheme val="minor"/>
    </font>
    <font>
      <i/>
      <sz val="16"/>
      <color theme="0"/>
      <name val="Calibri"/>
      <family val="2"/>
      <scheme val="minor"/>
    </font>
    <font>
      <u/>
      <sz val="16"/>
      <color theme="10"/>
      <name val="Calibri"/>
      <family val="2"/>
      <scheme val="minor"/>
    </font>
    <font>
      <b/>
      <sz val="14"/>
      <color rgb="FF739D89"/>
      <name val="Calibri"/>
      <family val="2"/>
      <scheme val="minor"/>
    </font>
    <font>
      <b/>
      <i/>
      <sz val="14"/>
      <color theme="0"/>
      <name val="Calibri"/>
      <family val="2"/>
      <scheme val="minor"/>
    </font>
    <font>
      <i/>
      <sz val="10"/>
      <color theme="1"/>
      <name val="Calibri"/>
      <family val="2"/>
      <scheme val="minor"/>
    </font>
    <font>
      <b/>
      <sz val="10"/>
      <color rgb="FF00B050"/>
      <name val="Calibri"/>
      <family val="2"/>
      <scheme val="minor"/>
    </font>
    <font>
      <sz val="10"/>
      <color rgb="FF1F497D"/>
      <name val="Calibri"/>
      <family val="2"/>
      <scheme val="minor"/>
    </font>
    <font>
      <sz val="22"/>
      <color theme="1"/>
      <name val="Calibri"/>
      <family val="2"/>
      <scheme val="minor"/>
    </font>
    <font>
      <b/>
      <i/>
      <sz val="10"/>
      <color theme="1"/>
      <name val="Verdana"/>
      <family val="2"/>
    </font>
    <font>
      <sz val="10"/>
      <color theme="1"/>
      <name val="Verdana"/>
      <family val="2"/>
    </font>
    <font>
      <b/>
      <sz val="8"/>
      <color rgb="FFFF0000"/>
      <name val="Verdana"/>
      <family val="2"/>
    </font>
    <font>
      <b/>
      <sz val="8"/>
      <color rgb="FF00B050"/>
      <name val="Verdana"/>
      <family val="2"/>
    </font>
    <font>
      <u/>
      <sz val="8"/>
      <color theme="10"/>
      <name val="Calibri"/>
      <family val="2"/>
      <scheme val="minor"/>
    </font>
    <font>
      <i/>
      <sz val="8"/>
      <color indexed="8"/>
      <name val="Verdana"/>
      <family val="2"/>
    </font>
    <font>
      <b/>
      <sz val="11"/>
      <color rgb="FFFF0000"/>
      <name val="Calibri"/>
      <family val="2"/>
      <scheme val="minor"/>
    </font>
    <font>
      <strike/>
      <sz val="10"/>
      <color theme="1"/>
      <name val="Calibri"/>
      <family val="2"/>
      <scheme val="minor"/>
    </font>
    <font>
      <i/>
      <sz val="9"/>
      <color theme="1"/>
      <name val="Calibri"/>
      <family val="2"/>
      <scheme val="minor"/>
    </font>
    <font>
      <i/>
      <sz val="11"/>
      <color theme="0" tint="-0.34998626667073579"/>
      <name val="Calibri"/>
      <family val="2"/>
      <scheme val="minor"/>
    </font>
    <font>
      <i/>
      <sz val="8"/>
      <color theme="1"/>
      <name val="Verdana"/>
      <family val="2"/>
    </font>
    <font>
      <b/>
      <i/>
      <sz val="8"/>
      <color theme="1"/>
      <name val="Verdana"/>
      <family val="2"/>
    </font>
    <font>
      <b/>
      <sz val="10"/>
      <color rgb="FFFF0000"/>
      <name val="Arial"/>
      <family val="2"/>
    </font>
    <font>
      <sz val="10"/>
      <color rgb="FFFF0000"/>
      <name val="Arial"/>
      <family val="2"/>
    </font>
    <font>
      <sz val="10"/>
      <color rgb="FF00B0F0"/>
      <name val="Calibri"/>
      <family val="2"/>
      <scheme val="minor"/>
    </font>
    <font>
      <b/>
      <u/>
      <sz val="11"/>
      <color theme="1"/>
      <name val="Calibri"/>
      <family val="2"/>
      <scheme val="minor"/>
    </font>
    <font>
      <b/>
      <sz val="10"/>
      <color rgb="FF00B0F0"/>
      <name val="Calibri"/>
      <family val="2"/>
      <scheme val="minor"/>
    </font>
    <font>
      <sz val="9"/>
      <color indexed="81"/>
      <name val="Tahoma"/>
      <charset val="1"/>
    </font>
    <font>
      <b/>
      <sz val="9"/>
      <color indexed="81"/>
      <name val="Tahoma"/>
      <charset val="1"/>
    </font>
    <font>
      <sz val="10"/>
      <color rgb="FF000000"/>
      <name val="Calibri"/>
      <family val="2"/>
    </font>
  </fonts>
  <fills count="82">
    <fill>
      <patternFill patternType="none"/>
    </fill>
    <fill>
      <patternFill patternType="gray125"/>
    </fill>
    <fill>
      <patternFill patternType="solid">
        <fgColor rgb="FF9AB8AA"/>
        <bgColor indexed="64"/>
      </patternFill>
    </fill>
    <fill>
      <patternFill patternType="solid">
        <fgColor theme="0"/>
        <bgColor indexed="64"/>
      </patternFill>
    </fill>
    <fill>
      <patternFill patternType="solid">
        <fgColor rgb="FF26746B"/>
        <bgColor indexed="64"/>
      </patternFill>
    </fill>
    <fill>
      <patternFill patternType="solid">
        <fgColor theme="0" tint="-4.9989318521683403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1"/>
        <bgColor indexed="64"/>
      </patternFill>
    </fill>
    <fill>
      <patternFill patternType="solid">
        <fgColor indexed="27"/>
        <bgColor indexed="64"/>
      </patternFill>
    </fill>
    <fill>
      <patternFill patternType="solid">
        <fgColor theme="9" tint="0.59999389629810485"/>
        <bgColor indexed="64"/>
      </patternFill>
    </fill>
    <fill>
      <patternFill patternType="solid">
        <fgColor rgb="FF2C637C"/>
        <bgColor indexed="64"/>
      </patternFill>
    </fill>
    <fill>
      <patternFill patternType="solid">
        <fgColor rgb="FFE0C816"/>
        <bgColor indexed="64"/>
      </patternFill>
    </fill>
    <fill>
      <patternFill patternType="solid">
        <fgColor theme="8" tint="0.59999389629810485"/>
        <bgColor indexed="64"/>
      </patternFill>
    </fill>
    <fill>
      <patternFill patternType="solid">
        <fgColor rgb="FFFF9999"/>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8AAC9C"/>
        <bgColor indexed="64"/>
      </patternFill>
    </fill>
    <fill>
      <patternFill patternType="solid">
        <fgColor theme="9" tint="0.39997558519241921"/>
        <bgColor indexed="64"/>
      </patternFill>
    </fill>
    <fill>
      <patternFill patternType="solid">
        <fgColor rgb="FFFFC000"/>
        <bgColor indexed="64"/>
      </patternFill>
    </fill>
    <fill>
      <patternFill patternType="solid">
        <fgColor indexed="13"/>
        <bgColor indexed="64"/>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indexed="22"/>
        <bgColor indexed="64"/>
      </patternFill>
    </fill>
    <fill>
      <patternFill patternType="solid">
        <fgColor rgb="FF00B050"/>
        <bgColor indexed="64"/>
      </patternFill>
    </fill>
    <fill>
      <patternFill patternType="solid">
        <fgColor theme="0" tint="-0.249977111117893"/>
        <bgColor indexed="64"/>
      </patternFill>
    </fill>
    <fill>
      <patternFill patternType="solid">
        <fgColor theme="6" tint="-0.249977111117893"/>
        <bgColor indexed="64"/>
      </patternFill>
    </fill>
    <fill>
      <patternFill patternType="solid">
        <fgColor theme="6"/>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rgb="FFFFFF66"/>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rgb="FFFF0000"/>
        <bgColor indexed="64"/>
      </patternFill>
    </fill>
    <fill>
      <patternFill patternType="solid">
        <fgColor theme="5"/>
        <bgColor indexed="64"/>
      </patternFill>
    </fill>
    <fill>
      <patternFill patternType="solid">
        <fgColor rgb="FF00B0F0"/>
        <bgColor indexed="64"/>
      </patternFill>
    </fill>
    <fill>
      <patternFill patternType="solid">
        <fgColor rgb="FFC00000"/>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rgb="FFFFFFCC"/>
        <bgColor indexed="64"/>
      </patternFill>
    </fill>
    <fill>
      <patternFill patternType="solid">
        <fgColor rgb="FFFFFFCC"/>
        <bgColor theme="4" tint="0.79998168889431442"/>
      </patternFill>
    </fill>
    <fill>
      <patternFill patternType="solid">
        <fgColor theme="7" tint="0.59999389629810485"/>
        <bgColor indexed="64"/>
      </patternFill>
    </fill>
    <fill>
      <patternFill patternType="solid">
        <fgColor rgb="FFFFF4A1"/>
        <bgColor indexed="64"/>
      </patternFill>
    </fill>
    <fill>
      <patternFill patternType="solid">
        <fgColor rgb="FFEBD531"/>
        <bgColor indexed="64"/>
      </patternFill>
    </fill>
    <fill>
      <patternFill patternType="solid">
        <fgColor indexed="55"/>
        <bgColor indexed="64"/>
      </patternFill>
    </fill>
    <fill>
      <patternFill patternType="solid">
        <fgColor theme="4" tint="0.59999389629810485"/>
        <bgColor indexed="64"/>
      </patternFill>
    </fill>
    <fill>
      <patternFill patternType="solid">
        <fgColor rgb="FF91D6AC"/>
        <bgColor indexed="64"/>
      </patternFill>
    </fill>
    <fill>
      <patternFill patternType="solid">
        <fgColor rgb="FFE6BB04"/>
        <bgColor indexed="64"/>
      </patternFill>
    </fill>
    <fill>
      <patternFill patternType="solid">
        <fgColor theme="9"/>
        <bgColor indexed="64"/>
      </patternFill>
    </fill>
    <fill>
      <patternFill patternType="solid">
        <fgColor theme="6" tint="0.79998168889431442"/>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6D62"/>
      </left>
      <right style="thin">
        <color rgb="FF3F6D62"/>
      </right>
      <top style="thin">
        <color rgb="FF3F6D62"/>
      </top>
      <bottom style="thin">
        <color rgb="FF3F6D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top style="medium">
        <color indexed="64"/>
      </top>
      <bottom style="thin">
        <color indexed="64"/>
      </bottom>
      <diagonal/>
    </border>
    <border>
      <left/>
      <right/>
      <top style="thin">
        <color indexed="51"/>
      </top>
      <bottom style="thin">
        <color indexed="51"/>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rgb="FF2C637C"/>
      </right>
      <top/>
      <bottom/>
      <diagonal/>
    </border>
    <border>
      <left style="medium">
        <color indexed="64"/>
      </left>
      <right style="thin">
        <color rgb="FF2C637C"/>
      </right>
      <top style="medium">
        <color indexed="64"/>
      </top>
      <bottom/>
      <diagonal/>
    </border>
    <border>
      <left style="medium">
        <color indexed="64"/>
      </left>
      <right style="thin">
        <color rgb="FF2C637C"/>
      </right>
      <top/>
      <bottom style="medium">
        <color indexed="64"/>
      </bottom>
      <diagonal/>
    </border>
    <border>
      <left/>
      <right style="thin">
        <color rgb="FF2C637C"/>
      </right>
      <top/>
      <bottom/>
      <diagonal/>
    </border>
    <border>
      <left/>
      <right style="thin">
        <color rgb="FF2C637C"/>
      </right>
      <top style="medium">
        <color indexed="64"/>
      </top>
      <bottom style="medium">
        <color indexed="64"/>
      </bottom>
      <diagonal/>
    </border>
    <border>
      <left/>
      <right style="thin">
        <color rgb="FF2C637C"/>
      </right>
      <top/>
      <bottom style="medium">
        <color indexed="64"/>
      </bottom>
      <diagonal/>
    </border>
    <border>
      <left style="thin">
        <color rgb="FF2C637C"/>
      </left>
      <right style="thin">
        <color rgb="FF2C637C"/>
      </right>
      <top style="medium">
        <color indexed="64"/>
      </top>
      <bottom style="medium">
        <color indexed="64"/>
      </bottom>
      <diagonal/>
    </border>
    <border>
      <left style="thin">
        <color rgb="FF2C637C"/>
      </left>
      <right style="thin">
        <color rgb="FF2C637C"/>
      </right>
      <top/>
      <bottom/>
      <diagonal/>
    </border>
    <border>
      <left style="thin">
        <color rgb="FF2C637C"/>
      </left>
      <right style="thin">
        <color rgb="FF2C637C"/>
      </right>
      <top/>
      <bottom style="medium">
        <color indexed="64"/>
      </bottom>
      <diagonal/>
    </border>
    <border>
      <left style="thin">
        <color rgb="FFD2AB04"/>
      </left>
      <right/>
      <top style="thin">
        <color rgb="FFD2AB04"/>
      </top>
      <bottom style="thin">
        <color rgb="FFD2AB04"/>
      </bottom>
      <diagonal/>
    </border>
    <border>
      <left/>
      <right/>
      <top style="thin">
        <color rgb="FFD2AB04"/>
      </top>
      <bottom style="thin">
        <color rgb="FFD2AB04"/>
      </bottom>
      <diagonal/>
    </border>
    <border>
      <left/>
      <right style="thin">
        <color rgb="FFD2AB04"/>
      </right>
      <top style="thin">
        <color rgb="FFD2AB04"/>
      </top>
      <bottom style="thin">
        <color rgb="FFD2AB0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top/>
      <bottom/>
      <diagonal/>
    </border>
    <border>
      <left style="thick">
        <color indexed="64"/>
      </left>
      <right style="thick">
        <color indexed="64"/>
      </right>
      <top style="thick">
        <color indexed="64"/>
      </top>
      <bottom style="thick">
        <color indexed="64"/>
      </bottom>
      <diagonal/>
    </border>
    <border>
      <left/>
      <right/>
      <top/>
      <bottom style="thick">
        <color indexed="64"/>
      </bottom>
      <diagonal/>
    </border>
    <border>
      <left style="thick">
        <color indexed="64"/>
      </left>
      <right/>
      <top style="thick">
        <color indexed="64"/>
      </top>
      <bottom/>
      <diagonal/>
    </border>
    <border>
      <left/>
      <right/>
      <top style="thick">
        <color indexed="64"/>
      </top>
      <bottom/>
      <diagonal/>
    </border>
    <border>
      <left style="thick">
        <color indexed="64"/>
      </left>
      <right/>
      <top/>
      <bottom style="thick">
        <color indexed="64"/>
      </bottom>
      <diagonal/>
    </border>
    <border>
      <left style="thin">
        <color rgb="FF8AAC9C"/>
      </left>
      <right/>
      <top style="thin">
        <color rgb="FF8AAC9C"/>
      </top>
      <bottom style="thin">
        <color rgb="FF8AAC9C"/>
      </bottom>
      <diagonal/>
    </border>
    <border>
      <left/>
      <right/>
      <top style="thin">
        <color rgb="FF8AAC9C"/>
      </top>
      <bottom style="thin">
        <color rgb="FF8AAC9C"/>
      </bottom>
      <diagonal/>
    </border>
    <border>
      <left/>
      <right style="thin">
        <color rgb="FF8AAC9C"/>
      </right>
      <top style="thin">
        <color rgb="FF8AAC9C"/>
      </top>
      <bottom style="thin">
        <color rgb="FF8AAC9C"/>
      </bottom>
      <diagonal/>
    </border>
    <border>
      <left style="thin">
        <color rgb="FF8AAC9C"/>
      </left>
      <right/>
      <top/>
      <bottom/>
      <diagonal/>
    </border>
    <border>
      <left style="thick">
        <color indexed="64"/>
      </left>
      <right style="thick">
        <color indexed="64"/>
      </right>
      <top/>
      <bottom style="thick">
        <color indexed="64"/>
      </bottom>
      <diagonal/>
    </border>
    <border>
      <left/>
      <right style="medium">
        <color indexed="64"/>
      </right>
      <top style="thin">
        <color indexed="64"/>
      </top>
      <bottom style="medium">
        <color indexed="64"/>
      </bottom>
      <diagonal/>
    </border>
    <border>
      <left style="thin">
        <color rgb="FFD2AB04"/>
      </left>
      <right/>
      <top/>
      <bottom/>
      <diagonal/>
    </border>
    <border>
      <left style="medium">
        <color indexed="64"/>
      </left>
      <right style="thick">
        <color indexed="64"/>
      </right>
      <top/>
      <bottom/>
      <diagonal/>
    </border>
    <border>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style="thick">
        <color indexed="64"/>
      </right>
      <top/>
      <bottom/>
      <diagonal/>
    </border>
    <border>
      <left style="thick">
        <color indexed="64"/>
      </left>
      <right/>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diagonal/>
    </border>
    <border>
      <left style="thick">
        <color indexed="64"/>
      </left>
      <right/>
      <top style="thin">
        <color indexed="64"/>
      </top>
      <bottom/>
      <diagonal/>
    </border>
    <border>
      <left style="thick">
        <color indexed="64"/>
      </left>
      <right style="thin">
        <color indexed="64"/>
      </right>
      <top style="thin">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n">
        <color indexed="64"/>
      </left>
      <right style="thick">
        <color indexed="64"/>
      </right>
      <top/>
      <bottom/>
      <diagonal/>
    </border>
    <border>
      <left style="thick">
        <color indexed="64"/>
      </left>
      <right style="thin">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ck">
        <color indexed="64"/>
      </left>
      <right style="thin">
        <color indexed="64"/>
      </right>
      <top style="thick">
        <color indexed="64"/>
      </top>
      <bottom style="thin">
        <color indexed="64"/>
      </bottom>
      <diagonal/>
    </border>
    <border>
      <left/>
      <right/>
      <top style="thick">
        <color indexed="64"/>
      </top>
      <bottom style="thin">
        <color indexed="64"/>
      </bottom>
      <diagonal/>
    </border>
    <border>
      <left/>
      <right style="double">
        <color indexed="64"/>
      </right>
      <top style="thick">
        <color indexed="64"/>
      </top>
      <bottom/>
      <diagonal/>
    </border>
    <border>
      <left/>
      <right style="thin">
        <color indexed="64"/>
      </right>
      <top style="thick">
        <color indexed="64"/>
      </top>
      <bottom style="thin">
        <color indexed="64"/>
      </bottom>
      <diagonal/>
    </border>
    <border>
      <left style="double">
        <color indexed="64"/>
      </left>
      <right style="medium">
        <color indexed="64"/>
      </right>
      <top style="medium">
        <color indexed="64"/>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style="thin">
        <color indexed="64"/>
      </top>
      <bottom style="thick">
        <color indexed="64"/>
      </bottom>
      <diagonal/>
    </border>
    <border>
      <left/>
      <right style="double">
        <color indexed="64"/>
      </right>
      <top style="thin">
        <color indexed="64"/>
      </top>
      <bottom style="thick">
        <color indexed="64"/>
      </bottom>
      <diagonal/>
    </border>
    <border>
      <left style="double">
        <color indexed="64"/>
      </left>
      <right style="medium">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right style="double">
        <color indexed="64"/>
      </right>
      <top style="thin">
        <color indexed="64"/>
      </top>
      <bottom/>
      <diagonal/>
    </border>
    <border>
      <left style="double">
        <color indexed="64"/>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style="thick">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right style="thin">
        <color rgb="FFDAB104"/>
      </right>
      <top/>
      <bottom/>
      <diagonal/>
    </border>
    <border>
      <left style="thin">
        <color rgb="FFDAB104"/>
      </left>
      <right/>
      <top style="thin">
        <color rgb="FFDAB104"/>
      </top>
      <bottom style="thin">
        <color rgb="FFDAB104"/>
      </bottom>
      <diagonal/>
    </border>
    <border>
      <left/>
      <right/>
      <top style="thin">
        <color rgb="FFDAB104"/>
      </top>
      <bottom style="thin">
        <color rgb="FFDAB104"/>
      </bottom>
      <diagonal/>
    </border>
    <border>
      <left/>
      <right style="thin">
        <color rgb="FFDAB104"/>
      </right>
      <top style="thin">
        <color rgb="FFDAB104"/>
      </top>
      <bottom style="thin">
        <color rgb="FFDAB10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style="medium">
        <color indexed="64"/>
      </right>
      <top style="thin">
        <color indexed="64"/>
      </top>
      <bottom/>
      <diagonal/>
    </border>
    <border>
      <left style="thin">
        <color rgb="FF739D89"/>
      </left>
      <right style="thin">
        <color rgb="FF9AB8AA"/>
      </right>
      <top/>
      <bottom/>
      <diagonal/>
    </border>
    <border>
      <left/>
      <right style="thin">
        <color rgb="FF9AB8AA"/>
      </right>
      <top/>
      <bottom/>
      <diagonal/>
    </border>
    <border>
      <left style="thin">
        <color indexed="64"/>
      </left>
      <right/>
      <top style="thin">
        <color indexed="64"/>
      </top>
      <bottom style="thin">
        <color rgb="FF9AB8AA"/>
      </bottom>
      <diagonal/>
    </border>
    <border>
      <left/>
      <right/>
      <top style="thin">
        <color indexed="64"/>
      </top>
      <bottom style="thin">
        <color rgb="FF9AB8AA"/>
      </bottom>
      <diagonal/>
    </border>
    <border>
      <left/>
      <right style="thin">
        <color indexed="64"/>
      </right>
      <top style="thin">
        <color indexed="64"/>
      </top>
      <bottom style="thin">
        <color rgb="FF9AB8AA"/>
      </bottom>
      <diagonal/>
    </border>
    <border>
      <left style="thin">
        <color indexed="64"/>
      </left>
      <right style="thin">
        <color indexed="64"/>
      </right>
      <top style="thin">
        <color indexed="64"/>
      </top>
      <bottom style="hair">
        <color indexed="64"/>
      </bottom>
      <diagonal/>
    </border>
    <border>
      <left style="thin">
        <color rgb="FF9AB8AA"/>
      </left>
      <right/>
      <top style="thin">
        <color rgb="FF9AB8AA"/>
      </top>
      <bottom style="thin">
        <color rgb="FF739D89"/>
      </bottom>
      <diagonal/>
    </border>
    <border>
      <left/>
      <right style="thin">
        <color rgb="FF9AB8AA"/>
      </right>
      <top style="thin">
        <color rgb="FF9AB8AA"/>
      </top>
      <bottom style="thin">
        <color rgb="FF739D89"/>
      </bottom>
      <diagonal/>
    </border>
    <border>
      <left style="thin">
        <color rgb="FF9AB8AA"/>
      </left>
      <right/>
      <top/>
      <bottom/>
      <diagonal/>
    </border>
    <border>
      <left/>
      <right style="thin">
        <color rgb="FF9AB8AA"/>
      </right>
      <top style="thin">
        <color rgb="FF739D89"/>
      </top>
      <bottom/>
      <diagonal/>
    </border>
    <border>
      <left style="thin">
        <color rgb="FF9AB8AA"/>
      </left>
      <right style="thin">
        <color rgb="FF9AB8AA"/>
      </right>
      <top/>
      <bottom/>
      <diagonal/>
    </border>
    <border>
      <left style="thin">
        <color rgb="FF9AB8AA"/>
      </left>
      <right style="thin">
        <color rgb="FF9AB8AA"/>
      </right>
      <top/>
      <bottom style="thin">
        <color rgb="FF739D89"/>
      </bottom>
      <diagonal/>
    </border>
    <border>
      <left/>
      <right style="thin">
        <color rgb="FF9AB8AA"/>
      </right>
      <top/>
      <bottom style="thin">
        <color rgb="FF739D89"/>
      </bottom>
      <diagonal/>
    </border>
    <border>
      <left style="thin">
        <color rgb="FF9AB8AA"/>
      </left>
      <right/>
      <top style="thin">
        <color rgb="FF739D89"/>
      </top>
      <bottom style="thin">
        <color rgb="FF739D89"/>
      </bottom>
      <diagonal/>
    </border>
    <border>
      <left/>
      <right style="thin">
        <color rgb="FF9AB8AA"/>
      </right>
      <top style="thin">
        <color rgb="FF739D89"/>
      </top>
      <bottom style="thin">
        <color rgb="FF739D89"/>
      </bottom>
      <diagonal/>
    </border>
    <border>
      <left style="thin">
        <color rgb="FF9AB8AA"/>
      </left>
      <right style="thin">
        <color rgb="FF739D89"/>
      </right>
      <top style="thin">
        <color rgb="FF739D89"/>
      </top>
      <bottom/>
      <diagonal/>
    </border>
    <border>
      <left style="thin">
        <color rgb="FF9AB8AA"/>
      </left>
      <right style="thin">
        <color rgb="FF739D89"/>
      </right>
      <top/>
      <bottom/>
      <diagonal/>
    </border>
    <border>
      <left style="thin">
        <color rgb="FF9AB8AA"/>
      </left>
      <right style="thin">
        <color rgb="FF9AB8AA"/>
      </right>
      <top style="thin">
        <color rgb="FF739D89"/>
      </top>
      <bottom/>
      <diagonal/>
    </border>
    <border>
      <left style="thin">
        <color rgb="FF9AB8AA"/>
      </left>
      <right/>
      <top style="thin">
        <color rgb="FF739D89"/>
      </top>
      <bottom style="thin">
        <color rgb="FF9AB8AA"/>
      </bottom>
      <diagonal/>
    </border>
    <border>
      <left/>
      <right style="thin">
        <color rgb="FF9AB8AA"/>
      </right>
      <top style="thin">
        <color rgb="FF739D89"/>
      </top>
      <bottom style="thin">
        <color rgb="FF9AB8AA"/>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diagonal/>
    </border>
    <border>
      <left style="medium">
        <color indexed="64"/>
      </left>
      <right style="thick">
        <color indexed="64"/>
      </right>
      <top style="medium">
        <color indexed="64"/>
      </top>
      <bottom style="medium">
        <color indexed="64"/>
      </bottom>
      <diagonal/>
    </border>
    <border>
      <left/>
      <right/>
      <top style="thin">
        <color rgb="FF9AB8AA"/>
      </top>
      <bottom/>
      <diagonal/>
    </border>
    <border>
      <left style="medium">
        <color indexed="64"/>
      </left>
      <right style="medium">
        <color indexed="64"/>
      </right>
      <top/>
      <bottom style="thin">
        <color indexed="64"/>
      </bottom>
      <diagonal/>
    </border>
    <border>
      <left style="thin">
        <color rgb="FF9AB8AA"/>
      </left>
      <right style="thin">
        <color rgb="FF9AB8AA"/>
      </right>
      <top style="thin">
        <color rgb="FF9AB8AA"/>
      </top>
      <bottom style="thin">
        <color rgb="FF9AB8AA"/>
      </bottom>
      <diagonal/>
    </border>
    <border>
      <left style="thin">
        <color rgb="FF9AB8AA"/>
      </left>
      <right style="thin">
        <color rgb="FF9AB8AA"/>
      </right>
      <top style="thin">
        <color rgb="FF9AB8AA"/>
      </top>
      <bottom/>
      <diagonal/>
    </border>
    <border>
      <left style="thin">
        <color rgb="FF9AB8AA"/>
      </left>
      <right style="thin">
        <color rgb="FF9AB8AA"/>
      </right>
      <top/>
      <bottom style="thin">
        <color rgb="FF9AB8AA"/>
      </bottom>
      <diagonal/>
    </border>
    <border>
      <left style="thin">
        <color rgb="FF9AB8AA"/>
      </left>
      <right/>
      <top style="thin">
        <color rgb="FF9AB8AA"/>
      </top>
      <bottom style="thin">
        <color rgb="FF9AB8AA"/>
      </bottom>
      <diagonal/>
    </border>
    <border>
      <left/>
      <right style="thin">
        <color rgb="FF9AB8AA"/>
      </right>
      <top style="thin">
        <color rgb="FF9AB8AA"/>
      </top>
      <bottom style="thin">
        <color rgb="FF9AB8AA"/>
      </bottom>
      <diagonal/>
    </border>
  </borders>
  <cellStyleXfs count="83">
    <xf numFmtId="0" fontId="0" fillId="0" borderId="0"/>
    <xf numFmtId="0" fontId="2" fillId="0" borderId="0" applyNumberFormat="0" applyFill="0" applyBorder="0" applyAlignment="0" applyProtection="0"/>
    <xf numFmtId="0" fontId="5" fillId="0" borderId="0"/>
    <xf numFmtId="0" fontId="6" fillId="0" borderId="0" applyNumberFormat="0" applyFill="0" applyBorder="0" applyAlignment="0" applyProtection="0">
      <alignment vertical="top"/>
      <protection locked="0"/>
    </xf>
    <xf numFmtId="43" fontId="5" fillId="0" borderId="0" applyFont="0" applyFill="0" applyBorder="0" applyAlignment="0" applyProtection="0"/>
    <xf numFmtId="9" fontId="5" fillId="0" borderId="0" applyFont="0" applyFill="0" applyBorder="0" applyAlignment="0" applyProtection="0"/>
    <xf numFmtId="0" fontId="16" fillId="0" borderId="0"/>
    <xf numFmtId="0" fontId="17" fillId="0" borderId="0" applyNumberFormat="0" applyFill="0" applyBorder="0" applyAlignment="0" applyProtection="0">
      <alignment vertical="top"/>
      <protection locked="0"/>
    </xf>
    <xf numFmtId="0" fontId="2" fillId="0" borderId="0" applyNumberFormat="0" applyFill="0" applyBorder="0" applyAlignment="0" applyProtection="0"/>
    <xf numFmtId="0" fontId="7" fillId="0" borderId="0"/>
    <xf numFmtId="0" fontId="7" fillId="0" borderId="0"/>
    <xf numFmtId="0" fontId="25" fillId="0" borderId="0" applyNumberFormat="0" applyFill="0" applyBorder="0" applyAlignment="0" applyProtection="0"/>
    <xf numFmtId="0" fontId="26" fillId="0" borderId="13" applyNumberFormat="0" applyFill="0" applyAlignment="0" applyProtection="0"/>
    <xf numFmtId="0" fontId="27" fillId="0" borderId="14" applyNumberFormat="0" applyFill="0" applyAlignment="0" applyProtection="0"/>
    <xf numFmtId="0" fontId="28" fillId="0" borderId="15" applyNumberFormat="0" applyFill="0" applyAlignment="0" applyProtection="0"/>
    <xf numFmtId="0" fontId="28" fillId="0" borderId="0" applyNumberFormat="0" applyFill="0" applyBorder="0" applyAlignment="0" applyProtection="0"/>
    <xf numFmtId="0" fontId="29" fillId="6" borderId="0" applyNumberFormat="0" applyBorder="0" applyAlignment="0" applyProtection="0"/>
    <xf numFmtId="0" fontId="30" fillId="7" borderId="0" applyNumberFormat="0" applyBorder="0" applyAlignment="0" applyProtection="0"/>
    <xf numFmtId="0" fontId="31" fillId="8" borderId="0" applyNumberFormat="0" applyBorder="0" applyAlignment="0" applyProtection="0"/>
    <xf numFmtId="0" fontId="32" fillId="9" borderId="16" applyNumberFormat="0" applyAlignment="0" applyProtection="0"/>
    <xf numFmtId="0" fontId="33" fillId="10" borderId="17" applyNumberFormat="0" applyAlignment="0" applyProtection="0"/>
    <xf numFmtId="0" fontId="34" fillId="10" borderId="16" applyNumberFormat="0" applyAlignment="0" applyProtection="0"/>
    <xf numFmtId="0" fontId="35" fillId="0" borderId="18" applyNumberFormat="0" applyFill="0" applyAlignment="0" applyProtection="0"/>
    <xf numFmtId="0" fontId="36" fillId="11"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8" fillId="0" borderId="21" applyNumberFormat="0" applyFill="0" applyAlignment="0" applyProtection="0"/>
    <xf numFmtId="0" fontId="9"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24" fillId="34" borderId="0" applyNumberFormat="0" applyBorder="0" applyAlignment="0" applyProtection="0"/>
    <xf numFmtId="0" fontId="24" fillId="35" borderId="0" applyNumberFormat="0" applyBorder="0" applyAlignment="0" applyProtection="0"/>
    <xf numFmtId="0" fontId="9" fillId="36" borderId="0" applyNumberFormat="0" applyBorder="0" applyAlignment="0" applyProtection="0"/>
    <xf numFmtId="167" fontId="7" fillId="0" borderId="0" applyFont="0" applyFill="0" applyBorder="0" applyAlignment="0" applyProtection="0"/>
    <xf numFmtId="0" fontId="43" fillId="0" borderId="0" applyNumberFormat="0" applyFill="0" applyBorder="0" applyAlignment="0" applyProtection="0">
      <alignment vertical="top"/>
      <protection locked="0"/>
    </xf>
    <xf numFmtId="165" fontId="7" fillId="0" borderId="0" applyFont="0" applyFill="0" applyBorder="0" applyAlignment="0" applyProtection="0"/>
    <xf numFmtId="0" fontId="24" fillId="12" borderId="20" applyNumberFormat="0" applyFont="0" applyAlignment="0" applyProtection="0"/>
    <xf numFmtId="9" fontId="7" fillId="0" borderId="0" applyFont="0" applyFill="0" applyBorder="0" applyAlignment="0" applyProtection="0"/>
    <xf numFmtId="0" fontId="24" fillId="0" borderId="0"/>
    <xf numFmtId="0" fontId="7" fillId="0" borderId="0"/>
    <xf numFmtId="0" fontId="44" fillId="0" borderId="0"/>
    <xf numFmtId="164" fontId="7" fillId="0" borderId="0" applyFont="0" applyFill="0" applyBorder="0" applyAlignment="0" applyProtection="0"/>
    <xf numFmtId="0" fontId="24" fillId="0" borderId="0"/>
    <xf numFmtId="0" fontId="7" fillId="0" borderId="0"/>
    <xf numFmtId="0" fontId="46" fillId="0" borderId="29" applyNumberFormat="0" applyBorder="0"/>
    <xf numFmtId="14" fontId="42" fillId="38" borderId="10">
      <alignment horizontal="center" vertical="center" wrapText="1"/>
    </xf>
    <xf numFmtId="0" fontId="7" fillId="0" borderId="0"/>
    <xf numFmtId="168" fontId="7" fillId="0" borderId="0" applyFont="0" applyFill="0" applyBorder="0" applyAlignment="0" applyProtection="0"/>
    <xf numFmtId="168" fontId="7" fillId="0" borderId="0" applyFont="0" applyFill="0" applyBorder="0" applyAlignment="0" applyProtection="0"/>
    <xf numFmtId="0" fontId="7" fillId="0" borderId="0">
      <alignment vertical="top" wrapText="1"/>
    </xf>
    <xf numFmtId="0" fontId="42" fillId="0" borderId="31"/>
    <xf numFmtId="0" fontId="47" fillId="37" borderId="0"/>
    <xf numFmtId="0" fontId="48" fillId="0" borderId="0" applyFill="0" applyBorder="0" applyProtection="0">
      <alignment horizontal="left" vertical="top"/>
    </xf>
    <xf numFmtId="0" fontId="49" fillId="39" borderId="1">
      <alignment horizontal="center"/>
    </xf>
    <xf numFmtId="0" fontId="50" fillId="0" borderId="0">
      <alignment vertical="top"/>
    </xf>
    <xf numFmtId="0" fontId="49" fillId="39" borderId="3">
      <alignment horizontal="center" wrapText="1"/>
    </xf>
    <xf numFmtId="0" fontId="49" fillId="39" borderId="1">
      <alignment horizontal="center"/>
    </xf>
    <xf numFmtId="37" fontId="7" fillId="0" borderId="0"/>
    <xf numFmtId="0" fontId="49" fillId="39" borderId="1">
      <alignment horizontal="center"/>
    </xf>
    <xf numFmtId="0" fontId="49" fillId="39" borderId="3">
      <alignment horizontal="center" wrapText="1"/>
    </xf>
    <xf numFmtId="0" fontId="67" fillId="0" borderId="0"/>
    <xf numFmtId="0" fontId="113" fillId="0" borderId="0"/>
    <xf numFmtId="0" fontId="114" fillId="0" borderId="0"/>
    <xf numFmtId="0" fontId="16" fillId="0" borderId="0"/>
    <xf numFmtId="9" fontId="24" fillId="0" borderId="0" applyFont="0" applyFill="0" applyBorder="0" applyAlignment="0" applyProtection="0"/>
  </cellStyleXfs>
  <cellXfs count="4992">
    <xf numFmtId="0" fontId="0" fillId="0" borderId="0" xfId="0"/>
    <xf numFmtId="0" fontId="19" fillId="5" borderId="0" xfId="0" applyFont="1" applyFill="1"/>
    <xf numFmtId="0" fontId="20" fillId="5" borderId="0" xfId="0" applyFont="1" applyFill="1"/>
    <xf numFmtId="0" fontId="21" fillId="5" borderId="0" xfId="0" applyFont="1" applyFill="1"/>
    <xf numFmtId="0" fontId="23" fillId="5" borderId="0" xfId="0" applyFont="1" applyFill="1" applyAlignment="1">
      <alignment vertical="center"/>
    </xf>
    <xf numFmtId="0" fontId="20" fillId="5" borderId="2" xfId="0" applyFont="1" applyFill="1" applyBorder="1"/>
    <xf numFmtId="0" fontId="11" fillId="3" borderId="22" xfId="0" applyFont="1" applyFill="1" applyBorder="1" applyAlignment="1">
      <alignment horizontal="center" vertical="center"/>
    </xf>
    <xf numFmtId="0" fontId="40" fillId="3" borderId="22" xfId="0" applyFont="1" applyFill="1" applyBorder="1" applyAlignment="1">
      <alignment horizontal="center" vertical="center"/>
    </xf>
    <xf numFmtId="0" fontId="53" fillId="40" borderId="11" xfId="10" applyFont="1" applyFill="1" applyBorder="1"/>
    <xf numFmtId="0" fontId="53" fillId="40" borderId="5" xfId="10" applyFont="1" applyFill="1" applyBorder="1"/>
    <xf numFmtId="3" fontId="57" fillId="2" borderId="24" xfId="10" applyNumberFormat="1" applyFont="1" applyFill="1" applyBorder="1"/>
    <xf numFmtId="3" fontId="56" fillId="2" borderId="24" xfId="10" applyNumberFormat="1" applyFont="1" applyFill="1" applyBorder="1"/>
    <xf numFmtId="3" fontId="57" fillId="2" borderId="26" xfId="10" applyNumberFormat="1" applyFont="1" applyFill="1" applyBorder="1"/>
    <xf numFmtId="0" fontId="58" fillId="2" borderId="23" xfId="10" applyFont="1" applyFill="1" applyBorder="1"/>
    <xf numFmtId="0" fontId="56" fillId="2" borderId="24" xfId="10" applyFont="1" applyFill="1" applyBorder="1" applyAlignment="1">
      <alignment horizontal="right"/>
    </xf>
    <xf numFmtId="0" fontId="57" fillId="2" borderId="24" xfId="10" applyFont="1" applyFill="1" applyBorder="1"/>
    <xf numFmtId="3" fontId="55" fillId="40" borderId="24" xfId="10" applyNumberFormat="1" applyFont="1" applyFill="1" applyBorder="1" applyAlignment="1">
      <alignment horizontal="center" vertical="center"/>
    </xf>
    <xf numFmtId="166" fontId="55" fillId="40" borderId="24" xfId="10" applyNumberFormat="1" applyFont="1" applyFill="1" applyBorder="1" applyAlignment="1">
      <alignment horizontal="center" vertical="center"/>
    </xf>
    <xf numFmtId="166" fontId="55" fillId="40" borderId="26" xfId="10" applyNumberFormat="1" applyFont="1" applyFill="1" applyBorder="1" applyAlignment="1">
      <alignment horizontal="center" vertical="center"/>
    </xf>
    <xf numFmtId="3" fontId="55" fillId="40" borderId="27" xfId="10" applyNumberFormat="1" applyFont="1" applyFill="1" applyBorder="1" applyAlignment="1">
      <alignment vertical="center"/>
    </xf>
    <xf numFmtId="3" fontId="57" fillId="2" borderId="27" xfId="10" applyNumberFormat="1" applyFont="1" applyFill="1" applyBorder="1"/>
    <xf numFmtId="3" fontId="58" fillId="2" borderId="24" xfId="10" applyNumberFormat="1" applyFont="1" applyFill="1" applyBorder="1" applyAlignment="1">
      <alignment horizontal="center"/>
    </xf>
    <xf numFmtId="0" fontId="58" fillId="2" borderId="26" xfId="10" applyFont="1" applyFill="1" applyBorder="1"/>
    <xf numFmtId="0" fontId="58" fillId="2" borderId="23" xfId="10" applyFont="1" applyFill="1" applyBorder="1" applyAlignment="1">
      <alignment horizontal="center"/>
    </xf>
    <xf numFmtId="0" fontId="58" fillId="2" borderId="24" xfId="10" applyFont="1" applyFill="1" applyBorder="1" applyAlignment="1">
      <alignment horizontal="center"/>
    </xf>
    <xf numFmtId="0" fontId="58" fillId="2" borderId="24" xfId="10" applyFont="1" applyFill="1" applyBorder="1"/>
    <xf numFmtId="0" fontId="52" fillId="40" borderId="26" xfId="0" applyFont="1" applyFill="1" applyBorder="1" applyAlignment="1">
      <alignment vertical="center"/>
    </xf>
    <xf numFmtId="0" fontId="52" fillId="40" borderId="24" xfId="0" applyFont="1" applyFill="1" applyBorder="1" applyAlignment="1">
      <alignment vertical="center"/>
    </xf>
    <xf numFmtId="0" fontId="52" fillId="40" borderId="23" xfId="0" applyFont="1" applyFill="1" applyBorder="1" applyAlignment="1">
      <alignment vertical="center"/>
    </xf>
    <xf numFmtId="49" fontId="64" fillId="2" borderId="24" xfId="10" applyNumberFormat="1" applyFont="1" applyFill="1" applyBorder="1" applyAlignment="1">
      <alignment horizontal="center"/>
    </xf>
    <xf numFmtId="49" fontId="65" fillId="2" borderId="24" xfId="10" applyNumberFormat="1" applyFont="1" applyFill="1" applyBorder="1" applyAlignment="1">
      <alignment horizontal="center"/>
    </xf>
    <xf numFmtId="0" fontId="55" fillId="40" borderId="23" xfId="10" applyFont="1" applyFill="1" applyBorder="1" applyAlignment="1">
      <alignment horizontal="center" vertical="center"/>
    </xf>
    <xf numFmtId="49" fontId="55" fillId="40" borderId="24" xfId="10" applyNumberFormat="1" applyFont="1" applyFill="1" applyBorder="1" applyAlignment="1">
      <alignment horizontal="center" vertical="center"/>
    </xf>
    <xf numFmtId="0" fontId="55" fillId="40" borderId="24" xfId="10" applyFont="1" applyFill="1" applyBorder="1" applyAlignment="1">
      <alignment horizontal="center" vertical="center"/>
    </xf>
    <xf numFmtId="0" fontId="0" fillId="3" borderId="0" xfId="0" applyFill="1"/>
    <xf numFmtId="4" fontId="7" fillId="3" borderId="0" xfId="10" applyNumberFormat="1" applyFont="1" applyFill="1" applyBorder="1" applyAlignment="1">
      <alignment horizontal="center"/>
    </xf>
    <xf numFmtId="9" fontId="7" fillId="3" borderId="0" xfId="55" applyFont="1" applyFill="1" applyAlignment="1">
      <alignment horizontal="center"/>
    </xf>
    <xf numFmtId="0" fontId="24" fillId="3" borderId="0" xfId="0" applyFont="1" applyFill="1"/>
    <xf numFmtId="0" fontId="7" fillId="3" borderId="0" xfId="10" applyFont="1" applyFill="1"/>
    <xf numFmtId="0" fontId="14" fillId="3" borderId="0" xfId="0" applyFont="1" applyFill="1"/>
    <xf numFmtId="3" fontId="7" fillId="3" borderId="0" xfId="10" applyNumberFormat="1" applyFont="1" applyFill="1" applyBorder="1" applyAlignment="1">
      <alignment horizontal="center"/>
    </xf>
    <xf numFmtId="3" fontId="7" fillId="3" borderId="0" xfId="10" applyNumberFormat="1" applyFont="1" applyFill="1"/>
    <xf numFmtId="0" fontId="19" fillId="3" borderId="0" xfId="10" applyFont="1" applyFill="1"/>
    <xf numFmtId="0" fontId="9" fillId="40" borderId="0" xfId="10" applyFont="1" applyFill="1"/>
    <xf numFmtId="0" fontId="9" fillId="40" borderId="0" xfId="0" applyFont="1" applyFill="1"/>
    <xf numFmtId="3" fontId="36" fillId="40" borderId="0" xfId="10" applyNumberFormat="1" applyFont="1" applyFill="1" applyAlignment="1">
      <alignment horizontal="left"/>
    </xf>
    <xf numFmtId="4" fontId="70" fillId="40" borderId="0" xfId="10" applyNumberFormat="1" applyFont="1" applyFill="1"/>
    <xf numFmtId="3" fontId="70" fillId="40" borderId="0" xfId="10" applyNumberFormat="1" applyFont="1" applyFill="1"/>
    <xf numFmtId="0" fontId="70" fillId="40" borderId="0" xfId="10" applyFont="1" applyFill="1"/>
    <xf numFmtId="0" fontId="52" fillId="40" borderId="0" xfId="0" applyFont="1" applyFill="1"/>
    <xf numFmtId="0" fontId="55" fillId="40" borderId="0" xfId="10" applyFont="1" applyFill="1"/>
    <xf numFmtId="3" fontId="36" fillId="40" borderId="0" xfId="10" applyNumberFormat="1" applyFont="1" applyFill="1"/>
    <xf numFmtId="3" fontId="21" fillId="3" borderId="0" xfId="10" applyNumberFormat="1" applyFont="1" applyFill="1" applyAlignment="1">
      <alignment horizontal="left"/>
    </xf>
    <xf numFmtId="3" fontId="19" fillId="3" borderId="1" xfId="10" applyNumberFormat="1" applyFont="1" applyFill="1" applyBorder="1" applyAlignment="1"/>
    <xf numFmtId="4" fontId="19" fillId="3" borderId="52" xfId="10" applyNumberFormat="1" applyFont="1" applyFill="1" applyBorder="1" applyAlignment="1">
      <alignment horizontal="center" wrapText="1"/>
    </xf>
    <xf numFmtId="4" fontId="19" fillId="3" borderId="52" xfId="10" applyNumberFormat="1" applyFont="1" applyFill="1" applyBorder="1" applyAlignment="1">
      <alignment horizontal="center"/>
    </xf>
    <xf numFmtId="3" fontId="19" fillId="3" borderId="53" xfId="10" applyNumberFormat="1" applyFont="1" applyFill="1" applyBorder="1" applyAlignment="1">
      <alignment horizontal="left"/>
    </xf>
    <xf numFmtId="4" fontId="19" fillId="3" borderId="0" xfId="10" applyNumberFormat="1" applyFont="1" applyFill="1"/>
    <xf numFmtId="3" fontId="19" fillId="3" borderId="3" xfId="10" applyNumberFormat="1" applyFont="1" applyFill="1" applyBorder="1" applyAlignment="1"/>
    <xf numFmtId="4" fontId="19" fillId="3" borderId="0" xfId="10" applyNumberFormat="1" applyFont="1" applyFill="1" applyBorder="1" applyAlignment="1">
      <alignment horizontal="center"/>
    </xf>
    <xf numFmtId="3" fontId="19" fillId="3" borderId="4" xfId="10" applyNumberFormat="1" applyFont="1" applyFill="1" applyBorder="1" applyAlignment="1">
      <alignment horizontal="center"/>
    </xf>
    <xf numFmtId="0" fontId="19" fillId="3" borderId="0" xfId="10" applyFont="1" applyFill="1" applyBorder="1"/>
    <xf numFmtId="3" fontId="20" fillId="3" borderId="1" xfId="10" applyNumberFormat="1" applyFont="1" applyFill="1" applyBorder="1" applyAlignment="1"/>
    <xf numFmtId="4" fontId="20" fillId="3" borderId="52" xfId="10" applyNumberFormat="1" applyFont="1" applyFill="1" applyBorder="1" applyAlignment="1">
      <alignment horizontal="center"/>
    </xf>
    <xf numFmtId="3" fontId="19" fillId="3" borderId="53" xfId="10" applyNumberFormat="1" applyFont="1" applyFill="1" applyBorder="1" applyAlignment="1">
      <alignment horizontal="center"/>
    </xf>
    <xf numFmtId="3" fontId="19" fillId="3" borderId="0" xfId="10" applyNumberFormat="1" applyFont="1" applyFill="1" applyBorder="1" applyAlignment="1">
      <alignment horizontal="center"/>
    </xf>
    <xf numFmtId="3" fontId="19" fillId="3" borderId="1" xfId="10" applyNumberFormat="1" applyFont="1" applyFill="1" applyBorder="1" applyAlignment="1">
      <alignment horizontal="center"/>
    </xf>
    <xf numFmtId="3" fontId="19" fillId="3" borderId="52" xfId="10" applyNumberFormat="1" applyFont="1" applyFill="1" applyBorder="1" applyAlignment="1">
      <alignment horizontal="center"/>
    </xf>
    <xf numFmtId="4" fontId="19" fillId="3" borderId="53" xfId="10" applyNumberFormat="1" applyFont="1" applyFill="1" applyBorder="1"/>
    <xf numFmtId="3" fontId="19" fillId="3" borderId="3" xfId="10" applyNumberFormat="1" applyFont="1" applyFill="1" applyBorder="1" applyAlignment="1">
      <alignment horizontal="center"/>
    </xf>
    <xf numFmtId="4" fontId="19" fillId="3" borderId="4" xfId="10" applyNumberFormat="1" applyFont="1" applyFill="1" applyBorder="1"/>
    <xf numFmtId="3" fontId="20" fillId="3" borderId="1" xfId="10" applyNumberFormat="1" applyFont="1" applyFill="1" applyBorder="1" applyAlignment="1">
      <alignment horizontal="right"/>
    </xf>
    <xf numFmtId="3" fontId="20" fillId="3" borderId="52" xfId="10" applyNumberFormat="1" applyFont="1" applyFill="1" applyBorder="1" applyAlignment="1">
      <alignment horizontal="center"/>
    </xf>
    <xf numFmtId="49" fontId="19" fillId="3" borderId="3" xfId="10" applyNumberFormat="1" applyFont="1" applyFill="1" applyBorder="1" applyAlignment="1">
      <alignment horizontal="left"/>
    </xf>
    <xf numFmtId="4" fontId="19" fillId="3" borderId="53" xfId="10" applyNumberFormat="1" applyFont="1" applyFill="1" applyBorder="1" applyAlignment="1">
      <alignment horizontal="center"/>
    </xf>
    <xf numFmtId="0" fontId="14" fillId="3" borderId="0" xfId="0" applyFont="1" applyFill="1" applyBorder="1"/>
    <xf numFmtId="0" fontId="14" fillId="3" borderId="29" xfId="0" applyFont="1" applyFill="1" applyBorder="1"/>
    <xf numFmtId="4" fontId="19" fillId="3" borderId="4" xfId="10" applyNumberFormat="1" applyFont="1" applyFill="1" applyBorder="1" applyAlignment="1">
      <alignment horizontal="center"/>
    </xf>
    <xf numFmtId="0" fontId="14" fillId="3" borderId="52" xfId="0" applyFont="1" applyFill="1" applyBorder="1"/>
    <xf numFmtId="4" fontId="19" fillId="3" borderId="52" xfId="10" applyNumberFormat="1" applyFont="1" applyFill="1" applyBorder="1" applyAlignment="1">
      <alignment horizontal="left"/>
    </xf>
    <xf numFmtId="3" fontId="19" fillId="3" borderId="1" xfId="10" applyNumberFormat="1" applyFont="1" applyFill="1" applyBorder="1" applyAlignment="1">
      <alignment horizontal="left"/>
    </xf>
    <xf numFmtId="3" fontId="19" fillId="3" borderId="3" xfId="10" applyNumberFormat="1" applyFont="1" applyFill="1" applyBorder="1" applyAlignment="1">
      <alignment horizontal="left"/>
    </xf>
    <xf numFmtId="4" fontId="19" fillId="3" borderId="51" xfId="10" applyNumberFormat="1" applyFont="1" applyFill="1" applyBorder="1" applyAlignment="1">
      <alignment horizontal="left"/>
    </xf>
    <xf numFmtId="4" fontId="19" fillId="3" borderId="2" xfId="10" applyNumberFormat="1" applyFont="1" applyFill="1" applyBorder="1" applyAlignment="1">
      <alignment horizontal="left"/>
    </xf>
    <xf numFmtId="4" fontId="19" fillId="3" borderId="49" xfId="10" applyNumberFormat="1" applyFont="1" applyFill="1" applyBorder="1" applyAlignment="1">
      <alignment horizontal="left"/>
    </xf>
    <xf numFmtId="4" fontId="19" fillId="3" borderId="1" xfId="10" applyNumberFormat="1" applyFont="1" applyFill="1" applyBorder="1" applyAlignment="1">
      <alignment horizontal="center"/>
    </xf>
    <xf numFmtId="3" fontId="20" fillId="3" borderId="1" xfId="10" applyNumberFormat="1" applyFont="1" applyFill="1" applyBorder="1" applyAlignment="1">
      <alignment horizontal="center"/>
    </xf>
    <xf numFmtId="4" fontId="19" fillId="3" borderId="3" xfId="10" applyNumberFormat="1" applyFont="1" applyFill="1" applyBorder="1" applyAlignment="1">
      <alignment horizontal="center"/>
    </xf>
    <xf numFmtId="0" fontId="24" fillId="3" borderId="0" xfId="0" applyFont="1" applyFill="1" applyBorder="1"/>
    <xf numFmtId="0" fontId="20" fillId="3" borderId="0" xfId="10" applyFont="1" applyFill="1" applyBorder="1" applyAlignment="1">
      <alignment horizontal="center"/>
    </xf>
    <xf numFmtId="0" fontId="75" fillId="3" borderId="0" xfId="10" applyFont="1" applyFill="1" applyBorder="1" applyAlignment="1">
      <alignment horizontal="center"/>
    </xf>
    <xf numFmtId="3" fontId="19" fillId="3" borderId="0" xfId="10" applyNumberFormat="1" applyFont="1" applyFill="1" applyBorder="1"/>
    <xf numFmtId="0" fontId="75" fillId="3" borderId="0" xfId="10" applyFont="1" applyFill="1" applyBorder="1"/>
    <xf numFmtId="0" fontId="19" fillId="3" borderId="0" xfId="10" applyFont="1" applyFill="1" applyBorder="1" applyAlignment="1">
      <alignment horizontal="center"/>
    </xf>
    <xf numFmtId="0" fontId="63" fillId="3" borderId="0" xfId="0" applyFont="1" applyFill="1"/>
    <xf numFmtId="0" fontId="51" fillId="3" borderId="0" xfId="52" applyFont="1" applyFill="1" applyAlignment="1" applyProtection="1"/>
    <xf numFmtId="0" fontId="52" fillId="3" borderId="0" xfId="10" applyFont="1" applyFill="1"/>
    <xf numFmtId="0" fontId="60" fillId="3" borderId="30" xfId="10" applyFont="1" applyFill="1" applyBorder="1"/>
    <xf numFmtId="0" fontId="45" fillId="3" borderId="32" xfId="10" applyFont="1" applyFill="1" applyBorder="1"/>
    <xf numFmtId="3" fontId="58" fillId="3" borderId="25" xfId="10" applyNumberFormat="1" applyFont="1" applyFill="1" applyBorder="1"/>
    <xf numFmtId="3" fontId="58" fillId="3" borderId="0" xfId="10" applyNumberFormat="1" applyFont="1" applyFill="1" applyBorder="1"/>
    <xf numFmtId="3" fontId="58" fillId="3" borderId="7" xfId="10" applyNumberFormat="1" applyFont="1" applyFill="1" applyBorder="1"/>
    <xf numFmtId="0" fontId="58" fillId="3" borderId="6" xfId="10" applyFont="1" applyFill="1" applyBorder="1"/>
    <xf numFmtId="0" fontId="58" fillId="3" borderId="0" xfId="10" applyFont="1" applyFill="1" applyBorder="1"/>
    <xf numFmtId="3" fontId="58" fillId="3" borderId="0" xfId="10" applyNumberFormat="1" applyFont="1" applyFill="1"/>
    <xf numFmtId="0" fontId="60" fillId="3" borderId="33" xfId="10" applyFont="1" applyFill="1" applyBorder="1"/>
    <xf numFmtId="3" fontId="58" fillId="3" borderId="28" xfId="10" applyNumberFormat="1" applyFont="1" applyFill="1" applyBorder="1"/>
    <xf numFmtId="3" fontId="58" fillId="3" borderId="5" xfId="10" applyNumberFormat="1" applyFont="1" applyFill="1" applyBorder="1"/>
    <xf numFmtId="3" fontId="58" fillId="3" borderId="12" xfId="10" applyNumberFormat="1" applyFont="1" applyFill="1" applyBorder="1"/>
    <xf numFmtId="3" fontId="58" fillId="3" borderId="26" xfId="10" applyNumberFormat="1" applyFont="1" applyFill="1" applyBorder="1"/>
    <xf numFmtId="0" fontId="59" fillId="3" borderId="0" xfId="0" applyFont="1" applyFill="1"/>
    <xf numFmtId="0" fontId="59" fillId="3" borderId="0" xfId="0" applyFont="1" applyFill="1" applyBorder="1"/>
    <xf numFmtId="0" fontId="14" fillId="3" borderId="11" xfId="0" applyFont="1" applyFill="1" applyBorder="1"/>
    <xf numFmtId="0" fontId="14" fillId="3" borderId="12" xfId="0" applyFont="1" applyFill="1" applyBorder="1"/>
    <xf numFmtId="0" fontId="66" fillId="3" borderId="6" xfId="0" applyFont="1" applyFill="1" applyBorder="1"/>
    <xf numFmtId="0" fontId="66" fillId="3" borderId="7" xfId="0" applyFont="1" applyFill="1" applyBorder="1"/>
    <xf numFmtId="0" fontId="59" fillId="3" borderId="7" xfId="0" applyFont="1" applyFill="1" applyBorder="1"/>
    <xf numFmtId="0" fontId="66" fillId="3" borderId="8" xfId="0" applyFont="1" applyFill="1" applyBorder="1"/>
    <xf numFmtId="0" fontId="66" fillId="3" borderId="9" xfId="0" applyFont="1" applyFill="1" applyBorder="1"/>
    <xf numFmtId="0" fontId="59" fillId="3" borderId="10" xfId="0" applyFont="1" applyFill="1" applyBorder="1"/>
    <xf numFmtId="0" fontId="59" fillId="3" borderId="9" xfId="0" applyFont="1" applyFill="1" applyBorder="1"/>
    <xf numFmtId="0" fontId="14" fillId="3" borderId="0" xfId="0" applyFont="1" applyFill="1" applyAlignment="1">
      <alignment vertical="center"/>
    </xf>
    <xf numFmtId="0" fontId="58" fillId="3" borderId="11" xfId="10" applyFont="1" applyFill="1" applyBorder="1" applyAlignment="1">
      <alignment horizontal="center"/>
    </xf>
    <xf numFmtId="49" fontId="58" fillId="3" borderId="12" xfId="10" applyNumberFormat="1" applyFont="1" applyFill="1" applyBorder="1"/>
    <xf numFmtId="3" fontId="58" fillId="3" borderId="0" xfId="10" applyNumberFormat="1" applyFont="1" applyFill="1" applyBorder="1" applyAlignment="1">
      <alignment horizontal="center"/>
    </xf>
    <xf numFmtId="0" fontId="58" fillId="3" borderId="6" xfId="10" applyFont="1" applyFill="1" applyBorder="1" applyAlignment="1">
      <alignment horizontal="center"/>
    </xf>
    <xf numFmtId="49" fontId="58" fillId="3" borderId="7" xfId="10" applyNumberFormat="1" applyFont="1" applyFill="1" applyBorder="1"/>
    <xf numFmtId="49" fontId="58" fillId="3" borderId="7" xfId="10" applyNumberFormat="1" applyFont="1" applyFill="1" applyBorder="1" applyAlignment="1">
      <alignment wrapText="1"/>
    </xf>
    <xf numFmtId="0" fontId="58" fillId="3" borderId="6" xfId="10" applyFont="1" applyFill="1" applyBorder="1" applyAlignment="1">
      <alignment horizontal="center" vertical="top"/>
    </xf>
    <xf numFmtId="49" fontId="58" fillId="3" borderId="7" xfId="10" applyNumberFormat="1" applyFont="1" applyFill="1" applyBorder="1" applyAlignment="1">
      <alignment vertical="top" wrapText="1"/>
    </xf>
    <xf numFmtId="3" fontId="58" fillId="3" borderId="0" xfId="10" applyNumberFormat="1" applyFont="1" applyFill="1" applyBorder="1" applyAlignment="1">
      <alignment horizontal="center" vertical="top"/>
    </xf>
    <xf numFmtId="0" fontId="58" fillId="3" borderId="6" xfId="10" applyFont="1" applyFill="1" applyBorder="1" applyAlignment="1">
      <alignment horizontal="center" vertical="top" wrapText="1"/>
    </xf>
    <xf numFmtId="3" fontId="58" fillId="3" borderId="0" xfId="10" applyNumberFormat="1" applyFont="1" applyFill="1" applyBorder="1" applyAlignment="1">
      <alignment horizontal="center" vertical="top" wrapText="1"/>
    </xf>
    <xf numFmtId="0" fontId="58" fillId="3" borderId="8" xfId="10" applyFont="1" applyFill="1" applyBorder="1" applyAlignment="1">
      <alignment horizontal="center" vertical="top" wrapText="1"/>
    </xf>
    <xf numFmtId="49" fontId="58" fillId="3" borderId="9" xfId="10" applyNumberFormat="1" applyFont="1" applyFill="1" applyBorder="1" applyAlignment="1">
      <alignment vertical="top" wrapText="1"/>
    </xf>
    <xf numFmtId="3" fontId="58" fillId="3" borderId="11" xfId="10" applyNumberFormat="1" applyFont="1" applyFill="1" applyBorder="1" applyAlignment="1">
      <alignment horizontal="center"/>
    </xf>
    <xf numFmtId="3" fontId="58" fillId="3" borderId="5" xfId="10" applyNumberFormat="1" applyFont="1" applyFill="1" applyBorder="1" applyAlignment="1">
      <alignment horizontal="center"/>
    </xf>
    <xf numFmtId="3" fontId="58" fillId="3" borderId="6" xfId="10" applyNumberFormat="1" applyFont="1" applyFill="1" applyBorder="1" applyAlignment="1">
      <alignment horizontal="center"/>
    </xf>
    <xf numFmtId="0" fontId="58" fillId="3" borderId="8" xfId="10" applyFont="1" applyFill="1" applyBorder="1" applyAlignment="1">
      <alignment horizontal="center"/>
    </xf>
    <xf numFmtId="49" fontId="58" fillId="3" borderId="9" xfId="10" applyNumberFormat="1" applyFont="1" applyFill="1" applyBorder="1"/>
    <xf numFmtId="3" fontId="58" fillId="3" borderId="8" xfId="10" applyNumberFormat="1" applyFont="1" applyFill="1" applyBorder="1" applyAlignment="1">
      <alignment horizontal="center"/>
    </xf>
    <xf numFmtId="3" fontId="58" fillId="3" borderId="10" xfId="10" applyNumberFormat="1" applyFont="1" applyFill="1" applyBorder="1" applyAlignment="1">
      <alignment horizontal="center"/>
    </xf>
    <xf numFmtId="0" fontId="19" fillId="3" borderId="0" xfId="78" applyFont="1" applyFill="1"/>
    <xf numFmtId="0" fontId="0" fillId="3" borderId="0" xfId="0" applyFont="1" applyFill="1"/>
    <xf numFmtId="0" fontId="76" fillId="3" borderId="0" xfId="52" applyFont="1" applyFill="1" applyAlignment="1" applyProtection="1"/>
    <xf numFmtId="0" fontId="55" fillId="40" borderId="23" xfId="78" applyFont="1" applyFill="1" applyBorder="1" applyAlignment="1">
      <alignment horizontal="center" vertical="center"/>
    </xf>
    <xf numFmtId="0" fontId="55" fillId="40" borderId="38" xfId="78" applyFont="1" applyFill="1" applyBorder="1" applyAlignment="1">
      <alignment horizontal="center" vertical="center"/>
    </xf>
    <xf numFmtId="0" fontId="55" fillId="40" borderId="40" xfId="78" applyFont="1" applyFill="1" applyBorder="1" applyAlignment="1">
      <alignment horizontal="center" vertical="center"/>
    </xf>
    <xf numFmtId="0" fontId="55" fillId="40" borderId="40" xfId="78" applyFont="1" applyFill="1" applyBorder="1" applyAlignment="1">
      <alignment horizontal="center" vertical="center" wrapText="1"/>
    </xf>
    <xf numFmtId="0" fontId="55" fillId="40" borderId="26" xfId="78" applyFont="1" applyFill="1" applyBorder="1" applyAlignment="1">
      <alignment horizontal="center" vertical="center" wrapText="1"/>
    </xf>
    <xf numFmtId="0" fontId="69" fillId="3" borderId="35" xfId="78" applyFont="1" applyFill="1" applyBorder="1"/>
    <xf numFmtId="0" fontId="69" fillId="3" borderId="37" xfId="78" applyFont="1" applyFill="1" applyBorder="1" applyAlignment="1">
      <alignment horizontal="center"/>
    </xf>
    <xf numFmtId="0" fontId="69" fillId="3" borderId="41" xfId="78" applyFont="1" applyFill="1" applyBorder="1" applyAlignment="1">
      <alignment horizontal="center"/>
    </xf>
    <xf numFmtId="0" fontId="69" fillId="3" borderId="7" xfId="78" applyFont="1" applyFill="1" applyBorder="1" applyAlignment="1">
      <alignment horizontal="center" wrapText="1"/>
    </xf>
    <xf numFmtId="0" fontId="20" fillId="2" borderId="34" xfId="78" applyFont="1" applyFill="1" applyBorder="1"/>
    <xf numFmtId="14" fontId="20" fillId="2" borderId="37" xfId="78" applyNumberFormat="1" applyFont="1" applyFill="1" applyBorder="1" applyAlignment="1">
      <alignment horizontal="center"/>
    </xf>
    <xf numFmtId="0" fontId="20" fillId="2" borderId="41" xfId="78" applyFont="1" applyFill="1" applyBorder="1" applyAlignment="1">
      <alignment horizontal="center"/>
    </xf>
    <xf numFmtId="0" fontId="19" fillId="2" borderId="41" xfId="78" applyFont="1" applyFill="1" applyBorder="1" applyAlignment="1">
      <alignment horizontal="center"/>
    </xf>
    <xf numFmtId="0" fontId="20" fillId="2" borderId="7" xfId="78" applyFont="1" applyFill="1" applyBorder="1" applyAlignment="1">
      <alignment horizontal="center" wrapText="1"/>
    </xf>
    <xf numFmtId="0" fontId="20" fillId="3" borderId="34" xfId="78" applyFont="1" applyFill="1" applyBorder="1"/>
    <xf numFmtId="14" fontId="19" fillId="3" borderId="37" xfId="78" applyNumberFormat="1" applyFont="1" applyFill="1" applyBorder="1" applyAlignment="1">
      <alignment horizontal="center"/>
    </xf>
    <xf numFmtId="0" fontId="19" fillId="3" borderId="41" xfId="78" applyFont="1" applyFill="1" applyBorder="1"/>
    <xf numFmtId="0" fontId="19" fillId="3" borderId="7" xfId="78" applyFont="1" applyFill="1" applyBorder="1"/>
    <xf numFmtId="0" fontId="77" fillId="2" borderId="7" xfId="52" applyFont="1" applyFill="1" applyBorder="1" applyAlignment="1" applyProtection="1">
      <alignment horizontal="center" wrapText="1"/>
    </xf>
    <xf numFmtId="0" fontId="22" fillId="3" borderId="34" xfId="78" applyFont="1" applyFill="1" applyBorder="1" applyAlignment="1">
      <alignment horizontal="center"/>
    </xf>
    <xf numFmtId="0" fontId="19" fillId="3" borderId="37" xfId="78" applyFont="1" applyFill="1" applyBorder="1"/>
    <xf numFmtId="0" fontId="19" fillId="3" borderId="34" xfId="78" applyFont="1" applyFill="1" applyBorder="1"/>
    <xf numFmtId="0" fontId="19" fillId="3" borderId="41" xfId="78" applyFont="1" applyFill="1" applyBorder="1" applyAlignment="1">
      <alignment horizontal="center"/>
    </xf>
    <xf numFmtId="0" fontId="19" fillId="3" borderId="7" xfId="78" applyFont="1" applyFill="1" applyBorder="1" applyAlignment="1">
      <alignment horizontal="center" wrapText="1"/>
    </xf>
    <xf numFmtId="0" fontId="19" fillId="3" borderId="34" xfId="78" applyFont="1" applyFill="1" applyBorder="1" applyAlignment="1">
      <alignment wrapText="1"/>
    </xf>
    <xf numFmtId="0" fontId="19" fillId="3" borderId="37" xfId="78" applyFont="1" applyFill="1" applyBorder="1" applyAlignment="1">
      <alignment horizontal="center"/>
    </xf>
    <xf numFmtId="0" fontId="0" fillId="3" borderId="34" xfId="0" applyFont="1" applyFill="1" applyBorder="1"/>
    <xf numFmtId="0" fontId="0" fillId="3" borderId="37" xfId="0" applyFont="1" applyFill="1" applyBorder="1"/>
    <xf numFmtId="0" fontId="0" fillId="3" borderId="41" xfId="0" applyFont="1" applyFill="1" applyBorder="1"/>
    <xf numFmtId="0" fontId="0" fillId="3" borderId="7" xfId="0" applyFont="1" applyFill="1" applyBorder="1"/>
    <xf numFmtId="10" fontId="19" fillId="2" borderId="41" xfId="78" applyNumberFormat="1" applyFont="1" applyFill="1" applyBorder="1" applyAlignment="1">
      <alignment horizontal="center"/>
    </xf>
    <xf numFmtId="0" fontId="19" fillId="3" borderId="34" xfId="78" applyFont="1" applyFill="1" applyBorder="1" applyAlignment="1">
      <alignment horizontal="left"/>
    </xf>
    <xf numFmtId="0" fontId="19" fillId="3" borderId="34" xfId="78" applyFont="1" applyFill="1" applyBorder="1" applyAlignment="1">
      <alignment vertical="center"/>
    </xf>
    <xf numFmtId="0" fontId="19" fillId="3" borderId="41" xfId="78" applyFont="1" applyFill="1" applyBorder="1" applyAlignment="1">
      <alignment horizontal="center" vertical="center" wrapText="1"/>
    </xf>
    <xf numFmtId="0" fontId="19" fillId="3" borderId="34" xfId="78" applyFont="1" applyFill="1" applyBorder="1" applyAlignment="1">
      <alignment horizontal="right" vertical="center"/>
    </xf>
    <xf numFmtId="0" fontId="19" fillId="3" borderId="37" xfId="78" applyFont="1" applyFill="1" applyBorder="1" applyAlignment="1">
      <alignment horizontal="center" vertical="center"/>
    </xf>
    <xf numFmtId="0" fontId="19" fillId="3" borderId="41" xfId="78" applyFont="1" applyFill="1" applyBorder="1" applyAlignment="1">
      <alignment horizontal="center" vertical="center"/>
    </xf>
    <xf numFmtId="0" fontId="19" fillId="3" borderId="7" xfId="78" applyFont="1" applyFill="1" applyBorder="1" applyAlignment="1">
      <alignment horizontal="center" vertical="center" wrapText="1"/>
    </xf>
    <xf numFmtId="0" fontId="22" fillId="3" borderId="34" xfId="78" applyFont="1" applyFill="1" applyBorder="1" applyAlignment="1">
      <alignment horizontal="right" vertical="center"/>
    </xf>
    <xf numFmtId="0" fontId="78" fillId="3" borderId="7" xfId="78" applyFont="1" applyFill="1" applyBorder="1" applyAlignment="1">
      <alignment horizontal="center" vertical="center" wrapText="1"/>
    </xf>
    <xf numFmtId="0" fontId="79" fillId="3" borderId="7" xfId="78" applyFont="1" applyFill="1" applyBorder="1" applyAlignment="1">
      <alignment horizontal="center" wrapText="1"/>
    </xf>
    <xf numFmtId="0" fontId="19" fillId="3" borderId="34" xfId="78" applyFont="1" applyFill="1" applyBorder="1" applyAlignment="1">
      <alignment horizontal="right"/>
    </xf>
    <xf numFmtId="0" fontId="19" fillId="2" borderId="37" xfId="78" applyFont="1" applyFill="1" applyBorder="1"/>
    <xf numFmtId="0" fontId="19" fillId="2" borderId="41" xfId="78" applyFont="1" applyFill="1" applyBorder="1"/>
    <xf numFmtId="0" fontId="19" fillId="2" borderId="7" xfId="78" applyFont="1" applyFill="1" applyBorder="1" applyAlignment="1">
      <alignment horizontal="center" wrapText="1"/>
    </xf>
    <xf numFmtId="0" fontId="22" fillId="3" borderId="34" xfId="78" applyFont="1" applyFill="1" applyBorder="1" applyAlignment="1">
      <alignment horizontal="left"/>
    </xf>
    <xf numFmtId="0" fontId="19" fillId="2" borderId="7" xfId="78" applyFont="1" applyFill="1" applyBorder="1"/>
    <xf numFmtId="0" fontId="20" fillId="2" borderId="34" xfId="78" applyFont="1" applyFill="1" applyBorder="1" applyAlignment="1">
      <alignment horizontal="left"/>
    </xf>
    <xf numFmtId="0" fontId="20" fillId="2" borderId="34" xfId="78" applyFont="1" applyFill="1" applyBorder="1" applyAlignment="1">
      <alignment horizontal="center" wrapText="1"/>
    </xf>
    <xf numFmtId="0" fontId="22" fillId="3" borderId="34" xfId="78" applyFont="1" applyFill="1" applyBorder="1"/>
    <xf numFmtId="0" fontId="80" fillId="3" borderId="41" xfId="78" applyFont="1" applyFill="1" applyBorder="1" applyAlignment="1">
      <alignment horizontal="center" vertical="center"/>
    </xf>
    <xf numFmtId="0" fontId="0" fillId="2" borderId="7" xfId="0" applyFont="1" applyFill="1" applyBorder="1"/>
    <xf numFmtId="0" fontId="81" fillId="3" borderId="34" xfId="78" applyFont="1" applyFill="1" applyBorder="1" applyAlignment="1">
      <alignment horizontal="left"/>
    </xf>
    <xf numFmtId="0" fontId="21" fillId="3" borderId="34" xfId="78" applyFont="1" applyFill="1" applyBorder="1" applyAlignment="1">
      <alignment horizontal="left"/>
    </xf>
    <xf numFmtId="0" fontId="19" fillId="3" borderId="0" xfId="78" applyFont="1" applyFill="1" applyBorder="1" applyAlignment="1">
      <alignment horizontal="center" wrapText="1"/>
    </xf>
    <xf numFmtId="14" fontId="20" fillId="2" borderId="37" xfId="78" applyNumberFormat="1" applyFont="1" applyFill="1" applyBorder="1" applyAlignment="1">
      <alignment horizontal="center" vertical="center"/>
    </xf>
    <xf numFmtId="0" fontId="19" fillId="2" borderId="41" xfId="78" applyFont="1" applyFill="1" applyBorder="1" applyAlignment="1">
      <alignment vertical="center"/>
    </xf>
    <xf numFmtId="0" fontId="19" fillId="2" borderId="41" xfId="78" applyFont="1" applyFill="1" applyBorder="1" applyAlignment="1">
      <alignment horizontal="center" vertical="center"/>
    </xf>
    <xf numFmtId="9" fontId="75" fillId="3" borderId="4" xfId="55" applyFont="1" applyFill="1" applyBorder="1" applyAlignment="1">
      <alignment horizontal="center"/>
    </xf>
    <xf numFmtId="0" fontId="19" fillId="3" borderId="4" xfId="10" applyFont="1" applyFill="1" applyBorder="1" applyAlignment="1">
      <alignment horizontal="center"/>
    </xf>
    <xf numFmtId="0" fontId="19" fillId="3" borderId="29" xfId="10" applyFont="1" applyFill="1" applyBorder="1"/>
    <xf numFmtId="0" fontId="19" fillId="3" borderId="50" xfId="10" applyFont="1" applyFill="1" applyBorder="1" applyAlignment="1">
      <alignment horizontal="center"/>
    </xf>
    <xf numFmtId="0" fontId="75" fillId="3" borderId="4" xfId="10" applyFont="1" applyFill="1" applyBorder="1" applyAlignment="1">
      <alignment horizontal="center"/>
    </xf>
    <xf numFmtId="0" fontId="20" fillId="3" borderId="51" xfId="10" applyFont="1" applyFill="1" applyBorder="1" applyAlignment="1">
      <alignment horizontal="center"/>
    </xf>
    <xf numFmtId="0" fontId="20" fillId="3" borderId="52" xfId="10" applyFont="1" applyFill="1" applyBorder="1" applyAlignment="1">
      <alignment horizontal="center"/>
    </xf>
    <xf numFmtId="0" fontId="75" fillId="3" borderId="53" xfId="10" applyFont="1" applyFill="1" applyBorder="1" applyAlignment="1">
      <alignment horizontal="center"/>
    </xf>
    <xf numFmtId="0" fontId="20" fillId="3" borderId="1" xfId="10" applyFont="1" applyFill="1" applyBorder="1" applyAlignment="1">
      <alignment horizontal="center"/>
    </xf>
    <xf numFmtId="0" fontId="20" fillId="3" borderId="3" xfId="10" applyFont="1" applyFill="1" applyBorder="1" applyAlignment="1">
      <alignment horizontal="center"/>
    </xf>
    <xf numFmtId="0" fontId="20" fillId="3" borderId="54" xfId="10" applyFont="1" applyFill="1" applyBorder="1" applyAlignment="1">
      <alignment horizontal="center"/>
    </xf>
    <xf numFmtId="3" fontId="19" fillId="3" borderId="2" xfId="10" applyNumberFormat="1" applyFont="1" applyFill="1" applyBorder="1"/>
    <xf numFmtId="0" fontId="19" fillId="3" borderId="2" xfId="10" applyFont="1" applyFill="1" applyBorder="1"/>
    <xf numFmtId="0" fontId="19" fillId="3" borderId="49" xfId="10" applyFont="1" applyFill="1" applyBorder="1"/>
    <xf numFmtId="0" fontId="75" fillId="3" borderId="50" xfId="10" applyFont="1" applyFill="1" applyBorder="1" applyAlignment="1">
      <alignment horizontal="center"/>
    </xf>
    <xf numFmtId="0" fontId="72" fillId="3" borderId="0" xfId="10" applyFont="1" applyFill="1" applyBorder="1" applyAlignment="1">
      <alignment horizontal="left"/>
    </xf>
    <xf numFmtId="0" fontId="71" fillId="3" borderId="0" xfId="10" applyFont="1" applyFill="1" applyBorder="1" applyAlignment="1">
      <alignment horizontal="left"/>
    </xf>
    <xf numFmtId="0" fontId="8" fillId="3" borderId="0" xfId="10" applyFont="1" applyFill="1" applyBorder="1" applyAlignment="1">
      <alignment horizontal="left"/>
    </xf>
    <xf numFmtId="0" fontId="82" fillId="3" borderId="0" xfId="10" applyFont="1" applyFill="1"/>
    <xf numFmtId="0" fontId="20" fillId="3" borderId="0" xfId="10" applyFont="1" applyFill="1" applyAlignment="1">
      <alignment horizontal="center"/>
    </xf>
    <xf numFmtId="169" fontId="19" fillId="3" borderId="0" xfId="55" applyNumberFormat="1" applyFont="1" applyFill="1" applyAlignment="1">
      <alignment horizontal="center"/>
    </xf>
    <xf numFmtId="0" fontId="20" fillId="3" borderId="0" xfId="10" applyFont="1" applyFill="1" applyAlignment="1">
      <alignment horizontal="right"/>
    </xf>
    <xf numFmtId="0" fontId="20" fillId="3" borderId="0" xfId="10" applyFont="1" applyFill="1" applyAlignment="1">
      <alignment horizontal="left"/>
    </xf>
    <xf numFmtId="0" fontId="20" fillId="3" borderId="0" xfId="10" applyFont="1" applyFill="1"/>
    <xf numFmtId="3" fontId="20" fillId="3" borderId="0" xfId="10" applyNumberFormat="1" applyFont="1" applyFill="1" applyBorder="1" applyAlignment="1">
      <alignment horizontal="center"/>
    </xf>
    <xf numFmtId="3" fontId="19" fillId="3" borderId="0" xfId="10" applyNumberFormat="1" applyFont="1" applyFill="1"/>
    <xf numFmtId="9" fontId="19" fillId="3" borderId="0" xfId="55" applyFont="1" applyFill="1" applyBorder="1" applyAlignment="1">
      <alignment horizontal="center"/>
    </xf>
    <xf numFmtId="0" fontId="19" fillId="3" borderId="0" xfId="10" applyFont="1" applyFill="1" applyAlignment="1">
      <alignment horizontal="center"/>
    </xf>
    <xf numFmtId="3" fontId="19" fillId="3" borderId="0" xfId="10" applyNumberFormat="1" applyFont="1" applyFill="1" applyAlignment="1">
      <alignment horizontal="center"/>
    </xf>
    <xf numFmtId="3" fontId="20" fillId="3" borderId="0" xfId="10" applyNumberFormat="1" applyFont="1" applyFill="1" applyAlignment="1">
      <alignment horizontal="center"/>
    </xf>
    <xf numFmtId="169" fontId="19" fillId="3" borderId="4" xfId="55" applyNumberFormat="1" applyFont="1" applyFill="1" applyBorder="1" applyAlignment="1">
      <alignment horizontal="center"/>
    </xf>
    <xf numFmtId="169" fontId="19" fillId="3" borderId="50" xfId="55" applyNumberFormat="1" applyFont="1" applyFill="1" applyBorder="1" applyAlignment="1">
      <alignment horizontal="center"/>
    </xf>
    <xf numFmtId="0" fontId="19" fillId="3" borderId="3" xfId="10" applyFont="1" applyFill="1" applyBorder="1" applyAlignment="1">
      <alignment horizontal="center"/>
    </xf>
    <xf numFmtId="169" fontId="22" fillId="3" borderId="4" xfId="55" applyNumberFormat="1" applyFont="1" applyFill="1" applyBorder="1" applyAlignment="1">
      <alignment horizontal="center"/>
    </xf>
    <xf numFmtId="0" fontId="19" fillId="3" borderId="54" xfId="10" applyFont="1" applyFill="1" applyBorder="1" applyAlignment="1">
      <alignment horizontal="center"/>
    </xf>
    <xf numFmtId="3" fontId="19" fillId="3" borderId="49" xfId="10" applyNumberFormat="1" applyFont="1" applyFill="1" applyBorder="1"/>
    <xf numFmtId="169" fontId="22" fillId="3" borderId="50" xfId="55" applyNumberFormat="1" applyFont="1" applyFill="1" applyBorder="1" applyAlignment="1">
      <alignment horizontal="center"/>
    </xf>
    <xf numFmtId="3" fontId="19" fillId="3" borderId="29" xfId="10" applyNumberFormat="1" applyFont="1" applyFill="1" applyBorder="1"/>
    <xf numFmtId="0" fontId="19" fillId="3" borderId="0" xfId="10" applyFont="1" applyFill="1" applyAlignment="1">
      <alignment vertical="center"/>
    </xf>
    <xf numFmtId="0" fontId="45" fillId="3" borderId="0" xfId="10" applyFont="1" applyFill="1" applyAlignment="1">
      <alignment vertical="center"/>
    </xf>
    <xf numFmtId="0" fontId="24" fillId="3" borderId="0" xfId="0" applyFont="1" applyFill="1" applyAlignment="1">
      <alignment vertical="center"/>
    </xf>
    <xf numFmtId="9" fontId="19" fillId="3" borderId="4" xfId="55" applyFont="1" applyFill="1" applyBorder="1"/>
    <xf numFmtId="170" fontId="22" fillId="3" borderId="4" xfId="10" applyNumberFormat="1" applyFont="1" applyFill="1" applyBorder="1" applyAlignment="1">
      <alignment horizontal="center"/>
    </xf>
    <xf numFmtId="0" fontId="19" fillId="3" borderId="4" xfId="10" applyFont="1" applyFill="1" applyBorder="1"/>
    <xf numFmtId="0" fontId="36" fillId="40" borderId="1" xfId="10" applyFont="1" applyFill="1" applyBorder="1" applyAlignment="1">
      <alignment horizontal="center" vertical="center"/>
    </xf>
    <xf numFmtId="0" fontId="15" fillId="40" borderId="53" xfId="10" applyFont="1" applyFill="1" applyBorder="1" applyAlignment="1">
      <alignment horizontal="center" vertical="center"/>
    </xf>
    <xf numFmtId="0" fontId="36" fillId="40" borderId="53" xfId="10" applyFont="1" applyFill="1" applyBorder="1" applyAlignment="1">
      <alignment horizontal="center" vertical="center"/>
    </xf>
    <xf numFmtId="3" fontId="19" fillId="42" borderId="0" xfId="10" applyNumberFormat="1" applyFont="1" applyFill="1" applyBorder="1" applyAlignment="1">
      <alignment horizontal="center"/>
    </xf>
    <xf numFmtId="3" fontId="19" fillId="3" borderId="4" xfId="10" applyNumberFormat="1" applyFont="1" applyFill="1" applyBorder="1"/>
    <xf numFmtId="0" fontId="0" fillId="3" borderId="0" xfId="0" applyFill="1" applyAlignment="1">
      <alignment vertical="center"/>
    </xf>
    <xf numFmtId="3" fontId="19" fillId="43" borderId="0" xfId="10" applyNumberFormat="1" applyFont="1" applyFill="1" applyBorder="1" applyAlignment="1">
      <alignment horizontal="center"/>
    </xf>
    <xf numFmtId="2" fontId="19" fillId="3" borderId="0" xfId="10" applyNumberFormat="1" applyFont="1" applyFill="1" applyAlignment="1">
      <alignment vertical="center"/>
    </xf>
    <xf numFmtId="3" fontId="19" fillId="2" borderId="0" xfId="10" applyNumberFormat="1" applyFont="1" applyFill="1" applyBorder="1" applyAlignment="1">
      <alignment horizontal="center"/>
    </xf>
    <xf numFmtId="0" fontId="19" fillId="3" borderId="54" xfId="10" applyFont="1" applyFill="1" applyBorder="1"/>
    <xf numFmtId="0" fontId="19" fillId="3" borderId="1" xfId="10" applyFont="1" applyFill="1" applyBorder="1"/>
    <xf numFmtId="0" fontId="19" fillId="3" borderId="29" xfId="10" applyFont="1" applyFill="1" applyBorder="1" applyAlignment="1">
      <alignment horizontal="center"/>
    </xf>
    <xf numFmtId="3" fontId="19" fillId="3" borderId="2" xfId="10" applyNumberFormat="1" applyFont="1" applyFill="1" applyBorder="1" applyAlignment="1">
      <alignment horizontal="center"/>
    </xf>
    <xf numFmtId="0" fontId="19" fillId="3" borderId="50" xfId="10" applyFont="1" applyFill="1" applyBorder="1"/>
    <xf numFmtId="0" fontId="19" fillId="3" borderId="49" xfId="10" applyFont="1" applyFill="1" applyBorder="1" applyAlignment="1">
      <alignment horizontal="center"/>
    </xf>
    <xf numFmtId="0" fontId="36" fillId="40" borderId="53" xfId="10" applyFont="1" applyFill="1" applyBorder="1" applyAlignment="1">
      <alignment horizontal="center" vertical="center" wrapText="1"/>
    </xf>
    <xf numFmtId="0" fontId="36" fillId="40" borderId="51" xfId="10" applyFont="1" applyFill="1" applyBorder="1" applyAlignment="1">
      <alignment horizontal="left" vertical="center"/>
    </xf>
    <xf numFmtId="0" fontId="9" fillId="40" borderId="52" xfId="10" applyFont="1" applyFill="1" applyBorder="1" applyAlignment="1">
      <alignment horizontal="center" vertical="center"/>
    </xf>
    <xf numFmtId="0" fontId="19" fillId="3" borderId="2" xfId="10" applyFont="1" applyFill="1" applyBorder="1" applyAlignment="1">
      <alignment horizontal="center"/>
    </xf>
    <xf numFmtId="0" fontId="36" fillId="40" borderId="59" xfId="10" applyFont="1" applyFill="1" applyBorder="1" applyAlignment="1">
      <alignment horizontal="center"/>
    </xf>
    <xf numFmtId="0" fontId="36" fillId="40" borderId="56" xfId="10" applyFont="1" applyFill="1" applyBorder="1" applyAlignment="1">
      <alignment horizontal="center"/>
    </xf>
    <xf numFmtId="0" fontId="36" fillId="40" borderId="58" xfId="10" applyFont="1" applyFill="1" applyBorder="1"/>
    <xf numFmtId="0" fontId="36" fillId="40" borderId="56" xfId="10" applyFont="1" applyFill="1" applyBorder="1" applyAlignment="1">
      <alignment vertical="center" wrapText="1"/>
    </xf>
    <xf numFmtId="0" fontId="36" fillId="40" borderId="56" xfId="10" applyFont="1" applyFill="1" applyBorder="1" applyAlignment="1">
      <alignment horizontal="center" vertical="center" wrapText="1"/>
    </xf>
    <xf numFmtId="0" fontId="19" fillId="3" borderId="46" xfId="10" applyFont="1" applyFill="1" applyBorder="1" applyAlignment="1">
      <alignment horizontal="center"/>
    </xf>
    <xf numFmtId="0" fontId="19" fillId="3" borderId="52" xfId="10" applyFont="1" applyFill="1" applyBorder="1" applyAlignment="1">
      <alignment horizontal="center"/>
    </xf>
    <xf numFmtId="0" fontId="19" fillId="3" borderId="53" xfId="10" applyFont="1" applyFill="1" applyBorder="1" applyAlignment="1">
      <alignment horizontal="center"/>
    </xf>
    <xf numFmtId="10" fontId="19" fillId="3" borderId="52" xfId="10" applyNumberFormat="1" applyFont="1" applyFill="1" applyBorder="1" applyAlignment="1">
      <alignment horizontal="center"/>
    </xf>
    <xf numFmtId="0" fontId="9" fillId="40" borderId="1" xfId="10" applyFont="1" applyFill="1" applyBorder="1" applyAlignment="1">
      <alignment horizontal="center" vertical="center"/>
    </xf>
    <xf numFmtId="3" fontId="19" fillId="3" borderId="54" xfId="10" applyNumberFormat="1" applyFont="1" applyFill="1" applyBorder="1" applyAlignment="1">
      <alignment horizontal="center"/>
    </xf>
    <xf numFmtId="0" fontId="9" fillId="40" borderId="53" xfId="10" applyFont="1" applyFill="1" applyBorder="1" applyAlignment="1">
      <alignment horizontal="center" vertical="center" wrapText="1"/>
    </xf>
    <xf numFmtId="0" fontId="9" fillId="40" borderId="1" xfId="10" applyFont="1" applyFill="1" applyBorder="1" applyAlignment="1">
      <alignment horizontal="center" vertical="center" wrapText="1"/>
    </xf>
    <xf numFmtId="3" fontId="20" fillId="2" borderId="52" xfId="10" applyNumberFormat="1" applyFont="1" applyFill="1" applyBorder="1" applyAlignment="1">
      <alignment horizontal="center"/>
    </xf>
    <xf numFmtId="3" fontId="20" fillId="2" borderId="53" xfId="10" applyNumberFormat="1" applyFont="1" applyFill="1" applyBorder="1" applyAlignment="1">
      <alignment horizontal="center"/>
    </xf>
    <xf numFmtId="3" fontId="19" fillId="3" borderId="47" xfId="10" applyNumberFormat="1" applyFont="1" applyFill="1" applyBorder="1" applyAlignment="1">
      <alignment horizontal="center"/>
    </xf>
    <xf numFmtId="3" fontId="19" fillId="3" borderId="29" xfId="10" applyNumberFormat="1" applyFont="1" applyFill="1" applyBorder="1" applyAlignment="1">
      <alignment horizontal="center"/>
    </xf>
    <xf numFmtId="0" fontId="19" fillId="3" borderId="55" xfId="10" applyFont="1" applyFill="1" applyBorder="1" applyAlignment="1">
      <alignment horizontal="center"/>
    </xf>
    <xf numFmtId="3" fontId="19" fillId="5" borderId="55" xfId="10" applyNumberFormat="1" applyFont="1" applyFill="1" applyBorder="1" applyAlignment="1">
      <alignment horizontal="center"/>
    </xf>
    <xf numFmtId="3" fontId="19" fillId="5" borderId="3" xfId="10" applyNumberFormat="1" applyFont="1" applyFill="1" applyBorder="1" applyAlignment="1">
      <alignment horizontal="center"/>
    </xf>
    <xf numFmtId="3" fontId="19" fillId="5" borderId="54" xfId="10" applyNumberFormat="1" applyFont="1" applyFill="1" applyBorder="1" applyAlignment="1">
      <alignment horizontal="center"/>
    </xf>
    <xf numFmtId="3" fontId="19" fillId="0" borderId="0" xfId="10" applyNumberFormat="1" applyFont="1" applyFill="1" applyAlignment="1">
      <alignment horizontal="center"/>
    </xf>
    <xf numFmtId="3" fontId="20" fillId="3" borderId="55" xfId="10" applyNumberFormat="1" applyFont="1" applyFill="1" applyBorder="1" applyAlignment="1">
      <alignment horizontal="center"/>
    </xf>
    <xf numFmtId="3" fontId="20" fillId="3" borderId="3" xfId="10" applyNumberFormat="1" applyFont="1" applyFill="1" applyBorder="1" applyAlignment="1">
      <alignment horizontal="center"/>
    </xf>
    <xf numFmtId="3" fontId="20" fillId="3" borderId="54" xfId="10" applyNumberFormat="1" applyFont="1" applyFill="1" applyBorder="1" applyAlignment="1">
      <alignment horizontal="center"/>
    </xf>
    <xf numFmtId="3" fontId="19" fillId="3" borderId="46" xfId="10" applyNumberFormat="1" applyFont="1" applyFill="1" applyBorder="1" applyAlignment="1">
      <alignment horizontal="center"/>
    </xf>
    <xf numFmtId="3" fontId="19" fillId="3" borderId="49" xfId="10" applyNumberFormat="1" applyFont="1" applyFill="1" applyBorder="1" applyAlignment="1">
      <alignment horizontal="center"/>
    </xf>
    <xf numFmtId="0" fontId="55" fillId="40" borderId="51" xfId="10" applyFont="1" applyFill="1" applyBorder="1" applyAlignment="1">
      <alignment textRotation="55"/>
    </xf>
    <xf numFmtId="0" fontId="55" fillId="40" borderId="52" xfId="10" applyFont="1" applyFill="1" applyBorder="1" applyAlignment="1">
      <alignment textRotation="55"/>
    </xf>
    <xf numFmtId="0" fontId="55" fillId="40" borderId="53" xfId="10" applyFont="1" applyFill="1" applyBorder="1" applyAlignment="1">
      <alignment textRotation="55"/>
    </xf>
    <xf numFmtId="0" fontId="55" fillId="40" borderId="1" xfId="10" applyFont="1" applyFill="1" applyBorder="1" applyAlignment="1">
      <alignment horizontal="center" textRotation="55"/>
    </xf>
    <xf numFmtId="0" fontId="55" fillId="40" borderId="1" xfId="10" applyFont="1" applyFill="1" applyBorder="1" applyAlignment="1">
      <alignment textRotation="55"/>
    </xf>
    <xf numFmtId="3" fontId="19" fillId="3" borderId="48" xfId="10" applyNumberFormat="1" applyFont="1" applyFill="1" applyBorder="1" applyAlignment="1">
      <alignment horizontal="center"/>
    </xf>
    <xf numFmtId="3" fontId="19" fillId="3" borderId="50" xfId="10" applyNumberFormat="1" applyFont="1" applyFill="1" applyBorder="1" applyAlignment="1">
      <alignment horizontal="center"/>
    </xf>
    <xf numFmtId="0" fontId="55" fillId="40" borderId="49" xfId="10" applyFont="1" applyFill="1" applyBorder="1" applyAlignment="1">
      <alignment textRotation="55"/>
    </xf>
    <xf numFmtId="0" fontId="22" fillId="0" borderId="0" xfId="78" applyFont="1" applyBorder="1"/>
    <xf numFmtId="3" fontId="22" fillId="0" borderId="0" xfId="78" applyNumberFormat="1" applyFont="1" applyBorder="1"/>
    <xf numFmtId="0" fontId="19" fillId="0" borderId="11" xfId="78" applyFont="1" applyBorder="1"/>
    <xf numFmtId="0" fontId="19" fillId="0" borderId="12" xfId="78" applyFont="1" applyBorder="1"/>
    <xf numFmtId="169" fontId="22" fillId="0" borderId="0" xfId="55" applyNumberFormat="1" applyFont="1" applyBorder="1" applyAlignment="1">
      <alignment horizontal="center"/>
    </xf>
    <xf numFmtId="3" fontId="19" fillId="0" borderId="0" xfId="55" applyNumberFormat="1" applyFont="1" applyBorder="1" applyAlignment="1">
      <alignment horizontal="center"/>
    </xf>
    <xf numFmtId="0" fontId="19" fillId="0" borderId="6" xfId="78" applyFont="1" applyBorder="1"/>
    <xf numFmtId="0" fontId="19" fillId="0" borderId="7" xfId="78" applyFont="1" applyBorder="1"/>
    <xf numFmtId="169" fontId="22" fillId="2" borderId="0" xfId="55" applyNumberFormat="1" applyFont="1" applyFill="1" applyBorder="1" applyAlignment="1">
      <alignment horizontal="center"/>
    </xf>
    <xf numFmtId="3" fontId="19" fillId="0" borderId="0" xfId="55" applyNumberFormat="1" applyFont="1" applyFill="1" applyBorder="1" applyAlignment="1">
      <alignment horizontal="center"/>
    </xf>
    <xf numFmtId="3" fontId="19" fillId="0" borderId="6" xfId="78" applyNumberFormat="1" applyFont="1" applyBorder="1" applyAlignment="1">
      <alignment horizontal="center"/>
    </xf>
    <xf numFmtId="169" fontId="19" fillId="0" borderId="7" xfId="55" applyNumberFormat="1" applyFont="1" applyBorder="1" applyAlignment="1">
      <alignment horizontal="center"/>
    </xf>
    <xf numFmtId="3" fontId="22" fillId="0" borderId="6" xfId="78" applyNumberFormat="1" applyFont="1" applyBorder="1" applyAlignment="1">
      <alignment horizontal="center"/>
    </xf>
    <xf numFmtId="169" fontId="22" fillId="0" borderId="7" xfId="55" applyNumberFormat="1" applyFont="1" applyBorder="1" applyAlignment="1">
      <alignment horizontal="center"/>
    </xf>
    <xf numFmtId="169" fontId="19" fillId="0" borderId="0" xfId="55" applyNumberFormat="1" applyFont="1" applyBorder="1" applyAlignment="1">
      <alignment horizontal="center"/>
    </xf>
    <xf numFmtId="0" fontId="22" fillId="0" borderId="10" xfId="78" applyFont="1" applyBorder="1"/>
    <xf numFmtId="3" fontId="19" fillId="0" borderId="8" xfId="78" applyNumberFormat="1" applyFont="1" applyBorder="1" applyAlignment="1">
      <alignment horizontal="center"/>
    </xf>
    <xf numFmtId="0" fontId="19" fillId="0" borderId="9" xfId="78" applyFont="1" applyBorder="1"/>
    <xf numFmtId="0" fontId="19" fillId="0" borderId="6" xfId="78" applyFont="1" applyBorder="1" applyAlignment="1">
      <alignment horizontal="center"/>
    </xf>
    <xf numFmtId="3" fontId="19" fillId="0" borderId="0" xfId="78" applyNumberFormat="1" applyFont="1" applyBorder="1" applyAlignment="1">
      <alignment horizontal="center"/>
    </xf>
    <xf numFmtId="0" fontId="19" fillId="0" borderId="8" xfId="78" applyFont="1" applyBorder="1" applyAlignment="1">
      <alignment horizontal="center"/>
    </xf>
    <xf numFmtId="0" fontId="19" fillId="0" borderId="10" xfId="78" applyFont="1" applyBorder="1"/>
    <xf numFmtId="0" fontId="55" fillId="40" borderId="24" xfId="78" applyFont="1" applyFill="1" applyBorder="1" applyAlignment="1">
      <alignment horizontal="center" vertical="center"/>
    </xf>
    <xf numFmtId="0" fontId="55" fillId="40" borderId="26" xfId="78" applyFont="1" applyFill="1" applyBorder="1" applyAlignment="1">
      <alignment horizontal="center" vertical="center"/>
    </xf>
    <xf numFmtId="0" fontId="55" fillId="40" borderId="5" xfId="78" applyFont="1" applyFill="1" applyBorder="1" applyAlignment="1">
      <alignment horizontal="center" vertical="center" wrapText="1"/>
    </xf>
    <xf numFmtId="0" fontId="55" fillId="40" borderId="12" xfId="78" applyFont="1" applyFill="1" applyBorder="1" applyAlignment="1">
      <alignment horizontal="center" vertical="center"/>
    </xf>
    <xf numFmtId="0" fontId="55" fillId="40" borderId="69" xfId="10" applyFont="1" applyFill="1" applyBorder="1" applyAlignment="1">
      <alignment horizontal="center"/>
    </xf>
    <xf numFmtId="0" fontId="36" fillId="40" borderId="70" xfId="10" applyFont="1" applyFill="1" applyBorder="1"/>
    <xf numFmtId="0" fontId="36" fillId="40" borderId="68" xfId="10" applyFont="1" applyFill="1" applyBorder="1"/>
    <xf numFmtId="174" fontId="7" fillId="3" borderId="0" xfId="10" applyNumberFormat="1" applyFill="1" applyAlignment="1">
      <alignment horizontal="center"/>
    </xf>
    <xf numFmtId="0" fontId="7" fillId="3" borderId="0" xfId="10" applyFill="1" applyAlignment="1">
      <alignment horizontal="center"/>
    </xf>
    <xf numFmtId="0" fontId="36" fillId="40" borderId="69" xfId="10" applyFont="1" applyFill="1" applyBorder="1" applyAlignment="1">
      <alignment horizontal="center"/>
    </xf>
    <xf numFmtId="3" fontId="36" fillId="40" borderId="69" xfId="10" applyNumberFormat="1" applyFont="1" applyFill="1" applyBorder="1" applyAlignment="1">
      <alignment horizontal="center"/>
    </xf>
    <xf numFmtId="0" fontId="7" fillId="3" borderId="0" xfId="10" applyFill="1"/>
    <xf numFmtId="3" fontId="36" fillId="40" borderId="69" xfId="10" applyNumberFormat="1" applyFont="1" applyFill="1" applyBorder="1" applyAlignment="1">
      <alignment horizontal="left"/>
    </xf>
    <xf numFmtId="0" fontId="43" fillId="3" borderId="0" xfId="52" applyFill="1" applyAlignment="1" applyProtection="1"/>
    <xf numFmtId="3" fontId="7" fillId="3" borderId="0" xfId="10" applyNumberFormat="1" applyFill="1" applyAlignment="1">
      <alignment horizontal="center"/>
    </xf>
    <xf numFmtId="14" fontId="7" fillId="3" borderId="0" xfId="10" applyNumberFormat="1" applyFill="1" applyAlignment="1">
      <alignment horizontal="center"/>
    </xf>
    <xf numFmtId="175" fontId="7" fillId="3" borderId="0" xfId="10" applyNumberFormat="1" applyFill="1" applyAlignment="1">
      <alignment horizontal="center"/>
    </xf>
    <xf numFmtId="174" fontId="7" fillId="3" borderId="0" xfId="10" applyNumberFormat="1" applyFill="1" applyAlignment="1">
      <alignment horizontal="right"/>
    </xf>
    <xf numFmtId="3" fontId="42" fillId="3" borderId="0" xfId="10" applyNumberFormat="1" applyFont="1" applyFill="1" applyAlignment="1">
      <alignment horizontal="right"/>
    </xf>
    <xf numFmtId="3" fontId="7" fillId="3" borderId="0" xfId="10" applyNumberFormat="1" applyFill="1" applyAlignment="1">
      <alignment horizontal="right"/>
    </xf>
    <xf numFmtId="14" fontId="7" fillId="3" borderId="0" xfId="10" applyNumberFormat="1" applyFont="1" applyFill="1" applyAlignment="1">
      <alignment horizontal="center"/>
    </xf>
    <xf numFmtId="0" fontId="7" fillId="2" borderId="0" xfId="10" applyFill="1"/>
    <xf numFmtId="14" fontId="7" fillId="2" borderId="0" xfId="10" applyNumberFormat="1" applyFill="1" applyAlignment="1">
      <alignment horizontal="center"/>
    </xf>
    <xf numFmtId="3" fontId="7" fillId="2" borderId="0" xfId="10" applyNumberFormat="1" applyFill="1" applyAlignment="1">
      <alignment horizontal="center"/>
    </xf>
    <xf numFmtId="174" fontId="7" fillId="2" borderId="0" xfId="10" applyNumberFormat="1" applyFill="1" applyAlignment="1">
      <alignment horizontal="right"/>
    </xf>
    <xf numFmtId="3" fontId="42" fillId="2" borderId="0" xfId="10" applyNumberFormat="1" applyFont="1" applyFill="1" applyAlignment="1">
      <alignment horizontal="right"/>
    </xf>
    <xf numFmtId="3" fontId="7" fillId="2" borderId="0" xfId="10" applyNumberFormat="1" applyFill="1" applyAlignment="1">
      <alignment horizontal="right"/>
    </xf>
    <xf numFmtId="0" fontId="7" fillId="2" borderId="0" xfId="10" applyFill="1" applyAlignment="1">
      <alignment horizontal="center"/>
    </xf>
    <xf numFmtId="0" fontId="7" fillId="2" borderId="0" xfId="10" applyFill="1" applyAlignment="1">
      <alignment horizontal="left"/>
    </xf>
    <xf numFmtId="0" fontId="7" fillId="3" borderId="60" xfId="10" applyFill="1" applyBorder="1"/>
    <xf numFmtId="0" fontId="7" fillId="3" borderId="25" xfId="10" applyFill="1" applyBorder="1" applyAlignment="1">
      <alignment horizontal="center"/>
    </xf>
    <xf numFmtId="0" fontId="7" fillId="3" borderId="28" xfId="10" applyFill="1" applyBorder="1" applyAlignment="1">
      <alignment horizontal="center"/>
    </xf>
    <xf numFmtId="0" fontId="91" fillId="40" borderId="11" xfId="10" applyFont="1" applyFill="1" applyBorder="1" applyAlignment="1">
      <alignment horizontal="center" vertical="center"/>
    </xf>
    <xf numFmtId="0" fontId="91" fillId="40" borderId="23" xfId="10" applyFont="1" applyFill="1" applyBorder="1" applyAlignment="1">
      <alignment horizontal="center" vertical="center"/>
    </xf>
    <xf numFmtId="0" fontId="91" fillId="40" borderId="26" xfId="10" applyFont="1" applyFill="1" applyBorder="1" applyAlignment="1">
      <alignment horizontal="center" vertical="center"/>
    </xf>
    <xf numFmtId="0" fontId="91" fillId="40" borderId="24" xfId="10" applyFont="1" applyFill="1" applyBorder="1" applyAlignment="1">
      <alignment horizontal="center" vertical="center"/>
    </xf>
    <xf numFmtId="0" fontId="91" fillId="40" borderId="27" xfId="10" applyFont="1" applyFill="1" applyBorder="1" applyAlignment="1">
      <alignment horizontal="center" vertical="center"/>
    </xf>
    <xf numFmtId="0" fontId="7" fillId="3" borderId="0" xfId="10" applyFill="1" applyBorder="1"/>
    <xf numFmtId="0" fontId="7" fillId="3" borderId="10" xfId="10" applyFill="1" applyBorder="1"/>
    <xf numFmtId="3" fontId="42" fillId="3" borderId="25" xfId="10" applyNumberFormat="1" applyFont="1" applyFill="1" applyBorder="1" applyAlignment="1">
      <alignment horizontal="center"/>
    </xf>
    <xf numFmtId="1" fontId="7" fillId="3" borderId="25" xfId="10" applyNumberFormat="1" applyFill="1" applyBorder="1" applyAlignment="1">
      <alignment horizontal="center"/>
    </xf>
    <xf numFmtId="0" fontId="42" fillId="3" borderId="27" xfId="10" applyFont="1" applyFill="1" applyBorder="1" applyAlignment="1">
      <alignment horizontal="center"/>
    </xf>
    <xf numFmtId="0" fontId="87" fillId="3" borderId="0" xfId="10" applyFont="1" applyFill="1"/>
    <xf numFmtId="14" fontId="7" fillId="3" borderId="0" xfId="10" applyNumberFormat="1" applyFill="1" applyBorder="1"/>
    <xf numFmtId="0" fontId="7" fillId="3" borderId="0" xfId="10" applyFill="1" applyBorder="1" applyAlignment="1">
      <alignment horizontal="center"/>
    </xf>
    <xf numFmtId="0" fontId="42" fillId="3" borderId="0" xfId="10" applyFont="1" applyFill="1"/>
    <xf numFmtId="0" fontId="7" fillId="3" borderId="9" xfId="10" applyFill="1" applyBorder="1"/>
    <xf numFmtId="0" fontId="7" fillId="3" borderId="60" xfId="10" applyFill="1" applyBorder="1" applyAlignment="1">
      <alignment horizontal="center"/>
    </xf>
    <xf numFmtId="3" fontId="88" fillId="3" borderId="0" xfId="10" applyNumberFormat="1" applyFont="1" applyFill="1" applyBorder="1" applyAlignment="1">
      <alignment horizontal="center"/>
    </xf>
    <xf numFmtId="3" fontId="7" fillId="3" borderId="0" xfId="10" applyNumberFormat="1" applyFill="1" applyBorder="1"/>
    <xf numFmtId="3" fontId="7" fillId="3" borderId="7" xfId="10" applyNumberFormat="1" applyFill="1" applyBorder="1" applyAlignment="1">
      <alignment horizontal="center"/>
    </xf>
    <xf numFmtId="3" fontId="7" fillId="3" borderId="9" xfId="10" applyNumberFormat="1" applyFill="1" applyBorder="1" applyAlignment="1">
      <alignment horizontal="center"/>
    </xf>
    <xf numFmtId="3" fontId="7" fillId="3" borderId="0" xfId="10" applyNumberFormat="1" applyFill="1" applyBorder="1" applyAlignment="1">
      <alignment horizontal="center"/>
    </xf>
    <xf numFmtId="3" fontId="7" fillId="3" borderId="10" xfId="10" applyNumberFormat="1" applyFill="1" applyBorder="1" applyAlignment="1">
      <alignment horizontal="center"/>
    </xf>
    <xf numFmtId="0" fontId="7" fillId="0" borderId="0" xfId="10"/>
    <xf numFmtId="0" fontId="87" fillId="0" borderId="0" xfId="10" applyFont="1"/>
    <xf numFmtId="0" fontId="24" fillId="0" borderId="0" xfId="0" applyFont="1"/>
    <xf numFmtId="0" fontId="20" fillId="0" borderId="0" xfId="10" applyFont="1" applyAlignment="1">
      <alignment horizontal="center"/>
    </xf>
    <xf numFmtId="0" fontId="20" fillId="0" borderId="11" xfId="10" applyFont="1" applyBorder="1" applyAlignment="1">
      <alignment horizontal="center"/>
    </xf>
    <xf numFmtId="0" fontId="20" fillId="0" borderId="5" xfId="10" applyFont="1" applyBorder="1" applyAlignment="1">
      <alignment horizontal="center"/>
    </xf>
    <xf numFmtId="173" fontId="20" fillId="0" borderId="5" xfId="10" applyNumberFormat="1" applyFont="1" applyBorder="1" applyAlignment="1">
      <alignment horizontal="center"/>
    </xf>
    <xf numFmtId="171" fontId="20" fillId="0" borderId="5" xfId="10" applyNumberFormat="1" applyFont="1" applyBorder="1" applyAlignment="1">
      <alignment horizontal="center"/>
    </xf>
    <xf numFmtId="171" fontId="20" fillId="0" borderId="5" xfId="10" applyNumberFormat="1" applyFont="1" applyFill="1" applyBorder="1" applyAlignment="1">
      <alignment horizontal="center"/>
    </xf>
    <xf numFmtId="0" fontId="20" fillId="0" borderId="12" xfId="10" applyFont="1" applyBorder="1" applyAlignment="1">
      <alignment horizontal="center"/>
    </xf>
    <xf numFmtId="0" fontId="20" fillId="0" borderId="0" xfId="10" applyFont="1" applyBorder="1" applyAlignment="1">
      <alignment horizontal="center"/>
    </xf>
    <xf numFmtId="0" fontId="20" fillId="0" borderId="6" xfId="10" applyFont="1" applyBorder="1" applyAlignment="1">
      <alignment horizontal="center"/>
    </xf>
    <xf numFmtId="173" fontId="20" fillId="0" borderId="0" xfId="10" applyNumberFormat="1" applyFont="1" applyBorder="1" applyAlignment="1">
      <alignment horizontal="center"/>
    </xf>
    <xf numFmtId="171" fontId="20" fillId="0" borderId="0" xfId="10" applyNumberFormat="1" applyFont="1" applyBorder="1" applyAlignment="1">
      <alignment horizontal="center"/>
    </xf>
    <xf numFmtId="171" fontId="20" fillId="0" borderId="0" xfId="10" applyNumberFormat="1" applyFont="1" applyFill="1" applyBorder="1" applyAlignment="1">
      <alignment horizontal="center"/>
    </xf>
    <xf numFmtId="3" fontId="19" fillId="0" borderId="5" xfId="10" applyNumberFormat="1" applyFont="1" applyBorder="1" applyAlignment="1">
      <alignment horizontal="center"/>
    </xf>
    <xf numFmtId="0" fontId="19" fillId="0" borderId="5" xfId="10" applyFont="1" applyBorder="1"/>
    <xf numFmtId="3" fontId="19" fillId="0" borderId="5" xfId="10" applyNumberFormat="1" applyFont="1" applyBorder="1"/>
    <xf numFmtId="0" fontId="19" fillId="0" borderId="0" xfId="10" applyFont="1"/>
    <xf numFmtId="3" fontId="19" fillId="0" borderId="0" xfId="10" applyNumberFormat="1" applyFont="1" applyBorder="1" applyAlignment="1">
      <alignment horizontal="center"/>
    </xf>
    <xf numFmtId="0" fontId="19" fillId="0" borderId="0" xfId="10" applyFont="1" applyBorder="1"/>
    <xf numFmtId="3" fontId="19" fillId="0" borderId="0" xfId="10" applyNumberFormat="1" applyFont="1" applyBorder="1"/>
    <xf numFmtId="0" fontId="19" fillId="0" borderId="7" xfId="10" applyFont="1" applyBorder="1"/>
    <xf numFmtId="0" fontId="20" fillId="0" borderId="23" xfId="10" applyFont="1" applyFill="1" applyBorder="1" applyAlignment="1">
      <alignment horizontal="center"/>
    </xf>
    <xf numFmtId="3" fontId="20" fillId="0" borderId="24" xfId="10" applyNumberFormat="1" applyFont="1" applyBorder="1" applyAlignment="1">
      <alignment horizontal="center"/>
    </xf>
    <xf numFmtId="0" fontId="55" fillId="40" borderId="11" xfId="10" applyFont="1" applyFill="1" applyBorder="1" applyAlignment="1">
      <alignment horizontal="center" vertical="center" wrapText="1"/>
    </xf>
    <xf numFmtId="0" fontId="93" fillId="3" borderId="0" xfId="10" applyFont="1" applyFill="1"/>
    <xf numFmtId="1" fontId="55" fillId="40" borderId="5" xfId="10" applyNumberFormat="1" applyFont="1" applyFill="1" applyBorder="1" applyAlignment="1">
      <alignment horizontal="center" vertical="center" wrapText="1"/>
    </xf>
    <xf numFmtId="0" fontId="24" fillId="0" borderId="0" xfId="0" applyFont="1" applyAlignment="1">
      <alignment wrapText="1"/>
    </xf>
    <xf numFmtId="0" fontId="55" fillId="40" borderId="12" xfId="10" applyFont="1" applyFill="1" applyBorder="1" applyAlignment="1">
      <alignment horizontal="center" vertical="center" wrapText="1"/>
    </xf>
    <xf numFmtId="0" fontId="55" fillId="40" borderId="5" xfId="10" applyFont="1" applyFill="1" applyBorder="1" applyAlignment="1">
      <alignment horizontal="center" vertical="center" wrapText="1"/>
    </xf>
    <xf numFmtId="0" fontId="24" fillId="0" borderId="0" xfId="0" applyFont="1" applyAlignment="1">
      <alignment vertical="center" wrapText="1"/>
    </xf>
    <xf numFmtId="0" fontId="42" fillId="3" borderId="0" xfId="10" applyFont="1" applyFill="1" applyAlignment="1">
      <alignment horizontal="center"/>
    </xf>
    <xf numFmtId="0" fontId="55" fillId="40" borderId="11" xfId="10" applyFont="1" applyFill="1" applyBorder="1" applyAlignment="1">
      <alignment horizontal="center" vertical="center"/>
    </xf>
    <xf numFmtId="3" fontId="7" fillId="3" borderId="0" xfId="10" applyNumberFormat="1" applyFill="1"/>
    <xf numFmtId="10" fontId="7" fillId="3" borderId="0" xfId="55" applyNumberFormat="1" applyFont="1" applyFill="1"/>
    <xf numFmtId="3" fontId="7" fillId="3" borderId="10" xfId="10" applyNumberFormat="1" applyFill="1" applyBorder="1"/>
    <xf numFmtId="3" fontId="42" fillId="3" borderId="0" xfId="10" applyNumberFormat="1" applyFont="1" applyFill="1"/>
    <xf numFmtId="10" fontId="42" fillId="3" borderId="0" xfId="10" applyNumberFormat="1" applyFont="1" applyFill="1"/>
    <xf numFmtId="3" fontId="7" fillId="3" borderId="29" xfId="10" applyNumberFormat="1" applyFill="1" applyBorder="1"/>
    <xf numFmtId="4" fontId="20" fillId="3" borderId="27" xfId="10" applyNumberFormat="1" applyFont="1" applyFill="1" applyBorder="1" applyAlignment="1">
      <alignment horizontal="center"/>
    </xf>
    <xf numFmtId="0" fontId="19" fillId="3" borderId="64" xfId="10" applyFont="1" applyFill="1" applyBorder="1" applyAlignment="1">
      <alignment horizontal="center"/>
    </xf>
    <xf numFmtId="14" fontId="19" fillId="3" borderId="64" xfId="10" applyNumberFormat="1" applyFont="1" applyFill="1" applyBorder="1" applyAlignment="1">
      <alignment horizontal="center"/>
    </xf>
    <xf numFmtId="0" fontId="19" fillId="3" borderId="67" xfId="10" applyFont="1" applyFill="1" applyBorder="1" applyAlignment="1">
      <alignment horizontal="center"/>
    </xf>
    <xf numFmtId="0" fontId="19" fillId="3" borderId="63" xfId="10" applyFont="1" applyFill="1" applyBorder="1"/>
    <xf numFmtId="4" fontId="20" fillId="3" borderId="60" xfId="10" applyNumberFormat="1" applyFont="1" applyFill="1" applyBorder="1" applyAlignment="1">
      <alignment horizontal="center"/>
    </xf>
    <xf numFmtId="172" fontId="19" fillId="3" borderId="9" xfId="10" applyNumberFormat="1" applyFont="1" applyFill="1" applyBorder="1" applyAlignment="1">
      <alignment horizontal="center"/>
    </xf>
    <xf numFmtId="172" fontId="19" fillId="3" borderId="10" xfId="10" applyNumberFormat="1" applyFont="1" applyFill="1" applyBorder="1" applyAlignment="1">
      <alignment horizontal="center"/>
    </xf>
    <xf numFmtId="0" fontId="19" fillId="3" borderId="8" xfId="10" applyFont="1" applyFill="1" applyBorder="1" applyAlignment="1">
      <alignment horizontal="center"/>
    </xf>
    <xf numFmtId="0" fontId="19" fillId="3" borderId="7" xfId="10" applyFont="1" applyFill="1" applyBorder="1"/>
    <xf numFmtId="14" fontId="19" fillId="3" borderId="7" xfId="10" applyNumberFormat="1" applyFont="1" applyFill="1" applyBorder="1"/>
    <xf numFmtId="14" fontId="19" fillId="3" borderId="0" xfId="10" applyNumberFormat="1" applyFont="1" applyFill="1" applyBorder="1"/>
    <xf numFmtId="3" fontId="20" fillId="3" borderId="25" xfId="10" applyNumberFormat="1" applyFont="1" applyFill="1" applyBorder="1" applyAlignment="1">
      <alignment horizontal="center"/>
    </xf>
    <xf numFmtId="14" fontId="19" fillId="3" borderId="0" xfId="10" applyNumberFormat="1" applyFont="1" applyFill="1" applyBorder="1" applyAlignment="1">
      <alignment horizontal="center"/>
    </xf>
    <xf numFmtId="4" fontId="20" fillId="3" borderId="25" xfId="10" applyNumberFormat="1" applyFont="1" applyFill="1" applyBorder="1" applyAlignment="1">
      <alignment horizontal="center"/>
    </xf>
    <xf numFmtId="172" fontId="19" fillId="3" borderId="7" xfId="10" applyNumberFormat="1" applyFont="1" applyFill="1" applyBorder="1" applyAlignment="1">
      <alignment horizontal="center"/>
    </xf>
    <xf numFmtId="172" fontId="19" fillId="3" borderId="0" xfId="10" applyNumberFormat="1" applyFont="1" applyFill="1" applyBorder="1" applyAlignment="1">
      <alignment horizontal="center"/>
    </xf>
    <xf numFmtId="0" fontId="19" fillId="3" borderId="6" xfId="10" applyFont="1" applyFill="1" applyBorder="1" applyAlignment="1">
      <alignment horizontal="center"/>
    </xf>
    <xf numFmtId="4" fontId="20" fillId="3" borderId="28" xfId="10" applyNumberFormat="1" applyFont="1" applyFill="1" applyBorder="1" applyAlignment="1">
      <alignment horizontal="center"/>
    </xf>
    <xf numFmtId="172" fontId="19" fillId="3" borderId="12" xfId="10" applyNumberFormat="1" applyFont="1" applyFill="1" applyBorder="1" applyAlignment="1">
      <alignment horizontal="center"/>
    </xf>
    <xf numFmtId="0" fontId="19" fillId="3" borderId="62" xfId="10" applyFont="1" applyFill="1" applyBorder="1"/>
    <xf numFmtId="3" fontId="20" fillId="3" borderId="28" xfId="10" applyNumberFormat="1" applyFont="1" applyFill="1" applyBorder="1" applyAlignment="1">
      <alignment horizontal="center"/>
    </xf>
    <xf numFmtId="0" fontId="95" fillId="3" borderId="61" xfId="10" applyFont="1" applyFill="1" applyBorder="1" applyAlignment="1">
      <alignment horizontal="center"/>
    </xf>
    <xf numFmtId="0" fontId="19" fillId="3" borderId="64" xfId="10" applyFont="1" applyFill="1" applyBorder="1"/>
    <xf numFmtId="0" fontId="94" fillId="3" borderId="0" xfId="10" applyFont="1" applyFill="1" applyBorder="1" applyAlignment="1">
      <alignment horizontal="center"/>
    </xf>
    <xf numFmtId="172" fontId="19" fillId="3" borderId="5" xfId="10" applyNumberFormat="1" applyFont="1" applyFill="1" applyBorder="1" applyAlignment="1">
      <alignment horizontal="center"/>
    </xf>
    <xf numFmtId="0" fontId="19" fillId="3" borderId="11" xfId="10" applyFont="1" applyFill="1" applyBorder="1" applyAlignment="1">
      <alignment horizontal="center"/>
    </xf>
    <xf numFmtId="0" fontId="36" fillId="40" borderId="65" xfId="10" applyFont="1" applyFill="1" applyBorder="1" applyAlignment="1">
      <alignment horizontal="center"/>
    </xf>
    <xf numFmtId="0" fontId="36" fillId="40" borderId="66" xfId="10" applyFont="1" applyFill="1" applyBorder="1" applyAlignment="1">
      <alignment horizontal="center"/>
    </xf>
    <xf numFmtId="3" fontId="36" fillId="40" borderId="28" xfId="10" applyNumberFormat="1" applyFont="1" applyFill="1" applyBorder="1" applyAlignment="1">
      <alignment horizontal="center"/>
    </xf>
    <xf numFmtId="0" fontId="36" fillId="40" borderId="65" xfId="10" applyFont="1" applyFill="1" applyBorder="1" applyAlignment="1">
      <alignment horizontal="center" vertical="center"/>
    </xf>
    <xf numFmtId="0" fontId="36" fillId="40" borderId="66" xfId="10" applyFont="1" applyFill="1" applyBorder="1" applyAlignment="1">
      <alignment horizontal="center" vertical="center"/>
    </xf>
    <xf numFmtId="3" fontId="36" fillId="40" borderId="28" xfId="10" applyNumberFormat="1" applyFont="1" applyFill="1" applyBorder="1" applyAlignment="1">
      <alignment horizontal="center" vertical="center"/>
    </xf>
    <xf numFmtId="0" fontId="19" fillId="3" borderId="11" xfId="10" applyFont="1" applyFill="1" applyBorder="1"/>
    <xf numFmtId="0" fontId="19" fillId="3" borderId="6" xfId="10" applyFont="1" applyFill="1" applyBorder="1"/>
    <xf numFmtId="0" fontId="19" fillId="3" borderId="8" xfId="10" applyFont="1" applyFill="1" applyBorder="1"/>
    <xf numFmtId="0" fontId="19" fillId="3" borderId="72" xfId="10" applyFont="1" applyFill="1" applyBorder="1"/>
    <xf numFmtId="167" fontId="7" fillId="3" borderId="0" xfId="51" applyFont="1" applyFill="1" applyAlignment="1"/>
    <xf numFmtId="0" fontId="42" fillId="3" borderId="0" xfId="10" applyNumberFormat="1" applyFont="1" applyFill="1"/>
    <xf numFmtId="0" fontId="42" fillId="3" borderId="0" xfId="10" applyNumberFormat="1" applyFont="1" applyFill="1" applyAlignment="1">
      <alignment horizontal="center"/>
    </xf>
    <xf numFmtId="0" fontId="7" fillId="3" borderId="0" xfId="10" applyFont="1" applyFill="1" applyBorder="1" applyAlignment="1">
      <alignment horizontal="left"/>
    </xf>
    <xf numFmtId="0" fontId="7" fillId="3" borderId="60" xfId="10" applyFont="1" applyFill="1" applyBorder="1" applyAlignment="1">
      <alignment horizontal="center"/>
    </xf>
    <xf numFmtId="170" fontId="7" fillId="3" borderId="10" xfId="51" applyNumberFormat="1" applyFont="1" applyFill="1" applyBorder="1" applyAlignment="1">
      <alignment horizontal="center"/>
    </xf>
    <xf numFmtId="0" fontId="7" fillId="3" borderId="0" xfId="10" applyFont="1" applyFill="1" applyBorder="1"/>
    <xf numFmtId="1" fontId="7" fillId="3" borderId="7" xfId="51" applyNumberFormat="1" applyFont="1" applyFill="1" applyBorder="1" applyAlignment="1">
      <alignment horizontal="center"/>
    </xf>
    <xf numFmtId="167" fontId="42" fillId="3" borderId="24" xfId="51" applyFont="1" applyFill="1" applyBorder="1" applyAlignment="1">
      <alignment horizontal="center"/>
    </xf>
    <xf numFmtId="0" fontId="42" fillId="3" borderId="0" xfId="10" applyFont="1" applyFill="1" applyBorder="1" applyAlignment="1">
      <alignment horizontal="center"/>
    </xf>
    <xf numFmtId="0" fontId="89" fillId="3" borderId="0" xfId="10" applyFont="1" applyFill="1" applyBorder="1"/>
    <xf numFmtId="167" fontId="42" fillId="3" borderId="0" xfId="51" applyFont="1" applyFill="1" applyAlignment="1">
      <alignment horizontal="center"/>
    </xf>
    <xf numFmtId="0" fontId="89" fillId="3" borderId="0" xfId="10" applyFont="1" applyFill="1"/>
    <xf numFmtId="170" fontId="7" fillId="3" borderId="9" xfId="51" applyNumberFormat="1" applyFont="1" applyFill="1" applyBorder="1" applyAlignment="1">
      <alignment horizontal="center"/>
    </xf>
    <xf numFmtId="0" fontId="42" fillId="3" borderId="60" xfId="10" applyFont="1" applyFill="1" applyBorder="1" applyAlignment="1">
      <alignment horizontal="center"/>
    </xf>
    <xf numFmtId="0" fontId="7" fillId="3" borderId="0" xfId="10" applyNumberFormat="1" applyFill="1"/>
    <xf numFmtId="167" fontId="7" fillId="3" borderId="0" xfId="10" applyNumberFormat="1" applyFill="1"/>
    <xf numFmtId="167" fontId="42" fillId="3" borderId="0" xfId="10" applyNumberFormat="1" applyFont="1" applyFill="1"/>
    <xf numFmtId="167" fontId="7" fillId="3" borderId="0" xfId="51" applyFont="1" applyFill="1"/>
    <xf numFmtId="1" fontId="7" fillId="3" borderId="0" xfId="51" applyNumberFormat="1" applyFont="1" applyFill="1" applyBorder="1" applyAlignment="1">
      <alignment horizontal="center"/>
    </xf>
    <xf numFmtId="0" fontId="42" fillId="3" borderId="25" xfId="10" applyFont="1" applyFill="1" applyBorder="1" applyAlignment="1">
      <alignment horizontal="center"/>
    </xf>
    <xf numFmtId="167" fontId="42" fillId="3" borderId="26" xfId="51" applyFont="1" applyFill="1" applyBorder="1" applyAlignment="1">
      <alignment horizontal="center"/>
    </xf>
    <xf numFmtId="0" fontId="88" fillId="3" borderId="0" xfId="10" applyFont="1" applyFill="1"/>
    <xf numFmtId="0" fontId="84" fillId="3" borderId="0" xfId="10" applyNumberFormat="1" applyFont="1" applyFill="1"/>
    <xf numFmtId="0" fontId="91" fillId="40" borderId="23" xfId="10" applyNumberFormat="1" applyFont="1" applyFill="1" applyBorder="1" applyAlignment="1">
      <alignment horizontal="center"/>
    </xf>
    <xf numFmtId="0" fontId="91" fillId="40" borderId="24" xfId="10" applyNumberFormat="1" applyFont="1" applyFill="1" applyBorder="1" applyAlignment="1">
      <alignment horizontal="center"/>
    </xf>
    <xf numFmtId="0" fontId="9" fillId="40" borderId="24" xfId="0" applyFont="1" applyFill="1" applyBorder="1"/>
    <xf numFmtId="0" fontId="91" fillId="40" borderId="24" xfId="51" applyNumberFormat="1" applyFont="1" applyFill="1" applyBorder="1" applyAlignment="1">
      <alignment horizontal="center"/>
    </xf>
    <xf numFmtId="0" fontId="91" fillId="40" borderId="26" xfId="10" applyNumberFormat="1" applyFont="1" applyFill="1" applyBorder="1" applyAlignment="1">
      <alignment horizontal="center"/>
    </xf>
    <xf numFmtId="0" fontId="7" fillId="3" borderId="12" xfId="10" applyNumberFormat="1" applyFill="1" applyBorder="1"/>
    <xf numFmtId="0" fontId="7" fillId="3" borderId="7" xfId="10" applyNumberFormat="1" applyFill="1" applyBorder="1"/>
    <xf numFmtId="1" fontId="20" fillId="3" borderId="5" xfId="10" applyNumberFormat="1" applyFont="1" applyFill="1" applyBorder="1" applyAlignment="1">
      <alignment horizontal="center"/>
    </xf>
    <xf numFmtId="3" fontId="19" fillId="3" borderId="5" xfId="10" applyNumberFormat="1" applyFont="1" applyFill="1" applyBorder="1"/>
    <xf numFmtId="3" fontId="19" fillId="3" borderId="5" xfId="10" applyNumberFormat="1" applyFont="1" applyFill="1" applyBorder="1" applyAlignment="1">
      <alignment horizontal="center"/>
    </xf>
    <xf numFmtId="0" fontId="19" fillId="3" borderId="60" xfId="10" applyFont="1" applyFill="1" applyBorder="1"/>
    <xf numFmtId="0" fontId="19" fillId="3" borderId="10" xfId="10" applyFont="1" applyFill="1" applyBorder="1"/>
    <xf numFmtId="3" fontId="19" fillId="3" borderId="10" xfId="10" applyNumberFormat="1" applyFont="1" applyFill="1" applyBorder="1"/>
    <xf numFmtId="9" fontId="20" fillId="3" borderId="10" xfId="55" applyFont="1" applyFill="1" applyBorder="1" applyAlignment="1">
      <alignment horizontal="center"/>
    </xf>
    <xf numFmtId="9" fontId="20" fillId="3" borderId="8" xfId="55" applyFont="1" applyFill="1" applyBorder="1" applyAlignment="1">
      <alignment horizontal="center"/>
    </xf>
    <xf numFmtId="3" fontId="20" fillId="3" borderId="0" xfId="10" applyNumberFormat="1" applyFont="1" applyFill="1"/>
    <xf numFmtId="3" fontId="20" fillId="3" borderId="47" xfId="10" applyNumberFormat="1" applyFont="1" applyFill="1" applyBorder="1"/>
    <xf numFmtId="0" fontId="19" fillId="3" borderId="5" xfId="10" applyFont="1" applyFill="1" applyBorder="1"/>
    <xf numFmtId="0" fontId="19" fillId="3" borderId="28" xfId="10" applyFont="1" applyFill="1" applyBorder="1"/>
    <xf numFmtId="0" fontId="19" fillId="3" borderId="12" xfId="10" applyFont="1" applyFill="1" applyBorder="1"/>
    <xf numFmtId="0" fontId="19" fillId="3" borderId="25" xfId="10" applyFont="1" applyFill="1" applyBorder="1"/>
    <xf numFmtId="0" fontId="19" fillId="3" borderId="9" xfId="10" applyFont="1" applyFill="1" applyBorder="1"/>
    <xf numFmtId="3" fontId="90" fillId="3" borderId="0" xfId="10" applyNumberFormat="1" applyFont="1" applyFill="1" applyAlignment="1">
      <alignment horizontal="center"/>
    </xf>
    <xf numFmtId="0" fontId="45" fillId="3" borderId="0" xfId="10" applyFont="1" applyFill="1" applyAlignment="1">
      <alignment horizontal="center"/>
    </xf>
    <xf numFmtId="3" fontId="45" fillId="3" borderId="0" xfId="10" applyNumberFormat="1" applyFont="1" applyFill="1" applyAlignment="1">
      <alignment horizontal="center"/>
    </xf>
    <xf numFmtId="0" fontId="90" fillId="3" borderId="0" xfId="10" applyFont="1" applyFill="1" applyAlignment="1">
      <alignment horizontal="center"/>
    </xf>
    <xf numFmtId="0" fontId="45" fillId="3" borderId="0" xfId="10" applyFont="1" applyFill="1"/>
    <xf numFmtId="3" fontId="45" fillId="3" borderId="0" xfId="10" applyNumberFormat="1" applyFont="1" applyFill="1"/>
    <xf numFmtId="3" fontId="90" fillId="3" borderId="0" xfId="10" applyNumberFormat="1" applyFont="1" applyFill="1"/>
    <xf numFmtId="0" fontId="90" fillId="3" borderId="0" xfId="10" applyFont="1" applyFill="1"/>
    <xf numFmtId="0" fontId="20" fillId="3" borderId="5" xfId="10" applyFont="1" applyFill="1" applyBorder="1"/>
    <xf numFmtId="1" fontId="20" fillId="3" borderId="5" xfId="10" applyNumberFormat="1" applyFont="1" applyFill="1" applyBorder="1"/>
    <xf numFmtId="3" fontId="20" fillId="3" borderId="0" xfId="10" applyNumberFormat="1" applyFont="1" applyFill="1" applyBorder="1"/>
    <xf numFmtId="0" fontId="20" fillId="3" borderId="0" xfId="10" applyFont="1" applyFill="1" applyBorder="1"/>
    <xf numFmtId="3" fontId="19" fillId="3" borderId="0" xfId="10" applyNumberFormat="1" applyFont="1" applyFill="1" applyBorder="1" applyAlignment="1">
      <alignment horizontal="right"/>
    </xf>
    <xf numFmtId="3" fontId="20" fillId="3" borderId="56" xfId="10" applyNumberFormat="1" applyFont="1" applyFill="1" applyBorder="1"/>
    <xf numFmtId="3" fontId="20" fillId="46" borderId="56" xfId="10" applyNumberFormat="1" applyFont="1" applyFill="1" applyBorder="1"/>
    <xf numFmtId="3" fontId="20" fillId="46" borderId="73" xfId="10" applyNumberFormat="1" applyFont="1" applyFill="1" applyBorder="1"/>
    <xf numFmtId="0" fontId="19" fillId="3" borderId="27" xfId="10" applyFont="1" applyFill="1" applyBorder="1"/>
    <xf numFmtId="1" fontId="55" fillId="40" borderId="24" xfId="10" applyNumberFormat="1" applyFont="1" applyFill="1" applyBorder="1"/>
    <xf numFmtId="0" fontId="55" fillId="40" borderId="24" xfId="10" applyFont="1" applyFill="1" applyBorder="1"/>
    <xf numFmtId="0" fontId="55" fillId="40" borderId="26" xfId="10" applyFont="1" applyFill="1" applyBorder="1"/>
    <xf numFmtId="0" fontId="7" fillId="0" borderId="0" xfId="10"/>
    <xf numFmtId="3" fontId="7" fillId="0" borderId="0" xfId="10" applyNumberFormat="1" applyBorder="1" applyAlignment="1">
      <alignment horizontal="center"/>
    </xf>
    <xf numFmtId="3" fontId="7" fillId="0" borderId="7" xfId="10" applyNumberFormat="1" applyBorder="1" applyAlignment="1">
      <alignment horizontal="center"/>
    </xf>
    <xf numFmtId="0" fontId="42" fillId="0" borderId="0" xfId="10" applyFont="1"/>
    <xf numFmtId="3" fontId="7" fillId="0" borderId="6" xfId="10" applyNumberFormat="1" applyBorder="1" applyAlignment="1">
      <alignment horizontal="center"/>
    </xf>
    <xf numFmtId="0" fontId="7" fillId="0" borderId="0" xfId="10" applyBorder="1" applyAlignment="1">
      <alignment horizontal="center"/>
    </xf>
    <xf numFmtId="0" fontId="7" fillId="0" borderId="6" xfId="10" applyBorder="1" applyAlignment="1">
      <alignment horizontal="center"/>
    </xf>
    <xf numFmtId="0" fontId="7" fillId="0" borderId="6" xfId="10" applyBorder="1"/>
    <xf numFmtId="0" fontId="42" fillId="0" borderId="11" xfId="10" applyFont="1" applyBorder="1" applyAlignment="1">
      <alignment horizontal="center"/>
    </xf>
    <xf numFmtId="0" fontId="42" fillId="0" borderId="6" xfId="10" applyFont="1" applyBorder="1" applyAlignment="1">
      <alignment horizontal="center"/>
    </xf>
    <xf numFmtId="0" fontId="42" fillId="0" borderId="8" xfId="10" applyFont="1" applyFill="1" applyBorder="1" applyAlignment="1">
      <alignment horizontal="center"/>
    </xf>
    <xf numFmtId="0" fontId="42" fillId="0" borderId="6" xfId="10" applyFont="1" applyFill="1" applyBorder="1" applyAlignment="1">
      <alignment horizontal="center"/>
    </xf>
    <xf numFmtId="0" fontId="42" fillId="0" borderId="8" xfId="10" applyFont="1" applyBorder="1" applyAlignment="1">
      <alignment horizontal="center"/>
    </xf>
    <xf numFmtId="3" fontId="7" fillId="0" borderId="0" xfId="10" applyNumberFormat="1" applyFill="1" applyBorder="1" applyAlignment="1">
      <alignment horizontal="center"/>
    </xf>
    <xf numFmtId="0" fontId="22" fillId="3" borderId="5" xfId="10" applyFont="1" applyFill="1" applyBorder="1"/>
    <xf numFmtId="0" fontId="22" fillId="3" borderId="0" xfId="10" applyFont="1" applyFill="1" applyBorder="1"/>
    <xf numFmtId="9" fontId="22" fillId="3" borderId="7" xfId="55" applyFont="1" applyFill="1" applyBorder="1" applyAlignment="1">
      <alignment horizontal="center"/>
    </xf>
    <xf numFmtId="0" fontId="22" fillId="3" borderId="10" xfId="10" applyFont="1" applyFill="1" applyBorder="1"/>
    <xf numFmtId="0" fontId="79" fillId="3" borderId="0" xfId="10" applyFont="1" applyFill="1" applyBorder="1"/>
    <xf numFmtId="169" fontId="79" fillId="3" borderId="0" xfId="10" applyNumberFormat="1" applyFont="1" applyFill="1" applyBorder="1"/>
    <xf numFmtId="0" fontId="22" fillId="3" borderId="0" xfId="10" applyFont="1" applyFill="1"/>
    <xf numFmtId="0" fontId="22" fillId="3" borderId="25" xfId="10" applyFont="1" applyFill="1" applyBorder="1"/>
    <xf numFmtId="3" fontId="19" fillId="3" borderId="11" xfId="10" applyNumberFormat="1" applyFont="1" applyFill="1" applyBorder="1"/>
    <xf numFmtId="3" fontId="22" fillId="3" borderId="12" xfId="10" applyNumberFormat="1" applyFont="1" applyFill="1" applyBorder="1"/>
    <xf numFmtId="3" fontId="19" fillId="3" borderId="6" xfId="10" applyNumberFormat="1" applyFont="1" applyFill="1" applyBorder="1"/>
    <xf numFmtId="169" fontId="22" fillId="3" borderId="7" xfId="55" applyNumberFormat="1" applyFont="1" applyFill="1" applyBorder="1"/>
    <xf numFmtId="3" fontId="22" fillId="3" borderId="6" xfId="10" applyNumberFormat="1" applyFont="1" applyFill="1" applyBorder="1"/>
    <xf numFmtId="0" fontId="22" fillId="3" borderId="9" xfId="10" applyFont="1" applyFill="1" applyBorder="1"/>
    <xf numFmtId="0" fontId="22" fillId="3" borderId="12" xfId="10" applyFont="1" applyFill="1" applyBorder="1"/>
    <xf numFmtId="0" fontId="22" fillId="3" borderId="7" xfId="10" applyFont="1" applyFill="1" applyBorder="1"/>
    <xf numFmtId="9" fontId="19" fillId="3" borderId="7" xfId="55" applyFont="1" applyFill="1" applyBorder="1" applyAlignment="1">
      <alignment horizontal="center"/>
    </xf>
    <xf numFmtId="0" fontId="55" fillId="40" borderId="28" xfId="10" applyFont="1" applyFill="1" applyBorder="1" applyAlignment="1">
      <alignment horizontal="center" vertical="center"/>
    </xf>
    <xf numFmtId="0" fontId="98" fillId="40" borderId="12" xfId="10" applyFont="1" applyFill="1" applyBorder="1" applyAlignment="1">
      <alignment horizontal="center" vertical="center"/>
    </xf>
    <xf numFmtId="0" fontId="55" fillId="40" borderId="5" xfId="10" applyFont="1" applyFill="1" applyBorder="1" applyAlignment="1">
      <alignment horizontal="center" vertical="center"/>
    </xf>
    <xf numFmtId="0" fontId="52" fillId="40" borderId="12" xfId="10" applyFont="1" applyFill="1" applyBorder="1" applyAlignment="1">
      <alignment horizontal="center" vertical="center"/>
    </xf>
    <xf numFmtId="0" fontId="24" fillId="3" borderId="7" xfId="0" applyFont="1" applyFill="1" applyBorder="1"/>
    <xf numFmtId="4" fontId="19" fillId="3" borderId="0" xfId="10" applyNumberFormat="1" applyFont="1" applyFill="1" applyBorder="1"/>
    <xf numFmtId="0" fontId="24" fillId="3" borderId="6" xfId="0" applyFont="1" applyFill="1" applyBorder="1"/>
    <xf numFmtId="3" fontId="55" fillId="40" borderId="23" xfId="10" applyNumberFormat="1" applyFont="1" applyFill="1" applyBorder="1" applyAlignment="1">
      <alignment horizontal="center" vertical="center" wrapText="1"/>
    </xf>
    <xf numFmtId="3" fontId="55" fillId="40" borderId="24" xfId="10" applyNumberFormat="1" applyFont="1" applyFill="1" applyBorder="1" applyAlignment="1">
      <alignment horizontal="center" vertical="center" wrapText="1"/>
    </xf>
    <xf numFmtId="3" fontId="101" fillId="40" borderId="27" xfId="10" applyNumberFormat="1" applyFont="1" applyFill="1" applyBorder="1" applyAlignment="1">
      <alignment horizontal="center" vertical="center" wrapText="1"/>
    </xf>
    <xf numFmtId="3" fontId="55" fillId="40" borderId="27" xfId="10" applyNumberFormat="1" applyFont="1" applyFill="1" applyBorder="1" applyAlignment="1">
      <alignment horizontal="center" vertical="center" wrapText="1"/>
    </xf>
    <xf numFmtId="3" fontId="55" fillId="40" borderId="26" xfId="10" applyNumberFormat="1" applyFont="1" applyFill="1" applyBorder="1" applyAlignment="1">
      <alignment horizontal="center" vertical="center"/>
    </xf>
    <xf numFmtId="9" fontId="20" fillId="3" borderId="23" xfId="55" applyFont="1" applyFill="1" applyBorder="1" applyAlignment="1">
      <alignment horizontal="center"/>
    </xf>
    <xf numFmtId="9" fontId="20" fillId="3" borderId="24" xfId="55" applyFont="1" applyFill="1" applyBorder="1" applyAlignment="1">
      <alignment horizontal="center"/>
    </xf>
    <xf numFmtId="0" fontId="68" fillId="41" borderId="44" xfId="1" applyFont="1" applyFill="1" applyBorder="1" applyAlignment="1">
      <alignment horizontal="center"/>
    </xf>
    <xf numFmtId="0" fontId="55" fillId="40" borderId="12" xfId="10" applyFont="1" applyFill="1" applyBorder="1" applyAlignment="1">
      <alignment horizontal="center" vertical="center"/>
    </xf>
    <xf numFmtId="3" fontId="80" fillId="3" borderId="0" xfId="10" applyNumberFormat="1" applyFont="1" applyFill="1" applyBorder="1"/>
    <xf numFmtId="169" fontId="102" fillId="3" borderId="0" xfId="55" applyNumberFormat="1" applyFont="1" applyFill="1" applyBorder="1"/>
    <xf numFmtId="3" fontId="102" fillId="3" borderId="0" xfId="10" applyNumberFormat="1" applyFont="1" applyFill="1" applyBorder="1" applyAlignment="1">
      <alignment horizontal="right"/>
    </xf>
    <xf numFmtId="0" fontId="0" fillId="0" borderId="0" xfId="0" applyBorder="1"/>
    <xf numFmtId="3" fontId="19" fillId="0" borderId="12" xfId="10" applyNumberFormat="1" applyFont="1" applyBorder="1" applyAlignment="1">
      <alignment horizontal="center"/>
    </xf>
    <xf numFmtId="0" fontId="19" fillId="0" borderId="6" xfId="10" applyFont="1" applyBorder="1"/>
    <xf numFmtId="3" fontId="19" fillId="0" borderId="7" xfId="10" applyNumberFormat="1" applyFont="1" applyBorder="1" applyAlignment="1">
      <alignment horizontal="center"/>
    </xf>
    <xf numFmtId="0" fontId="20" fillId="0" borderId="8" xfId="10" applyFont="1" applyBorder="1" applyAlignment="1">
      <alignment horizontal="center"/>
    </xf>
    <xf numFmtId="3" fontId="19" fillId="0" borderId="0" xfId="10" applyNumberFormat="1" applyFont="1" applyFill="1" applyBorder="1" applyAlignment="1">
      <alignment horizontal="center"/>
    </xf>
    <xf numFmtId="0" fontId="20" fillId="0" borderId="23" xfId="10" applyFont="1" applyBorder="1" applyAlignment="1">
      <alignment horizontal="center"/>
    </xf>
    <xf numFmtId="3" fontId="24" fillId="46" borderId="23" xfId="0" applyNumberFormat="1" applyFont="1" applyFill="1" applyBorder="1"/>
    <xf numFmtId="3" fontId="24" fillId="46" borderId="24" xfId="0" applyNumberFormat="1" applyFont="1" applyFill="1" applyBorder="1"/>
    <xf numFmtId="0" fontId="19" fillId="0" borderId="11" xfId="10" applyFont="1" applyBorder="1" applyAlignment="1">
      <alignment horizontal="center"/>
    </xf>
    <xf numFmtId="0" fontId="19" fillId="0" borderId="5" xfId="10" applyFont="1" applyBorder="1" applyAlignment="1">
      <alignment horizontal="center"/>
    </xf>
    <xf numFmtId="3" fontId="24" fillId="46" borderId="25" xfId="0" applyNumberFormat="1" applyFont="1" applyFill="1" applyBorder="1"/>
    <xf numFmtId="0" fontId="19" fillId="0" borderId="6" xfId="10" applyFont="1" applyBorder="1" applyAlignment="1">
      <alignment horizontal="center"/>
    </xf>
    <xf numFmtId="0" fontId="19" fillId="0" borderId="0" xfId="10" applyFont="1" applyBorder="1" applyAlignment="1">
      <alignment horizontal="center"/>
    </xf>
    <xf numFmtId="0" fontId="19" fillId="0" borderId="0" xfId="10" applyFont="1" applyFill="1" applyBorder="1" applyAlignment="1">
      <alignment horizontal="center"/>
    </xf>
    <xf numFmtId="0" fontId="20" fillId="0" borderId="6" xfId="10" applyFont="1" applyFill="1" applyBorder="1" applyAlignment="1">
      <alignment horizontal="center"/>
    </xf>
    <xf numFmtId="0" fontId="19" fillId="0" borderId="6" xfId="10" applyFont="1" applyFill="1" applyBorder="1" applyAlignment="1">
      <alignment horizontal="center"/>
    </xf>
    <xf numFmtId="0" fontId="20" fillId="0" borderId="8" xfId="10" applyFont="1" applyFill="1" applyBorder="1" applyAlignment="1">
      <alignment horizontal="center"/>
    </xf>
    <xf numFmtId="0" fontId="19" fillId="0" borderId="8" xfId="10" applyFont="1" applyFill="1" applyBorder="1" applyAlignment="1">
      <alignment horizontal="center"/>
    </xf>
    <xf numFmtId="0" fontId="19" fillId="0" borderId="10" xfId="10" applyFont="1" applyFill="1" applyBorder="1" applyAlignment="1">
      <alignment horizontal="center"/>
    </xf>
    <xf numFmtId="0" fontId="19" fillId="0" borderId="10" xfId="10" applyFont="1" applyBorder="1" applyAlignment="1">
      <alignment horizontal="center"/>
    </xf>
    <xf numFmtId="3" fontId="55" fillId="40" borderId="23" xfId="10" applyNumberFormat="1" applyFont="1" applyFill="1" applyBorder="1" applyAlignment="1">
      <alignment horizontal="center" vertical="center"/>
    </xf>
    <xf numFmtId="0" fontId="0" fillId="0" borderId="10" xfId="0" applyBorder="1"/>
    <xf numFmtId="0" fontId="14" fillId="0" borderId="0" xfId="0" applyFont="1"/>
    <xf numFmtId="0" fontId="107" fillId="0" borderId="0" xfId="78" applyFont="1"/>
    <xf numFmtId="3" fontId="7" fillId="0" borderId="0" xfId="10" applyNumberFormat="1" applyAlignment="1">
      <alignment horizontal="center"/>
    </xf>
    <xf numFmtId="0" fontId="42" fillId="0" borderId="0" xfId="10" applyFont="1" applyAlignment="1">
      <alignment horizontal="center" wrapText="1"/>
    </xf>
    <xf numFmtId="3" fontId="42" fillId="0" borderId="0" xfId="10" applyNumberFormat="1" applyFont="1" applyAlignment="1">
      <alignment horizontal="center" wrapText="1"/>
    </xf>
    <xf numFmtId="0" fontId="7" fillId="0" borderId="0" xfId="10" applyAlignment="1">
      <alignment horizontal="center"/>
    </xf>
    <xf numFmtId="3" fontId="7" fillId="0" borderId="0" xfId="10" applyNumberFormat="1" applyFont="1" applyAlignment="1">
      <alignment horizontal="center"/>
    </xf>
    <xf numFmtId="3" fontId="88" fillId="0" borderId="0" xfId="10" applyNumberFormat="1" applyFont="1" applyAlignment="1">
      <alignment horizontal="center"/>
    </xf>
    <xf numFmtId="0" fontId="88" fillId="0" borderId="0" xfId="10" applyFont="1"/>
    <xf numFmtId="3" fontId="7" fillId="0" borderId="0" xfId="10" applyNumberFormat="1" applyFont="1" applyBorder="1" applyAlignment="1">
      <alignment horizontal="center"/>
    </xf>
    <xf numFmtId="3" fontId="7" fillId="0" borderId="7" xfId="10" applyNumberFormat="1" applyFont="1" applyBorder="1" applyAlignment="1">
      <alignment horizontal="center"/>
    </xf>
    <xf numFmtId="0" fontId="7" fillId="0" borderId="8" xfId="10" applyBorder="1" applyAlignment="1">
      <alignment horizontal="center"/>
    </xf>
    <xf numFmtId="3" fontId="7" fillId="0" borderId="10" xfId="10" applyNumberFormat="1" applyBorder="1" applyAlignment="1">
      <alignment horizontal="center"/>
    </xf>
    <xf numFmtId="3" fontId="7" fillId="0" borderId="10" xfId="10" applyNumberFormat="1" applyFont="1" applyBorder="1" applyAlignment="1">
      <alignment horizontal="center"/>
    </xf>
    <xf numFmtId="3" fontId="7" fillId="0" borderId="9" xfId="10" applyNumberFormat="1" applyFont="1" applyBorder="1" applyAlignment="1">
      <alignment horizontal="center"/>
    </xf>
    <xf numFmtId="177" fontId="7" fillId="0" borderId="0" xfId="10" applyNumberFormat="1"/>
    <xf numFmtId="0" fontId="107" fillId="0" borderId="0" xfId="10" applyFont="1"/>
    <xf numFmtId="0" fontId="42" fillId="0" borderId="0" xfId="10" applyFont="1" applyAlignment="1">
      <alignment horizontal="center"/>
    </xf>
    <xf numFmtId="177" fontId="7" fillId="0" borderId="0" xfId="10" applyNumberFormat="1" applyAlignment="1">
      <alignment horizontal="center"/>
    </xf>
    <xf numFmtId="0" fontId="42" fillId="0" borderId="0" xfId="10" applyFont="1" applyAlignment="1">
      <alignment horizontal="left"/>
    </xf>
    <xf numFmtId="0" fontId="7" fillId="0" borderId="0" xfId="10" applyFont="1" applyAlignment="1">
      <alignment horizontal="center"/>
    </xf>
    <xf numFmtId="0" fontId="7" fillId="0" borderId="0" xfId="10" applyFont="1"/>
    <xf numFmtId="177" fontId="42" fillId="0" borderId="0" xfId="10" applyNumberFormat="1" applyFont="1"/>
    <xf numFmtId="177" fontId="7" fillId="0" borderId="0" xfId="10" applyNumberFormat="1" applyFont="1"/>
    <xf numFmtId="177" fontId="7" fillId="0" borderId="0" xfId="10" applyNumberFormat="1" applyFill="1"/>
    <xf numFmtId="4" fontId="7" fillId="0" borderId="0" xfId="10" applyNumberFormat="1"/>
    <xf numFmtId="0" fontId="7" fillId="0" borderId="0" xfId="10" applyBorder="1"/>
    <xf numFmtId="0" fontId="42" fillId="0" borderId="0" xfId="10" applyFont="1" applyFill="1"/>
    <xf numFmtId="177" fontId="42" fillId="0" borderId="0" xfId="10" applyNumberFormat="1" applyFont="1" applyFill="1"/>
    <xf numFmtId="0" fontId="7" fillId="0" borderId="0" xfId="10" applyFill="1"/>
    <xf numFmtId="177" fontId="7" fillId="0" borderId="0" xfId="10" applyNumberFormat="1" applyFont="1" applyAlignment="1">
      <alignment horizontal="right"/>
    </xf>
    <xf numFmtId="0" fontId="0" fillId="0" borderId="0" xfId="0" applyFill="1"/>
    <xf numFmtId="0" fontId="108" fillId="0" borderId="0" xfId="52" applyFont="1" applyAlignment="1" applyProtection="1">
      <alignment horizontal="left"/>
    </xf>
    <xf numFmtId="0" fontId="109" fillId="0" borderId="0" xfId="10" applyFont="1"/>
    <xf numFmtId="3" fontId="7" fillId="0" borderId="0" xfId="10" applyNumberFormat="1"/>
    <xf numFmtId="0" fontId="42" fillId="0" borderId="5" xfId="10" applyFont="1" applyBorder="1" applyAlignment="1">
      <alignment horizontal="center"/>
    </xf>
    <xf numFmtId="0" fontId="42" fillId="0" borderId="12" xfId="10" applyFont="1" applyBorder="1" applyAlignment="1">
      <alignment horizontal="center"/>
    </xf>
    <xf numFmtId="3" fontId="7" fillId="0" borderId="0" xfId="10" applyNumberFormat="1" applyBorder="1"/>
    <xf numFmtId="0" fontId="7" fillId="0" borderId="7" xfId="10" applyBorder="1"/>
    <xf numFmtId="0" fontId="7" fillId="0" borderId="10" xfId="10" applyBorder="1"/>
    <xf numFmtId="3" fontId="7" fillId="0" borderId="10" xfId="10" applyNumberFormat="1" applyBorder="1"/>
    <xf numFmtId="0" fontId="7" fillId="0" borderId="9" xfId="10" applyBorder="1"/>
    <xf numFmtId="0" fontId="111" fillId="0" borderId="0" xfId="10" applyFont="1"/>
    <xf numFmtId="0" fontId="111" fillId="0" borderId="0" xfId="10" applyFont="1" applyAlignment="1">
      <alignment horizontal="center"/>
    </xf>
    <xf numFmtId="0" fontId="42" fillId="48" borderId="23" xfId="10" applyFont="1" applyFill="1" applyBorder="1" applyAlignment="1">
      <alignment horizontal="center"/>
    </xf>
    <xf numFmtId="0" fontId="86" fillId="0" borderId="11" xfId="10" applyFont="1" applyFill="1" applyBorder="1"/>
    <xf numFmtId="0" fontId="85" fillId="0" borderId="5" xfId="10" applyFont="1" applyFill="1" applyBorder="1" applyAlignment="1">
      <alignment horizontal="center"/>
    </xf>
    <xf numFmtId="0" fontId="85" fillId="0" borderId="12" xfId="10" applyFont="1" applyFill="1" applyBorder="1" applyAlignment="1">
      <alignment horizontal="center"/>
    </xf>
    <xf numFmtId="0" fontId="42" fillId="0" borderId="0" xfId="10" applyFont="1" applyFill="1" applyAlignment="1">
      <alignment horizontal="center"/>
    </xf>
    <xf numFmtId="0" fontId="86" fillId="0" borderId="6" xfId="10" applyFont="1" applyFill="1" applyBorder="1"/>
    <xf numFmtId="0" fontId="85" fillId="0" borderId="0" xfId="10" applyFont="1" applyFill="1" applyBorder="1" applyAlignment="1">
      <alignment horizontal="center"/>
    </xf>
    <xf numFmtId="0" fontId="85" fillId="0" borderId="7" xfId="10" applyFont="1" applyFill="1" applyBorder="1" applyAlignment="1">
      <alignment horizontal="center"/>
    </xf>
    <xf numFmtId="0" fontId="85" fillId="50" borderId="0" xfId="10" applyFont="1" applyFill="1" applyBorder="1" applyAlignment="1">
      <alignment horizontal="center"/>
    </xf>
    <xf numFmtId="0" fontId="85" fillId="0" borderId="0" xfId="10" applyFont="1" applyFill="1" applyBorder="1" applyAlignment="1">
      <alignment horizontal="left"/>
    </xf>
    <xf numFmtId="0" fontId="85" fillId="0" borderId="7" xfId="10" applyFont="1" applyFill="1" applyBorder="1" applyAlignment="1">
      <alignment horizontal="left"/>
    </xf>
    <xf numFmtId="0" fontId="86" fillId="0" borderId="6" xfId="10" applyFont="1" applyBorder="1"/>
    <xf numFmtId="0" fontId="85" fillId="0" borderId="0" xfId="10" applyFont="1" applyBorder="1" applyAlignment="1">
      <alignment horizontal="center"/>
    </xf>
    <xf numFmtId="0" fontId="85" fillId="0" borderId="7" xfId="10" applyFont="1" applyBorder="1" applyAlignment="1">
      <alignment horizontal="center"/>
    </xf>
    <xf numFmtId="0" fontId="85" fillId="49" borderId="0" xfId="10" applyFont="1" applyFill="1" applyBorder="1" applyAlignment="1">
      <alignment horizontal="center"/>
    </xf>
    <xf numFmtId="0" fontId="85" fillId="0" borderId="0" xfId="10" applyFont="1" applyFill="1" applyAlignment="1">
      <alignment horizontal="center"/>
    </xf>
    <xf numFmtId="0" fontId="85" fillId="0" borderId="0" xfId="10" applyFont="1" applyAlignment="1">
      <alignment horizontal="center"/>
    </xf>
    <xf numFmtId="0" fontId="86" fillId="0" borderId="8" xfId="10" applyFont="1" applyFill="1" applyBorder="1"/>
    <xf numFmtId="0" fontId="85" fillId="0" borderId="10" xfId="10" applyFont="1" applyFill="1" applyBorder="1" applyAlignment="1">
      <alignment horizontal="center"/>
    </xf>
    <xf numFmtId="0" fontId="85" fillId="0" borderId="9" xfId="10" applyFont="1" applyFill="1" applyBorder="1" applyAlignment="1">
      <alignment horizontal="center"/>
    </xf>
    <xf numFmtId="0" fontId="86" fillId="0" borderId="23" xfId="10" applyFont="1" applyFill="1" applyBorder="1"/>
    <xf numFmtId="0" fontId="85" fillId="0" borderId="24" xfId="10" applyFont="1" applyFill="1" applyBorder="1" applyAlignment="1">
      <alignment horizontal="center"/>
    </xf>
    <xf numFmtId="0" fontId="85" fillId="0" borderId="26" xfId="10" applyFont="1" applyFill="1" applyBorder="1" applyAlignment="1">
      <alignment horizontal="center"/>
    </xf>
    <xf numFmtId="0" fontId="85" fillId="0" borderId="12" xfId="10" applyFont="1" applyFill="1" applyBorder="1" applyAlignment="1">
      <alignment horizontal="left"/>
    </xf>
    <xf numFmtId="0" fontId="42" fillId="0" borderId="0" xfId="10" applyFont="1" applyFill="1" applyBorder="1" applyAlignment="1">
      <alignment horizontal="center"/>
    </xf>
    <xf numFmtId="0" fontId="85" fillId="0" borderId="0" xfId="10" applyFont="1" applyFill="1" applyBorder="1" applyAlignment="1">
      <alignment horizontal="center" wrapText="1" shrinkToFit="1"/>
    </xf>
    <xf numFmtId="0" fontId="42" fillId="0" borderId="0" xfId="10" applyFont="1" applyFill="1" applyAlignment="1">
      <alignment horizontal="left"/>
    </xf>
    <xf numFmtId="0" fontId="85" fillId="50" borderId="5" xfId="10" applyFont="1" applyFill="1" applyBorder="1" applyAlignment="1">
      <alignment horizontal="center"/>
    </xf>
    <xf numFmtId="0" fontId="85" fillId="0" borderId="24" xfId="10" applyFont="1" applyFill="1" applyBorder="1" applyAlignment="1">
      <alignment horizontal="center" wrapText="1"/>
    </xf>
    <xf numFmtId="0" fontId="85" fillId="54" borderId="5" xfId="10" applyFont="1" applyFill="1" applyBorder="1" applyAlignment="1">
      <alignment horizontal="center"/>
    </xf>
    <xf numFmtId="0" fontId="85" fillId="0" borderId="5" xfId="10" applyFont="1" applyFill="1" applyBorder="1" applyAlignment="1">
      <alignment horizontal="left"/>
    </xf>
    <xf numFmtId="0" fontId="86" fillId="0" borderId="11" xfId="10" applyFont="1" applyBorder="1"/>
    <xf numFmtId="0" fontId="85" fillId="0" borderId="5" xfId="10" applyFont="1" applyBorder="1" applyAlignment="1">
      <alignment horizontal="center"/>
    </xf>
    <xf numFmtId="0" fontId="85" fillId="0" borderId="5" xfId="10" applyFont="1" applyFill="1" applyBorder="1" applyAlignment="1">
      <alignment horizontal="center" wrapText="1" shrinkToFit="1"/>
    </xf>
    <xf numFmtId="0" fontId="85" fillId="0" borderId="12" xfId="10" applyFont="1" applyBorder="1" applyAlignment="1">
      <alignment horizontal="center"/>
    </xf>
    <xf numFmtId="0" fontId="86" fillId="0" borderId="8" xfId="10" applyFont="1" applyBorder="1"/>
    <xf numFmtId="0" fontId="85" fillId="0" borderId="10" xfId="10" applyFont="1" applyBorder="1" applyAlignment="1">
      <alignment horizontal="center"/>
    </xf>
    <xf numFmtId="0" fontId="85" fillId="0" borderId="9" xfId="10" applyFont="1" applyBorder="1" applyAlignment="1">
      <alignment horizontal="center"/>
    </xf>
    <xf numFmtId="4" fontId="7" fillId="0" borderId="0" xfId="10" applyNumberFormat="1" applyAlignment="1">
      <alignment horizontal="center"/>
    </xf>
    <xf numFmtId="0" fontId="7" fillId="0" borderId="0" xfId="10" applyFont="1" applyBorder="1" applyAlignment="1">
      <alignment horizontal="center"/>
    </xf>
    <xf numFmtId="0" fontId="7" fillId="0" borderId="0" xfId="10" applyFont="1" applyBorder="1"/>
    <xf numFmtId="0" fontId="7" fillId="0" borderId="8" xfId="10" applyBorder="1"/>
    <xf numFmtId="0" fontId="7" fillId="0" borderId="6" xfId="10" applyFont="1" applyBorder="1" applyAlignment="1">
      <alignment horizontal="center"/>
    </xf>
    <xf numFmtId="0" fontId="42" fillId="0" borderId="0" xfId="10" applyFont="1" applyBorder="1" applyAlignment="1">
      <alignment horizontal="center"/>
    </xf>
    <xf numFmtId="0" fontId="7" fillId="0" borderId="7" xfId="10" applyFont="1" applyBorder="1" applyAlignment="1">
      <alignment horizontal="center"/>
    </xf>
    <xf numFmtId="4" fontId="42" fillId="0" borderId="0" xfId="10" applyNumberFormat="1" applyFont="1"/>
    <xf numFmtId="0" fontId="42" fillId="0" borderId="28" xfId="10" applyFont="1" applyBorder="1" applyAlignment="1">
      <alignment horizontal="center"/>
    </xf>
    <xf numFmtId="3" fontId="42" fillId="0" borderId="6" xfId="10" applyNumberFormat="1" applyFont="1" applyBorder="1" applyAlignment="1">
      <alignment horizontal="center"/>
    </xf>
    <xf numFmtId="0" fontId="42" fillId="0" borderId="60" xfId="10" applyFont="1" applyBorder="1" applyAlignment="1">
      <alignment horizontal="center"/>
    </xf>
    <xf numFmtId="0" fontId="109" fillId="0" borderId="0" xfId="10" applyFont="1" applyFill="1"/>
    <xf numFmtId="0" fontId="7" fillId="0" borderId="0" xfId="10" applyFill="1" applyAlignment="1">
      <alignment horizontal="right"/>
    </xf>
    <xf numFmtId="2" fontId="7" fillId="0" borderId="0" xfId="10" applyNumberFormat="1" applyFill="1"/>
    <xf numFmtId="4" fontId="7" fillId="0" borderId="0" xfId="10" applyNumberFormat="1" applyFill="1"/>
    <xf numFmtId="0" fontId="7" fillId="0" borderId="0" xfId="10" applyFill="1" applyAlignment="1">
      <alignment horizontal="center"/>
    </xf>
    <xf numFmtId="0" fontId="7" fillId="0" borderId="0" xfId="10" applyFill="1" applyBorder="1"/>
    <xf numFmtId="4" fontId="7" fillId="0" borderId="0" xfId="10" applyNumberFormat="1" applyFont="1" applyFill="1" applyBorder="1"/>
    <xf numFmtId="0" fontId="84" fillId="0" borderId="0" xfId="10" applyFont="1"/>
    <xf numFmtId="4" fontId="84" fillId="57" borderId="0" xfId="10" applyNumberFormat="1" applyFont="1" applyFill="1" applyBorder="1" applyProtection="1">
      <protection locked="0"/>
    </xf>
    <xf numFmtId="4" fontId="84" fillId="0" borderId="0" xfId="10" applyNumberFormat="1" applyFont="1" applyFill="1" applyBorder="1" applyProtection="1">
      <protection locked="0"/>
    </xf>
    <xf numFmtId="0" fontId="110" fillId="60" borderId="0" xfId="10" applyFont="1" applyFill="1" applyBorder="1"/>
    <xf numFmtId="169" fontId="7" fillId="60" borderId="6" xfId="10" applyNumberFormat="1" applyFill="1" applyBorder="1"/>
    <xf numFmtId="169" fontId="7" fillId="60" borderId="3" xfId="10" applyNumberFormat="1" applyFill="1" applyBorder="1"/>
    <xf numFmtId="169" fontId="7" fillId="60" borderId="0" xfId="10" applyNumberFormat="1" applyFill="1" applyBorder="1"/>
    <xf numFmtId="169" fontId="42" fillId="58" borderId="0" xfId="10" applyNumberFormat="1" applyFont="1" applyFill="1"/>
    <xf numFmtId="169" fontId="7" fillId="0" borderId="0" xfId="10" applyNumberFormat="1" applyBorder="1"/>
    <xf numFmtId="169" fontId="7" fillId="60" borderId="4" xfId="10" applyNumberFormat="1" applyFill="1" applyBorder="1"/>
    <xf numFmtId="169" fontId="7" fillId="58" borderId="0" xfId="10" applyNumberFormat="1" applyFill="1"/>
    <xf numFmtId="10" fontId="7" fillId="60" borderId="0" xfId="10" applyNumberFormat="1" applyFill="1" applyBorder="1"/>
    <xf numFmtId="169" fontId="7" fillId="0" borderId="2" xfId="10" applyNumberFormat="1" applyBorder="1"/>
    <xf numFmtId="2" fontId="7" fillId="0" borderId="2" xfId="10" applyNumberFormat="1" applyBorder="1"/>
    <xf numFmtId="2" fontId="7" fillId="0" borderId="4" xfId="10" applyNumberFormat="1" applyBorder="1"/>
    <xf numFmtId="1" fontId="7" fillId="0" borderId="0" xfId="10" applyNumberFormat="1" applyFont="1" applyFill="1" applyBorder="1" applyAlignment="1">
      <alignment horizontal="left" wrapText="1"/>
    </xf>
    <xf numFmtId="1" fontId="7" fillId="0" borderId="25" xfId="10" applyNumberFormat="1" applyFont="1" applyFill="1" applyBorder="1" applyAlignment="1">
      <alignment horizontal="left" wrapText="1"/>
    </xf>
    <xf numFmtId="3" fontId="7" fillId="61" borderId="0" xfId="10" applyNumberFormat="1" applyFont="1" applyFill="1" applyBorder="1" applyAlignment="1" applyProtection="1">
      <alignment horizontal="right" wrapText="1"/>
      <protection locked="0"/>
    </xf>
    <xf numFmtId="4" fontId="7" fillId="0" borderId="6" xfId="10" applyNumberFormat="1" applyFont="1" applyFill="1" applyBorder="1" applyAlignment="1">
      <alignment horizontal="right" wrapText="1"/>
    </xf>
    <xf numFmtId="4" fontId="7" fillId="0" borderId="3" xfId="10" applyNumberFormat="1" applyFont="1" applyFill="1" applyBorder="1" applyAlignment="1">
      <alignment horizontal="right" wrapText="1"/>
    </xf>
    <xf numFmtId="4" fontId="7" fillId="0" borderId="0" xfId="10" applyNumberFormat="1" applyFont="1" applyFill="1" applyBorder="1" applyAlignment="1">
      <alignment horizontal="right" wrapText="1"/>
    </xf>
    <xf numFmtId="4" fontId="42" fillId="0" borderId="3" xfId="10" applyNumberFormat="1" applyFont="1" applyFill="1" applyBorder="1" applyAlignment="1">
      <alignment horizontal="center" wrapText="1"/>
    </xf>
    <xf numFmtId="180" fontId="7" fillId="61" borderId="0" xfId="10" applyNumberFormat="1" applyFont="1" applyFill="1" applyBorder="1" applyAlignment="1">
      <alignment horizontal="right" wrapText="1"/>
    </xf>
    <xf numFmtId="3" fontId="7" fillId="61" borderId="0" xfId="10" applyNumberFormat="1" applyFont="1" applyFill="1" applyBorder="1" applyAlignment="1">
      <alignment horizontal="right" wrapText="1"/>
    </xf>
    <xf numFmtId="4" fontId="7" fillId="0" borderId="4" xfId="10" applyNumberFormat="1" applyFont="1" applyFill="1" applyBorder="1" applyAlignment="1">
      <alignment horizontal="right" wrapText="1"/>
    </xf>
    <xf numFmtId="4" fontId="42" fillId="0" borderId="2" xfId="10" applyNumberFormat="1" applyFont="1" applyFill="1" applyBorder="1" applyAlignment="1">
      <alignment horizontal="center" wrapText="1"/>
    </xf>
    <xf numFmtId="4" fontId="7" fillId="61" borderId="6" xfId="10" applyNumberFormat="1" applyFont="1" applyFill="1" applyBorder="1" applyAlignment="1">
      <alignment horizontal="right" wrapText="1"/>
    </xf>
    <xf numFmtId="181" fontId="7" fillId="61" borderId="0" xfId="10" applyNumberFormat="1" applyFont="1" applyFill="1" applyBorder="1" applyAlignment="1">
      <alignment horizontal="right" wrapText="1"/>
    </xf>
    <xf numFmtId="4" fontId="7" fillId="61" borderId="0" xfId="10" applyNumberFormat="1" applyFont="1" applyFill="1" applyBorder="1" applyAlignment="1">
      <alignment horizontal="right" wrapText="1"/>
    </xf>
    <xf numFmtId="1" fontId="7" fillId="61" borderId="0" xfId="10" applyNumberFormat="1" applyFont="1" applyFill="1" applyBorder="1" applyAlignment="1">
      <alignment horizontal="right" wrapText="1"/>
    </xf>
    <xf numFmtId="4" fontId="7" fillId="61" borderId="0" xfId="10" applyNumberFormat="1" applyFont="1" applyFill="1" applyBorder="1" applyAlignment="1" applyProtection="1">
      <alignment horizontal="right" wrapText="1"/>
      <protection locked="0"/>
    </xf>
    <xf numFmtId="2" fontId="7" fillId="61" borderId="0" xfId="10" applyNumberFormat="1" applyFont="1" applyFill="1" applyBorder="1" applyAlignment="1">
      <alignment horizontal="right" wrapText="1"/>
    </xf>
    <xf numFmtId="182" fontId="7" fillId="61" borderId="6" xfId="79" applyNumberFormat="1" applyFont="1" applyFill="1" applyBorder="1" applyAlignment="1" applyProtection="1">
      <alignment horizontal="right" wrapText="1"/>
      <protection locked="0"/>
    </xf>
    <xf numFmtId="182" fontId="7" fillId="61" borderId="2" xfId="79" applyNumberFormat="1" applyFont="1" applyFill="1" applyBorder="1" applyAlignment="1" applyProtection="1">
      <alignment horizontal="right" wrapText="1"/>
      <protection locked="0"/>
    </xf>
    <xf numFmtId="180" fontId="7" fillId="61" borderId="0" xfId="79" applyNumberFormat="1" applyFont="1" applyFill="1" applyBorder="1" applyAlignment="1" applyProtection="1">
      <alignment horizontal="right" wrapText="1"/>
    </xf>
    <xf numFmtId="4" fontId="7" fillId="0" borderId="76" xfId="10" applyNumberFormat="1" applyFont="1" applyFill="1" applyBorder="1" applyAlignment="1">
      <alignment horizontal="right" wrapText="1"/>
    </xf>
    <xf numFmtId="4" fontId="7" fillId="0" borderId="0" xfId="10" applyNumberFormat="1" applyFont="1" applyFill="1" applyBorder="1" applyAlignment="1" applyProtection="1">
      <alignment horizontal="right" wrapText="1"/>
    </xf>
    <xf numFmtId="0" fontId="7" fillId="61" borderId="2" xfId="10" applyFont="1" applyFill="1" applyBorder="1" applyAlignment="1" applyProtection="1">
      <alignment horizontal="right" wrapText="1"/>
      <protection locked="0"/>
    </xf>
    <xf numFmtId="180" fontId="7" fillId="61" borderId="0" xfId="10" applyNumberFormat="1" applyFont="1" applyFill="1" applyBorder="1" applyAlignment="1" applyProtection="1">
      <alignment horizontal="right" wrapText="1"/>
    </xf>
    <xf numFmtId="4" fontId="7" fillId="0" borderId="4" xfId="10" applyNumberFormat="1" applyFont="1" applyFill="1" applyBorder="1" applyAlignment="1" applyProtection="1">
      <alignment horizontal="right" wrapText="1"/>
    </xf>
    <xf numFmtId="170" fontId="7" fillId="61" borderId="6" xfId="10" applyNumberFormat="1" applyFont="1" applyFill="1" applyBorder="1" applyAlignment="1" applyProtection="1">
      <alignment horizontal="right" wrapText="1"/>
      <protection locked="0"/>
    </xf>
    <xf numFmtId="3" fontId="7" fillId="0" borderId="0" xfId="10" applyNumberFormat="1" applyFont="1" applyFill="1" applyBorder="1" applyAlignment="1">
      <alignment horizontal="right" wrapText="1"/>
    </xf>
    <xf numFmtId="2" fontId="7" fillId="61" borderId="2" xfId="10" applyNumberFormat="1" applyFont="1" applyFill="1" applyBorder="1" applyAlignment="1" applyProtection="1">
      <alignment horizontal="right" wrapText="1"/>
      <protection locked="0"/>
    </xf>
    <xf numFmtId="3" fontId="7" fillId="0" borderId="4" xfId="10" applyNumberFormat="1" applyFont="1" applyFill="1" applyBorder="1" applyAlignment="1">
      <alignment horizontal="right" wrapText="1"/>
    </xf>
    <xf numFmtId="3" fontId="7" fillId="0" borderId="0" xfId="10" applyNumberFormat="1" applyFont="1" applyFill="1" applyBorder="1" applyAlignment="1">
      <alignment horizontal="center" wrapText="1"/>
    </xf>
    <xf numFmtId="3" fontId="7" fillId="61" borderId="0" xfId="10" applyNumberFormat="1" applyFont="1" applyFill="1" applyBorder="1" applyAlignment="1">
      <alignment horizontal="center" wrapText="1"/>
    </xf>
    <xf numFmtId="3" fontId="7" fillId="0" borderId="7" xfId="10" applyNumberFormat="1" applyFont="1" applyFill="1" applyBorder="1" applyAlignment="1">
      <alignment horizontal="right" wrapText="1"/>
    </xf>
    <xf numFmtId="1" fontId="42" fillId="0" borderId="24" xfId="10" applyNumberFormat="1" applyFont="1" applyFill="1" applyBorder="1" applyAlignment="1">
      <alignment horizontal="left"/>
    </xf>
    <xf numFmtId="1" fontId="42" fillId="0" borderId="27" xfId="10" applyNumberFormat="1" applyFont="1" applyFill="1" applyBorder="1"/>
    <xf numFmtId="3" fontId="42" fillId="61" borderId="24" xfId="10" applyNumberFormat="1" applyFont="1" applyFill="1" applyBorder="1" applyProtection="1">
      <protection locked="0"/>
    </xf>
    <xf numFmtId="4" fontId="42" fillId="0" borderId="23" xfId="10" applyNumberFormat="1" applyFont="1" applyFill="1" applyBorder="1" applyAlignment="1">
      <alignment horizontal="right"/>
    </xf>
    <xf numFmtId="4" fontId="42" fillId="0" borderId="77" xfId="10" applyNumberFormat="1" applyFont="1" applyFill="1" applyBorder="1" applyAlignment="1">
      <alignment horizontal="right"/>
    </xf>
    <xf numFmtId="4" fontId="42" fillId="0" borderId="24" xfId="10" applyNumberFormat="1" applyFont="1" applyFill="1" applyBorder="1" applyAlignment="1">
      <alignment horizontal="right"/>
    </xf>
    <xf numFmtId="4" fontId="42" fillId="0" borderId="26" xfId="10" applyNumberFormat="1" applyFont="1" applyFill="1" applyBorder="1" applyAlignment="1">
      <alignment horizontal="right"/>
    </xf>
    <xf numFmtId="180" fontId="42" fillId="61" borderId="24" xfId="10" applyNumberFormat="1" applyFont="1" applyFill="1" applyBorder="1" applyProtection="1">
      <protection locked="0"/>
    </xf>
    <xf numFmtId="4" fontId="42" fillId="0" borderId="24" xfId="10" applyNumberFormat="1" applyFont="1" applyFill="1" applyBorder="1"/>
    <xf numFmtId="3" fontId="42" fillId="61" borderId="24" xfId="10" applyNumberFormat="1" applyFont="1" applyFill="1" applyBorder="1"/>
    <xf numFmtId="183" fontId="42" fillId="61" borderId="24" xfId="10" applyNumberFormat="1" applyFont="1" applyFill="1" applyBorder="1" applyProtection="1">
      <protection locked="0"/>
    </xf>
    <xf numFmtId="4" fontId="42" fillId="0" borderId="78" xfId="10" applyNumberFormat="1" applyFont="1" applyFill="1" applyBorder="1"/>
    <xf numFmtId="4" fontId="42" fillId="61" borderId="23" xfId="10" applyNumberFormat="1" applyFont="1" applyFill="1" applyBorder="1"/>
    <xf numFmtId="181" fontId="42" fillId="61" borderId="24" xfId="10" applyNumberFormat="1" applyFont="1" applyFill="1" applyBorder="1"/>
    <xf numFmtId="183" fontId="42" fillId="61" borderId="24" xfId="10" applyNumberFormat="1" applyFont="1" applyFill="1" applyBorder="1"/>
    <xf numFmtId="4" fontId="42" fillId="61" borderId="24" xfId="10" applyNumberFormat="1" applyFont="1" applyFill="1" applyBorder="1"/>
    <xf numFmtId="4" fontId="42" fillId="61" borderId="79" xfId="10" applyNumberFormat="1" applyFont="1" applyFill="1" applyBorder="1"/>
    <xf numFmtId="4" fontId="42" fillId="0" borderId="79" xfId="10" applyNumberFormat="1" applyFont="1" applyFill="1" applyBorder="1"/>
    <xf numFmtId="4" fontId="42" fillId="0" borderId="26" xfId="10" applyNumberFormat="1" applyFont="1" applyFill="1" applyBorder="1"/>
    <xf numFmtId="3" fontId="42" fillId="61" borderId="23" xfId="10" applyNumberFormat="1" applyFont="1" applyFill="1" applyBorder="1"/>
    <xf numFmtId="3" fontId="42" fillId="61" borderId="79" xfId="10" applyNumberFormat="1" applyFont="1" applyFill="1" applyBorder="1"/>
    <xf numFmtId="4" fontId="42" fillId="50" borderId="27" xfId="10" applyNumberFormat="1" applyFont="1" applyFill="1" applyBorder="1"/>
    <xf numFmtId="170" fontId="42" fillId="61" borderId="23" xfId="10" applyNumberFormat="1" applyFont="1" applyFill="1" applyBorder="1" applyProtection="1">
      <protection locked="0"/>
    </xf>
    <xf numFmtId="2" fontId="42" fillId="61" borderId="79" xfId="10" applyNumberFormat="1" applyFont="1" applyFill="1" applyBorder="1" applyProtection="1">
      <protection locked="0"/>
    </xf>
    <xf numFmtId="4" fontId="84" fillId="50" borderId="24" xfId="10" applyNumberFormat="1" applyFont="1" applyFill="1" applyBorder="1" applyProtection="1">
      <protection locked="0"/>
    </xf>
    <xf numFmtId="4" fontId="84" fillId="0" borderId="26" xfId="10" applyNumberFormat="1" applyFont="1" applyFill="1" applyBorder="1"/>
    <xf numFmtId="1" fontId="7" fillId="0" borderId="0" xfId="10" applyNumberFormat="1" applyFont="1" applyFill="1" applyAlignment="1">
      <alignment horizontal="left"/>
    </xf>
    <xf numFmtId="1" fontId="7" fillId="0" borderId="25" xfId="10" applyNumberFormat="1" applyFont="1" applyFill="1" applyBorder="1"/>
    <xf numFmtId="3" fontId="7" fillId="61" borderId="0" xfId="10" applyNumberFormat="1" applyFont="1" applyFill="1" applyBorder="1" applyProtection="1">
      <protection locked="0"/>
    </xf>
    <xf numFmtId="4" fontId="7" fillId="0" borderId="6" xfId="10" applyNumberFormat="1" applyFont="1" applyFill="1" applyBorder="1" applyAlignment="1">
      <alignment horizontal="right"/>
    </xf>
    <xf numFmtId="4" fontId="7" fillId="0" borderId="3" xfId="10" applyNumberFormat="1" applyFont="1" applyFill="1" applyBorder="1" applyAlignment="1">
      <alignment horizontal="right"/>
    </xf>
    <xf numFmtId="4" fontId="7" fillId="0" borderId="0" xfId="10" applyNumberFormat="1" applyFont="1" applyFill="1" applyBorder="1" applyAlignment="1">
      <alignment horizontal="right"/>
    </xf>
    <xf numFmtId="4" fontId="7" fillId="0" borderId="7" xfId="10" applyNumberFormat="1" applyFont="1" applyFill="1" applyBorder="1" applyAlignment="1">
      <alignment horizontal="right"/>
    </xf>
    <xf numFmtId="3" fontId="7" fillId="61" borderId="0" xfId="10" applyNumberFormat="1" applyFont="1" applyFill="1" applyProtection="1">
      <protection locked="0"/>
    </xf>
    <xf numFmtId="180" fontId="7" fillId="61" borderId="0" xfId="10" applyNumberFormat="1" applyFont="1" applyFill="1"/>
    <xf numFmtId="4" fontId="7" fillId="0" borderId="0" xfId="10" applyNumberFormat="1" applyFont="1" applyFill="1"/>
    <xf numFmtId="3" fontId="7" fillId="61" borderId="5" xfId="10" applyNumberFormat="1" applyFont="1" applyFill="1" applyBorder="1"/>
    <xf numFmtId="180" fontId="7" fillId="61" borderId="0" xfId="10" applyNumberFormat="1" applyFont="1" applyFill="1" applyBorder="1"/>
    <xf numFmtId="4" fontId="7" fillId="0" borderId="4" xfId="10" applyNumberFormat="1" applyFont="1" applyFill="1" applyBorder="1"/>
    <xf numFmtId="4" fontId="7" fillId="0" borderId="80" xfId="10" applyNumberFormat="1" applyFont="1" applyFill="1" applyBorder="1"/>
    <xf numFmtId="4" fontId="7" fillId="0" borderId="5" xfId="10" applyNumberFormat="1" applyFont="1" applyFill="1" applyBorder="1"/>
    <xf numFmtId="4" fontId="7" fillId="61" borderId="6" xfId="10" applyNumberFormat="1" applyFont="1" applyFill="1" applyBorder="1" applyAlignment="1">
      <alignment horizontal="right"/>
    </xf>
    <xf numFmtId="181" fontId="7" fillId="61" borderId="0" xfId="10" applyNumberFormat="1" applyFont="1" applyFill="1" applyBorder="1"/>
    <xf numFmtId="4" fontId="7" fillId="61" borderId="0" xfId="10" applyNumberFormat="1" applyFont="1" applyFill="1" applyBorder="1"/>
    <xf numFmtId="4" fontId="7" fillId="61" borderId="0" xfId="53" applyNumberFormat="1" applyFont="1" applyFill="1" applyBorder="1" applyAlignment="1">
      <alignment horizontal="right" wrapText="1"/>
    </xf>
    <xf numFmtId="4" fontId="7" fillId="61" borderId="5" xfId="10" applyNumberFormat="1" applyFont="1" applyFill="1" applyBorder="1"/>
    <xf numFmtId="4" fontId="7" fillId="0" borderId="2" xfId="10" applyNumberFormat="1" applyFont="1" applyFill="1" applyBorder="1"/>
    <xf numFmtId="4" fontId="7" fillId="0" borderId="7" xfId="10" applyNumberFormat="1" applyFont="1" applyFill="1" applyBorder="1"/>
    <xf numFmtId="4" fontId="7" fillId="61" borderId="0" xfId="10" applyNumberFormat="1" applyFont="1" applyFill="1" applyBorder="1" applyProtection="1">
      <protection locked="0"/>
    </xf>
    <xf numFmtId="3" fontId="7" fillId="61" borderId="6" xfId="10" applyNumberFormat="1" applyFont="1" applyFill="1" applyBorder="1" applyAlignment="1" applyProtection="1">
      <alignment horizontal="right" wrapText="1"/>
      <protection locked="0"/>
    </xf>
    <xf numFmtId="4" fontId="7" fillId="61" borderId="2" xfId="10" applyNumberFormat="1" applyFont="1" applyFill="1" applyBorder="1" applyAlignment="1" applyProtection="1">
      <alignment horizontal="right" wrapText="1"/>
      <protection locked="0"/>
    </xf>
    <xf numFmtId="180" fontId="7" fillId="61" borderId="0" xfId="10" applyNumberFormat="1" applyFont="1" applyFill="1" applyBorder="1" applyProtection="1"/>
    <xf numFmtId="183" fontId="7" fillId="61" borderId="0" xfId="10" applyNumberFormat="1" applyFont="1" applyFill="1" applyBorder="1" applyProtection="1"/>
    <xf numFmtId="4" fontId="7" fillId="0" borderId="0" xfId="10" applyNumberFormat="1" applyFont="1" applyFill="1" applyBorder="1" applyProtection="1"/>
    <xf numFmtId="2" fontId="7" fillId="61" borderId="2" xfId="80" applyNumberFormat="1" applyFont="1" applyFill="1" applyBorder="1" applyAlignment="1" applyProtection="1">
      <alignment horizontal="right"/>
      <protection locked="0"/>
    </xf>
    <xf numFmtId="4" fontId="7" fillId="0" borderId="4" xfId="10" applyNumberFormat="1" applyFont="1" applyFill="1" applyBorder="1" applyProtection="1"/>
    <xf numFmtId="3" fontId="7" fillId="61" borderId="0" xfId="10" applyNumberFormat="1" applyFont="1" applyFill="1" applyBorder="1" applyAlignment="1" applyProtection="1">
      <alignment horizontal="right"/>
      <protection locked="0"/>
    </xf>
    <xf numFmtId="4" fontId="7" fillId="62" borderId="25" xfId="10" applyNumberFormat="1" applyFont="1" applyFill="1" applyBorder="1"/>
    <xf numFmtId="183" fontId="7" fillId="61" borderId="0" xfId="10" applyNumberFormat="1" applyFont="1" applyFill="1"/>
    <xf numFmtId="170" fontId="7" fillId="61" borderId="6" xfId="10" applyNumberFormat="1" applyFont="1" applyFill="1" applyBorder="1" applyProtection="1">
      <protection locked="0"/>
    </xf>
    <xf numFmtId="3" fontId="115" fillId="0" borderId="0" xfId="10" applyNumberFormat="1" applyFont="1" applyFill="1" applyBorder="1" applyProtection="1">
      <protection locked="0"/>
    </xf>
    <xf numFmtId="183" fontId="7" fillId="61" borderId="0" xfId="10" applyNumberFormat="1" applyFont="1" applyFill="1" applyBorder="1"/>
    <xf numFmtId="4" fontId="84" fillId="50" borderId="0" xfId="10" applyNumberFormat="1" applyFont="1" applyFill="1" applyProtection="1">
      <protection locked="0"/>
    </xf>
    <xf numFmtId="4" fontId="84" fillId="0" borderId="7" xfId="10" applyNumberFormat="1" applyFont="1" applyFill="1" applyBorder="1"/>
    <xf numFmtId="4" fontId="42" fillId="0" borderId="47" xfId="10" applyNumberFormat="1" applyFont="1" applyBorder="1"/>
    <xf numFmtId="1" fontId="7" fillId="0" borderId="0" xfId="10" applyNumberFormat="1" applyFont="1" applyFill="1" applyBorder="1" applyAlignment="1">
      <alignment horizontal="left"/>
    </xf>
    <xf numFmtId="3" fontId="7" fillId="61" borderId="0" xfId="10" applyNumberFormat="1" applyFont="1" applyFill="1" applyBorder="1"/>
    <xf numFmtId="4" fontId="7" fillId="61" borderId="6" xfId="10" applyNumberFormat="1" applyFont="1" applyFill="1" applyBorder="1"/>
    <xf numFmtId="4" fontId="42" fillId="0" borderId="0" xfId="10" applyNumberFormat="1" applyFont="1" applyBorder="1"/>
    <xf numFmtId="3" fontId="42" fillId="61" borderId="0" xfId="10" applyNumberFormat="1" applyFont="1" applyFill="1" applyBorder="1" applyProtection="1">
      <protection locked="0"/>
    </xf>
    <xf numFmtId="4" fontId="7" fillId="61" borderId="2" xfId="80" applyNumberFormat="1" applyFont="1" applyFill="1" applyBorder="1" applyAlignment="1" applyProtection="1">
      <alignment horizontal="right"/>
      <protection locked="0"/>
    </xf>
    <xf numFmtId="0" fontId="7" fillId="0" borderId="3" xfId="10" applyBorder="1"/>
    <xf numFmtId="3" fontId="7" fillId="0" borderId="0" xfId="10" applyNumberFormat="1" applyFill="1" applyBorder="1"/>
    <xf numFmtId="3" fontId="7" fillId="0" borderId="60" xfId="10" applyNumberFormat="1" applyBorder="1" applyAlignment="1">
      <alignment horizontal="center"/>
    </xf>
    <xf numFmtId="0" fontId="106" fillId="0" borderId="0" xfId="52" applyFont="1" applyAlignment="1" applyProtection="1">
      <alignment horizontal="left"/>
    </xf>
    <xf numFmtId="0" fontId="42" fillId="0" borderId="25" xfId="10" applyFont="1" applyBorder="1" applyAlignment="1">
      <alignment horizontal="center"/>
    </xf>
    <xf numFmtId="3" fontId="88" fillId="0" borderId="0" xfId="10" applyNumberFormat="1" applyFont="1" applyBorder="1" applyAlignment="1">
      <alignment horizontal="center"/>
    </xf>
    <xf numFmtId="3" fontId="7" fillId="0" borderId="6" xfId="10" applyNumberFormat="1" applyFont="1" applyBorder="1" applyAlignment="1">
      <alignment horizontal="center"/>
    </xf>
    <xf numFmtId="9" fontId="0" fillId="0" borderId="7" xfId="55" applyFont="1" applyBorder="1" applyAlignment="1">
      <alignment horizontal="center"/>
    </xf>
    <xf numFmtId="3" fontId="42" fillId="0" borderId="0" xfId="10" applyNumberFormat="1" applyFont="1"/>
    <xf numFmtId="0" fontId="88" fillId="0" borderId="0" xfId="10" applyFont="1" applyBorder="1"/>
    <xf numFmtId="0" fontId="115" fillId="0" borderId="0" xfId="10" applyFont="1"/>
    <xf numFmtId="0" fontId="42" fillId="48" borderId="27" xfId="10" applyFont="1" applyFill="1" applyBorder="1" applyAlignment="1">
      <alignment horizontal="center"/>
    </xf>
    <xf numFmtId="0" fontId="116" fillId="0" borderId="5" xfId="10" applyFont="1" applyBorder="1" applyAlignment="1">
      <alignment horizontal="center"/>
    </xf>
    <xf numFmtId="0" fontId="7" fillId="53" borderId="28" xfId="10" applyFill="1" applyBorder="1" applyAlignment="1">
      <alignment horizontal="center"/>
    </xf>
    <xf numFmtId="0" fontId="116" fillId="0" borderId="7" xfId="10" applyFont="1" applyBorder="1" applyAlignment="1">
      <alignment horizontal="center"/>
    </xf>
    <xf numFmtId="3" fontId="88" fillId="0" borderId="7" xfId="10" applyNumberFormat="1" applyFont="1" applyBorder="1" applyAlignment="1">
      <alignment horizontal="center"/>
    </xf>
    <xf numFmtId="3" fontId="42" fillId="0" borderId="25" xfId="10" applyNumberFormat="1" applyFont="1" applyBorder="1" applyAlignment="1">
      <alignment horizontal="center"/>
    </xf>
    <xf numFmtId="3" fontId="42" fillId="53" borderId="25" xfId="10" applyNumberFormat="1" applyFont="1" applyFill="1" applyBorder="1" applyAlignment="1">
      <alignment horizontal="center"/>
    </xf>
    <xf numFmtId="3" fontId="7" fillId="0" borderId="25" xfId="10" applyNumberFormat="1" applyFont="1" applyBorder="1" applyAlignment="1">
      <alignment horizontal="center"/>
    </xf>
    <xf numFmtId="3" fontId="7" fillId="0" borderId="0" xfId="10" applyNumberFormat="1" applyFont="1" applyFill="1" applyBorder="1" applyAlignment="1">
      <alignment horizontal="center"/>
    </xf>
    <xf numFmtId="3" fontId="88" fillId="0" borderId="7" xfId="10" applyNumberFormat="1" applyFont="1" applyFill="1" applyBorder="1" applyAlignment="1">
      <alignment horizontal="center"/>
    </xf>
    <xf numFmtId="3" fontId="7" fillId="0" borderId="8" xfId="10" applyNumberFormat="1" applyBorder="1" applyAlignment="1">
      <alignment horizontal="center"/>
    </xf>
    <xf numFmtId="3" fontId="7" fillId="0" borderId="9" xfId="10" applyNumberFormat="1" applyBorder="1" applyAlignment="1">
      <alignment horizontal="center"/>
    </xf>
    <xf numFmtId="3" fontId="42" fillId="0" borderId="60" xfId="10" applyNumberFormat="1" applyFont="1" applyBorder="1" applyAlignment="1">
      <alignment horizontal="center"/>
    </xf>
    <xf numFmtId="3" fontId="42" fillId="53" borderId="60" xfId="10" applyNumberFormat="1" applyFont="1" applyFill="1" applyBorder="1" applyAlignment="1">
      <alignment horizontal="center"/>
    </xf>
    <xf numFmtId="3" fontId="42" fillId="0" borderId="8" xfId="10" applyNumberFormat="1" applyFont="1" applyBorder="1" applyAlignment="1">
      <alignment horizontal="center"/>
    </xf>
    <xf numFmtId="3" fontId="88" fillId="0" borderId="9" xfId="10" applyNumberFormat="1" applyFont="1" applyBorder="1" applyAlignment="1">
      <alignment horizontal="center"/>
    </xf>
    <xf numFmtId="9" fontId="0" fillId="0" borderId="9" xfId="55" applyFont="1" applyBorder="1" applyAlignment="1">
      <alignment horizontal="center"/>
    </xf>
    <xf numFmtId="177" fontId="7" fillId="0" borderId="0" xfId="10" applyNumberFormat="1" applyBorder="1" applyAlignment="1">
      <alignment horizontal="center"/>
    </xf>
    <xf numFmtId="177" fontId="7" fillId="0" borderId="6" xfId="10" applyNumberFormat="1" applyBorder="1" applyAlignment="1">
      <alignment horizontal="center"/>
    </xf>
    <xf numFmtId="177" fontId="7" fillId="0" borderId="7" xfId="10" applyNumberFormat="1" applyBorder="1" applyAlignment="1">
      <alignment horizontal="center"/>
    </xf>
    <xf numFmtId="3" fontId="8" fillId="0" borderId="7" xfId="10" applyNumberFormat="1" applyFont="1" applyBorder="1" applyAlignment="1">
      <alignment horizontal="center"/>
    </xf>
    <xf numFmtId="0" fontId="88" fillId="0" borderId="6" xfId="10" applyFont="1" applyBorder="1" applyAlignment="1">
      <alignment horizontal="center"/>
    </xf>
    <xf numFmtId="3" fontId="88" fillId="0" borderId="6" xfId="10" applyNumberFormat="1" applyFont="1" applyBorder="1" applyAlignment="1">
      <alignment horizontal="center"/>
    </xf>
    <xf numFmtId="3" fontId="117" fillId="0" borderId="7" xfId="10" applyNumberFormat="1" applyFont="1" applyBorder="1" applyAlignment="1">
      <alignment horizontal="center"/>
    </xf>
    <xf numFmtId="177" fontId="88" fillId="0" borderId="7" xfId="10" applyNumberFormat="1" applyFont="1" applyBorder="1" applyAlignment="1">
      <alignment horizontal="center"/>
    </xf>
    <xf numFmtId="3" fontId="88" fillId="0" borderId="0" xfId="10" applyNumberFormat="1" applyFont="1" applyFill="1" applyBorder="1" applyAlignment="1">
      <alignment horizontal="center"/>
    </xf>
    <xf numFmtId="3" fontId="7" fillId="0" borderId="25" xfId="10" applyNumberFormat="1" applyBorder="1" applyAlignment="1">
      <alignment horizontal="right"/>
    </xf>
    <xf numFmtId="174" fontId="7" fillId="0" borderId="25" xfId="10" applyNumberFormat="1" applyBorder="1" applyAlignment="1">
      <alignment horizontal="right"/>
    </xf>
    <xf numFmtId="2" fontId="7" fillId="0" borderId="0" xfId="10" applyNumberFormat="1"/>
    <xf numFmtId="3" fontId="7" fillId="0" borderId="25" xfId="10" applyNumberFormat="1" applyFont="1" applyBorder="1" applyAlignment="1">
      <alignment horizontal="right"/>
    </xf>
    <xf numFmtId="0" fontId="7" fillId="0" borderId="60" xfId="10" applyBorder="1" applyAlignment="1">
      <alignment horizontal="right"/>
    </xf>
    <xf numFmtId="3" fontId="7" fillId="0" borderId="60" xfId="10" applyNumberFormat="1" applyBorder="1" applyAlignment="1">
      <alignment horizontal="right"/>
    </xf>
    <xf numFmtId="177" fontId="7" fillId="0" borderId="0" xfId="10" applyNumberFormat="1" applyFont="1" applyAlignment="1"/>
    <xf numFmtId="3" fontId="7" fillId="0" borderId="6" xfId="10" applyNumberFormat="1" applyFill="1" applyBorder="1" applyAlignment="1">
      <alignment horizontal="center"/>
    </xf>
    <xf numFmtId="3" fontId="7" fillId="0" borderId="6" xfId="10" applyNumberFormat="1" applyFont="1" applyFill="1" applyBorder="1" applyAlignment="1">
      <alignment horizontal="center"/>
    </xf>
    <xf numFmtId="3" fontId="7" fillId="0" borderId="10" xfId="10" applyNumberFormat="1" applyFill="1" applyBorder="1" applyAlignment="1">
      <alignment horizontal="center"/>
    </xf>
    <xf numFmtId="3" fontId="7" fillId="0" borderId="11" xfId="10" applyNumberFormat="1" applyFill="1" applyBorder="1" applyAlignment="1">
      <alignment horizontal="center"/>
    </xf>
    <xf numFmtId="0" fontId="109" fillId="0" borderId="0" xfId="10" applyFont="1" applyBorder="1"/>
    <xf numFmtId="0" fontId="42" fillId="0" borderId="11" xfId="10" applyFont="1" applyFill="1" applyBorder="1" applyAlignment="1">
      <alignment horizontal="center"/>
    </xf>
    <xf numFmtId="3" fontId="7" fillId="0" borderId="5" xfId="10" applyNumberFormat="1" applyFont="1" applyFill="1" applyBorder="1" applyAlignment="1">
      <alignment horizontal="center"/>
    </xf>
    <xf numFmtId="3" fontId="42" fillId="0" borderId="28" xfId="10" applyNumberFormat="1" applyFont="1" applyFill="1" applyBorder="1" applyAlignment="1">
      <alignment horizontal="center"/>
    </xf>
    <xf numFmtId="3" fontId="42" fillId="0" borderId="25" xfId="10" applyNumberFormat="1" applyFont="1" applyFill="1" applyBorder="1" applyAlignment="1">
      <alignment horizontal="center"/>
    </xf>
    <xf numFmtId="3" fontId="42" fillId="0" borderId="60" xfId="10" applyNumberFormat="1" applyFont="1" applyFill="1" applyBorder="1" applyAlignment="1">
      <alignment horizontal="center"/>
    </xf>
    <xf numFmtId="0" fontId="42" fillId="48" borderId="0" xfId="10" applyFont="1" applyFill="1"/>
    <xf numFmtId="3" fontId="7" fillId="0" borderId="0" xfId="10" applyNumberFormat="1" applyFont="1"/>
    <xf numFmtId="14" fontId="7" fillId="0" borderId="0" xfId="10" applyNumberFormat="1" applyFont="1"/>
    <xf numFmtId="14" fontId="7" fillId="0" borderId="0" xfId="10" applyNumberFormat="1" applyFont="1" applyAlignment="1">
      <alignment horizontal="center"/>
    </xf>
    <xf numFmtId="184" fontId="7" fillId="0" borderId="0" xfId="10" applyNumberFormat="1" applyFont="1" applyAlignment="1">
      <alignment horizontal="center"/>
    </xf>
    <xf numFmtId="184" fontId="0" fillId="0" borderId="0" xfId="55" applyNumberFormat="1" applyFont="1" applyAlignment="1">
      <alignment horizontal="center"/>
    </xf>
    <xf numFmtId="14" fontId="7" fillId="0" borderId="0" xfId="10" applyNumberFormat="1"/>
    <xf numFmtId="14" fontId="7" fillId="0" borderId="0" xfId="10" applyNumberFormat="1" applyAlignment="1">
      <alignment horizontal="center"/>
    </xf>
    <xf numFmtId="184" fontId="7" fillId="0" borderId="0" xfId="10" applyNumberFormat="1" applyAlignment="1">
      <alignment horizontal="center"/>
    </xf>
    <xf numFmtId="14" fontId="7" fillId="0" borderId="0" xfId="10" applyNumberFormat="1" applyFill="1" applyAlignment="1">
      <alignment horizontal="center"/>
    </xf>
    <xf numFmtId="49" fontId="7" fillId="0" borderId="0" xfId="10" applyNumberFormat="1" applyAlignment="1">
      <alignment horizontal="center"/>
    </xf>
    <xf numFmtId="10" fontId="0" fillId="0" borderId="0" xfId="55" applyNumberFormat="1" applyFont="1" applyFill="1" applyAlignment="1">
      <alignment horizontal="center"/>
    </xf>
    <xf numFmtId="0" fontId="7" fillId="0" borderId="0" xfId="10" applyAlignment="1">
      <alignment wrapText="1"/>
    </xf>
    <xf numFmtId="0" fontId="118" fillId="0" borderId="0" xfId="10" applyFont="1"/>
    <xf numFmtId="0" fontId="118" fillId="0" borderId="0" xfId="10" applyFont="1" applyAlignment="1">
      <alignment horizontal="center"/>
    </xf>
    <xf numFmtId="0" fontId="43" fillId="0" borderId="0" xfId="52" applyAlignment="1" applyProtection="1">
      <alignment horizontal="left"/>
    </xf>
    <xf numFmtId="0" fontId="106" fillId="0" borderId="0" xfId="52" applyFont="1" applyAlignment="1" applyProtection="1">
      <alignment horizontal="center"/>
    </xf>
    <xf numFmtId="177" fontId="106" fillId="0" borderId="0" xfId="52" applyNumberFormat="1" applyFont="1" applyAlignment="1" applyProtection="1">
      <alignment horizontal="left"/>
    </xf>
    <xf numFmtId="0" fontId="71" fillId="0" borderId="0" xfId="56" applyFont="1"/>
    <xf numFmtId="0" fontId="71" fillId="0" borderId="0" xfId="56" applyFont="1" applyAlignment="1">
      <alignment horizontal="center"/>
    </xf>
    <xf numFmtId="177" fontId="71" fillId="0" borderId="0" xfId="56" applyNumberFormat="1" applyFont="1" applyAlignment="1">
      <alignment horizontal="right"/>
    </xf>
    <xf numFmtId="177" fontId="71" fillId="0" borderId="0" xfId="56" applyNumberFormat="1" applyFont="1"/>
    <xf numFmtId="0" fontId="24" fillId="0" borderId="0" xfId="56"/>
    <xf numFmtId="0" fontId="24" fillId="0" borderId="0" xfId="56" applyAlignment="1">
      <alignment horizontal="center"/>
    </xf>
    <xf numFmtId="177" fontId="24" fillId="0" borderId="0" xfId="56" applyNumberFormat="1"/>
    <xf numFmtId="0" fontId="8" fillId="0" borderId="110" xfId="56" applyFont="1" applyBorder="1"/>
    <xf numFmtId="0" fontId="8" fillId="0" borderId="54" xfId="56" applyFont="1" applyBorder="1" applyAlignment="1">
      <alignment horizontal="center"/>
    </xf>
    <xf numFmtId="0" fontId="8" fillId="0" borderId="54" xfId="56" applyFont="1" applyBorder="1" applyAlignment="1">
      <alignment horizontal="center" wrapText="1"/>
    </xf>
    <xf numFmtId="177" fontId="8" fillId="0" borderId="54" xfId="56" applyNumberFormat="1" applyFont="1" applyBorder="1" applyAlignment="1">
      <alignment horizontal="center" wrapText="1"/>
    </xf>
    <xf numFmtId="177" fontId="8" fillId="0" borderId="54" xfId="56" applyNumberFormat="1" applyFont="1" applyBorder="1" applyAlignment="1">
      <alignment horizontal="center"/>
    </xf>
    <xf numFmtId="177" fontId="8" fillId="0" borderId="99" xfId="56" applyNumberFormat="1" applyFont="1" applyBorder="1" applyAlignment="1">
      <alignment horizontal="center"/>
    </xf>
    <xf numFmtId="177" fontId="8" fillId="0" borderId="99" xfId="56" applyNumberFormat="1" applyFont="1" applyFill="1" applyBorder="1" applyAlignment="1">
      <alignment horizontal="center" wrapText="1"/>
    </xf>
    <xf numFmtId="177" fontId="8" fillId="0" borderId="118" xfId="56" applyNumberFormat="1" applyFont="1" applyBorder="1" applyAlignment="1">
      <alignment horizontal="center" wrapText="1"/>
    </xf>
    <xf numFmtId="0" fontId="8" fillId="0" borderId="54" xfId="56" applyFont="1" applyBorder="1"/>
    <xf numFmtId="0" fontId="8" fillId="0" borderId="54" xfId="56" applyFont="1" applyBorder="1" applyAlignment="1">
      <alignment wrapText="1"/>
    </xf>
    <xf numFmtId="177" fontId="8" fillId="0" borderId="54" xfId="56" applyNumberFormat="1" applyFont="1" applyBorder="1" applyAlignment="1">
      <alignment horizontal="right" wrapText="1"/>
    </xf>
    <xf numFmtId="177" fontId="8" fillId="0" borderId="54" xfId="56" applyNumberFormat="1" applyFont="1" applyBorder="1" applyAlignment="1">
      <alignment wrapText="1"/>
    </xf>
    <xf numFmtId="177" fontId="7" fillId="0" borderId="1" xfId="10" applyNumberFormat="1" applyBorder="1"/>
    <xf numFmtId="177" fontId="8" fillId="0" borderId="111" xfId="56" applyNumberFormat="1" applyFont="1" applyBorder="1" applyAlignment="1">
      <alignment horizontal="right" wrapText="1"/>
    </xf>
    <xf numFmtId="0" fontId="119" fillId="0" borderId="110" xfId="56" applyFont="1" applyBorder="1"/>
    <xf numFmtId="0" fontId="24" fillId="0" borderId="119" xfId="56" applyBorder="1"/>
    <xf numFmtId="0" fontId="24" fillId="0" borderId="1" xfId="56" applyBorder="1"/>
    <xf numFmtId="0" fontId="24" fillId="0" borderId="1" xfId="56" applyFill="1" applyBorder="1" applyAlignment="1">
      <alignment horizontal="center"/>
    </xf>
    <xf numFmtId="177" fontId="24" fillId="0" borderId="1" xfId="56" applyNumberFormat="1" applyBorder="1" applyAlignment="1">
      <alignment horizontal="right"/>
    </xf>
    <xf numFmtId="177" fontId="24" fillId="0" borderId="1" xfId="56" applyNumberFormat="1" applyBorder="1"/>
    <xf numFmtId="177" fontId="24" fillId="0" borderId="120" xfId="56" applyNumberFormat="1" applyBorder="1" applyAlignment="1">
      <alignment horizontal="right"/>
    </xf>
    <xf numFmtId="177" fontId="24" fillId="0" borderId="1" xfId="56" applyNumberFormat="1" applyFill="1" applyBorder="1" applyAlignment="1">
      <alignment horizontal="right"/>
    </xf>
    <xf numFmtId="0" fontId="24" fillId="0" borderId="110" xfId="56" applyBorder="1"/>
    <xf numFmtId="0" fontId="24" fillId="0" borderId="54" xfId="56" applyBorder="1"/>
    <xf numFmtId="0" fontId="24" fillId="0" borderId="54" xfId="56" applyFill="1" applyBorder="1" applyAlignment="1">
      <alignment horizontal="center"/>
    </xf>
    <xf numFmtId="177" fontId="24" fillId="0" borderId="54" xfId="56" applyNumberFormat="1" applyBorder="1" applyAlignment="1">
      <alignment horizontal="right"/>
    </xf>
    <xf numFmtId="177" fontId="24" fillId="0" borderId="54" xfId="56" applyNumberFormat="1" applyFill="1" applyBorder="1" applyAlignment="1">
      <alignment horizontal="right"/>
    </xf>
    <xf numFmtId="177" fontId="8" fillId="0" borderId="120" xfId="56" applyNumberFormat="1" applyFont="1" applyBorder="1" applyAlignment="1">
      <alignment horizontal="right"/>
    </xf>
    <xf numFmtId="0" fontId="119" fillId="0" borderId="119" xfId="56" applyFont="1" applyBorder="1"/>
    <xf numFmtId="0" fontId="8" fillId="0" borderId="1" xfId="56" applyFont="1" applyBorder="1" applyAlignment="1">
      <alignment horizontal="center"/>
    </xf>
    <xf numFmtId="177" fontId="7" fillId="0" borderId="1" xfId="10" applyNumberFormat="1" applyFill="1" applyBorder="1"/>
    <xf numFmtId="0" fontId="24" fillId="0" borderId="3" xfId="56" applyFill="1" applyBorder="1"/>
    <xf numFmtId="0" fontId="24" fillId="0" borderId="1" xfId="56" applyBorder="1" applyAlignment="1">
      <alignment horizontal="center"/>
    </xf>
    <xf numFmtId="177" fontId="24" fillId="0" borderId="27" xfId="56" applyNumberFormat="1" applyFill="1" applyBorder="1" applyAlignment="1">
      <alignment horizontal="right"/>
    </xf>
    <xf numFmtId="177" fontId="24" fillId="0" borderId="27" xfId="56" applyNumberFormat="1" applyBorder="1" applyAlignment="1">
      <alignment horizontal="right"/>
    </xf>
    <xf numFmtId="177" fontId="8" fillId="0" borderId="27" xfId="56" applyNumberFormat="1" applyFont="1" applyBorder="1" applyAlignment="1">
      <alignment horizontal="right"/>
    </xf>
    <xf numFmtId="0" fontId="24" fillId="0" borderId="1" xfId="56" applyFont="1" applyBorder="1"/>
    <xf numFmtId="0" fontId="24" fillId="0" borderId="1" xfId="56" applyFont="1" applyFill="1" applyBorder="1" applyAlignment="1">
      <alignment horizontal="center"/>
    </xf>
    <xf numFmtId="0" fontId="45" fillId="65" borderId="1" xfId="56" applyFont="1" applyFill="1" applyBorder="1"/>
    <xf numFmtId="0" fontId="45" fillId="65" borderId="1" xfId="56" applyFont="1" applyFill="1" applyBorder="1" applyAlignment="1">
      <alignment horizontal="center"/>
    </xf>
    <xf numFmtId="177" fontId="45" fillId="65" borderId="1" xfId="56" applyNumberFormat="1" applyFont="1" applyFill="1" applyBorder="1" applyAlignment="1">
      <alignment horizontal="right"/>
    </xf>
    <xf numFmtId="177" fontId="45" fillId="65" borderId="1" xfId="56" applyNumberFormat="1" applyFont="1" applyFill="1" applyBorder="1"/>
    <xf numFmtId="177" fontId="7" fillId="65" borderId="1" xfId="10" applyNumberFormat="1" applyFont="1" applyFill="1" applyBorder="1"/>
    <xf numFmtId="177" fontId="45" fillId="65" borderId="120" xfId="56" applyNumberFormat="1" applyFont="1" applyFill="1" applyBorder="1" applyAlignment="1">
      <alignment horizontal="right"/>
    </xf>
    <xf numFmtId="0" fontId="24" fillId="65" borderId="1" xfId="56" applyFill="1" applyBorder="1"/>
    <xf numFmtId="0" fontId="24" fillId="65" borderId="1" xfId="56" applyFill="1" applyBorder="1" applyAlignment="1">
      <alignment horizontal="center"/>
    </xf>
    <xf numFmtId="177" fontId="24" fillId="65" borderId="1" xfId="56" applyNumberFormat="1" applyFill="1" applyBorder="1" applyAlignment="1">
      <alignment horizontal="right"/>
    </xf>
    <xf numFmtId="177" fontId="24" fillId="65" borderId="1" xfId="56" applyNumberFormat="1" applyFill="1" applyBorder="1"/>
    <xf numFmtId="177" fontId="7" fillId="65" borderId="1" xfId="10" applyNumberFormat="1" applyFill="1" applyBorder="1"/>
    <xf numFmtId="177" fontId="24" fillId="65" borderId="120" xfId="56" applyNumberFormat="1" applyFill="1" applyBorder="1" applyAlignment="1">
      <alignment horizontal="right"/>
    </xf>
    <xf numFmtId="177" fontId="8" fillId="0" borderId="27" xfId="56" applyNumberFormat="1" applyFont="1" applyFill="1" applyBorder="1" applyAlignment="1">
      <alignment horizontal="right"/>
    </xf>
    <xf numFmtId="177" fontId="24" fillId="0" borderId="0" xfId="56" applyNumberFormat="1" applyFill="1"/>
    <xf numFmtId="0" fontId="8" fillId="0" borderId="110" xfId="56" applyFont="1" applyFill="1" applyBorder="1"/>
    <xf numFmtId="0" fontId="8" fillId="0" borderId="54" xfId="56" applyFont="1" applyFill="1" applyBorder="1" applyAlignment="1">
      <alignment horizontal="center"/>
    </xf>
    <xf numFmtId="0" fontId="8" fillId="0" borderId="54" xfId="56" applyFont="1" applyFill="1" applyBorder="1"/>
    <xf numFmtId="0" fontId="8" fillId="0" borderId="54" xfId="56" applyFont="1" applyFill="1" applyBorder="1" applyAlignment="1">
      <alignment wrapText="1"/>
    </xf>
    <xf numFmtId="177" fontId="8" fillId="0" borderId="54" xfId="56" applyNumberFormat="1" applyFont="1" applyFill="1" applyBorder="1" applyAlignment="1">
      <alignment horizontal="right" wrapText="1"/>
    </xf>
    <xf numFmtId="177" fontId="8" fillId="0" borderId="54" xfId="56" applyNumberFormat="1" applyFont="1" applyFill="1" applyBorder="1" applyAlignment="1">
      <alignment wrapText="1"/>
    </xf>
    <xf numFmtId="177" fontId="8" fillId="0" borderId="111" xfId="56" applyNumberFormat="1" applyFont="1" applyFill="1" applyBorder="1" applyAlignment="1">
      <alignment horizontal="right" wrapText="1"/>
    </xf>
    <xf numFmtId="0" fontId="24" fillId="0" borderId="119" xfId="56" applyFill="1" applyBorder="1"/>
    <xf numFmtId="0" fontId="24" fillId="0" borderId="1" xfId="56" applyFill="1" applyBorder="1"/>
    <xf numFmtId="177" fontId="24" fillId="0" borderId="1" xfId="56" applyNumberFormat="1" applyFill="1" applyBorder="1"/>
    <xf numFmtId="177" fontId="24" fillId="0" borderId="120" xfId="56" applyNumberFormat="1" applyFill="1" applyBorder="1" applyAlignment="1">
      <alignment horizontal="right"/>
    </xf>
    <xf numFmtId="0" fontId="24" fillId="0" borderId="110" xfId="56" applyFill="1" applyBorder="1"/>
    <xf numFmtId="0" fontId="24" fillId="0" borderId="54" xfId="56" applyFill="1" applyBorder="1"/>
    <xf numFmtId="0" fontId="24" fillId="0" borderId="1" xfId="56" applyFont="1" applyFill="1" applyBorder="1"/>
    <xf numFmtId="0" fontId="24" fillId="0" borderId="119" xfId="56" applyFont="1" applyFill="1" applyBorder="1"/>
    <xf numFmtId="0" fontId="24" fillId="0" borderId="0" xfId="56" applyFill="1"/>
    <xf numFmtId="0" fontId="24" fillId="0" borderId="0" xfId="56" applyFill="1" applyAlignment="1">
      <alignment horizontal="center"/>
    </xf>
    <xf numFmtId="0" fontId="0" fillId="0" borderId="119" xfId="56" applyFont="1" applyFill="1" applyBorder="1"/>
    <xf numFmtId="0" fontId="0" fillId="0" borderId="1" xfId="56" applyFont="1" applyFill="1" applyBorder="1"/>
    <xf numFmtId="0" fontId="0" fillId="0" borderId="1" xfId="56" applyFont="1" applyFill="1" applyBorder="1" applyAlignment="1">
      <alignment horizontal="center"/>
    </xf>
    <xf numFmtId="0" fontId="7" fillId="0" borderId="119" xfId="56" applyFont="1" applyFill="1" applyBorder="1"/>
    <xf numFmtId="0" fontId="7" fillId="0" borderId="1" xfId="56" applyFont="1" applyFill="1" applyBorder="1"/>
    <xf numFmtId="0" fontId="7" fillId="0" borderId="1" xfId="56" applyFont="1" applyFill="1" applyBorder="1" applyAlignment="1">
      <alignment horizontal="center"/>
    </xf>
    <xf numFmtId="0" fontId="24" fillId="0" borderId="3" xfId="56" applyFont="1" applyFill="1" applyBorder="1"/>
    <xf numFmtId="0" fontId="107" fillId="0" borderId="0" xfId="10" applyFont="1" applyFill="1"/>
    <xf numFmtId="0" fontId="120" fillId="0" borderId="3" xfId="57" applyFont="1" applyBorder="1"/>
    <xf numFmtId="2" fontId="7" fillId="0" borderId="2" xfId="10" applyNumberFormat="1" applyBorder="1" applyAlignment="1">
      <alignment horizontal="center"/>
    </xf>
    <xf numFmtId="2" fontId="7" fillId="0" borderId="0" xfId="10" applyNumberFormat="1" applyBorder="1" applyAlignment="1">
      <alignment horizontal="center"/>
    </xf>
    <xf numFmtId="2" fontId="7" fillId="0" borderId="4" xfId="10" applyNumberFormat="1" applyBorder="1" applyAlignment="1">
      <alignment horizontal="center"/>
    </xf>
    <xf numFmtId="2" fontId="7" fillId="0" borderId="0" xfId="57" applyNumberFormat="1" applyBorder="1" applyAlignment="1">
      <alignment horizontal="center"/>
    </xf>
    <xf numFmtId="2" fontId="7" fillId="0" borderId="4" xfId="57" applyNumberFormat="1" applyBorder="1" applyAlignment="1">
      <alignment horizontal="center"/>
    </xf>
    <xf numFmtId="0" fontId="121" fillId="0" borderId="3" xfId="57" applyFont="1" applyFill="1" applyBorder="1"/>
    <xf numFmtId="2" fontId="42" fillId="0" borderId="2" xfId="10" applyNumberFormat="1" applyFont="1" applyBorder="1" applyAlignment="1">
      <alignment horizontal="center"/>
    </xf>
    <xf numFmtId="2" fontId="42" fillId="0" borderId="0" xfId="10" applyNumberFormat="1" applyFont="1" applyBorder="1" applyAlignment="1">
      <alignment horizontal="center"/>
    </xf>
    <xf numFmtId="2" fontId="42" fillId="0" borderId="4" xfId="10" applyNumberFormat="1" applyFont="1" applyBorder="1" applyAlignment="1">
      <alignment horizontal="center"/>
    </xf>
    <xf numFmtId="0" fontId="7" fillId="0" borderId="54" xfId="10" applyBorder="1"/>
    <xf numFmtId="0" fontId="7" fillId="0" borderId="49" xfId="10" applyBorder="1"/>
    <xf numFmtId="0" fontId="7" fillId="0" borderId="29" xfId="10" applyBorder="1"/>
    <xf numFmtId="0" fontId="7" fillId="0" borderId="50" xfId="10" applyBorder="1"/>
    <xf numFmtId="0" fontId="24" fillId="0" borderId="0" xfId="60"/>
    <xf numFmtId="0" fontId="36" fillId="3" borderId="0" xfId="60" applyFont="1" applyFill="1" applyBorder="1" applyAlignment="1">
      <alignment horizontal="center" vertical="center"/>
    </xf>
    <xf numFmtId="0" fontId="51" fillId="0" borderId="0" xfId="60" applyFont="1" applyBorder="1" applyAlignment="1">
      <alignment horizontal="center" vertical="center"/>
    </xf>
    <xf numFmtId="0" fontId="105" fillId="66" borderId="0" xfId="60" applyFont="1" applyFill="1" applyBorder="1" applyAlignment="1">
      <alignment horizontal="center" vertical="center" wrapText="1"/>
    </xf>
    <xf numFmtId="0" fontId="105" fillId="0" borderId="0" xfId="60" applyFont="1" applyBorder="1" applyAlignment="1">
      <alignment horizontal="center" vertical="center"/>
    </xf>
    <xf numFmtId="0" fontId="105" fillId="67" borderId="0" xfId="60" applyFont="1" applyFill="1" applyBorder="1" applyAlignment="1">
      <alignment horizontal="center" vertical="center"/>
    </xf>
    <xf numFmtId="0" fontId="122" fillId="0" borderId="0" xfId="60" applyFont="1" applyBorder="1" applyAlignment="1">
      <alignment horizontal="left" vertical="center"/>
    </xf>
    <xf numFmtId="0" fontId="105" fillId="65" borderId="0" xfId="60" applyFont="1" applyFill="1" applyBorder="1" applyAlignment="1">
      <alignment horizontal="center" vertical="center" wrapText="1"/>
    </xf>
    <xf numFmtId="0" fontId="123" fillId="0" borderId="0" xfId="60" applyFont="1" applyFill="1" applyBorder="1" applyAlignment="1">
      <alignment horizontal="center" vertical="center" wrapText="1"/>
    </xf>
    <xf numFmtId="0" fontId="105" fillId="0" borderId="0" xfId="60" applyFont="1" applyBorder="1" applyAlignment="1">
      <alignment horizontal="center" vertical="center" wrapText="1"/>
    </xf>
    <xf numFmtId="0" fontId="105" fillId="67" borderId="0" xfId="60" applyFont="1" applyFill="1" applyBorder="1" applyAlignment="1">
      <alignment horizontal="center" vertical="center" wrapText="1"/>
    </xf>
    <xf numFmtId="0" fontId="105" fillId="0" borderId="0" xfId="60" applyFont="1" applyFill="1" applyBorder="1" applyAlignment="1">
      <alignment horizontal="center" vertical="center"/>
    </xf>
    <xf numFmtId="0" fontId="105" fillId="68" borderId="0" xfId="60" applyFont="1" applyFill="1" applyBorder="1" applyAlignment="1">
      <alignment horizontal="center" vertical="center" wrapText="1"/>
    </xf>
    <xf numFmtId="0" fontId="36" fillId="0" borderId="0" xfId="60" applyFont="1" applyBorder="1" applyAlignment="1">
      <alignment horizontal="center" vertical="center"/>
    </xf>
    <xf numFmtId="0" fontId="105" fillId="0" borderId="0" xfId="60" applyFont="1" applyFill="1" applyBorder="1" applyAlignment="1">
      <alignment horizontal="center" vertical="center" wrapText="1"/>
    </xf>
    <xf numFmtId="0" fontId="36" fillId="0" borderId="0" xfId="60" applyFont="1" applyFill="1" applyBorder="1" applyAlignment="1">
      <alignment horizontal="center" vertical="center"/>
    </xf>
    <xf numFmtId="0" fontId="36" fillId="67" borderId="0" xfId="60" applyFont="1" applyFill="1" applyBorder="1" applyAlignment="1">
      <alignment horizontal="center" vertical="center" wrapText="1"/>
    </xf>
    <xf numFmtId="0" fontId="90" fillId="0" borderId="0" xfId="60" applyFont="1" applyBorder="1" applyAlignment="1">
      <alignment horizontal="center" vertical="center"/>
    </xf>
    <xf numFmtId="0" fontId="90" fillId="0" borderId="0" xfId="60" applyFont="1" applyBorder="1" applyAlignment="1">
      <alignment horizontal="center" vertical="center" wrapText="1"/>
    </xf>
    <xf numFmtId="0" fontId="90" fillId="0" borderId="0" xfId="60" applyFont="1" applyBorder="1" applyAlignment="1">
      <alignment horizontal="left" vertical="center" wrapText="1"/>
    </xf>
    <xf numFmtId="0" fontId="90" fillId="0" borderId="0" xfId="60" applyFont="1" applyBorder="1" applyAlignment="1">
      <alignment horizontal="left" vertical="center"/>
    </xf>
    <xf numFmtId="3" fontId="19" fillId="0" borderId="0" xfId="10" applyNumberFormat="1" applyFont="1" applyAlignment="1">
      <alignment horizontal="center"/>
    </xf>
    <xf numFmtId="3" fontId="19" fillId="0" borderId="0" xfId="10" applyNumberFormat="1" applyFont="1"/>
    <xf numFmtId="0" fontId="124" fillId="0" borderId="0" xfId="52" applyFont="1" applyAlignment="1" applyProtection="1"/>
    <xf numFmtId="1" fontId="20" fillId="0" borderId="11" xfId="10" applyNumberFormat="1" applyFont="1" applyBorder="1" applyAlignment="1">
      <alignment horizontal="center"/>
    </xf>
    <xf numFmtId="1" fontId="20" fillId="0" borderId="24" xfId="10" applyNumberFormat="1" applyFont="1" applyBorder="1" applyAlignment="1">
      <alignment horizontal="center"/>
    </xf>
    <xf numFmtId="1" fontId="20" fillId="0" borderId="5" xfId="10" applyNumberFormat="1" applyFont="1" applyBorder="1" applyAlignment="1">
      <alignment horizontal="center"/>
    </xf>
    <xf numFmtId="1" fontId="20" fillId="0" borderId="11" xfId="10" applyNumberFormat="1" applyFont="1" applyFill="1" applyBorder="1" applyAlignment="1">
      <alignment horizontal="center"/>
    </xf>
    <xf numFmtId="1" fontId="20" fillId="0" borderId="23" xfId="10" applyNumberFormat="1" applyFont="1" applyFill="1" applyBorder="1" applyAlignment="1">
      <alignment horizontal="center"/>
    </xf>
    <xf numFmtId="1" fontId="20" fillId="0" borderId="0" xfId="10" applyNumberFormat="1" applyFont="1" applyFill="1" applyBorder="1" applyAlignment="1">
      <alignment horizontal="center"/>
    </xf>
    <xf numFmtId="49" fontId="20" fillId="3" borderId="11" xfId="10" applyNumberFormat="1" applyFont="1" applyFill="1" applyBorder="1" applyAlignment="1">
      <alignment horizontal="center"/>
    </xf>
    <xf numFmtId="49" fontId="20" fillId="0" borderId="5" xfId="10" applyNumberFormat="1" applyFont="1" applyFill="1" applyBorder="1" applyAlignment="1">
      <alignment horizontal="center"/>
    </xf>
    <xf numFmtId="3" fontId="22" fillId="0" borderId="28" xfId="10" applyNumberFormat="1" applyFont="1" applyBorder="1"/>
    <xf numFmtId="4" fontId="19" fillId="0" borderId="11" xfId="10" applyNumberFormat="1" applyFont="1" applyBorder="1" applyAlignment="1">
      <alignment horizontal="right"/>
    </xf>
    <xf numFmtId="4" fontId="19" fillId="0" borderId="5" xfId="10" applyNumberFormat="1" applyFont="1" applyBorder="1" applyAlignment="1">
      <alignment horizontal="right"/>
    </xf>
    <xf numFmtId="4" fontId="19" fillId="0" borderId="11" xfId="10" applyNumberFormat="1" applyFont="1" applyFill="1" applyBorder="1" applyAlignment="1">
      <alignment horizontal="right"/>
    </xf>
    <xf numFmtId="4" fontId="19" fillId="0" borderId="6" xfId="10" applyNumberFormat="1" applyFont="1" applyFill="1" applyBorder="1" applyAlignment="1">
      <alignment horizontal="right"/>
    </xf>
    <xf numFmtId="4" fontId="19" fillId="0" borderId="0" xfId="10" applyNumberFormat="1" applyFont="1" applyFill="1" applyBorder="1" applyAlignment="1">
      <alignment horizontal="right"/>
    </xf>
    <xf numFmtId="4" fontId="19" fillId="0" borderId="6" xfId="10" applyNumberFormat="1" applyFont="1" applyFill="1" applyBorder="1" applyAlignment="1">
      <alignment horizontal="center"/>
    </xf>
    <xf numFmtId="4" fontId="20" fillId="0" borderId="6" xfId="10" applyNumberFormat="1" applyFont="1" applyFill="1" applyBorder="1" applyAlignment="1">
      <alignment horizontal="center"/>
    </xf>
    <xf numFmtId="3" fontId="19" fillId="0" borderId="11" xfId="10" applyNumberFormat="1" applyFont="1" applyFill="1" applyBorder="1" applyAlignment="1">
      <alignment horizontal="center"/>
    </xf>
    <xf numFmtId="3" fontId="19" fillId="3" borderId="11" xfId="10" applyNumberFormat="1" applyFont="1" applyFill="1" applyBorder="1" applyAlignment="1">
      <alignment horizontal="center"/>
    </xf>
    <xf numFmtId="3" fontId="19" fillId="0" borderId="5" xfId="10" applyNumberFormat="1" applyFont="1" applyFill="1" applyBorder="1" applyAlignment="1">
      <alignment horizontal="center"/>
    </xf>
    <xf numFmtId="3" fontId="19" fillId="0" borderId="7" xfId="10" applyNumberFormat="1" applyFont="1" applyBorder="1"/>
    <xf numFmtId="3" fontId="22" fillId="0" borderId="25" xfId="10" applyNumberFormat="1" applyFont="1" applyBorder="1"/>
    <xf numFmtId="4" fontId="19" fillId="0" borderId="6" xfId="10" applyNumberFormat="1" applyFont="1" applyBorder="1" applyAlignment="1">
      <alignment horizontal="right"/>
    </xf>
    <xf numFmtId="4" fontId="19" fillId="0" borderId="0" xfId="10" applyNumberFormat="1" applyFont="1" applyBorder="1" applyAlignment="1">
      <alignment horizontal="right"/>
    </xf>
    <xf numFmtId="3" fontId="19" fillId="0" borderId="6" xfId="10" applyNumberFormat="1" applyFont="1" applyFill="1" applyBorder="1" applyAlignment="1">
      <alignment horizontal="center"/>
    </xf>
    <xf numFmtId="3" fontId="19" fillId="3" borderId="6" xfId="10" applyNumberFormat="1" applyFont="1" applyFill="1" applyBorder="1" applyAlignment="1">
      <alignment horizontal="center"/>
    </xf>
    <xf numFmtId="3" fontId="19" fillId="0" borderId="10" xfId="10" applyNumberFormat="1" applyFont="1" applyBorder="1"/>
    <xf numFmtId="3" fontId="22" fillId="0" borderId="60" xfId="10" applyNumberFormat="1" applyFont="1" applyBorder="1"/>
    <xf numFmtId="4" fontId="19" fillId="0" borderId="8" xfId="10" applyNumberFormat="1" applyFont="1" applyBorder="1" applyAlignment="1">
      <alignment horizontal="right"/>
    </xf>
    <xf numFmtId="4" fontId="19" fillId="0" borderId="10" xfId="10" applyNumberFormat="1" applyFont="1" applyBorder="1" applyAlignment="1">
      <alignment horizontal="right"/>
    </xf>
    <xf numFmtId="4" fontId="19" fillId="0" borderId="8" xfId="10" applyNumberFormat="1" applyFont="1" applyFill="1" applyBorder="1" applyAlignment="1">
      <alignment horizontal="right"/>
    </xf>
    <xf numFmtId="4" fontId="19" fillId="0" borderId="8" xfId="10" applyNumberFormat="1" applyFont="1" applyFill="1" applyBorder="1" applyAlignment="1">
      <alignment horizontal="center"/>
    </xf>
    <xf numFmtId="3" fontId="19" fillId="3" borderId="10" xfId="10" applyNumberFormat="1" applyFont="1" applyFill="1" applyBorder="1" applyAlignment="1">
      <alignment horizontal="center"/>
    </xf>
    <xf numFmtId="3" fontId="19" fillId="3" borderId="8" xfId="10" applyNumberFormat="1" applyFont="1" applyFill="1" applyBorder="1" applyAlignment="1">
      <alignment horizontal="center"/>
    </xf>
    <xf numFmtId="3" fontId="19" fillId="0" borderId="10" xfId="10" applyNumberFormat="1" applyFont="1" applyFill="1" applyBorder="1" applyAlignment="1">
      <alignment horizontal="center"/>
    </xf>
    <xf numFmtId="3" fontId="19" fillId="0" borderId="10" xfId="10" applyNumberFormat="1" applyFont="1" applyBorder="1" applyAlignment="1">
      <alignment horizontal="center"/>
    </xf>
    <xf numFmtId="3" fontId="19" fillId="0" borderId="9" xfId="10" applyNumberFormat="1" applyFont="1" applyBorder="1"/>
    <xf numFmtId="3" fontId="20" fillId="0" borderId="0" xfId="10" applyNumberFormat="1" applyFont="1"/>
    <xf numFmtId="4" fontId="19" fillId="0" borderId="11" xfId="10" applyNumberFormat="1" applyFont="1" applyBorder="1" applyAlignment="1"/>
    <xf numFmtId="4" fontId="19" fillId="0" borderId="5" xfId="10" applyNumberFormat="1" applyFont="1" applyBorder="1" applyAlignment="1"/>
    <xf numFmtId="3" fontId="19" fillId="0" borderId="7" xfId="10" applyNumberFormat="1" applyFont="1" applyFill="1" applyBorder="1" applyAlignment="1">
      <alignment horizontal="center"/>
    </xf>
    <xf numFmtId="4" fontId="19" fillId="0" borderId="8" xfId="10" applyNumberFormat="1" applyFont="1" applyBorder="1" applyAlignment="1"/>
    <xf numFmtId="4" fontId="19" fillId="0" borderId="10" xfId="10" applyNumberFormat="1" applyFont="1" applyBorder="1" applyAlignment="1"/>
    <xf numFmtId="3" fontId="22" fillId="0" borderId="0" xfId="10" applyNumberFormat="1" applyFont="1" applyBorder="1"/>
    <xf numFmtId="4" fontId="19" fillId="0" borderId="0" xfId="10" applyNumberFormat="1" applyFont="1" applyFill="1" applyBorder="1" applyAlignment="1">
      <alignment horizontal="center"/>
    </xf>
    <xf numFmtId="3" fontId="20" fillId="0" borderId="28" xfId="10" applyNumberFormat="1" applyFont="1" applyBorder="1" applyAlignment="1">
      <alignment horizontal="center"/>
    </xf>
    <xf numFmtId="1" fontId="20" fillId="0" borderId="0" xfId="10" applyNumberFormat="1" applyFont="1" applyBorder="1" applyAlignment="1">
      <alignment horizontal="center"/>
    </xf>
    <xf numFmtId="2" fontId="20" fillId="0" borderId="11" xfId="10" applyNumberFormat="1" applyFont="1" applyBorder="1" applyAlignment="1">
      <alignment horizontal="right"/>
    </xf>
    <xf numFmtId="4" fontId="20" fillId="0" borderId="5" xfId="10" applyNumberFormat="1" applyFont="1" applyBorder="1" applyAlignment="1">
      <alignment horizontal="right"/>
    </xf>
    <xf numFmtId="4" fontId="19" fillId="0" borderId="11" xfId="10" applyNumberFormat="1" applyFont="1" applyFill="1" applyBorder="1" applyAlignment="1">
      <alignment horizontal="center"/>
    </xf>
    <xf numFmtId="2" fontId="19" fillId="0" borderId="6" xfId="10" applyNumberFormat="1" applyFont="1" applyBorder="1" applyAlignment="1">
      <alignment horizontal="right"/>
    </xf>
    <xf numFmtId="2" fontId="19" fillId="0" borderId="6" xfId="10" applyNumberFormat="1" applyFont="1" applyFill="1" applyBorder="1" applyAlignment="1">
      <alignment horizontal="right"/>
    </xf>
    <xf numFmtId="2" fontId="19" fillId="0" borderId="8" xfId="10" applyNumberFormat="1" applyFont="1" applyBorder="1" applyAlignment="1">
      <alignment horizontal="right"/>
    </xf>
    <xf numFmtId="49" fontId="20" fillId="0" borderId="0" xfId="10" applyNumberFormat="1" applyFont="1" applyFill="1" applyBorder="1" applyAlignment="1">
      <alignment horizontal="center"/>
    </xf>
    <xf numFmtId="1" fontId="20" fillId="0" borderId="26" xfId="10" applyNumberFormat="1" applyFont="1" applyFill="1" applyBorder="1" applyAlignment="1">
      <alignment horizontal="center"/>
    </xf>
    <xf numFmtId="1" fontId="20" fillId="3" borderId="12" xfId="10" applyNumberFormat="1" applyFont="1" applyFill="1" applyBorder="1" applyAlignment="1">
      <alignment horizontal="center"/>
    </xf>
    <xf numFmtId="1" fontId="20" fillId="0" borderId="12" xfId="10" applyNumberFormat="1" applyFont="1" applyBorder="1" applyAlignment="1">
      <alignment horizontal="center"/>
    </xf>
    <xf numFmtId="3" fontId="19" fillId="3" borderId="12" xfId="10" applyNumberFormat="1" applyFont="1" applyFill="1" applyBorder="1" applyAlignment="1">
      <alignment horizontal="center"/>
    </xf>
    <xf numFmtId="3" fontId="19" fillId="3" borderId="7" xfId="10" applyNumberFormat="1" applyFont="1" applyFill="1" applyBorder="1" applyAlignment="1">
      <alignment horizontal="center"/>
    </xf>
    <xf numFmtId="3" fontId="20" fillId="0" borderId="60" xfId="10" applyNumberFormat="1" applyFont="1" applyBorder="1"/>
    <xf numFmtId="3" fontId="19" fillId="0" borderId="8" xfId="10" applyNumberFormat="1" applyFont="1" applyFill="1" applyBorder="1" applyAlignment="1">
      <alignment horizontal="center"/>
    </xf>
    <xf numFmtId="4" fontId="19" fillId="0" borderId="9" xfId="10" applyNumberFormat="1" applyFont="1" applyFill="1" applyBorder="1" applyAlignment="1">
      <alignment horizontal="center"/>
    </xf>
    <xf numFmtId="3" fontId="19" fillId="3" borderId="9" xfId="10" applyNumberFormat="1" applyFont="1" applyFill="1" applyBorder="1" applyAlignment="1">
      <alignment horizontal="center"/>
    </xf>
    <xf numFmtId="3" fontId="19" fillId="0" borderId="9" xfId="10" applyNumberFormat="1" applyFont="1" applyBorder="1" applyAlignment="1">
      <alignment horizontal="center"/>
    </xf>
    <xf numFmtId="4" fontId="20" fillId="0" borderId="11" xfId="10" applyNumberFormat="1" applyFont="1" applyFill="1" applyBorder="1" applyAlignment="1">
      <alignment horizontal="center"/>
    </xf>
    <xf numFmtId="2" fontId="19" fillId="0" borderId="0" xfId="10" applyNumberFormat="1" applyFont="1" applyBorder="1" applyAlignment="1">
      <alignment horizontal="right"/>
    </xf>
    <xf numFmtId="2" fontId="19" fillId="0" borderId="0" xfId="10" applyNumberFormat="1" applyFont="1" applyFill="1" applyBorder="1" applyAlignment="1">
      <alignment horizontal="right"/>
    </xf>
    <xf numFmtId="3" fontId="19" fillId="0" borderId="0" xfId="10" applyNumberFormat="1" applyFont="1" applyBorder="1" applyAlignment="1">
      <alignment horizontal="right"/>
    </xf>
    <xf numFmtId="3" fontId="19" fillId="0" borderId="0" xfId="10" applyNumberFormat="1" applyFont="1" applyFill="1" applyBorder="1" applyAlignment="1">
      <alignment horizontal="right"/>
    </xf>
    <xf numFmtId="3" fontId="20" fillId="0" borderId="0" xfId="10" applyNumberFormat="1" applyFont="1" applyAlignment="1">
      <alignment horizontal="center"/>
    </xf>
    <xf numFmtId="3" fontId="19" fillId="0" borderId="11" xfId="10" applyNumberFormat="1" applyFont="1" applyFill="1" applyBorder="1" applyAlignment="1">
      <alignment horizontal="right"/>
    </xf>
    <xf numFmtId="3" fontId="19" fillId="64" borderId="11" xfId="10" applyNumberFormat="1" applyFont="1" applyFill="1" applyBorder="1" applyAlignment="1">
      <alignment horizontal="center"/>
    </xf>
    <xf numFmtId="3" fontId="19" fillId="0" borderId="11" xfId="10" applyNumberFormat="1" applyFont="1" applyBorder="1" applyAlignment="1">
      <alignment horizontal="center"/>
    </xf>
    <xf numFmtId="3" fontId="19" fillId="0" borderId="12" xfId="10" applyNumberFormat="1" applyFont="1" applyBorder="1"/>
    <xf numFmtId="3" fontId="19" fillId="64" borderId="8" xfId="10" applyNumberFormat="1" applyFont="1" applyFill="1" applyBorder="1" applyAlignment="1">
      <alignment horizontal="center"/>
    </xf>
    <xf numFmtId="3" fontId="19" fillId="0" borderId="8" xfId="10" applyNumberFormat="1" applyFont="1" applyBorder="1" applyAlignment="1">
      <alignment horizontal="center"/>
    </xf>
    <xf numFmtId="3" fontId="19" fillId="0" borderId="12" xfId="10" applyNumberFormat="1" applyFont="1" applyFill="1" applyBorder="1" applyAlignment="1">
      <alignment horizontal="center"/>
    </xf>
    <xf numFmtId="3" fontId="19" fillId="0" borderId="8" xfId="10" applyNumberFormat="1" applyFont="1" applyFill="1" applyBorder="1" applyAlignment="1">
      <alignment horizontal="right"/>
    </xf>
    <xf numFmtId="3" fontId="19" fillId="64" borderId="6" xfId="10" applyNumberFormat="1" applyFont="1" applyFill="1" applyBorder="1" applyAlignment="1">
      <alignment horizontal="center"/>
    </xf>
    <xf numFmtId="3" fontId="19" fillId="0" borderId="0" xfId="10" applyNumberFormat="1" applyFont="1" applyFill="1" applyBorder="1"/>
    <xf numFmtId="3" fontId="19" fillId="64" borderId="28" xfId="10" applyNumberFormat="1" applyFont="1" applyFill="1" applyBorder="1" applyAlignment="1">
      <alignment horizontal="center"/>
    </xf>
    <xf numFmtId="3" fontId="19" fillId="0" borderId="28" xfId="10" applyNumberFormat="1" applyFont="1" applyFill="1" applyBorder="1" applyAlignment="1">
      <alignment horizontal="center"/>
    </xf>
    <xf numFmtId="3" fontId="19" fillId="0" borderId="28" xfId="10" applyNumberFormat="1" applyFont="1" applyBorder="1"/>
    <xf numFmtId="3" fontId="19" fillId="0" borderId="25" xfId="10" applyNumberFormat="1" applyFont="1" applyBorder="1"/>
    <xf numFmtId="3" fontId="19" fillId="64" borderId="60" xfId="10" applyNumberFormat="1" applyFont="1" applyFill="1" applyBorder="1" applyAlignment="1">
      <alignment horizontal="center"/>
    </xf>
    <xf numFmtId="3" fontId="19" fillId="0" borderId="60" xfId="10" applyNumberFormat="1" applyFont="1" applyFill="1" applyBorder="1" applyAlignment="1">
      <alignment horizontal="center"/>
    </xf>
    <xf numFmtId="3" fontId="19" fillId="0" borderId="60" xfId="10" applyNumberFormat="1" applyFont="1" applyBorder="1"/>
    <xf numFmtId="0" fontId="19" fillId="0" borderId="100" xfId="10" applyFont="1" applyBorder="1" applyAlignment="1">
      <alignment horizontal="left" indent="1"/>
    </xf>
    <xf numFmtId="3" fontId="19" fillId="61" borderId="3" xfId="10" applyNumberFormat="1" applyFont="1" applyFill="1" applyBorder="1"/>
    <xf numFmtId="3" fontId="19" fillId="61" borderId="2" xfId="10" applyNumberFormat="1" applyFont="1" applyFill="1" applyBorder="1"/>
    <xf numFmtId="3" fontId="19" fillId="61" borderId="104" xfId="10" applyNumberFormat="1" applyFont="1" applyFill="1" applyBorder="1"/>
    <xf numFmtId="3" fontId="19" fillId="0" borderId="3" xfId="10" applyNumberFormat="1" applyFont="1" applyBorder="1"/>
    <xf numFmtId="3" fontId="19" fillId="0" borderId="2" xfId="10" applyNumberFormat="1" applyFont="1" applyBorder="1"/>
    <xf numFmtId="3" fontId="19" fillId="0" borderId="105" xfId="10" applyNumberFormat="1" applyFont="1" applyBorder="1"/>
    <xf numFmtId="0" fontId="19" fillId="3" borderId="100" xfId="10" applyFont="1" applyFill="1" applyBorder="1" applyAlignment="1">
      <alignment horizontal="left" indent="1"/>
    </xf>
    <xf numFmtId="3" fontId="19" fillId="3" borderId="3" xfId="10" applyNumberFormat="1" applyFont="1" applyFill="1" applyBorder="1"/>
    <xf numFmtId="3" fontId="19" fillId="3" borderId="105" xfId="10" applyNumberFormat="1" applyFont="1" applyFill="1" applyBorder="1"/>
    <xf numFmtId="0" fontId="20" fillId="0" borderId="106" xfId="10" applyFont="1" applyBorder="1" applyAlignment="1">
      <alignment horizontal="left" indent="1"/>
    </xf>
    <xf numFmtId="3" fontId="20" fillId="61" borderId="107" xfId="10" applyNumberFormat="1" applyFont="1" applyFill="1" applyBorder="1"/>
    <xf numFmtId="3" fontId="20" fillId="61" borderId="108" xfId="10" applyNumberFormat="1" applyFont="1" applyFill="1" applyBorder="1"/>
    <xf numFmtId="3" fontId="20" fillId="61" borderId="109" xfId="10" applyNumberFormat="1" applyFont="1" applyFill="1" applyBorder="1"/>
    <xf numFmtId="0" fontId="19" fillId="0" borderId="110" xfId="10" applyFont="1" applyBorder="1" applyAlignment="1">
      <alignment horizontal="left" indent="1"/>
    </xf>
    <xf numFmtId="3" fontId="19" fillId="0" borderId="54" xfId="10" applyNumberFormat="1" applyFont="1" applyBorder="1"/>
    <xf numFmtId="3" fontId="19" fillId="0" borderId="49" xfId="10" applyNumberFormat="1" applyFont="1" applyBorder="1"/>
    <xf numFmtId="3" fontId="19" fillId="0" borderId="111" xfId="10" applyNumberFormat="1" applyFont="1" applyBorder="1"/>
    <xf numFmtId="3" fontId="19" fillId="61" borderId="105" xfId="10" applyNumberFormat="1" applyFont="1" applyFill="1" applyBorder="1"/>
    <xf numFmtId="3" fontId="20" fillId="0" borderId="0" xfId="10" applyNumberFormat="1" applyFont="1" applyFill="1" applyAlignment="1">
      <alignment horizontal="center"/>
    </xf>
    <xf numFmtId="3" fontId="20" fillId="64" borderId="114" xfId="10" applyNumberFormat="1" applyFont="1" applyFill="1" applyBorder="1" applyAlignment="1">
      <alignment horizontal="center"/>
    </xf>
    <xf numFmtId="1" fontId="20" fillId="64" borderId="24" xfId="10" applyNumberFormat="1" applyFont="1" applyFill="1" applyBorder="1" applyAlignment="1">
      <alignment horizontal="center"/>
    </xf>
    <xf numFmtId="1" fontId="20" fillId="64" borderId="11" xfId="10" applyNumberFormat="1" applyFont="1" applyFill="1" applyBorder="1" applyAlignment="1">
      <alignment horizontal="center"/>
    </xf>
    <xf numFmtId="1" fontId="20" fillId="64" borderId="5" xfId="10" applyNumberFormat="1" applyFont="1" applyFill="1" applyBorder="1" applyAlignment="1">
      <alignment horizontal="center"/>
    </xf>
    <xf numFmtId="1" fontId="20" fillId="64" borderId="23" xfId="10" applyNumberFormat="1" applyFont="1" applyFill="1" applyBorder="1" applyAlignment="1">
      <alignment horizontal="center"/>
    </xf>
    <xf numFmtId="1" fontId="20" fillId="64" borderId="12" xfId="10" applyNumberFormat="1" applyFont="1" applyFill="1" applyBorder="1" applyAlignment="1">
      <alignment horizontal="center"/>
    </xf>
    <xf numFmtId="1" fontId="20" fillId="64" borderId="26" xfId="10" applyNumberFormat="1" applyFont="1" applyFill="1" applyBorder="1" applyAlignment="1">
      <alignment horizontal="center"/>
    </xf>
    <xf numFmtId="3" fontId="20" fillId="64" borderId="28" xfId="10" applyNumberFormat="1" applyFont="1" applyFill="1" applyBorder="1"/>
    <xf numFmtId="3" fontId="19" fillId="53" borderId="0" xfId="10" applyNumberFormat="1" applyFont="1" applyFill="1" applyBorder="1"/>
    <xf numFmtId="3" fontId="19" fillId="0" borderId="5" xfId="10" applyNumberFormat="1" applyFont="1" applyFill="1" applyBorder="1" applyAlignment="1">
      <alignment horizontal="right"/>
    </xf>
    <xf numFmtId="3" fontId="20" fillId="64" borderId="25" xfId="10" applyNumberFormat="1" applyFont="1" applyFill="1" applyBorder="1"/>
    <xf numFmtId="3" fontId="19" fillId="0" borderId="6" xfId="10" applyNumberFormat="1" applyFont="1" applyFill="1" applyBorder="1" applyAlignment="1">
      <alignment horizontal="right"/>
    </xf>
    <xf numFmtId="3" fontId="20" fillId="64" borderId="60" xfId="10" applyNumberFormat="1" applyFont="1" applyFill="1" applyBorder="1"/>
    <xf numFmtId="3" fontId="19" fillId="53" borderId="10" xfId="10" applyNumberFormat="1" applyFont="1" applyFill="1" applyBorder="1"/>
    <xf numFmtId="3" fontId="19" fillId="0" borderId="10" xfId="10" applyNumberFormat="1" applyFont="1" applyFill="1" applyBorder="1" applyAlignment="1">
      <alignment horizontal="right"/>
    </xf>
    <xf numFmtId="3" fontId="20" fillId="53" borderId="11" xfId="10" applyNumberFormat="1" applyFont="1" applyFill="1" applyBorder="1" applyAlignment="1">
      <alignment horizontal="center"/>
    </xf>
    <xf numFmtId="1" fontId="20" fillId="53" borderId="24" xfId="10" applyNumberFormat="1" applyFont="1" applyFill="1" applyBorder="1" applyAlignment="1">
      <alignment horizontal="center"/>
    </xf>
    <xf numFmtId="1" fontId="20" fillId="53" borderId="11" xfId="10" applyNumberFormat="1" applyFont="1" applyFill="1" applyBorder="1" applyAlignment="1">
      <alignment horizontal="center"/>
    </xf>
    <xf numFmtId="1" fontId="20" fillId="53" borderId="5" xfId="10" applyNumberFormat="1" applyFont="1" applyFill="1" applyBorder="1" applyAlignment="1">
      <alignment horizontal="center"/>
    </xf>
    <xf numFmtId="1" fontId="20" fillId="53" borderId="23" xfId="10" applyNumberFormat="1" applyFont="1" applyFill="1" applyBorder="1" applyAlignment="1">
      <alignment horizontal="center"/>
    </xf>
    <xf numFmtId="1" fontId="20" fillId="53" borderId="12" xfId="10" applyNumberFormat="1" applyFont="1" applyFill="1" applyBorder="1" applyAlignment="1">
      <alignment horizontal="center"/>
    </xf>
    <xf numFmtId="1" fontId="20" fillId="3" borderId="28" xfId="10" applyNumberFormat="1" applyFont="1" applyFill="1" applyBorder="1" applyAlignment="1">
      <alignment horizontal="center"/>
    </xf>
    <xf numFmtId="1" fontId="20" fillId="3" borderId="11" xfId="10" applyNumberFormat="1" applyFont="1" applyFill="1" applyBorder="1" applyAlignment="1">
      <alignment horizontal="center"/>
    </xf>
    <xf numFmtId="3" fontId="20" fillId="53" borderId="28" xfId="10" applyNumberFormat="1" applyFont="1" applyFill="1" applyBorder="1"/>
    <xf numFmtId="3" fontId="19" fillId="53" borderId="0" xfId="10" applyNumberFormat="1" applyFont="1" applyFill="1"/>
    <xf numFmtId="3" fontId="20" fillId="53" borderId="25" xfId="10" applyNumberFormat="1" applyFont="1" applyFill="1" applyBorder="1"/>
    <xf numFmtId="3" fontId="20" fillId="53" borderId="60" xfId="10" applyNumberFormat="1" applyFont="1" applyFill="1" applyBorder="1"/>
    <xf numFmtId="3" fontId="19" fillId="0" borderId="9" xfId="10" applyNumberFormat="1" applyFont="1" applyFill="1" applyBorder="1" applyAlignment="1">
      <alignment horizontal="center"/>
    </xf>
    <xf numFmtId="3" fontId="20" fillId="64" borderId="27" xfId="10" applyNumberFormat="1" applyFont="1" applyFill="1" applyBorder="1" applyAlignment="1">
      <alignment horizontal="center"/>
    </xf>
    <xf numFmtId="1" fontId="20" fillId="64" borderId="27" xfId="10" applyNumberFormat="1" applyFont="1" applyFill="1" applyBorder="1" applyAlignment="1">
      <alignment horizontal="center"/>
    </xf>
    <xf numFmtId="3" fontId="19" fillId="61" borderId="25" xfId="10" applyNumberFormat="1" applyFont="1" applyFill="1" applyBorder="1" applyAlignment="1">
      <alignment horizontal="center"/>
    </xf>
    <xf numFmtId="3" fontId="19" fillId="3" borderId="25" xfId="10" applyNumberFormat="1" applyFont="1" applyFill="1" applyBorder="1" applyAlignment="1">
      <alignment horizontal="center"/>
    </xf>
    <xf numFmtId="3" fontId="19" fillId="0" borderId="25" xfId="10" applyNumberFormat="1" applyFont="1" applyFill="1" applyBorder="1" applyAlignment="1">
      <alignment horizontal="center"/>
    </xf>
    <xf numFmtId="0" fontId="20" fillId="0" borderId="25" xfId="10" applyFont="1" applyFill="1" applyBorder="1" applyAlignment="1">
      <alignment horizontal="left" vertical="center"/>
    </xf>
    <xf numFmtId="3" fontId="20" fillId="0" borderId="25" xfId="10" applyNumberFormat="1" applyFont="1" applyFill="1" applyBorder="1" applyAlignment="1">
      <alignment horizontal="center" vertical="center"/>
    </xf>
    <xf numFmtId="0" fontId="19" fillId="0" borderId="25" xfId="10" applyFont="1" applyFill="1" applyBorder="1" applyAlignment="1">
      <alignment horizontal="left" vertical="center" indent="1"/>
    </xf>
    <xf numFmtId="3" fontId="19" fillId="0" borderId="25" xfId="10" applyNumberFormat="1" applyFont="1" applyFill="1" applyBorder="1" applyAlignment="1">
      <alignment horizontal="center" vertical="center"/>
    </xf>
    <xf numFmtId="0" fontId="19" fillId="0" borderId="0" xfId="10" applyFont="1" applyFill="1"/>
    <xf numFmtId="0" fontId="20" fillId="0" borderId="100" xfId="10" applyFont="1" applyFill="1" applyBorder="1" applyAlignment="1">
      <alignment horizontal="left" vertical="center"/>
    </xf>
    <xf numFmtId="3" fontId="20" fillId="0" borderId="3" xfId="10" applyNumberFormat="1" applyFont="1" applyFill="1" applyBorder="1" applyAlignment="1">
      <alignment horizontal="center" vertical="center"/>
    </xf>
    <xf numFmtId="3" fontId="20" fillId="0" borderId="105" xfId="10" applyNumberFormat="1" applyFont="1" applyFill="1" applyBorder="1" applyAlignment="1">
      <alignment horizontal="center" vertical="center"/>
    </xf>
    <xf numFmtId="0" fontId="19" fillId="0" borderId="100" xfId="10" applyFont="1" applyFill="1" applyBorder="1" applyAlignment="1">
      <alignment horizontal="left" vertical="center" indent="1"/>
    </xf>
    <xf numFmtId="3" fontId="19" fillId="0" borderId="3" xfId="10" applyNumberFormat="1" applyFont="1" applyFill="1" applyBorder="1" applyAlignment="1">
      <alignment horizontal="center" vertical="center"/>
    </xf>
    <xf numFmtId="3" fontId="19" fillId="0" borderId="105" xfId="10" applyNumberFormat="1" applyFont="1" applyFill="1" applyBorder="1" applyAlignment="1">
      <alignment horizontal="center" vertical="center"/>
    </xf>
    <xf numFmtId="0" fontId="20" fillId="0" borderId="0" xfId="10" applyFont="1" applyFill="1" applyBorder="1" applyAlignment="1">
      <alignment vertical="center"/>
    </xf>
    <xf numFmtId="0" fontId="20" fillId="0" borderId="6" xfId="10" applyFont="1" applyFill="1" applyBorder="1" applyAlignment="1">
      <alignment horizontal="left" vertical="center"/>
    </xf>
    <xf numFmtId="3" fontId="20" fillId="0" borderId="28" xfId="10" applyNumberFormat="1" applyFont="1" applyFill="1" applyBorder="1" applyAlignment="1">
      <alignment horizontal="center" vertical="center"/>
    </xf>
    <xf numFmtId="3" fontId="20" fillId="0" borderId="5" xfId="10" applyNumberFormat="1" applyFont="1" applyFill="1" applyBorder="1" applyAlignment="1">
      <alignment horizontal="center" vertical="center"/>
    </xf>
    <xf numFmtId="3" fontId="20" fillId="0" borderId="12" xfId="10" applyNumberFormat="1" applyFont="1" applyFill="1" applyBorder="1" applyAlignment="1">
      <alignment horizontal="center" vertical="center"/>
    </xf>
    <xf numFmtId="0" fontId="19" fillId="0" borderId="6" xfId="10" applyFont="1" applyFill="1" applyBorder="1" applyAlignment="1">
      <alignment horizontal="left" vertical="center" indent="1"/>
    </xf>
    <xf numFmtId="3" fontId="19" fillId="0" borderId="0" xfId="10" applyNumberFormat="1" applyFont="1" applyFill="1" applyBorder="1" applyAlignment="1">
      <alignment horizontal="center" vertical="center"/>
    </xf>
    <xf numFmtId="3" fontId="19" fillId="0" borderId="7" xfId="10" applyNumberFormat="1" applyFont="1" applyFill="1" applyBorder="1" applyAlignment="1">
      <alignment horizontal="center" vertical="center"/>
    </xf>
    <xf numFmtId="3" fontId="20" fillId="0" borderId="0" xfId="10" applyNumberFormat="1" applyFont="1" applyFill="1" applyBorder="1" applyAlignment="1">
      <alignment horizontal="center" vertical="center"/>
    </xf>
    <xf numFmtId="3" fontId="20" fillId="0" borderId="7" xfId="10" applyNumberFormat="1" applyFont="1" applyFill="1" applyBorder="1" applyAlignment="1">
      <alignment horizontal="center" vertical="center"/>
    </xf>
    <xf numFmtId="3" fontId="20" fillId="0" borderId="60" xfId="10" applyNumberFormat="1" applyFont="1" applyFill="1" applyBorder="1" applyAlignment="1">
      <alignment horizontal="center" vertical="center"/>
    </xf>
    <xf numFmtId="3" fontId="20" fillId="0" borderId="10" xfId="10" applyNumberFormat="1" applyFont="1" applyFill="1" applyBorder="1" applyAlignment="1">
      <alignment horizontal="center" vertical="center"/>
    </xf>
    <xf numFmtId="3" fontId="20" fillId="0" borderId="9" xfId="10" applyNumberFormat="1" applyFont="1" applyFill="1" applyBorder="1" applyAlignment="1">
      <alignment horizontal="center" vertical="center"/>
    </xf>
    <xf numFmtId="0" fontId="19" fillId="0" borderId="6" xfId="10" applyFont="1" applyFill="1" applyBorder="1" applyAlignment="1" applyProtection="1">
      <alignment horizontal="left" vertical="center"/>
    </xf>
    <xf numFmtId="3" fontId="19" fillId="0" borderId="80" xfId="10" applyNumberFormat="1" applyFont="1" applyFill="1" applyBorder="1" applyAlignment="1" applyProtection="1">
      <alignment vertical="center" wrapText="1"/>
    </xf>
    <xf numFmtId="3" fontId="19" fillId="64" borderId="28" xfId="10" applyNumberFormat="1" applyFont="1" applyFill="1" applyBorder="1" applyAlignment="1" applyProtection="1">
      <alignment horizontal="center" vertical="center"/>
    </xf>
    <xf numFmtId="3" fontId="19" fillId="0" borderId="2" xfId="10" applyNumberFormat="1" applyFont="1" applyFill="1" applyBorder="1" applyAlignment="1" applyProtection="1">
      <alignment horizontal="left" vertical="center" wrapText="1"/>
    </xf>
    <xf numFmtId="3" fontId="19" fillId="0" borderId="25" xfId="10" applyNumberFormat="1" applyFont="1" applyFill="1" applyBorder="1" applyAlignment="1" applyProtection="1">
      <alignment horizontal="center" vertical="center"/>
    </xf>
    <xf numFmtId="3" fontId="19" fillId="0" borderId="7" xfId="10" applyNumberFormat="1" applyFont="1" applyFill="1" applyBorder="1" applyAlignment="1" applyProtection="1">
      <alignment horizontal="center" vertical="center"/>
    </xf>
    <xf numFmtId="0" fontId="19" fillId="0" borderId="6" xfId="10" applyFont="1" applyFill="1" applyBorder="1" applyAlignment="1" applyProtection="1">
      <alignment vertical="center"/>
    </xf>
    <xf numFmtId="3" fontId="19" fillId="0" borderId="2" xfId="10" applyNumberFormat="1" applyFont="1" applyFill="1" applyBorder="1" applyAlignment="1" applyProtection="1">
      <alignment vertical="center" wrapText="1"/>
    </xf>
    <xf numFmtId="3" fontId="19" fillId="64" borderId="25" xfId="10" applyNumberFormat="1" applyFont="1" applyFill="1" applyBorder="1" applyAlignment="1" applyProtection="1">
      <alignment horizontal="center" vertical="center"/>
    </xf>
    <xf numFmtId="3" fontId="19" fillId="64" borderId="7" xfId="10" applyNumberFormat="1" applyFont="1" applyFill="1" applyBorder="1" applyAlignment="1" applyProtection="1">
      <alignment horizontal="center" vertical="center"/>
    </xf>
    <xf numFmtId="0" fontId="20" fillId="55" borderId="115" xfId="10" applyFont="1" applyFill="1" applyBorder="1" applyAlignment="1" applyProtection="1">
      <alignment horizontal="left" vertical="center"/>
    </xf>
    <xf numFmtId="3" fontId="20" fillId="55" borderId="116" xfId="10" applyNumberFormat="1" applyFont="1" applyFill="1" applyBorder="1" applyAlignment="1" applyProtection="1">
      <alignment horizontal="center" vertical="center" wrapText="1"/>
    </xf>
    <xf numFmtId="3" fontId="20" fillId="55" borderId="60" xfId="55" applyNumberFormat="1" applyFont="1" applyFill="1" applyBorder="1" applyAlignment="1" applyProtection="1">
      <alignment horizontal="center" vertical="center"/>
    </xf>
    <xf numFmtId="3" fontId="20" fillId="55" borderId="9" xfId="55" applyNumberFormat="1" applyFont="1" applyFill="1" applyBorder="1" applyAlignment="1" applyProtection="1">
      <alignment horizontal="center" vertical="center"/>
    </xf>
    <xf numFmtId="0" fontId="19" fillId="0" borderId="0" xfId="10" applyFont="1" applyFill="1" applyBorder="1" applyAlignment="1" applyProtection="1"/>
    <xf numFmtId="0" fontId="19" fillId="0" borderId="0" xfId="10" applyFont="1" applyFill="1" applyAlignment="1" applyProtection="1">
      <alignment wrapText="1"/>
    </xf>
    <xf numFmtId="0" fontId="19" fillId="0" borderId="0" xfId="10" applyFont="1" applyFill="1" applyAlignment="1" applyProtection="1"/>
    <xf numFmtId="1" fontId="20" fillId="0" borderId="27" xfId="10" applyNumberFormat="1" applyFont="1" applyFill="1" applyBorder="1" applyAlignment="1" applyProtection="1">
      <alignment horizontal="center" vertical="center" wrapText="1"/>
    </xf>
    <xf numFmtId="1" fontId="20" fillId="0" borderId="26" xfId="10" applyNumberFormat="1" applyFont="1" applyFill="1" applyBorder="1" applyAlignment="1" applyProtection="1">
      <alignment horizontal="center" vertical="center" wrapText="1"/>
    </xf>
    <xf numFmtId="0" fontId="20" fillId="0" borderId="6" xfId="10" applyFont="1" applyFill="1" applyBorder="1" applyAlignment="1" applyProtection="1">
      <alignment horizontal="left" vertical="center"/>
    </xf>
    <xf numFmtId="3" fontId="20" fillId="0" borderId="105" xfId="55" applyNumberFormat="1" applyFont="1" applyFill="1" applyBorder="1" applyAlignment="1" applyProtection="1">
      <alignment horizontal="right" vertical="center"/>
    </xf>
    <xf numFmtId="3" fontId="19" fillId="0" borderId="105" xfId="10" applyNumberFormat="1" applyFont="1" applyFill="1" applyBorder="1" applyAlignment="1" applyProtection="1">
      <alignment horizontal="right" vertical="center" indent="1"/>
    </xf>
    <xf numFmtId="3" fontId="20" fillId="55" borderId="117" xfId="55" applyNumberFormat="1" applyFont="1" applyFill="1" applyBorder="1" applyAlignment="1" applyProtection="1">
      <alignment horizontal="right" vertical="center"/>
    </xf>
    <xf numFmtId="3" fontId="20" fillId="0" borderId="0" xfId="10" applyNumberFormat="1" applyFont="1" applyFill="1" applyBorder="1" applyAlignment="1">
      <alignment horizontal="center" vertical="center" wrapText="1"/>
    </xf>
    <xf numFmtId="0" fontId="125" fillId="0" borderId="0" xfId="10" applyFont="1" applyFill="1" applyBorder="1" applyAlignment="1" applyProtection="1"/>
    <xf numFmtId="0" fontId="20" fillId="0" borderId="0" xfId="10" applyFont="1" applyFill="1" applyBorder="1" applyAlignment="1" applyProtection="1"/>
    <xf numFmtId="0" fontId="124" fillId="0" borderId="0" xfId="52" applyFont="1" applyFill="1" applyAlignment="1" applyProtection="1">
      <alignment horizontal="center"/>
    </xf>
    <xf numFmtId="0" fontId="19" fillId="0" borderId="0" xfId="10" applyFont="1" applyFill="1" applyBorder="1" applyAlignment="1" applyProtection="1">
      <alignment horizontal="center"/>
    </xf>
    <xf numFmtId="49" fontId="19" fillId="0" borderId="0" xfId="10" applyNumberFormat="1" applyFont="1" applyFill="1" applyAlignment="1" applyProtection="1">
      <alignment horizontal="left"/>
    </xf>
    <xf numFmtId="0" fontId="20" fillId="0" borderId="23" xfId="10" applyFont="1" applyFill="1" applyBorder="1" applyAlignment="1" applyProtection="1">
      <alignment horizontal="left" vertical="center"/>
    </xf>
    <xf numFmtId="0" fontId="19" fillId="0" borderId="24" xfId="10" applyFont="1" applyFill="1" applyBorder="1" applyAlignment="1" applyProtection="1">
      <alignment horizontal="center" vertical="center"/>
    </xf>
    <xf numFmtId="0" fontId="19" fillId="0" borderId="0" xfId="10" applyFont="1" applyFill="1" applyBorder="1" applyAlignment="1" applyProtection="1">
      <alignment horizontal="center" vertical="center"/>
    </xf>
    <xf numFmtId="0" fontId="19" fillId="0" borderId="6" xfId="10" applyFont="1" applyFill="1" applyBorder="1" applyAlignment="1" applyProtection="1">
      <alignment horizontal="left" vertical="center" indent="1"/>
    </xf>
    <xf numFmtId="3" fontId="19" fillId="0" borderId="60" xfId="10" applyNumberFormat="1" applyFont="1" applyFill="1" applyBorder="1" applyAlignment="1" applyProtection="1">
      <alignment horizontal="center" vertical="center"/>
    </xf>
    <xf numFmtId="3" fontId="19" fillId="0" borderId="9" xfId="10" applyNumberFormat="1" applyFont="1" applyFill="1" applyBorder="1" applyAlignment="1" applyProtection="1">
      <alignment horizontal="center" vertical="center"/>
    </xf>
    <xf numFmtId="0" fontId="19" fillId="55" borderId="56" xfId="10" applyFont="1" applyFill="1" applyBorder="1" applyAlignment="1" applyProtection="1">
      <alignment horizontal="center" vertical="center"/>
    </xf>
    <xf numFmtId="1" fontId="20" fillId="3" borderId="79" xfId="10" applyNumberFormat="1" applyFont="1" applyFill="1" applyBorder="1" applyAlignment="1" applyProtection="1">
      <alignment horizontal="center" vertical="center" wrapText="1"/>
    </xf>
    <xf numFmtId="0" fontId="19" fillId="0" borderId="25" xfId="10" applyFont="1" applyBorder="1"/>
    <xf numFmtId="0" fontId="19" fillId="0" borderId="24" xfId="10" applyFont="1" applyBorder="1"/>
    <xf numFmtId="3" fontId="20" fillId="0" borderId="0" xfId="10" applyNumberFormat="1" applyFont="1" applyBorder="1"/>
    <xf numFmtId="3" fontId="20" fillId="0" borderId="7" xfId="10" applyNumberFormat="1" applyFont="1" applyBorder="1"/>
    <xf numFmtId="0" fontId="20" fillId="0" borderId="25" xfId="10" applyFont="1" applyBorder="1"/>
    <xf numFmtId="0" fontId="129" fillId="0" borderId="0" xfId="3" applyFont="1" applyBorder="1" applyAlignment="1" applyProtection="1">
      <alignment vertical="center"/>
      <protection hidden="1"/>
    </xf>
    <xf numFmtId="0" fontId="128" fillId="0" borderId="0" xfId="2" applyFont="1" applyProtection="1">
      <protection hidden="1"/>
    </xf>
    <xf numFmtId="0" fontId="128" fillId="0" borderId="46" xfId="2" applyFont="1" applyBorder="1" applyProtection="1">
      <protection hidden="1"/>
    </xf>
    <xf numFmtId="3" fontId="128" fillId="0" borderId="55" xfId="2" applyNumberFormat="1" applyFont="1" applyFill="1" applyBorder="1" applyAlignment="1" applyProtection="1">
      <alignment horizontal="right"/>
      <protection hidden="1"/>
    </xf>
    <xf numFmtId="0" fontId="128" fillId="0" borderId="2" xfId="2" applyFont="1" applyBorder="1" applyProtection="1">
      <protection hidden="1"/>
    </xf>
    <xf numFmtId="3" fontId="128" fillId="0" borderId="3" xfId="2" applyNumberFormat="1" applyFont="1" applyFill="1" applyBorder="1" applyAlignment="1" applyProtection="1">
      <alignment horizontal="right"/>
      <protection hidden="1"/>
    </xf>
    <xf numFmtId="4" fontId="128" fillId="0" borderId="3" xfId="2" applyNumberFormat="1" applyFont="1" applyFill="1" applyBorder="1" applyAlignment="1" applyProtection="1">
      <alignment horizontal="right"/>
      <protection hidden="1"/>
    </xf>
    <xf numFmtId="0" fontId="130" fillId="0" borderId="2" xfId="2" applyFont="1" applyBorder="1" applyProtection="1">
      <protection hidden="1"/>
    </xf>
    <xf numFmtId="10" fontId="128" fillId="0" borderId="3" xfId="2" applyNumberFormat="1" applyFont="1" applyFill="1" applyBorder="1" applyAlignment="1" applyProtection="1">
      <alignment horizontal="right"/>
      <protection hidden="1"/>
    </xf>
    <xf numFmtId="185" fontId="128" fillId="0" borderId="3" xfId="2" applyNumberFormat="1" applyFont="1" applyFill="1" applyBorder="1" applyAlignment="1" applyProtection="1">
      <alignment horizontal="right"/>
      <protection hidden="1"/>
    </xf>
    <xf numFmtId="0" fontId="128" fillId="0" borderId="49" xfId="2" applyFont="1" applyBorder="1" applyProtection="1">
      <protection hidden="1"/>
    </xf>
    <xf numFmtId="185" fontId="128" fillId="0" borderId="54" xfId="2" applyNumberFormat="1" applyFont="1" applyFill="1" applyBorder="1" applyAlignment="1" applyProtection="1">
      <alignment horizontal="right"/>
      <protection hidden="1"/>
    </xf>
    <xf numFmtId="0" fontId="128" fillId="0" borderId="0" xfId="2" applyFont="1" applyFill="1" applyProtection="1">
      <protection hidden="1"/>
    </xf>
    <xf numFmtId="0" fontId="128" fillId="0" borderId="0" xfId="2" applyFont="1" applyFill="1" applyAlignment="1" applyProtection="1">
      <alignment horizontal="right"/>
      <protection hidden="1"/>
    </xf>
    <xf numFmtId="0" fontId="120" fillId="0" borderId="0" xfId="2" applyFont="1" applyProtection="1">
      <protection hidden="1"/>
    </xf>
    <xf numFmtId="0" fontId="120" fillId="0" borderId="55" xfId="2" applyFont="1" applyBorder="1" applyAlignment="1" applyProtection="1">
      <alignment horizontal="left" indent="1"/>
      <protection hidden="1"/>
    </xf>
    <xf numFmtId="3" fontId="120" fillId="0" borderId="55" xfId="2" applyNumberFormat="1" applyFont="1" applyFill="1" applyBorder="1" applyAlignment="1" applyProtection="1">
      <alignment horizontal="right"/>
      <protection hidden="1"/>
    </xf>
    <xf numFmtId="0" fontId="120" fillId="0" borderId="54" xfId="2" applyFont="1" applyBorder="1" applyAlignment="1" applyProtection="1">
      <alignment horizontal="left" indent="1"/>
      <protection hidden="1"/>
    </xf>
    <xf numFmtId="3" fontId="120" fillId="0" borderId="54" xfId="2" applyNumberFormat="1" applyFont="1" applyFill="1" applyBorder="1" applyAlignment="1" applyProtection="1">
      <alignment horizontal="right"/>
      <protection hidden="1"/>
    </xf>
    <xf numFmtId="0" fontId="120" fillId="0" borderId="0" xfId="2" applyFont="1" applyBorder="1" applyAlignment="1" applyProtection="1">
      <protection hidden="1"/>
    </xf>
    <xf numFmtId="0" fontId="131" fillId="0" borderId="0" xfId="3" applyFont="1" applyBorder="1" applyAlignment="1" applyProtection="1">
      <alignment vertical="center"/>
      <protection hidden="1"/>
    </xf>
    <xf numFmtId="0" fontId="120" fillId="0" borderId="3" xfId="2" applyFont="1" applyBorder="1" applyAlignment="1" applyProtection="1">
      <alignment horizontal="left" indent="1"/>
      <protection hidden="1"/>
    </xf>
    <xf numFmtId="3" fontId="120" fillId="0" borderId="3" xfId="2" applyNumberFormat="1" applyFont="1" applyFill="1" applyBorder="1" applyAlignment="1" applyProtection="1">
      <alignment horizontal="right"/>
      <protection hidden="1"/>
    </xf>
    <xf numFmtId="0" fontId="120" fillId="0" borderId="0" xfId="2" applyNumberFormat="1" applyFont="1" applyBorder="1" applyProtection="1">
      <protection hidden="1"/>
    </xf>
    <xf numFmtId="0" fontId="120" fillId="0" borderId="2" xfId="2" applyFont="1" applyBorder="1" applyAlignment="1" applyProtection="1">
      <alignment horizontal="left" indent="1"/>
      <protection hidden="1"/>
    </xf>
    <xf numFmtId="0" fontId="120" fillId="0" borderId="2" xfId="2" applyFont="1" applyFill="1" applyBorder="1" applyAlignment="1" applyProtection="1">
      <alignment horizontal="left" indent="1"/>
      <protection hidden="1"/>
    </xf>
    <xf numFmtId="0" fontId="131" fillId="0" borderId="0" xfId="3" applyFont="1" applyFill="1" applyBorder="1" applyAlignment="1" applyProtection="1">
      <alignment vertical="center"/>
      <protection hidden="1"/>
    </xf>
    <xf numFmtId="0" fontId="120" fillId="0" borderId="0" xfId="2" applyFont="1" applyFill="1" applyProtection="1">
      <protection hidden="1"/>
    </xf>
    <xf numFmtId="0" fontId="120" fillId="0" borderId="49" xfId="2" applyFont="1" applyBorder="1" applyAlignment="1" applyProtection="1">
      <alignment horizontal="left" indent="1"/>
      <protection hidden="1"/>
    </xf>
    <xf numFmtId="4" fontId="120" fillId="0" borderId="54" xfId="2" applyNumberFormat="1" applyFont="1" applyFill="1" applyBorder="1" applyAlignment="1" applyProtection="1">
      <alignment horizontal="right"/>
      <protection hidden="1"/>
    </xf>
    <xf numFmtId="0" fontId="120" fillId="0" borderId="0" xfId="2" applyFont="1" applyBorder="1" applyAlignment="1" applyProtection="1">
      <alignment horizontal="left" indent="1"/>
      <protection hidden="1"/>
    </xf>
    <xf numFmtId="3" fontId="120" fillId="0" borderId="0" xfId="2" applyNumberFormat="1" applyFont="1" applyBorder="1" applyAlignment="1" applyProtection="1">
      <alignment horizontal="right"/>
      <protection hidden="1"/>
    </xf>
    <xf numFmtId="0" fontId="120" fillId="0" borderId="0" xfId="3" applyFont="1" applyBorder="1" applyAlignment="1" applyProtection="1">
      <alignment horizontal="right" vertical="center"/>
      <protection hidden="1"/>
    </xf>
    <xf numFmtId="0" fontId="120" fillId="0" borderId="54" xfId="2" applyFont="1" applyBorder="1" applyAlignment="1" applyProtection="1">
      <alignment horizontal="left" indent="2"/>
      <protection hidden="1"/>
    </xf>
    <xf numFmtId="0" fontId="120" fillId="0" borderId="0" xfId="2" applyFont="1" applyBorder="1" applyProtection="1">
      <protection hidden="1"/>
    </xf>
    <xf numFmtId="0" fontId="120" fillId="0" borderId="49" xfId="2" applyFont="1" applyBorder="1" applyAlignment="1" applyProtection="1">
      <alignment horizontal="left" indent="2"/>
      <protection hidden="1"/>
    </xf>
    <xf numFmtId="0" fontId="120" fillId="0" borderId="0" xfId="2" applyFont="1" applyBorder="1" applyAlignment="1" applyProtection="1">
      <alignment horizontal="left" indent="2"/>
      <protection hidden="1"/>
    </xf>
    <xf numFmtId="3" fontId="120" fillId="0" borderId="0" xfId="2" applyNumberFormat="1" applyFont="1" applyFill="1" applyBorder="1" applyAlignment="1" applyProtection="1">
      <alignment horizontal="right"/>
      <protection hidden="1"/>
    </xf>
    <xf numFmtId="0" fontId="121" fillId="0" borderId="2" xfId="2" applyFont="1" applyBorder="1" applyProtection="1">
      <protection hidden="1"/>
    </xf>
    <xf numFmtId="0" fontId="120" fillId="0" borderId="2" xfId="2" applyFont="1" applyBorder="1" applyAlignment="1" applyProtection="1">
      <alignment horizontal="left" indent="2"/>
      <protection hidden="1"/>
    </xf>
    <xf numFmtId="0" fontId="121" fillId="0" borderId="49" xfId="2" applyFont="1" applyBorder="1" applyProtection="1">
      <protection hidden="1"/>
    </xf>
    <xf numFmtId="3" fontId="121" fillId="0" borderId="54" xfId="2" applyNumberFormat="1" applyFont="1" applyFill="1" applyBorder="1" applyAlignment="1" applyProtection="1">
      <alignment horizontal="right"/>
      <protection hidden="1"/>
    </xf>
    <xf numFmtId="0" fontId="121" fillId="0" borderId="0" xfId="2" applyFont="1" applyProtection="1">
      <protection hidden="1"/>
    </xf>
    <xf numFmtId="0" fontId="120" fillId="0" borderId="46" xfId="2" applyFont="1" applyBorder="1" applyProtection="1">
      <protection hidden="1"/>
    </xf>
    <xf numFmtId="3" fontId="120" fillId="0" borderId="3" xfId="2" applyNumberFormat="1" applyFont="1" applyFill="1" applyBorder="1" applyAlignment="1" applyProtection="1">
      <protection hidden="1"/>
    </xf>
    <xf numFmtId="4" fontId="120" fillId="0" borderId="55" xfId="2" applyNumberFormat="1" applyFont="1" applyFill="1" applyBorder="1" applyAlignment="1" applyProtection="1">
      <protection hidden="1"/>
    </xf>
    <xf numFmtId="4" fontId="120" fillId="0" borderId="3" xfId="2" applyNumberFormat="1" applyFont="1" applyFill="1" applyBorder="1" applyAlignment="1" applyProtection="1">
      <protection hidden="1"/>
    </xf>
    <xf numFmtId="0" fontId="120" fillId="0" borderId="1" xfId="2" applyFont="1" applyBorder="1" applyAlignment="1" applyProtection="1">
      <protection hidden="1"/>
    </xf>
    <xf numFmtId="0" fontId="120" fillId="0" borderId="3" xfId="2" applyFont="1" applyBorder="1" applyProtection="1">
      <protection hidden="1"/>
    </xf>
    <xf numFmtId="4" fontId="120" fillId="0" borderId="0" xfId="2" applyNumberFormat="1" applyFont="1" applyFill="1" applyBorder="1" applyAlignment="1" applyProtection="1">
      <alignment horizontal="right"/>
      <protection hidden="1"/>
    </xf>
    <xf numFmtId="0" fontId="120" fillId="0" borderId="49" xfId="2" applyFont="1" applyBorder="1" applyProtection="1">
      <protection hidden="1"/>
    </xf>
    <xf numFmtId="0" fontId="120" fillId="0" borderId="2" xfId="2" applyFont="1" applyBorder="1" applyAlignment="1" applyProtection="1">
      <alignment horizontal="left" indent="3"/>
      <protection hidden="1"/>
    </xf>
    <xf numFmtId="0" fontId="120" fillId="0" borderId="2" xfId="2" applyFont="1" applyBorder="1" applyAlignment="1" applyProtection="1">
      <alignment horizontal="left" indent="4"/>
      <protection hidden="1"/>
    </xf>
    <xf numFmtId="0" fontId="120" fillId="0" borderId="2" xfId="2" quotePrefix="1" applyFont="1" applyBorder="1" applyAlignment="1" applyProtection="1">
      <alignment horizontal="left" indent="4"/>
      <protection hidden="1"/>
    </xf>
    <xf numFmtId="0" fontId="120" fillId="0" borderId="49" xfId="2" quotePrefix="1" applyFont="1" applyBorder="1" applyAlignment="1" applyProtection="1">
      <alignment horizontal="left" indent="4"/>
      <protection hidden="1"/>
    </xf>
    <xf numFmtId="0" fontId="120" fillId="0" borderId="47" xfId="2" quotePrefix="1" applyFont="1" applyBorder="1" applyAlignment="1" applyProtection="1">
      <alignment horizontal="left" indent="3"/>
      <protection hidden="1"/>
    </xf>
    <xf numFmtId="3" fontId="120" fillId="0" borderId="47" xfId="2" applyNumberFormat="1" applyFont="1" applyBorder="1" applyAlignment="1" applyProtection="1">
      <alignment horizontal="right"/>
      <protection hidden="1"/>
    </xf>
    <xf numFmtId="0" fontId="120" fillId="0" borderId="0" xfId="2" quotePrefix="1" applyFont="1" applyBorder="1" applyAlignment="1" applyProtection="1">
      <alignment horizontal="left" indent="3"/>
      <protection hidden="1"/>
    </xf>
    <xf numFmtId="0" fontId="131" fillId="0" borderId="46" xfId="2" applyFont="1" applyBorder="1" applyAlignment="1" applyProtection="1">
      <alignment horizontal="left" indent="1"/>
      <protection hidden="1"/>
    </xf>
    <xf numFmtId="3" fontId="120" fillId="0" borderId="0" xfId="2" applyNumberFormat="1" applyFont="1" applyProtection="1">
      <protection hidden="1"/>
    </xf>
    <xf numFmtId="0" fontId="131" fillId="0" borderId="2" xfId="2" applyFont="1" applyBorder="1" applyAlignment="1" applyProtection="1">
      <alignment horizontal="left" indent="1"/>
      <protection hidden="1"/>
    </xf>
    <xf numFmtId="0" fontId="120" fillId="0" borderId="52" xfId="2" applyFont="1" applyBorder="1" applyAlignment="1" applyProtection="1">
      <alignment horizontal="left" indent="2"/>
      <protection hidden="1"/>
    </xf>
    <xf numFmtId="3" fontId="120" fillId="0" borderId="52" xfId="2" applyNumberFormat="1" applyFont="1" applyFill="1" applyBorder="1" applyAlignment="1" applyProtection="1">
      <alignment horizontal="right"/>
      <protection hidden="1"/>
    </xf>
    <xf numFmtId="0" fontId="120" fillId="0" borderId="0" xfId="2" applyFont="1" applyBorder="1" applyAlignment="1" applyProtection="1">
      <alignment horizontal="left" indent="3"/>
      <protection hidden="1"/>
    </xf>
    <xf numFmtId="0" fontId="131" fillId="0" borderId="55" xfId="2" applyFont="1" applyBorder="1" applyAlignment="1" applyProtection="1">
      <alignment horizontal="left" indent="1"/>
      <protection hidden="1"/>
    </xf>
    <xf numFmtId="0" fontId="120" fillId="0" borderId="3" xfId="2" applyFont="1" applyBorder="1" applyAlignment="1" applyProtection="1">
      <alignment horizontal="left" indent="2"/>
      <protection hidden="1"/>
    </xf>
    <xf numFmtId="0" fontId="120" fillId="0" borderId="0" xfId="2" applyNumberFormat="1" applyFont="1" applyBorder="1" applyAlignment="1" applyProtection="1">
      <alignment horizontal="right"/>
      <protection hidden="1"/>
    </xf>
    <xf numFmtId="0" fontId="120" fillId="0" borderId="3" xfId="2" applyNumberFormat="1" applyFont="1" applyFill="1" applyBorder="1" applyAlignment="1" applyProtection="1">
      <alignment horizontal="right"/>
      <protection hidden="1"/>
    </xf>
    <xf numFmtId="3" fontId="120" fillId="0" borderId="2" xfId="2" applyNumberFormat="1" applyFont="1" applyBorder="1" applyAlignment="1" applyProtection="1">
      <alignment horizontal="left" indent="2"/>
      <protection hidden="1"/>
    </xf>
    <xf numFmtId="0" fontId="120" fillId="0" borderId="0" xfId="2" applyNumberFormat="1" applyFont="1" applyFill="1" applyBorder="1" applyAlignment="1" applyProtection="1">
      <alignment horizontal="right"/>
      <protection hidden="1"/>
    </xf>
    <xf numFmtId="10" fontId="120" fillId="0" borderId="3" xfId="2" applyNumberFormat="1" applyFont="1" applyFill="1" applyBorder="1" applyAlignment="1" applyProtection="1">
      <alignment horizontal="right"/>
      <protection hidden="1"/>
    </xf>
    <xf numFmtId="14" fontId="120" fillId="0" borderId="0" xfId="2" applyNumberFormat="1" applyFont="1" applyProtection="1">
      <protection hidden="1"/>
    </xf>
    <xf numFmtId="0" fontId="120" fillId="0" borderId="54" xfId="2" applyNumberFormat="1" applyFont="1" applyFill="1" applyBorder="1" applyAlignment="1" applyProtection="1">
      <alignment horizontal="right"/>
      <protection hidden="1"/>
    </xf>
    <xf numFmtId="0" fontId="120" fillId="0" borderId="0" xfId="2" applyFont="1" applyAlignment="1" applyProtection="1">
      <alignment horizontal="left" indent="1"/>
      <protection hidden="1"/>
    </xf>
    <xf numFmtId="169" fontId="120" fillId="0" borderId="0" xfId="2" applyNumberFormat="1" applyFont="1" applyProtection="1">
      <protection hidden="1"/>
    </xf>
    <xf numFmtId="0" fontId="132" fillId="0" borderId="0" xfId="2" applyFont="1" applyProtection="1">
      <protection hidden="1"/>
    </xf>
    <xf numFmtId="0" fontId="112" fillId="0" borderId="0" xfId="2" applyFont="1" applyProtection="1">
      <protection hidden="1"/>
    </xf>
    <xf numFmtId="0" fontId="112" fillId="0" borderId="2" xfId="2" applyFont="1" applyBorder="1" applyAlignment="1" applyProtection="1">
      <alignment horizontal="left"/>
      <protection hidden="1"/>
    </xf>
    <xf numFmtId="4" fontId="112" fillId="0" borderId="3" xfId="2" applyNumberFormat="1" applyFont="1" applyBorder="1" applyAlignment="1" applyProtection="1">
      <alignment vertical="center"/>
      <protection hidden="1"/>
    </xf>
    <xf numFmtId="4" fontId="112" fillId="0" borderId="0" xfId="2" applyNumberFormat="1" applyFont="1" applyBorder="1" applyAlignment="1" applyProtection="1">
      <alignment horizontal="right" vertical="center"/>
      <protection hidden="1"/>
    </xf>
    <xf numFmtId="0" fontId="112" fillId="0" borderId="2" xfId="2" applyFont="1" applyFill="1" applyBorder="1" applyAlignment="1" applyProtection="1">
      <alignment horizontal="left"/>
      <protection hidden="1"/>
    </xf>
    <xf numFmtId="0" fontId="133" fillId="0" borderId="0" xfId="2" applyFont="1" applyProtection="1">
      <protection hidden="1"/>
    </xf>
    <xf numFmtId="0" fontId="112" fillId="0" borderId="0" xfId="2" applyNumberFormat="1" applyFont="1" applyBorder="1" applyProtection="1">
      <protection hidden="1"/>
    </xf>
    <xf numFmtId="0" fontId="112" fillId="0" borderId="0" xfId="2" applyFont="1" applyBorder="1" applyAlignment="1" applyProtection="1">
      <protection hidden="1"/>
    </xf>
    <xf numFmtId="0" fontId="112" fillId="0" borderId="0" xfId="2" applyFont="1" applyAlignment="1" applyProtection="1">
      <alignment horizontal="right"/>
      <protection hidden="1"/>
    </xf>
    <xf numFmtId="0" fontId="112" fillId="0" borderId="0" xfId="2" applyNumberFormat="1" applyFont="1" applyProtection="1">
      <protection hidden="1"/>
    </xf>
    <xf numFmtId="4" fontId="112" fillId="0" borderId="0" xfId="2" applyNumberFormat="1" applyFont="1" applyAlignment="1" applyProtection="1">
      <alignment horizontal="right"/>
      <protection hidden="1"/>
    </xf>
    <xf numFmtId="4" fontId="112" fillId="0" borderId="0" xfId="2" applyNumberFormat="1" applyFont="1" applyProtection="1">
      <protection hidden="1"/>
    </xf>
    <xf numFmtId="0" fontId="112" fillId="0" borderId="0" xfId="2" applyFont="1" applyFill="1" applyProtection="1">
      <protection hidden="1"/>
    </xf>
    <xf numFmtId="0" fontId="112" fillId="0" borderId="0" xfId="2" applyFont="1" applyAlignment="1" applyProtection="1">
      <alignment horizontal="left"/>
      <protection hidden="1"/>
    </xf>
    <xf numFmtId="3" fontId="112" fillId="0" borderId="0" xfId="2" applyNumberFormat="1" applyFont="1" applyProtection="1">
      <protection hidden="1"/>
    </xf>
    <xf numFmtId="4" fontId="112" fillId="0" borderId="0" xfId="2" applyNumberFormat="1" applyFont="1" applyFill="1" applyProtection="1">
      <protection hidden="1"/>
    </xf>
    <xf numFmtId="3" fontId="112" fillId="0" borderId="0" xfId="2" applyNumberFormat="1" applyFont="1" applyFill="1" applyProtection="1">
      <protection hidden="1"/>
    </xf>
    <xf numFmtId="0" fontId="133" fillId="0" borderId="2" xfId="2" applyNumberFormat="1" applyFont="1" applyFill="1" applyBorder="1" applyAlignment="1" applyProtection="1">
      <alignment vertical="center"/>
      <protection hidden="1"/>
    </xf>
    <xf numFmtId="4" fontId="133" fillId="0" borderId="3" xfId="2" applyNumberFormat="1" applyFont="1" applyBorder="1" applyAlignment="1" applyProtection="1">
      <alignment horizontal="right" vertical="center"/>
      <protection hidden="1"/>
    </xf>
    <xf numFmtId="0" fontId="112" fillId="0" borderId="2" xfId="2" applyNumberFormat="1" applyFont="1" applyFill="1" applyBorder="1" applyAlignment="1" applyProtection="1">
      <alignment vertical="center"/>
      <protection hidden="1"/>
    </xf>
    <xf numFmtId="4" fontId="112" fillId="0" borderId="3" xfId="2" applyNumberFormat="1" applyFont="1" applyFill="1" applyBorder="1" applyAlignment="1" applyProtection="1">
      <alignment horizontal="right" vertical="center"/>
      <protection hidden="1"/>
    </xf>
    <xf numFmtId="4" fontId="112" fillId="0" borderId="3" xfId="2" applyNumberFormat="1" applyFont="1" applyBorder="1" applyAlignment="1" applyProtection="1">
      <alignment horizontal="right" vertical="center"/>
      <protection hidden="1"/>
    </xf>
    <xf numFmtId="0" fontId="112" fillId="0" borderId="2" xfId="2" applyFont="1" applyBorder="1" applyAlignment="1" applyProtection="1">
      <alignment vertical="center"/>
      <protection hidden="1"/>
    </xf>
    <xf numFmtId="4" fontId="112" fillId="0" borderId="3" xfId="2" applyNumberFormat="1" applyFont="1" applyFill="1" applyBorder="1" applyAlignment="1" applyProtection="1">
      <alignment vertical="center"/>
      <protection hidden="1"/>
    </xf>
    <xf numFmtId="4" fontId="112" fillId="0" borderId="0" xfId="2" applyNumberFormat="1" applyFont="1" applyBorder="1" applyAlignment="1" applyProtection="1">
      <alignment vertical="center"/>
      <protection hidden="1"/>
    </xf>
    <xf numFmtId="4" fontId="133" fillId="0" borderId="3" xfId="2" applyNumberFormat="1" applyFont="1" applyFill="1" applyBorder="1" applyAlignment="1" applyProtection="1">
      <alignment horizontal="right" vertical="center"/>
      <protection hidden="1"/>
    </xf>
    <xf numFmtId="0" fontId="112" fillId="0" borderId="3" xfId="2" applyNumberFormat="1" applyFont="1" applyFill="1" applyBorder="1" applyAlignment="1" applyProtection="1">
      <alignment vertical="center"/>
      <protection hidden="1"/>
    </xf>
    <xf numFmtId="0" fontId="112" fillId="0" borderId="3" xfId="2" applyFont="1" applyBorder="1" applyProtection="1">
      <protection hidden="1"/>
    </xf>
    <xf numFmtId="0" fontId="133" fillId="0" borderId="3" xfId="2" applyNumberFormat="1" applyFont="1" applyFill="1" applyBorder="1" applyAlignment="1" applyProtection="1">
      <alignment vertical="center"/>
      <protection hidden="1"/>
    </xf>
    <xf numFmtId="0" fontId="112" fillId="0" borderId="2" xfId="2" applyFont="1" applyBorder="1" applyProtection="1">
      <protection hidden="1"/>
    </xf>
    <xf numFmtId="4" fontId="112" fillId="0" borderId="3" xfId="2" applyNumberFormat="1" applyFont="1" applyBorder="1" applyAlignment="1" applyProtection="1">
      <alignment horizontal="center" vertical="center"/>
      <protection hidden="1"/>
    </xf>
    <xf numFmtId="0" fontId="133" fillId="0" borderId="55" xfId="2" applyNumberFormat="1" applyFont="1" applyFill="1" applyBorder="1" applyAlignment="1" applyProtection="1">
      <alignment vertical="center"/>
      <protection hidden="1"/>
    </xf>
    <xf numFmtId="43" fontId="112" fillId="0" borderId="0" xfId="4" applyFont="1" applyProtection="1">
      <protection hidden="1"/>
    </xf>
    <xf numFmtId="0" fontId="112" fillId="0" borderId="0" xfId="2" applyFont="1" applyBorder="1" applyAlignment="1" applyProtection="1">
      <alignment horizontal="center"/>
      <protection hidden="1"/>
    </xf>
    <xf numFmtId="0" fontId="133" fillId="0" borderId="2" xfId="2" applyFont="1" applyBorder="1" applyProtection="1">
      <protection hidden="1"/>
    </xf>
    <xf numFmtId="4" fontId="133" fillId="0" borderId="0" xfId="2" applyNumberFormat="1" applyFont="1" applyBorder="1" applyAlignment="1" applyProtection="1">
      <alignment horizontal="right" vertical="center"/>
      <protection hidden="1"/>
    </xf>
    <xf numFmtId="0" fontId="133" fillId="0" borderId="2" xfId="2" applyFont="1" applyBorder="1" applyAlignment="1" applyProtection="1">
      <alignment vertical="center"/>
      <protection hidden="1"/>
    </xf>
    <xf numFmtId="0" fontId="120" fillId="0" borderId="0" xfId="2" applyFont="1" applyFill="1" applyAlignment="1" applyProtection="1">
      <alignment vertical="center"/>
      <protection hidden="1"/>
    </xf>
    <xf numFmtId="0" fontId="120" fillId="0" borderId="0" xfId="2" applyFont="1" applyAlignment="1" applyProtection="1">
      <alignment vertical="center"/>
      <protection hidden="1"/>
    </xf>
    <xf numFmtId="0" fontId="131" fillId="0" borderId="2" xfId="2" applyFont="1" applyBorder="1" applyAlignment="1" applyProtection="1">
      <alignment vertical="center"/>
      <protection hidden="1"/>
    </xf>
    <xf numFmtId="0" fontId="120" fillId="0" borderId="3" xfId="2" applyNumberFormat="1" applyFont="1" applyFill="1" applyBorder="1" applyAlignment="1" applyProtection="1">
      <alignment horizontal="right" vertical="center"/>
      <protection hidden="1"/>
    </xf>
    <xf numFmtId="0" fontId="120" fillId="0" borderId="2" xfId="2" applyNumberFormat="1" applyFont="1" applyFill="1" applyBorder="1" applyAlignment="1" applyProtection="1">
      <alignment horizontal="left" vertical="center"/>
      <protection hidden="1"/>
    </xf>
    <xf numFmtId="3" fontId="120" fillId="0" borderId="3" xfId="2" applyNumberFormat="1" applyFont="1" applyFill="1" applyBorder="1" applyAlignment="1" applyProtection="1">
      <alignment horizontal="right" vertical="center"/>
      <protection hidden="1"/>
    </xf>
    <xf numFmtId="187" fontId="120" fillId="0" borderId="3" xfId="2" applyNumberFormat="1" applyFont="1" applyFill="1" applyBorder="1" applyAlignment="1" applyProtection="1">
      <alignment horizontal="right" vertical="center"/>
      <protection hidden="1"/>
    </xf>
    <xf numFmtId="4" fontId="120" fillId="0" borderId="3" xfId="2" applyNumberFormat="1" applyFont="1" applyFill="1" applyBorder="1" applyAlignment="1" applyProtection="1">
      <alignment horizontal="right" vertical="center"/>
      <protection hidden="1"/>
    </xf>
    <xf numFmtId="4" fontId="120" fillId="0" borderId="0" xfId="2" applyNumberFormat="1" applyFont="1" applyAlignment="1" applyProtection="1">
      <alignment vertical="center"/>
      <protection hidden="1"/>
    </xf>
    <xf numFmtId="0" fontId="120" fillId="0" borderId="3" xfId="2" applyFont="1" applyFill="1" applyBorder="1" applyAlignment="1" applyProtection="1">
      <alignment horizontal="right" vertical="center"/>
      <protection hidden="1"/>
    </xf>
    <xf numFmtId="0" fontId="120" fillId="0" borderId="49" xfId="2" applyNumberFormat="1" applyFont="1" applyFill="1" applyBorder="1" applyAlignment="1" applyProtection="1">
      <alignment horizontal="left" vertical="center"/>
      <protection hidden="1"/>
    </xf>
    <xf numFmtId="188" fontId="120" fillId="0" borderId="54" xfId="2" applyNumberFormat="1" applyFont="1" applyFill="1" applyBorder="1" applyAlignment="1" applyProtection="1">
      <alignment horizontal="right" vertical="center"/>
      <protection hidden="1"/>
    </xf>
    <xf numFmtId="0" fontId="131" fillId="0" borderId="46" xfId="2" applyFont="1" applyBorder="1" applyAlignment="1" applyProtection="1">
      <alignment vertical="center"/>
      <protection hidden="1"/>
    </xf>
    <xf numFmtId="0" fontId="120" fillId="0" borderId="55" xfId="2" applyFont="1" applyFill="1" applyBorder="1" applyAlignment="1" applyProtection="1">
      <alignment horizontal="right" vertical="center"/>
      <protection hidden="1"/>
    </xf>
    <xf numFmtId="189" fontId="120" fillId="0" borderId="3" xfId="2" applyNumberFormat="1" applyFont="1" applyFill="1" applyBorder="1" applyAlignment="1" applyProtection="1">
      <alignment horizontal="right" vertical="center"/>
      <protection hidden="1"/>
    </xf>
    <xf numFmtId="10" fontId="120" fillId="0" borderId="3" xfId="2" applyNumberFormat="1" applyFont="1" applyFill="1" applyBorder="1" applyAlignment="1" applyProtection="1">
      <alignment horizontal="right" vertical="center"/>
      <protection hidden="1"/>
    </xf>
    <xf numFmtId="4" fontId="120" fillId="0" borderId="0" xfId="2" applyNumberFormat="1" applyFont="1" applyFill="1" applyBorder="1" applyAlignment="1" applyProtection="1">
      <alignment horizontal="right" vertical="center"/>
      <protection hidden="1"/>
    </xf>
    <xf numFmtId="190" fontId="120" fillId="0" borderId="3" xfId="2" applyNumberFormat="1" applyFont="1" applyFill="1" applyBorder="1" applyAlignment="1" applyProtection="1">
      <alignment horizontal="right" vertical="center"/>
      <protection hidden="1"/>
    </xf>
    <xf numFmtId="169" fontId="120" fillId="0" borderId="3" xfId="2" applyNumberFormat="1" applyFont="1" applyFill="1" applyBorder="1" applyAlignment="1" applyProtection="1">
      <alignment horizontal="right" vertical="center"/>
      <protection hidden="1"/>
    </xf>
    <xf numFmtId="4" fontId="120" fillId="0" borderId="54" xfId="2" applyNumberFormat="1" applyFont="1" applyFill="1" applyBorder="1" applyAlignment="1" applyProtection="1">
      <alignment horizontal="right" vertical="center"/>
      <protection hidden="1"/>
    </xf>
    <xf numFmtId="0" fontId="120" fillId="0" borderId="0" xfId="2" applyNumberFormat="1" applyFont="1" applyFill="1" applyBorder="1" applyAlignment="1" applyProtection="1">
      <alignment horizontal="right" vertical="center"/>
      <protection hidden="1"/>
    </xf>
    <xf numFmtId="0" fontId="120" fillId="0" borderId="0" xfId="2" applyNumberFormat="1" applyFont="1" applyFill="1" applyBorder="1" applyAlignment="1" applyProtection="1">
      <alignment horizontal="left" vertical="center"/>
      <protection hidden="1"/>
    </xf>
    <xf numFmtId="191" fontId="120" fillId="0" borderId="3" xfId="2" applyNumberFormat="1" applyFont="1" applyFill="1" applyBorder="1" applyAlignment="1" applyProtection="1">
      <alignment horizontal="right" vertical="center"/>
      <protection hidden="1"/>
    </xf>
    <xf numFmtId="0" fontId="120" fillId="0" borderId="47" xfId="2" applyNumberFormat="1" applyFont="1" applyFill="1" applyBorder="1" applyAlignment="1" applyProtection="1">
      <alignment horizontal="left" vertical="center"/>
      <protection hidden="1"/>
    </xf>
    <xf numFmtId="4" fontId="120" fillId="0" borderId="47" xfId="2" applyNumberFormat="1" applyFont="1" applyFill="1" applyBorder="1" applyAlignment="1" applyProtection="1">
      <alignment horizontal="right" vertical="center"/>
      <protection hidden="1"/>
    </xf>
    <xf numFmtId="0" fontId="136" fillId="0" borderId="0" xfId="0" applyFont="1" applyBorder="1" applyAlignment="1">
      <alignment horizontal="center"/>
    </xf>
    <xf numFmtId="0" fontId="137" fillId="0" borderId="0" xfId="0" applyFont="1" applyBorder="1" applyAlignment="1">
      <alignment horizontal="center"/>
    </xf>
    <xf numFmtId="0" fontId="137" fillId="0" borderId="7" xfId="0" applyFont="1" applyBorder="1" applyAlignment="1">
      <alignment horizontal="center"/>
    </xf>
    <xf numFmtId="0" fontId="137" fillId="0" borderId="9" xfId="0" applyFont="1" applyBorder="1" applyAlignment="1">
      <alignment horizontal="center"/>
    </xf>
    <xf numFmtId="0" fontId="0" fillId="0" borderId="0" xfId="0" applyFont="1"/>
    <xf numFmtId="0" fontId="14" fillId="0" borderId="0" xfId="0" applyFont="1" applyBorder="1" applyAlignment="1">
      <alignment horizontal="center"/>
    </xf>
    <xf numFmtId="3" fontId="78" fillId="0" borderId="0" xfId="0" applyNumberFormat="1" applyFont="1" applyBorder="1" applyAlignment="1">
      <alignment horizontal="center" vertical="center"/>
    </xf>
    <xf numFmtId="0" fontId="138" fillId="0" borderId="0" xfId="0" applyFont="1" applyBorder="1" applyAlignment="1">
      <alignment horizontal="center"/>
    </xf>
    <xf numFmtId="0" fontId="138" fillId="0" borderId="7" xfId="0" applyFont="1" applyBorder="1" applyAlignment="1">
      <alignment horizontal="center"/>
    </xf>
    <xf numFmtId="0" fontId="138" fillId="0" borderId="9" xfId="0" applyFont="1" applyBorder="1" applyAlignment="1">
      <alignment horizontal="center"/>
    </xf>
    <xf numFmtId="0" fontId="137" fillId="0" borderId="6" xfId="0" applyFont="1" applyBorder="1" applyAlignment="1">
      <alignment horizontal="left"/>
    </xf>
    <xf numFmtId="3" fontId="55" fillId="40" borderId="27" xfId="10" applyNumberFormat="1" applyFont="1" applyFill="1" applyBorder="1" applyAlignment="1">
      <alignment horizontal="center" vertical="center"/>
    </xf>
    <xf numFmtId="0" fontId="137" fillId="0" borderId="25" xfId="0" applyFont="1" applyBorder="1" applyAlignment="1">
      <alignment horizontal="left"/>
    </xf>
    <xf numFmtId="0" fontId="134" fillId="2" borderId="27" xfId="0" applyFont="1" applyFill="1" applyBorder="1"/>
    <xf numFmtId="0" fontId="17" fillId="0" borderId="0" xfId="7" applyAlignment="1" applyProtection="1"/>
    <xf numFmtId="0" fontId="137" fillId="0" borderId="0" xfId="0" applyFont="1" applyAlignment="1">
      <alignment horizontal="center"/>
    </xf>
    <xf numFmtId="0" fontId="137" fillId="0" borderId="0" xfId="0" applyFont="1"/>
    <xf numFmtId="0" fontId="137" fillId="0" borderId="6" xfId="0" applyFont="1" applyBorder="1"/>
    <xf numFmtId="0" fontId="137" fillId="0" borderId="4" xfId="0" applyFont="1" applyBorder="1" applyAlignment="1">
      <alignment horizontal="center"/>
    </xf>
    <xf numFmtId="0" fontId="137" fillId="0" borderId="4" xfId="0" applyFont="1" applyBorder="1"/>
    <xf numFmtId="0" fontId="137" fillId="0" borderId="0" xfId="0" applyFont="1" applyBorder="1"/>
    <xf numFmtId="0" fontId="137" fillId="0" borderId="7" xfId="0" applyFont="1" applyBorder="1"/>
    <xf numFmtId="0" fontId="134" fillId="0" borderId="0" xfId="0" applyFont="1"/>
    <xf numFmtId="0" fontId="140" fillId="0" borderId="6" xfId="0" applyFont="1" applyBorder="1"/>
    <xf numFmtId="0" fontId="140" fillId="0" borderId="0" xfId="0" applyFont="1" applyBorder="1" applyAlignment="1">
      <alignment horizontal="center"/>
    </xf>
    <xf numFmtId="0" fontId="140" fillId="0" borderId="0" xfId="0" applyFont="1" applyBorder="1" applyAlignment="1">
      <alignment horizontal="center" vertical="center" wrapText="1"/>
    </xf>
    <xf numFmtId="0" fontId="141" fillId="0" borderId="0" xfId="0" applyFont="1" applyAlignment="1">
      <alignment vertical="center"/>
    </xf>
    <xf numFmtId="0" fontId="137" fillId="0" borderId="8" xfId="0" applyFont="1" applyBorder="1"/>
    <xf numFmtId="0" fontId="137" fillId="0" borderId="10" xfId="0" applyFont="1" applyBorder="1" applyAlignment="1">
      <alignment horizontal="center"/>
    </xf>
    <xf numFmtId="0" fontId="137" fillId="0" borderId="0" xfId="0" applyFont="1" applyFill="1" applyBorder="1" applyAlignment="1">
      <alignment horizontal="center"/>
    </xf>
    <xf numFmtId="0" fontId="137" fillId="0" borderId="0" xfId="0" applyFont="1" applyFill="1" applyBorder="1"/>
    <xf numFmtId="0" fontId="137" fillId="0" borderId="0" xfId="0" applyFont="1" applyFill="1"/>
    <xf numFmtId="0" fontId="140" fillId="0" borderId="10" xfId="0" applyFont="1" applyBorder="1" applyAlignment="1">
      <alignment horizontal="center"/>
    </xf>
    <xf numFmtId="0" fontId="140" fillId="0" borderId="0" xfId="0" applyFont="1" applyBorder="1"/>
    <xf numFmtId="0" fontId="137" fillId="0" borderId="0" xfId="0" applyFont="1" applyBorder="1" applyAlignment="1">
      <alignment horizontal="right"/>
    </xf>
    <xf numFmtId="0" fontId="136" fillId="0" borderId="0" xfId="0" applyFont="1" applyBorder="1"/>
    <xf numFmtId="0" fontId="136" fillId="0" borderId="0" xfId="0" applyFont="1" applyFill="1" applyBorder="1"/>
    <xf numFmtId="0" fontId="134" fillId="0" borderId="0" xfId="0" applyFont="1" applyFill="1" applyBorder="1"/>
    <xf numFmtId="0" fontId="134" fillId="0" borderId="0" xfId="0" applyFont="1" applyFill="1" applyBorder="1" applyAlignment="1">
      <alignment horizontal="center"/>
    </xf>
    <xf numFmtId="0" fontId="137" fillId="0" borderId="0" xfId="0" applyFont="1" applyFill="1" applyAlignment="1">
      <alignment horizontal="center"/>
    </xf>
    <xf numFmtId="0" fontId="142" fillId="0" borderId="0" xfId="0" applyFont="1" applyAlignment="1">
      <alignment horizontal="right" vertical="center"/>
    </xf>
    <xf numFmtId="0" fontId="136" fillId="0" borderId="6" xfId="0" applyFont="1" applyBorder="1"/>
    <xf numFmtId="0" fontId="137" fillId="0" borderId="12" xfId="0" applyFont="1" applyBorder="1"/>
    <xf numFmtId="0" fontId="136" fillId="0" borderId="10" xfId="0" applyFont="1" applyBorder="1"/>
    <xf numFmtId="0" fontId="137" fillId="0" borderId="10" xfId="0" applyFont="1" applyBorder="1"/>
    <xf numFmtId="0" fontId="137" fillId="0" borderId="6" xfId="0" applyFont="1" applyBorder="1" applyAlignment="1">
      <alignment horizontal="center"/>
    </xf>
    <xf numFmtId="0" fontId="137" fillId="0" borderId="2" xfId="0" applyFont="1" applyBorder="1"/>
    <xf numFmtId="0" fontId="138" fillId="0" borderId="0" xfId="0" applyFont="1" applyAlignment="1">
      <alignment horizontal="center"/>
    </xf>
    <xf numFmtId="0" fontId="138" fillId="0" borderId="0" xfId="0" applyFont="1"/>
    <xf numFmtId="0" fontId="144" fillId="2" borderId="24" xfId="0" applyFont="1" applyFill="1" applyBorder="1" applyAlignment="1">
      <alignment horizontal="center"/>
    </xf>
    <xf numFmtId="0" fontId="144" fillId="2" borderId="26" xfId="0" applyFont="1" applyFill="1" applyBorder="1" applyAlignment="1">
      <alignment horizontal="center"/>
    </xf>
    <xf numFmtId="0" fontId="138" fillId="0" borderId="25" xfId="0" applyFont="1" applyBorder="1"/>
    <xf numFmtId="0" fontId="144" fillId="2" borderId="27" xfId="0" applyFont="1" applyFill="1" applyBorder="1"/>
    <xf numFmtId="0" fontId="145" fillId="0" borderId="0" xfId="0" applyFont="1"/>
    <xf numFmtId="0" fontId="104" fillId="0" borderId="0" xfId="1" applyFont="1" applyFill="1" applyBorder="1" applyAlignment="1">
      <alignment horizontal="center"/>
    </xf>
    <xf numFmtId="0" fontId="90" fillId="0" borderId="0" xfId="1" applyFont="1" applyFill="1" applyBorder="1" applyAlignment="1">
      <alignment horizontal="left"/>
    </xf>
    <xf numFmtId="0" fontId="134" fillId="46" borderId="8" xfId="0" applyFont="1" applyFill="1" applyBorder="1"/>
    <xf numFmtId="0" fontId="137" fillId="46" borderId="10" xfId="0" applyFont="1" applyFill="1" applyBorder="1"/>
    <xf numFmtId="0" fontId="137" fillId="46" borderId="9" xfId="0" applyFont="1" applyFill="1" applyBorder="1"/>
    <xf numFmtId="0" fontId="139" fillId="2" borderId="6" xfId="0" applyFont="1" applyFill="1" applyBorder="1"/>
    <xf numFmtId="0" fontId="139" fillId="2" borderId="0" xfId="0" applyFont="1" applyFill="1" applyBorder="1" applyAlignment="1">
      <alignment horizontal="center"/>
    </xf>
    <xf numFmtId="0" fontId="139" fillId="2" borderId="6" xfId="0" applyFont="1" applyFill="1" applyBorder="1" applyAlignment="1">
      <alignment horizontal="center"/>
    </xf>
    <xf numFmtId="0" fontId="139" fillId="2" borderId="7" xfId="0" applyFont="1" applyFill="1" applyBorder="1" applyAlignment="1">
      <alignment horizontal="center"/>
    </xf>
    <xf numFmtId="0" fontId="134" fillId="46" borderId="9" xfId="0" applyFont="1" applyFill="1" applyBorder="1"/>
    <xf numFmtId="3" fontId="55" fillId="0" borderId="5" xfId="10" applyNumberFormat="1" applyFont="1" applyFill="1" applyBorder="1" applyAlignment="1">
      <alignment horizontal="center" vertical="center"/>
    </xf>
    <xf numFmtId="0" fontId="137" fillId="0" borderId="25" xfId="0" applyFont="1" applyBorder="1"/>
    <xf numFmtId="0" fontId="137" fillId="46" borderId="8" xfId="0" applyFont="1" applyFill="1" applyBorder="1"/>
    <xf numFmtId="0" fontId="90" fillId="0" borderId="0" xfId="0" applyFont="1" applyBorder="1"/>
    <xf numFmtId="0" fontId="145" fillId="0" borderId="0" xfId="0" applyFont="1" applyAlignment="1">
      <alignment horizontal="center"/>
    </xf>
    <xf numFmtId="0" fontId="144" fillId="0" borderId="6" xfId="0" applyFont="1" applyFill="1" applyBorder="1"/>
    <xf numFmtId="0" fontId="145" fillId="0" borderId="0" xfId="0" applyFont="1" applyAlignment="1">
      <alignment horizontal="left"/>
    </xf>
    <xf numFmtId="0" fontId="134" fillId="0" borderId="0" xfId="0" applyFont="1" applyBorder="1"/>
    <xf numFmtId="0" fontId="134" fillId="0" borderId="0" xfId="0" applyFont="1" applyBorder="1" applyAlignment="1">
      <alignment horizontal="right"/>
    </xf>
    <xf numFmtId="0" fontId="137" fillId="0" borderId="0" xfId="0" applyFont="1" applyBorder="1" applyAlignment="1">
      <alignment vertical="top" wrapText="1"/>
    </xf>
    <xf numFmtId="0" fontId="140" fillId="0" borderId="8" xfId="0" applyFont="1" applyFill="1" applyBorder="1"/>
    <xf numFmtId="0" fontId="140" fillId="0" borderId="0" xfId="0" applyFont="1" applyFill="1" applyBorder="1"/>
    <xf numFmtId="0" fontId="137" fillId="0" borderId="8" xfId="0" applyFont="1" applyBorder="1" applyAlignment="1">
      <alignment horizontal="left"/>
    </xf>
    <xf numFmtId="0" fontId="137" fillId="0" borderId="0" xfId="0" applyFont="1" applyAlignment="1">
      <alignment horizontal="right"/>
    </xf>
    <xf numFmtId="0" fontId="134" fillId="3" borderId="8" xfId="0" applyFont="1" applyFill="1" applyBorder="1" applyAlignment="1">
      <alignment horizontal="left"/>
    </xf>
    <xf numFmtId="0" fontId="134" fillId="3" borderId="10" xfId="0" applyFont="1" applyFill="1" applyBorder="1" applyAlignment="1">
      <alignment horizontal="left"/>
    </xf>
    <xf numFmtId="0" fontId="134" fillId="3" borderId="10" xfId="0" applyFont="1" applyFill="1" applyBorder="1" applyAlignment="1">
      <alignment horizontal="center"/>
    </xf>
    <xf numFmtId="0" fontId="137" fillId="0" borderId="0" xfId="0" applyFont="1" applyFill="1" applyBorder="1" applyAlignment="1">
      <alignment horizontal="left" vertical="top" wrapText="1"/>
    </xf>
    <xf numFmtId="0" fontId="137" fillId="0" borderId="0" xfId="0" applyFont="1" applyBorder="1" applyAlignment="1">
      <alignment horizontal="left"/>
    </xf>
    <xf numFmtId="0" fontId="136" fillId="0" borderId="0" xfId="0" applyFont="1" applyBorder="1" applyAlignment="1"/>
    <xf numFmtId="14" fontId="137" fillId="0" borderId="0" xfId="0" applyNumberFormat="1" applyFont="1" applyBorder="1" applyAlignment="1">
      <alignment horizontal="left" vertical="top" wrapText="1"/>
    </xf>
    <xf numFmtId="0" fontId="137" fillId="0" borderId="0" xfId="0" applyFont="1" applyBorder="1" applyAlignment="1">
      <alignment horizontal="right" vertical="top" wrapText="1"/>
    </xf>
    <xf numFmtId="0" fontId="137" fillId="0" borderId="0" xfId="0" applyFont="1" applyBorder="1" applyAlignment="1">
      <alignment horizontal="left" vertical="top" wrapText="1"/>
    </xf>
    <xf numFmtId="0" fontId="146" fillId="0" borderId="0" xfId="0" applyFont="1"/>
    <xf numFmtId="0" fontId="140" fillId="0" borderId="6" xfId="7" applyFont="1" applyFill="1" applyBorder="1" applyAlignment="1" applyProtection="1"/>
    <xf numFmtId="0" fontId="137" fillId="0" borderId="0" xfId="0" applyNumberFormat="1" applyFont="1" applyBorder="1" applyAlignment="1">
      <alignment horizontal="center"/>
    </xf>
    <xf numFmtId="0" fontId="140" fillId="0" borderId="0" xfId="0" applyNumberFormat="1" applyFont="1" applyBorder="1" applyAlignment="1">
      <alignment horizontal="center"/>
    </xf>
    <xf numFmtId="0" fontId="136" fillId="0" borderId="0" xfId="0" applyNumberFormat="1" applyFont="1" applyBorder="1" applyAlignment="1">
      <alignment horizontal="center"/>
    </xf>
    <xf numFmtId="0" fontId="140" fillId="0" borderId="0" xfId="0" applyNumberFormat="1" applyFont="1" applyFill="1" applyBorder="1" applyAlignment="1">
      <alignment horizontal="center"/>
    </xf>
    <xf numFmtId="0" fontId="135" fillId="0" borderId="0" xfId="0" applyFont="1" applyBorder="1" applyAlignment="1">
      <alignment horizontal="center" vertical="center" wrapText="1"/>
    </xf>
    <xf numFmtId="0" fontId="135" fillId="0" borderId="0" xfId="0" applyFont="1" applyBorder="1" applyAlignment="1">
      <alignment horizontal="right" vertical="center" wrapText="1"/>
    </xf>
    <xf numFmtId="0" fontId="140" fillId="0" borderId="7" xfId="0" applyFont="1" applyFill="1" applyBorder="1"/>
    <xf numFmtId="0" fontId="137" fillId="0" borderId="0" xfId="0" applyNumberFormat="1" applyFont="1" applyFill="1" applyBorder="1" applyAlignment="1">
      <alignment horizontal="center"/>
    </xf>
    <xf numFmtId="0" fontId="140" fillId="0" borderId="7" xfId="0" applyFont="1" applyBorder="1"/>
    <xf numFmtId="0" fontId="147" fillId="0" borderId="0" xfId="0" applyFont="1" applyBorder="1" applyAlignment="1">
      <alignment horizontal="right" vertical="center" wrapText="1"/>
    </xf>
    <xf numFmtId="0" fontId="136" fillId="0" borderId="0" xfId="0" applyNumberFormat="1" applyFont="1" applyFill="1" applyBorder="1" applyAlignment="1">
      <alignment horizontal="center"/>
    </xf>
    <xf numFmtId="0" fontId="137" fillId="0" borderId="6" xfId="0" applyFont="1" applyBorder="1" applyAlignment="1">
      <alignment horizontal="left" indent="5"/>
    </xf>
    <xf numFmtId="0" fontId="137" fillId="0" borderId="7" xfId="0" applyFont="1" applyBorder="1" applyAlignment="1">
      <alignment horizontal="right"/>
    </xf>
    <xf numFmtId="0" fontId="137" fillId="0" borderId="8" xfId="0" applyFont="1" applyBorder="1" applyAlignment="1">
      <alignment horizontal="left" indent="5"/>
    </xf>
    <xf numFmtId="0" fontId="137" fillId="0" borderId="10" xfId="0" applyFont="1" applyBorder="1" applyAlignment="1">
      <alignment horizontal="right"/>
    </xf>
    <xf numFmtId="0" fontId="137" fillId="0" borderId="9" xfId="0" applyFont="1" applyBorder="1" applyAlignment="1">
      <alignment horizontal="right"/>
    </xf>
    <xf numFmtId="0" fontId="137" fillId="0" borderId="0" xfId="0" applyFont="1" applyBorder="1" applyAlignment="1">
      <alignment horizontal="left" indent="5"/>
    </xf>
    <xf numFmtId="0" fontId="137" fillId="0" borderId="0" xfId="0" applyFont="1" applyBorder="1" applyAlignment="1">
      <alignment wrapText="1"/>
    </xf>
    <xf numFmtId="0" fontId="137" fillId="0" borderId="0" xfId="0" applyFont="1" applyFill="1" applyBorder="1" applyAlignment="1">
      <alignment wrapText="1"/>
    </xf>
    <xf numFmtId="0" fontId="136" fillId="0" borderId="10" xfId="0" applyFont="1" applyFill="1" applyBorder="1"/>
    <xf numFmtId="0" fontId="0" fillId="0" borderId="10" xfId="0" applyBorder="1" applyAlignment="1">
      <alignment horizontal="center"/>
    </xf>
    <xf numFmtId="0" fontId="135" fillId="0" borderId="0" xfId="0" applyFont="1" applyFill="1" applyBorder="1" applyAlignment="1">
      <alignment horizontal="right" vertical="center" wrapText="1"/>
    </xf>
    <xf numFmtId="0" fontId="135" fillId="0" borderId="0" xfId="0" applyFont="1" applyFill="1" applyBorder="1" applyAlignment="1">
      <alignment vertical="center" wrapText="1"/>
    </xf>
    <xf numFmtId="0" fontId="135" fillId="0" borderId="0" xfId="0" applyFont="1" applyBorder="1" applyAlignment="1">
      <alignment vertical="center" wrapText="1"/>
    </xf>
    <xf numFmtId="0" fontId="140" fillId="0" borderId="0" xfId="0" applyFont="1" applyBorder="1" applyAlignment="1">
      <alignment horizontal="center" vertical="center"/>
    </xf>
    <xf numFmtId="0" fontId="140" fillId="0" borderId="6" xfId="0" applyFont="1" applyBorder="1" applyAlignment="1">
      <alignment horizontal="right"/>
    </xf>
    <xf numFmtId="0" fontId="140" fillId="0" borderId="0" xfId="0" applyFont="1" applyBorder="1" applyAlignment="1">
      <alignment horizontal="right"/>
    </xf>
    <xf numFmtId="0" fontId="139" fillId="0" borderId="0" xfId="0" applyFont="1" applyFill="1" applyBorder="1" applyAlignment="1">
      <alignment horizontal="left"/>
    </xf>
    <xf numFmtId="0" fontId="135" fillId="0" borderId="0" xfId="0" applyFont="1" applyBorder="1" applyAlignment="1">
      <alignment vertical="center"/>
    </xf>
    <xf numFmtId="0" fontId="135" fillId="0" borderId="0" xfId="0" applyFont="1" applyBorder="1" applyAlignment="1">
      <alignment horizontal="center" vertical="center"/>
    </xf>
    <xf numFmtId="0" fontId="137" fillId="0" borderId="3" xfId="0" applyFont="1" applyBorder="1"/>
    <xf numFmtId="3" fontId="137" fillId="0" borderId="0" xfId="0" applyNumberFormat="1" applyFont="1" applyBorder="1" applyAlignment="1">
      <alignment horizontal="center"/>
    </xf>
    <xf numFmtId="3" fontId="137" fillId="0" borderId="4" xfId="0" applyNumberFormat="1" applyFont="1" applyBorder="1" applyAlignment="1">
      <alignment horizontal="center"/>
    </xf>
    <xf numFmtId="3" fontId="137" fillId="0" borderId="2" xfId="0" applyNumberFormat="1" applyFont="1" applyBorder="1" applyAlignment="1">
      <alignment horizontal="center"/>
    </xf>
    <xf numFmtId="0" fontId="134" fillId="0" borderId="2" xfId="0" applyFont="1" applyBorder="1"/>
    <xf numFmtId="0" fontId="21" fillId="5" borderId="0" xfId="0" applyFont="1" applyFill="1" applyBorder="1"/>
    <xf numFmtId="3" fontId="20" fillId="3" borderId="4" xfId="10" applyNumberFormat="1" applyFont="1" applyFill="1" applyBorder="1" applyAlignment="1">
      <alignment horizontal="center"/>
    </xf>
    <xf numFmtId="0" fontId="55" fillId="40" borderId="2" xfId="10" applyFont="1" applyFill="1" applyBorder="1" applyAlignment="1">
      <alignment textRotation="55"/>
    </xf>
    <xf numFmtId="0" fontId="55" fillId="40" borderId="47" xfId="10" applyFont="1" applyFill="1" applyBorder="1" applyAlignment="1">
      <alignment textRotation="55"/>
    </xf>
    <xf numFmtId="0" fontId="55" fillId="40" borderId="48" xfId="10" applyFont="1" applyFill="1" applyBorder="1" applyAlignment="1">
      <alignment textRotation="55"/>
    </xf>
    <xf numFmtId="178" fontId="20" fillId="0" borderId="0" xfId="10" applyNumberFormat="1" applyFont="1"/>
    <xf numFmtId="1" fontId="19" fillId="0" borderId="0" xfId="10" applyNumberFormat="1" applyFont="1"/>
    <xf numFmtId="178" fontId="19" fillId="0" borderId="0" xfId="10" applyNumberFormat="1" applyFont="1"/>
    <xf numFmtId="178" fontId="19" fillId="0" borderId="0" xfId="10" applyNumberFormat="1" applyFont="1" applyAlignment="1">
      <alignment horizontal="center"/>
    </xf>
    <xf numFmtId="1" fontId="55" fillId="40" borderId="46" xfId="10" applyNumberFormat="1" applyFont="1" applyFill="1" applyBorder="1" applyAlignment="1">
      <alignment vertical="center"/>
    </xf>
    <xf numFmtId="178" fontId="55" fillId="40" borderId="47" xfId="10" applyNumberFormat="1" applyFont="1" applyFill="1" applyBorder="1" applyAlignment="1">
      <alignment horizontal="center" vertical="center"/>
    </xf>
    <xf numFmtId="178" fontId="55" fillId="40" borderId="48" xfId="10" applyNumberFormat="1" applyFont="1" applyFill="1" applyBorder="1" applyAlignment="1">
      <alignment horizontal="center" vertical="center"/>
    </xf>
    <xf numFmtId="178" fontId="19" fillId="0" borderId="0" xfId="10" applyNumberFormat="1" applyFont="1" applyAlignment="1">
      <alignment vertical="center"/>
    </xf>
    <xf numFmtId="1" fontId="19" fillId="0" borderId="2" xfId="10" applyNumberFormat="1" applyFont="1" applyBorder="1" applyAlignment="1">
      <alignment horizontal="center"/>
    </xf>
    <xf numFmtId="4" fontId="19" fillId="0" borderId="0" xfId="10" applyNumberFormat="1" applyFont="1" applyBorder="1"/>
    <xf numFmtId="177" fontId="19" fillId="0" borderId="0" xfId="10" applyNumberFormat="1" applyFont="1" applyBorder="1"/>
    <xf numFmtId="178" fontId="20" fillId="0" borderId="0" xfId="10" applyNumberFormat="1" applyFont="1" applyBorder="1" applyAlignment="1">
      <alignment horizontal="center"/>
    </xf>
    <xf numFmtId="177" fontId="19" fillId="0" borderId="4" xfId="10" applyNumberFormat="1" applyFont="1" applyBorder="1"/>
    <xf numFmtId="178" fontId="20" fillId="52" borderId="0" xfId="10" applyNumberFormat="1" applyFont="1" applyFill="1" applyBorder="1" applyAlignment="1">
      <alignment horizontal="center"/>
    </xf>
    <xf numFmtId="178" fontId="20" fillId="0" borderId="0" xfId="10" applyNumberFormat="1" applyFont="1" applyFill="1" applyBorder="1" applyAlignment="1">
      <alignment horizontal="center"/>
    </xf>
    <xf numFmtId="1" fontId="20" fillId="0" borderId="49" xfId="10" applyNumberFormat="1" applyFont="1" applyBorder="1"/>
    <xf numFmtId="178" fontId="20" fillId="0" borderId="29" xfId="10" applyNumberFormat="1" applyFont="1" applyBorder="1"/>
    <xf numFmtId="178" fontId="20" fillId="0" borderId="29" xfId="10" applyNumberFormat="1" applyFont="1" applyBorder="1" applyAlignment="1">
      <alignment horizontal="center"/>
    </xf>
    <xf numFmtId="10" fontId="20" fillId="0" borderId="29" xfId="10" applyNumberFormat="1" applyFont="1" applyBorder="1" applyAlignment="1">
      <alignment horizontal="center"/>
    </xf>
    <xf numFmtId="10" fontId="20" fillId="0" borderId="50" xfId="10" applyNumberFormat="1" applyFont="1" applyBorder="1" applyAlignment="1">
      <alignment horizontal="center"/>
    </xf>
    <xf numFmtId="1" fontId="69" fillId="0" borderId="0" xfId="10" applyNumberFormat="1" applyFont="1"/>
    <xf numFmtId="178" fontId="19" fillId="0" borderId="12" xfId="10" applyNumberFormat="1" applyFont="1" applyBorder="1"/>
    <xf numFmtId="178" fontId="20" fillId="0" borderId="5" xfId="10" applyNumberFormat="1" applyFont="1" applyBorder="1" applyAlignment="1">
      <alignment horizontal="center"/>
    </xf>
    <xf numFmtId="178" fontId="19" fillId="0" borderId="7" xfId="10" applyNumberFormat="1" applyFont="1" applyBorder="1"/>
    <xf numFmtId="4" fontId="19" fillId="0" borderId="6" xfId="10" applyNumberFormat="1" applyFont="1" applyBorder="1"/>
    <xf numFmtId="1" fontId="20" fillId="0" borderId="0" xfId="10" applyNumberFormat="1" applyFont="1"/>
    <xf numFmtId="178" fontId="20" fillId="0" borderId="0" xfId="10" applyNumberFormat="1" applyFont="1" applyAlignment="1">
      <alignment horizontal="center"/>
    </xf>
    <xf numFmtId="10" fontId="20" fillId="0" borderId="0" xfId="10" applyNumberFormat="1" applyFont="1" applyAlignment="1">
      <alignment horizontal="center"/>
    </xf>
    <xf numFmtId="177" fontId="19" fillId="0" borderId="10" xfId="10" applyNumberFormat="1" applyFont="1" applyBorder="1"/>
    <xf numFmtId="177" fontId="19" fillId="0" borderId="11" xfId="10" applyNumberFormat="1" applyFont="1" applyBorder="1"/>
    <xf numFmtId="177" fontId="19" fillId="0" borderId="5" xfId="10" applyNumberFormat="1" applyFont="1" applyBorder="1"/>
    <xf numFmtId="177" fontId="19" fillId="0" borderId="6" xfId="10" applyNumberFormat="1" applyFont="1" applyBorder="1"/>
    <xf numFmtId="178" fontId="151" fillId="0" borderId="0" xfId="10" applyNumberFormat="1" applyFont="1"/>
    <xf numFmtId="178" fontId="55" fillId="40" borderId="48" xfId="10" applyNumberFormat="1" applyFont="1" applyFill="1" applyBorder="1" applyAlignment="1">
      <alignment vertical="center"/>
    </xf>
    <xf numFmtId="1" fontId="19" fillId="0" borderId="80" xfId="10" applyNumberFormat="1" applyFont="1" applyBorder="1" applyAlignment="1">
      <alignment horizontal="center"/>
    </xf>
    <xf numFmtId="178" fontId="20" fillId="2" borderId="49" xfId="10" applyNumberFormat="1" applyFont="1" applyFill="1" applyBorder="1" applyAlignment="1">
      <alignment horizontal="center"/>
    </xf>
    <xf numFmtId="178" fontId="20" fillId="2" borderId="29" xfId="10" applyNumberFormat="1" applyFont="1" applyFill="1" applyBorder="1" applyAlignment="1">
      <alignment horizontal="center"/>
    </xf>
    <xf numFmtId="178" fontId="20" fillId="2" borderId="50" xfId="10" applyNumberFormat="1" applyFont="1" applyFill="1" applyBorder="1" applyAlignment="1">
      <alignment horizontal="center"/>
    </xf>
    <xf numFmtId="1" fontId="19" fillId="0" borderId="49" xfId="10" applyNumberFormat="1" applyFont="1" applyBorder="1" applyAlignment="1">
      <alignment horizontal="center"/>
    </xf>
    <xf numFmtId="178" fontId="19" fillId="0" borderId="138" xfId="10" applyNumberFormat="1" applyFont="1" applyBorder="1"/>
    <xf numFmtId="4" fontId="19" fillId="0" borderId="139" xfId="10" applyNumberFormat="1" applyFont="1" applyBorder="1"/>
    <xf numFmtId="177" fontId="19" fillId="0" borderId="29" xfId="10" applyNumberFormat="1" applyFont="1" applyBorder="1"/>
    <xf numFmtId="4" fontId="19" fillId="0" borderId="29" xfId="10" applyNumberFormat="1" applyFont="1" applyBorder="1"/>
    <xf numFmtId="177" fontId="19" fillId="0" borderId="50" xfId="10" applyNumberFormat="1" applyFont="1" applyBorder="1"/>
    <xf numFmtId="1" fontId="19" fillId="2" borderId="51" xfId="10" applyNumberFormat="1" applyFont="1" applyFill="1" applyBorder="1"/>
    <xf numFmtId="178" fontId="79" fillId="2" borderId="52" xfId="10" applyNumberFormat="1" applyFont="1" applyFill="1" applyBorder="1" applyAlignment="1">
      <alignment horizontal="center"/>
    </xf>
    <xf numFmtId="178" fontId="20" fillId="2" borderId="52" xfId="10" applyNumberFormat="1" applyFont="1" applyFill="1" applyBorder="1" applyAlignment="1">
      <alignment horizontal="center"/>
    </xf>
    <xf numFmtId="178" fontId="20" fillId="2" borderId="52" xfId="10" applyNumberFormat="1" applyFont="1" applyFill="1" applyBorder="1"/>
    <xf numFmtId="178" fontId="20" fillId="2" borderId="53" xfId="10" applyNumberFormat="1" applyFont="1" applyFill="1" applyBorder="1"/>
    <xf numFmtId="178" fontId="19" fillId="0" borderId="4" xfId="10" applyNumberFormat="1" applyFont="1" applyBorder="1"/>
    <xf numFmtId="178" fontId="79" fillId="2" borderId="53" xfId="10" applyNumberFormat="1" applyFont="1" applyFill="1" applyBorder="1" applyAlignment="1">
      <alignment horizontal="center"/>
    </xf>
    <xf numFmtId="178" fontId="55" fillId="40" borderId="23" xfId="10" applyNumberFormat="1" applyFont="1" applyFill="1" applyBorder="1" applyAlignment="1">
      <alignment vertical="center"/>
    </xf>
    <xf numFmtId="178" fontId="55" fillId="40" borderId="24" xfId="10" applyNumberFormat="1" applyFont="1" applyFill="1" applyBorder="1" applyAlignment="1">
      <alignment vertical="center"/>
    </xf>
    <xf numFmtId="178" fontId="55" fillId="40" borderId="26" xfId="10" applyNumberFormat="1" applyFont="1" applyFill="1" applyBorder="1" applyAlignment="1">
      <alignment vertical="center"/>
    </xf>
    <xf numFmtId="178" fontId="55" fillId="40" borderId="116" xfId="10" applyNumberFormat="1" applyFont="1" applyFill="1" applyBorder="1" applyAlignment="1">
      <alignment vertical="center"/>
    </xf>
    <xf numFmtId="178" fontId="55" fillId="40" borderId="56" xfId="10" applyNumberFormat="1" applyFont="1" applyFill="1" applyBorder="1" applyAlignment="1">
      <alignment vertical="center"/>
    </xf>
    <xf numFmtId="178" fontId="55" fillId="40" borderId="58" xfId="10" applyNumberFormat="1" applyFont="1" applyFill="1" applyBorder="1" applyAlignment="1">
      <alignment vertical="center"/>
    </xf>
    <xf numFmtId="177" fontId="19" fillId="0" borderId="0" xfId="57" applyNumberFormat="1" applyFont="1" applyBorder="1"/>
    <xf numFmtId="177" fontId="19" fillId="0" borderId="29" xfId="57" applyNumberFormat="1" applyFont="1" applyBorder="1"/>
    <xf numFmtId="1" fontId="152" fillId="0" borderId="0" xfId="10" applyNumberFormat="1" applyFont="1"/>
    <xf numFmtId="0" fontId="62" fillId="0" borderId="0" xfId="1" applyFont="1" applyFill="1" applyBorder="1" applyAlignment="1">
      <alignment horizontal="center"/>
    </xf>
    <xf numFmtId="178" fontId="151" fillId="0" borderId="0" xfId="10" applyNumberFormat="1" applyFont="1" applyFill="1"/>
    <xf numFmtId="1" fontId="19" fillId="2" borderId="49" xfId="10" applyNumberFormat="1" applyFont="1" applyFill="1" applyBorder="1"/>
    <xf numFmtId="178" fontId="79" fillId="2" borderId="29" xfId="10" applyNumberFormat="1" applyFont="1" applyFill="1" applyBorder="1" applyAlignment="1">
      <alignment horizontal="center"/>
    </xf>
    <xf numFmtId="178" fontId="20" fillId="2" borderId="29" xfId="10" applyNumberFormat="1" applyFont="1" applyFill="1" applyBorder="1"/>
    <xf numFmtId="178" fontId="20" fillId="2" borderId="50" xfId="10" applyNumberFormat="1" applyFont="1" applyFill="1" applyBorder="1"/>
    <xf numFmtId="177" fontId="14" fillId="0" borderId="0" xfId="0" applyNumberFormat="1" applyFont="1" applyBorder="1"/>
    <xf numFmtId="177" fontId="19" fillId="0" borderId="139" xfId="10" applyNumberFormat="1" applyFont="1" applyBorder="1"/>
    <xf numFmtId="177" fontId="14" fillId="0" borderId="29" xfId="0" applyNumberFormat="1" applyFont="1" applyBorder="1"/>
    <xf numFmtId="0" fontId="91" fillId="40" borderId="51" xfId="10" applyFont="1" applyFill="1" applyBorder="1" applyAlignment="1">
      <alignment horizontal="center"/>
    </xf>
    <xf numFmtId="0" fontId="91" fillId="40" borderId="52" xfId="10" applyFont="1" applyFill="1" applyBorder="1" applyAlignment="1">
      <alignment horizontal="center"/>
    </xf>
    <xf numFmtId="0" fontId="91" fillId="40" borderId="53" xfId="10" applyFont="1" applyFill="1" applyBorder="1" applyAlignment="1">
      <alignment horizontal="center"/>
    </xf>
    <xf numFmtId="4" fontId="19" fillId="0" borderId="0" xfId="10" applyNumberFormat="1" applyFont="1"/>
    <xf numFmtId="4" fontId="19" fillId="0" borderId="0" xfId="10" applyNumberFormat="1" applyFont="1" applyAlignment="1">
      <alignment horizontal="center"/>
    </xf>
    <xf numFmtId="0" fontId="19" fillId="0" borderId="0" xfId="10" applyFont="1" applyAlignment="1">
      <alignment horizontal="left"/>
    </xf>
    <xf numFmtId="0" fontId="19" fillId="52" borderId="0" xfId="10" applyFont="1" applyFill="1"/>
    <xf numFmtId="1" fontId="19" fillId="52" borderId="0" xfId="10" applyNumberFormat="1" applyFont="1" applyFill="1"/>
    <xf numFmtId="4" fontId="19" fillId="52" borderId="0" xfId="10" applyNumberFormat="1" applyFont="1" applyFill="1"/>
    <xf numFmtId="4" fontId="19" fillId="52" borderId="0" xfId="10" applyNumberFormat="1" applyFont="1" applyFill="1" applyAlignment="1">
      <alignment horizontal="center"/>
    </xf>
    <xf numFmtId="0" fontId="19" fillId="53" borderId="27" xfId="10" applyFont="1" applyFill="1" applyBorder="1"/>
    <xf numFmtId="1" fontId="19" fillId="53" borderId="27" xfId="10" applyNumberFormat="1" applyFont="1" applyFill="1" applyBorder="1" applyAlignment="1">
      <alignment horizontal="center"/>
    </xf>
    <xf numFmtId="4" fontId="19" fillId="53" borderId="27" xfId="10" applyNumberFormat="1" applyFont="1" applyFill="1" applyBorder="1"/>
    <xf numFmtId="4" fontId="19" fillId="53" borderId="27" xfId="10" applyNumberFormat="1" applyFont="1" applyFill="1" applyBorder="1" applyAlignment="1">
      <alignment horizontal="center"/>
    </xf>
    <xf numFmtId="4" fontId="19" fillId="53" borderId="26" xfId="10" applyNumberFormat="1" applyFont="1" applyFill="1" applyBorder="1" applyAlignment="1">
      <alignment horizontal="center"/>
    </xf>
    <xf numFmtId="0" fontId="19" fillId="53" borderId="25" xfId="10" applyFont="1" applyFill="1" applyBorder="1"/>
    <xf numFmtId="1" fontId="19" fillId="52" borderId="25" xfId="10" applyNumberFormat="1" applyFont="1" applyFill="1" applyBorder="1" applyAlignment="1">
      <alignment horizontal="center"/>
    </xf>
    <xf numFmtId="4" fontId="20" fillId="52" borderId="25" xfId="10" applyNumberFormat="1" applyFont="1" applyFill="1" applyBorder="1" applyAlignment="1">
      <alignment horizontal="center"/>
    </xf>
    <xf numFmtId="4" fontId="19" fillId="52" borderId="25" xfId="10" applyNumberFormat="1" applyFont="1" applyFill="1" applyBorder="1" applyAlignment="1">
      <alignment horizontal="center"/>
    </xf>
    <xf numFmtId="4" fontId="20" fillId="52" borderId="7" xfId="10" applyNumberFormat="1" applyFont="1" applyFill="1" applyBorder="1" applyAlignment="1">
      <alignment horizontal="center"/>
    </xf>
    <xf numFmtId="0" fontId="20" fillId="53" borderId="60" xfId="10" applyFont="1" applyFill="1" applyBorder="1"/>
    <xf numFmtId="4" fontId="20" fillId="0" borderId="60" xfId="10" applyNumberFormat="1" applyFont="1" applyBorder="1" applyAlignment="1">
      <alignment horizontal="center"/>
    </xf>
    <xf numFmtId="4" fontId="153" fillId="0" borderId="27" xfId="10" applyNumberFormat="1" applyFont="1" applyBorder="1" applyAlignment="1">
      <alignment horizontal="center"/>
    </xf>
    <xf numFmtId="0" fontId="20" fillId="0" borderId="0" xfId="10" applyFont="1" applyAlignment="1">
      <alignment horizontal="left"/>
    </xf>
    <xf numFmtId="0" fontId="20" fillId="0" borderId="0" xfId="10" applyFont="1"/>
    <xf numFmtId="0" fontId="19" fillId="52" borderId="0" xfId="10" applyFont="1" applyFill="1" applyAlignment="1">
      <alignment horizontal="left"/>
    </xf>
    <xf numFmtId="4" fontId="20" fillId="0" borderId="25" xfId="10" applyNumberFormat="1" applyFont="1" applyFill="1" applyBorder="1" applyAlignment="1">
      <alignment horizontal="center"/>
    </xf>
    <xf numFmtId="4" fontId="153" fillId="52" borderId="27" xfId="10" applyNumberFormat="1" applyFont="1" applyFill="1" applyBorder="1" applyAlignment="1">
      <alignment horizontal="center"/>
    </xf>
    <xf numFmtId="4" fontId="19" fillId="52" borderId="6" xfId="10" applyNumberFormat="1" applyFont="1" applyFill="1" applyBorder="1" applyAlignment="1">
      <alignment horizontal="center"/>
    </xf>
    <xf numFmtId="4" fontId="19" fillId="52" borderId="75" xfId="10" applyNumberFormat="1" applyFont="1" applyFill="1" applyBorder="1" applyAlignment="1">
      <alignment horizontal="center"/>
    </xf>
    <xf numFmtId="4" fontId="19" fillId="52" borderId="0" xfId="10" applyNumberFormat="1" applyFont="1" applyFill="1" applyBorder="1" applyAlignment="1">
      <alignment horizontal="center"/>
    </xf>
    <xf numFmtId="4" fontId="153" fillId="0" borderId="0" xfId="10" applyNumberFormat="1" applyFont="1"/>
    <xf numFmtId="0" fontId="105" fillId="0" borderId="0" xfId="10" applyFont="1" applyAlignment="1">
      <alignment horizontal="left" vertical="center"/>
    </xf>
    <xf numFmtId="0" fontId="105" fillId="0" borderId="0" xfId="10" applyFont="1" applyAlignment="1">
      <alignment vertical="center"/>
    </xf>
    <xf numFmtId="0" fontId="18" fillId="40" borderId="23" xfId="10" applyFont="1" applyFill="1" applyBorder="1" applyAlignment="1">
      <alignment vertical="center"/>
    </xf>
    <xf numFmtId="1" fontId="154" fillId="40" borderId="24" xfId="10" applyNumberFormat="1" applyFont="1" applyFill="1" applyBorder="1" applyAlignment="1">
      <alignment vertical="center"/>
    </xf>
    <xf numFmtId="4" fontId="105" fillId="40" borderId="24" xfId="10" applyNumberFormat="1" applyFont="1" applyFill="1" applyBorder="1" applyAlignment="1">
      <alignment vertical="center"/>
    </xf>
    <xf numFmtId="4" fontId="105" fillId="40" borderId="24" xfId="10" applyNumberFormat="1" applyFont="1" applyFill="1" applyBorder="1" applyAlignment="1">
      <alignment horizontal="center" vertical="center"/>
    </xf>
    <xf numFmtId="4" fontId="105" fillId="40" borderId="26" xfId="10" applyNumberFormat="1" applyFont="1" applyFill="1" applyBorder="1" applyAlignment="1">
      <alignment vertical="center"/>
    </xf>
    <xf numFmtId="1" fontId="20" fillId="2" borderId="27" xfId="10" applyNumberFormat="1" applyFont="1" applyFill="1" applyBorder="1" applyAlignment="1">
      <alignment horizontal="center"/>
    </xf>
    <xf numFmtId="4" fontId="20" fillId="2" borderId="27" xfId="10" applyNumberFormat="1" applyFont="1" applyFill="1" applyBorder="1" applyAlignment="1">
      <alignment horizontal="center"/>
    </xf>
    <xf numFmtId="4" fontId="19" fillId="74" borderId="25" xfId="10" applyNumberFormat="1" applyFont="1" applyFill="1" applyBorder="1" applyAlignment="1">
      <alignment horizontal="center"/>
    </xf>
    <xf numFmtId="4" fontId="19" fillId="59" borderId="25" xfId="10" applyNumberFormat="1" applyFont="1" applyFill="1" applyBorder="1" applyAlignment="1">
      <alignment horizontal="center"/>
    </xf>
    <xf numFmtId="4" fontId="19" fillId="59" borderId="6" xfId="10" applyNumberFormat="1" applyFont="1" applyFill="1" applyBorder="1" applyAlignment="1">
      <alignment horizontal="center"/>
    </xf>
    <xf numFmtId="0" fontId="19" fillId="74" borderId="0" xfId="10" applyFont="1" applyFill="1" applyAlignment="1">
      <alignment horizontal="left"/>
    </xf>
    <xf numFmtId="0" fontId="20" fillId="0" borderId="0" xfId="10" applyFont="1" applyBorder="1"/>
    <xf numFmtId="1" fontId="20" fillId="2" borderId="140" xfId="10" applyNumberFormat="1" applyFont="1" applyFill="1" applyBorder="1" applyAlignment="1">
      <alignment horizontal="center"/>
    </xf>
    <xf numFmtId="1" fontId="20" fillId="2" borderId="141" xfId="10" applyNumberFormat="1" applyFont="1" applyFill="1" applyBorder="1" applyAlignment="1">
      <alignment horizontal="center"/>
    </xf>
    <xf numFmtId="4" fontId="20" fillId="2" borderId="9" xfId="10" applyNumberFormat="1" applyFont="1" applyFill="1" applyBorder="1" applyAlignment="1">
      <alignment horizontal="center"/>
    </xf>
    <xf numFmtId="4" fontId="20" fillId="0" borderId="60" xfId="10" applyNumberFormat="1" applyFont="1" applyFill="1" applyBorder="1" applyAlignment="1">
      <alignment horizontal="center"/>
    </xf>
    <xf numFmtId="4" fontId="153" fillId="0" borderId="9" xfId="10" applyNumberFormat="1" applyFont="1" applyBorder="1" applyAlignment="1">
      <alignment horizontal="center"/>
    </xf>
    <xf numFmtId="0" fontId="91" fillId="40" borderId="24" xfId="10" applyFont="1" applyFill="1" applyBorder="1" applyAlignment="1">
      <alignment horizontal="center"/>
    </xf>
    <xf numFmtId="0" fontId="91" fillId="40" borderId="23" xfId="10" applyFont="1" applyFill="1" applyBorder="1" applyAlignment="1">
      <alignment horizontal="center"/>
    </xf>
    <xf numFmtId="0" fontId="84" fillId="56" borderId="0" xfId="10" applyFont="1" applyFill="1" applyAlignment="1">
      <alignment wrapText="1"/>
    </xf>
    <xf numFmtId="0" fontId="62" fillId="0" borderId="69" xfId="1" applyFont="1" applyFill="1" applyBorder="1" applyAlignment="1"/>
    <xf numFmtId="0" fontId="62" fillId="0" borderId="70" xfId="1" applyFont="1" applyFill="1" applyBorder="1" applyAlignment="1"/>
    <xf numFmtId="3" fontId="19" fillId="74" borderId="4" xfId="10" applyNumberFormat="1" applyFont="1" applyFill="1" applyBorder="1"/>
    <xf numFmtId="3" fontId="7" fillId="0" borderId="4" xfId="0" applyNumberFormat="1" applyFont="1" applyBorder="1" applyAlignment="1">
      <alignment horizontal="center"/>
    </xf>
    <xf numFmtId="3" fontId="7" fillId="0" borderId="2" xfId="0" applyNumberFormat="1" applyFont="1" applyBorder="1" applyAlignment="1">
      <alignment horizontal="center"/>
    </xf>
    <xf numFmtId="172" fontId="19" fillId="3" borderId="0" xfId="0" applyNumberFormat="1" applyFont="1" applyFill="1" applyBorder="1" applyAlignment="1">
      <alignment horizontal="center"/>
    </xf>
    <xf numFmtId="172" fontId="19" fillId="3" borderId="7" xfId="0" applyNumberFormat="1" applyFont="1" applyFill="1" applyBorder="1" applyAlignment="1">
      <alignment horizontal="center"/>
    </xf>
    <xf numFmtId="172" fontId="19" fillId="3" borderId="10" xfId="0" applyNumberFormat="1" applyFont="1" applyFill="1" applyBorder="1" applyAlignment="1">
      <alignment horizontal="center"/>
    </xf>
    <xf numFmtId="172" fontId="19" fillId="3" borderId="9" xfId="0" applyNumberFormat="1" applyFont="1" applyFill="1" applyBorder="1" applyAlignment="1">
      <alignment horizontal="center"/>
    </xf>
    <xf numFmtId="4" fontId="20" fillId="3" borderId="60" xfId="0" applyNumberFormat="1" applyFont="1" applyFill="1" applyBorder="1" applyAlignment="1">
      <alignment horizontal="center"/>
    </xf>
    <xf numFmtId="14" fontId="19" fillId="3" borderId="64" xfId="0" applyNumberFormat="1" applyFont="1" applyFill="1" applyBorder="1" applyAlignment="1">
      <alignment horizontal="center"/>
    </xf>
    <xf numFmtId="0" fontId="19" fillId="3" borderId="64" xfId="0" applyFont="1" applyFill="1" applyBorder="1" applyAlignment="1">
      <alignment horizontal="center"/>
    </xf>
    <xf numFmtId="4" fontId="20" fillId="3" borderId="27" xfId="0" applyNumberFormat="1" applyFont="1" applyFill="1" applyBorder="1" applyAlignment="1">
      <alignment horizontal="center"/>
    </xf>
    <xf numFmtId="171" fontId="20" fillId="0" borderId="7" xfId="10" applyNumberFormat="1" applyFont="1" applyBorder="1" applyAlignment="1">
      <alignment horizontal="center"/>
    </xf>
    <xf numFmtId="0" fontId="20" fillId="0" borderId="10" xfId="10" applyFont="1" applyBorder="1" applyAlignment="1">
      <alignment horizontal="center"/>
    </xf>
    <xf numFmtId="169" fontId="20" fillId="0" borderId="10" xfId="55" applyNumberFormat="1" applyFont="1" applyBorder="1" applyAlignment="1">
      <alignment horizontal="center"/>
    </xf>
    <xf numFmtId="169" fontId="20" fillId="0" borderId="10" xfId="55" applyNumberFormat="1" applyFont="1" applyFill="1" applyBorder="1" applyAlignment="1">
      <alignment horizontal="center"/>
    </xf>
    <xf numFmtId="0" fontId="19" fillId="0" borderId="10" xfId="10" applyFont="1" applyBorder="1"/>
    <xf numFmtId="0" fontId="20" fillId="0" borderId="23" xfId="10" applyFont="1" applyFill="1" applyBorder="1" applyAlignment="1">
      <alignment horizontal="left"/>
    </xf>
    <xf numFmtId="0" fontId="156" fillId="0" borderId="0" xfId="52" applyFont="1" applyAlignment="1" applyProtection="1"/>
    <xf numFmtId="0" fontId="156" fillId="0" borderId="0" xfId="10" applyFont="1"/>
    <xf numFmtId="0" fontId="156" fillId="0" borderId="0" xfId="10" applyFont="1" applyAlignment="1">
      <alignment horizontal="center"/>
    </xf>
    <xf numFmtId="0" fontId="157" fillId="0" borderId="0" xfId="10" applyFont="1"/>
    <xf numFmtId="0" fontId="158" fillId="0" borderId="0" xfId="10" applyFont="1" applyAlignment="1">
      <alignment horizontal="center"/>
    </xf>
    <xf numFmtId="0" fontId="91" fillId="40" borderId="28" xfId="10" applyFont="1" applyFill="1" applyBorder="1" applyAlignment="1">
      <alignment horizontal="center"/>
    </xf>
    <xf numFmtId="0" fontId="91" fillId="40" borderId="11" xfId="10" applyFont="1" applyFill="1" applyBorder="1" applyAlignment="1">
      <alignment horizontal="center"/>
    </xf>
    <xf numFmtId="0" fontId="91" fillId="40" borderId="27" xfId="10" applyFont="1" applyFill="1" applyBorder="1" applyAlignment="1">
      <alignment horizontal="center"/>
    </xf>
    <xf numFmtId="0" fontId="70" fillId="40" borderId="27" xfId="10" applyFont="1" applyFill="1" applyBorder="1" applyAlignment="1">
      <alignment horizontal="center" vertical="center"/>
    </xf>
    <xf numFmtId="0" fontId="91" fillId="40" borderId="23" xfId="10" applyFont="1" applyFill="1" applyBorder="1" applyAlignment="1">
      <alignment horizontal="left" vertical="center"/>
    </xf>
    <xf numFmtId="0" fontId="159" fillId="40" borderId="24" xfId="10" applyFont="1" applyFill="1" applyBorder="1" applyAlignment="1">
      <alignment horizontal="left" vertical="center"/>
    </xf>
    <xf numFmtId="3" fontId="7" fillId="74" borderId="25" xfId="10" applyNumberFormat="1" applyFill="1" applyBorder="1" applyAlignment="1">
      <alignment horizontal="center"/>
    </xf>
    <xf numFmtId="0" fontId="7" fillId="74" borderId="60" xfId="10" applyFill="1" applyBorder="1"/>
    <xf numFmtId="0" fontId="19" fillId="0" borderId="0" xfId="10" applyFont="1" applyAlignment="1">
      <alignment horizontal="right"/>
    </xf>
    <xf numFmtId="0" fontId="19" fillId="0" borderId="0" xfId="10" applyFont="1" applyAlignment="1">
      <alignment horizontal="center"/>
    </xf>
    <xf numFmtId="0" fontId="22" fillId="0" borderId="0" xfId="10" applyFont="1"/>
    <xf numFmtId="0" fontId="75" fillId="0" borderId="0" xfId="10" applyFont="1"/>
    <xf numFmtId="0" fontId="75" fillId="0" borderId="0" xfId="10" applyFont="1" applyAlignment="1">
      <alignment horizontal="center"/>
    </xf>
    <xf numFmtId="0" fontId="45" fillId="0" borderId="6" xfId="10" applyFont="1" applyBorder="1" applyAlignment="1">
      <alignment horizontal="center"/>
    </xf>
    <xf numFmtId="3" fontId="45" fillId="0" borderId="0" xfId="10" applyNumberFormat="1" applyFont="1" applyBorder="1"/>
    <xf numFmtId="3" fontId="75" fillId="0" borderId="0" xfId="10" applyNumberFormat="1" applyFont="1" applyBorder="1"/>
    <xf numFmtId="3" fontId="45" fillId="0" borderId="0" xfId="10" applyNumberFormat="1" applyFont="1" applyBorder="1" applyAlignment="1">
      <alignment horizontal="center"/>
    </xf>
    <xf numFmtId="3" fontId="75" fillId="0" borderId="0" xfId="10" applyNumberFormat="1" applyFont="1" applyBorder="1" applyAlignment="1">
      <alignment horizontal="center"/>
    </xf>
    <xf numFmtId="0" fontId="75" fillId="0" borderId="0" xfId="10" applyFont="1" applyBorder="1"/>
    <xf numFmtId="9" fontId="24" fillId="0" borderId="7" xfId="55" applyFont="1" applyBorder="1" applyAlignment="1">
      <alignment horizontal="center"/>
    </xf>
    <xf numFmtId="3" fontId="58" fillId="0" borderId="0" xfId="10" applyNumberFormat="1" applyFont="1" applyBorder="1"/>
    <xf numFmtId="169" fontId="24" fillId="0" borderId="0" xfId="55" applyNumberFormat="1" applyFont="1" applyAlignment="1">
      <alignment horizontal="center"/>
    </xf>
    <xf numFmtId="9" fontId="24" fillId="0" borderId="0" xfId="55" applyFont="1" applyAlignment="1">
      <alignment horizontal="center"/>
    </xf>
    <xf numFmtId="9" fontId="24" fillId="0" borderId="7" xfId="55" applyNumberFormat="1" applyFont="1" applyFill="1" applyBorder="1" applyAlignment="1">
      <alignment horizontal="center"/>
    </xf>
    <xf numFmtId="0" fontId="90" fillId="0" borderId="6" xfId="10" applyFont="1" applyBorder="1" applyAlignment="1">
      <alignment horizontal="center"/>
    </xf>
    <xf numFmtId="3" fontId="90" fillId="0" borderId="0" xfId="10" applyNumberFormat="1" applyFont="1" applyBorder="1"/>
    <xf numFmtId="0" fontId="45" fillId="0" borderId="8" xfId="10" applyFont="1" applyBorder="1" applyAlignment="1">
      <alignment horizontal="center"/>
    </xf>
    <xf numFmtId="3" fontId="45" fillId="0" borderId="10" xfId="10" applyNumberFormat="1" applyFont="1" applyBorder="1"/>
    <xf numFmtId="3" fontId="45" fillId="0" borderId="10" xfId="10" applyNumberFormat="1" applyFont="1" applyBorder="1" applyAlignment="1">
      <alignment horizontal="center"/>
    </xf>
    <xf numFmtId="0" fontId="45" fillId="0" borderId="0" xfId="10" applyFont="1" applyBorder="1" applyAlignment="1">
      <alignment horizontal="center"/>
    </xf>
    <xf numFmtId="0" fontId="19" fillId="0" borderId="0" xfId="10" applyFont="1" applyBorder="1" applyAlignment="1">
      <alignment horizontal="right"/>
    </xf>
    <xf numFmtId="9" fontId="19" fillId="0" borderId="0" xfId="55" applyFont="1" applyAlignment="1">
      <alignment horizontal="center"/>
    </xf>
    <xf numFmtId="9" fontId="20" fillId="0" borderId="0" xfId="55" applyFont="1" applyAlignment="1">
      <alignment horizontal="center"/>
    </xf>
    <xf numFmtId="0" fontId="79" fillId="0" borderId="0" xfId="10" applyFont="1"/>
    <xf numFmtId="0" fontId="56" fillId="0" borderId="0" xfId="10" applyFont="1"/>
    <xf numFmtId="0" fontId="56" fillId="0" borderId="0" xfId="10" applyFont="1" applyAlignment="1">
      <alignment horizontal="center"/>
    </xf>
    <xf numFmtId="0" fontId="20" fillId="0" borderId="0" xfId="10" applyFont="1" applyAlignment="1">
      <alignment horizontal="right"/>
    </xf>
    <xf numFmtId="0" fontId="45" fillId="0" borderId="0" xfId="10" applyFont="1"/>
    <xf numFmtId="0" fontId="45" fillId="0" borderId="0" xfId="10" applyFont="1" applyAlignment="1">
      <alignment horizontal="center"/>
    </xf>
    <xf numFmtId="0" fontId="160" fillId="0" borderId="0" xfId="10" applyFont="1"/>
    <xf numFmtId="0" fontId="160" fillId="0" borderId="0" xfId="10" applyFont="1" applyAlignment="1">
      <alignment horizontal="center"/>
    </xf>
    <xf numFmtId="0" fontId="45" fillId="0" borderId="0" xfId="10" applyFont="1" applyAlignment="1">
      <alignment horizontal="right"/>
    </xf>
    <xf numFmtId="3" fontId="160" fillId="0" borderId="0" xfId="10" applyNumberFormat="1" applyFont="1" applyBorder="1"/>
    <xf numFmtId="3" fontId="160" fillId="0" borderId="0" xfId="10" applyNumberFormat="1" applyFont="1" applyBorder="1" applyAlignment="1">
      <alignment horizontal="center"/>
    </xf>
    <xf numFmtId="0" fontId="160" fillId="0" borderId="0" xfId="10" applyFont="1" applyBorder="1"/>
    <xf numFmtId="0" fontId="45" fillId="0" borderId="7" xfId="10" applyFont="1" applyBorder="1"/>
    <xf numFmtId="3" fontId="45" fillId="0" borderId="0" xfId="10" applyNumberFormat="1" applyFont="1" applyBorder="1" applyAlignment="1">
      <alignment horizontal="right"/>
    </xf>
    <xf numFmtId="169" fontId="160" fillId="0" borderId="0" xfId="55" applyNumberFormat="1" applyFont="1" applyBorder="1"/>
    <xf numFmtId="9" fontId="160" fillId="0" borderId="0" xfId="55" applyFont="1" applyBorder="1"/>
    <xf numFmtId="9" fontId="160" fillId="0" borderId="0" xfId="55" applyFont="1" applyBorder="1" applyAlignment="1">
      <alignment horizontal="center"/>
    </xf>
    <xf numFmtId="3" fontId="45" fillId="0" borderId="0" xfId="10" applyNumberFormat="1" applyFont="1"/>
    <xf numFmtId="9" fontId="160" fillId="49" borderId="0" xfId="55" applyFont="1" applyFill="1" applyBorder="1"/>
    <xf numFmtId="9" fontId="160" fillId="49" borderId="0" xfId="55" applyFont="1" applyFill="1" applyBorder="1" applyAlignment="1">
      <alignment horizontal="center"/>
    </xf>
    <xf numFmtId="3" fontId="90" fillId="0" borderId="0" xfId="10" applyNumberFormat="1" applyFont="1"/>
    <xf numFmtId="0" fontId="90" fillId="0" borderId="0" xfId="10" applyFont="1"/>
    <xf numFmtId="9" fontId="160" fillId="0" borderId="0" xfId="55" applyFont="1" applyFill="1" applyBorder="1"/>
    <xf numFmtId="9" fontId="160" fillId="0" borderId="0" xfId="55" applyFont="1" applyFill="1" applyBorder="1" applyAlignment="1">
      <alignment horizontal="center"/>
    </xf>
    <xf numFmtId="169" fontId="160" fillId="49" borderId="0" xfId="55" applyNumberFormat="1" applyFont="1" applyFill="1" applyBorder="1"/>
    <xf numFmtId="169" fontId="160" fillId="0" borderId="0" xfId="55" applyNumberFormat="1" applyFont="1" applyFill="1" applyBorder="1"/>
    <xf numFmtId="3" fontId="100" fillId="0" borderId="0" xfId="10" applyNumberFormat="1" applyFont="1" applyBorder="1"/>
    <xf numFmtId="169" fontId="100" fillId="0" borderId="0" xfId="55" applyNumberFormat="1" applyFont="1" applyBorder="1"/>
    <xf numFmtId="169" fontId="100" fillId="0" borderId="0" xfId="55" applyNumberFormat="1" applyFont="1" applyFill="1" applyBorder="1"/>
    <xf numFmtId="169" fontId="100" fillId="0" borderId="0" xfId="55" applyNumberFormat="1" applyFont="1" applyBorder="1" applyAlignment="1">
      <alignment horizontal="center"/>
    </xf>
    <xf numFmtId="169" fontId="90" fillId="0" borderId="7" xfId="55" applyNumberFormat="1" applyFont="1" applyBorder="1" applyAlignment="1">
      <alignment horizontal="center"/>
    </xf>
    <xf numFmtId="3" fontId="160" fillId="0" borderId="10" xfId="10" applyNumberFormat="1" applyFont="1" applyBorder="1"/>
    <xf numFmtId="3" fontId="160" fillId="0" borderId="10" xfId="10" applyNumberFormat="1" applyFont="1" applyBorder="1" applyAlignment="1">
      <alignment horizontal="center"/>
    </xf>
    <xf numFmtId="0" fontId="160" fillId="0" borderId="10" xfId="10" applyFont="1" applyBorder="1"/>
    <xf numFmtId="0" fontId="45" fillId="0" borderId="10" xfId="10" applyFont="1" applyBorder="1" applyAlignment="1">
      <alignment horizontal="center"/>
    </xf>
    <xf numFmtId="0" fontId="45" fillId="0" borderId="9" xfId="10" applyFont="1" applyBorder="1"/>
    <xf numFmtId="169" fontId="90" fillId="0" borderId="0" xfId="10" applyNumberFormat="1" applyFont="1" applyAlignment="1">
      <alignment horizontal="center"/>
    </xf>
    <xf numFmtId="9" fontId="90" fillId="0" borderId="0" xfId="10" applyNumberFormat="1" applyFont="1" applyAlignment="1">
      <alignment horizontal="center"/>
    </xf>
    <xf numFmtId="0" fontId="45" fillId="0" borderId="10" xfId="10" applyFont="1" applyBorder="1" applyAlignment="1">
      <alignment horizontal="right"/>
    </xf>
    <xf numFmtId="0" fontId="36" fillId="40" borderId="23" xfId="10" applyFont="1" applyFill="1" applyBorder="1" applyAlignment="1">
      <alignment horizontal="center"/>
    </xf>
    <xf numFmtId="0" fontId="36" fillId="40" borderId="24" xfId="10" applyFont="1" applyFill="1" applyBorder="1" applyAlignment="1">
      <alignment horizontal="center"/>
    </xf>
    <xf numFmtId="0" fontId="15" fillId="40" borderId="24" xfId="10" applyFont="1" applyFill="1" applyBorder="1" applyAlignment="1">
      <alignment horizontal="center"/>
    </xf>
    <xf numFmtId="0" fontId="15" fillId="40" borderId="26" xfId="10" applyFont="1" applyFill="1" applyBorder="1" applyAlignment="1">
      <alignment horizontal="center"/>
    </xf>
    <xf numFmtId="0" fontId="36" fillId="40" borderId="24" xfId="10" applyFont="1" applyFill="1" applyBorder="1" applyAlignment="1">
      <alignment horizontal="left"/>
    </xf>
    <xf numFmtId="0" fontId="36" fillId="40" borderId="24" xfId="10" applyFont="1" applyFill="1" applyBorder="1" applyAlignment="1">
      <alignment horizontal="right"/>
    </xf>
    <xf numFmtId="0" fontId="161" fillId="40" borderId="26" xfId="10" applyFont="1" applyFill="1" applyBorder="1"/>
    <xf numFmtId="0" fontId="91" fillId="40" borderId="27" xfId="10" applyFont="1" applyFill="1" applyBorder="1"/>
    <xf numFmtId="0" fontId="91" fillId="40" borderId="24" xfId="10" applyFont="1" applyFill="1" applyBorder="1"/>
    <xf numFmtId="0" fontId="91" fillId="40" borderId="26" xfId="10" applyFont="1" applyFill="1" applyBorder="1"/>
    <xf numFmtId="0" fontId="7" fillId="0" borderId="142" xfId="10" applyBorder="1"/>
    <xf numFmtId="0" fontId="8" fillId="2" borderId="23" xfId="10" applyFont="1" applyFill="1" applyBorder="1" applyAlignment="1">
      <alignment horizontal="center"/>
    </xf>
    <xf numFmtId="0" fontId="8" fillId="2" borderId="24" xfId="10" applyFont="1" applyFill="1" applyBorder="1"/>
    <xf numFmtId="3" fontId="8" fillId="2" borderId="23" xfId="10" applyNumberFormat="1" applyFont="1" applyFill="1" applyBorder="1" applyAlignment="1">
      <alignment horizontal="center"/>
    </xf>
    <xf numFmtId="3" fontId="8" fillId="2" borderId="24" xfId="10" applyNumberFormat="1" applyFont="1" applyFill="1" applyBorder="1" applyAlignment="1">
      <alignment horizontal="center"/>
    </xf>
    <xf numFmtId="3" fontId="8" fillId="2" borderId="26" xfId="10" applyNumberFormat="1" applyFont="1" applyFill="1" applyBorder="1" applyAlignment="1">
      <alignment horizontal="center"/>
    </xf>
    <xf numFmtId="0" fontId="7" fillId="2" borderId="24" xfId="10" applyFill="1" applyBorder="1"/>
    <xf numFmtId="0" fontId="88" fillId="0" borderId="0" xfId="10" applyFont="1" applyFill="1" applyBorder="1"/>
    <xf numFmtId="1" fontId="36" fillId="40" borderId="23" xfId="10" applyNumberFormat="1" applyFont="1" applyFill="1" applyBorder="1" applyAlignment="1">
      <alignment horizontal="center" vertical="center"/>
    </xf>
    <xf numFmtId="1" fontId="162" fillId="40" borderId="23" xfId="10" applyNumberFormat="1" applyFont="1" applyFill="1" applyBorder="1" applyAlignment="1">
      <alignment horizontal="center" vertical="center"/>
    </xf>
    <xf numFmtId="1" fontId="162" fillId="40" borderId="24" xfId="10" applyNumberFormat="1" applyFont="1" applyFill="1" applyBorder="1" applyAlignment="1">
      <alignment horizontal="center" vertical="center"/>
    </xf>
    <xf numFmtId="1" fontId="162" fillId="40" borderId="26" xfId="10" applyNumberFormat="1" applyFont="1" applyFill="1" applyBorder="1" applyAlignment="1">
      <alignment horizontal="center" vertical="center"/>
    </xf>
    <xf numFmtId="1" fontId="36" fillId="40" borderId="24" xfId="10" applyNumberFormat="1" applyFont="1" applyFill="1" applyBorder="1" applyAlignment="1">
      <alignment horizontal="center" vertical="center"/>
    </xf>
    <xf numFmtId="1" fontId="36" fillId="40" borderId="26" xfId="10" applyNumberFormat="1" applyFont="1" applyFill="1" applyBorder="1" applyAlignment="1">
      <alignment horizontal="center" vertical="center"/>
    </xf>
    <xf numFmtId="0" fontId="7" fillId="40" borderId="26" xfId="10" applyFill="1" applyBorder="1"/>
    <xf numFmtId="0" fontId="91" fillId="40" borderId="0" xfId="10" applyFont="1" applyFill="1" applyAlignment="1">
      <alignment horizontal="center"/>
    </xf>
    <xf numFmtId="0" fontId="70" fillId="40" borderId="23" xfId="10" applyFont="1" applyFill="1" applyBorder="1" applyAlignment="1">
      <alignment horizontal="center" vertical="center"/>
    </xf>
    <xf numFmtId="0" fontId="42" fillId="2" borderId="0" xfId="10" applyFont="1" applyFill="1" applyAlignment="1">
      <alignment horizontal="center"/>
    </xf>
    <xf numFmtId="177" fontId="42" fillId="2" borderId="0" xfId="10" applyNumberFormat="1" applyFont="1" applyFill="1"/>
    <xf numFmtId="0" fontId="91" fillId="40" borderId="0" xfId="10" applyFont="1" applyFill="1"/>
    <xf numFmtId="3" fontId="91" fillId="40" borderId="0" xfId="10" applyNumberFormat="1" applyFont="1" applyFill="1"/>
    <xf numFmtId="184" fontId="91" fillId="40" borderId="0" xfId="10" applyNumberFormat="1" applyFont="1" applyFill="1" applyAlignment="1">
      <alignment horizontal="center"/>
    </xf>
    <xf numFmtId="0" fontId="91" fillId="40" borderId="0" xfId="10" applyFont="1" applyFill="1" applyAlignment="1">
      <alignment horizontal="left"/>
    </xf>
    <xf numFmtId="0" fontId="7" fillId="74" borderId="0" xfId="10" applyFill="1" applyAlignment="1">
      <alignment horizontal="center"/>
    </xf>
    <xf numFmtId="10" fontId="0" fillId="74" borderId="0" xfId="55" applyNumberFormat="1" applyFont="1" applyFill="1" applyAlignment="1">
      <alignment horizontal="center"/>
    </xf>
    <xf numFmtId="0" fontId="55" fillId="40" borderId="101" xfId="10" applyFont="1" applyFill="1" applyBorder="1" applyAlignment="1">
      <alignment vertical="center"/>
    </xf>
    <xf numFmtId="3" fontId="52" fillId="40" borderId="0" xfId="10" applyNumberFormat="1" applyFont="1" applyFill="1"/>
    <xf numFmtId="3" fontId="52" fillId="40" borderId="0" xfId="10" applyNumberFormat="1" applyFont="1" applyFill="1" applyAlignment="1">
      <alignment horizontal="center"/>
    </xf>
    <xf numFmtId="3" fontId="52" fillId="40" borderId="0" xfId="10" applyNumberFormat="1" applyFont="1" applyFill="1" applyBorder="1" applyAlignment="1">
      <alignment horizontal="center"/>
    </xf>
    <xf numFmtId="1" fontId="55" fillId="40" borderId="77" xfId="10" applyNumberFormat="1" applyFont="1" applyFill="1" applyBorder="1" applyAlignment="1">
      <alignment horizontal="center" vertical="center"/>
    </xf>
    <xf numFmtId="1" fontId="55" fillId="40" borderId="79" xfId="10" applyNumberFormat="1" applyFont="1" applyFill="1" applyBorder="1" applyAlignment="1">
      <alignment horizontal="center" vertical="center"/>
    </xf>
    <xf numFmtId="1" fontId="55" fillId="40" borderId="26" xfId="10" applyNumberFormat="1" applyFont="1" applyFill="1" applyBorder="1" applyAlignment="1">
      <alignment horizontal="center" vertical="center"/>
    </xf>
    <xf numFmtId="1" fontId="55" fillId="40" borderId="114" xfId="10" applyNumberFormat="1" applyFont="1" applyFill="1" applyBorder="1" applyAlignment="1">
      <alignment horizontal="center" vertical="center"/>
    </xf>
    <xf numFmtId="0" fontId="20" fillId="2" borderId="103" xfId="10" applyFont="1" applyFill="1" applyBorder="1" applyAlignment="1">
      <alignment horizontal="left" indent="1"/>
    </xf>
    <xf numFmtId="3" fontId="19" fillId="2" borderId="0" xfId="10" applyNumberFormat="1" applyFont="1" applyFill="1"/>
    <xf numFmtId="3" fontId="19" fillId="2" borderId="0" xfId="10" applyNumberFormat="1" applyFont="1" applyFill="1" applyAlignment="1">
      <alignment horizontal="center"/>
    </xf>
    <xf numFmtId="3" fontId="20" fillId="2" borderId="102" xfId="10" applyNumberFormat="1" applyFont="1" applyFill="1" applyBorder="1"/>
    <xf numFmtId="3" fontId="20" fillId="2" borderId="112" xfId="10" applyNumberFormat="1" applyFont="1" applyFill="1" applyBorder="1"/>
    <xf numFmtId="3" fontId="20" fillId="2" borderId="113" xfId="10" applyNumberFormat="1" applyFont="1" applyFill="1" applyBorder="1"/>
    <xf numFmtId="3" fontId="94" fillId="0" borderId="0" xfId="10" applyNumberFormat="1" applyFont="1" applyAlignment="1">
      <alignment horizontal="center"/>
    </xf>
    <xf numFmtId="1" fontId="94" fillId="0" borderId="0" xfId="10" applyNumberFormat="1" applyFont="1" applyAlignment="1">
      <alignment horizontal="center"/>
    </xf>
    <xf numFmtId="1" fontId="55" fillId="40" borderId="11" xfId="10" applyNumberFormat="1" applyFont="1" applyFill="1" applyBorder="1" applyAlignment="1">
      <alignment horizontal="center"/>
    </xf>
    <xf numFmtId="1" fontId="55" fillId="40" borderId="24" xfId="10" applyNumberFormat="1" applyFont="1" applyFill="1" applyBorder="1" applyAlignment="1">
      <alignment horizontal="center"/>
    </xf>
    <xf numFmtId="1" fontId="55" fillId="40" borderId="5" xfId="10" applyNumberFormat="1" applyFont="1" applyFill="1" applyBorder="1" applyAlignment="1">
      <alignment horizontal="center"/>
    </xf>
    <xf numFmtId="1" fontId="55" fillId="40" borderId="23" xfId="10" applyNumberFormat="1" applyFont="1" applyFill="1" applyBorder="1" applyAlignment="1">
      <alignment horizontal="center"/>
    </xf>
    <xf numFmtId="1" fontId="55" fillId="40" borderId="0" xfId="10" applyNumberFormat="1" applyFont="1" applyFill="1" applyBorder="1" applyAlignment="1">
      <alignment horizontal="center"/>
    </xf>
    <xf numFmtId="49" fontId="55" fillId="40" borderId="11" xfId="10" applyNumberFormat="1" applyFont="1" applyFill="1" applyBorder="1" applyAlignment="1">
      <alignment horizontal="center"/>
    </xf>
    <xf numFmtId="49" fontId="55" fillId="40" borderId="5" xfId="10" applyNumberFormat="1" applyFont="1" applyFill="1" applyBorder="1" applyAlignment="1">
      <alignment horizontal="center"/>
    </xf>
    <xf numFmtId="1" fontId="55" fillId="40" borderId="26" xfId="10" applyNumberFormat="1" applyFont="1" applyFill="1" applyBorder="1" applyAlignment="1">
      <alignment horizontal="center"/>
    </xf>
    <xf numFmtId="3" fontId="55" fillId="40" borderId="11" xfId="10" applyNumberFormat="1" applyFont="1" applyFill="1" applyBorder="1" applyAlignment="1">
      <alignment horizontal="center"/>
    </xf>
    <xf numFmtId="3" fontId="55" fillId="40" borderId="28" xfId="10" applyNumberFormat="1" applyFont="1" applyFill="1" applyBorder="1" applyAlignment="1">
      <alignment horizontal="center"/>
    </xf>
    <xf numFmtId="0" fontId="55" fillId="40" borderId="11" xfId="10" applyFont="1" applyFill="1" applyBorder="1"/>
    <xf numFmtId="0" fontId="52" fillId="40" borderId="5" xfId="10" applyFont="1" applyFill="1" applyBorder="1" applyAlignment="1">
      <alignment horizontal="right"/>
    </xf>
    <xf numFmtId="0" fontId="52" fillId="40" borderId="5" xfId="10" applyFont="1" applyFill="1" applyBorder="1"/>
    <xf numFmtId="0" fontId="52" fillId="40" borderId="12" xfId="10" applyFont="1" applyFill="1" applyBorder="1" applyAlignment="1">
      <alignment horizontal="center"/>
    </xf>
    <xf numFmtId="0" fontId="52" fillId="40" borderId="11" xfId="10" applyFont="1" applyFill="1" applyBorder="1"/>
    <xf numFmtId="2" fontId="52" fillId="40" borderId="5" xfId="10" applyNumberFormat="1" applyFont="1" applyFill="1" applyBorder="1"/>
    <xf numFmtId="4" fontId="52" fillId="40" borderId="5" xfId="10" applyNumberFormat="1" applyFont="1" applyFill="1" applyBorder="1"/>
    <xf numFmtId="0" fontId="55" fillId="40" borderId="12" xfId="10" applyFont="1" applyFill="1" applyBorder="1" applyAlignment="1">
      <alignment horizontal="center"/>
    </xf>
    <xf numFmtId="0" fontId="52" fillId="40" borderId="5" xfId="10" applyFont="1" applyFill="1" applyBorder="1" applyAlignment="1">
      <alignment horizontal="center"/>
    </xf>
    <xf numFmtId="0" fontId="55" fillId="40" borderId="8" xfId="10" applyFont="1" applyFill="1" applyBorder="1" applyAlignment="1">
      <alignment horizontal="center"/>
    </xf>
    <xf numFmtId="0" fontId="55" fillId="40" borderId="10" xfId="10" applyFont="1" applyFill="1" applyBorder="1" applyAlignment="1">
      <alignment horizontal="center"/>
    </xf>
    <xf numFmtId="0" fontId="55" fillId="40" borderId="9" xfId="10" applyFont="1" applyFill="1" applyBorder="1" applyAlignment="1">
      <alignment horizontal="center"/>
    </xf>
    <xf numFmtId="2" fontId="55" fillId="40" borderId="10" xfId="10" applyNumberFormat="1" applyFont="1" applyFill="1" applyBorder="1" applyAlignment="1">
      <alignment horizontal="center"/>
    </xf>
    <xf numFmtId="4" fontId="55" fillId="40" borderId="10" xfId="10" applyNumberFormat="1" applyFont="1" applyFill="1" applyBorder="1" applyAlignment="1">
      <alignment horizontal="center"/>
    </xf>
    <xf numFmtId="0" fontId="55" fillId="40" borderId="9" xfId="10" applyFont="1" applyFill="1" applyBorder="1" applyAlignment="1">
      <alignment horizontal="left"/>
    </xf>
    <xf numFmtId="0" fontId="20" fillId="0" borderId="0" xfId="10" applyFont="1" applyFill="1" applyAlignment="1">
      <alignment horizontal="center"/>
    </xf>
    <xf numFmtId="0" fontId="20" fillId="0" borderId="10" xfId="10" applyFont="1" applyFill="1" applyBorder="1" applyAlignment="1">
      <alignment horizontal="center"/>
    </xf>
    <xf numFmtId="0" fontId="20" fillId="0" borderId="27" xfId="10" applyFont="1" applyFill="1" applyBorder="1" applyAlignment="1">
      <alignment horizontal="center"/>
    </xf>
    <xf numFmtId="2" fontId="20" fillId="0" borderId="10" xfId="10" applyNumberFormat="1" applyFont="1" applyFill="1" applyBorder="1" applyAlignment="1">
      <alignment horizontal="center"/>
    </xf>
    <xf numFmtId="4" fontId="20" fillId="0" borderId="10" xfId="10" applyNumberFormat="1" applyFont="1" applyFill="1" applyBorder="1" applyAlignment="1">
      <alignment horizontal="center"/>
    </xf>
    <xf numFmtId="0" fontId="20" fillId="0" borderId="9" xfId="10" applyFont="1" applyFill="1" applyBorder="1" applyAlignment="1">
      <alignment horizontal="center"/>
    </xf>
    <xf numFmtId="16" fontId="20" fillId="0" borderId="6" xfId="10" applyNumberFormat="1" applyFont="1" applyFill="1" applyBorder="1"/>
    <xf numFmtId="14" fontId="19" fillId="0" borderId="0" xfId="10" applyNumberFormat="1" applyFont="1" applyFill="1" applyBorder="1" applyAlignment="1">
      <alignment horizontal="right"/>
    </xf>
    <xf numFmtId="0" fontId="19" fillId="0" borderId="0" xfId="10" applyFont="1" applyFill="1" applyBorder="1"/>
    <xf numFmtId="0" fontId="19" fillId="0" borderId="7" xfId="10" applyFont="1" applyFill="1" applyBorder="1"/>
    <xf numFmtId="0" fontId="20" fillId="0" borderId="6" xfId="10" applyFont="1" applyFill="1" applyBorder="1"/>
    <xf numFmtId="0" fontId="19" fillId="0" borderId="0" xfId="10" applyFont="1" applyFill="1" applyBorder="1" applyAlignment="1">
      <alignment horizontal="right"/>
    </xf>
    <xf numFmtId="0" fontId="19" fillId="74" borderId="0" xfId="10" applyFont="1" applyFill="1" applyBorder="1" applyAlignment="1">
      <alignment horizontal="center"/>
    </xf>
    <xf numFmtId="3" fontId="19" fillId="0" borderId="6" xfId="0" applyNumberFormat="1" applyFont="1" applyFill="1" applyBorder="1"/>
    <xf numFmtId="2" fontId="19" fillId="0" borderId="0" xfId="0" applyNumberFormat="1" applyFont="1" applyFill="1" applyBorder="1"/>
    <xf numFmtId="4" fontId="19" fillId="0" borderId="0" xfId="0" applyNumberFormat="1" applyFont="1" applyFill="1" applyBorder="1"/>
    <xf numFmtId="0" fontId="20" fillId="0" borderId="0" xfId="10" applyFont="1" applyFill="1"/>
    <xf numFmtId="0" fontId="163" fillId="0" borderId="0" xfId="10" applyFont="1" applyFill="1" applyBorder="1"/>
    <xf numFmtId="0" fontId="163" fillId="0" borderId="7" xfId="10" applyFont="1" applyFill="1" applyBorder="1"/>
    <xf numFmtId="0" fontId="163" fillId="0" borderId="25" xfId="10" applyFont="1" applyFill="1" applyBorder="1" applyAlignment="1">
      <alignment horizontal="center"/>
    </xf>
    <xf numFmtId="3" fontId="163" fillId="0" borderId="6" xfId="0" applyNumberFormat="1" applyFont="1" applyFill="1" applyBorder="1"/>
    <xf numFmtId="2" fontId="163" fillId="0" borderId="0" xfId="0" applyNumberFormat="1" applyFont="1" applyFill="1" applyBorder="1"/>
    <xf numFmtId="4" fontId="163" fillId="0" borderId="0" xfId="0" applyNumberFormat="1" applyFont="1" applyFill="1" applyBorder="1"/>
    <xf numFmtId="0" fontId="19" fillId="0" borderId="25" xfId="10" applyFont="1" applyFill="1" applyBorder="1" applyAlignment="1">
      <alignment horizontal="center"/>
    </xf>
    <xf numFmtId="0" fontId="20" fillId="0" borderId="8" xfId="10" applyFont="1" applyFill="1" applyBorder="1"/>
    <xf numFmtId="14" fontId="19" fillId="0" borderId="10" xfId="10" applyNumberFormat="1" applyFont="1" applyFill="1" applyBorder="1" applyAlignment="1">
      <alignment horizontal="right"/>
    </xf>
    <xf numFmtId="0" fontId="19" fillId="0" borderId="10" xfId="10" applyFont="1" applyFill="1" applyBorder="1"/>
    <xf numFmtId="0" fontId="19" fillId="0" borderId="9" xfId="10" applyFont="1" applyFill="1" applyBorder="1"/>
    <xf numFmtId="0" fontId="19" fillId="0" borderId="60" xfId="10" applyFont="1" applyFill="1" applyBorder="1"/>
    <xf numFmtId="0" fontId="19" fillId="0" borderId="9" xfId="10" applyFont="1" applyFill="1" applyBorder="1" applyAlignment="1">
      <alignment horizontal="center"/>
    </xf>
    <xf numFmtId="0" fontId="19" fillId="0" borderId="5" xfId="10" applyFont="1" applyFill="1" applyBorder="1"/>
    <xf numFmtId="16" fontId="20" fillId="0" borderId="8" xfId="10" applyNumberFormat="1" applyFont="1" applyFill="1" applyBorder="1"/>
    <xf numFmtId="0" fontId="19" fillId="0" borderId="60" xfId="10" applyFont="1" applyFill="1" applyBorder="1" applyAlignment="1">
      <alignment horizontal="center"/>
    </xf>
    <xf numFmtId="0" fontId="19" fillId="0" borderId="0" xfId="10" applyFont="1" applyFill="1" applyAlignment="1">
      <alignment horizontal="center"/>
    </xf>
    <xf numFmtId="0" fontId="19" fillId="0" borderId="10" xfId="10" applyFont="1" applyFill="1" applyBorder="1" applyAlignment="1">
      <alignment horizontal="right"/>
    </xf>
    <xf numFmtId="0" fontId="20" fillId="0" borderId="0" xfId="10" applyFont="1" applyFill="1" applyBorder="1"/>
    <xf numFmtId="0" fontId="163" fillId="0" borderId="0" xfId="10" applyFont="1" applyFill="1" applyBorder="1" applyAlignment="1">
      <alignment horizontal="center"/>
    </xf>
    <xf numFmtId="0" fontId="19" fillId="0" borderId="0" xfId="10" applyFont="1" applyFill="1" applyAlignment="1">
      <alignment horizontal="right"/>
    </xf>
    <xf numFmtId="2" fontId="19" fillId="0" borderId="0" xfId="10" applyNumberFormat="1" applyFont="1" applyFill="1"/>
    <xf numFmtId="4" fontId="19" fillId="0" borderId="0" xfId="10" applyNumberFormat="1" applyFont="1" applyFill="1"/>
    <xf numFmtId="3" fontId="14" fillId="0" borderId="6" xfId="0" applyNumberFormat="1" applyFont="1" applyFill="1" applyBorder="1"/>
    <xf numFmtId="2" fontId="14" fillId="0" borderId="0" xfId="0" applyNumberFormat="1" applyFont="1" applyFill="1" applyBorder="1"/>
    <xf numFmtId="4" fontId="14" fillId="0" borderId="0" xfId="0" applyNumberFormat="1" applyFont="1" applyFill="1" applyBorder="1"/>
    <xf numFmtId="0" fontId="14" fillId="0" borderId="6" xfId="0" applyFont="1" applyFill="1" applyBorder="1" applyAlignment="1">
      <alignment horizontal="center"/>
    </xf>
    <xf numFmtId="0" fontId="14" fillId="0" borderId="7" xfId="0" applyFont="1" applyFill="1" applyBorder="1" applyAlignment="1">
      <alignment horizontal="center"/>
    </xf>
    <xf numFmtId="3" fontId="14" fillId="0" borderId="8" xfId="0" applyNumberFormat="1" applyFont="1" applyFill="1" applyBorder="1"/>
    <xf numFmtId="0" fontId="14" fillId="0" borderId="8" xfId="0" applyFont="1" applyFill="1" applyBorder="1"/>
    <xf numFmtId="2" fontId="14" fillId="0" borderId="10" xfId="0" applyNumberFormat="1" applyFont="1" applyFill="1" applyBorder="1"/>
    <xf numFmtId="4" fontId="14" fillId="0" borderId="10" xfId="0" applyNumberFormat="1" applyFont="1" applyFill="1" applyBorder="1"/>
    <xf numFmtId="49" fontId="14" fillId="0" borderId="8" xfId="0" applyNumberFormat="1" applyFont="1" applyFill="1" applyBorder="1" applyAlignment="1">
      <alignment horizontal="center"/>
    </xf>
    <xf numFmtId="0" fontId="14" fillId="0" borderId="9" xfId="0" applyFont="1" applyFill="1" applyBorder="1" applyAlignment="1">
      <alignment horizontal="center"/>
    </xf>
    <xf numFmtId="0" fontId="14" fillId="0" borderId="8" xfId="0" applyFont="1" applyFill="1" applyBorder="1" applyAlignment="1">
      <alignment horizontal="center"/>
    </xf>
    <xf numFmtId="16" fontId="20" fillId="0" borderId="7" xfId="0" applyNumberFormat="1" applyFont="1" applyFill="1" applyBorder="1" applyAlignment="1">
      <alignment horizontal="center"/>
    </xf>
    <xf numFmtId="0" fontId="20" fillId="0" borderId="9" xfId="0" applyFont="1" applyFill="1" applyBorder="1" applyAlignment="1">
      <alignment horizontal="center"/>
    </xf>
    <xf numFmtId="0" fontId="163" fillId="0" borderId="6" xfId="0" applyFont="1" applyFill="1" applyBorder="1"/>
    <xf numFmtId="16" fontId="164" fillId="0" borderId="7" xfId="0" applyNumberFormat="1" applyFont="1" applyFill="1" applyBorder="1" applyAlignment="1">
      <alignment horizontal="center"/>
    </xf>
    <xf numFmtId="0" fontId="14" fillId="0" borderId="0" xfId="0" applyFont="1" applyFill="1" applyBorder="1" applyAlignment="1">
      <alignment horizontal="center"/>
    </xf>
    <xf numFmtId="0" fontId="14" fillId="0" borderId="6" xfId="0" applyFont="1" applyFill="1" applyBorder="1"/>
    <xf numFmtId="49" fontId="14" fillId="0" borderId="0" xfId="0" applyNumberFormat="1" applyFont="1" applyFill="1" applyBorder="1" applyAlignment="1">
      <alignment horizontal="center"/>
    </xf>
    <xf numFmtId="2" fontId="14" fillId="0" borderId="6" xfId="0" applyNumberFormat="1" applyFont="1" applyFill="1" applyBorder="1"/>
    <xf numFmtId="0" fontId="14" fillId="0" borderId="0" xfId="0" applyFont="1" applyFill="1" applyBorder="1"/>
    <xf numFmtId="0" fontId="14" fillId="0" borderId="10" xfId="0" applyFont="1" applyFill="1" applyBorder="1" applyAlignment="1">
      <alignment horizontal="center"/>
    </xf>
    <xf numFmtId="49" fontId="163" fillId="0" borderId="0" xfId="0" applyNumberFormat="1" applyFont="1" applyFill="1" applyBorder="1" applyAlignment="1">
      <alignment horizontal="center"/>
    </xf>
    <xf numFmtId="0" fontId="20" fillId="0" borderId="7" xfId="0" applyFont="1" applyFill="1" applyBorder="1" applyAlignment="1">
      <alignment horizontal="center"/>
    </xf>
    <xf numFmtId="2" fontId="19" fillId="0" borderId="10" xfId="0" applyNumberFormat="1" applyFont="1" applyFill="1" applyBorder="1"/>
    <xf numFmtId="4" fontId="19" fillId="0" borderId="10" xfId="0" applyNumberFormat="1" applyFont="1" applyFill="1" applyBorder="1"/>
    <xf numFmtId="16" fontId="20" fillId="0" borderId="9" xfId="0" applyNumberFormat="1" applyFont="1" applyFill="1" applyBorder="1" applyAlignment="1">
      <alignment horizontal="center"/>
    </xf>
    <xf numFmtId="0" fontId="19" fillId="0" borderId="8" xfId="0" applyFont="1" applyFill="1" applyBorder="1" applyAlignment="1">
      <alignment horizontal="center"/>
    </xf>
    <xf numFmtId="0" fontId="19" fillId="0" borderId="9" xfId="0" applyFont="1" applyFill="1" applyBorder="1" applyAlignment="1">
      <alignment horizontal="center"/>
    </xf>
    <xf numFmtId="0" fontId="94" fillId="0" borderId="0" xfId="10" applyFont="1"/>
    <xf numFmtId="0" fontId="36" fillId="40" borderId="28" xfId="10" applyFont="1" applyFill="1" applyBorder="1" applyAlignment="1">
      <alignment horizontal="center"/>
    </xf>
    <xf numFmtId="0" fontId="36" fillId="40" borderId="11" xfId="10" applyFont="1" applyFill="1" applyBorder="1" applyAlignment="1">
      <alignment horizontal="center"/>
    </xf>
    <xf numFmtId="0" fontId="36" fillId="40" borderId="12" xfId="10" applyFont="1" applyFill="1" applyBorder="1" applyAlignment="1">
      <alignment horizontal="center"/>
    </xf>
    <xf numFmtId="0" fontId="89" fillId="0" borderId="0" xfId="10" applyFont="1" applyAlignment="1">
      <alignment horizontal="center"/>
    </xf>
    <xf numFmtId="0" fontId="36" fillId="40" borderId="27" xfId="10" applyFont="1" applyFill="1" applyBorder="1" applyAlignment="1">
      <alignment horizontal="center"/>
    </xf>
    <xf numFmtId="0" fontId="36" fillId="40" borderId="26" xfId="10" applyFont="1" applyFill="1" applyBorder="1" applyAlignment="1">
      <alignment horizontal="center"/>
    </xf>
    <xf numFmtId="0" fontId="45" fillId="0" borderId="11" xfId="10" applyFont="1" applyBorder="1" applyAlignment="1">
      <alignment horizontal="center"/>
    </xf>
    <xf numFmtId="3" fontId="45" fillId="0" borderId="11" xfId="10" applyNumberFormat="1" applyFont="1" applyBorder="1"/>
    <xf numFmtId="3" fontId="45" fillId="0" borderId="5" xfId="10" applyNumberFormat="1" applyFont="1" applyBorder="1"/>
    <xf numFmtId="3" fontId="45" fillId="0" borderId="28" xfId="10" applyNumberFormat="1" applyFont="1" applyBorder="1"/>
    <xf numFmtId="0" fontId="45" fillId="0" borderId="25" xfId="10" applyFont="1" applyBorder="1" applyAlignment="1">
      <alignment horizontal="center"/>
    </xf>
    <xf numFmtId="3" fontId="45" fillId="0" borderId="6" xfId="10" applyNumberFormat="1" applyFont="1" applyBorder="1"/>
    <xf numFmtId="3" fontId="45" fillId="0" borderId="7" xfId="10" applyNumberFormat="1" applyFont="1" applyBorder="1"/>
    <xf numFmtId="3" fontId="45" fillId="0" borderId="28" xfId="10" applyNumberFormat="1" applyFont="1" applyBorder="1" applyAlignment="1">
      <alignment horizontal="center"/>
    </xf>
    <xf numFmtId="3" fontId="45" fillId="0" borderId="25" xfId="10" applyNumberFormat="1" applyFont="1" applyBorder="1"/>
    <xf numFmtId="3" fontId="45" fillId="0" borderId="25" xfId="10" applyNumberFormat="1" applyFont="1" applyBorder="1" applyAlignment="1">
      <alignment horizontal="center"/>
    </xf>
    <xf numFmtId="3" fontId="45" fillId="0" borderId="7" xfId="10" applyNumberFormat="1" applyFont="1" applyBorder="1" applyAlignment="1">
      <alignment horizontal="center"/>
    </xf>
    <xf numFmtId="0" fontId="45" fillId="0" borderId="6" xfId="10" applyFont="1" applyFill="1" applyBorder="1" applyAlignment="1">
      <alignment horizontal="center"/>
    </xf>
    <xf numFmtId="3" fontId="45" fillId="0" borderId="0" xfId="10" applyNumberFormat="1" applyFont="1" applyFill="1" applyBorder="1"/>
    <xf numFmtId="3" fontId="45" fillId="0" borderId="25" xfId="10" applyNumberFormat="1" applyFont="1" applyFill="1" applyBorder="1"/>
    <xf numFmtId="3" fontId="45" fillId="0" borderId="6" xfId="10" applyNumberFormat="1" applyFont="1" applyBorder="1" applyAlignment="1">
      <alignment horizontal="center"/>
    </xf>
    <xf numFmtId="3" fontId="45" fillId="0" borderId="6" xfId="10" applyNumberFormat="1" applyFont="1" applyFill="1" applyBorder="1"/>
    <xf numFmtId="0" fontId="45" fillId="0" borderId="60" xfId="10" applyFont="1" applyBorder="1" applyAlignment="1">
      <alignment horizontal="center"/>
    </xf>
    <xf numFmtId="3" fontId="45" fillId="0" borderId="8" xfId="10" applyNumberFormat="1" applyFont="1" applyBorder="1"/>
    <xf numFmtId="3" fontId="45" fillId="0" borderId="9" xfId="10" applyNumberFormat="1" applyFont="1" applyBorder="1"/>
    <xf numFmtId="3" fontId="45" fillId="0" borderId="60" xfId="10" applyNumberFormat="1" applyFont="1" applyBorder="1" applyAlignment="1">
      <alignment horizontal="center"/>
    </xf>
    <xf numFmtId="0" fontId="45" fillId="0" borderId="7" xfId="10" applyFont="1" applyFill="1" applyBorder="1" applyAlignment="1">
      <alignment horizontal="center"/>
    </xf>
    <xf numFmtId="0" fontId="45" fillId="0" borderId="25" xfId="10" applyFont="1" applyFill="1" applyBorder="1" applyAlignment="1">
      <alignment horizontal="center"/>
    </xf>
    <xf numFmtId="0" fontId="45" fillId="0" borderId="6" xfId="10" applyFont="1" applyBorder="1"/>
    <xf numFmtId="0" fontId="45" fillId="0" borderId="60" xfId="10" applyFont="1" applyBorder="1"/>
    <xf numFmtId="0" fontId="45" fillId="0" borderId="8" xfId="10" applyFont="1" applyBorder="1"/>
    <xf numFmtId="0" fontId="90" fillId="0" borderId="0" xfId="10" applyFont="1" applyAlignment="1">
      <alignment horizontal="left"/>
    </xf>
    <xf numFmtId="0" fontId="90" fillId="0" borderId="0" xfId="10" applyFont="1" applyFill="1" applyAlignment="1">
      <alignment horizontal="left"/>
    </xf>
    <xf numFmtId="0" fontId="45" fillId="0" borderId="0" xfId="10" applyFont="1" applyFill="1"/>
    <xf numFmtId="3" fontId="45" fillId="0" borderId="0" xfId="10" applyNumberFormat="1" applyFont="1" applyFill="1"/>
    <xf numFmtId="3" fontId="90" fillId="0" borderId="0" xfId="10" applyNumberFormat="1" applyFont="1" applyFill="1"/>
    <xf numFmtId="0" fontId="90" fillId="0" borderId="0" xfId="10" applyFont="1" applyFill="1"/>
    <xf numFmtId="3" fontId="90" fillId="0" borderId="25" xfId="10" applyNumberFormat="1" applyFont="1" applyBorder="1"/>
    <xf numFmtId="0" fontId="45" fillId="0" borderId="27" xfId="10" applyFont="1" applyBorder="1"/>
    <xf numFmtId="3" fontId="90" fillId="0" borderId="24" xfId="10" applyNumberFormat="1" applyFont="1" applyBorder="1" applyAlignment="1">
      <alignment horizontal="center"/>
    </xf>
    <xf numFmtId="3" fontId="90" fillId="0" borderId="27" xfId="10" applyNumberFormat="1" applyFont="1" applyBorder="1" applyAlignment="1">
      <alignment horizontal="center"/>
    </xf>
    <xf numFmtId="0" fontId="36" fillId="40" borderId="27" xfId="10" applyFont="1" applyFill="1" applyBorder="1"/>
    <xf numFmtId="3" fontId="36" fillId="40" borderId="24" xfId="10" applyNumberFormat="1" applyFont="1" applyFill="1" applyBorder="1" applyAlignment="1">
      <alignment horizontal="center"/>
    </xf>
    <xf numFmtId="0" fontId="36" fillId="40" borderId="25" xfId="10" applyFont="1" applyFill="1" applyBorder="1" applyAlignment="1">
      <alignment horizontal="center"/>
    </xf>
    <xf numFmtId="0" fontId="52" fillId="40" borderId="27" xfId="10" applyFont="1" applyFill="1" applyBorder="1"/>
    <xf numFmtId="0" fontId="52" fillId="40" borderId="24" xfId="10" applyFont="1" applyFill="1" applyBorder="1"/>
    <xf numFmtId="0" fontId="52" fillId="40" borderId="26" xfId="10" applyFont="1" applyFill="1" applyBorder="1"/>
    <xf numFmtId="0" fontId="91" fillId="40" borderId="5" xfId="10" applyFont="1" applyFill="1" applyBorder="1" applyAlignment="1">
      <alignment horizontal="center"/>
    </xf>
    <xf numFmtId="0" fontId="91" fillId="40" borderId="28" xfId="10" quotePrefix="1" applyFont="1" applyFill="1" applyBorder="1" applyAlignment="1">
      <alignment horizontal="center"/>
    </xf>
    <xf numFmtId="0" fontId="20" fillId="2" borderId="27" xfId="10" applyFont="1" applyFill="1" applyBorder="1"/>
    <xf numFmtId="3" fontId="20" fillId="2" borderId="24" xfId="10" applyNumberFormat="1" applyFont="1" applyFill="1" applyBorder="1"/>
    <xf numFmtId="3" fontId="20" fillId="2" borderId="26" xfId="10" applyNumberFormat="1" applyFont="1" applyFill="1" applyBorder="1"/>
    <xf numFmtId="3" fontId="19" fillId="0" borderId="5" xfId="10" applyNumberFormat="1" applyFont="1" applyFill="1" applyBorder="1" applyAlignment="1" applyProtection="1">
      <alignment vertical="center" wrapText="1"/>
    </xf>
    <xf numFmtId="3" fontId="19" fillId="0" borderId="0" xfId="10" applyNumberFormat="1" applyFont="1" applyFill="1" applyBorder="1" applyAlignment="1" applyProtection="1">
      <alignment horizontal="left" vertical="center" wrapText="1"/>
    </xf>
    <xf numFmtId="3" fontId="19" fillId="0" borderId="0" xfId="10" applyNumberFormat="1" applyFont="1" applyFill="1" applyBorder="1" applyAlignment="1" applyProtection="1">
      <alignment vertical="center" wrapText="1"/>
    </xf>
    <xf numFmtId="3" fontId="20" fillId="55" borderId="10" xfId="10" applyNumberFormat="1" applyFont="1" applyFill="1" applyBorder="1" applyAlignment="1" applyProtection="1">
      <alignment horizontal="center" vertical="center" wrapText="1"/>
    </xf>
    <xf numFmtId="1" fontId="20" fillId="3" borderId="24" xfId="10" applyNumberFormat="1" applyFont="1" applyFill="1" applyBorder="1" applyAlignment="1" applyProtection="1">
      <alignment horizontal="center" vertical="center" wrapText="1"/>
    </xf>
    <xf numFmtId="0" fontId="55" fillId="40" borderId="27" xfId="10" applyFont="1" applyFill="1" applyBorder="1" applyAlignment="1">
      <alignment vertical="center"/>
    </xf>
    <xf numFmtId="0" fontId="55" fillId="40" borderId="27" xfId="10" applyFont="1" applyFill="1" applyBorder="1" applyAlignment="1">
      <alignment horizontal="center" vertical="center" wrapText="1"/>
    </xf>
    <xf numFmtId="0" fontId="20" fillId="2" borderId="27" xfId="10" applyFont="1" applyFill="1" applyBorder="1" applyAlignment="1">
      <alignment vertical="center"/>
    </xf>
    <xf numFmtId="3" fontId="20" fillId="2" borderId="27" xfId="10" applyNumberFormat="1" applyFont="1" applyFill="1" applyBorder="1" applyAlignment="1">
      <alignment horizontal="center" vertical="center" wrapText="1"/>
    </xf>
    <xf numFmtId="0" fontId="152" fillId="0" borderId="0" xfId="10" applyFont="1"/>
    <xf numFmtId="0" fontId="55" fillId="40" borderId="77" xfId="10" applyFont="1" applyFill="1" applyBorder="1" applyAlignment="1">
      <alignment horizontal="center" vertical="center" wrapText="1"/>
    </xf>
    <xf numFmtId="0" fontId="55" fillId="40" borderId="114" xfId="10" applyFont="1" applyFill="1" applyBorder="1" applyAlignment="1">
      <alignment horizontal="center" vertical="center" wrapText="1"/>
    </xf>
    <xf numFmtId="0" fontId="20" fillId="2" borderId="101" xfId="10" applyFont="1" applyFill="1" applyBorder="1" applyAlignment="1">
      <alignment vertical="center"/>
    </xf>
    <xf numFmtId="3" fontId="20" fillId="2" borderId="77" xfId="10" applyNumberFormat="1" applyFont="1" applyFill="1" applyBorder="1" applyAlignment="1">
      <alignment horizontal="center" vertical="center" wrapText="1"/>
    </xf>
    <xf numFmtId="3" fontId="20" fillId="2" borderId="114" xfId="10" applyNumberFormat="1" applyFont="1" applyFill="1" applyBorder="1" applyAlignment="1">
      <alignment horizontal="center" vertical="center" wrapText="1"/>
    </xf>
    <xf numFmtId="0" fontId="94" fillId="0" borderId="0" xfId="10" applyFont="1" applyAlignment="1">
      <alignment horizontal="left"/>
    </xf>
    <xf numFmtId="0" fontId="55" fillId="40" borderId="23" xfId="10" applyFont="1" applyFill="1" applyBorder="1" applyAlignment="1">
      <alignment vertical="center"/>
    </xf>
    <xf numFmtId="0" fontId="55" fillId="40" borderId="24" xfId="10" applyFont="1" applyFill="1" applyBorder="1" applyAlignment="1">
      <alignment horizontal="center" vertical="center" wrapText="1"/>
    </xf>
    <xf numFmtId="0" fontId="55" fillId="40" borderId="26" xfId="10" applyFont="1" applyFill="1" applyBorder="1" applyAlignment="1">
      <alignment horizontal="center" vertical="center" wrapText="1"/>
    </xf>
    <xf numFmtId="0" fontId="55" fillId="40" borderId="23" xfId="10" applyFont="1" applyFill="1" applyBorder="1" applyAlignment="1" applyProtection="1">
      <alignment horizontal="left" vertical="center"/>
    </xf>
    <xf numFmtId="0" fontId="52" fillId="40" borderId="24" xfId="10" applyFont="1" applyFill="1" applyBorder="1" applyAlignment="1" applyProtection="1">
      <alignment horizontal="center" vertical="center"/>
    </xf>
    <xf numFmtId="1" fontId="55" fillId="40" borderId="79" xfId="10" applyNumberFormat="1" applyFont="1" applyFill="1" applyBorder="1" applyAlignment="1" applyProtection="1">
      <alignment horizontal="center" vertical="center" wrapText="1"/>
    </xf>
    <xf numFmtId="1" fontId="55" fillId="40" borderId="5" xfId="10" applyNumberFormat="1" applyFont="1" applyFill="1" applyBorder="1" applyAlignment="1" applyProtection="1">
      <alignment horizontal="center" vertical="center" wrapText="1"/>
    </xf>
    <xf numFmtId="1" fontId="55" fillId="40" borderId="28" xfId="10" applyNumberFormat="1" applyFont="1" applyFill="1" applyBorder="1" applyAlignment="1" applyProtection="1">
      <alignment horizontal="center" vertical="center" wrapText="1"/>
    </xf>
    <xf numFmtId="1" fontId="55" fillId="40" borderId="12" xfId="10" applyNumberFormat="1" applyFont="1" applyFill="1" applyBorder="1" applyAlignment="1" applyProtection="1">
      <alignment horizontal="center" vertical="center" wrapText="1"/>
    </xf>
    <xf numFmtId="3" fontId="19" fillId="74" borderId="105" xfId="10" applyNumberFormat="1" applyFont="1" applyFill="1" applyBorder="1" applyAlignment="1" applyProtection="1">
      <alignment horizontal="right" vertical="center" indent="1"/>
    </xf>
    <xf numFmtId="3" fontId="19" fillId="0" borderId="4" xfId="10" applyNumberFormat="1" applyFont="1" applyFill="1" applyBorder="1" applyAlignment="1" applyProtection="1">
      <alignment horizontal="left" vertical="center" wrapText="1"/>
    </xf>
    <xf numFmtId="0" fontId="20" fillId="2" borderId="23" xfId="10" applyFont="1" applyFill="1" applyBorder="1" applyAlignment="1">
      <alignment vertical="center"/>
    </xf>
    <xf numFmtId="0" fontId="9" fillId="40" borderId="51" xfId="10" applyFont="1" applyFill="1" applyBorder="1" applyAlignment="1">
      <alignment horizontal="center"/>
    </xf>
    <xf numFmtId="0" fontId="9" fillId="40" borderId="52" xfId="10" applyFont="1" applyFill="1" applyBorder="1"/>
    <xf numFmtId="0" fontId="36" fillId="40" borderId="52" xfId="10" applyFont="1" applyFill="1" applyBorder="1" applyAlignment="1">
      <alignment horizontal="center"/>
    </xf>
    <xf numFmtId="0" fontId="20" fillId="3" borderId="41" xfId="78" applyFont="1" applyFill="1" applyBorder="1" applyAlignment="1">
      <alignment horizontal="center"/>
    </xf>
    <xf numFmtId="0" fontId="0" fillId="0" borderId="0" xfId="0" applyBorder="1" applyAlignment="1">
      <alignment horizontal="center"/>
    </xf>
    <xf numFmtId="0" fontId="134" fillId="2" borderId="24" xfId="0" applyFont="1" applyFill="1" applyBorder="1" applyAlignment="1">
      <alignment horizontal="center"/>
    </xf>
    <xf numFmtId="0" fontId="134" fillId="2" borderId="26" xfId="0" applyFont="1" applyFill="1" applyBorder="1" applyAlignment="1">
      <alignment horizontal="center"/>
    </xf>
    <xf numFmtId="0" fontId="9" fillId="40" borderId="23" xfId="0" applyFont="1" applyFill="1" applyBorder="1"/>
    <xf numFmtId="0" fontId="169" fillId="40" borderId="24" xfId="0" applyFont="1" applyFill="1" applyBorder="1" applyAlignment="1">
      <alignment horizontal="center" vertical="top" wrapText="1"/>
    </xf>
    <xf numFmtId="0" fontId="169" fillId="40" borderId="24" xfId="0" applyFont="1" applyFill="1" applyBorder="1" applyAlignment="1">
      <alignment horizontal="center"/>
    </xf>
    <xf numFmtId="0" fontId="169" fillId="40" borderId="5" xfId="0" applyFont="1" applyFill="1" applyBorder="1" applyAlignment="1">
      <alignment horizontal="center"/>
    </xf>
    <xf numFmtId="0" fontId="169" fillId="40" borderId="12" xfId="0" applyFont="1" applyFill="1" applyBorder="1" applyAlignment="1">
      <alignment horizontal="center"/>
    </xf>
    <xf numFmtId="0" fontId="169" fillId="40" borderId="26" xfId="0" applyFont="1" applyFill="1" applyBorder="1" applyAlignment="1">
      <alignment horizontal="center"/>
    </xf>
    <xf numFmtId="0" fontId="169" fillId="40" borderId="5" xfId="0" applyNumberFormat="1" applyFont="1" applyFill="1" applyBorder="1" applyAlignment="1">
      <alignment horizontal="center"/>
    </xf>
    <xf numFmtId="0" fontId="170" fillId="40" borderId="5" xfId="0" applyFont="1" applyFill="1" applyBorder="1"/>
    <xf numFmtId="0" fontId="169" fillId="40" borderId="5" xfId="0" applyFont="1" applyFill="1" applyBorder="1" applyAlignment="1">
      <alignment horizontal="right"/>
    </xf>
    <xf numFmtId="0" fontId="169" fillId="40" borderId="24" xfId="0" applyFont="1" applyFill="1" applyBorder="1"/>
    <xf numFmtId="0" fontId="169" fillId="40" borderId="24" xfId="0" applyFont="1" applyFill="1" applyBorder="1" applyAlignment="1">
      <alignment horizontal="right"/>
    </xf>
    <xf numFmtId="0" fontId="169" fillId="40" borderId="26" xfId="0" applyFont="1" applyFill="1" applyBorder="1" applyAlignment="1">
      <alignment horizontal="right"/>
    </xf>
    <xf numFmtId="0" fontId="36" fillId="40" borderId="23" xfId="0" applyFont="1" applyFill="1" applyBorder="1"/>
    <xf numFmtId="0" fontId="168" fillId="40" borderId="24" xfId="7" applyFont="1" applyFill="1" applyBorder="1" applyAlignment="1" applyProtection="1"/>
    <xf numFmtId="0" fontId="169" fillId="40" borderId="24" xfId="0" applyFont="1" applyFill="1" applyBorder="1" applyAlignment="1"/>
    <xf numFmtId="0" fontId="169" fillId="40" borderId="26" xfId="0" applyFont="1" applyFill="1" applyBorder="1" applyAlignment="1"/>
    <xf numFmtId="0" fontId="134" fillId="2" borderId="23" xfId="0" applyFont="1" applyFill="1" applyBorder="1" applyAlignment="1">
      <alignment horizontal="left"/>
    </xf>
    <xf numFmtId="0" fontId="134" fillId="2" borderId="24" xfId="0" applyFont="1" applyFill="1" applyBorder="1" applyAlignment="1"/>
    <xf numFmtId="0" fontId="134" fillId="2" borderId="26" xfId="0" applyFont="1" applyFill="1" applyBorder="1" applyAlignment="1"/>
    <xf numFmtId="0" fontId="137" fillId="0" borderId="26" xfId="0" applyFont="1" applyBorder="1"/>
    <xf numFmtId="0" fontId="169" fillId="40" borderId="0" xfId="0" applyFont="1" applyFill="1" applyBorder="1" applyAlignment="1">
      <alignment horizontal="center"/>
    </xf>
    <xf numFmtId="0" fontId="9" fillId="40" borderId="11" xfId="0" applyFont="1" applyFill="1" applyBorder="1"/>
    <xf numFmtId="0" fontId="169" fillId="40" borderId="4" xfId="0" applyFont="1" applyFill="1" applyBorder="1" applyAlignment="1">
      <alignment horizontal="center"/>
    </xf>
    <xf numFmtId="0" fontId="169" fillId="40" borderId="2" xfId="0" applyFont="1" applyFill="1" applyBorder="1" applyAlignment="1">
      <alignment horizontal="center"/>
    </xf>
    <xf numFmtId="0" fontId="170" fillId="40" borderId="0" xfId="0" applyFont="1" applyFill="1" applyBorder="1"/>
    <xf numFmtId="0" fontId="169" fillId="40" borderId="0" xfId="0" applyFont="1" applyFill="1" applyBorder="1"/>
    <xf numFmtId="0" fontId="169" fillId="40" borderId="4" xfId="0" applyFont="1" applyFill="1" applyBorder="1"/>
    <xf numFmtId="0" fontId="170" fillId="40" borderId="2" xfId="0" applyFont="1" applyFill="1" applyBorder="1"/>
    <xf numFmtId="177" fontId="0" fillId="0" borderId="0" xfId="0" applyNumberFormat="1"/>
    <xf numFmtId="0" fontId="20" fillId="3" borderId="11" xfId="10" applyFont="1" applyFill="1" applyBorder="1" applyAlignment="1">
      <alignment horizontal="center"/>
    </xf>
    <xf numFmtId="0" fontId="20" fillId="3" borderId="12" xfId="10" applyFont="1" applyFill="1" applyBorder="1" applyAlignment="1">
      <alignment horizontal="center"/>
    </xf>
    <xf numFmtId="169" fontId="19" fillId="3" borderId="6" xfId="10" applyNumberFormat="1" applyFont="1" applyFill="1" applyBorder="1" applyAlignment="1">
      <alignment horizontal="center"/>
    </xf>
    <xf numFmtId="169" fontId="19" fillId="3" borderId="7" xfId="55" applyNumberFormat="1" applyFont="1" applyFill="1" applyBorder="1" applyAlignment="1">
      <alignment horizontal="center"/>
    </xf>
    <xf numFmtId="169" fontId="19" fillId="3" borderId="8" xfId="82" applyNumberFormat="1" applyFont="1" applyFill="1" applyBorder="1" applyAlignment="1">
      <alignment horizontal="center"/>
    </xf>
    <xf numFmtId="3" fontId="55" fillId="40" borderId="23" xfId="10" applyNumberFormat="1" applyFont="1" applyFill="1" applyBorder="1" applyAlignment="1">
      <alignment horizontal="center" vertical="center"/>
    </xf>
    <xf numFmtId="3" fontId="55" fillId="40" borderId="24" xfId="10" applyNumberFormat="1" applyFont="1" applyFill="1" applyBorder="1" applyAlignment="1">
      <alignment horizontal="center" vertical="center"/>
    </xf>
    <xf numFmtId="177" fontId="19" fillId="0" borderId="0" xfId="10" applyNumberFormat="1" applyFont="1"/>
    <xf numFmtId="0" fontId="69" fillId="0" borderId="0" xfId="10" applyFont="1"/>
    <xf numFmtId="176" fontId="55" fillId="40" borderId="24" xfId="10" applyNumberFormat="1" applyFont="1" applyFill="1" applyBorder="1" applyAlignment="1">
      <alignment horizontal="center"/>
    </xf>
    <xf numFmtId="176" fontId="55" fillId="40" borderId="26" xfId="10" applyNumberFormat="1" applyFont="1" applyFill="1" applyBorder="1" applyAlignment="1">
      <alignment horizontal="center"/>
    </xf>
    <xf numFmtId="174" fontId="19" fillId="0" borderId="0" xfId="10" applyNumberFormat="1" applyFont="1" applyBorder="1" applyAlignment="1">
      <alignment horizontal="center"/>
    </xf>
    <xf numFmtId="174" fontId="20" fillId="2" borderId="24" xfId="10" applyNumberFormat="1" applyFont="1" applyFill="1" applyBorder="1" applyAlignment="1">
      <alignment horizontal="center"/>
    </xf>
    <xf numFmtId="174" fontId="20" fillId="2" borderId="26" xfId="10" applyNumberFormat="1" applyFont="1" applyFill="1" applyBorder="1" applyAlignment="1">
      <alignment horizontal="center"/>
    </xf>
    <xf numFmtId="176" fontId="20" fillId="0" borderId="0" xfId="10" applyNumberFormat="1" applyFont="1" applyAlignment="1">
      <alignment horizontal="center"/>
    </xf>
    <xf numFmtId="177" fontId="19" fillId="0" borderId="0" xfId="10" applyNumberFormat="1" applyFont="1" applyAlignment="1">
      <alignment horizontal="center"/>
    </xf>
    <xf numFmtId="177" fontId="19" fillId="0" borderId="0" xfId="10" applyNumberFormat="1" applyFont="1" applyFill="1"/>
    <xf numFmtId="177" fontId="19" fillId="0" borderId="0" xfId="10" applyNumberFormat="1" applyFont="1" applyAlignment="1">
      <alignment horizontal="right"/>
    </xf>
    <xf numFmtId="0" fontId="9" fillId="40" borderId="53" xfId="10" applyFont="1" applyFill="1" applyBorder="1"/>
    <xf numFmtId="177" fontId="172" fillId="0" borderId="0" xfId="10" applyNumberFormat="1" applyFont="1"/>
    <xf numFmtId="0" fontId="172" fillId="0" borderId="0" xfId="10" applyFont="1"/>
    <xf numFmtId="0" fontId="20" fillId="2" borderId="24" xfId="10" applyFont="1" applyFill="1" applyBorder="1"/>
    <xf numFmtId="177" fontId="20" fillId="0" borderId="0" xfId="10" applyNumberFormat="1" applyFont="1" applyFill="1"/>
    <xf numFmtId="0" fontId="174" fillId="0" borderId="0" xfId="52" applyFont="1" applyAlignment="1" applyProtection="1"/>
    <xf numFmtId="0" fontId="19" fillId="40" borderId="27" xfId="10" applyFont="1" applyFill="1" applyBorder="1"/>
    <xf numFmtId="176" fontId="20" fillId="2" borderId="24" xfId="10" applyNumberFormat="1" applyFont="1" applyFill="1" applyBorder="1" applyAlignment="1">
      <alignment horizontal="center"/>
    </xf>
    <xf numFmtId="0" fontId="20" fillId="59" borderId="51" xfId="10" applyFont="1" applyFill="1" applyBorder="1" applyAlignment="1">
      <alignment horizontal="left"/>
    </xf>
    <xf numFmtId="0" fontId="20" fillId="59" borderId="52" xfId="10" applyFont="1" applyFill="1" applyBorder="1" applyAlignment="1">
      <alignment horizontal="left"/>
    </xf>
    <xf numFmtId="0" fontId="19" fillId="59" borderId="52" xfId="10" applyFont="1" applyFill="1" applyBorder="1"/>
    <xf numFmtId="177" fontId="19" fillId="59" borderId="52" xfId="10" applyNumberFormat="1" applyFont="1" applyFill="1" applyBorder="1"/>
    <xf numFmtId="177" fontId="19" fillId="59" borderId="53" xfId="10" applyNumberFormat="1" applyFont="1" applyFill="1" applyBorder="1"/>
    <xf numFmtId="0" fontId="55" fillId="40" borderId="51" xfId="10" applyFont="1" applyFill="1" applyBorder="1" applyAlignment="1">
      <alignment horizontal="center"/>
    </xf>
    <xf numFmtId="176" fontId="55" fillId="40" borderId="52" xfId="10" applyNumberFormat="1" applyFont="1" applyFill="1" applyBorder="1" applyAlignment="1">
      <alignment horizontal="center"/>
    </xf>
    <xf numFmtId="0" fontId="55" fillId="40" borderId="52" xfId="10" applyFont="1" applyFill="1" applyBorder="1" applyAlignment="1">
      <alignment horizontal="center"/>
    </xf>
    <xf numFmtId="0" fontId="55" fillId="40" borderId="53" xfId="10" applyFont="1" applyFill="1" applyBorder="1" applyAlignment="1">
      <alignment horizontal="center"/>
    </xf>
    <xf numFmtId="0" fontId="21" fillId="0" borderId="46" xfId="10" applyFont="1" applyBorder="1" applyAlignment="1">
      <alignment horizontal="left"/>
    </xf>
    <xf numFmtId="0" fontId="21" fillId="0" borderId="47" xfId="10" applyFont="1" applyBorder="1" applyAlignment="1">
      <alignment horizontal="left"/>
    </xf>
    <xf numFmtId="0" fontId="19" fillId="0" borderId="47" xfId="10" applyFont="1" applyBorder="1"/>
    <xf numFmtId="0" fontId="19" fillId="0" borderId="48" xfId="10" applyFont="1" applyBorder="1"/>
    <xf numFmtId="0" fontId="19" fillId="0" borderId="2" xfId="10" applyFont="1" applyBorder="1" applyAlignment="1">
      <alignment horizontal="center"/>
    </xf>
    <xf numFmtId="0" fontId="19" fillId="0" borderId="4" xfId="10" applyFont="1" applyBorder="1"/>
    <xf numFmtId="0" fontId="21" fillId="0" borderId="0" xfId="10" applyFont="1" applyBorder="1" applyAlignment="1">
      <alignment horizontal="left"/>
    </xf>
    <xf numFmtId="0" fontId="19" fillId="0" borderId="49" xfId="10" applyFont="1" applyBorder="1" applyAlignment="1">
      <alignment horizontal="center"/>
    </xf>
    <xf numFmtId="0" fontId="19" fillId="0" borderId="29" xfId="10" applyFont="1" applyBorder="1"/>
    <xf numFmtId="0" fontId="19" fillId="0" borderId="50" xfId="10" applyFont="1" applyBorder="1"/>
    <xf numFmtId="0" fontId="20" fillId="0" borderId="51" xfId="10" applyFont="1" applyBorder="1"/>
    <xf numFmtId="0" fontId="20" fillId="61" borderId="51" xfId="10" applyFont="1" applyFill="1" applyBorder="1"/>
    <xf numFmtId="177" fontId="20" fillId="61" borderId="52" xfId="10" applyNumberFormat="1" applyFont="1" applyFill="1" applyBorder="1"/>
    <xf numFmtId="177" fontId="19" fillId="61" borderId="52" xfId="10" applyNumberFormat="1" applyFont="1" applyFill="1" applyBorder="1"/>
    <xf numFmtId="177" fontId="19" fillId="61" borderId="53" xfId="10" applyNumberFormat="1" applyFont="1" applyFill="1" applyBorder="1"/>
    <xf numFmtId="0" fontId="20" fillId="2" borderId="51" xfId="10" applyFont="1" applyFill="1" applyBorder="1"/>
    <xf numFmtId="177" fontId="20" fillId="2" borderId="52" xfId="10" applyNumberFormat="1" applyFont="1" applyFill="1" applyBorder="1"/>
    <xf numFmtId="177" fontId="19" fillId="2" borderId="52" xfId="10" applyNumberFormat="1" applyFont="1" applyFill="1" applyBorder="1"/>
    <xf numFmtId="177" fontId="19" fillId="2" borderId="53" xfId="10" applyNumberFormat="1" applyFont="1" applyFill="1" applyBorder="1"/>
    <xf numFmtId="0" fontId="20" fillId="0" borderId="50" xfId="10" applyFont="1" applyBorder="1"/>
    <xf numFmtId="176" fontId="20" fillId="59" borderId="52" xfId="10" applyNumberFormat="1" applyFont="1" applyFill="1" applyBorder="1" applyAlignment="1">
      <alignment horizontal="center"/>
    </xf>
    <xf numFmtId="176" fontId="20" fillId="59" borderId="53" xfId="10" applyNumberFormat="1" applyFont="1" applyFill="1" applyBorder="1" applyAlignment="1">
      <alignment horizontal="center"/>
    </xf>
    <xf numFmtId="0" fontId="19" fillId="0" borderId="46" xfId="10" applyFont="1" applyBorder="1" applyAlignment="1">
      <alignment horizontal="center"/>
    </xf>
    <xf numFmtId="177" fontId="19" fillId="0" borderId="47" xfId="10" applyNumberFormat="1" applyFont="1" applyBorder="1"/>
    <xf numFmtId="177" fontId="19" fillId="0" borderId="48" xfId="10" applyNumberFormat="1" applyFont="1" applyBorder="1"/>
    <xf numFmtId="177" fontId="20" fillId="0" borderId="29" xfId="10" applyNumberFormat="1" applyFont="1" applyBorder="1"/>
    <xf numFmtId="0" fontId="20" fillId="0" borderId="29" xfId="10" applyFont="1" applyBorder="1"/>
    <xf numFmtId="0" fontId="20" fillId="0" borderId="52" xfId="10" applyFont="1" applyBorder="1"/>
    <xf numFmtId="0" fontId="19" fillId="2" borderId="51" xfId="10" applyFont="1" applyFill="1" applyBorder="1" applyAlignment="1">
      <alignment horizontal="center"/>
    </xf>
    <xf numFmtId="0" fontId="20" fillId="2" borderId="52" xfId="10" applyFont="1" applyFill="1" applyBorder="1"/>
    <xf numFmtId="0" fontId="20" fillId="0" borderId="52" xfId="10" applyFont="1" applyBorder="1" applyAlignment="1">
      <alignment horizontal="center"/>
    </xf>
    <xf numFmtId="0" fontId="20" fillId="40" borderId="51" xfId="10" applyFont="1" applyFill="1" applyBorder="1" applyAlignment="1">
      <alignment horizontal="center"/>
    </xf>
    <xf numFmtId="0" fontId="20" fillId="40" borderId="52" xfId="10" applyFont="1" applyFill="1" applyBorder="1" applyAlignment="1">
      <alignment horizontal="center"/>
    </xf>
    <xf numFmtId="0" fontId="55" fillId="40" borderId="52" xfId="10" applyFont="1" applyFill="1" applyBorder="1"/>
    <xf numFmtId="177" fontId="52" fillId="40" borderId="52" xfId="10" applyNumberFormat="1" applyFont="1" applyFill="1" applyBorder="1"/>
    <xf numFmtId="177" fontId="52" fillId="40" borderId="52" xfId="10" applyNumberFormat="1" applyFont="1" applyFill="1" applyBorder="1" applyAlignment="1">
      <alignment horizontal="center"/>
    </xf>
    <xf numFmtId="0" fontId="52" fillId="40" borderId="53" xfId="10" applyFont="1" applyFill="1" applyBorder="1"/>
    <xf numFmtId="0" fontId="19" fillId="0" borderId="55" xfId="10" applyFont="1" applyBorder="1" applyAlignment="1">
      <alignment horizontal="center"/>
    </xf>
    <xf numFmtId="0" fontId="19" fillId="0" borderId="3" xfId="10" applyFont="1" applyBorder="1" applyAlignment="1">
      <alignment horizontal="center"/>
    </xf>
    <xf numFmtId="0" fontId="19" fillId="0" borderId="54" xfId="10" applyFont="1" applyBorder="1" applyAlignment="1">
      <alignment horizontal="center"/>
    </xf>
    <xf numFmtId="0" fontId="19" fillId="40" borderId="55" xfId="10" applyFont="1" applyFill="1" applyBorder="1" applyAlignment="1">
      <alignment horizontal="center"/>
    </xf>
    <xf numFmtId="0" fontId="19" fillId="40" borderId="3" xfId="10" applyFont="1" applyFill="1" applyBorder="1" applyAlignment="1">
      <alignment horizontal="center"/>
    </xf>
    <xf numFmtId="0" fontId="19" fillId="40" borderId="54" xfId="10" applyFont="1" applyFill="1" applyBorder="1" applyAlignment="1">
      <alignment horizontal="center"/>
    </xf>
    <xf numFmtId="0" fontId="52" fillId="40" borderId="55" xfId="10" applyFont="1" applyFill="1" applyBorder="1" applyAlignment="1">
      <alignment horizontal="center"/>
    </xf>
    <xf numFmtId="0" fontId="52" fillId="40" borderId="3" xfId="10" applyFont="1" applyFill="1" applyBorder="1" applyAlignment="1">
      <alignment horizontal="center"/>
    </xf>
    <xf numFmtId="0" fontId="52" fillId="40" borderId="54" xfId="10" applyFont="1" applyFill="1" applyBorder="1" applyAlignment="1">
      <alignment horizontal="center"/>
    </xf>
    <xf numFmtId="177" fontId="19" fillId="0" borderId="0" xfId="10" applyNumberFormat="1" applyFont="1" applyBorder="1" applyAlignment="1">
      <alignment horizontal="center"/>
    </xf>
    <xf numFmtId="177" fontId="19" fillId="0" borderId="0" xfId="10" applyNumberFormat="1" applyFont="1" applyBorder="1" applyAlignment="1">
      <alignment horizontal="right"/>
    </xf>
    <xf numFmtId="176" fontId="19" fillId="0" borderId="0" xfId="10" applyNumberFormat="1" applyFont="1" applyBorder="1" applyAlignment="1">
      <alignment horizontal="center"/>
    </xf>
    <xf numFmtId="177" fontId="20" fillId="0" borderId="0" xfId="10" applyNumberFormat="1" applyFont="1" applyBorder="1"/>
    <xf numFmtId="177" fontId="171" fillId="0" borderId="0" xfId="10" applyNumberFormat="1" applyFont="1" applyBorder="1"/>
    <xf numFmtId="0" fontId="19" fillId="0" borderId="29" xfId="10" applyFont="1" applyBorder="1" applyAlignment="1">
      <alignment horizontal="center"/>
    </xf>
    <xf numFmtId="177" fontId="19" fillId="0" borderId="29" xfId="10" applyNumberFormat="1" applyFont="1" applyBorder="1" applyAlignment="1">
      <alignment horizontal="center"/>
    </xf>
    <xf numFmtId="0" fontId="19" fillId="61" borderId="51" xfId="10" applyFont="1" applyFill="1" applyBorder="1" applyAlignment="1">
      <alignment horizontal="center"/>
    </xf>
    <xf numFmtId="0" fontId="20" fillId="61" borderId="52" xfId="10" applyFont="1" applyFill="1" applyBorder="1"/>
    <xf numFmtId="0" fontId="21" fillId="0" borderId="2" xfId="10" applyFont="1" applyBorder="1" applyAlignment="1">
      <alignment horizontal="left"/>
    </xf>
    <xf numFmtId="0" fontId="52" fillId="40" borderId="52" xfId="10" applyFont="1" applyFill="1" applyBorder="1"/>
    <xf numFmtId="176" fontId="55" fillId="40" borderId="53" xfId="10" applyNumberFormat="1" applyFont="1" applyFill="1" applyBorder="1" applyAlignment="1">
      <alignment horizontal="center"/>
    </xf>
    <xf numFmtId="0" fontId="52" fillId="40" borderId="46" xfId="10" applyFont="1" applyFill="1" applyBorder="1" applyAlignment="1">
      <alignment horizontal="center"/>
    </xf>
    <xf numFmtId="0" fontId="52" fillId="40" borderId="47" xfId="10" applyFont="1" applyFill="1" applyBorder="1" applyAlignment="1">
      <alignment horizontal="center"/>
    </xf>
    <xf numFmtId="0" fontId="55" fillId="40" borderId="47" xfId="10" applyFont="1" applyFill="1" applyBorder="1"/>
    <xf numFmtId="0" fontId="52" fillId="40" borderId="47" xfId="10" applyFont="1" applyFill="1" applyBorder="1"/>
    <xf numFmtId="177" fontId="52" fillId="40" borderId="47" xfId="10" applyNumberFormat="1" applyFont="1" applyFill="1" applyBorder="1"/>
    <xf numFmtId="177" fontId="52" fillId="40" borderId="47" xfId="10" applyNumberFormat="1" applyFont="1" applyFill="1" applyBorder="1" applyAlignment="1">
      <alignment horizontal="center"/>
    </xf>
    <xf numFmtId="176" fontId="55" fillId="40" borderId="47" xfId="10" applyNumberFormat="1" applyFont="1" applyFill="1" applyBorder="1" applyAlignment="1">
      <alignment horizontal="center"/>
    </xf>
    <xf numFmtId="176" fontId="55" fillId="40" borderId="48" xfId="10" applyNumberFormat="1" applyFont="1" applyFill="1" applyBorder="1" applyAlignment="1">
      <alignment horizontal="center"/>
    </xf>
    <xf numFmtId="177" fontId="19" fillId="0" borderId="4" xfId="10" applyNumberFormat="1" applyFont="1" applyBorder="1" applyAlignment="1">
      <alignment horizontal="right"/>
    </xf>
    <xf numFmtId="0" fontId="20" fillId="0" borderId="47" xfId="10" applyFont="1" applyBorder="1" applyAlignment="1">
      <alignment horizontal="center"/>
    </xf>
    <xf numFmtId="0" fontId="20" fillId="0" borderId="48" xfId="10" applyFont="1" applyBorder="1" applyAlignment="1">
      <alignment horizontal="center"/>
    </xf>
    <xf numFmtId="0" fontId="20" fillId="0" borderId="0" xfId="10" applyFont="1" applyBorder="1" applyAlignment="1">
      <alignment horizontal="left"/>
    </xf>
    <xf numFmtId="0" fontId="20" fillId="0" borderId="2" xfId="10" applyFont="1" applyBorder="1"/>
    <xf numFmtId="0" fontId="19" fillId="61" borderId="52" xfId="10" applyFont="1" applyFill="1" applyBorder="1" applyAlignment="1">
      <alignment horizontal="center"/>
    </xf>
    <xf numFmtId="0" fontId="20" fillId="61" borderId="51" xfId="10" applyFont="1" applyFill="1" applyBorder="1" applyAlignment="1">
      <alignment horizontal="left"/>
    </xf>
    <xf numFmtId="0" fontId="20" fillId="0" borderId="2" xfId="10" applyFont="1" applyBorder="1" applyAlignment="1">
      <alignment horizontal="center"/>
    </xf>
    <xf numFmtId="0" fontId="52" fillId="40" borderId="51" xfId="10" applyFont="1" applyFill="1" applyBorder="1" applyAlignment="1">
      <alignment horizontal="center"/>
    </xf>
    <xf numFmtId="0" fontId="52" fillId="40" borderId="52" xfId="10" applyFont="1" applyFill="1" applyBorder="1" applyAlignment="1">
      <alignment horizontal="center"/>
    </xf>
    <xf numFmtId="0" fontId="19" fillId="2" borderId="52" xfId="10" applyFont="1" applyFill="1" applyBorder="1" applyAlignment="1">
      <alignment horizontal="center"/>
    </xf>
    <xf numFmtId="177" fontId="20" fillId="2" borderId="53" xfId="10" applyNumberFormat="1" applyFont="1" applyFill="1" applyBorder="1"/>
    <xf numFmtId="0" fontId="19" fillId="0" borderId="55" xfId="10" applyFont="1" applyBorder="1"/>
    <xf numFmtId="0" fontId="19" fillId="0" borderId="3" xfId="10" applyFont="1" applyBorder="1"/>
    <xf numFmtId="0" fontId="19" fillId="0" borderId="54" xfId="10" applyFont="1" applyBorder="1"/>
    <xf numFmtId="177" fontId="175" fillId="0" borderId="0" xfId="10" applyNumberFormat="1" applyFont="1"/>
    <xf numFmtId="0" fontId="175" fillId="0" borderId="0" xfId="10" applyFont="1"/>
    <xf numFmtId="177" fontId="20" fillId="0" borderId="0" xfId="10" applyNumberFormat="1" applyFont="1" applyBorder="1" applyAlignment="1">
      <alignment horizontal="center"/>
    </xf>
    <xf numFmtId="0" fontId="151" fillId="0" borderId="0" xfId="10" applyFont="1"/>
    <xf numFmtId="4" fontId="151" fillId="0" borderId="0" xfId="10" applyNumberFormat="1" applyFont="1"/>
    <xf numFmtId="0" fontId="82" fillId="0" borderId="0" xfId="10" applyFont="1"/>
    <xf numFmtId="0" fontId="82" fillId="0" borderId="0" xfId="10" applyFont="1" applyAlignment="1">
      <alignment horizontal="center"/>
    </xf>
    <xf numFmtId="0" fontId="20" fillId="2" borderId="52" xfId="10" applyFont="1" applyFill="1" applyBorder="1" applyAlignment="1">
      <alignment horizontal="center"/>
    </xf>
    <xf numFmtId="4" fontId="20" fillId="2" borderId="146" xfId="10" applyNumberFormat="1" applyFont="1" applyFill="1" applyBorder="1" applyAlignment="1">
      <alignment horizontal="center"/>
    </xf>
    <xf numFmtId="4" fontId="20" fillId="2" borderId="147" xfId="10" applyNumberFormat="1" applyFont="1" applyFill="1" applyBorder="1" applyAlignment="1">
      <alignment horizontal="center"/>
    </xf>
    <xf numFmtId="4" fontId="20" fillId="2" borderId="52" xfId="10" applyNumberFormat="1" applyFont="1" applyFill="1" applyBorder="1" applyAlignment="1">
      <alignment horizontal="center"/>
    </xf>
    <xf numFmtId="0" fontId="20" fillId="2" borderId="52" xfId="0" applyFont="1" applyFill="1" applyBorder="1"/>
    <xf numFmtId="4" fontId="20" fillId="2" borderId="53" xfId="0" applyNumberFormat="1" applyFont="1" applyFill="1" applyBorder="1"/>
    <xf numFmtId="0" fontId="20" fillId="0" borderId="6" xfId="10" applyFont="1" applyBorder="1"/>
    <xf numFmtId="4" fontId="20" fillId="0" borderId="6" xfId="10" applyNumberFormat="1" applyFont="1" applyBorder="1" applyAlignment="1">
      <alignment horizontal="center"/>
    </xf>
    <xf numFmtId="4" fontId="20" fillId="0" borderId="7" xfId="10" applyNumberFormat="1" applyFont="1" applyBorder="1" applyAlignment="1">
      <alignment horizontal="center"/>
    </xf>
    <xf numFmtId="4" fontId="20" fillId="0" borderId="0" xfId="10" applyNumberFormat="1" applyFont="1" applyBorder="1" applyAlignment="1">
      <alignment horizontal="center"/>
    </xf>
    <xf numFmtId="4" fontId="19" fillId="0" borderId="7" xfId="10" applyNumberFormat="1" applyFont="1" applyBorder="1" applyAlignment="1">
      <alignment horizontal="center"/>
    </xf>
    <xf numFmtId="4" fontId="19" fillId="0" borderId="0" xfId="10" applyNumberFormat="1" applyFont="1" applyBorder="1" applyAlignment="1">
      <alignment horizontal="center"/>
    </xf>
    <xf numFmtId="4" fontId="19" fillId="0" borderId="7" xfId="10" applyNumberFormat="1" applyFont="1" applyBorder="1"/>
    <xf numFmtId="4" fontId="20" fillId="0" borderId="7" xfId="10" applyNumberFormat="1" applyFont="1" applyFill="1" applyBorder="1" applyAlignment="1">
      <alignment horizontal="center"/>
    </xf>
    <xf numFmtId="4" fontId="20" fillId="0" borderId="0" xfId="10" applyNumberFormat="1" applyFont="1" applyFill="1" applyBorder="1" applyAlignment="1">
      <alignment horizontal="center"/>
    </xf>
    <xf numFmtId="4" fontId="19" fillId="0" borderId="7" xfId="10" applyNumberFormat="1" applyFont="1" applyFill="1" applyBorder="1" applyAlignment="1">
      <alignment horizontal="center"/>
    </xf>
    <xf numFmtId="4" fontId="19" fillId="0" borderId="6" xfId="10" applyNumberFormat="1" applyFont="1" applyBorder="1" applyAlignment="1">
      <alignment horizontal="center"/>
    </xf>
    <xf numFmtId="4" fontId="19" fillId="2" borderId="147" xfId="10" applyNumberFormat="1" applyFont="1" applyFill="1" applyBorder="1" applyAlignment="1">
      <alignment horizontal="center"/>
    </xf>
    <xf numFmtId="4" fontId="19" fillId="2" borderId="146" xfId="10" applyNumberFormat="1" applyFont="1" applyFill="1" applyBorder="1" applyAlignment="1">
      <alignment horizontal="center"/>
    </xf>
    <xf numFmtId="0" fontId="19" fillId="2" borderId="52" xfId="10" applyFont="1" applyFill="1" applyBorder="1"/>
    <xf numFmtId="0" fontId="19" fillId="2" borderId="0" xfId="10" applyFont="1" applyFill="1" applyBorder="1" applyAlignment="1">
      <alignment horizontal="center"/>
    </xf>
    <xf numFmtId="0" fontId="19" fillId="0" borderId="8" xfId="10" applyFont="1" applyBorder="1"/>
    <xf numFmtId="4" fontId="19" fillId="0" borderId="9" xfId="10" applyNumberFormat="1" applyFont="1" applyBorder="1" applyAlignment="1">
      <alignment horizontal="center"/>
    </xf>
    <xf numFmtId="4" fontId="19" fillId="0" borderId="10" xfId="10" applyNumberFormat="1" applyFont="1" applyBorder="1" applyAlignment="1">
      <alignment horizontal="center"/>
    </xf>
    <xf numFmtId="4" fontId="19" fillId="0" borderId="9" xfId="10" applyNumberFormat="1" applyFont="1" applyBorder="1"/>
    <xf numFmtId="0" fontId="20" fillId="0" borderId="5" xfId="10" applyFont="1" applyBorder="1"/>
    <xf numFmtId="4" fontId="19" fillId="0" borderId="5" xfId="10" applyNumberFormat="1" applyFont="1" applyBorder="1" applyAlignment="1">
      <alignment horizontal="center"/>
    </xf>
    <xf numFmtId="4" fontId="20" fillId="0" borderId="12" xfId="10" applyNumberFormat="1" applyFont="1" applyBorder="1" applyAlignment="1">
      <alignment horizontal="center"/>
    </xf>
    <xf numFmtId="0" fontId="20" fillId="0" borderId="27" xfId="10" applyFont="1" applyBorder="1" applyAlignment="1">
      <alignment horizontal="center"/>
    </xf>
    <xf numFmtId="4" fontId="20" fillId="0" borderId="27" xfId="10" applyNumberFormat="1" applyFont="1" applyBorder="1" applyAlignment="1">
      <alignment horizontal="center"/>
    </xf>
    <xf numFmtId="4" fontId="20" fillId="0" borderId="5" xfId="10" applyNumberFormat="1" applyFont="1" applyBorder="1" applyAlignment="1">
      <alignment horizontal="center"/>
    </xf>
    <xf numFmtId="4" fontId="20" fillId="0" borderId="11" xfId="10" applyNumberFormat="1" applyFont="1" applyBorder="1" applyAlignment="1">
      <alignment horizontal="center"/>
    </xf>
    <xf numFmtId="0" fontId="20" fillId="0" borderId="7" xfId="10" applyFont="1" applyBorder="1" applyAlignment="1">
      <alignment horizontal="center"/>
    </xf>
    <xf numFmtId="0" fontId="20" fillId="0" borderId="7" xfId="10" applyFont="1" applyBorder="1"/>
    <xf numFmtId="4" fontId="20" fillId="0" borderId="10" xfId="10" applyNumberFormat="1" applyFont="1" applyBorder="1" applyAlignment="1">
      <alignment horizontal="center"/>
    </xf>
    <xf numFmtId="4" fontId="20" fillId="0" borderId="8" xfId="10" applyNumberFormat="1" applyFont="1" applyBorder="1" applyAlignment="1">
      <alignment horizontal="center"/>
    </xf>
    <xf numFmtId="0" fontId="163" fillId="0" borderId="0" xfId="10" applyFont="1" applyBorder="1" applyAlignment="1">
      <alignment horizontal="left"/>
    </xf>
    <xf numFmtId="0" fontId="19" fillId="0" borderId="0" xfId="10" applyFont="1" applyBorder="1" applyAlignment="1">
      <alignment horizontal="left"/>
    </xf>
    <xf numFmtId="4" fontId="20" fillId="0" borderId="28" xfId="10" applyNumberFormat="1" applyFont="1" applyBorder="1" applyAlignment="1">
      <alignment horizontal="center"/>
    </xf>
    <xf numFmtId="14" fontId="19" fillId="0" borderId="0" xfId="10" applyNumberFormat="1" applyFont="1" applyBorder="1" applyAlignment="1">
      <alignment horizontal="center"/>
    </xf>
    <xf numFmtId="4" fontId="20" fillId="0" borderId="26" xfId="10" applyNumberFormat="1" applyFont="1" applyBorder="1" applyAlignment="1">
      <alignment horizontal="center"/>
    </xf>
    <xf numFmtId="0" fontId="19" fillId="0" borderId="7" xfId="10" applyFont="1" applyBorder="1" applyAlignment="1">
      <alignment horizontal="center"/>
    </xf>
    <xf numFmtId="4" fontId="20" fillId="0" borderId="27" xfId="10" applyNumberFormat="1" applyFont="1" applyBorder="1"/>
    <xf numFmtId="0" fontId="20" fillId="0" borderId="10" xfId="10" applyFont="1" applyBorder="1"/>
    <xf numFmtId="0" fontId="19" fillId="5" borderId="5" xfId="10" applyFont="1" applyFill="1" applyBorder="1"/>
    <xf numFmtId="0" fontId="19" fillId="5" borderId="0" xfId="10" applyFont="1" applyFill="1" applyBorder="1"/>
    <xf numFmtId="0" fontId="19" fillId="5" borderId="10" xfId="10" applyFont="1" applyFill="1" applyBorder="1"/>
    <xf numFmtId="4" fontId="19" fillId="54" borderId="7" xfId="10" applyNumberFormat="1" applyFont="1" applyFill="1" applyBorder="1" applyAlignment="1">
      <alignment horizontal="center"/>
    </xf>
    <xf numFmtId="0" fontId="20" fillId="5" borderId="0" xfId="10" applyFont="1" applyFill="1" applyBorder="1"/>
    <xf numFmtId="4" fontId="20" fillId="2" borderId="148" xfId="10" applyNumberFormat="1" applyFont="1" applyFill="1" applyBorder="1" applyAlignment="1">
      <alignment horizontal="center"/>
    </xf>
    <xf numFmtId="3" fontId="20" fillId="0" borderId="7" xfId="10" applyNumberFormat="1" applyFont="1" applyBorder="1" applyAlignment="1">
      <alignment horizontal="center"/>
    </xf>
    <xf numFmtId="4" fontId="20" fillId="0" borderId="0" xfId="10" applyNumberFormat="1" applyFont="1"/>
    <xf numFmtId="4" fontId="14" fillId="0" borderId="7" xfId="10" applyNumberFormat="1" applyFont="1" applyFill="1" applyBorder="1" applyAlignment="1">
      <alignment horizontal="center"/>
    </xf>
    <xf numFmtId="0" fontId="52" fillId="40" borderId="46" xfId="10" applyFont="1" applyFill="1" applyBorder="1" applyAlignment="1">
      <alignment vertical="center"/>
    </xf>
    <xf numFmtId="0" fontId="55" fillId="40" borderId="47" xfId="10" applyFont="1" applyFill="1" applyBorder="1" applyAlignment="1">
      <alignment horizontal="center" vertical="center"/>
    </xf>
    <xf numFmtId="0" fontId="55" fillId="40" borderId="150" xfId="10" applyFont="1" applyFill="1" applyBorder="1" applyAlignment="1">
      <alignment horizontal="center" vertical="center"/>
    </xf>
    <xf numFmtId="4" fontId="55" fillId="40" borderId="47" xfId="10" applyNumberFormat="1" applyFont="1" applyFill="1" applyBorder="1" applyAlignment="1">
      <alignment horizontal="center" vertical="center"/>
    </xf>
    <xf numFmtId="4" fontId="55" fillId="40" borderId="149" xfId="10" applyNumberFormat="1" applyFont="1" applyFill="1" applyBorder="1" applyAlignment="1">
      <alignment horizontal="center" vertical="center"/>
    </xf>
    <xf numFmtId="4" fontId="55" fillId="40" borderId="150" xfId="10" applyNumberFormat="1" applyFont="1" applyFill="1" applyBorder="1" applyAlignment="1">
      <alignment horizontal="center" vertical="center"/>
    </xf>
    <xf numFmtId="4" fontId="55" fillId="40" borderId="48" xfId="10" applyNumberFormat="1" applyFont="1" applyFill="1" applyBorder="1" applyAlignment="1">
      <alignment horizontal="center" vertical="center"/>
    </xf>
    <xf numFmtId="4" fontId="20" fillId="0" borderId="4" xfId="0" applyNumberFormat="1" applyFont="1" applyBorder="1"/>
    <xf numFmtId="4" fontId="19" fillId="0" borderId="4" xfId="0" applyNumberFormat="1" applyFont="1" applyBorder="1"/>
    <xf numFmtId="4" fontId="24" fillId="0" borderId="4" xfId="0" applyNumberFormat="1" applyFont="1" applyBorder="1"/>
    <xf numFmtId="0" fontId="20" fillId="2" borderId="2" xfId="10" applyFont="1" applyFill="1" applyBorder="1"/>
    <xf numFmtId="0" fontId="19" fillId="0" borderId="112" xfId="10" applyFont="1" applyBorder="1"/>
    <xf numFmtId="4" fontId="24" fillId="0" borderId="76" xfId="0" applyNumberFormat="1" applyFont="1" applyBorder="1"/>
    <xf numFmtId="0" fontId="20" fillId="0" borderId="80" xfId="10" applyFont="1" applyBorder="1"/>
    <xf numFmtId="0" fontId="19" fillId="0" borderId="2" xfId="10" applyFont="1" applyBorder="1"/>
    <xf numFmtId="4" fontId="24" fillId="0" borderId="4" xfId="0" applyNumberFormat="1" applyFont="1" applyBorder="1" applyAlignment="1">
      <alignment horizontal="center"/>
    </xf>
    <xf numFmtId="4" fontId="20" fillId="0" borderId="76" xfId="0" applyNumberFormat="1" applyFont="1" applyBorder="1"/>
    <xf numFmtId="4" fontId="20" fillId="0" borderId="121" xfId="0" applyNumberFormat="1" applyFont="1" applyBorder="1"/>
    <xf numFmtId="4" fontId="20" fillId="5" borderId="121" xfId="0" applyNumberFormat="1" applyFont="1" applyFill="1" applyBorder="1"/>
    <xf numFmtId="4" fontId="20" fillId="5" borderId="4" xfId="0" applyNumberFormat="1" applyFont="1" applyFill="1" applyBorder="1"/>
    <xf numFmtId="4" fontId="19" fillId="55" borderId="4" xfId="0" applyNumberFormat="1" applyFont="1" applyFill="1" applyBorder="1"/>
    <xf numFmtId="0" fontId="20" fillId="55" borderId="4" xfId="0" applyFont="1" applyFill="1" applyBorder="1"/>
    <xf numFmtId="4" fontId="19" fillId="0" borderId="76" xfId="0" applyNumberFormat="1" applyFont="1" applyBorder="1"/>
    <xf numFmtId="4" fontId="24" fillId="5" borderId="121" xfId="0" applyNumberFormat="1" applyFont="1" applyFill="1" applyBorder="1"/>
    <xf numFmtId="4" fontId="24" fillId="5" borderId="4" xfId="0" applyNumberFormat="1" applyFont="1" applyFill="1" applyBorder="1"/>
    <xf numFmtId="4" fontId="24" fillId="5" borderId="76" xfId="0" applyNumberFormat="1" applyFont="1" applyFill="1" applyBorder="1"/>
    <xf numFmtId="0" fontId="19" fillId="0" borderId="2" xfId="10" applyFont="1" applyBorder="1" applyAlignment="1">
      <alignment horizontal="left"/>
    </xf>
    <xf numFmtId="4" fontId="19" fillId="0" borderId="4" xfId="0" applyNumberFormat="1" applyFont="1" applyBorder="1" applyAlignment="1">
      <alignment horizontal="center"/>
    </xf>
    <xf numFmtId="3" fontId="20" fillId="0" borderId="0" xfId="10" applyNumberFormat="1" applyFont="1" applyBorder="1" applyAlignment="1">
      <alignment horizontal="center"/>
    </xf>
    <xf numFmtId="4" fontId="20" fillId="0" borderId="0" xfId="10" applyNumberFormat="1" applyFont="1" applyBorder="1"/>
    <xf numFmtId="0" fontId="19" fillId="0" borderId="2" xfId="10" applyFont="1" applyBorder="1" applyAlignment="1">
      <alignment horizontal="right"/>
    </xf>
    <xf numFmtId="0" fontId="19" fillId="0" borderId="2" xfId="10" applyFont="1" applyFill="1" applyBorder="1" applyAlignment="1">
      <alignment horizontal="right"/>
    </xf>
    <xf numFmtId="0" fontId="19" fillId="0" borderId="49" xfId="10" applyFont="1" applyBorder="1"/>
    <xf numFmtId="4" fontId="20" fillId="0" borderId="97" xfId="10" applyNumberFormat="1" applyFont="1" applyBorder="1" applyAlignment="1">
      <alignment horizontal="center"/>
    </xf>
    <xf numFmtId="4" fontId="19" fillId="0" borderId="138" xfId="10" applyNumberFormat="1" applyFont="1" applyBorder="1" applyAlignment="1">
      <alignment horizontal="center"/>
    </xf>
    <xf numFmtId="4" fontId="24" fillId="0" borderId="50" xfId="0" applyNumberFormat="1" applyFont="1" applyBorder="1"/>
    <xf numFmtId="4" fontId="20" fillId="0" borderId="32" xfId="10" applyNumberFormat="1" applyFont="1" applyBorder="1" applyAlignment="1">
      <alignment horizontal="center"/>
    </xf>
    <xf numFmtId="0" fontId="55" fillId="40" borderId="48" xfId="10" applyFont="1" applyFill="1" applyBorder="1" applyAlignment="1">
      <alignment horizontal="center" vertical="center"/>
    </xf>
    <xf numFmtId="0" fontId="20" fillId="2" borderId="53" xfId="10" applyFont="1" applyFill="1" applyBorder="1"/>
    <xf numFmtId="0" fontId="164" fillId="0" borderId="4" xfId="10" applyFont="1" applyBorder="1"/>
    <xf numFmtId="0" fontId="20" fillId="0" borderId="4" xfId="10" applyFont="1" applyBorder="1"/>
    <xf numFmtId="0" fontId="164" fillId="2" borderId="53" xfId="10" applyFont="1" applyFill="1" applyBorder="1"/>
    <xf numFmtId="0" fontId="20" fillId="0" borderId="121" xfId="10" applyFont="1" applyBorder="1"/>
    <xf numFmtId="0" fontId="20" fillId="0" borderId="4" xfId="10" applyFont="1" applyBorder="1" applyAlignment="1">
      <alignment horizontal="center"/>
    </xf>
    <xf numFmtId="0" fontId="20" fillId="0" borderId="101" xfId="10" applyFont="1" applyBorder="1" applyAlignment="1">
      <alignment horizontal="center"/>
    </xf>
    <xf numFmtId="0" fontId="20" fillId="0" borderId="76" xfId="10" applyFont="1" applyBorder="1" applyAlignment="1">
      <alignment horizontal="center"/>
    </xf>
    <xf numFmtId="0" fontId="20" fillId="0" borderId="122" xfId="10" applyFont="1" applyBorder="1" applyAlignment="1">
      <alignment horizontal="center"/>
    </xf>
    <xf numFmtId="0" fontId="19" fillId="0" borderId="4" xfId="10" applyFont="1" applyBorder="1" applyAlignment="1">
      <alignment horizontal="center"/>
    </xf>
    <xf numFmtId="0" fontId="20" fillId="0" borderId="103" xfId="10" applyFont="1" applyBorder="1" applyAlignment="1">
      <alignment horizontal="center"/>
    </xf>
    <xf numFmtId="0" fontId="20" fillId="0" borderId="98" xfId="10" applyFont="1" applyBorder="1" applyAlignment="1">
      <alignment horizontal="center"/>
    </xf>
    <xf numFmtId="4" fontId="19" fillId="54" borderId="0" xfId="10" applyNumberFormat="1" applyFont="1" applyFill="1" applyBorder="1" applyAlignment="1">
      <alignment horizontal="center"/>
    </xf>
    <xf numFmtId="4" fontId="19" fillId="50" borderId="0" xfId="10" applyNumberFormat="1" applyFont="1" applyFill="1" applyBorder="1" applyAlignment="1">
      <alignment horizontal="center"/>
    </xf>
    <xf numFmtId="4" fontId="14" fillId="0" borderId="0" xfId="10" applyNumberFormat="1" applyFont="1" applyFill="1" applyBorder="1" applyAlignment="1">
      <alignment horizontal="center"/>
    </xf>
    <xf numFmtId="4" fontId="19" fillId="0" borderId="29" xfId="10" applyNumberFormat="1" applyFont="1" applyBorder="1" applyAlignment="1">
      <alignment horizontal="center"/>
    </xf>
    <xf numFmtId="4" fontId="19" fillId="2" borderId="52" xfId="10" applyNumberFormat="1" applyFont="1" applyFill="1" applyBorder="1" applyAlignment="1">
      <alignment horizontal="center"/>
    </xf>
    <xf numFmtId="4" fontId="55" fillId="40" borderId="46" xfId="10" applyNumberFormat="1" applyFont="1" applyFill="1" applyBorder="1" applyAlignment="1">
      <alignment horizontal="center" vertical="center"/>
    </xf>
    <xf numFmtId="4" fontId="20" fillId="2" borderId="51" xfId="10" applyNumberFormat="1" applyFont="1" applyFill="1" applyBorder="1" applyAlignment="1">
      <alignment horizontal="center"/>
    </xf>
    <xf numFmtId="4" fontId="20" fillId="2" borderId="53" xfId="10" applyNumberFormat="1" applyFont="1" applyFill="1" applyBorder="1" applyAlignment="1">
      <alignment horizontal="center"/>
    </xf>
    <xf numFmtId="4" fontId="20" fillId="0" borderId="2" xfId="10" applyNumberFormat="1" applyFont="1" applyBorder="1" applyAlignment="1">
      <alignment horizontal="center"/>
    </xf>
    <xf numFmtId="4" fontId="19" fillId="0" borderId="4" xfId="10" applyNumberFormat="1" applyFont="1" applyBorder="1" applyAlignment="1">
      <alignment horizontal="center"/>
    </xf>
    <xf numFmtId="4" fontId="20" fillId="0" borderId="4" xfId="10" applyNumberFormat="1" applyFont="1" applyFill="1" applyBorder="1" applyAlignment="1">
      <alignment horizontal="center"/>
    </xf>
    <xf numFmtId="4" fontId="19" fillId="0" borderId="4" xfId="10" applyNumberFormat="1" applyFont="1" applyFill="1" applyBorder="1" applyAlignment="1">
      <alignment horizontal="center"/>
    </xf>
    <xf numFmtId="4" fontId="19" fillId="0" borderId="2" xfId="10" applyNumberFormat="1" applyFont="1" applyBorder="1" applyAlignment="1">
      <alignment horizontal="center"/>
    </xf>
    <xf numFmtId="4" fontId="19" fillId="2" borderId="51" xfId="10" applyNumberFormat="1" applyFont="1" applyFill="1" applyBorder="1" applyAlignment="1">
      <alignment horizontal="center"/>
    </xf>
    <xf numFmtId="4" fontId="19" fillId="0" borderId="76" xfId="10" applyNumberFormat="1" applyFont="1" applyBorder="1" applyAlignment="1">
      <alignment horizontal="center"/>
    </xf>
    <xf numFmtId="4" fontId="20" fillId="0" borderId="121" xfId="10" applyNumberFormat="1" applyFont="1" applyBorder="1" applyAlignment="1">
      <alignment horizontal="center"/>
    </xf>
    <xf numFmtId="4" fontId="20" fillId="0" borderId="114" xfId="10" applyNumberFormat="1" applyFont="1" applyBorder="1" applyAlignment="1">
      <alignment horizontal="center"/>
    </xf>
    <xf numFmtId="4" fontId="20" fillId="0" borderId="80" xfId="10" applyNumberFormat="1" applyFont="1" applyBorder="1" applyAlignment="1">
      <alignment horizontal="center"/>
    </xf>
    <xf numFmtId="4" fontId="20" fillId="0" borderId="112" xfId="10" applyNumberFormat="1" applyFont="1" applyBorder="1" applyAlignment="1">
      <alignment horizontal="center"/>
    </xf>
    <xf numFmtId="4" fontId="20" fillId="0" borderId="104" xfId="10" applyNumberFormat="1" applyFont="1" applyBorder="1" applyAlignment="1">
      <alignment horizontal="center"/>
    </xf>
    <xf numFmtId="4" fontId="20" fillId="0" borderId="4" xfId="10" applyNumberFormat="1" applyFont="1" applyBorder="1" applyAlignment="1">
      <alignment horizontal="center"/>
    </xf>
    <xf numFmtId="4" fontId="19" fillId="0" borderId="4" xfId="10" applyNumberFormat="1" applyFont="1" applyBorder="1"/>
    <xf numFmtId="4" fontId="14" fillId="0" borderId="4" xfId="10" applyNumberFormat="1" applyFont="1" applyFill="1" applyBorder="1" applyAlignment="1">
      <alignment horizontal="center"/>
    </xf>
    <xf numFmtId="4" fontId="20" fillId="0" borderId="118" xfId="10" applyNumberFormat="1" applyFont="1" applyBorder="1" applyAlignment="1">
      <alignment horizontal="center"/>
    </xf>
    <xf numFmtId="4" fontId="19" fillId="0" borderId="50" xfId="10" applyNumberFormat="1" applyFont="1" applyBorder="1" applyAlignment="1">
      <alignment horizontal="center"/>
    </xf>
    <xf numFmtId="0" fontId="20" fillId="5" borderId="5" xfId="10" applyFont="1" applyFill="1" applyBorder="1"/>
    <xf numFmtId="0" fontId="20" fillId="0" borderId="112" xfId="10" applyFont="1" applyBorder="1"/>
    <xf numFmtId="4" fontId="20" fillId="2" borderId="53" xfId="10" applyNumberFormat="1" applyFont="1" applyFill="1" applyBorder="1"/>
    <xf numFmtId="4" fontId="20" fillId="0" borderId="4" xfId="10" applyNumberFormat="1" applyFont="1" applyBorder="1"/>
    <xf numFmtId="4" fontId="19" fillId="0" borderId="2" xfId="10" applyNumberFormat="1" applyFont="1" applyBorder="1"/>
    <xf numFmtId="4" fontId="19" fillId="0" borderId="76" xfId="10" applyNumberFormat="1" applyFont="1" applyBorder="1"/>
    <xf numFmtId="4" fontId="20" fillId="0" borderId="76" xfId="10" applyNumberFormat="1" applyFont="1" applyBorder="1"/>
    <xf numFmtId="4" fontId="20" fillId="0" borderId="121" xfId="10" applyNumberFormat="1" applyFont="1" applyBorder="1"/>
    <xf numFmtId="0" fontId="20" fillId="5" borderId="80" xfId="10" applyFont="1" applyFill="1" applyBorder="1"/>
    <xf numFmtId="4" fontId="20" fillId="5" borderId="121" xfId="10" applyNumberFormat="1" applyFont="1" applyFill="1" applyBorder="1"/>
    <xf numFmtId="0" fontId="20" fillId="5" borderId="2" xfId="10" applyFont="1" applyFill="1" applyBorder="1"/>
    <xf numFmtId="4" fontId="20" fillId="5" borderId="4" xfId="10" applyNumberFormat="1" applyFont="1" applyFill="1" applyBorder="1"/>
    <xf numFmtId="0" fontId="19" fillId="5" borderId="80" xfId="10" applyFont="1" applyFill="1" applyBorder="1"/>
    <xf numFmtId="4" fontId="19" fillId="5" borderId="121" xfId="10" applyNumberFormat="1" applyFont="1" applyFill="1" applyBorder="1"/>
    <xf numFmtId="0" fontId="19" fillId="5" borderId="2" xfId="10" applyFont="1" applyFill="1" applyBorder="1"/>
    <xf numFmtId="4" fontId="19" fillId="5" borderId="4" xfId="10" applyNumberFormat="1" applyFont="1" applyFill="1" applyBorder="1"/>
    <xf numFmtId="0" fontId="19" fillId="5" borderId="112" xfId="10" applyFont="1" applyFill="1" applyBorder="1"/>
    <xf numFmtId="4" fontId="19" fillId="5" borderId="76" xfId="10" applyNumberFormat="1" applyFont="1" applyFill="1" applyBorder="1"/>
    <xf numFmtId="4" fontId="20" fillId="5" borderId="80" xfId="10" applyNumberFormat="1" applyFont="1" applyFill="1" applyBorder="1" applyAlignment="1">
      <alignment horizontal="center"/>
    </xf>
    <xf numFmtId="4" fontId="20" fillId="5" borderId="121" xfId="10" applyNumberFormat="1" applyFont="1" applyFill="1" applyBorder="1" applyAlignment="1">
      <alignment horizontal="center"/>
    </xf>
    <xf numFmtId="4" fontId="19" fillId="0" borderId="50" xfId="10" applyNumberFormat="1" applyFont="1" applyBorder="1"/>
    <xf numFmtId="4" fontId="20" fillId="2" borderId="52" xfId="10" applyNumberFormat="1" applyFont="1" applyFill="1" applyBorder="1"/>
    <xf numFmtId="4" fontId="19" fillId="0" borderId="10" xfId="10" applyNumberFormat="1" applyFont="1" applyBorder="1"/>
    <xf numFmtId="4" fontId="20" fillId="0" borderId="10" xfId="10" applyNumberFormat="1" applyFont="1" applyBorder="1"/>
    <xf numFmtId="4" fontId="20" fillId="0" borderId="5" xfId="10" applyNumberFormat="1" applyFont="1" applyBorder="1"/>
    <xf numFmtId="4" fontId="20" fillId="5" borderId="5" xfId="10" applyNumberFormat="1" applyFont="1" applyFill="1" applyBorder="1"/>
    <xf numFmtId="4" fontId="20" fillId="5" borderId="0" xfId="10" applyNumberFormat="1" applyFont="1" applyFill="1" applyBorder="1"/>
    <xf numFmtId="4" fontId="19" fillId="5" borderId="5" xfId="10" applyNumberFormat="1" applyFont="1" applyFill="1" applyBorder="1"/>
    <xf numFmtId="4" fontId="19" fillId="5" borderId="0" xfId="10" applyNumberFormat="1" applyFont="1" applyFill="1" applyBorder="1"/>
    <xf numFmtId="4" fontId="19" fillId="5" borderId="10" xfId="10" applyNumberFormat="1" applyFont="1" applyFill="1" applyBorder="1"/>
    <xf numFmtId="0" fontId="19" fillId="0" borderId="46" xfId="10" applyFont="1" applyBorder="1"/>
    <xf numFmtId="0" fontId="20" fillId="2" borderId="51" xfId="0" applyFont="1" applyFill="1" applyBorder="1"/>
    <xf numFmtId="0" fontId="20" fillId="0" borderId="2" xfId="0" applyFont="1" applyBorder="1"/>
    <xf numFmtId="4" fontId="19" fillId="0" borderId="2" xfId="0" applyNumberFormat="1" applyFont="1" applyBorder="1"/>
    <xf numFmtId="0" fontId="24" fillId="0" borderId="2" xfId="0" applyFont="1" applyBorder="1"/>
    <xf numFmtId="0" fontId="24" fillId="2" borderId="51" xfId="0" applyFont="1" applyFill="1" applyBorder="1"/>
    <xf numFmtId="0" fontId="24" fillId="0" borderId="112" xfId="0" applyFont="1" applyBorder="1"/>
    <xf numFmtId="0" fontId="20" fillId="0" borderId="112" xfId="0" applyFont="1" applyBorder="1"/>
    <xf numFmtId="0" fontId="20" fillId="0" borderId="80" xfId="0" applyFont="1" applyBorder="1"/>
    <xf numFmtId="0" fontId="20" fillId="5" borderId="80" xfId="0" applyFont="1" applyFill="1" applyBorder="1"/>
    <xf numFmtId="0" fontId="19" fillId="0" borderId="2" xfId="0" applyFont="1" applyBorder="1"/>
    <xf numFmtId="0" fontId="20" fillId="55" borderId="2" xfId="0" applyFont="1" applyFill="1" applyBorder="1"/>
    <xf numFmtId="0" fontId="24" fillId="55" borderId="2" xfId="0" applyFont="1" applyFill="1" applyBorder="1"/>
    <xf numFmtId="0" fontId="24" fillId="5" borderId="80" xfId="0" applyFont="1" applyFill="1" applyBorder="1"/>
    <xf numFmtId="0" fontId="24" fillId="5" borderId="2" xfId="0" applyFont="1" applyFill="1" applyBorder="1"/>
    <xf numFmtId="0" fontId="24" fillId="5" borderId="112" xfId="0" applyFont="1" applyFill="1" applyBorder="1"/>
    <xf numFmtId="4" fontId="19" fillId="0" borderId="2" xfId="0" applyNumberFormat="1" applyFont="1" applyBorder="1" applyAlignment="1">
      <alignment horizontal="center"/>
    </xf>
    <xf numFmtId="0" fontId="24" fillId="0" borderId="49" xfId="0" applyFont="1" applyBorder="1"/>
    <xf numFmtId="0" fontId="19" fillId="2" borderId="51" xfId="10" applyFont="1" applyFill="1" applyBorder="1"/>
    <xf numFmtId="4" fontId="58" fillId="0" borderId="4" xfId="10" applyNumberFormat="1" applyFont="1" applyBorder="1"/>
    <xf numFmtId="0" fontId="20" fillId="0" borderId="46" xfId="10" applyFont="1" applyBorder="1"/>
    <xf numFmtId="0" fontId="20" fillId="0" borderId="48" xfId="10" applyFont="1" applyBorder="1"/>
    <xf numFmtId="4" fontId="20" fillId="0" borderId="47" xfId="10" applyNumberFormat="1" applyFont="1" applyBorder="1" applyAlignment="1">
      <alignment horizontal="center"/>
    </xf>
    <xf numFmtId="4" fontId="20" fillId="0" borderId="150" xfId="10" applyNumberFormat="1" applyFont="1" applyBorder="1" applyAlignment="1">
      <alignment horizontal="center"/>
    </xf>
    <xf numFmtId="4" fontId="20" fillId="0" borderId="149" xfId="10" applyNumberFormat="1" applyFont="1" applyBorder="1" applyAlignment="1">
      <alignment horizontal="center"/>
    </xf>
    <xf numFmtId="4" fontId="20" fillId="0" borderId="46" xfId="10" applyNumberFormat="1" applyFont="1" applyBorder="1" applyAlignment="1">
      <alignment horizontal="center"/>
    </xf>
    <xf numFmtId="4" fontId="20" fillId="0" borderId="48" xfId="10" applyNumberFormat="1" applyFont="1" applyBorder="1" applyAlignment="1">
      <alignment horizontal="center"/>
    </xf>
    <xf numFmtId="4" fontId="19" fillId="0" borderId="48" xfId="10" applyNumberFormat="1" applyFont="1" applyBorder="1"/>
    <xf numFmtId="4" fontId="19" fillId="0" borderId="47" xfId="10" applyNumberFormat="1" applyFont="1" applyBorder="1"/>
    <xf numFmtId="0" fontId="24" fillId="0" borderId="46" xfId="0" applyFont="1" applyBorder="1"/>
    <xf numFmtId="4" fontId="24" fillId="0" borderId="48" xfId="0" applyNumberFormat="1" applyFont="1" applyBorder="1"/>
    <xf numFmtId="0" fontId="19" fillId="0" borderId="47" xfId="10" applyFont="1" applyBorder="1" applyAlignment="1">
      <alignment horizontal="center"/>
    </xf>
    <xf numFmtId="0" fontId="20" fillId="0" borderId="151" xfId="10" applyFont="1" applyBorder="1" applyAlignment="1">
      <alignment horizontal="center"/>
    </xf>
    <xf numFmtId="4" fontId="19" fillId="0" borderId="150" xfId="10" applyNumberFormat="1" applyFont="1" applyBorder="1" applyAlignment="1">
      <alignment horizontal="center"/>
    </xf>
    <xf numFmtId="4" fontId="20" fillId="0" borderId="152" xfId="10" applyNumberFormat="1" applyFont="1" applyBorder="1" applyAlignment="1">
      <alignment horizontal="center"/>
    </xf>
    <xf numFmtId="4" fontId="19" fillId="0" borderId="47" xfId="10" applyNumberFormat="1" applyFont="1" applyBorder="1" applyAlignment="1">
      <alignment horizontal="center"/>
    </xf>
    <xf numFmtId="4" fontId="20" fillId="0" borderId="153" xfId="10" applyNumberFormat="1" applyFont="1" applyBorder="1" applyAlignment="1">
      <alignment horizontal="center"/>
    </xf>
    <xf numFmtId="4" fontId="19" fillId="0" borderId="48" xfId="10" applyNumberFormat="1" applyFont="1" applyBorder="1" applyAlignment="1">
      <alignment horizontal="center"/>
    </xf>
    <xf numFmtId="4" fontId="20" fillId="0" borderId="48" xfId="10" applyNumberFormat="1" applyFont="1" applyBorder="1"/>
    <xf numFmtId="0" fontId="20" fillId="0" borderId="47" xfId="10" applyFont="1" applyBorder="1"/>
    <xf numFmtId="4" fontId="20" fillId="0" borderId="47" xfId="10" applyNumberFormat="1" applyFont="1" applyBorder="1"/>
    <xf numFmtId="0" fontId="20" fillId="0" borderId="46" xfId="0" applyFont="1" applyBorder="1"/>
    <xf numFmtId="4" fontId="20" fillId="0" borderId="48" xfId="0" applyNumberFormat="1" applyFont="1" applyBorder="1"/>
    <xf numFmtId="4" fontId="20" fillId="0" borderId="28" xfId="10" applyNumberFormat="1" applyFont="1" applyBorder="1"/>
    <xf numFmtId="4" fontId="19" fillId="0" borderId="25" xfId="10" applyNumberFormat="1" applyFont="1" applyBorder="1" applyAlignment="1">
      <alignment horizontal="center"/>
    </xf>
    <xf numFmtId="4" fontId="19" fillId="0" borderId="100" xfId="10" applyNumberFormat="1" applyFont="1" applyBorder="1" applyAlignment="1">
      <alignment horizontal="center"/>
    </xf>
    <xf numFmtId="3" fontId="20" fillId="0" borderId="149" xfId="10" applyNumberFormat="1" applyFont="1" applyBorder="1" applyAlignment="1">
      <alignment horizontal="center"/>
    </xf>
    <xf numFmtId="3" fontId="20" fillId="0" borderId="47" xfId="10" applyNumberFormat="1" applyFont="1" applyBorder="1" applyAlignment="1">
      <alignment horizontal="center"/>
    </xf>
    <xf numFmtId="3" fontId="20" fillId="0" borderId="46" xfId="10" applyNumberFormat="1" applyFont="1" applyBorder="1" applyAlignment="1">
      <alignment horizontal="center"/>
    </xf>
    <xf numFmtId="0" fontId="19" fillId="5" borderId="47" xfId="10" applyFont="1" applyFill="1" applyBorder="1"/>
    <xf numFmtId="4" fontId="19" fillId="5" borderId="47" xfId="10" applyNumberFormat="1" applyFont="1" applyFill="1" applyBorder="1"/>
    <xf numFmtId="0" fontId="19" fillId="5" borderId="46" xfId="10" applyFont="1" applyFill="1" applyBorder="1"/>
    <xf numFmtId="4" fontId="19" fillId="5" borderId="48" xfId="10" applyNumberFormat="1" applyFont="1" applyFill="1" applyBorder="1"/>
    <xf numFmtId="0" fontId="24" fillId="5" borderId="46" xfId="0" applyFont="1" applyFill="1" applyBorder="1"/>
    <xf numFmtId="4" fontId="24" fillId="5" borderId="48" xfId="0" applyNumberFormat="1" applyFont="1" applyFill="1" applyBorder="1"/>
    <xf numFmtId="4" fontId="20" fillId="0" borderId="104" xfId="10" applyNumberFormat="1" applyFont="1" applyBorder="1"/>
    <xf numFmtId="0" fontId="20" fillId="2" borderId="53" xfId="10" applyFont="1" applyFill="1" applyBorder="1" applyAlignment="1">
      <alignment horizontal="center"/>
    </xf>
    <xf numFmtId="4" fontId="20" fillId="2" borderId="53" xfId="0" applyNumberFormat="1" applyFont="1" applyFill="1" applyBorder="1" applyAlignment="1">
      <alignment horizontal="center"/>
    </xf>
    <xf numFmtId="4" fontId="20" fillId="0" borderId="104" xfId="10" applyNumberFormat="1" applyFont="1" applyFill="1" applyBorder="1" applyAlignment="1">
      <alignment horizontal="center"/>
    </xf>
    <xf numFmtId="4" fontId="20" fillId="0" borderId="104" xfId="10" applyNumberFormat="1" applyFont="1" applyFill="1" applyBorder="1"/>
    <xf numFmtId="4" fontId="20" fillId="2" borderId="146" xfId="10" applyNumberFormat="1" applyFont="1" applyFill="1" applyBorder="1"/>
    <xf numFmtId="4" fontId="20" fillId="2" borderId="51" xfId="10" applyNumberFormat="1" applyFont="1" applyFill="1" applyBorder="1"/>
    <xf numFmtId="0" fontId="20" fillId="55" borderId="46" xfId="0" applyFont="1" applyFill="1" applyBorder="1"/>
    <xf numFmtId="4" fontId="20" fillId="55" borderId="48" xfId="0" applyNumberFormat="1" applyFont="1" applyFill="1" applyBorder="1"/>
    <xf numFmtId="4" fontId="20" fillId="0" borderId="51" xfId="10" applyNumberFormat="1" applyFont="1" applyBorder="1" applyAlignment="1">
      <alignment horizontal="center"/>
    </xf>
    <xf numFmtId="4" fontId="20" fillId="0" borderId="53" xfId="10" applyNumberFormat="1" applyFont="1" applyBorder="1" applyAlignment="1">
      <alignment horizontal="center"/>
    </xf>
    <xf numFmtId="4" fontId="20" fillId="0" borderId="53" xfId="10" applyNumberFormat="1" applyFont="1" applyBorder="1"/>
    <xf numFmtId="4" fontId="20" fillId="0" borderId="52" xfId="10" applyNumberFormat="1" applyFont="1" applyBorder="1"/>
    <xf numFmtId="0" fontId="20" fillId="0" borderId="51" xfId="0" applyFont="1" applyBorder="1"/>
    <xf numFmtId="4" fontId="20" fillId="0" borderId="53" xfId="0" applyNumberFormat="1" applyFont="1" applyBorder="1"/>
    <xf numFmtId="0" fontId="20" fillId="0" borderId="46" xfId="10" applyFont="1" applyFill="1" applyBorder="1" applyAlignment="1">
      <alignment horizontal="left"/>
    </xf>
    <xf numFmtId="4" fontId="19" fillId="0" borderId="149" xfId="10" applyNumberFormat="1" applyFont="1" applyBorder="1" applyAlignment="1">
      <alignment horizontal="center"/>
    </xf>
    <xf numFmtId="4" fontId="19" fillId="0" borderId="46" xfId="10" applyNumberFormat="1" applyFont="1" applyBorder="1" applyAlignment="1">
      <alignment horizontal="center"/>
    </xf>
    <xf numFmtId="0" fontId="144" fillId="0" borderId="0" xfId="0" applyFont="1"/>
    <xf numFmtId="0" fontId="19" fillId="0" borderId="0" xfId="0" applyFont="1" applyBorder="1"/>
    <xf numFmtId="0" fontId="19" fillId="0" borderId="0" xfId="0" applyFont="1" applyBorder="1" applyAlignment="1">
      <alignment horizontal="center"/>
    </xf>
    <xf numFmtId="0" fontId="138" fillId="0" borderId="6" xfId="0" applyFont="1" applyBorder="1"/>
    <xf numFmtId="0" fontId="138" fillId="0" borderId="0" xfId="0" applyFont="1" applyBorder="1" applyAlignment="1">
      <alignment horizontal="right"/>
    </xf>
    <xf numFmtId="0" fontId="138" fillId="0" borderId="0" xfId="0" applyFont="1" applyBorder="1"/>
    <xf numFmtId="1" fontId="138" fillId="0" borderId="0" xfId="0" applyNumberFormat="1" applyFont="1" applyBorder="1"/>
    <xf numFmtId="0" fontId="138" fillId="0" borderId="0" xfId="0" applyFont="1" applyFill="1" applyBorder="1"/>
    <xf numFmtId="0" fontId="14" fillId="0" borderId="0" xfId="0" applyFont="1" applyBorder="1"/>
    <xf numFmtId="0" fontId="14" fillId="61" borderId="0" xfId="0" applyFont="1" applyFill="1" applyBorder="1"/>
    <xf numFmtId="0" fontId="14" fillId="64" borderId="0" xfId="0" applyFont="1" applyFill="1" applyBorder="1"/>
    <xf numFmtId="0" fontId="138" fillId="64" borderId="0" xfId="0" applyFont="1" applyFill="1" applyBorder="1"/>
    <xf numFmtId="0" fontId="138" fillId="64" borderId="0" xfId="0" applyFont="1" applyFill="1" applyBorder="1" applyAlignment="1">
      <alignment horizontal="right"/>
    </xf>
    <xf numFmtId="1" fontId="138" fillId="64" borderId="0" xfId="0" applyNumberFormat="1" applyFont="1" applyFill="1" applyBorder="1"/>
    <xf numFmtId="0" fontId="138" fillId="0" borderId="0" xfId="0" applyFont="1" applyFill="1" applyBorder="1" applyAlignment="1">
      <alignment horizontal="right"/>
    </xf>
    <xf numFmtId="1" fontId="138" fillId="0" borderId="0" xfId="0" applyNumberFormat="1" applyFont="1" applyFill="1" applyBorder="1"/>
    <xf numFmtId="0" fontId="19" fillId="0" borderId="6" xfId="0" applyFont="1" applyFill="1" applyBorder="1"/>
    <xf numFmtId="0" fontId="138" fillId="0" borderId="0" xfId="0" applyFont="1" applyFill="1" applyBorder="1" applyAlignment="1">
      <alignment horizontal="center"/>
    </xf>
    <xf numFmtId="2" fontId="138" fillId="0" borderId="0" xfId="0" applyNumberFormat="1" applyFont="1" applyBorder="1" applyAlignment="1">
      <alignment horizontal="center"/>
    </xf>
    <xf numFmtId="0" fontId="138" fillId="0" borderId="7" xfId="0" applyFont="1" applyBorder="1"/>
    <xf numFmtId="0" fontId="144" fillId="0" borderId="0" xfId="0" applyFont="1" applyFill="1" applyBorder="1"/>
    <xf numFmtId="0" fontId="144" fillId="0" borderId="0" xfId="0" applyFont="1" applyFill="1" applyBorder="1" applyAlignment="1">
      <alignment horizontal="center"/>
    </xf>
    <xf numFmtId="0" fontId="138" fillId="3" borderId="0" xfId="0" applyFont="1" applyFill="1"/>
    <xf numFmtId="0" fontId="144" fillId="0" borderId="0" xfId="0" applyFont="1" applyAlignment="1">
      <alignment horizontal="center"/>
    </xf>
    <xf numFmtId="2" fontId="19" fillId="0" borderId="0" xfId="0" applyNumberFormat="1" applyFont="1" applyFill="1" applyBorder="1" applyAlignment="1">
      <alignment horizontal="center"/>
    </xf>
    <xf numFmtId="0" fontId="138" fillId="0" borderId="6" xfId="0" applyFont="1" applyFill="1" applyBorder="1"/>
    <xf numFmtId="2" fontId="138" fillId="0" borderId="0" xfId="0" applyNumberFormat="1" applyFont="1" applyFill="1" applyBorder="1" applyAlignment="1">
      <alignment horizontal="center"/>
    </xf>
    <xf numFmtId="0" fontId="138" fillId="0" borderId="7" xfId="0" applyFont="1" applyFill="1" applyBorder="1"/>
    <xf numFmtId="0" fontId="138" fillId="0" borderId="0" xfId="0" applyFont="1" applyFill="1"/>
    <xf numFmtId="0" fontId="138" fillId="0" borderId="0" xfId="0" applyFont="1" applyFill="1" applyAlignment="1">
      <alignment horizontal="center"/>
    </xf>
    <xf numFmtId="0" fontId="20" fillId="0" borderId="0" xfId="0" applyFont="1" applyFill="1" applyBorder="1"/>
    <xf numFmtId="2" fontId="138" fillId="0" borderId="0" xfId="0" applyNumberFormat="1" applyFont="1" applyBorder="1" applyAlignment="1">
      <alignment horizontal="center" vertical="center"/>
    </xf>
    <xf numFmtId="0" fontId="138" fillId="0" borderId="0" xfId="0" applyFont="1" applyBorder="1" applyAlignment="1">
      <alignment horizontal="center" vertical="center"/>
    </xf>
    <xf numFmtId="2" fontId="138" fillId="0" borderId="7" xfId="0" applyNumberFormat="1" applyFont="1" applyBorder="1" applyAlignment="1">
      <alignment horizontal="center" vertical="center"/>
    </xf>
    <xf numFmtId="46" fontId="177" fillId="0" borderId="0" xfId="0" applyNumberFormat="1" applyFont="1" applyAlignment="1">
      <alignment vertical="center"/>
    </xf>
    <xf numFmtId="0" fontId="14" fillId="0" borderId="0" xfId="0" applyFont="1" applyAlignment="1">
      <alignment vertical="center"/>
    </xf>
    <xf numFmtId="0" fontId="138" fillId="0" borderId="6" xfId="0" applyFont="1" applyBorder="1" applyAlignment="1">
      <alignment horizontal="left"/>
    </xf>
    <xf numFmtId="2" fontId="14" fillId="0" borderId="4" xfId="0" applyNumberFormat="1" applyFont="1" applyFill="1" applyBorder="1" applyAlignment="1">
      <alignment horizontal="center"/>
    </xf>
    <xf numFmtId="0" fontId="171" fillId="0" borderId="0" xfId="0" applyFont="1" applyAlignment="1">
      <alignment vertical="center"/>
    </xf>
    <xf numFmtId="0" fontId="144" fillId="0" borderId="0" xfId="0" applyFont="1" applyAlignment="1">
      <alignment horizontal="left"/>
    </xf>
    <xf numFmtId="0" fontId="138" fillId="69" borderId="0" xfId="0" applyFont="1" applyFill="1" applyBorder="1" applyAlignment="1">
      <alignment horizontal="center"/>
    </xf>
    <xf numFmtId="0" fontId="14" fillId="0" borderId="4" xfId="0" applyFont="1" applyBorder="1" applyAlignment="1">
      <alignment horizontal="center"/>
    </xf>
    <xf numFmtId="0" fontId="171" fillId="0" borderId="0" xfId="0" applyFont="1"/>
    <xf numFmtId="0" fontId="144" fillId="2" borderId="51" xfId="0" applyFont="1" applyFill="1" applyBorder="1"/>
    <xf numFmtId="0" fontId="144" fillId="2" borderId="52" xfId="0" applyFont="1" applyFill="1" applyBorder="1"/>
    <xf numFmtId="0" fontId="144" fillId="2" borderId="53" xfId="0" applyFont="1" applyFill="1" applyBorder="1"/>
    <xf numFmtId="0" fontId="55" fillId="40" borderId="51" xfId="0" applyFont="1" applyFill="1" applyBorder="1"/>
    <xf numFmtId="0" fontId="55" fillId="40" borderId="52" xfId="0" applyFont="1" applyFill="1" applyBorder="1" applyAlignment="1">
      <alignment horizontal="right"/>
    </xf>
    <xf numFmtId="0" fontId="55" fillId="40" borderId="52" xfId="0" applyFont="1" applyFill="1" applyBorder="1"/>
    <xf numFmtId="0" fontId="55" fillId="40" borderId="53" xfId="0" applyFont="1" applyFill="1" applyBorder="1"/>
    <xf numFmtId="0" fontId="138" fillId="0" borderId="55" xfId="0" applyFont="1" applyBorder="1"/>
    <xf numFmtId="0" fontId="138" fillId="0" borderId="3" xfId="0" applyFont="1" applyBorder="1"/>
    <xf numFmtId="0" fontId="138" fillId="0" borderId="4" xfId="0" applyFont="1" applyFill="1" applyBorder="1" applyAlignment="1">
      <alignment horizontal="center"/>
    </xf>
    <xf numFmtId="2" fontId="19" fillId="61" borderId="4" xfId="0" applyNumberFormat="1" applyFont="1" applyFill="1" applyBorder="1" applyAlignment="1">
      <alignment horizontal="center"/>
    </xf>
    <xf numFmtId="2" fontId="19" fillId="0" borderId="4" xfId="0" applyNumberFormat="1" applyFont="1" applyFill="1" applyBorder="1" applyAlignment="1">
      <alignment horizontal="center"/>
    </xf>
    <xf numFmtId="0" fontId="138" fillId="61" borderId="4" xfId="0" applyFont="1" applyFill="1" applyBorder="1"/>
    <xf numFmtId="0" fontId="144" fillId="2" borderId="1" xfId="0" applyFont="1" applyFill="1" applyBorder="1"/>
    <xf numFmtId="0" fontId="178" fillId="40" borderId="51" xfId="7" applyFont="1" applyFill="1" applyBorder="1" applyAlignment="1" applyProtection="1"/>
    <xf numFmtId="0" fontId="52" fillId="40" borderId="52" xfId="0" applyFont="1" applyFill="1" applyBorder="1" applyAlignment="1">
      <alignment horizontal="center"/>
    </xf>
    <xf numFmtId="0" fontId="52" fillId="40" borderId="53" xfId="0" applyFont="1" applyFill="1" applyBorder="1" applyAlignment="1">
      <alignment horizontal="center"/>
    </xf>
    <xf numFmtId="0" fontId="144" fillId="2" borderId="52" xfId="0" applyFont="1" applyFill="1" applyBorder="1" applyAlignment="1">
      <alignment horizontal="center"/>
    </xf>
    <xf numFmtId="0" fontId="144" fillId="2" borderId="53" xfId="0" applyFont="1" applyFill="1" applyBorder="1" applyAlignment="1">
      <alignment horizontal="center"/>
    </xf>
    <xf numFmtId="0" fontId="19" fillId="0" borderId="2" xfId="0" applyFont="1" applyFill="1" applyBorder="1"/>
    <xf numFmtId="0" fontId="138" fillId="0" borderId="4" xfId="0" applyFont="1" applyBorder="1"/>
    <xf numFmtId="3" fontId="19" fillId="0" borderId="2" xfId="0" applyNumberFormat="1" applyFont="1" applyFill="1" applyBorder="1"/>
    <xf numFmtId="4" fontId="138" fillId="0" borderId="0" xfId="0" applyNumberFormat="1" applyFont="1" applyBorder="1" applyAlignment="1">
      <alignment horizontal="center"/>
    </xf>
    <xf numFmtId="4" fontId="138" fillId="0" borderId="0" xfId="0" applyNumberFormat="1" applyFont="1" applyFill="1" applyBorder="1" applyAlignment="1">
      <alignment horizontal="center"/>
    </xf>
    <xf numFmtId="4" fontId="144" fillId="2" borderId="52" xfId="0" applyNumberFormat="1" applyFont="1" applyFill="1" applyBorder="1" applyAlignment="1">
      <alignment horizontal="center"/>
    </xf>
    <xf numFmtId="0" fontId="19" fillId="0" borderId="55" xfId="0" applyFont="1" applyFill="1" applyBorder="1"/>
    <xf numFmtId="0" fontId="19" fillId="0" borderId="3" xfId="0" applyFont="1" applyFill="1" applyBorder="1"/>
    <xf numFmtId="3" fontId="19" fillId="0" borderId="3" xfId="0" applyNumberFormat="1" applyFont="1" applyFill="1" applyBorder="1"/>
    <xf numFmtId="0" fontId="45" fillId="0" borderId="0" xfId="0" applyFont="1" applyBorder="1" applyAlignment="1">
      <alignment horizontal="center"/>
    </xf>
    <xf numFmtId="0" fontId="44" fillId="0" borderId="0" xfId="0" applyFont="1" applyBorder="1" applyAlignment="1">
      <alignment horizontal="center"/>
    </xf>
    <xf numFmtId="0" fontId="44" fillId="0" borderId="0" xfId="0" applyFont="1"/>
    <xf numFmtId="0" fontId="138" fillId="0" borderId="55" xfId="6" applyFont="1" applyFill="1" applyBorder="1"/>
    <xf numFmtId="0" fontId="138" fillId="0" borderId="3" xfId="6" applyFont="1" applyFill="1" applyBorder="1"/>
    <xf numFmtId="0" fontId="52" fillId="40" borderId="51" xfId="0" applyFont="1" applyFill="1" applyBorder="1"/>
    <xf numFmtId="0" fontId="55" fillId="40" borderId="46" xfId="0" applyFont="1" applyFill="1" applyBorder="1" applyAlignment="1">
      <alignment horizontal="right"/>
    </xf>
    <xf numFmtId="0" fontId="55" fillId="40" borderId="47" xfId="0" applyFont="1" applyFill="1" applyBorder="1" applyAlignment="1">
      <alignment horizontal="center"/>
    </xf>
    <xf numFmtId="0" fontId="55" fillId="40" borderId="48" xfId="0" applyFont="1" applyFill="1" applyBorder="1" applyAlignment="1">
      <alignment horizontal="center"/>
    </xf>
    <xf numFmtId="0" fontId="178" fillId="40" borderId="49" xfId="7" applyFont="1" applyFill="1" applyBorder="1" applyAlignment="1" applyProtection="1">
      <alignment horizontal="left"/>
    </xf>
    <xf numFmtId="0" fontId="55" fillId="40" borderId="29" xfId="0" applyFont="1" applyFill="1" applyBorder="1" applyAlignment="1">
      <alignment horizontal="center"/>
    </xf>
    <xf numFmtId="0" fontId="55" fillId="40" borderId="50" xfId="0" applyFont="1" applyFill="1" applyBorder="1" applyAlignment="1">
      <alignment horizontal="center"/>
    </xf>
    <xf numFmtId="0" fontId="145" fillId="0" borderId="6" xfId="0" applyFont="1" applyFill="1" applyBorder="1"/>
    <xf numFmtId="0" fontId="138" fillId="0" borderId="4" xfId="0" applyFont="1" applyBorder="1" applyAlignment="1">
      <alignment horizontal="center"/>
    </xf>
    <xf numFmtId="0" fontId="138" fillId="0" borderId="2" xfId="0" applyFont="1" applyFill="1" applyBorder="1"/>
    <xf numFmtId="3" fontId="19" fillId="3" borderId="2" xfId="0" applyNumberFormat="1" applyFont="1" applyFill="1" applyBorder="1" applyAlignment="1">
      <alignment horizontal="left"/>
    </xf>
    <xf numFmtId="0" fontId="19" fillId="0" borderId="2" xfId="0" applyFont="1" applyFill="1" applyBorder="1" applyAlignment="1">
      <alignment horizontal="left"/>
    </xf>
    <xf numFmtId="0" fontId="138" fillId="0" borderId="50" xfId="0" applyFont="1" applyBorder="1" applyAlignment="1">
      <alignment horizontal="center"/>
    </xf>
    <xf numFmtId="1" fontId="144" fillId="2" borderId="52" xfId="0" applyNumberFormat="1" applyFont="1" applyFill="1" applyBorder="1" applyAlignment="1">
      <alignment horizontal="center"/>
    </xf>
    <xf numFmtId="0" fontId="138" fillId="2" borderId="53" xfId="0" applyFont="1" applyFill="1" applyBorder="1" applyAlignment="1">
      <alignment horizontal="center"/>
    </xf>
    <xf numFmtId="0" fontId="20" fillId="61" borderId="51" xfId="0" applyFont="1" applyFill="1" applyBorder="1"/>
    <xf numFmtId="0" fontId="20" fillId="61" borderId="52" xfId="0" applyFont="1" applyFill="1" applyBorder="1"/>
    <xf numFmtId="0" fontId="20" fillId="61" borderId="52" xfId="0" applyFont="1" applyFill="1" applyBorder="1" applyAlignment="1">
      <alignment horizontal="center"/>
    </xf>
    <xf numFmtId="0" fontId="20" fillId="61" borderId="53" xfId="0" applyFont="1" applyFill="1" applyBorder="1" applyAlignment="1">
      <alignment horizontal="center"/>
    </xf>
    <xf numFmtId="0" fontId="52" fillId="40" borderId="52" xfId="0" applyFont="1" applyFill="1" applyBorder="1"/>
    <xf numFmtId="0" fontId="144" fillId="61" borderId="51" xfId="0" applyFont="1" applyFill="1" applyBorder="1"/>
    <xf numFmtId="0" fontId="144" fillId="61" borderId="52" xfId="0" applyFont="1" applyFill="1" applyBorder="1" applyAlignment="1">
      <alignment horizontal="center"/>
    </xf>
    <xf numFmtId="0" fontId="52" fillId="40" borderId="0" xfId="0" applyFont="1" applyFill="1" applyBorder="1" applyAlignment="1">
      <alignment horizontal="center"/>
    </xf>
    <xf numFmtId="0" fontId="52" fillId="40" borderId="2" xfId="0" applyFont="1" applyFill="1" applyBorder="1"/>
    <xf numFmtId="0" fontId="52" fillId="40" borderId="0" xfId="0" applyFont="1" applyFill="1" applyBorder="1"/>
    <xf numFmtId="0" fontId="52" fillId="40" borderId="4" xfId="0" applyFont="1" applyFill="1" applyBorder="1" applyAlignment="1">
      <alignment horizontal="center"/>
    </xf>
    <xf numFmtId="0" fontId="178" fillId="40" borderId="46" xfId="7" applyFont="1" applyFill="1" applyBorder="1" applyAlignment="1" applyProtection="1"/>
    <xf numFmtId="0" fontId="55" fillId="40" borderId="47" xfId="0" applyFont="1" applyFill="1" applyBorder="1" applyAlignment="1">
      <alignment horizontal="center"/>
    </xf>
    <xf numFmtId="0" fontId="55" fillId="40" borderId="48" xfId="0" applyFont="1" applyFill="1" applyBorder="1" applyAlignment="1">
      <alignment horizontal="center"/>
    </xf>
    <xf numFmtId="0" fontId="98" fillId="40" borderId="49" xfId="0" applyFont="1" applyFill="1" applyBorder="1"/>
    <xf numFmtId="0" fontId="98" fillId="40" borderId="29" xfId="0" applyFont="1" applyFill="1" applyBorder="1" applyAlignment="1">
      <alignment horizontal="center"/>
    </xf>
    <xf numFmtId="0" fontId="98" fillId="40" borderId="138" xfId="0" applyFont="1" applyFill="1" applyBorder="1" applyAlignment="1">
      <alignment horizontal="center"/>
    </xf>
    <xf numFmtId="0" fontId="98" fillId="40" borderId="50" xfId="0" applyFont="1" applyFill="1" applyBorder="1" applyAlignment="1">
      <alignment horizontal="center"/>
    </xf>
    <xf numFmtId="0" fontId="144" fillId="2" borderId="147" xfId="0" applyFont="1" applyFill="1" applyBorder="1" applyAlignment="1">
      <alignment horizontal="center"/>
    </xf>
    <xf numFmtId="0" fontId="9" fillId="40" borderId="51" xfId="0" applyFont="1" applyFill="1" applyBorder="1"/>
    <xf numFmtId="0" fontId="55" fillId="40" borderId="52" xfId="0" applyFont="1" applyFill="1" applyBorder="1" applyAlignment="1">
      <alignment horizontal="center"/>
    </xf>
    <xf numFmtId="0" fontId="55" fillId="40" borderId="53" xfId="0" applyFont="1" applyFill="1" applyBorder="1" applyAlignment="1">
      <alignment horizontal="center"/>
    </xf>
    <xf numFmtId="0" fontId="138" fillId="0" borderId="49" xfId="0" applyFont="1" applyFill="1" applyBorder="1"/>
    <xf numFmtId="0" fontId="138" fillId="0" borderId="29" xfId="0" applyFont="1" applyBorder="1" applyAlignment="1">
      <alignment horizontal="center"/>
    </xf>
    <xf numFmtId="0" fontId="144" fillId="2" borderId="51" xfId="0" applyFont="1" applyFill="1" applyBorder="1" applyAlignment="1">
      <alignment horizontal="left"/>
    </xf>
    <xf numFmtId="3" fontId="144" fillId="2" borderId="52" xfId="0" applyNumberFormat="1" applyFont="1" applyFill="1" applyBorder="1" applyAlignment="1">
      <alignment horizontal="center"/>
    </xf>
    <xf numFmtId="3" fontId="144" fillId="2" borderId="53" xfId="0" applyNumberFormat="1" applyFont="1" applyFill="1" applyBorder="1" applyAlignment="1">
      <alignment horizontal="center"/>
    </xf>
    <xf numFmtId="0" fontId="55" fillId="40" borderId="52" xfId="0" applyFont="1" applyFill="1" applyBorder="1" applyAlignment="1">
      <alignment horizontal="left"/>
    </xf>
    <xf numFmtId="0" fontId="55" fillId="40" borderId="53" xfId="0" applyFont="1" applyFill="1" applyBorder="1" applyAlignment="1">
      <alignment horizontal="left"/>
    </xf>
    <xf numFmtId="0" fontId="55" fillId="40" borderId="147" xfId="0" applyFont="1" applyFill="1" applyBorder="1" applyAlignment="1">
      <alignment horizontal="left"/>
    </xf>
    <xf numFmtId="0" fontId="14" fillId="0" borderId="2" xfId="0" applyFont="1" applyBorder="1"/>
    <xf numFmtId="3" fontId="144" fillId="2" borderId="51" xfId="0" applyNumberFormat="1" applyFont="1" applyFill="1" applyBorder="1" applyAlignment="1">
      <alignment horizontal="center"/>
    </xf>
    <xf numFmtId="0" fontId="178" fillId="40" borderId="1" xfId="7" applyFont="1" applyFill="1" applyBorder="1" applyAlignment="1" applyProtection="1"/>
    <xf numFmtId="0" fontId="14" fillId="0" borderId="3" xfId="0" applyFont="1" applyBorder="1"/>
    <xf numFmtId="0" fontId="14" fillId="0" borderId="54" xfId="0" applyFont="1" applyBorder="1"/>
    <xf numFmtId="3" fontId="144" fillId="2" borderId="1" xfId="0" applyNumberFormat="1" applyFont="1" applyFill="1" applyBorder="1" applyAlignment="1">
      <alignment horizontal="center"/>
    </xf>
    <xf numFmtId="0" fontId="14" fillId="0" borderId="55" xfId="0" applyFont="1" applyBorder="1"/>
    <xf numFmtId="0" fontId="14" fillId="0" borderId="47" xfId="0" applyFont="1" applyBorder="1"/>
    <xf numFmtId="0" fontId="14" fillId="0" borderId="47" xfId="0" applyFont="1" applyBorder="1" applyAlignment="1">
      <alignment horizontal="center"/>
    </xf>
    <xf numFmtId="0" fontId="14" fillId="0" borderId="48" xfId="0" applyFont="1" applyBorder="1" applyAlignment="1">
      <alignment horizontal="center"/>
    </xf>
    <xf numFmtId="0" fontId="138" fillId="0" borderId="47" xfId="0" applyFont="1" applyBorder="1" applyAlignment="1">
      <alignment horizontal="center"/>
    </xf>
    <xf numFmtId="0" fontId="138" fillId="0" borderId="47" xfId="0" applyFont="1" applyBorder="1"/>
    <xf numFmtId="0" fontId="138" fillId="0" borderId="48" xfId="0" applyFont="1" applyBorder="1"/>
    <xf numFmtId="0" fontId="14" fillId="0" borderId="29" xfId="0" applyFont="1" applyBorder="1"/>
    <xf numFmtId="0" fontId="14" fillId="0" borderId="29" xfId="0" applyFont="1" applyBorder="1" applyAlignment="1">
      <alignment horizontal="center"/>
    </xf>
    <xf numFmtId="0" fontId="14" fillId="0" borderId="50" xfId="0" applyFont="1" applyBorder="1" applyAlignment="1">
      <alignment horizontal="center"/>
    </xf>
    <xf numFmtId="0" fontId="138" fillId="0" borderId="29" xfId="0" applyFont="1" applyBorder="1"/>
    <xf numFmtId="0" fontId="138" fillId="0" borderId="50" xfId="0" applyFont="1" applyBorder="1"/>
    <xf numFmtId="0" fontId="78" fillId="0" borderId="46" xfId="0" applyFont="1" applyBorder="1" applyAlignment="1">
      <alignment vertical="center"/>
    </xf>
    <xf numFmtId="0" fontId="138" fillId="0" borderId="48" xfId="0" applyFont="1" applyBorder="1" applyAlignment="1">
      <alignment horizontal="center"/>
    </xf>
    <xf numFmtId="0" fontId="78" fillId="0" borderId="2" xfId="0" applyFont="1" applyBorder="1" applyAlignment="1">
      <alignment vertical="center"/>
    </xf>
    <xf numFmtId="0" fontId="138" fillId="0" borderId="49" xfId="0" applyFont="1" applyBorder="1" applyAlignment="1">
      <alignment horizontal="center"/>
    </xf>
    <xf numFmtId="0" fontId="14" fillId="0" borderId="46" xfId="0" applyFont="1" applyBorder="1"/>
    <xf numFmtId="0" fontId="14" fillId="0" borderId="49" xfId="0" applyFont="1" applyBorder="1"/>
    <xf numFmtId="0" fontId="138" fillId="0" borderId="2" xfId="0" applyFont="1" applyBorder="1" applyAlignment="1">
      <alignment horizontal="left"/>
    </xf>
    <xf numFmtId="0" fontId="138" fillId="0" borderId="4" xfId="0" applyFont="1" applyFill="1" applyBorder="1" applyAlignment="1"/>
    <xf numFmtId="0" fontId="14" fillId="0" borderId="4" xfId="0" applyFont="1" applyFill="1" applyBorder="1" applyAlignment="1"/>
    <xf numFmtId="0" fontId="14" fillId="69" borderId="4" xfId="0" applyFont="1" applyFill="1" applyBorder="1" applyAlignment="1"/>
    <xf numFmtId="0" fontId="138" fillId="69" borderId="4" xfId="0" applyFont="1" applyFill="1" applyBorder="1" applyAlignment="1"/>
    <xf numFmtId="3" fontId="144" fillId="2" borderId="53" xfId="0" applyNumberFormat="1" applyFont="1" applyFill="1" applyBorder="1" applyAlignment="1"/>
    <xf numFmtId="0" fontId="178" fillId="40" borderId="55" xfId="7" applyFont="1" applyFill="1" applyBorder="1" applyAlignment="1" applyProtection="1"/>
    <xf numFmtId="0" fontId="138" fillId="0" borderId="3" xfId="0" applyFont="1" applyBorder="1" applyAlignment="1">
      <alignment horizontal="left"/>
    </xf>
    <xf numFmtId="0" fontId="9" fillId="40" borderId="1" xfId="0" applyFont="1" applyFill="1" applyBorder="1"/>
    <xf numFmtId="0" fontId="138" fillId="0" borderId="54" xfId="0" applyFont="1" applyFill="1" applyBorder="1" applyAlignment="1">
      <alignment horizontal="left"/>
    </xf>
    <xf numFmtId="0" fontId="144" fillId="2" borderId="1" xfId="0" applyFont="1" applyFill="1" applyBorder="1" applyAlignment="1">
      <alignment horizontal="left"/>
    </xf>
    <xf numFmtId="0" fontId="52" fillId="40" borderId="1" xfId="0" applyFont="1" applyFill="1" applyBorder="1"/>
    <xf numFmtId="0" fontId="138" fillId="0" borderId="0" xfId="0" applyFont="1" applyAlignment="1">
      <alignment horizontal="left"/>
    </xf>
    <xf numFmtId="0" fontId="45" fillId="0" borderId="0" xfId="0" applyFont="1" applyBorder="1"/>
    <xf numFmtId="0" fontId="44" fillId="0" borderId="0" xfId="0" applyFont="1" applyBorder="1"/>
    <xf numFmtId="0" fontId="44" fillId="0" borderId="0" xfId="0" applyFont="1" applyFill="1" applyBorder="1"/>
    <xf numFmtId="0" fontId="44" fillId="0" borderId="0" xfId="0" applyFont="1" applyAlignment="1">
      <alignment horizontal="left"/>
    </xf>
    <xf numFmtId="0" fontId="82" fillId="0" borderId="0" xfId="10" applyFont="1" applyAlignment="1">
      <alignment horizontal="left"/>
    </xf>
    <xf numFmtId="0" fontId="20" fillId="2" borderId="46" xfId="10" applyFont="1" applyFill="1" applyBorder="1" applyAlignment="1">
      <alignment horizontal="center"/>
    </xf>
    <xf numFmtId="1" fontId="55" fillId="40" borderId="52" xfId="10" applyNumberFormat="1" applyFont="1" applyFill="1" applyBorder="1" applyAlignment="1">
      <alignment horizontal="center"/>
    </xf>
    <xf numFmtId="0" fontId="20" fillId="2" borderId="2" xfId="10" applyFont="1" applyFill="1" applyBorder="1" applyAlignment="1">
      <alignment horizontal="center"/>
    </xf>
    <xf numFmtId="1" fontId="19" fillId="0" borderId="0" xfId="10" applyNumberFormat="1" applyFont="1" applyBorder="1"/>
    <xf numFmtId="3" fontId="19" fillId="0" borderId="4" xfId="10" applyNumberFormat="1" applyFont="1" applyBorder="1"/>
    <xf numFmtId="3" fontId="19" fillId="0" borderId="29" xfId="10" applyNumberFormat="1" applyFont="1" applyBorder="1"/>
    <xf numFmtId="3" fontId="19" fillId="0" borderId="29" xfId="10" applyNumberFormat="1" applyFont="1" applyBorder="1" applyAlignment="1">
      <alignment horizontal="center"/>
    </xf>
    <xf numFmtId="0" fontId="20" fillId="2" borderId="55" xfId="10" applyFont="1" applyFill="1" applyBorder="1" applyAlignment="1">
      <alignment horizontal="center"/>
    </xf>
    <xf numFmtId="0" fontId="20" fillId="2" borderId="3" xfId="10" applyFont="1" applyFill="1" applyBorder="1" applyAlignment="1">
      <alignment horizontal="center"/>
    </xf>
    <xf numFmtId="0" fontId="20" fillId="40" borderId="1" xfId="10" applyFont="1" applyFill="1" applyBorder="1" applyAlignment="1">
      <alignment horizontal="center"/>
    </xf>
    <xf numFmtId="0" fontId="20" fillId="0" borderId="3" xfId="10" applyFont="1" applyBorder="1"/>
    <xf numFmtId="0" fontId="55" fillId="40" borderId="29" xfId="10" applyFont="1" applyFill="1" applyBorder="1"/>
    <xf numFmtId="0" fontId="20" fillId="2" borderId="49" xfId="10" applyFont="1" applyFill="1" applyBorder="1" applyAlignment="1">
      <alignment horizontal="center"/>
    </xf>
    <xf numFmtId="0" fontId="20" fillId="0" borderId="54" xfId="10" applyFont="1" applyBorder="1"/>
    <xf numFmtId="0" fontId="20" fillId="2" borderId="54" xfId="10" applyFont="1" applyFill="1" applyBorder="1" applyAlignment="1">
      <alignment horizontal="center"/>
    </xf>
    <xf numFmtId="0" fontId="19" fillId="2" borderId="2" xfId="10" applyFont="1" applyFill="1" applyBorder="1" applyAlignment="1">
      <alignment horizontal="center"/>
    </xf>
    <xf numFmtId="0" fontId="19" fillId="2" borderId="3" xfId="10" applyFont="1" applyFill="1" applyBorder="1" applyAlignment="1">
      <alignment horizontal="center"/>
    </xf>
    <xf numFmtId="0" fontId="19" fillId="2" borderId="54" xfId="10" applyFont="1" applyFill="1" applyBorder="1" applyAlignment="1">
      <alignment horizontal="center"/>
    </xf>
    <xf numFmtId="0" fontId="19" fillId="2" borderId="49" xfId="10" applyFont="1" applyFill="1" applyBorder="1" applyAlignment="1">
      <alignment horizontal="center"/>
    </xf>
    <xf numFmtId="0" fontId="36" fillId="40" borderId="110" xfId="56" applyFont="1" applyFill="1" applyBorder="1"/>
    <xf numFmtId="0" fontId="36" fillId="40" borderId="54" xfId="56" applyFont="1" applyFill="1" applyBorder="1" applyAlignment="1">
      <alignment horizontal="center"/>
    </xf>
    <xf numFmtId="0" fontId="36" fillId="40" borderId="54" xfId="56" applyFont="1" applyFill="1" applyBorder="1" applyAlignment="1">
      <alignment horizontal="center" wrapText="1"/>
    </xf>
    <xf numFmtId="177" fontId="36" fillId="40" borderId="54" xfId="56" applyNumberFormat="1" applyFont="1" applyFill="1" applyBorder="1" applyAlignment="1">
      <alignment horizontal="center" wrapText="1"/>
    </xf>
    <xf numFmtId="177" fontId="36" fillId="40" borderId="54" xfId="56" applyNumberFormat="1" applyFont="1" applyFill="1" applyBorder="1" applyAlignment="1">
      <alignment horizontal="center"/>
    </xf>
    <xf numFmtId="177" fontId="36" fillId="40" borderId="99" xfId="56" applyNumberFormat="1" applyFont="1" applyFill="1" applyBorder="1" applyAlignment="1">
      <alignment horizontal="center"/>
    </xf>
    <xf numFmtId="177" fontId="36" fillId="40" borderId="99" xfId="56" applyNumberFormat="1" applyFont="1" applyFill="1" applyBorder="1" applyAlignment="1">
      <alignment horizontal="center" wrapText="1"/>
    </xf>
    <xf numFmtId="177" fontId="36" fillId="40" borderId="118" xfId="56" applyNumberFormat="1" applyFont="1" applyFill="1" applyBorder="1" applyAlignment="1">
      <alignment horizontal="center" wrapText="1"/>
    </xf>
    <xf numFmtId="177" fontId="8" fillId="2" borderId="27" xfId="56" applyNumberFormat="1" applyFont="1" applyFill="1" applyBorder="1" applyAlignment="1">
      <alignment horizontal="right"/>
    </xf>
    <xf numFmtId="0" fontId="8" fillId="61" borderId="54" xfId="56" applyFont="1" applyFill="1" applyBorder="1"/>
    <xf numFmtId="0" fontId="8" fillId="61" borderId="54" xfId="56" applyFont="1" applyFill="1" applyBorder="1" applyAlignment="1">
      <alignment horizontal="center"/>
    </xf>
    <xf numFmtId="0" fontId="8" fillId="61" borderId="54" xfId="56" applyFont="1" applyFill="1" applyBorder="1" applyAlignment="1">
      <alignment wrapText="1"/>
    </xf>
    <xf numFmtId="177" fontId="8" fillId="61" borderId="54" xfId="56" applyNumberFormat="1" applyFont="1" applyFill="1" applyBorder="1" applyAlignment="1">
      <alignment horizontal="right" wrapText="1"/>
    </xf>
    <xf numFmtId="177" fontId="8" fillId="61" borderId="54" xfId="56" applyNumberFormat="1" applyFont="1" applyFill="1" applyBorder="1" applyAlignment="1">
      <alignment wrapText="1"/>
    </xf>
    <xf numFmtId="177" fontId="7" fillId="61" borderId="1" xfId="10" applyNumberFormat="1" applyFill="1" applyBorder="1"/>
    <xf numFmtId="177" fontId="8" fillId="61" borderId="111" xfId="56" applyNumberFormat="1" applyFont="1" applyFill="1" applyBorder="1" applyAlignment="1">
      <alignment horizontal="right" wrapText="1"/>
    </xf>
    <xf numFmtId="0" fontId="24" fillId="61" borderId="1" xfId="56" applyFill="1" applyBorder="1"/>
    <xf numFmtId="0" fontId="24" fillId="61" borderId="1" xfId="56" applyFill="1" applyBorder="1" applyAlignment="1">
      <alignment horizontal="center"/>
    </xf>
    <xf numFmtId="0" fontId="8" fillId="61" borderId="1" xfId="56" applyFont="1" applyFill="1" applyBorder="1" applyAlignment="1">
      <alignment horizontal="center"/>
    </xf>
    <xf numFmtId="177" fontId="24" fillId="61" borderId="1" xfId="56" applyNumberFormat="1" applyFill="1" applyBorder="1" applyAlignment="1">
      <alignment horizontal="right"/>
    </xf>
    <xf numFmtId="177" fontId="24" fillId="61" borderId="1" xfId="56" applyNumberFormat="1" applyFill="1" applyBorder="1"/>
    <xf numFmtId="177" fontId="24" fillId="61" borderId="120" xfId="56" applyNumberFormat="1" applyFill="1" applyBorder="1" applyAlignment="1">
      <alignment horizontal="right"/>
    </xf>
    <xf numFmtId="0" fontId="90" fillId="61" borderId="110" xfId="56" applyFont="1" applyFill="1" applyBorder="1"/>
    <xf numFmtId="0" fontId="90" fillId="61" borderId="119" xfId="56" applyFont="1" applyFill="1" applyBorder="1"/>
    <xf numFmtId="0" fontId="45" fillId="61" borderId="1" xfId="56" applyFont="1" applyFill="1" applyBorder="1"/>
    <xf numFmtId="0" fontId="45" fillId="61" borderId="1" xfId="56" applyFont="1" applyFill="1" applyBorder="1" applyAlignment="1">
      <alignment horizontal="center"/>
    </xf>
    <xf numFmtId="0" fontId="90" fillId="61" borderId="1" xfId="56" applyFont="1" applyFill="1" applyBorder="1" applyAlignment="1">
      <alignment horizontal="center"/>
    </xf>
    <xf numFmtId="177" fontId="45" fillId="61" borderId="1" xfId="56" applyNumberFormat="1" applyFont="1" applyFill="1" applyBorder="1" applyAlignment="1">
      <alignment horizontal="right"/>
    </xf>
    <xf numFmtId="177" fontId="45" fillId="61" borderId="1" xfId="56" applyNumberFormat="1" applyFont="1" applyFill="1" applyBorder="1"/>
    <xf numFmtId="177" fontId="7" fillId="61" borderId="1" xfId="10" applyNumberFormat="1" applyFont="1" applyFill="1" applyBorder="1"/>
    <xf numFmtId="177" fontId="45" fillId="61" borderId="120" xfId="56" applyNumberFormat="1" applyFont="1" applyFill="1" applyBorder="1" applyAlignment="1">
      <alignment horizontal="right"/>
    </xf>
    <xf numFmtId="0" fontId="90" fillId="61" borderId="54" xfId="56" applyFont="1" applyFill="1" applyBorder="1"/>
    <xf numFmtId="0" fontId="90" fillId="61" borderId="54" xfId="56" applyFont="1" applyFill="1" applyBorder="1" applyAlignment="1">
      <alignment horizontal="center"/>
    </xf>
    <xf numFmtId="0" fontId="90" fillId="61" borderId="54" xfId="56" applyFont="1" applyFill="1" applyBorder="1" applyAlignment="1">
      <alignment wrapText="1"/>
    </xf>
    <xf numFmtId="177" fontId="90" fillId="61" borderId="54" xfId="56" applyNumberFormat="1" applyFont="1" applyFill="1" applyBorder="1" applyAlignment="1">
      <alignment horizontal="right" wrapText="1"/>
    </xf>
    <xf numFmtId="177" fontId="90" fillId="61" borderId="54" xfId="56" applyNumberFormat="1" applyFont="1" applyFill="1" applyBorder="1" applyAlignment="1">
      <alignment wrapText="1"/>
    </xf>
    <xf numFmtId="177" fontId="90" fillId="61" borderId="111" xfId="56" applyNumberFormat="1" applyFont="1" applyFill="1" applyBorder="1" applyAlignment="1">
      <alignment horizontal="right" wrapText="1"/>
    </xf>
    <xf numFmtId="177" fontId="20" fillId="0" borderId="0" xfId="10" applyNumberFormat="1" applyFont="1" applyAlignment="1">
      <alignment horizontal="right"/>
    </xf>
    <xf numFmtId="4" fontId="19" fillId="0" borderId="0" xfId="10" applyNumberFormat="1" applyFont="1" applyAlignment="1">
      <alignment horizontal="right"/>
    </xf>
    <xf numFmtId="49" fontId="19" fillId="0" borderId="0" xfId="10" applyNumberFormat="1" applyFont="1" applyAlignment="1">
      <alignment horizontal="center"/>
    </xf>
    <xf numFmtId="1" fontId="20" fillId="0" borderId="0" xfId="10" applyNumberFormat="1" applyFont="1" applyAlignment="1">
      <alignment horizontal="center"/>
    </xf>
    <xf numFmtId="179" fontId="19" fillId="0" borderId="0" xfId="10" applyNumberFormat="1" applyFont="1" applyAlignment="1">
      <alignment horizontal="center"/>
    </xf>
    <xf numFmtId="0" fontId="19" fillId="0" borderId="0" xfId="10" applyFont="1" applyAlignment="1">
      <alignment wrapText="1"/>
    </xf>
    <xf numFmtId="4" fontId="20" fillId="0" borderId="0" xfId="10" applyNumberFormat="1" applyFont="1" applyAlignment="1">
      <alignment horizontal="center"/>
    </xf>
    <xf numFmtId="49" fontId="20" fillId="0" borderId="0" xfId="10" applyNumberFormat="1" applyFont="1" applyAlignment="1">
      <alignment horizontal="center"/>
    </xf>
    <xf numFmtId="177" fontId="79" fillId="0" borderId="0" xfId="10" applyNumberFormat="1" applyFont="1" applyBorder="1" applyAlignment="1">
      <alignment horizontal="right"/>
    </xf>
    <xf numFmtId="177" fontId="22" fillId="0" borderId="0" xfId="10" applyNumberFormat="1" applyFont="1" applyBorder="1" applyAlignment="1">
      <alignment horizontal="center"/>
    </xf>
    <xf numFmtId="4" fontId="20" fillId="0" borderId="0" xfId="10" applyNumberFormat="1" applyFont="1" applyBorder="1" applyAlignment="1">
      <alignment horizontal="right"/>
    </xf>
    <xf numFmtId="177" fontId="20" fillId="0" borderId="0" xfId="10" applyNumberFormat="1" applyFont="1" applyBorder="1" applyAlignment="1">
      <alignment horizontal="right"/>
    </xf>
    <xf numFmtId="177" fontId="20" fillId="0" borderId="0" xfId="10" applyNumberFormat="1" applyFont="1" applyFill="1" applyBorder="1" applyAlignment="1">
      <alignment horizontal="right"/>
    </xf>
    <xf numFmtId="4" fontId="19" fillId="0" borderId="0" xfId="10" applyNumberFormat="1" applyFont="1" applyFill="1" applyBorder="1"/>
    <xf numFmtId="14" fontId="20" fillId="0" borderId="0" xfId="10" applyNumberFormat="1" applyFont="1" applyBorder="1" applyAlignment="1">
      <alignment horizontal="center"/>
    </xf>
    <xf numFmtId="3" fontId="19" fillId="0" borderId="0" xfId="10" applyNumberFormat="1" applyFont="1" applyFill="1" applyBorder="1" applyAlignment="1">
      <alignment horizontal="left" indent="3"/>
    </xf>
    <xf numFmtId="14" fontId="20" fillId="0" borderId="0" xfId="10" applyNumberFormat="1" applyFont="1" applyAlignment="1">
      <alignment horizontal="center"/>
    </xf>
    <xf numFmtId="177" fontId="20" fillId="0" borderId="0" xfId="10" applyNumberFormat="1" applyFont="1" applyFill="1" applyAlignment="1">
      <alignment horizontal="right"/>
    </xf>
    <xf numFmtId="177" fontId="20" fillId="65" borderId="0" xfId="10" applyNumberFormat="1" applyFont="1" applyFill="1" applyAlignment="1">
      <alignment horizontal="right"/>
    </xf>
    <xf numFmtId="177" fontId="20" fillId="50" borderId="0" xfId="10" applyNumberFormat="1" applyFont="1" applyFill="1" applyAlignment="1">
      <alignment horizontal="right"/>
    </xf>
    <xf numFmtId="0" fontId="19" fillId="61" borderId="0" xfId="10" applyFont="1" applyFill="1" applyBorder="1"/>
    <xf numFmtId="3" fontId="179" fillId="61" borderId="0" xfId="10" applyNumberFormat="1" applyFont="1" applyFill="1" applyBorder="1"/>
    <xf numFmtId="4" fontId="19" fillId="61" borderId="0" xfId="10" applyNumberFormat="1" applyFont="1" applyFill="1" applyBorder="1"/>
    <xf numFmtId="0" fontId="20" fillId="61" borderId="0" xfId="10" applyFont="1" applyFill="1" applyBorder="1" applyAlignment="1">
      <alignment horizontal="center"/>
    </xf>
    <xf numFmtId="177" fontId="20" fillId="61" borderId="0" xfId="10" applyNumberFormat="1" applyFont="1" applyFill="1" applyBorder="1" applyAlignment="1">
      <alignment horizontal="right"/>
    </xf>
    <xf numFmtId="4" fontId="19" fillId="61" borderId="0" xfId="10" applyNumberFormat="1" applyFont="1" applyFill="1" applyBorder="1" applyAlignment="1">
      <alignment horizontal="right"/>
    </xf>
    <xf numFmtId="177" fontId="22" fillId="61" borderId="0" xfId="10" applyNumberFormat="1" applyFont="1" applyFill="1" applyBorder="1" applyAlignment="1">
      <alignment horizontal="center"/>
    </xf>
    <xf numFmtId="177" fontId="20" fillId="61" borderId="0" xfId="10" applyNumberFormat="1" applyFont="1" applyFill="1" applyAlignment="1">
      <alignment horizontal="right"/>
    </xf>
    <xf numFmtId="4" fontId="20" fillId="61" borderId="0" xfId="10" applyNumberFormat="1" applyFont="1" applyFill="1" applyBorder="1" applyAlignment="1">
      <alignment horizontal="right"/>
    </xf>
    <xf numFmtId="177" fontId="19" fillId="61" borderId="0" xfId="10" applyNumberFormat="1" applyFont="1" applyFill="1" applyBorder="1" applyAlignment="1">
      <alignment horizontal="right"/>
    </xf>
    <xf numFmtId="49" fontId="20" fillId="40" borderId="0" xfId="10" applyNumberFormat="1" applyFont="1" applyFill="1" applyAlignment="1">
      <alignment horizontal="center"/>
    </xf>
    <xf numFmtId="49" fontId="55" fillId="40" borderId="55" xfId="10" applyNumberFormat="1" applyFont="1" applyFill="1" applyBorder="1" applyAlignment="1">
      <alignment horizontal="center"/>
    </xf>
    <xf numFmtId="3" fontId="180" fillId="40" borderId="52" xfId="10" applyNumberFormat="1" applyFont="1" applyFill="1" applyBorder="1" applyAlignment="1">
      <alignment horizontal="center"/>
    </xf>
    <xf numFmtId="0" fontId="180" fillId="40" borderId="52" xfId="10" applyFont="1" applyFill="1" applyBorder="1" applyAlignment="1">
      <alignment horizontal="center"/>
    </xf>
    <xf numFmtId="177" fontId="180" fillId="40" borderId="52" xfId="10" applyNumberFormat="1" applyFont="1" applyFill="1" applyBorder="1" applyAlignment="1">
      <alignment horizontal="center"/>
    </xf>
    <xf numFmtId="0" fontId="9" fillId="40" borderId="51" xfId="10" applyFont="1" applyFill="1" applyBorder="1"/>
    <xf numFmtId="14" fontId="20" fillId="61" borderId="0" xfId="10" applyNumberFormat="1" applyFont="1" applyFill="1" applyBorder="1" applyAlignment="1">
      <alignment horizontal="center"/>
    </xf>
    <xf numFmtId="0" fontId="19" fillId="61" borderId="0" xfId="10" applyFont="1" applyFill="1"/>
    <xf numFmtId="14" fontId="20" fillId="61" borderId="0" xfId="10" applyNumberFormat="1" applyFont="1" applyFill="1" applyAlignment="1">
      <alignment horizontal="center"/>
    </xf>
    <xf numFmtId="4" fontId="19" fillId="61" borderId="0" xfId="10" applyNumberFormat="1" applyFont="1" applyFill="1" applyAlignment="1">
      <alignment horizontal="right"/>
    </xf>
    <xf numFmtId="177" fontId="19" fillId="61" borderId="0" xfId="10" applyNumberFormat="1" applyFont="1" applyFill="1" applyAlignment="1">
      <alignment horizontal="right"/>
    </xf>
    <xf numFmtId="0" fontId="19" fillId="61" borderId="2" xfId="10" applyFont="1" applyFill="1" applyBorder="1"/>
    <xf numFmtId="0" fontId="19" fillId="61" borderId="3" xfId="10" applyFont="1" applyFill="1" applyBorder="1"/>
    <xf numFmtId="4" fontId="19" fillId="2" borderId="52" xfId="10" applyNumberFormat="1" applyFont="1" applyFill="1" applyBorder="1"/>
    <xf numFmtId="177" fontId="20" fillId="2" borderId="52" xfId="10" applyNumberFormat="1" applyFont="1" applyFill="1" applyBorder="1" applyAlignment="1">
      <alignment horizontal="right"/>
    </xf>
    <xf numFmtId="177" fontId="20" fillId="2" borderId="53" xfId="10" applyNumberFormat="1" applyFont="1" applyFill="1" applyBorder="1" applyAlignment="1">
      <alignment horizontal="right"/>
    </xf>
    <xf numFmtId="4" fontId="19" fillId="2" borderId="52" xfId="10" applyNumberFormat="1" applyFont="1" applyFill="1" applyBorder="1" applyAlignment="1">
      <alignment horizontal="right"/>
    </xf>
    <xf numFmtId="177" fontId="19" fillId="2" borderId="52" xfId="10" applyNumberFormat="1" applyFont="1" applyFill="1" applyBorder="1" applyAlignment="1">
      <alignment horizontal="center"/>
    </xf>
    <xf numFmtId="177" fontId="20" fillId="0" borderId="47" xfId="10" applyNumberFormat="1" applyFont="1" applyBorder="1" applyAlignment="1">
      <alignment horizontal="right"/>
    </xf>
    <xf numFmtId="4" fontId="19" fillId="0" borderId="47" xfId="10" applyNumberFormat="1" applyFont="1" applyBorder="1" applyAlignment="1">
      <alignment horizontal="right"/>
    </xf>
    <xf numFmtId="177" fontId="19" fillId="0" borderId="47" xfId="10" applyNumberFormat="1" applyFont="1" applyBorder="1" applyAlignment="1">
      <alignment horizontal="center"/>
    </xf>
    <xf numFmtId="177" fontId="20" fillId="0" borderId="47" xfId="10" applyNumberFormat="1" applyFont="1" applyFill="1" applyBorder="1" applyAlignment="1">
      <alignment horizontal="right"/>
    </xf>
    <xf numFmtId="177" fontId="20" fillId="0" borderId="48" xfId="10" applyNumberFormat="1" applyFont="1" applyFill="1" applyBorder="1" applyAlignment="1">
      <alignment horizontal="right"/>
    </xf>
    <xf numFmtId="177" fontId="20" fillId="0" borderId="4" xfId="10" applyNumberFormat="1" applyFont="1" applyFill="1" applyBorder="1" applyAlignment="1">
      <alignment horizontal="right"/>
    </xf>
    <xf numFmtId="0" fontId="20" fillId="0" borderId="55" xfId="10" applyFont="1" applyBorder="1"/>
    <xf numFmtId="177" fontId="20" fillId="2" borderId="1" xfId="10" applyNumberFormat="1" applyFont="1" applyFill="1" applyBorder="1" applyAlignment="1">
      <alignment horizontal="right"/>
    </xf>
    <xf numFmtId="3" fontId="19" fillId="0" borderId="47" xfId="10" applyNumberFormat="1" applyFont="1" applyFill="1" applyBorder="1"/>
    <xf numFmtId="3" fontId="19" fillId="2" borderId="52" xfId="10" applyNumberFormat="1" applyFont="1" applyFill="1" applyBorder="1"/>
    <xf numFmtId="0" fontId="180" fillId="40" borderId="51" xfId="10" applyFont="1" applyFill="1" applyBorder="1" applyAlignment="1">
      <alignment horizontal="center"/>
    </xf>
    <xf numFmtId="0" fontId="36" fillId="40" borderId="53" xfId="10" applyFont="1" applyFill="1" applyBorder="1" applyAlignment="1">
      <alignment horizontal="center"/>
    </xf>
    <xf numFmtId="4" fontId="19" fillId="0" borderId="2" xfId="10" applyNumberFormat="1" applyFont="1" applyFill="1" applyBorder="1"/>
    <xf numFmtId="4" fontId="19" fillId="61" borderId="2" xfId="10" applyNumberFormat="1" applyFont="1" applyFill="1" applyBorder="1"/>
    <xf numFmtId="4" fontId="19" fillId="61" borderId="4" xfId="10" applyNumberFormat="1" applyFont="1" applyFill="1" applyBorder="1"/>
    <xf numFmtId="4" fontId="19" fillId="0" borderId="4" xfId="10" applyNumberFormat="1" applyFont="1" applyFill="1" applyBorder="1"/>
    <xf numFmtId="4" fontId="19" fillId="2" borderId="51" xfId="10" applyNumberFormat="1" applyFont="1" applyFill="1" applyBorder="1"/>
    <xf numFmtId="4" fontId="19" fillId="2" borderId="53" xfId="10" applyNumberFormat="1" applyFont="1" applyFill="1" applyBorder="1"/>
    <xf numFmtId="0" fontId="20" fillId="0" borderId="55" xfId="10" applyFont="1" applyBorder="1" applyAlignment="1">
      <alignment horizontal="center"/>
    </xf>
    <xf numFmtId="0" fontId="20" fillId="0" borderId="3" xfId="10" applyFont="1" applyBorder="1" applyAlignment="1">
      <alignment horizontal="center"/>
    </xf>
    <xf numFmtId="0" fontId="20" fillId="59" borderId="3" xfId="10" applyFont="1" applyFill="1" applyBorder="1" applyAlignment="1">
      <alignment horizontal="center"/>
    </xf>
    <xf numFmtId="14" fontId="20" fillId="0" borderId="3" xfId="10" applyNumberFormat="1" applyFont="1" applyBorder="1" applyAlignment="1">
      <alignment horizontal="center"/>
    </xf>
    <xf numFmtId="0" fontId="20" fillId="61" borderId="3" xfId="10" applyFont="1" applyFill="1" applyBorder="1" applyAlignment="1">
      <alignment horizontal="center"/>
    </xf>
    <xf numFmtId="14" fontId="20" fillId="61" borderId="3" xfId="10" applyNumberFormat="1" applyFont="1" applyFill="1" applyBorder="1" applyAlignment="1">
      <alignment horizontal="center"/>
    </xf>
    <xf numFmtId="14" fontId="20" fillId="59" borderId="3" xfId="10" applyNumberFormat="1" applyFont="1" applyFill="1" applyBorder="1" applyAlignment="1">
      <alignment horizontal="center"/>
    </xf>
    <xf numFmtId="0" fontId="20" fillId="2" borderId="1" xfId="10" applyFont="1" applyFill="1" applyBorder="1" applyAlignment="1">
      <alignment horizontal="center"/>
    </xf>
    <xf numFmtId="177" fontId="20" fillId="0" borderId="46" xfId="10" applyNumberFormat="1" applyFont="1" applyFill="1" applyBorder="1" applyAlignment="1">
      <alignment horizontal="right"/>
    </xf>
    <xf numFmtId="177" fontId="20" fillId="0" borderId="2" xfId="10" applyNumberFormat="1" applyFont="1" applyFill="1" applyBorder="1" applyAlignment="1">
      <alignment horizontal="right"/>
    </xf>
    <xf numFmtId="177" fontId="20" fillId="61" borderId="4" xfId="10" applyNumberFormat="1" applyFont="1" applyFill="1" applyBorder="1" applyAlignment="1">
      <alignment horizontal="right"/>
    </xf>
    <xf numFmtId="177" fontId="20" fillId="2" borderId="51" xfId="10" applyNumberFormat="1" applyFont="1" applyFill="1" applyBorder="1" applyAlignment="1">
      <alignment horizontal="right"/>
    </xf>
    <xf numFmtId="174" fontId="19" fillId="0" borderId="5" xfId="10" applyNumberFormat="1" applyFont="1" applyBorder="1" applyAlignment="1">
      <alignment horizontal="center"/>
    </xf>
    <xf numFmtId="174" fontId="19" fillId="0" borderId="10" xfId="10" applyNumberFormat="1" applyFont="1" applyBorder="1" applyAlignment="1">
      <alignment horizontal="center"/>
    </xf>
    <xf numFmtId="0" fontId="51" fillId="40" borderId="0" xfId="60" applyFont="1" applyFill="1" applyBorder="1" applyAlignment="1">
      <alignment horizontal="center" vertical="center" wrapText="1"/>
    </xf>
    <xf numFmtId="0" fontId="169" fillId="40" borderId="55" xfId="0" applyFont="1" applyFill="1" applyBorder="1"/>
    <xf numFmtId="0" fontId="169" fillId="40" borderId="47" xfId="0" applyFont="1" applyFill="1" applyBorder="1" applyAlignment="1">
      <alignment horizontal="center"/>
    </xf>
    <xf numFmtId="0" fontId="134" fillId="2" borderId="52" xfId="0" applyFont="1" applyFill="1" applyBorder="1" applyAlignment="1">
      <alignment horizontal="center"/>
    </xf>
    <xf numFmtId="0" fontId="137" fillId="2" borderId="52" xfId="0" applyFont="1" applyFill="1" applyBorder="1" applyAlignment="1">
      <alignment horizontal="center"/>
    </xf>
    <xf numFmtId="0" fontId="134" fillId="2" borderId="1" xfId="0" applyFont="1" applyFill="1" applyBorder="1"/>
    <xf numFmtId="0" fontId="9" fillId="40" borderId="55" xfId="0" applyFont="1" applyFill="1" applyBorder="1"/>
    <xf numFmtId="0" fontId="170" fillId="40" borderId="47" xfId="0" applyFont="1" applyFill="1" applyBorder="1"/>
    <xf numFmtId="0" fontId="169" fillId="40" borderId="47" xfId="0" applyFont="1" applyFill="1" applyBorder="1"/>
    <xf numFmtId="0" fontId="170" fillId="40" borderId="48" xfId="0" applyFont="1" applyFill="1" applyBorder="1"/>
    <xf numFmtId="0" fontId="170" fillId="40" borderId="46" xfId="0" applyFont="1" applyFill="1" applyBorder="1"/>
    <xf numFmtId="0" fontId="169" fillId="40" borderId="47" xfId="0" applyFont="1" applyFill="1" applyBorder="1" applyAlignment="1">
      <alignment horizontal="center" vertical="center"/>
    </xf>
    <xf numFmtId="0" fontId="137" fillId="0" borderId="2" xfId="0" applyFont="1" applyBorder="1" applyAlignment="1">
      <alignment horizontal="left"/>
    </xf>
    <xf numFmtId="0" fontId="139" fillId="0" borderId="2" xfId="0" applyFont="1" applyFill="1" applyBorder="1" applyAlignment="1">
      <alignment horizontal="left"/>
    </xf>
    <xf numFmtId="0" fontId="140" fillId="0" borderId="2" xfId="0" applyFont="1" applyBorder="1" applyAlignment="1">
      <alignment horizontal="left"/>
    </xf>
    <xf numFmtId="0" fontId="139" fillId="0" borderId="2" xfId="0" applyFont="1" applyBorder="1" applyAlignment="1">
      <alignment horizontal="left"/>
    </xf>
    <xf numFmtId="0" fontId="139" fillId="2" borderId="49" xfId="0" applyFont="1" applyFill="1" applyBorder="1" applyAlignment="1">
      <alignment horizontal="left"/>
    </xf>
    <xf numFmtId="3" fontId="139" fillId="2" borderId="29" xfId="0" applyNumberFormat="1" applyFont="1" applyFill="1" applyBorder="1" applyAlignment="1">
      <alignment horizontal="center"/>
    </xf>
    <xf numFmtId="3" fontId="139" fillId="2" borderId="50" xfId="0" applyNumberFormat="1" applyFont="1" applyFill="1" applyBorder="1" applyAlignment="1">
      <alignment horizontal="center"/>
    </xf>
    <xf numFmtId="3" fontId="139" fillId="2" borderId="49" xfId="0" applyNumberFormat="1" applyFont="1" applyFill="1" applyBorder="1" applyAlignment="1">
      <alignment horizontal="center"/>
    </xf>
    <xf numFmtId="3" fontId="139" fillId="2" borderId="50" xfId="0" applyNumberFormat="1" applyFont="1" applyFill="1" applyBorder="1" applyAlignment="1">
      <alignment horizontal="right"/>
    </xf>
    <xf numFmtId="0" fontId="169" fillId="40" borderId="3" xfId="0" applyFont="1" applyFill="1" applyBorder="1" applyAlignment="1">
      <alignment horizontal="center"/>
    </xf>
    <xf numFmtId="0" fontId="137" fillId="0" borderId="3" xfId="0" applyFont="1" applyBorder="1" applyAlignment="1">
      <alignment horizontal="left"/>
    </xf>
    <xf numFmtId="0" fontId="139" fillId="0" borderId="3" xfId="0" applyFont="1" applyFill="1" applyBorder="1" applyAlignment="1">
      <alignment horizontal="left"/>
    </xf>
    <xf numFmtId="0" fontId="140" fillId="0" borderId="3" xfId="0" applyFont="1" applyBorder="1" applyAlignment="1">
      <alignment horizontal="left"/>
    </xf>
    <xf numFmtId="0" fontId="139" fillId="0" borderId="3" xfId="0" applyFont="1" applyBorder="1" applyAlignment="1">
      <alignment horizontal="left"/>
    </xf>
    <xf numFmtId="0" fontId="139" fillId="2" borderId="1" xfId="0" applyFont="1" applyFill="1" applyBorder="1" applyAlignment="1">
      <alignment horizontal="left"/>
    </xf>
    <xf numFmtId="3" fontId="139" fillId="2" borderId="52" xfId="0" applyNumberFormat="1" applyFont="1" applyFill="1" applyBorder="1" applyAlignment="1">
      <alignment horizontal="center"/>
    </xf>
    <xf numFmtId="3" fontId="139" fillId="2" borderId="53" xfId="0" applyNumberFormat="1" applyFont="1" applyFill="1" applyBorder="1" applyAlignment="1">
      <alignment horizontal="center"/>
    </xf>
    <xf numFmtId="3" fontId="139" fillId="2" borderId="51" xfId="0" applyNumberFormat="1" applyFont="1" applyFill="1" applyBorder="1" applyAlignment="1">
      <alignment horizontal="center"/>
    </xf>
    <xf numFmtId="0" fontId="137" fillId="0" borderId="55" xfId="0" applyFont="1" applyBorder="1" applyAlignment="1">
      <alignment horizontal="left"/>
    </xf>
    <xf numFmtId="0" fontId="137" fillId="40" borderId="46" xfId="0" applyFont="1" applyFill="1" applyBorder="1"/>
    <xf numFmtId="0" fontId="137" fillId="40" borderId="2" xfId="0" applyFont="1" applyFill="1" applyBorder="1"/>
    <xf numFmtId="0" fontId="9" fillId="40" borderId="156" xfId="0" applyFont="1" applyFill="1" applyBorder="1"/>
    <xf numFmtId="0" fontId="169" fillId="40" borderId="157" xfId="0" applyFont="1" applyFill="1" applyBorder="1" applyAlignment="1">
      <alignment horizontal="center"/>
    </xf>
    <xf numFmtId="0" fontId="169" fillId="40" borderId="157" xfId="0" applyFont="1" applyFill="1" applyBorder="1" applyAlignment="1">
      <alignment horizontal="center" vertical="center"/>
    </xf>
    <xf numFmtId="0" fontId="169" fillId="40" borderId="158" xfId="0" applyFont="1" applyFill="1" applyBorder="1" applyAlignment="1">
      <alignment horizontal="center" vertical="center"/>
    </xf>
    <xf numFmtId="0" fontId="137" fillId="0" borderId="2" xfId="0" applyFont="1" applyFill="1" applyBorder="1"/>
    <xf numFmtId="0" fontId="139" fillId="2" borderId="51" xfId="0" applyFont="1" applyFill="1" applyBorder="1"/>
    <xf numFmtId="0" fontId="139" fillId="2" borderId="52" xfId="0" applyFont="1" applyFill="1" applyBorder="1" applyAlignment="1">
      <alignment horizontal="center"/>
    </xf>
    <xf numFmtId="0" fontId="139" fillId="2" borderId="52" xfId="0" applyFont="1" applyFill="1" applyBorder="1" applyAlignment="1">
      <alignment horizontal="center" vertical="center"/>
    </xf>
    <xf numFmtId="0" fontId="143" fillId="2" borderId="52" xfId="0" applyFont="1" applyFill="1" applyBorder="1" applyAlignment="1">
      <alignment vertical="center"/>
    </xf>
    <xf numFmtId="0" fontId="148" fillId="2" borderId="52" xfId="0" applyFont="1" applyFill="1" applyBorder="1" applyAlignment="1">
      <alignment horizontal="center" vertical="center"/>
    </xf>
    <xf numFmtId="0" fontId="148" fillId="2" borderId="53" xfId="0" applyFont="1" applyFill="1" applyBorder="1" applyAlignment="1">
      <alignment horizontal="center" vertical="center"/>
    </xf>
    <xf numFmtId="0" fontId="149" fillId="59" borderId="2" xfId="0" applyFont="1" applyFill="1" applyBorder="1"/>
    <xf numFmtId="0" fontId="137" fillId="59" borderId="0" xfId="0" applyFont="1" applyFill="1" applyBorder="1" applyAlignment="1">
      <alignment horizontal="center"/>
    </xf>
    <xf numFmtId="0" fontId="140" fillId="59" borderId="0" xfId="0" applyFont="1" applyFill="1" applyBorder="1" applyAlignment="1">
      <alignment horizontal="center" vertical="center"/>
    </xf>
    <xf numFmtId="0" fontId="137" fillId="61" borderId="51" xfId="0" applyFont="1" applyFill="1" applyBorder="1" applyAlignment="1">
      <alignment horizontal="left"/>
    </xf>
    <xf numFmtId="0" fontId="137" fillId="61" borderId="52" xfId="0" applyFont="1" applyFill="1" applyBorder="1" applyAlignment="1">
      <alignment horizontal="center"/>
    </xf>
    <xf numFmtId="0" fontId="140" fillId="61" borderId="52" xfId="0" applyFont="1" applyFill="1" applyBorder="1" applyAlignment="1">
      <alignment horizontal="center" vertical="center"/>
    </xf>
    <xf numFmtId="0" fontId="140" fillId="61" borderId="53" xfId="0" applyFont="1" applyFill="1" applyBorder="1" applyAlignment="1">
      <alignment horizontal="center" vertical="center"/>
    </xf>
    <xf numFmtId="0" fontId="135" fillId="61" borderId="52" xfId="0" applyFont="1" applyFill="1" applyBorder="1" applyAlignment="1">
      <alignment vertical="center"/>
    </xf>
    <xf numFmtId="0" fontId="135" fillId="61" borderId="52" xfId="0" applyFont="1" applyFill="1" applyBorder="1" applyAlignment="1">
      <alignment horizontal="center" vertical="center"/>
    </xf>
    <xf numFmtId="0" fontId="135" fillId="61" borderId="53" xfId="0" applyFont="1" applyFill="1" applyBorder="1" applyAlignment="1">
      <alignment horizontal="center" vertical="center"/>
    </xf>
    <xf numFmtId="0" fontId="169" fillId="40" borderId="156" xfId="0" applyFont="1" applyFill="1" applyBorder="1" applyAlignment="1">
      <alignment horizontal="center"/>
    </xf>
    <xf numFmtId="0" fontId="169" fillId="40" borderId="158" xfId="0" applyFont="1" applyFill="1" applyBorder="1" applyAlignment="1">
      <alignment horizontal="center"/>
    </xf>
    <xf numFmtId="0" fontId="137" fillId="59" borderId="2" xfId="0" applyFont="1" applyFill="1" applyBorder="1" applyAlignment="1">
      <alignment horizontal="center"/>
    </xf>
    <xf numFmtId="0" fontId="140" fillId="59" borderId="4" xfId="0" applyFont="1" applyFill="1" applyBorder="1" applyAlignment="1">
      <alignment horizontal="center" vertical="center"/>
    </xf>
    <xf numFmtId="0" fontId="137" fillId="0" borderId="2" xfId="0" applyFont="1" applyFill="1" applyBorder="1" applyAlignment="1">
      <alignment horizontal="center"/>
    </xf>
    <xf numFmtId="0" fontId="137" fillId="61" borderId="51" xfId="0" applyFont="1" applyFill="1" applyBorder="1" applyAlignment="1">
      <alignment horizontal="center"/>
    </xf>
    <xf numFmtId="0" fontId="150" fillId="59" borderId="0" xfId="0" applyFont="1" applyFill="1" applyBorder="1" applyAlignment="1">
      <alignment vertical="center"/>
    </xf>
    <xf numFmtId="0" fontId="135" fillId="59" borderId="0" xfId="0" applyFont="1" applyFill="1" applyBorder="1" applyAlignment="1">
      <alignment horizontal="center" vertical="center"/>
    </xf>
    <xf numFmtId="0" fontId="135" fillId="59" borderId="4" xfId="0" applyFont="1" applyFill="1" applyBorder="1" applyAlignment="1">
      <alignment horizontal="center" vertical="center"/>
    </xf>
    <xf numFmtId="0" fontId="135" fillId="61" borderId="51" xfId="0" applyFont="1" applyFill="1" applyBorder="1" applyAlignment="1">
      <alignment vertical="center"/>
    </xf>
    <xf numFmtId="0" fontId="150" fillId="59" borderId="46" xfId="0" applyFont="1" applyFill="1" applyBorder="1" applyAlignment="1">
      <alignment vertical="center"/>
    </xf>
    <xf numFmtId="0" fontId="135" fillId="59" borderId="47" xfId="0" applyFont="1" applyFill="1" applyBorder="1" applyAlignment="1">
      <alignment horizontal="center" vertical="center"/>
    </xf>
    <xf numFmtId="0" fontId="135" fillId="59" borderId="48" xfId="0" applyFont="1" applyFill="1" applyBorder="1" applyAlignment="1">
      <alignment horizontal="center" vertical="center"/>
    </xf>
    <xf numFmtId="0" fontId="135" fillId="0" borderId="2" xfId="0" applyFont="1" applyBorder="1" applyAlignment="1">
      <alignment vertical="center"/>
    </xf>
    <xf numFmtId="0" fontId="139" fillId="2" borderId="51" xfId="0" applyFont="1" applyFill="1" applyBorder="1" applyAlignment="1">
      <alignment horizontal="center"/>
    </xf>
    <xf numFmtId="0" fontId="139" fillId="2" borderId="53" xfId="0" applyFont="1" applyFill="1" applyBorder="1" applyAlignment="1">
      <alignment horizontal="center" vertical="center"/>
    </xf>
    <xf numFmtId="0" fontId="173" fillId="0" borderId="0" xfId="7" applyFont="1" applyAlignment="1" applyProtection="1">
      <alignment horizontal="left"/>
    </xf>
    <xf numFmtId="0" fontId="20" fillId="0" borderId="0" xfId="0" applyFont="1" applyAlignment="1">
      <alignment horizontal="left"/>
    </xf>
    <xf numFmtId="0" fontId="55" fillId="40" borderId="52" xfId="0" applyNumberFormat="1" applyFont="1" applyFill="1" applyBorder="1" applyAlignment="1">
      <alignment horizontal="center"/>
    </xf>
    <xf numFmtId="0" fontId="55" fillId="40" borderId="53" xfId="0" applyNumberFormat="1" applyFont="1" applyFill="1" applyBorder="1" applyAlignment="1">
      <alignment horizontal="center"/>
    </xf>
    <xf numFmtId="0" fontId="138" fillId="0" borderId="0" xfId="0" applyFont="1" applyBorder="1" applyAlignment="1">
      <alignment horizontal="left"/>
    </xf>
    <xf numFmtId="0" fontId="19" fillId="0" borderId="4" xfId="0" applyFont="1" applyBorder="1" applyAlignment="1">
      <alignment horizontal="center"/>
    </xf>
    <xf numFmtId="0" fontId="20" fillId="2" borderId="52" xfId="0" applyFont="1" applyFill="1" applyBorder="1" applyAlignment="1">
      <alignment horizontal="center"/>
    </xf>
    <xf numFmtId="0" fontId="20" fillId="2" borderId="53" xfId="0" applyFont="1" applyFill="1" applyBorder="1" applyAlignment="1">
      <alignment horizontal="center"/>
    </xf>
    <xf numFmtId="0" fontId="176" fillId="0" borderId="0" xfId="0" applyFont="1" applyAlignment="1">
      <alignment horizontal="left"/>
    </xf>
    <xf numFmtId="0" fontId="176" fillId="0" borderId="0" xfId="0" applyFont="1" applyBorder="1" applyAlignment="1">
      <alignment horizontal="center"/>
    </xf>
    <xf numFmtId="0" fontId="138" fillId="0" borderId="0" xfId="0" applyFont="1" applyAlignment="1">
      <alignment horizontal="right"/>
    </xf>
    <xf numFmtId="0" fontId="78" fillId="0" borderId="0" xfId="0" applyFont="1" applyBorder="1" applyAlignment="1">
      <alignment horizontal="center" vertical="center" wrapText="1"/>
    </xf>
    <xf numFmtId="0" fontId="19" fillId="0" borderId="0" xfId="0" applyFont="1" applyBorder="1" applyAlignment="1">
      <alignment horizontal="center" vertical="center"/>
    </xf>
    <xf numFmtId="14" fontId="138" fillId="0" borderId="0" xfId="0" applyNumberFormat="1" applyFont="1" applyBorder="1" applyAlignment="1">
      <alignment horizontal="center"/>
    </xf>
    <xf numFmtId="0" fontId="138" fillId="0" borderId="0" xfId="0" applyFont="1" applyBorder="1" applyAlignment="1">
      <alignment vertical="top" wrapText="1"/>
    </xf>
    <xf numFmtId="0" fontId="138" fillId="0" borderId="0" xfId="0" applyFont="1" applyBorder="1" applyAlignment="1">
      <alignment horizontal="left" vertical="top" wrapText="1"/>
    </xf>
    <xf numFmtId="4" fontId="138" fillId="0" borderId="0" xfId="0" applyNumberFormat="1" applyFont="1" applyBorder="1" applyAlignment="1">
      <alignment horizontal="right" vertical="top" wrapText="1"/>
    </xf>
    <xf numFmtId="0" fontId="138" fillId="0" borderId="0" xfId="0" applyFont="1" applyBorder="1" applyAlignment="1">
      <alignment horizontal="right" vertical="top" wrapText="1"/>
    </xf>
    <xf numFmtId="0" fontId="19" fillId="0" borderId="3" xfId="0" applyFont="1" applyBorder="1"/>
    <xf numFmtId="0" fontId="20" fillId="2" borderId="1" xfId="0" applyFont="1" applyFill="1" applyBorder="1"/>
    <xf numFmtId="0" fontId="138" fillId="0" borderId="29" xfId="0" applyFont="1" applyBorder="1" applyAlignment="1">
      <alignment horizontal="left"/>
    </xf>
    <xf numFmtId="0" fontId="52" fillId="40" borderId="52" xfId="0" applyFont="1" applyFill="1" applyBorder="1" applyAlignment="1">
      <alignment horizontal="left"/>
    </xf>
    <xf numFmtId="0" fontId="55" fillId="40" borderId="1" xfId="0" applyFont="1" applyFill="1" applyBorder="1" applyAlignment="1">
      <alignment horizontal="left"/>
    </xf>
    <xf numFmtId="0" fontId="138" fillId="0" borderId="3" xfId="0" applyFont="1" applyFill="1" applyBorder="1" applyAlignment="1">
      <alignment horizontal="left"/>
    </xf>
    <xf numFmtId="0" fontId="14" fillId="0" borderId="3" xfId="0" applyFont="1" applyBorder="1" applyAlignment="1">
      <alignment horizontal="left"/>
    </xf>
    <xf numFmtId="0" fontId="171" fillId="0" borderId="3" xfId="0" applyFont="1" applyBorder="1" applyAlignment="1">
      <alignment horizontal="left"/>
    </xf>
    <xf numFmtId="0" fontId="14" fillId="71" borderId="3" xfId="0" applyFont="1" applyFill="1" applyBorder="1" applyAlignment="1">
      <alignment horizontal="left"/>
    </xf>
    <xf numFmtId="0" fontId="171" fillId="0" borderId="54" xfId="0" applyFont="1" applyBorder="1" applyAlignment="1">
      <alignment horizontal="left"/>
    </xf>
    <xf numFmtId="0" fontId="98" fillId="40" borderId="3" xfId="0" applyFont="1" applyFill="1" applyBorder="1" applyAlignment="1">
      <alignment horizontal="left"/>
    </xf>
    <xf numFmtId="0" fontId="98" fillId="40" borderId="0" xfId="0" applyFont="1" applyFill="1" applyBorder="1" applyAlignment="1">
      <alignment horizontal="center"/>
    </xf>
    <xf numFmtId="0" fontId="138" fillId="0" borderId="4" xfId="0" applyFont="1" applyBorder="1" applyAlignment="1">
      <alignment horizontal="left"/>
    </xf>
    <xf numFmtId="0" fontId="20" fillId="0" borderId="0" xfId="0" applyFont="1" applyBorder="1" applyAlignment="1">
      <alignment horizontal="left"/>
    </xf>
    <xf numFmtId="0" fontId="176" fillId="0" borderId="4" xfId="0" applyFont="1" applyBorder="1" applyAlignment="1">
      <alignment horizontal="left"/>
    </xf>
    <xf numFmtId="0" fontId="138" fillId="0" borderId="2" xfId="0" applyFont="1" applyBorder="1" applyAlignment="1">
      <alignment horizontal="right"/>
    </xf>
    <xf numFmtId="0" fontId="20" fillId="2" borderId="51" xfId="0" applyFont="1" applyFill="1" applyBorder="1" applyAlignment="1">
      <alignment horizontal="left"/>
    </xf>
    <xf numFmtId="0" fontId="138" fillId="0" borderId="3" xfId="0" applyFont="1" applyBorder="1" applyAlignment="1">
      <alignment horizontal="right"/>
    </xf>
    <xf numFmtId="0" fontId="20" fillId="2" borderId="1" xfId="0" applyFont="1" applyFill="1" applyBorder="1" applyAlignment="1">
      <alignment horizontal="left"/>
    </xf>
    <xf numFmtId="0" fontId="138" fillId="61" borderId="51" xfId="0" applyFont="1" applyFill="1" applyBorder="1" applyAlignment="1">
      <alignment horizontal="right"/>
    </xf>
    <xf numFmtId="0" fontId="138" fillId="61" borderId="52" xfId="0" applyFont="1" applyFill="1" applyBorder="1" applyAlignment="1">
      <alignment horizontal="center"/>
    </xf>
    <xf numFmtId="0" fontId="138" fillId="61" borderId="53" xfId="0" applyFont="1" applyFill="1" applyBorder="1" applyAlignment="1">
      <alignment horizontal="center"/>
    </xf>
    <xf numFmtId="0" fontId="138" fillId="61" borderId="53" xfId="0" applyFont="1" applyFill="1" applyBorder="1" applyAlignment="1">
      <alignment horizontal="right"/>
    </xf>
    <xf numFmtId="0" fontId="138" fillId="61" borderId="53" xfId="0" applyFont="1" applyFill="1" applyBorder="1" applyAlignment="1">
      <alignment horizontal="left"/>
    </xf>
    <xf numFmtId="0" fontId="176" fillId="59" borderId="0" xfId="0" applyFont="1" applyFill="1" applyBorder="1" applyAlignment="1">
      <alignment horizontal="center"/>
    </xf>
    <xf numFmtId="0" fontId="138" fillId="59" borderId="0" xfId="0" applyFont="1" applyFill="1" applyBorder="1" applyAlignment="1">
      <alignment horizontal="center"/>
    </xf>
    <xf numFmtId="0" fontId="138" fillId="59" borderId="0" xfId="0" applyFont="1" applyFill="1" applyBorder="1" applyAlignment="1">
      <alignment horizontal="right"/>
    </xf>
    <xf numFmtId="0" fontId="176" fillId="0" borderId="2" xfId="0" applyFont="1" applyBorder="1" applyAlignment="1">
      <alignment horizontal="left"/>
    </xf>
    <xf numFmtId="0" fontId="176" fillId="0" borderId="0" xfId="0" applyFont="1" applyBorder="1" applyAlignment="1">
      <alignment horizontal="left"/>
    </xf>
    <xf numFmtId="0" fontId="176" fillId="59" borderId="2" xfId="0" applyFont="1" applyFill="1" applyBorder="1" applyAlignment="1">
      <alignment horizontal="left"/>
    </xf>
    <xf numFmtId="0" fontId="176" fillId="59" borderId="4" xfId="0" applyFont="1" applyFill="1" applyBorder="1" applyAlignment="1">
      <alignment horizontal="center"/>
    </xf>
    <xf numFmtId="0" fontId="138" fillId="0" borderId="2" xfId="0" applyFont="1" applyFill="1" applyBorder="1" applyAlignment="1">
      <alignment horizontal="right"/>
    </xf>
    <xf numFmtId="0" fontId="138" fillId="59" borderId="4" xfId="0" applyFont="1" applyFill="1" applyBorder="1" applyAlignment="1">
      <alignment horizontal="left"/>
    </xf>
    <xf numFmtId="0" fontId="138" fillId="0" borderId="4" xfId="0" applyFont="1" applyBorder="1" applyAlignment="1">
      <alignment horizontal="right"/>
    </xf>
    <xf numFmtId="0" fontId="138" fillId="59" borderId="4" xfId="0" applyFont="1" applyFill="1" applyBorder="1" applyAlignment="1">
      <alignment horizontal="right"/>
    </xf>
    <xf numFmtId="0" fontId="178" fillId="40" borderId="52" xfId="7" applyFont="1" applyFill="1" applyBorder="1" applyAlignment="1" applyProtection="1">
      <alignment horizontal="center"/>
    </xf>
    <xf numFmtId="0" fontId="138" fillId="2" borderId="52" xfId="0" applyFont="1" applyFill="1" applyBorder="1" applyAlignment="1">
      <alignment horizontal="center"/>
    </xf>
    <xf numFmtId="14" fontId="138" fillId="0" borderId="4" xfId="0" applyNumberFormat="1" applyFont="1" applyBorder="1" applyAlignment="1">
      <alignment horizontal="center"/>
    </xf>
    <xf numFmtId="14" fontId="138" fillId="0" borderId="4" xfId="0" applyNumberFormat="1" applyFont="1" applyBorder="1" applyAlignment="1">
      <alignment horizontal="left"/>
    </xf>
    <xf numFmtId="0" fontId="138" fillId="0" borderId="54" xfId="0" applyFont="1" applyBorder="1" applyAlignment="1">
      <alignment horizontal="left"/>
    </xf>
    <xf numFmtId="0" fontId="19" fillId="0" borderId="3" xfId="0" applyFont="1" applyBorder="1" applyAlignment="1">
      <alignment horizontal="left"/>
    </xf>
    <xf numFmtId="0" fontId="120" fillId="2" borderId="51" xfId="2" applyFont="1" applyFill="1" applyBorder="1" applyProtection="1">
      <protection hidden="1"/>
    </xf>
    <xf numFmtId="3" fontId="120" fillId="2" borderId="1" xfId="2" applyNumberFormat="1" applyFont="1" applyFill="1" applyBorder="1" applyAlignment="1" applyProtection="1">
      <protection hidden="1"/>
    </xf>
    <xf numFmtId="4" fontId="120" fillId="2" borderId="1" xfId="2" applyNumberFormat="1" applyFont="1" applyFill="1" applyBorder="1" applyAlignment="1" applyProtection="1">
      <protection hidden="1"/>
    </xf>
    <xf numFmtId="0" fontId="183" fillId="40" borderId="1" xfId="2" applyFont="1" applyFill="1" applyBorder="1" applyAlignment="1" applyProtection="1">
      <alignment horizontal="center" vertical="center"/>
      <protection hidden="1"/>
    </xf>
    <xf numFmtId="0" fontId="183" fillId="40" borderId="29" xfId="2" applyFont="1" applyFill="1" applyBorder="1" applyAlignment="1" applyProtection="1">
      <alignment horizontal="left" indent="2"/>
      <protection hidden="1"/>
    </xf>
    <xf numFmtId="0" fontId="183" fillId="40" borderId="1" xfId="2" applyNumberFormat="1" applyFont="1" applyFill="1" applyBorder="1" applyAlignment="1" applyProtection="1">
      <alignment horizontal="center"/>
      <protection hidden="1"/>
    </xf>
    <xf numFmtId="0" fontId="183" fillId="40" borderId="29" xfId="2" applyNumberFormat="1" applyFont="1" applyFill="1" applyBorder="1" applyProtection="1">
      <protection hidden="1"/>
    </xf>
    <xf numFmtId="0" fontId="128" fillId="0" borderId="2" xfId="2" applyFont="1" applyFill="1" applyBorder="1" applyProtection="1">
      <protection hidden="1"/>
    </xf>
    <xf numFmtId="0" fontId="128" fillId="0" borderId="49" xfId="2" applyFont="1" applyFill="1" applyBorder="1" applyProtection="1">
      <protection hidden="1"/>
    </xf>
    <xf numFmtId="0" fontId="183" fillId="40" borderId="46" xfId="2" applyFont="1" applyFill="1" applyBorder="1" applyProtection="1">
      <protection hidden="1"/>
    </xf>
    <xf numFmtId="0" fontId="183" fillId="40" borderId="47" xfId="2" applyNumberFormat="1" applyFont="1" applyFill="1" applyBorder="1" applyAlignment="1" applyProtection="1">
      <alignment horizontal="right"/>
      <protection hidden="1"/>
    </xf>
    <xf numFmtId="0" fontId="183" fillId="40" borderId="48" xfId="2" applyNumberFormat="1" applyFont="1" applyFill="1" applyBorder="1" applyAlignment="1" applyProtection="1">
      <alignment horizontal="right"/>
      <protection hidden="1"/>
    </xf>
    <xf numFmtId="0" fontId="128" fillId="0" borderId="0" xfId="2" applyFont="1" applyFill="1" applyBorder="1" applyProtection="1">
      <protection hidden="1"/>
    </xf>
    <xf numFmtId="0" fontId="128" fillId="0" borderId="29" xfId="2" applyFont="1" applyFill="1" applyBorder="1" applyProtection="1">
      <protection hidden="1"/>
    </xf>
    <xf numFmtId="0" fontId="183" fillId="40" borderId="1" xfId="2" applyFont="1" applyFill="1" applyBorder="1" applyProtection="1">
      <protection hidden="1"/>
    </xf>
    <xf numFmtId="0" fontId="183" fillId="40" borderId="50" xfId="2" applyFont="1" applyFill="1" applyBorder="1" applyProtection="1">
      <protection hidden="1"/>
    </xf>
    <xf numFmtId="3" fontId="120" fillId="0" borderId="0" xfId="2" applyNumberFormat="1" applyFont="1" applyFill="1" applyBorder="1" applyProtection="1">
      <protection hidden="1"/>
    </xf>
    <xf numFmtId="0" fontId="120" fillId="0" borderId="0" xfId="2" applyFont="1" applyFill="1" applyBorder="1" applyProtection="1">
      <protection hidden="1"/>
    </xf>
    <xf numFmtId="0" fontId="184" fillId="40" borderId="1" xfId="2" applyFont="1" applyFill="1" applyBorder="1" applyAlignment="1" applyProtection="1">
      <alignment vertical="center"/>
      <protection hidden="1"/>
    </xf>
    <xf numFmtId="0" fontId="7" fillId="40" borderId="1" xfId="10" applyFill="1" applyBorder="1"/>
    <xf numFmtId="0" fontId="121" fillId="2" borderId="1" xfId="57" applyFont="1" applyFill="1" applyBorder="1"/>
    <xf numFmtId="2" fontId="42" fillId="2" borderId="51" xfId="10" applyNumberFormat="1" applyFont="1" applyFill="1" applyBorder="1" applyAlignment="1">
      <alignment horizontal="center"/>
    </xf>
    <xf numFmtId="2" fontId="42" fillId="2" borderId="52" xfId="10" applyNumberFormat="1" applyFont="1" applyFill="1" applyBorder="1" applyAlignment="1">
      <alignment horizontal="center"/>
    </xf>
    <xf numFmtId="2" fontId="42" fillId="2" borderId="53" xfId="10" applyNumberFormat="1" applyFont="1" applyFill="1" applyBorder="1" applyAlignment="1">
      <alignment horizontal="center"/>
    </xf>
    <xf numFmtId="0" fontId="70" fillId="40" borderId="1" xfId="10" applyFont="1" applyFill="1" applyBorder="1"/>
    <xf numFmtId="0" fontId="187" fillId="40" borderId="0" xfId="2" applyFont="1" applyFill="1" applyProtection="1">
      <protection hidden="1"/>
    </xf>
    <xf numFmtId="0" fontId="185" fillId="40" borderId="55" xfId="2" applyNumberFormat="1" applyFont="1" applyFill="1" applyBorder="1" applyAlignment="1" applyProtection="1">
      <alignment horizontal="center"/>
      <protection hidden="1"/>
    </xf>
    <xf numFmtId="0" fontId="133" fillId="2" borderId="51" xfId="2" applyFont="1" applyFill="1" applyBorder="1" applyAlignment="1" applyProtection="1">
      <alignment horizontal="left"/>
      <protection hidden="1"/>
    </xf>
    <xf numFmtId="4" fontId="133" fillId="2" borderId="1" xfId="2" applyNumberFormat="1" applyFont="1" applyFill="1" applyBorder="1" applyAlignment="1" applyProtection="1">
      <alignment horizontal="right"/>
      <protection hidden="1"/>
    </xf>
    <xf numFmtId="0" fontId="133" fillId="2" borderId="49" xfId="2" applyNumberFormat="1" applyFont="1" applyFill="1" applyBorder="1" applyAlignment="1" applyProtection="1">
      <alignment vertical="center"/>
      <protection hidden="1"/>
    </xf>
    <xf numFmtId="4" fontId="133" fillId="2" borderId="54" xfId="2" applyNumberFormat="1" applyFont="1" applyFill="1" applyBorder="1" applyAlignment="1" applyProtection="1">
      <alignment horizontal="right" vertical="center"/>
      <protection hidden="1"/>
    </xf>
    <xf numFmtId="0" fontId="133" fillId="2" borderId="54" xfId="2" applyNumberFormat="1" applyFont="1" applyFill="1" applyBorder="1" applyAlignment="1" applyProtection="1">
      <alignment vertical="center"/>
      <protection hidden="1"/>
    </xf>
    <xf numFmtId="0" fontId="186" fillId="40" borderId="1" xfId="2" applyFont="1" applyFill="1" applyBorder="1" applyProtection="1">
      <protection hidden="1"/>
    </xf>
    <xf numFmtId="0" fontId="185" fillId="40" borderId="55" xfId="2" applyFont="1" applyFill="1" applyBorder="1" applyAlignment="1" applyProtection="1">
      <alignment horizontal="center"/>
      <protection hidden="1"/>
    </xf>
    <xf numFmtId="0" fontId="185" fillId="40" borderId="53" xfId="2" applyFont="1" applyFill="1" applyBorder="1" applyAlignment="1" applyProtection="1">
      <alignment horizontal="center"/>
      <protection hidden="1"/>
    </xf>
    <xf numFmtId="170" fontId="19" fillId="0" borderId="0" xfId="10" applyNumberFormat="1" applyFont="1"/>
    <xf numFmtId="169" fontId="19" fillId="0" borderId="0" xfId="10" applyNumberFormat="1" applyFont="1"/>
    <xf numFmtId="1" fontId="19" fillId="5" borderId="0" xfId="10" applyNumberFormat="1" applyFont="1" applyFill="1" applyBorder="1" applyAlignment="1">
      <alignment horizontal="center"/>
    </xf>
    <xf numFmtId="0" fontId="19" fillId="5" borderId="0" xfId="10" applyFont="1" applyFill="1" applyBorder="1" applyAlignment="1">
      <alignment horizontal="center"/>
    </xf>
    <xf numFmtId="0" fontId="22" fillId="0" borderId="3" xfId="10" applyFont="1" applyBorder="1"/>
    <xf numFmtId="1" fontId="22" fillId="0" borderId="2" xfId="10" applyNumberFormat="1" applyFont="1" applyBorder="1" applyAlignment="1">
      <alignment horizontal="left"/>
    </xf>
    <xf numFmtId="0" fontId="22" fillId="0" borderId="0" xfId="10" applyFont="1" applyBorder="1" applyAlignment="1">
      <alignment horizontal="center"/>
    </xf>
    <xf numFmtId="0" fontId="22" fillId="0" borderId="4" xfId="10" applyFont="1" applyBorder="1" applyAlignment="1">
      <alignment horizontal="center"/>
    </xf>
    <xf numFmtId="0" fontId="22" fillId="5" borderId="0" xfId="10" applyFont="1" applyFill="1" applyBorder="1"/>
    <xf numFmtId="0" fontId="22" fillId="0" borderId="2" xfId="10" applyFont="1" applyBorder="1" applyAlignment="1">
      <alignment horizontal="left"/>
    </xf>
    <xf numFmtId="0" fontId="22" fillId="0" borderId="0" xfId="10" applyFont="1" applyBorder="1"/>
    <xf numFmtId="0" fontId="22" fillId="5" borderId="0" xfId="10" applyFont="1" applyFill="1" applyBorder="1" applyAlignment="1">
      <alignment horizontal="center"/>
    </xf>
    <xf numFmtId="0" fontId="19" fillId="0" borderId="50" xfId="10" applyFont="1" applyBorder="1" applyAlignment="1">
      <alignment horizontal="center"/>
    </xf>
    <xf numFmtId="0" fontId="19" fillId="5" borderId="29" xfId="10" applyFont="1" applyFill="1" applyBorder="1"/>
    <xf numFmtId="0" fontId="19" fillId="74" borderId="29" xfId="10" applyFont="1" applyFill="1" applyBorder="1" applyAlignment="1">
      <alignment horizontal="center"/>
    </xf>
    <xf numFmtId="3" fontId="20" fillId="0" borderId="55" xfId="10" applyNumberFormat="1" applyFont="1" applyBorder="1" applyAlignment="1">
      <alignment horizontal="left"/>
    </xf>
    <xf numFmtId="3" fontId="20" fillId="0" borderId="54" xfId="10" applyNumberFormat="1" applyFont="1" applyBorder="1" applyAlignment="1">
      <alignment horizontal="left"/>
    </xf>
    <xf numFmtId="3" fontId="19" fillId="0" borderId="4" xfId="10" applyNumberFormat="1" applyFont="1" applyBorder="1" applyAlignment="1">
      <alignment horizontal="center"/>
    </xf>
    <xf numFmtId="3" fontId="19" fillId="0" borderId="50" xfId="10" applyNumberFormat="1" applyFont="1" applyBorder="1" applyAlignment="1">
      <alignment horizontal="center"/>
    </xf>
    <xf numFmtId="0" fontId="55" fillId="40" borderId="1" xfId="10" applyFont="1" applyFill="1" applyBorder="1"/>
    <xf numFmtId="0" fontId="55" fillId="40" borderId="51" xfId="10" applyFont="1" applyFill="1" applyBorder="1"/>
    <xf numFmtId="0" fontId="55" fillId="40" borderId="53" xfId="10" applyFont="1" applyFill="1" applyBorder="1"/>
    <xf numFmtId="0" fontId="55" fillId="40" borderId="51" xfId="57" applyFont="1" applyFill="1" applyBorder="1" applyAlignment="1">
      <alignment horizontal="center"/>
    </xf>
    <xf numFmtId="1" fontId="55" fillId="40" borderId="52" xfId="57" applyNumberFormat="1" applyFont="1" applyFill="1" applyBorder="1" applyAlignment="1">
      <alignment horizontal="center"/>
    </xf>
    <xf numFmtId="0" fontId="55" fillId="40" borderId="52" xfId="57" applyFont="1" applyFill="1" applyBorder="1" applyAlignment="1">
      <alignment horizontal="center"/>
    </xf>
    <xf numFmtId="0" fontId="55" fillId="40" borderId="53" xfId="57" applyFont="1" applyFill="1" applyBorder="1" applyAlignment="1">
      <alignment horizontal="center"/>
    </xf>
    <xf numFmtId="3" fontId="19" fillId="0" borderId="0" xfId="57" applyNumberFormat="1" applyFont="1" applyBorder="1" applyAlignment="1">
      <alignment horizontal="center"/>
    </xf>
    <xf numFmtId="3" fontId="19" fillId="0" borderId="0" xfId="57" applyNumberFormat="1" applyFont="1" applyFill="1" applyBorder="1" applyAlignment="1">
      <alignment horizontal="center"/>
    </xf>
    <xf numFmtId="3" fontId="20" fillId="0" borderId="0" xfId="57" applyNumberFormat="1" applyFont="1" applyBorder="1" applyAlignment="1">
      <alignment horizontal="center"/>
    </xf>
    <xf numFmtId="3" fontId="20" fillId="0" borderId="0" xfId="57" applyNumberFormat="1" applyFont="1" applyFill="1" applyBorder="1" applyAlignment="1">
      <alignment horizontal="center"/>
    </xf>
    <xf numFmtId="9" fontId="19" fillId="0" borderId="0" xfId="55" applyNumberFormat="1" applyFont="1" applyBorder="1" applyAlignment="1">
      <alignment horizontal="center"/>
    </xf>
    <xf numFmtId="9" fontId="19" fillId="0" borderId="0" xfId="55" applyNumberFormat="1" applyFont="1" applyFill="1" applyBorder="1" applyAlignment="1">
      <alignment horizontal="center"/>
    </xf>
    <xf numFmtId="169" fontId="19" fillId="0" borderId="0" xfId="55" applyNumberFormat="1" applyFont="1" applyFill="1" applyBorder="1" applyAlignment="1">
      <alignment horizontal="center"/>
    </xf>
    <xf numFmtId="9" fontId="19" fillId="0" borderId="0" xfId="55" applyFont="1" applyBorder="1" applyAlignment="1">
      <alignment horizontal="center"/>
    </xf>
    <xf numFmtId="3" fontId="20" fillId="0" borderId="0" xfId="55" applyNumberFormat="1" applyFont="1" applyBorder="1" applyAlignment="1">
      <alignment horizontal="center"/>
    </xf>
    <xf numFmtId="0" fontId="19" fillId="0" borderId="0" xfId="57" applyFont="1" applyBorder="1"/>
    <xf numFmtId="10" fontId="19" fillId="0" borderId="0" xfId="55" applyNumberFormat="1" applyFont="1" applyBorder="1" applyAlignment="1">
      <alignment horizontal="center"/>
    </xf>
    <xf numFmtId="9" fontId="20" fillId="0" borderId="0" xfId="55" applyNumberFormat="1" applyFont="1" applyBorder="1" applyAlignment="1">
      <alignment horizontal="center"/>
    </xf>
    <xf numFmtId="3" fontId="20" fillId="51" borderId="0" xfId="10" applyNumberFormat="1" applyFont="1" applyFill="1" applyBorder="1" applyAlignment="1">
      <alignment horizontal="center"/>
    </xf>
    <xf numFmtId="1" fontId="20" fillId="0" borderId="0" xfId="57" applyNumberFormat="1" applyFont="1" applyFill="1" applyBorder="1" applyAlignment="1">
      <alignment horizontal="center"/>
    </xf>
    <xf numFmtId="0" fontId="188" fillId="0" borderId="0" xfId="10" applyFont="1" applyFill="1" applyBorder="1" applyAlignment="1">
      <alignment horizontal="right"/>
    </xf>
    <xf numFmtId="0" fontId="188" fillId="0" borderId="0" xfId="10" applyFont="1" applyAlignment="1">
      <alignment horizontal="center"/>
    </xf>
    <xf numFmtId="0" fontId="189" fillId="0" borderId="6" xfId="57" applyFont="1" applyBorder="1" applyAlignment="1">
      <alignment horizontal="center"/>
    </xf>
    <xf numFmtId="0" fontId="188" fillId="0" borderId="0" xfId="52" applyFont="1" applyAlignment="1" applyProtection="1"/>
    <xf numFmtId="3" fontId="122" fillId="0" borderId="0" xfId="57" applyNumberFormat="1" applyFont="1" applyAlignment="1">
      <alignment horizontal="center"/>
    </xf>
    <xf numFmtId="0" fontId="122" fillId="0" borderId="0" xfId="57" applyFont="1"/>
    <xf numFmtId="0" fontId="19" fillId="0" borderId="0" xfId="57" applyFont="1"/>
    <xf numFmtId="0" fontId="19" fillId="0" borderId="55" xfId="57" applyFont="1" applyBorder="1"/>
    <xf numFmtId="0" fontId="19" fillId="0" borderId="3" xfId="57" applyFont="1" applyBorder="1"/>
    <xf numFmtId="0" fontId="20" fillId="0" borderId="3" xfId="57" applyFont="1" applyBorder="1"/>
    <xf numFmtId="0" fontId="19" fillId="0" borderId="2" xfId="57" applyFont="1" applyBorder="1"/>
    <xf numFmtId="3" fontId="19" fillId="0" borderId="4" xfId="57" applyNumberFormat="1" applyFont="1" applyFill="1" applyBorder="1" applyAlignment="1">
      <alignment horizontal="center"/>
    </xf>
    <xf numFmtId="0" fontId="20" fillId="0" borderId="2" xfId="57" applyFont="1" applyBorder="1"/>
    <xf numFmtId="3" fontId="20" fillId="0" borderId="4" xfId="57" applyNumberFormat="1" applyFont="1" applyFill="1" applyBorder="1" applyAlignment="1">
      <alignment horizontal="center"/>
    </xf>
    <xf numFmtId="9" fontId="19" fillId="0" borderId="4" xfId="55" applyNumberFormat="1" applyFont="1" applyFill="1" applyBorder="1" applyAlignment="1">
      <alignment horizontal="center"/>
    </xf>
    <xf numFmtId="169" fontId="19" fillId="0" borderId="4" xfId="55" applyNumberFormat="1" applyFont="1" applyFill="1" applyBorder="1" applyAlignment="1">
      <alignment horizontal="center"/>
    </xf>
    <xf numFmtId="3" fontId="20" fillId="0" borderId="4" xfId="57" applyNumberFormat="1" applyFont="1" applyBorder="1" applyAlignment="1">
      <alignment horizontal="center"/>
    </xf>
    <xf numFmtId="9" fontId="19" fillId="0" borderId="4" xfId="10" applyNumberFormat="1" applyFont="1" applyBorder="1" applyAlignment="1">
      <alignment horizontal="center"/>
    </xf>
    <xf numFmtId="3" fontId="20" fillId="0" borderId="4" xfId="55" applyNumberFormat="1" applyFont="1" applyBorder="1" applyAlignment="1">
      <alignment horizontal="center"/>
    </xf>
    <xf numFmtId="3" fontId="19" fillId="0" borderId="4" xfId="57" applyNumberFormat="1" applyFont="1" applyBorder="1" applyAlignment="1">
      <alignment horizontal="center"/>
    </xf>
    <xf numFmtId="0" fontId="20" fillId="0" borderId="2" xfId="10" applyFont="1" applyBorder="1" applyAlignment="1">
      <alignment horizontal="right"/>
    </xf>
    <xf numFmtId="3" fontId="20" fillId="0" borderId="4" xfId="10" applyNumberFormat="1" applyFont="1" applyBorder="1" applyAlignment="1">
      <alignment horizontal="center"/>
    </xf>
    <xf numFmtId="0" fontId="20" fillId="0" borderId="49" xfId="10" applyFont="1" applyFill="1" applyBorder="1" applyAlignment="1">
      <alignment horizontal="right"/>
    </xf>
    <xf numFmtId="3" fontId="20" fillId="0" borderId="29" xfId="10" applyNumberFormat="1" applyFont="1" applyFill="1" applyBorder="1" applyAlignment="1">
      <alignment horizontal="center"/>
    </xf>
    <xf numFmtId="3" fontId="20" fillId="0" borderId="29" xfId="10" applyNumberFormat="1" applyFont="1" applyFill="1" applyBorder="1"/>
    <xf numFmtId="0" fontId="19" fillId="0" borderId="50" xfId="10" applyFont="1" applyFill="1" applyBorder="1"/>
    <xf numFmtId="9" fontId="19" fillId="0" borderId="4" xfId="55" applyFont="1" applyBorder="1" applyAlignment="1">
      <alignment horizontal="center"/>
    </xf>
    <xf numFmtId="3" fontId="20" fillId="2" borderId="0" xfId="57" applyNumberFormat="1" applyFont="1" applyFill="1" applyBorder="1" applyAlignment="1">
      <alignment horizontal="center"/>
    </xf>
    <xf numFmtId="3" fontId="20" fillId="59" borderId="0" xfId="57" applyNumberFormat="1" applyFont="1" applyFill="1" applyBorder="1" applyAlignment="1">
      <alignment horizontal="center"/>
    </xf>
    <xf numFmtId="3" fontId="20" fillId="59" borderId="4" xfId="57" applyNumberFormat="1" applyFont="1" applyFill="1" applyBorder="1" applyAlignment="1">
      <alignment horizontal="center"/>
    </xf>
    <xf numFmtId="3" fontId="20" fillId="2" borderId="0" xfId="10" applyNumberFormat="1" applyFont="1" applyFill="1" applyBorder="1"/>
    <xf numFmtId="3" fontId="20" fillId="59" borderId="0" xfId="10" applyNumberFormat="1" applyFont="1" applyFill="1" applyBorder="1" applyAlignment="1">
      <alignment horizontal="center"/>
    </xf>
    <xf numFmtId="3" fontId="20" fillId="59" borderId="4" xfId="10" applyNumberFormat="1" applyFont="1" applyFill="1" applyBorder="1" applyAlignment="1">
      <alignment horizontal="center"/>
    </xf>
    <xf numFmtId="0" fontId="20" fillId="61" borderId="51" xfId="57" applyFont="1" applyFill="1" applyBorder="1"/>
    <xf numFmtId="3" fontId="20" fillId="61" borderId="52" xfId="57" applyNumberFormat="1" applyFont="1" applyFill="1" applyBorder="1" applyAlignment="1">
      <alignment horizontal="center"/>
    </xf>
    <xf numFmtId="0" fontId="20" fillId="61" borderId="1" xfId="57" applyFont="1" applyFill="1" applyBorder="1"/>
    <xf numFmtId="0" fontId="55" fillId="40" borderId="1" xfId="10" applyFont="1" applyFill="1" applyBorder="1" applyAlignment="1">
      <alignment horizontal="center"/>
    </xf>
    <xf numFmtId="0" fontId="20" fillId="52" borderId="159" xfId="10" applyFont="1" applyFill="1" applyBorder="1"/>
    <xf numFmtId="0" fontId="20" fillId="52" borderId="159" xfId="10" applyFont="1" applyFill="1" applyBorder="1" applyAlignment="1">
      <alignment horizontal="right"/>
    </xf>
    <xf numFmtId="3" fontId="20" fillId="52" borderId="55" xfId="10" applyNumberFormat="1" applyFont="1" applyFill="1" applyBorder="1" applyAlignment="1">
      <alignment horizontal="right"/>
    </xf>
    <xf numFmtId="0" fontId="19" fillId="52" borderId="3" xfId="10" applyFont="1" applyFill="1" applyBorder="1" applyAlignment="1">
      <alignment horizontal="left" indent="1"/>
    </xf>
    <xf numFmtId="2" fontId="19" fillId="52" borderId="3" xfId="10" applyNumberFormat="1" applyFont="1" applyFill="1" applyBorder="1" applyAlignment="1">
      <alignment horizontal="center"/>
    </xf>
    <xf numFmtId="2" fontId="20" fillId="52" borderId="159" xfId="10" applyNumberFormat="1" applyFont="1" applyFill="1" applyBorder="1" applyAlignment="1">
      <alignment horizontal="right"/>
    </xf>
    <xf numFmtId="2" fontId="20" fillId="52" borderId="55" xfId="10" applyNumberFormat="1" applyFont="1" applyFill="1" applyBorder="1" applyAlignment="1">
      <alignment horizontal="right"/>
    </xf>
    <xf numFmtId="2" fontId="19" fillId="52" borderId="3" xfId="10" applyNumberFormat="1" applyFont="1" applyFill="1" applyBorder="1" applyAlignment="1">
      <alignment horizontal="left" indent="1"/>
    </xf>
    <xf numFmtId="0" fontId="19" fillId="0" borderId="105" xfId="10" applyFont="1" applyBorder="1" applyAlignment="1">
      <alignment horizontal="center"/>
    </xf>
    <xf numFmtId="3" fontId="20" fillId="52" borderId="159" xfId="10" applyNumberFormat="1" applyFont="1" applyFill="1" applyBorder="1" applyAlignment="1">
      <alignment horizontal="right"/>
    </xf>
    <xf numFmtId="2" fontId="19" fillId="0" borderId="3" xfId="10" applyNumberFormat="1" applyFont="1" applyBorder="1" applyAlignment="1">
      <alignment horizontal="center"/>
    </xf>
    <xf numFmtId="0" fontId="20" fillId="2" borderId="77" xfId="10" applyFont="1" applyFill="1" applyBorder="1"/>
    <xf numFmtId="2" fontId="20" fillId="2" borderId="77" xfId="10" applyNumberFormat="1" applyFont="1" applyFill="1" applyBorder="1" applyAlignment="1">
      <alignment horizontal="right"/>
    </xf>
    <xf numFmtId="2" fontId="20" fillId="2" borderId="102" xfId="10" applyNumberFormat="1" applyFont="1" applyFill="1" applyBorder="1" applyAlignment="1">
      <alignment horizontal="right"/>
    </xf>
    <xf numFmtId="0" fontId="20" fillId="2" borderId="57" xfId="10" applyFont="1" applyFill="1" applyBorder="1" applyAlignment="1">
      <alignment horizontal="left" indent="1"/>
    </xf>
    <xf numFmtId="2" fontId="20" fillId="2" borderId="3" xfId="10" applyNumberFormat="1" applyFont="1" applyFill="1" applyBorder="1" applyAlignment="1">
      <alignment horizontal="left" indent="1"/>
    </xf>
    <xf numFmtId="2" fontId="20" fillId="2" borderId="3" xfId="10" applyNumberFormat="1" applyFont="1" applyFill="1" applyBorder="1" applyAlignment="1">
      <alignment horizontal="center"/>
    </xf>
    <xf numFmtId="2" fontId="20" fillId="2" borderId="3" xfId="10" applyNumberFormat="1" applyFont="1" applyFill="1" applyBorder="1" applyAlignment="1"/>
    <xf numFmtId="0" fontId="20" fillId="2" borderId="3" xfId="10" applyFont="1" applyFill="1" applyBorder="1" applyAlignment="1">
      <alignment horizontal="left" indent="1"/>
    </xf>
    <xf numFmtId="0" fontId="20" fillId="2" borderId="54" xfId="10" applyFont="1" applyFill="1" applyBorder="1" applyAlignment="1">
      <alignment horizontal="left" indent="1"/>
    </xf>
    <xf numFmtId="2" fontId="20" fillId="2" borderId="54" xfId="10" applyNumberFormat="1" applyFont="1" applyFill="1" applyBorder="1" applyAlignment="1">
      <alignment horizontal="left" indent="1"/>
    </xf>
    <xf numFmtId="2" fontId="20" fillId="2" borderId="54" xfId="10" applyNumberFormat="1" applyFont="1" applyFill="1" applyBorder="1" applyAlignment="1">
      <alignment horizontal="center"/>
    </xf>
    <xf numFmtId="2" fontId="20" fillId="2" borderId="54" xfId="10" applyNumberFormat="1" applyFont="1" applyFill="1" applyBorder="1" applyAlignment="1"/>
    <xf numFmtId="0" fontId="136" fillId="0" borderId="28" xfId="0" applyFont="1" applyBorder="1"/>
    <xf numFmtId="0" fontId="136" fillId="0" borderId="25" xfId="0" applyFont="1" applyBorder="1"/>
    <xf numFmtId="0" fontId="136" fillId="0" borderId="60" xfId="0" applyFont="1" applyBorder="1"/>
    <xf numFmtId="0" fontId="134" fillId="2" borderId="23" xfId="0" applyFont="1" applyFill="1" applyBorder="1" applyAlignment="1">
      <alignment horizontal="center"/>
    </xf>
    <xf numFmtId="0" fontId="169" fillId="40" borderId="5" xfId="0" applyFont="1" applyFill="1" applyBorder="1" applyAlignment="1">
      <alignment horizontal="left"/>
    </xf>
    <xf numFmtId="0" fontId="2" fillId="3" borderId="0" xfId="1" applyFill="1" applyAlignment="1" applyProtection="1"/>
    <xf numFmtId="0" fontId="2" fillId="3" borderId="0" xfId="1" applyFill="1"/>
    <xf numFmtId="0" fontId="55" fillId="40" borderId="149" xfId="10" applyFont="1" applyFill="1" applyBorder="1" applyAlignment="1">
      <alignment textRotation="55"/>
    </xf>
    <xf numFmtId="0" fontId="55" fillId="3" borderId="48" xfId="10" applyFont="1" applyFill="1" applyBorder="1" applyAlignment="1">
      <alignment textRotation="55"/>
    </xf>
    <xf numFmtId="0" fontId="55" fillId="3" borderId="55" xfId="10" applyFont="1" applyFill="1" applyBorder="1" applyAlignment="1">
      <alignment textRotation="55"/>
    </xf>
    <xf numFmtId="0" fontId="55" fillId="40" borderId="150" xfId="10" applyFont="1" applyFill="1" applyBorder="1" applyAlignment="1">
      <alignment horizontal="center" textRotation="55"/>
    </xf>
    <xf numFmtId="0" fontId="52" fillId="40" borderId="0" xfId="10" applyFont="1" applyFill="1"/>
    <xf numFmtId="0" fontId="36" fillId="40" borderId="62" xfId="10" applyFont="1" applyFill="1" applyBorder="1" applyAlignment="1">
      <alignment horizontal="center" wrapText="1"/>
    </xf>
    <xf numFmtId="0" fontId="36" fillId="40" borderId="0" xfId="10" applyFont="1" applyFill="1" applyBorder="1" applyAlignment="1">
      <alignment horizontal="center"/>
    </xf>
    <xf numFmtId="0" fontId="20" fillId="42" borderId="47" xfId="10" applyFont="1" applyFill="1" applyBorder="1" applyAlignment="1">
      <alignment wrapText="1"/>
    </xf>
    <xf numFmtId="0" fontId="55" fillId="40" borderId="10" xfId="10" applyFont="1" applyFill="1" applyBorder="1"/>
    <xf numFmtId="0" fontId="55" fillId="40" borderId="8" xfId="10" applyFont="1" applyFill="1" applyBorder="1"/>
    <xf numFmtId="0" fontId="55" fillId="40" borderId="87" xfId="10" applyFont="1" applyFill="1" applyBorder="1"/>
    <xf numFmtId="0" fontId="55" fillId="40" borderId="88" xfId="10" applyFont="1" applyFill="1" applyBorder="1" applyAlignment="1">
      <alignment horizontal="center" wrapText="1"/>
    </xf>
    <xf numFmtId="0" fontId="55" fillId="40" borderId="0" xfId="10" applyFont="1" applyFill="1" applyBorder="1" applyAlignment="1">
      <alignment wrapText="1"/>
    </xf>
    <xf numFmtId="0" fontId="55" fillId="40" borderId="62" xfId="10" applyFont="1" applyFill="1" applyBorder="1" applyAlignment="1">
      <alignment wrapText="1"/>
    </xf>
    <xf numFmtId="0" fontId="55" fillId="40" borderId="2" xfId="10" applyFont="1" applyFill="1" applyBorder="1" applyAlignment="1">
      <alignment wrapText="1"/>
    </xf>
    <xf numFmtId="0" fontId="55" fillId="40" borderId="4" xfId="10" applyFont="1" applyFill="1" applyBorder="1" applyAlignment="1">
      <alignment wrapText="1"/>
    </xf>
    <xf numFmtId="0" fontId="20" fillId="42" borderId="0" xfId="10" applyFont="1" applyFill="1" applyBorder="1" applyAlignment="1">
      <alignment wrapText="1"/>
    </xf>
    <xf numFmtId="0" fontId="19" fillId="0" borderId="0" xfId="10" applyNumberFormat="1" applyFont="1" applyFill="1"/>
    <xf numFmtId="0" fontId="19" fillId="0" borderId="6" xfId="10" applyFont="1" applyFill="1" applyBorder="1"/>
    <xf numFmtId="3" fontId="19" fillId="0" borderId="62" xfId="10" applyNumberFormat="1" applyFont="1" applyFill="1" applyBorder="1"/>
    <xf numFmtId="184" fontId="19" fillId="0" borderId="81" xfId="10" applyNumberFormat="1" applyFont="1" applyFill="1" applyBorder="1"/>
    <xf numFmtId="3" fontId="19" fillId="0" borderId="0" xfId="10" applyNumberFormat="1" applyFont="1" applyFill="1"/>
    <xf numFmtId="10" fontId="19" fillId="0" borderId="0" xfId="10" applyNumberFormat="1" applyFont="1" applyFill="1"/>
    <xf numFmtId="3" fontId="19" fillId="0" borderId="62" xfId="10" applyNumberFormat="1" applyFont="1" applyBorder="1"/>
    <xf numFmtId="184" fontId="19" fillId="0" borderId="0" xfId="10" applyNumberFormat="1" applyFont="1" applyBorder="1"/>
    <xf numFmtId="184" fontId="19" fillId="0" borderId="89" xfId="10" applyNumberFormat="1" applyFont="1" applyBorder="1"/>
    <xf numFmtId="3" fontId="19" fillId="0" borderId="90" xfId="10" applyNumberFormat="1" applyFont="1" applyFill="1" applyBorder="1"/>
    <xf numFmtId="3" fontId="19" fillId="0" borderId="89" xfId="10" applyNumberFormat="1" applyFont="1" applyBorder="1"/>
    <xf numFmtId="3" fontId="19" fillId="0" borderId="81" xfId="10" applyNumberFormat="1" applyFont="1" applyBorder="1"/>
    <xf numFmtId="0" fontId="19" fillId="0" borderId="90" xfId="10" applyFont="1" applyBorder="1"/>
    <xf numFmtId="0" fontId="19" fillId="0" borderId="89" xfId="10" applyFont="1" applyBorder="1"/>
    <xf numFmtId="3" fontId="19" fillId="0" borderId="90" xfId="10" applyNumberFormat="1" applyFont="1" applyBorder="1"/>
    <xf numFmtId="0" fontId="19" fillId="0" borderId="0" xfId="10" applyNumberFormat="1" applyFont="1" applyFill="1" applyBorder="1"/>
    <xf numFmtId="0" fontId="19" fillId="48" borderId="0" xfId="10" applyNumberFormat="1" applyFont="1" applyFill="1" applyBorder="1"/>
    <xf numFmtId="0" fontId="19" fillId="48" borderId="6" xfId="10" applyFont="1" applyFill="1" applyBorder="1"/>
    <xf numFmtId="3" fontId="19" fillId="48" borderId="62" xfId="10" applyNumberFormat="1" applyFont="1" applyFill="1" applyBorder="1"/>
    <xf numFmtId="184" fontId="19" fillId="48" borderId="81" xfId="10" applyNumberFormat="1" applyFont="1" applyFill="1" applyBorder="1"/>
    <xf numFmtId="3" fontId="19" fillId="48" borderId="0" xfId="10" applyNumberFormat="1" applyFont="1" applyFill="1"/>
    <xf numFmtId="10" fontId="19" fillId="48" borderId="0" xfId="10" applyNumberFormat="1" applyFont="1" applyFill="1"/>
    <xf numFmtId="3" fontId="19" fillId="48" borderId="2" xfId="10" applyNumberFormat="1" applyFont="1" applyFill="1" applyBorder="1"/>
    <xf numFmtId="3" fontId="19" fillId="48" borderId="4" xfId="10" applyNumberFormat="1" applyFont="1" applyFill="1" applyBorder="1"/>
    <xf numFmtId="3" fontId="19" fillId="48" borderId="0" xfId="10" applyNumberFormat="1" applyFont="1" applyFill="1" applyBorder="1"/>
    <xf numFmtId="3" fontId="19" fillId="48" borderId="3" xfId="10" applyNumberFormat="1" applyFont="1" applyFill="1" applyBorder="1"/>
    <xf numFmtId="184" fontId="19" fillId="48" borderId="0" xfId="10" applyNumberFormat="1" applyFont="1" applyFill="1" applyBorder="1"/>
    <xf numFmtId="184" fontId="19" fillId="48" borderId="89" xfId="10" applyNumberFormat="1" applyFont="1" applyFill="1" applyBorder="1"/>
    <xf numFmtId="3" fontId="19" fillId="48" borderId="90" xfId="10" applyNumberFormat="1" applyFont="1" applyFill="1" applyBorder="1"/>
    <xf numFmtId="3" fontId="19" fillId="48" borderId="89" xfId="10" applyNumberFormat="1" applyFont="1" applyFill="1" applyBorder="1"/>
    <xf numFmtId="0" fontId="20" fillId="0" borderId="24" xfId="10" applyFont="1" applyFill="1" applyBorder="1"/>
    <xf numFmtId="3" fontId="20" fillId="0" borderId="91" xfId="10" applyNumberFormat="1" applyFont="1" applyFill="1" applyBorder="1"/>
    <xf numFmtId="184" fontId="20" fillId="0" borderId="92" xfId="10" applyNumberFormat="1" applyFont="1" applyFill="1" applyBorder="1"/>
    <xf numFmtId="3" fontId="20" fillId="0" borderId="24" xfId="10" applyNumberFormat="1" applyFont="1" applyFill="1" applyBorder="1"/>
    <xf numFmtId="10" fontId="20" fillId="0" borderId="24" xfId="10" applyNumberFormat="1" applyFont="1" applyFill="1" applyBorder="1"/>
    <xf numFmtId="3" fontId="20" fillId="0" borderId="91" xfId="10" applyNumberFormat="1" applyFont="1" applyBorder="1"/>
    <xf numFmtId="3" fontId="20" fillId="0" borderId="79" xfId="10" applyNumberFormat="1" applyFont="1" applyBorder="1"/>
    <xf numFmtId="3" fontId="20" fillId="0" borderId="78" xfId="10" applyNumberFormat="1" applyFont="1" applyBorder="1"/>
    <xf numFmtId="3" fontId="20" fillId="0" borderId="24" xfId="10" applyNumberFormat="1" applyFont="1" applyBorder="1"/>
    <xf numFmtId="184" fontId="20" fillId="0" borderId="24" xfId="10" applyNumberFormat="1" applyFont="1" applyBorder="1"/>
    <xf numFmtId="184" fontId="20" fillId="0" borderId="93" xfId="10" applyNumberFormat="1" applyFont="1" applyBorder="1"/>
    <xf numFmtId="3" fontId="20" fillId="0" borderId="94" xfId="10" applyNumberFormat="1" applyFont="1" applyFill="1" applyBorder="1"/>
    <xf numFmtId="3" fontId="20" fillId="0" borderId="77" xfId="10" applyNumberFormat="1" applyFont="1" applyBorder="1"/>
    <xf numFmtId="3" fontId="20" fillId="0" borderId="93" xfId="10" applyNumberFormat="1" applyFont="1" applyBorder="1"/>
    <xf numFmtId="3" fontId="20" fillId="0" borderId="94" xfId="10" applyNumberFormat="1" applyFont="1" applyBorder="1"/>
    <xf numFmtId="3" fontId="19" fillId="0" borderId="95" xfId="10" applyNumberFormat="1" applyFont="1" applyFill="1" applyBorder="1"/>
    <xf numFmtId="184" fontId="19" fillId="0" borderId="96" xfId="10" applyNumberFormat="1" applyFont="1" applyFill="1" applyBorder="1"/>
    <xf numFmtId="3" fontId="19" fillId="0" borderId="87" xfId="10" applyNumberFormat="1" applyFont="1" applyFill="1" applyBorder="1"/>
    <xf numFmtId="184" fontId="19" fillId="0" borderId="88" xfId="10" applyNumberFormat="1" applyFont="1" applyFill="1" applyBorder="1"/>
    <xf numFmtId="3" fontId="19" fillId="0" borderId="10" xfId="10" applyNumberFormat="1" applyFont="1" applyFill="1" applyBorder="1"/>
    <xf numFmtId="10" fontId="19" fillId="0" borderId="10" xfId="10" applyNumberFormat="1" applyFont="1" applyFill="1" applyBorder="1"/>
    <xf numFmtId="0" fontId="19" fillId="0" borderId="24" xfId="10" applyFont="1" applyFill="1" applyBorder="1"/>
    <xf numFmtId="3" fontId="19" fillId="0" borderId="5" xfId="10" applyNumberFormat="1" applyFont="1" applyFill="1" applyBorder="1"/>
    <xf numFmtId="10" fontId="19" fillId="0" borderId="0" xfId="10" applyNumberFormat="1" applyFont="1" applyFill="1" applyBorder="1"/>
    <xf numFmtId="0" fontId="19" fillId="0" borderId="0" xfId="10" applyFont="1" applyFill="1" applyAlignment="1">
      <alignment wrapText="1"/>
    </xf>
    <xf numFmtId="3" fontId="19" fillId="0" borderId="0" xfId="10" applyNumberFormat="1" applyFont="1" applyFill="1" applyAlignment="1">
      <alignment horizontal="right" wrapText="1"/>
    </xf>
    <xf numFmtId="3" fontId="19" fillId="0" borderId="62" xfId="10" applyNumberFormat="1" applyFont="1" applyFill="1" applyBorder="1" applyAlignment="1">
      <alignment horizontal="right" wrapText="1"/>
    </xf>
    <xf numFmtId="0" fontId="19" fillId="0" borderId="0" xfId="10" applyFont="1" applyFill="1" applyAlignment="1">
      <alignment horizontal="right" wrapText="1"/>
    </xf>
    <xf numFmtId="0" fontId="19" fillId="0" borderId="62" xfId="10" applyFont="1" applyFill="1" applyBorder="1" applyAlignment="1">
      <alignment horizontal="right" wrapText="1"/>
    </xf>
    <xf numFmtId="0" fontId="20" fillId="0" borderId="24" xfId="10" applyFont="1" applyBorder="1"/>
    <xf numFmtId="184" fontId="20" fillId="0" borderId="92" xfId="10" applyNumberFormat="1" applyFont="1" applyBorder="1"/>
    <xf numFmtId="10" fontId="20" fillId="0" borderId="24" xfId="10" applyNumberFormat="1" applyFont="1" applyBorder="1"/>
    <xf numFmtId="0" fontId="19" fillId="0" borderId="62" xfId="10" applyFont="1" applyBorder="1"/>
    <xf numFmtId="0" fontId="19" fillId="0" borderId="81" xfId="10" applyFont="1" applyBorder="1"/>
    <xf numFmtId="10" fontId="19" fillId="0" borderId="0" xfId="10" applyNumberFormat="1" applyFont="1"/>
    <xf numFmtId="3" fontId="19" fillId="0" borderId="24" xfId="10" applyNumberFormat="1" applyFont="1" applyBorder="1"/>
    <xf numFmtId="10" fontId="19" fillId="0" borderId="24" xfId="10" applyNumberFormat="1" applyFont="1" applyBorder="1"/>
    <xf numFmtId="169" fontId="19" fillId="0" borderId="24" xfId="10" applyNumberFormat="1" applyFont="1" applyBorder="1"/>
    <xf numFmtId="169" fontId="19" fillId="0" borderId="5" xfId="10" applyNumberFormat="1" applyFont="1" applyBorder="1"/>
    <xf numFmtId="0" fontId="94" fillId="2" borderId="24" xfId="10" applyFont="1" applyFill="1" applyBorder="1"/>
    <xf numFmtId="0" fontId="23" fillId="2" borderId="24" xfId="10" applyFont="1" applyFill="1" applyBorder="1"/>
    <xf numFmtId="3" fontId="94" fillId="2" borderId="91" xfId="10" applyNumberFormat="1" applyFont="1" applyFill="1" applyBorder="1"/>
    <xf numFmtId="10" fontId="94" fillId="2" borderId="92" xfId="10" applyNumberFormat="1" applyFont="1" applyFill="1" applyBorder="1"/>
    <xf numFmtId="3" fontId="94" fillId="2" borderId="24" xfId="10" applyNumberFormat="1" applyFont="1" applyFill="1" applyBorder="1"/>
    <xf numFmtId="10" fontId="94" fillId="2" borderId="24" xfId="10" applyNumberFormat="1" applyFont="1" applyFill="1" applyBorder="1"/>
    <xf numFmtId="3" fontId="94" fillId="2" borderId="77" xfId="10" applyNumberFormat="1" applyFont="1" applyFill="1" applyBorder="1"/>
    <xf numFmtId="10" fontId="94" fillId="2" borderId="77" xfId="10" applyNumberFormat="1" applyFont="1" applyFill="1" applyBorder="1"/>
    <xf numFmtId="169" fontId="94" fillId="2" borderId="93" xfId="10" applyNumberFormat="1" applyFont="1" applyFill="1" applyBorder="1"/>
    <xf numFmtId="3" fontId="94" fillId="2" borderId="94" xfId="10" applyNumberFormat="1" applyFont="1" applyFill="1" applyBorder="1"/>
    <xf numFmtId="3" fontId="94" fillId="2" borderId="93" xfId="10" applyNumberFormat="1" applyFont="1" applyFill="1" applyBorder="1"/>
    <xf numFmtId="10" fontId="20" fillId="0" borderId="0" xfId="10" applyNumberFormat="1" applyFont="1"/>
    <xf numFmtId="0" fontId="90" fillId="63" borderId="11" xfId="10" applyFont="1" applyFill="1" applyBorder="1"/>
    <xf numFmtId="0" fontId="19" fillId="63" borderId="5" xfId="10" applyFont="1" applyFill="1" applyBorder="1"/>
    <xf numFmtId="0" fontId="19" fillId="63" borderId="12" xfId="10" applyFont="1" applyFill="1" applyBorder="1"/>
    <xf numFmtId="0" fontId="20" fillId="63" borderId="11" xfId="10" applyFont="1" applyFill="1" applyBorder="1"/>
    <xf numFmtId="3" fontId="19" fillId="63" borderId="5" xfId="10" applyNumberFormat="1" applyFont="1" applyFill="1" applyBorder="1"/>
    <xf numFmtId="3" fontId="19" fillId="63" borderId="12" xfId="10" applyNumberFormat="1" applyFont="1" applyFill="1" applyBorder="1"/>
    <xf numFmtId="0" fontId="19" fillId="63" borderId="6" xfId="10" quotePrefix="1" applyFont="1" applyFill="1" applyBorder="1"/>
    <xf numFmtId="0" fontId="19" fillId="63" borderId="0" xfId="10" applyFont="1" applyFill="1" applyBorder="1"/>
    <xf numFmtId="0" fontId="19" fillId="63" borderId="7" xfId="10" applyFont="1" applyFill="1" applyBorder="1"/>
    <xf numFmtId="3" fontId="19" fillId="63" borderId="0" xfId="10" applyNumberFormat="1" applyFont="1" applyFill="1" applyBorder="1"/>
    <xf numFmtId="3" fontId="19" fillId="63" borderId="7" xfId="10" applyNumberFormat="1" applyFont="1" applyFill="1" applyBorder="1"/>
    <xf numFmtId="0" fontId="19" fillId="63" borderId="0" xfId="10" quotePrefix="1" applyFont="1" applyFill="1" applyBorder="1"/>
    <xf numFmtId="0" fontId="19" fillId="63" borderId="6" xfId="10" applyFont="1" applyFill="1" applyBorder="1"/>
    <xf numFmtId="10" fontId="19" fillId="63" borderId="7" xfId="10" applyNumberFormat="1" applyFont="1" applyFill="1" applyBorder="1"/>
    <xf numFmtId="0" fontId="19" fillId="63" borderId="8" xfId="10" applyFont="1" applyFill="1" applyBorder="1"/>
    <xf numFmtId="0" fontId="19" fillId="63" borderId="10" xfId="10" quotePrefix="1" applyFont="1" applyFill="1" applyBorder="1"/>
    <xf numFmtId="0" fontId="19" fillId="63" borderId="10" xfId="10" applyFont="1" applyFill="1" applyBorder="1"/>
    <xf numFmtId="0" fontId="19" fillId="63" borderId="9" xfId="10" applyFont="1" applyFill="1" applyBorder="1"/>
    <xf numFmtId="10" fontId="19" fillId="63" borderId="9" xfId="10" applyNumberFormat="1" applyFont="1" applyFill="1" applyBorder="1"/>
    <xf numFmtId="2" fontId="14" fillId="0" borderId="55" xfId="10" applyNumberFormat="1" applyFont="1" applyBorder="1" applyAlignment="1">
      <alignment horizontal="center"/>
    </xf>
    <xf numFmtId="2" fontId="14" fillId="0" borderId="3" xfId="10" applyNumberFormat="1" applyFont="1" applyFill="1" applyBorder="1" applyAlignment="1">
      <alignment horizontal="center"/>
    </xf>
    <xf numFmtId="2" fontId="14" fillId="0" borderId="3" xfId="10" applyNumberFormat="1" applyFont="1" applyBorder="1" applyAlignment="1">
      <alignment horizontal="center"/>
    </xf>
    <xf numFmtId="2" fontId="14" fillId="0" borderId="54" xfId="10" applyNumberFormat="1" applyFont="1" applyBorder="1" applyAlignment="1">
      <alignment horizontal="center"/>
    </xf>
    <xf numFmtId="2" fontId="14" fillId="0" borderId="55" xfId="10" applyNumberFormat="1" applyFont="1" applyFill="1" applyBorder="1" applyAlignment="1">
      <alignment horizontal="center"/>
    </xf>
    <xf numFmtId="2" fontId="14" fillId="0" borderId="54" xfId="10" applyNumberFormat="1" applyFont="1" applyFill="1" applyBorder="1" applyAlignment="1">
      <alignment horizontal="center"/>
    </xf>
    <xf numFmtId="0" fontId="55" fillId="40" borderId="120" xfId="10" applyFont="1" applyFill="1" applyBorder="1" applyAlignment="1">
      <alignment horizontal="left"/>
    </xf>
    <xf numFmtId="0" fontId="55" fillId="40" borderId="52" xfId="10" applyFont="1" applyFill="1" applyBorder="1" applyAlignment="1">
      <alignment horizontal="left"/>
    </xf>
    <xf numFmtId="0" fontId="55" fillId="40" borderId="119" xfId="10" applyFont="1" applyFill="1" applyBorder="1" applyAlignment="1">
      <alignment horizontal="center"/>
    </xf>
    <xf numFmtId="0" fontId="14" fillId="0" borderId="0" xfId="10" applyFont="1" applyBorder="1" applyAlignment="1">
      <alignment horizontal="center"/>
    </xf>
    <xf numFmtId="0" fontId="171" fillId="0" borderId="100" xfId="10" applyFont="1" applyBorder="1" applyAlignment="1">
      <alignment horizontal="center"/>
    </xf>
    <xf numFmtId="0" fontId="171" fillId="2" borderId="120" xfId="10" applyFont="1" applyFill="1" applyBorder="1" applyAlignment="1">
      <alignment horizontal="center"/>
    </xf>
    <xf numFmtId="0" fontId="171" fillId="2" borderId="52" xfId="10" applyFont="1" applyFill="1" applyBorder="1" applyAlignment="1">
      <alignment horizontal="center"/>
    </xf>
    <xf numFmtId="0" fontId="171" fillId="2" borderId="119" xfId="10" applyFont="1" applyFill="1" applyBorder="1" applyAlignment="1">
      <alignment horizontal="center"/>
    </xf>
    <xf numFmtId="0" fontId="69" fillId="0" borderId="0" xfId="10" applyFont="1" applyAlignment="1">
      <alignment horizontal="left"/>
    </xf>
    <xf numFmtId="176" fontId="52" fillId="40" borderId="52" xfId="10" applyNumberFormat="1" applyFont="1" applyFill="1" applyBorder="1" applyAlignment="1">
      <alignment horizontal="center"/>
    </xf>
    <xf numFmtId="0" fontId="19" fillId="59" borderId="53" xfId="10" applyFont="1" applyFill="1" applyBorder="1"/>
    <xf numFmtId="177" fontId="19" fillId="51" borderId="0" xfId="10" applyNumberFormat="1" applyFont="1" applyFill="1" applyBorder="1"/>
    <xf numFmtId="0" fontId="20" fillId="61" borderId="53" xfId="10" applyFont="1" applyFill="1" applyBorder="1"/>
    <xf numFmtId="0" fontId="19" fillId="61" borderId="52" xfId="10" applyFont="1" applyFill="1" applyBorder="1"/>
    <xf numFmtId="177" fontId="52" fillId="40" borderId="53" xfId="10" applyNumberFormat="1" applyFont="1" applyFill="1" applyBorder="1" applyAlignment="1">
      <alignment horizontal="center"/>
    </xf>
    <xf numFmtId="0" fontId="52" fillId="40" borderId="2" xfId="10" applyFont="1" applyFill="1" applyBorder="1" applyAlignment="1">
      <alignment horizontal="center"/>
    </xf>
    <xf numFmtId="176" fontId="20" fillId="0" borderId="0" xfId="10" applyNumberFormat="1" applyFont="1" applyBorder="1" applyAlignment="1">
      <alignment horizontal="center"/>
    </xf>
    <xf numFmtId="177" fontId="19" fillId="0" borderId="4" xfId="10" applyNumberFormat="1" applyFont="1" applyBorder="1" applyAlignment="1">
      <alignment horizontal="center"/>
    </xf>
    <xf numFmtId="0" fontId="52" fillId="2" borderId="51" xfId="10" applyFont="1" applyFill="1" applyBorder="1" applyAlignment="1">
      <alignment horizontal="center"/>
    </xf>
    <xf numFmtId="176" fontId="52" fillId="40" borderId="47" xfId="10" applyNumberFormat="1" applyFont="1" applyFill="1" applyBorder="1" applyAlignment="1">
      <alignment horizontal="center"/>
    </xf>
    <xf numFmtId="0" fontId="52" fillId="40" borderId="48" xfId="10" applyFont="1" applyFill="1" applyBorder="1"/>
    <xf numFmtId="0" fontId="52" fillId="40" borderId="23" xfId="10" applyFont="1" applyFill="1" applyBorder="1"/>
    <xf numFmtId="174" fontId="19" fillId="0" borderId="0" xfId="10" applyNumberFormat="1" applyFont="1" applyFill="1" applyBorder="1" applyAlignment="1">
      <alignment horizontal="center"/>
    </xf>
    <xf numFmtId="0" fontId="20" fillId="2" borderId="23" xfId="10" applyFont="1" applyFill="1" applyBorder="1"/>
    <xf numFmtId="0" fontId="55" fillId="40" borderId="46" xfId="10" applyFont="1" applyFill="1" applyBorder="1" applyAlignment="1">
      <alignment horizontal="center"/>
    </xf>
    <xf numFmtId="0" fontId="55" fillId="40" borderId="47" xfId="10" applyFont="1" applyFill="1" applyBorder="1" applyAlignment="1">
      <alignment horizontal="center"/>
    </xf>
    <xf numFmtId="0" fontId="55" fillId="40" borderId="48" xfId="10" applyFont="1" applyFill="1" applyBorder="1" applyAlignment="1">
      <alignment horizontal="center"/>
    </xf>
    <xf numFmtId="177" fontId="19" fillId="0" borderId="2" xfId="10" applyNumberFormat="1" applyFont="1" applyBorder="1"/>
    <xf numFmtId="176" fontId="20" fillId="0" borderId="4" xfId="10" applyNumberFormat="1" applyFont="1" applyBorder="1" applyAlignment="1">
      <alignment horizontal="center"/>
    </xf>
    <xf numFmtId="0" fontId="19" fillId="0" borderId="52" xfId="10" applyFont="1" applyBorder="1"/>
    <xf numFmtId="0" fontId="19" fillId="40" borderId="51" xfId="10" applyFont="1" applyFill="1" applyBorder="1"/>
    <xf numFmtId="0" fontId="19" fillId="40" borderId="52" xfId="10" applyFont="1" applyFill="1" applyBorder="1"/>
    <xf numFmtId="0" fontId="19" fillId="59" borderId="51" xfId="10" applyFont="1" applyFill="1" applyBorder="1"/>
    <xf numFmtId="177" fontId="19" fillId="0" borderId="52" xfId="10" applyNumberFormat="1" applyFont="1" applyBorder="1"/>
    <xf numFmtId="0" fontId="52" fillId="40" borderId="46" xfId="10" applyFont="1" applyFill="1" applyBorder="1"/>
    <xf numFmtId="177" fontId="19" fillId="0" borderId="48" xfId="10" applyNumberFormat="1" applyFont="1" applyBorder="1" applyAlignment="1">
      <alignment horizontal="center"/>
    </xf>
    <xf numFmtId="177" fontId="20" fillId="0" borderId="0" xfId="10" applyNumberFormat="1" applyFont="1"/>
    <xf numFmtId="0" fontId="55" fillId="40" borderId="11" xfId="10" applyFont="1" applyFill="1" applyBorder="1" applyAlignment="1">
      <alignment horizontal="center"/>
    </xf>
    <xf numFmtId="0" fontId="55" fillId="40" borderId="80" xfId="10" applyFont="1" applyFill="1" applyBorder="1" applyAlignment="1">
      <alignment horizontal="center"/>
    </xf>
    <xf numFmtId="0" fontId="55" fillId="40" borderId="5" xfId="10" applyFont="1" applyFill="1" applyBorder="1" applyAlignment="1">
      <alignment horizontal="center"/>
    </xf>
    <xf numFmtId="0" fontId="55" fillId="40" borderId="121" xfId="10" applyFont="1" applyFill="1" applyBorder="1" applyAlignment="1">
      <alignment horizontal="center"/>
    </xf>
    <xf numFmtId="176" fontId="55" fillId="40" borderId="5" xfId="10" applyNumberFormat="1" applyFont="1" applyFill="1" applyBorder="1" applyAlignment="1">
      <alignment horizontal="center"/>
    </xf>
    <xf numFmtId="176" fontId="55" fillId="40" borderId="12" xfId="10" applyNumberFormat="1" applyFont="1" applyFill="1" applyBorder="1" applyAlignment="1">
      <alignment horizontal="center"/>
    </xf>
    <xf numFmtId="0" fontId="21" fillId="0" borderId="6" xfId="10" applyFont="1" applyBorder="1" applyAlignment="1">
      <alignment horizontal="left"/>
    </xf>
    <xf numFmtId="0" fontId="19" fillId="5" borderId="51" xfId="10" applyFont="1" applyFill="1" applyBorder="1" applyAlignment="1">
      <alignment horizontal="center"/>
    </xf>
    <xf numFmtId="0" fontId="20" fillId="5" borderId="51" xfId="10" applyFont="1" applyFill="1" applyBorder="1"/>
    <xf numFmtId="0" fontId="20" fillId="5" borderId="52" xfId="10" applyFont="1" applyFill="1" applyBorder="1"/>
    <xf numFmtId="0" fontId="20" fillId="5" borderId="53" xfId="10" applyFont="1" applyFill="1" applyBorder="1"/>
    <xf numFmtId="177" fontId="20" fillId="5" borderId="52" xfId="10" applyNumberFormat="1" applyFont="1" applyFill="1" applyBorder="1"/>
    <xf numFmtId="177" fontId="19" fillId="5" borderId="53" xfId="10" applyNumberFormat="1" applyFont="1" applyFill="1" applyBorder="1"/>
    <xf numFmtId="177" fontId="19" fillId="50" borderId="0" xfId="10" applyNumberFormat="1" applyFont="1" applyFill="1" applyBorder="1"/>
    <xf numFmtId="0" fontId="19" fillId="2" borderId="23" xfId="10" applyFont="1" applyFill="1" applyBorder="1" applyAlignment="1">
      <alignment horizontal="center"/>
    </xf>
    <xf numFmtId="0" fontId="20" fillId="2" borderId="79" xfId="10" applyFont="1" applyFill="1" applyBorder="1"/>
    <xf numFmtId="0" fontId="20" fillId="2" borderId="78" xfId="10" applyFont="1" applyFill="1" applyBorder="1"/>
    <xf numFmtId="177" fontId="20" fillId="2" borderId="24" xfId="10" applyNumberFormat="1" applyFont="1" applyFill="1" applyBorder="1"/>
    <xf numFmtId="177" fontId="7" fillId="0" borderId="0" xfId="78" applyNumberFormat="1" applyFont="1"/>
    <xf numFmtId="0" fontId="7" fillId="0" borderId="0" xfId="78" applyFont="1"/>
    <xf numFmtId="177" fontId="19" fillId="0" borderId="0" xfId="78" applyNumberFormat="1" applyFont="1"/>
    <xf numFmtId="0" fontId="19" fillId="0" borderId="0" xfId="78" applyFont="1"/>
    <xf numFmtId="0" fontId="19" fillId="0" borderId="25" xfId="78" applyFont="1" applyBorder="1"/>
    <xf numFmtId="174" fontId="19" fillId="0" borderId="0" xfId="78" applyNumberFormat="1" applyFont="1" applyBorder="1" applyAlignment="1">
      <alignment horizontal="center"/>
    </xf>
    <xf numFmtId="174" fontId="19" fillId="0" borderId="5" xfId="78" applyNumberFormat="1" applyFont="1" applyBorder="1" applyAlignment="1">
      <alignment horizontal="center"/>
    </xf>
    <xf numFmtId="177" fontId="19" fillId="0" borderId="0" xfId="78" applyNumberFormat="1" applyFont="1" applyBorder="1"/>
    <xf numFmtId="174" fontId="19" fillId="0" borderId="10" xfId="78" applyNumberFormat="1" applyFont="1" applyBorder="1" applyAlignment="1">
      <alignment horizontal="center"/>
    </xf>
    <xf numFmtId="0" fontId="20" fillId="2" borderId="27" xfId="78" applyFont="1" applyFill="1" applyBorder="1"/>
    <xf numFmtId="174" fontId="20" fillId="2" borderId="24" xfId="78" applyNumberFormat="1" applyFont="1" applyFill="1" applyBorder="1" applyAlignment="1">
      <alignment horizontal="center"/>
    </xf>
    <xf numFmtId="0" fontId="69" fillId="0" borderId="0" xfId="78" applyFont="1" applyAlignment="1">
      <alignment horizontal="left"/>
    </xf>
    <xf numFmtId="0" fontId="19" fillId="0" borderId="0" xfId="78" applyFont="1" applyAlignment="1">
      <alignment horizontal="center"/>
    </xf>
    <xf numFmtId="0" fontId="55" fillId="40" borderId="46" xfId="78" applyFont="1" applyFill="1" applyBorder="1" applyAlignment="1">
      <alignment horizontal="center"/>
    </xf>
    <xf numFmtId="0" fontId="55" fillId="40" borderId="47" xfId="78" applyFont="1" applyFill="1" applyBorder="1" applyAlignment="1">
      <alignment horizontal="center"/>
    </xf>
    <xf numFmtId="176" fontId="55" fillId="40" borderId="47" xfId="78" applyNumberFormat="1" applyFont="1" applyFill="1" applyBorder="1" applyAlignment="1">
      <alignment horizontal="center"/>
    </xf>
    <xf numFmtId="176" fontId="55" fillId="40" borderId="48" xfId="78" applyNumberFormat="1" applyFont="1" applyFill="1" applyBorder="1" applyAlignment="1">
      <alignment horizontal="center"/>
    </xf>
    <xf numFmtId="177" fontId="19" fillId="0" borderId="0" xfId="78" applyNumberFormat="1" applyFont="1" applyAlignment="1">
      <alignment horizontal="center"/>
    </xf>
    <xf numFmtId="0" fontId="20" fillId="59" borderId="51" xfId="78" applyFont="1" applyFill="1" applyBorder="1" applyAlignment="1">
      <alignment horizontal="left"/>
    </xf>
    <xf numFmtId="0" fontId="19" fillId="59" borderId="52" xfId="78" applyFont="1" applyFill="1" applyBorder="1"/>
    <xf numFmtId="177" fontId="19" fillId="59" borderId="52" xfId="78" applyNumberFormat="1" applyFont="1" applyFill="1" applyBorder="1"/>
    <xf numFmtId="177" fontId="19" fillId="59" borderId="53" xfId="78" applyNumberFormat="1" applyFont="1" applyFill="1" applyBorder="1"/>
    <xf numFmtId="0" fontId="21" fillId="0" borderId="46" xfId="78" applyFont="1" applyBorder="1" applyAlignment="1">
      <alignment horizontal="left"/>
    </xf>
    <xf numFmtId="0" fontId="19" fillId="0" borderId="47" xfId="78" applyFont="1" applyBorder="1"/>
    <xf numFmtId="0" fontId="19" fillId="0" borderId="48" xfId="78" applyFont="1" applyBorder="1"/>
    <xf numFmtId="0" fontId="19" fillId="0" borderId="0" xfId="78" applyFont="1" applyBorder="1"/>
    <xf numFmtId="177" fontId="19" fillId="0" borderId="4" xfId="78" applyNumberFormat="1" applyFont="1" applyBorder="1"/>
    <xf numFmtId="0" fontId="19" fillId="0" borderId="2" xfId="78" applyFont="1" applyBorder="1" applyAlignment="1">
      <alignment horizontal="center"/>
    </xf>
    <xf numFmtId="0" fontId="19" fillId="0" borderId="4" xfId="78" applyFont="1" applyBorder="1"/>
    <xf numFmtId="0" fontId="19" fillId="61" borderId="51" xfId="78" applyFont="1" applyFill="1" applyBorder="1" applyAlignment="1">
      <alignment horizontal="center"/>
    </xf>
    <xf numFmtId="0" fontId="20" fillId="61" borderId="52" xfId="78" applyFont="1" applyFill="1" applyBorder="1"/>
    <xf numFmtId="0" fontId="20" fillId="61" borderId="53" xfId="78" applyFont="1" applyFill="1" applyBorder="1"/>
    <xf numFmtId="177" fontId="20" fillId="61" borderId="52" xfId="78" applyNumberFormat="1" applyFont="1" applyFill="1" applyBorder="1"/>
    <xf numFmtId="0" fontId="21" fillId="0" borderId="2" xfId="78" applyFont="1" applyBorder="1" applyAlignment="1">
      <alignment horizontal="left"/>
    </xf>
    <xf numFmtId="4" fontId="19" fillId="0" borderId="0" xfId="78" applyNumberFormat="1" applyFont="1" applyBorder="1"/>
    <xf numFmtId="0" fontId="19" fillId="2" borderId="51" xfId="78" applyFont="1" applyFill="1" applyBorder="1" applyAlignment="1">
      <alignment horizontal="center"/>
    </xf>
    <xf numFmtId="0" fontId="20" fillId="2" borderId="52" xfId="78" applyFont="1" applyFill="1" applyBorder="1"/>
    <xf numFmtId="0" fontId="20" fillId="2" borderId="53" xfId="78" applyFont="1" applyFill="1" applyBorder="1"/>
    <xf numFmtId="177" fontId="20" fillId="2" borderId="52" xfId="78" applyNumberFormat="1" applyFont="1" applyFill="1" applyBorder="1"/>
    <xf numFmtId="177" fontId="19" fillId="2" borderId="52" xfId="78" applyNumberFormat="1" applyFont="1" applyFill="1" applyBorder="1"/>
    <xf numFmtId="177" fontId="19" fillId="2" borderId="53" xfId="78" applyNumberFormat="1" applyFont="1" applyFill="1" applyBorder="1"/>
    <xf numFmtId="0" fontId="19" fillId="59" borderId="53" xfId="78" applyFont="1" applyFill="1" applyBorder="1"/>
    <xf numFmtId="176" fontId="20" fillId="59" borderId="52" xfId="78" applyNumberFormat="1" applyFont="1" applyFill="1" applyBorder="1" applyAlignment="1">
      <alignment horizontal="center"/>
    </xf>
    <xf numFmtId="177" fontId="19" fillId="0" borderId="0" xfId="78" applyNumberFormat="1" applyFont="1" applyBorder="1" applyAlignment="1">
      <alignment horizontal="center"/>
    </xf>
    <xf numFmtId="0" fontId="20" fillId="0" borderId="0" xfId="78" applyFont="1" applyAlignment="1">
      <alignment horizontal="center"/>
    </xf>
    <xf numFmtId="0" fontId="20" fillId="0" borderId="0" xfId="78" applyFont="1"/>
    <xf numFmtId="0" fontId="52" fillId="40" borderId="51" xfId="78" applyFont="1" applyFill="1" applyBorder="1" applyAlignment="1">
      <alignment horizontal="center"/>
    </xf>
    <xf numFmtId="0" fontId="52" fillId="40" borderId="51" xfId="78" applyFont="1" applyFill="1" applyBorder="1"/>
    <xf numFmtId="0" fontId="52" fillId="40" borderId="52" xfId="78" applyFont="1" applyFill="1" applyBorder="1"/>
    <xf numFmtId="177" fontId="52" fillId="40" borderId="52" xfId="78" applyNumberFormat="1" applyFont="1" applyFill="1" applyBorder="1"/>
    <xf numFmtId="177" fontId="52" fillId="40" borderId="53" xfId="78" applyNumberFormat="1" applyFont="1" applyFill="1" applyBorder="1" applyAlignment="1">
      <alignment horizontal="center"/>
    </xf>
    <xf numFmtId="176" fontId="55" fillId="40" borderId="52" xfId="78" applyNumberFormat="1" applyFont="1" applyFill="1" applyBorder="1" applyAlignment="1">
      <alignment horizontal="center"/>
    </xf>
    <xf numFmtId="177" fontId="52" fillId="40" borderId="53" xfId="78" applyNumberFormat="1" applyFont="1" applyFill="1" applyBorder="1"/>
    <xf numFmtId="0" fontId="52" fillId="40" borderId="46" xfId="78" applyFont="1" applyFill="1" applyBorder="1" applyAlignment="1">
      <alignment horizontal="center"/>
    </xf>
    <xf numFmtId="0" fontId="20" fillId="0" borderId="2" xfId="78" applyFont="1" applyBorder="1"/>
    <xf numFmtId="177" fontId="19" fillId="0" borderId="4" xfId="78" applyNumberFormat="1" applyFont="1" applyBorder="1" applyAlignment="1">
      <alignment horizontal="center"/>
    </xf>
    <xf numFmtId="0" fontId="52" fillId="40" borderId="2" xfId="78" applyFont="1" applyFill="1" applyBorder="1" applyAlignment="1">
      <alignment horizontal="center"/>
    </xf>
    <xf numFmtId="0" fontId="19" fillId="0" borderId="2" xfId="78" applyFont="1" applyBorder="1"/>
    <xf numFmtId="177" fontId="19" fillId="0" borderId="4" xfId="78" applyNumberFormat="1" applyFont="1" applyBorder="1" applyAlignment="1">
      <alignment horizontal="right"/>
    </xf>
    <xf numFmtId="177" fontId="20" fillId="0" borderId="0" xfId="78" applyNumberFormat="1" applyFont="1" applyBorder="1"/>
    <xf numFmtId="0" fontId="52" fillId="2" borderId="51" xfId="78" applyFont="1" applyFill="1" applyBorder="1" applyAlignment="1">
      <alignment horizontal="center"/>
    </xf>
    <xf numFmtId="0" fontId="20" fillId="2" borderId="51" xfId="78" applyFont="1" applyFill="1" applyBorder="1"/>
    <xf numFmtId="0" fontId="21" fillId="0" borderId="0" xfId="78" applyFont="1"/>
    <xf numFmtId="0" fontId="52" fillId="0" borderId="0" xfId="78" applyFont="1" applyFill="1" applyAlignment="1">
      <alignment horizontal="center"/>
    </xf>
    <xf numFmtId="0" fontId="52" fillId="0" borderId="0" xfId="78" applyFont="1" applyFill="1"/>
    <xf numFmtId="177" fontId="52" fillId="0" borderId="0" xfId="78" applyNumberFormat="1" applyFont="1" applyFill="1"/>
    <xf numFmtId="177" fontId="19" fillId="0" borderId="0" xfId="78" applyNumberFormat="1" applyFont="1" applyFill="1"/>
    <xf numFmtId="0" fontId="19" fillId="0" borderId="0" xfId="78" applyFont="1" applyFill="1"/>
    <xf numFmtId="0" fontId="55" fillId="40" borderId="51" xfId="78" applyFont="1" applyFill="1" applyBorder="1" applyAlignment="1">
      <alignment horizontal="center"/>
    </xf>
    <xf numFmtId="0" fontId="55" fillId="40" borderId="52" xfId="78" applyFont="1" applyFill="1" applyBorder="1" applyAlignment="1">
      <alignment horizontal="center"/>
    </xf>
    <xf numFmtId="176" fontId="55" fillId="40" borderId="53" xfId="78" applyNumberFormat="1" applyFont="1" applyFill="1" applyBorder="1" applyAlignment="1">
      <alignment horizontal="center"/>
    </xf>
    <xf numFmtId="177" fontId="19" fillId="0" borderId="0" xfId="78" applyNumberFormat="1" applyFont="1" applyFill="1" applyBorder="1"/>
    <xf numFmtId="0" fontId="19" fillId="2" borderId="49" xfId="78" applyFont="1" applyFill="1" applyBorder="1" applyAlignment="1">
      <alignment horizontal="center"/>
    </xf>
    <xf numFmtId="0" fontId="20" fillId="2" borderId="29" xfId="78" applyFont="1" applyFill="1" applyBorder="1"/>
    <xf numFmtId="177" fontId="20" fillId="2" borderId="29" xfId="78" applyNumberFormat="1" applyFont="1" applyFill="1" applyBorder="1"/>
    <xf numFmtId="0" fontId="7" fillId="0" borderId="0" xfId="78" applyFont="1" applyAlignment="1">
      <alignment horizontal="center"/>
    </xf>
    <xf numFmtId="177" fontId="7" fillId="0" borderId="0" xfId="78" applyNumberFormat="1" applyFont="1" applyFill="1"/>
    <xf numFmtId="0" fontId="21" fillId="0" borderId="0" xfId="10" applyFont="1"/>
    <xf numFmtId="0" fontId="52" fillId="40" borderId="1" xfId="10" applyFont="1" applyFill="1" applyBorder="1" applyAlignment="1">
      <alignment horizontal="center"/>
    </xf>
    <xf numFmtId="177" fontId="19" fillId="0" borderId="48" xfId="10" applyNumberFormat="1" applyFont="1" applyBorder="1" applyAlignment="1">
      <alignment horizontal="right"/>
    </xf>
    <xf numFmtId="177" fontId="171" fillId="0" borderId="29" xfId="10" applyNumberFormat="1" applyFont="1" applyBorder="1"/>
    <xf numFmtId="177" fontId="52" fillId="0" borderId="0" xfId="10" applyNumberFormat="1" applyFont="1" applyAlignment="1">
      <alignment horizontal="center"/>
    </xf>
    <xf numFmtId="0" fontId="52" fillId="0" borderId="0" xfId="10" applyFont="1" applyAlignment="1">
      <alignment horizontal="center"/>
    </xf>
    <xf numFmtId="177" fontId="52" fillId="0" borderId="0" xfId="10" applyNumberFormat="1" applyFont="1"/>
    <xf numFmtId="0" fontId="52" fillId="0" borderId="0" xfId="10" applyFont="1"/>
    <xf numFmtId="177" fontId="19" fillId="0" borderId="0" xfId="10" applyNumberFormat="1" applyFont="1" applyFill="1" applyBorder="1"/>
    <xf numFmtId="176" fontId="52" fillId="0" borderId="0" xfId="10" applyNumberFormat="1" applyFont="1"/>
    <xf numFmtId="176" fontId="19" fillId="0" borderId="0" xfId="10" applyNumberFormat="1" applyFont="1"/>
    <xf numFmtId="0" fontId="52" fillId="0" borderId="0" xfId="10" applyFont="1" applyFill="1" applyBorder="1"/>
    <xf numFmtId="174" fontId="19" fillId="0" borderId="7" xfId="10" applyNumberFormat="1" applyFont="1" applyBorder="1" applyAlignment="1">
      <alignment horizontal="center"/>
    </xf>
    <xf numFmtId="177" fontId="20" fillId="61" borderId="53" xfId="10" applyNumberFormat="1" applyFont="1" applyFill="1" applyBorder="1"/>
    <xf numFmtId="177" fontId="19" fillId="0" borderId="4" xfId="10" applyNumberFormat="1" applyFont="1" applyFill="1" applyBorder="1"/>
    <xf numFmtId="0" fontId="190" fillId="0" borderId="0" xfId="0" applyFont="1" applyFill="1"/>
    <xf numFmtId="0" fontId="191" fillId="0" borderId="0" xfId="10" applyFont="1" applyFill="1"/>
    <xf numFmtId="0" fontId="20" fillId="0" borderId="2" xfId="10" applyFont="1" applyBorder="1" applyAlignment="1">
      <alignment horizontal="left"/>
    </xf>
    <xf numFmtId="3" fontId="19" fillId="0" borderId="50" xfId="10" applyNumberFormat="1" applyFont="1" applyBorder="1"/>
    <xf numFmtId="0" fontId="52" fillId="40" borderId="1" xfId="10" applyFont="1" applyFill="1" applyBorder="1"/>
    <xf numFmtId="3" fontId="52" fillId="40" borderId="52" xfId="10" applyNumberFormat="1" applyFont="1" applyFill="1" applyBorder="1"/>
    <xf numFmtId="0" fontId="194" fillId="3" borderId="22" xfId="1" applyFont="1" applyFill="1" applyBorder="1" applyAlignment="1">
      <alignment horizontal="center" vertical="center"/>
    </xf>
    <xf numFmtId="0" fontId="18" fillId="4" borderId="160" xfId="0" applyFont="1" applyFill="1" applyBorder="1" applyAlignment="1">
      <alignment vertical="center"/>
    </xf>
    <xf numFmtId="0" fontId="105" fillId="4" borderId="161" xfId="1" applyFont="1" applyFill="1" applyBorder="1" applyAlignment="1">
      <alignment vertical="center"/>
    </xf>
    <xf numFmtId="0" fontId="20" fillId="5" borderId="162" xfId="0" applyFont="1" applyFill="1" applyBorder="1"/>
    <xf numFmtId="0" fontId="19" fillId="5" borderId="155" xfId="0" applyFont="1" applyFill="1" applyBorder="1"/>
    <xf numFmtId="0" fontId="90" fillId="5" borderId="164" xfId="1" applyFont="1" applyFill="1" applyBorder="1"/>
    <xf numFmtId="0" fontId="19" fillId="5" borderId="155" xfId="1" applyFont="1" applyFill="1" applyBorder="1"/>
    <xf numFmtId="0" fontId="20" fillId="5" borderId="165" xfId="0" applyFont="1" applyFill="1" applyBorder="1"/>
    <xf numFmtId="0" fontId="19" fillId="5" borderId="166" xfId="0" applyFont="1" applyFill="1" applyBorder="1"/>
    <xf numFmtId="0" fontId="90" fillId="5" borderId="169" xfId="1" applyFont="1" applyFill="1" applyBorder="1"/>
    <xf numFmtId="0" fontId="20" fillId="5" borderId="170" xfId="0" applyFont="1" applyFill="1" applyBorder="1"/>
    <xf numFmtId="0" fontId="20" fillId="5" borderId="170" xfId="0" applyFont="1" applyFill="1" applyBorder="1" applyAlignment="1">
      <alignment horizontal="center"/>
    </xf>
    <xf numFmtId="0" fontId="20" fillId="5" borderId="155" xfId="0" applyFont="1" applyFill="1" applyBorder="1" applyAlignment="1">
      <alignment horizontal="center"/>
    </xf>
    <xf numFmtId="0" fontId="90" fillId="5" borderId="170" xfId="1" applyFont="1" applyFill="1" applyBorder="1"/>
    <xf numFmtId="0" fontId="19" fillId="5" borderId="154" xfId="1" applyFont="1" applyFill="1" applyBorder="1"/>
    <xf numFmtId="0" fontId="19" fillId="5" borderId="154" xfId="0" applyFont="1" applyFill="1" applyBorder="1"/>
    <xf numFmtId="0" fontId="20" fillId="5" borderId="164" xfId="0" applyFont="1" applyFill="1" applyBorder="1"/>
    <xf numFmtId="0" fontId="19" fillId="5" borderId="171" xfId="0" applyFont="1" applyFill="1" applyBorder="1"/>
    <xf numFmtId="0" fontId="19" fillId="5" borderId="163" xfId="0" applyFont="1" applyFill="1" applyBorder="1"/>
    <xf numFmtId="0" fontId="20" fillId="5" borderId="164" xfId="0" applyFont="1" applyFill="1" applyBorder="1" applyAlignment="1">
      <alignment vertical="top"/>
    </xf>
    <xf numFmtId="0" fontId="19" fillId="5" borderId="155" xfId="1" applyFont="1" applyFill="1" applyBorder="1" applyAlignment="1">
      <alignment wrapText="1"/>
    </xf>
    <xf numFmtId="0" fontId="19" fillId="5" borderId="164" xfId="0" applyFont="1" applyFill="1" applyBorder="1"/>
    <xf numFmtId="0" fontId="19" fillId="5" borderId="155" xfId="1" applyFont="1" applyFill="1" applyBorder="1" applyAlignment="1">
      <alignment horizontal="right"/>
    </xf>
    <xf numFmtId="0" fontId="19" fillId="5" borderId="155" xfId="0" applyFont="1" applyFill="1" applyBorder="1" applyAlignment="1">
      <alignment horizontal="right"/>
    </xf>
    <xf numFmtId="0" fontId="20" fillId="5" borderId="164" xfId="0" applyFont="1" applyFill="1" applyBorder="1" applyAlignment="1">
      <alignment wrapText="1"/>
    </xf>
    <xf numFmtId="0" fontId="19" fillId="5" borderId="155" xfId="1" applyFont="1" applyFill="1" applyBorder="1" applyAlignment="1">
      <alignment horizontal="left"/>
    </xf>
    <xf numFmtId="0" fontId="20" fillId="5" borderId="170" xfId="0" applyFont="1" applyFill="1" applyBorder="1" applyAlignment="1">
      <alignment wrapText="1"/>
    </xf>
    <xf numFmtId="0" fontId="138" fillId="0" borderId="0" xfId="0" applyFont="1" applyFill="1" applyBorder="1" applyAlignment="1">
      <alignment vertical="top" wrapText="1"/>
    </xf>
    <xf numFmtId="0" fontId="52" fillId="40" borderId="23" xfId="0" applyFont="1" applyFill="1" applyBorder="1"/>
    <xf numFmtId="0" fontId="55" fillId="40" borderId="24" xfId="0" applyFont="1" applyFill="1" applyBorder="1" applyAlignment="1">
      <alignment horizontal="center" vertical="top" wrapText="1"/>
    </xf>
    <xf numFmtId="0" fontId="55" fillId="40" borderId="26" xfId="0" applyFont="1" applyFill="1" applyBorder="1" applyAlignment="1">
      <alignment horizontal="center" vertical="top" wrapText="1"/>
    </xf>
    <xf numFmtId="0" fontId="138" fillId="0" borderId="6" xfId="0" applyFont="1" applyFill="1" applyBorder="1" applyAlignment="1">
      <alignment vertical="top" wrapText="1"/>
    </xf>
    <xf numFmtId="0" fontId="138" fillId="0" borderId="0" xfId="0" applyFont="1" applyFill="1" applyBorder="1" applyAlignment="1">
      <alignment horizontal="center" vertical="top" wrapText="1"/>
    </xf>
    <xf numFmtId="0" fontId="144" fillId="2" borderId="23" xfId="0" applyFont="1" applyFill="1" applyBorder="1" applyAlignment="1">
      <alignment vertical="top" wrapText="1"/>
    </xf>
    <xf numFmtId="0" fontId="144" fillId="2" borderId="24" xfId="0" applyFont="1" applyFill="1" applyBorder="1" applyAlignment="1">
      <alignment horizontal="center" vertical="top" wrapText="1"/>
    </xf>
    <xf numFmtId="0" fontId="138" fillId="0" borderId="8" xfId="0" applyFont="1" applyFill="1" applyBorder="1" applyAlignment="1">
      <alignment vertical="top" wrapText="1"/>
    </xf>
    <xf numFmtId="0" fontId="138" fillId="0" borderId="10" xfId="0" applyFont="1" applyFill="1" applyBorder="1" applyAlignment="1">
      <alignment horizontal="center" vertical="top" wrapText="1"/>
    </xf>
    <xf numFmtId="0" fontId="138" fillId="0" borderId="10" xfId="0" applyFont="1" applyFill="1" applyBorder="1" applyAlignment="1">
      <alignment horizontal="center"/>
    </xf>
    <xf numFmtId="0" fontId="138" fillId="0" borderId="10" xfId="0" applyFont="1" applyBorder="1" applyAlignment="1">
      <alignment horizontal="center"/>
    </xf>
    <xf numFmtId="0" fontId="144" fillId="0" borderId="0" xfId="0" applyFont="1" applyBorder="1"/>
    <xf numFmtId="0" fontId="55" fillId="40" borderId="123" xfId="0" applyFont="1" applyFill="1" applyBorder="1"/>
    <xf numFmtId="0" fontId="52" fillId="40" borderId="124" xfId="0" applyFont="1" applyFill="1" applyBorder="1" applyAlignment="1">
      <alignment horizontal="center"/>
    </xf>
    <xf numFmtId="0" fontId="55" fillId="40" borderId="124" xfId="0" applyFont="1" applyFill="1" applyBorder="1" applyAlignment="1">
      <alignment horizontal="center"/>
    </xf>
    <xf numFmtId="0" fontId="52" fillId="40" borderId="125" xfId="0" applyFont="1" applyFill="1" applyBorder="1" applyAlignment="1">
      <alignment horizontal="center"/>
    </xf>
    <xf numFmtId="0" fontId="55" fillId="40" borderId="126" xfId="0" applyFont="1" applyFill="1" applyBorder="1" applyAlignment="1">
      <alignment horizontal="center"/>
    </xf>
    <xf numFmtId="0" fontId="55" fillId="40" borderId="125" xfId="0" applyFont="1" applyFill="1" applyBorder="1" applyAlignment="1">
      <alignment horizontal="center"/>
    </xf>
    <xf numFmtId="0" fontId="55" fillId="40" borderId="127" xfId="0" applyFont="1" applyFill="1" applyBorder="1"/>
    <xf numFmtId="0" fontId="52" fillId="40" borderId="128" xfId="0" applyFont="1" applyFill="1" applyBorder="1"/>
    <xf numFmtId="0" fontId="55" fillId="40" borderId="129" xfId="0" applyFont="1" applyFill="1" applyBorder="1" applyAlignment="1">
      <alignment horizontal="center"/>
    </xf>
    <xf numFmtId="0" fontId="55" fillId="40" borderId="130" xfId="0" applyFont="1" applyFill="1" applyBorder="1" applyAlignment="1">
      <alignment horizontal="center"/>
    </xf>
    <xf numFmtId="0" fontId="52" fillId="40" borderId="130" xfId="0" applyFont="1" applyFill="1" applyBorder="1" applyAlignment="1">
      <alignment horizontal="center"/>
    </xf>
    <xf numFmtId="0" fontId="52" fillId="40" borderId="131" xfId="0" applyFont="1" applyFill="1" applyBorder="1"/>
    <xf numFmtId="0" fontId="20" fillId="0" borderId="132" xfId="0" applyFont="1" applyFill="1" applyBorder="1"/>
    <xf numFmtId="0" fontId="19" fillId="0" borderId="53" xfId="0" applyFont="1" applyFill="1" applyBorder="1" applyAlignment="1">
      <alignment horizontal="center"/>
    </xf>
    <xf numFmtId="0" fontId="19" fillId="0" borderId="133" xfId="0" applyFont="1" applyFill="1" applyBorder="1" applyAlignment="1">
      <alignment horizontal="center"/>
    </xf>
    <xf numFmtId="0" fontId="19" fillId="2" borderId="133" xfId="0" applyFont="1" applyFill="1" applyBorder="1" applyAlignment="1">
      <alignment horizontal="center"/>
    </xf>
    <xf numFmtId="0" fontId="19" fillId="0" borderId="134" xfId="0" applyFont="1" applyFill="1" applyBorder="1"/>
    <xf numFmtId="14" fontId="20" fillId="0" borderId="132" xfId="0" applyNumberFormat="1" applyFont="1" applyFill="1" applyBorder="1"/>
    <xf numFmtId="0" fontId="20" fillId="0" borderId="86" xfId="0" applyFont="1" applyFill="1" applyBorder="1"/>
    <xf numFmtId="0" fontId="19" fillId="0" borderId="48" xfId="0" applyFont="1" applyFill="1" applyBorder="1" applyAlignment="1">
      <alignment horizontal="center"/>
    </xf>
    <xf numFmtId="0" fontId="19" fillId="0" borderId="135" xfId="0" applyFont="1" applyFill="1" applyBorder="1" applyAlignment="1">
      <alignment horizontal="center"/>
    </xf>
    <xf numFmtId="0" fontId="20" fillId="0" borderId="136" xfId="0" applyFont="1" applyFill="1" applyBorder="1"/>
    <xf numFmtId="0" fontId="19" fillId="0" borderId="1" xfId="0" applyFont="1" applyFill="1" applyBorder="1" applyAlignment="1">
      <alignment horizontal="center"/>
    </xf>
    <xf numFmtId="0" fontId="19" fillId="0" borderId="137" xfId="0" applyFont="1" applyFill="1" applyBorder="1" applyAlignment="1">
      <alignment horizontal="center"/>
    </xf>
    <xf numFmtId="0" fontId="20" fillId="0" borderId="136" xfId="0" applyFont="1" applyBorder="1"/>
    <xf numFmtId="0" fontId="19" fillId="0" borderId="53" xfId="0" applyFont="1" applyBorder="1" applyAlignment="1">
      <alignment horizontal="center"/>
    </xf>
    <xf numFmtId="0" fontId="19" fillId="0" borderId="1" xfId="0" applyFont="1" applyBorder="1" applyAlignment="1">
      <alignment horizontal="center"/>
    </xf>
    <xf numFmtId="0" fontId="19" fillId="0" borderId="137" xfId="0" applyFont="1" applyBorder="1" applyAlignment="1">
      <alignment horizontal="center"/>
    </xf>
    <xf numFmtId="0" fontId="20" fillId="0" borderId="1" xfId="0" applyFont="1" applyBorder="1"/>
    <xf numFmtId="0" fontId="19" fillId="2" borderId="137" xfId="0" applyFont="1" applyFill="1" applyBorder="1" applyAlignment="1">
      <alignment horizontal="center"/>
    </xf>
    <xf numFmtId="0" fontId="55" fillId="40" borderId="24" xfId="0" applyFont="1" applyFill="1" applyBorder="1" applyAlignment="1">
      <alignment horizontal="center"/>
    </xf>
    <xf numFmtId="0" fontId="55" fillId="40" borderId="24" xfId="0" applyNumberFormat="1" applyFont="1" applyFill="1" applyBorder="1" applyAlignment="1">
      <alignment horizontal="center"/>
    </xf>
    <xf numFmtId="0" fontId="144" fillId="2" borderId="23" xfId="0" applyFont="1" applyFill="1" applyBorder="1"/>
    <xf numFmtId="0" fontId="55" fillId="40" borderId="26" xfId="0" applyFont="1" applyFill="1" applyBorder="1" applyAlignment="1">
      <alignment horizontal="center"/>
    </xf>
    <xf numFmtId="0" fontId="19" fillId="0" borderId="8" xfId="0" applyFont="1" applyFill="1" applyBorder="1"/>
    <xf numFmtId="0" fontId="19" fillId="0" borderId="10" xfId="0" applyFont="1" applyFill="1" applyBorder="1" applyAlignment="1">
      <alignment horizontal="center"/>
    </xf>
    <xf numFmtId="0" fontId="19" fillId="0" borderId="0" xfId="0" applyFont="1" applyFill="1" applyBorder="1"/>
    <xf numFmtId="0" fontId="19" fillId="0" borderId="0" xfId="0" applyFont="1" applyFill="1" applyBorder="1" applyAlignment="1">
      <alignment horizontal="center"/>
    </xf>
    <xf numFmtId="0" fontId="144" fillId="0" borderId="0" xfId="0" applyFont="1" applyFill="1" applyBorder="1" applyAlignment="1">
      <alignment horizontal="right"/>
    </xf>
    <xf numFmtId="0" fontId="55" fillId="40" borderId="79" xfId="0" applyFont="1" applyFill="1" applyBorder="1" applyAlignment="1">
      <alignment horizontal="center"/>
    </xf>
    <xf numFmtId="0" fontId="52" fillId="40" borderId="78" xfId="0" applyFont="1" applyFill="1" applyBorder="1" applyAlignment="1">
      <alignment horizontal="center"/>
    </xf>
    <xf numFmtId="0" fontId="52" fillId="40" borderId="26" xfId="0" applyFont="1" applyFill="1" applyBorder="1" applyAlignment="1">
      <alignment horizontal="center"/>
    </xf>
    <xf numFmtId="0" fontId="144" fillId="0" borderId="6" xfId="0" applyFont="1" applyBorder="1"/>
    <xf numFmtId="0" fontId="20" fillId="0" borderId="0" xfId="0" applyFont="1" applyBorder="1" applyAlignment="1">
      <alignment horizontal="center"/>
    </xf>
    <xf numFmtId="0" fontId="20" fillId="0" borderId="2" xfId="0" applyFont="1" applyBorder="1" applyAlignment="1">
      <alignment horizontal="center"/>
    </xf>
    <xf numFmtId="0" fontId="144" fillId="0" borderId="2" xfId="0" applyFont="1" applyBorder="1" applyAlignment="1">
      <alignment horizontal="center"/>
    </xf>
    <xf numFmtId="0" fontId="144" fillId="0" borderId="4" xfId="0" applyFont="1" applyBorder="1" applyAlignment="1">
      <alignment horizontal="center"/>
    </xf>
    <xf numFmtId="0" fontId="144" fillId="0" borderId="0" xfId="0" applyFont="1" applyBorder="1" applyAlignment="1">
      <alignment horizontal="center"/>
    </xf>
    <xf numFmtId="0" fontId="144" fillId="0" borderId="7" xfId="0" applyFont="1" applyBorder="1" applyAlignment="1">
      <alignment horizontal="center"/>
    </xf>
    <xf numFmtId="0" fontId="138" fillId="0" borderId="2" xfId="0" applyFont="1" applyBorder="1" applyAlignment="1">
      <alignment horizontal="center"/>
    </xf>
    <xf numFmtId="0" fontId="19" fillId="0" borderId="2" xfId="0" applyFont="1" applyBorder="1" applyAlignment="1">
      <alignment horizontal="center"/>
    </xf>
    <xf numFmtId="0" fontId="144" fillId="2" borderId="79" xfId="0" applyFont="1" applyFill="1" applyBorder="1" applyAlignment="1">
      <alignment horizontal="center"/>
    </xf>
    <xf numFmtId="0" fontId="144" fillId="2" borderId="78" xfId="0" applyFont="1" applyFill="1" applyBorder="1" applyAlignment="1">
      <alignment horizontal="center"/>
    </xf>
    <xf numFmtId="0" fontId="138" fillId="0" borderId="8" xfId="0" applyFont="1" applyBorder="1"/>
    <xf numFmtId="0" fontId="14" fillId="0" borderId="0" xfId="0" applyFont="1" applyAlignment="1">
      <alignment horizontal="center"/>
    </xf>
    <xf numFmtId="0" fontId="138" fillId="0" borderId="6" xfId="0" applyFont="1" applyBorder="1" applyAlignment="1">
      <alignment vertical="center" wrapText="1" readingOrder="1"/>
    </xf>
    <xf numFmtId="0" fontId="20" fillId="0" borderId="0" xfId="0" applyFont="1" applyFill="1" applyBorder="1" applyAlignment="1">
      <alignment horizontal="center"/>
    </xf>
    <xf numFmtId="0" fontId="14" fillId="0" borderId="0" xfId="0" applyFont="1" applyFill="1" applyAlignment="1">
      <alignment horizontal="center"/>
    </xf>
    <xf numFmtId="0" fontId="19" fillId="0" borderId="0" xfId="0" applyFont="1" applyBorder="1" applyAlignment="1">
      <alignment horizontal="center" vertical="center" wrapText="1"/>
    </xf>
    <xf numFmtId="0" fontId="14" fillId="0" borderId="6" xfId="0" applyFont="1" applyBorder="1"/>
    <xf numFmtId="0" fontId="138" fillId="0" borderId="6" xfId="0" applyFont="1" applyFill="1" applyBorder="1" applyAlignment="1">
      <alignment vertical="center" wrapText="1" readingOrder="1"/>
    </xf>
    <xf numFmtId="0" fontId="14" fillId="0" borderId="7" xfId="0" applyFont="1" applyBorder="1"/>
    <xf numFmtId="0" fontId="144" fillId="2" borderId="23" xfId="0" applyFont="1" applyFill="1" applyBorder="1" applyAlignment="1">
      <alignment readingOrder="1"/>
    </xf>
    <xf numFmtId="0" fontId="55" fillId="40" borderId="24" xfId="7" applyFont="1" applyFill="1" applyBorder="1" applyAlignment="1" applyProtection="1">
      <alignment horizontal="left"/>
    </xf>
    <xf numFmtId="0" fontId="178" fillId="40" borderId="78" xfId="7" applyFont="1" applyFill="1" applyBorder="1" applyAlignment="1" applyProtection="1"/>
    <xf numFmtId="0" fontId="55" fillId="40" borderId="24" xfId="0" applyFont="1" applyFill="1" applyBorder="1" applyAlignment="1">
      <alignment horizontal="left"/>
    </xf>
    <xf numFmtId="0" fontId="178" fillId="40" borderId="26" xfId="7" applyFont="1" applyFill="1" applyBorder="1" applyAlignment="1" applyProtection="1"/>
    <xf numFmtId="0" fontId="173" fillId="55" borderId="11" xfId="7" applyFont="1" applyFill="1" applyBorder="1" applyAlignment="1" applyProtection="1"/>
    <xf numFmtId="0" fontId="20" fillId="55" borderId="5" xfId="7" applyFont="1" applyFill="1" applyBorder="1" applyAlignment="1" applyProtection="1"/>
    <xf numFmtId="0" fontId="20" fillId="55" borderId="121" xfId="7" applyFont="1" applyFill="1" applyBorder="1" applyAlignment="1" applyProtection="1"/>
    <xf numFmtId="0" fontId="171" fillId="55" borderId="5" xfId="0" applyFont="1" applyFill="1" applyBorder="1"/>
    <xf numFmtId="0" fontId="171" fillId="55" borderId="121" xfId="0" applyFont="1" applyFill="1" applyBorder="1"/>
    <xf numFmtId="0" fontId="171" fillId="55" borderId="12" xfId="0" applyFont="1" applyFill="1" applyBorder="1"/>
    <xf numFmtId="0" fontId="14" fillId="0" borderId="4" xfId="0" applyFont="1" applyBorder="1"/>
    <xf numFmtId="0" fontId="144" fillId="2" borderId="24" xfId="0" applyFont="1" applyFill="1" applyBorder="1" applyAlignment="1">
      <alignment readingOrder="1"/>
    </xf>
    <xf numFmtId="0" fontId="144" fillId="2" borderId="78" xfId="0" applyFont="1" applyFill="1" applyBorder="1" applyAlignment="1">
      <alignment readingOrder="1"/>
    </xf>
    <xf numFmtId="0" fontId="144" fillId="2" borderId="26" xfId="0" applyFont="1" applyFill="1" applyBorder="1" applyAlignment="1">
      <alignment readingOrder="1"/>
    </xf>
    <xf numFmtId="1" fontId="138" fillId="0" borderId="0" xfId="0" applyNumberFormat="1" applyFont="1" applyBorder="1" applyAlignment="1">
      <alignment horizontal="center"/>
    </xf>
    <xf numFmtId="0" fontId="55" fillId="40" borderId="1" xfId="0" applyFont="1" applyFill="1" applyBorder="1" applyAlignment="1">
      <alignment horizontal="center"/>
    </xf>
    <xf numFmtId="0" fontId="52" fillId="40" borderId="4" xfId="0" applyFont="1" applyFill="1" applyBorder="1" applyAlignment="1">
      <alignment horizontal="left"/>
    </xf>
    <xf numFmtId="0" fontId="138" fillId="0" borderId="50" xfId="0" applyFont="1" applyBorder="1" applyAlignment="1">
      <alignment horizontal="left"/>
    </xf>
    <xf numFmtId="0" fontId="138" fillId="0" borderId="46" xfId="0" applyFont="1" applyFill="1" applyBorder="1" applyAlignment="1">
      <alignment horizontal="center"/>
    </xf>
    <xf numFmtId="0" fontId="14" fillId="0" borderId="2" xfId="0" applyFont="1" applyBorder="1" applyAlignment="1">
      <alignment horizontal="center"/>
    </xf>
    <xf numFmtId="0" fontId="138" fillId="0" borderId="2" xfId="0" applyFont="1" applyFill="1" applyBorder="1" applyAlignment="1">
      <alignment horizontal="center"/>
    </xf>
    <xf numFmtId="0" fontId="98" fillId="40" borderId="2" xfId="0" applyFont="1" applyFill="1" applyBorder="1" applyAlignment="1">
      <alignment horizontal="center"/>
    </xf>
    <xf numFmtId="0" fontId="14" fillId="72" borderId="2" xfId="0" applyNumberFormat="1" applyFont="1" applyFill="1" applyBorder="1" applyAlignment="1">
      <alignment horizontal="center"/>
    </xf>
    <xf numFmtId="0" fontId="14" fillId="0" borderId="49" xfId="0" applyFont="1" applyBorder="1" applyAlignment="1">
      <alignment horizontal="center"/>
    </xf>
    <xf numFmtId="0" fontId="137" fillId="0" borderId="29" xfId="0" applyFont="1" applyBorder="1" applyAlignment="1">
      <alignment horizontal="center"/>
    </xf>
    <xf numFmtId="0" fontId="90" fillId="0" borderId="0" xfId="7" applyFont="1" applyAlignment="1" applyProtection="1"/>
    <xf numFmtId="0" fontId="173" fillId="0" borderId="0" xfId="7" applyFont="1" applyAlignment="1" applyProtection="1"/>
    <xf numFmtId="0" fontId="20" fillId="0" borderId="0" xfId="7" applyFont="1" applyAlignment="1" applyProtection="1"/>
    <xf numFmtId="0" fontId="55" fillId="40" borderId="55" xfId="0" applyFont="1" applyFill="1" applyBorder="1" applyAlignment="1">
      <alignment horizontal="left"/>
    </xf>
    <xf numFmtId="0" fontId="55" fillId="40" borderId="47" xfId="0" applyFont="1" applyFill="1" applyBorder="1" applyAlignment="1">
      <alignment horizontal="left"/>
    </xf>
    <xf numFmtId="0" fontId="55" fillId="40" borderId="47" xfId="81" applyFont="1" applyFill="1" applyBorder="1" applyAlignment="1">
      <alignment horizontal="center"/>
    </xf>
    <xf numFmtId="0" fontId="55" fillId="40" borderId="48" xfId="0" applyFont="1" applyFill="1" applyBorder="1" applyAlignment="1">
      <alignment horizontal="left"/>
    </xf>
    <xf numFmtId="0" fontId="19" fillId="0" borderId="0" xfId="0" applyFont="1" applyFill="1" applyBorder="1" applyAlignment="1">
      <alignment horizontal="center" vertical="top" wrapText="1"/>
    </xf>
    <xf numFmtId="0" fontId="144" fillId="0" borderId="3" xfId="0" applyFont="1" applyBorder="1" applyAlignment="1">
      <alignment horizontal="right"/>
    </xf>
    <xf numFmtId="0" fontId="20" fillId="0" borderId="0" xfId="0" applyFont="1" applyFill="1" applyBorder="1" applyAlignment="1">
      <alignment horizontal="center" vertical="top" wrapText="1"/>
    </xf>
    <xf numFmtId="0" fontId="144" fillId="0" borderId="4" xfId="0" applyFont="1" applyBorder="1"/>
    <xf numFmtId="3" fontId="19" fillId="0" borderId="0" xfId="0" applyNumberFormat="1" applyFont="1" applyFill="1" applyBorder="1" applyAlignment="1">
      <alignment horizontal="center" vertical="top" wrapText="1"/>
    </xf>
    <xf numFmtId="3" fontId="20" fillId="0" borderId="0" xfId="0" applyNumberFormat="1" applyFont="1" applyFill="1" applyBorder="1" applyAlignment="1">
      <alignment horizontal="center" vertical="top" wrapText="1"/>
    </xf>
    <xf numFmtId="0" fontId="144" fillId="0" borderId="0" xfId="0" applyFont="1" applyBorder="1" applyAlignment="1">
      <alignment horizontal="right"/>
    </xf>
    <xf numFmtId="0" fontId="138" fillId="0" borderId="54" xfId="0" applyFont="1" applyBorder="1"/>
    <xf numFmtId="0" fontId="138" fillId="0" borderId="29" xfId="81" applyFont="1" applyFill="1" applyBorder="1" applyAlignment="1">
      <alignment horizontal="center"/>
    </xf>
    <xf numFmtId="0" fontId="138" fillId="0" borderId="0" xfId="81" applyFont="1" applyFill="1" applyBorder="1" applyAlignment="1">
      <alignment horizontal="center"/>
    </xf>
    <xf numFmtId="0" fontId="14" fillId="0" borderId="0" xfId="0" applyFont="1" applyBorder="1" applyAlignment="1">
      <alignment horizontal="right"/>
    </xf>
    <xf numFmtId="0" fontId="171" fillId="0" borderId="0" xfId="0" applyFont="1" applyBorder="1" applyAlignment="1">
      <alignment horizontal="center"/>
    </xf>
    <xf numFmtId="0" fontId="14" fillId="0" borderId="7" xfId="0" applyFont="1" applyBorder="1" applyAlignment="1">
      <alignment horizontal="center"/>
    </xf>
    <xf numFmtId="17" fontId="14" fillId="0" borderId="0" xfId="0" applyNumberFormat="1" applyFont="1"/>
    <xf numFmtId="0" fontId="196" fillId="0" borderId="0" xfId="0" applyFont="1"/>
    <xf numFmtId="10" fontId="64" fillId="0" borderId="0" xfId="0" applyNumberFormat="1" applyFont="1"/>
    <xf numFmtId="0" fontId="14" fillId="0" borderId="1" xfId="0" applyFont="1" applyBorder="1" applyAlignment="1">
      <alignment horizontal="center"/>
    </xf>
    <xf numFmtId="194" fontId="171" fillId="0" borderId="1" xfId="0" applyNumberFormat="1" applyFont="1" applyBorder="1" applyAlignment="1">
      <alignment horizontal="right"/>
    </xf>
    <xf numFmtId="194" fontId="171" fillId="0" borderId="1" xfId="0" applyNumberFormat="1" applyFont="1" applyBorder="1"/>
    <xf numFmtId="194" fontId="20" fillId="0" borderId="1" xfId="0" applyNumberFormat="1" applyFont="1" applyBorder="1"/>
    <xf numFmtId="10" fontId="188" fillId="0" borderId="0" xfId="0" applyNumberFormat="1" applyFont="1" applyBorder="1"/>
    <xf numFmtId="0" fontId="171" fillId="0" borderId="0" xfId="0" applyFont="1" applyBorder="1"/>
    <xf numFmtId="0" fontId="196" fillId="0" borderId="0" xfId="0" applyFont="1" applyBorder="1"/>
    <xf numFmtId="10" fontId="64" fillId="0" borderId="0" xfId="0" applyNumberFormat="1" applyFont="1" applyBorder="1"/>
    <xf numFmtId="10" fontId="197" fillId="0" borderId="0" xfId="0" applyNumberFormat="1" applyFont="1" applyBorder="1"/>
    <xf numFmtId="14" fontId="14" fillId="0" borderId="6" xfId="0" applyNumberFormat="1" applyFont="1" applyBorder="1"/>
    <xf numFmtId="14" fontId="14" fillId="0" borderId="0" xfId="0" applyNumberFormat="1" applyFont="1" applyBorder="1" applyAlignment="1">
      <alignment horizontal="center"/>
    </xf>
    <xf numFmtId="14" fontId="14" fillId="0" borderId="7" xfId="0" applyNumberFormat="1" applyFont="1" applyBorder="1" applyAlignment="1">
      <alignment horizontal="center"/>
    </xf>
    <xf numFmtId="0" fontId="14" fillId="0" borderId="0" xfId="0" applyFont="1" applyBorder="1" applyAlignment="1">
      <alignment horizontal="left"/>
    </xf>
    <xf numFmtId="0" fontId="14" fillId="0" borderId="7" xfId="0" applyFont="1" applyBorder="1" applyAlignment="1">
      <alignment horizontal="left"/>
    </xf>
    <xf numFmtId="0" fontId="171" fillId="50" borderId="0" xfId="0" applyFont="1" applyFill="1" applyBorder="1"/>
    <xf numFmtId="14" fontId="19" fillId="0" borderId="6" xfId="0" applyNumberFormat="1" applyFont="1" applyBorder="1"/>
    <xf numFmtId="0" fontId="14" fillId="0" borderId="7" xfId="0" applyFont="1" applyBorder="1" applyAlignment="1">
      <alignment horizontal="left" vertical="top"/>
    </xf>
    <xf numFmtId="0" fontId="171" fillId="0" borderId="0" xfId="0" applyFont="1" applyFill="1" applyBorder="1"/>
    <xf numFmtId="0" fontId="171" fillId="50" borderId="0" xfId="0" applyFont="1" applyFill="1" applyBorder="1" applyAlignment="1">
      <alignment horizontal="left"/>
    </xf>
    <xf numFmtId="0" fontId="171" fillId="50" borderId="0" xfId="0" applyFont="1" applyFill="1" applyBorder="1" applyAlignment="1">
      <alignment horizontal="center"/>
    </xf>
    <xf numFmtId="0" fontId="196" fillId="0" borderId="0" xfId="0" applyFont="1" applyAlignment="1">
      <alignment horizontal="left"/>
    </xf>
    <xf numFmtId="0" fontId="14" fillId="0" borderId="1" xfId="0" applyFont="1" applyBorder="1" applyAlignment="1">
      <alignment horizontal="right"/>
    </xf>
    <xf numFmtId="0" fontId="171" fillId="0" borderId="1" xfId="0" applyFont="1" applyBorder="1" applyAlignment="1">
      <alignment horizontal="right"/>
    </xf>
    <xf numFmtId="10" fontId="188" fillId="0" borderId="1" xfId="0" applyNumberFormat="1" applyFont="1" applyBorder="1"/>
    <xf numFmtId="10" fontId="188" fillId="0" borderId="51" xfId="0" applyNumberFormat="1" applyFont="1" applyBorder="1"/>
    <xf numFmtId="0" fontId="171" fillId="0" borderId="1" xfId="0" applyFont="1" applyBorder="1"/>
    <xf numFmtId="10" fontId="197" fillId="0" borderId="51" xfId="0" applyNumberFormat="1" applyFont="1" applyBorder="1"/>
    <xf numFmtId="17" fontId="14" fillId="0" borderId="1" xfId="0" applyNumberFormat="1" applyFont="1" applyBorder="1" applyAlignment="1">
      <alignment horizontal="right"/>
    </xf>
    <xf numFmtId="0" fontId="14" fillId="0" borderId="0" xfId="0" applyFont="1" applyAlignment="1">
      <alignment horizontal="left"/>
    </xf>
    <xf numFmtId="14" fontId="14" fillId="0" borderId="6" xfId="0" applyNumberFormat="1" applyFont="1" applyBorder="1" applyAlignment="1">
      <alignment horizontal="right"/>
    </xf>
    <xf numFmtId="0" fontId="9" fillId="40" borderId="46" xfId="0" applyFont="1" applyFill="1" applyBorder="1"/>
    <xf numFmtId="0" fontId="98" fillId="40" borderId="2" xfId="0" applyFont="1" applyFill="1" applyBorder="1" applyAlignment="1">
      <alignment horizontal="left"/>
    </xf>
    <xf numFmtId="0" fontId="55" fillId="40" borderId="0" xfId="0" applyFont="1" applyFill="1" applyBorder="1" applyAlignment="1">
      <alignment horizontal="center"/>
    </xf>
    <xf numFmtId="0" fontId="55" fillId="40" borderId="4" xfId="0" applyFont="1" applyFill="1" applyBorder="1" applyAlignment="1">
      <alignment horizontal="center"/>
    </xf>
    <xf numFmtId="0" fontId="14" fillId="0" borderId="2" xfId="0" applyFont="1" applyBorder="1" applyAlignment="1">
      <alignment horizontal="right"/>
    </xf>
    <xf numFmtId="194" fontId="171" fillId="0" borderId="4" xfId="0" applyNumberFormat="1" applyFont="1" applyBorder="1" applyAlignment="1">
      <alignment horizontal="center"/>
    </xf>
    <xf numFmtId="17" fontId="14" fillId="0" borderId="2" xfId="0" applyNumberFormat="1" applyFont="1" applyBorder="1"/>
    <xf numFmtId="194" fontId="20" fillId="0" borderId="4" xfId="0" applyNumberFormat="1" applyFont="1" applyBorder="1" applyAlignment="1">
      <alignment horizontal="center"/>
    </xf>
    <xf numFmtId="17" fontId="14" fillId="0" borderId="2" xfId="0" applyNumberFormat="1" applyFont="1" applyBorder="1" applyAlignment="1">
      <alignment horizontal="right"/>
    </xf>
    <xf numFmtId="17" fontId="19" fillId="0" borderId="2" xfId="0" applyNumberFormat="1" applyFont="1" applyBorder="1"/>
    <xf numFmtId="0" fontId="55" fillId="40" borderId="46" xfId="0" applyFont="1" applyFill="1" applyBorder="1" applyAlignment="1">
      <alignment horizontal="left" vertical="center"/>
    </xf>
    <xf numFmtId="0" fontId="55" fillId="40" borderId="47" xfId="0" applyFont="1" applyFill="1" applyBorder="1" applyAlignment="1">
      <alignment horizontal="left" vertical="center"/>
    </xf>
    <xf numFmtId="0" fontId="55" fillId="40" borderId="48" xfId="0" applyFont="1" applyFill="1" applyBorder="1" applyAlignment="1">
      <alignment horizontal="left" vertical="center"/>
    </xf>
    <xf numFmtId="0" fontId="55" fillId="40" borderId="2" xfId="0" applyFont="1" applyFill="1" applyBorder="1" applyAlignment="1">
      <alignment horizontal="left" vertical="center"/>
    </xf>
    <xf numFmtId="0" fontId="55" fillId="40" borderId="0" xfId="0" applyFont="1" applyFill="1" applyBorder="1" applyAlignment="1">
      <alignment horizontal="center" vertical="center"/>
    </xf>
    <xf numFmtId="0" fontId="55" fillId="40" borderId="4" xfId="0" applyFont="1" applyFill="1" applyBorder="1" applyAlignment="1">
      <alignment horizontal="center" vertical="center"/>
    </xf>
    <xf numFmtId="0" fontId="52" fillId="40" borderId="55" xfId="0" applyFont="1" applyFill="1" applyBorder="1"/>
    <xf numFmtId="0" fontId="55" fillId="40" borderId="3" xfId="0" applyFont="1" applyFill="1" applyBorder="1" applyAlignment="1">
      <alignment horizontal="center"/>
    </xf>
    <xf numFmtId="17" fontId="14" fillId="0" borderId="3" xfId="0" applyNumberFormat="1" applyFont="1" applyBorder="1" applyAlignment="1">
      <alignment horizontal="right"/>
    </xf>
    <xf numFmtId="0" fontId="14" fillId="0" borderId="4" xfId="0" applyFont="1" applyFill="1" applyBorder="1" applyAlignment="1">
      <alignment horizontal="center"/>
    </xf>
    <xf numFmtId="0" fontId="55" fillId="40" borderId="46" xfId="0" applyFont="1" applyFill="1" applyBorder="1" applyAlignment="1">
      <alignment horizontal="left"/>
    </xf>
    <xf numFmtId="0" fontId="55" fillId="40" borderId="49" xfId="0" applyFont="1" applyFill="1" applyBorder="1" applyAlignment="1">
      <alignment horizontal="center"/>
    </xf>
    <xf numFmtId="0" fontId="171" fillId="0" borderId="4" xfId="0" applyFont="1" applyBorder="1" applyAlignment="1">
      <alignment horizontal="right"/>
    </xf>
    <xf numFmtId="0" fontId="171" fillId="2" borderId="55" xfId="0" applyFont="1" applyFill="1" applyBorder="1" applyAlignment="1">
      <alignment horizontal="center"/>
    </xf>
    <xf numFmtId="0" fontId="171" fillId="2" borderId="3" xfId="0" applyFont="1" applyFill="1" applyBorder="1" applyAlignment="1">
      <alignment horizontal="center"/>
    </xf>
    <xf numFmtId="0" fontId="20" fillId="2" borderId="3" xfId="0" applyFont="1" applyFill="1" applyBorder="1" applyAlignment="1">
      <alignment horizontal="center"/>
    </xf>
    <xf numFmtId="0" fontId="144" fillId="2" borderId="1" xfId="0" applyFont="1" applyFill="1" applyBorder="1" applyAlignment="1">
      <alignment horizontal="center"/>
    </xf>
    <xf numFmtId="0" fontId="171" fillId="2" borderId="3" xfId="0" applyFont="1" applyFill="1" applyBorder="1" applyAlignment="1">
      <alignment horizontal="right"/>
    </xf>
    <xf numFmtId="0" fontId="171" fillId="2" borderId="3" xfId="0" applyFont="1" applyFill="1" applyBorder="1"/>
    <xf numFmtId="0" fontId="20" fillId="2" borderId="3" xfId="0" applyFont="1" applyFill="1" applyBorder="1"/>
    <xf numFmtId="0" fontId="14" fillId="2" borderId="3" xfId="0" applyFont="1" applyFill="1" applyBorder="1"/>
    <xf numFmtId="0" fontId="14" fillId="0" borderId="4" xfId="0" applyFont="1" applyBorder="1" applyAlignment="1">
      <alignment horizontal="right"/>
    </xf>
    <xf numFmtId="0" fontId="55" fillId="40" borderId="55" xfId="0" applyFont="1" applyFill="1" applyBorder="1" applyAlignment="1">
      <alignment horizontal="center"/>
    </xf>
    <xf numFmtId="0" fontId="55" fillId="40" borderId="54" xfId="0" applyFont="1" applyFill="1" applyBorder="1" applyAlignment="1">
      <alignment horizontal="center"/>
    </xf>
    <xf numFmtId="0" fontId="14" fillId="0" borderId="4" xfId="0" applyFont="1" applyFill="1" applyBorder="1" applyAlignment="1">
      <alignment horizontal="right"/>
    </xf>
    <xf numFmtId="0" fontId="20" fillId="2" borderId="1" xfId="0" applyFont="1" applyFill="1" applyBorder="1" applyAlignment="1">
      <alignment horizontal="center"/>
    </xf>
    <xf numFmtId="0" fontId="55" fillId="2" borderId="1" xfId="0" applyFont="1" applyFill="1" applyBorder="1" applyAlignment="1">
      <alignment horizontal="center"/>
    </xf>
    <xf numFmtId="0" fontId="14" fillId="2" borderId="51" xfId="0" applyFont="1" applyFill="1" applyBorder="1"/>
    <xf numFmtId="0" fontId="14" fillId="2" borderId="52" xfId="0" applyFont="1" applyFill="1" applyBorder="1"/>
    <xf numFmtId="0" fontId="171" fillId="2" borderId="52" xfId="0" applyFont="1" applyFill="1" applyBorder="1" applyAlignment="1">
      <alignment horizontal="center"/>
    </xf>
    <xf numFmtId="0" fontId="14" fillId="2" borderId="53" xfId="0" applyFont="1" applyFill="1" applyBorder="1"/>
    <xf numFmtId="0" fontId="55" fillId="40" borderId="6" xfId="0" applyFont="1" applyFill="1" applyBorder="1" applyAlignment="1">
      <alignment horizontal="center"/>
    </xf>
    <xf numFmtId="0" fontId="55" fillId="40" borderId="7" xfId="0" applyFont="1" applyFill="1" applyBorder="1" applyAlignment="1">
      <alignment horizontal="center"/>
    </xf>
    <xf numFmtId="14" fontId="14" fillId="61" borderId="51" xfId="0" applyNumberFormat="1" applyFont="1" applyFill="1" applyBorder="1"/>
    <xf numFmtId="0" fontId="14" fillId="61" borderId="52" xfId="0" applyFont="1" applyFill="1" applyBorder="1" applyAlignment="1">
      <alignment horizontal="center"/>
    </xf>
    <xf numFmtId="0" fontId="171" fillId="61" borderId="52" xfId="0" applyFont="1" applyFill="1" applyBorder="1"/>
    <xf numFmtId="0" fontId="171" fillId="61" borderId="52" xfId="0" applyFont="1" applyFill="1" applyBorder="1" applyAlignment="1">
      <alignment horizontal="right"/>
    </xf>
    <xf numFmtId="0" fontId="14" fillId="61" borderId="52" xfId="0" applyFont="1" applyFill="1" applyBorder="1"/>
    <xf numFmtId="0" fontId="14" fillId="61" borderId="53" xfId="0" applyFont="1" applyFill="1" applyBorder="1" applyAlignment="1">
      <alignment horizontal="center"/>
    </xf>
    <xf numFmtId="0" fontId="14" fillId="61" borderId="53" xfId="0" applyFont="1" applyFill="1" applyBorder="1"/>
    <xf numFmtId="0" fontId="14" fillId="61" borderId="51" xfId="0" applyFont="1" applyFill="1" applyBorder="1"/>
    <xf numFmtId="0" fontId="14" fillId="2" borderId="8" xfId="0" applyFont="1" applyFill="1" applyBorder="1"/>
    <xf numFmtId="0" fontId="14" fillId="2" borderId="10" xfId="0" applyFont="1" applyFill="1" applyBorder="1"/>
    <xf numFmtId="0" fontId="171" fillId="2" borderId="10" xfId="0" applyFont="1" applyFill="1" applyBorder="1"/>
    <xf numFmtId="0" fontId="171" fillId="2" borderId="10" xfId="0" applyFont="1" applyFill="1" applyBorder="1" applyAlignment="1">
      <alignment horizontal="center"/>
    </xf>
    <xf numFmtId="0" fontId="14" fillId="2" borderId="9" xfId="0" applyFont="1" applyFill="1" applyBorder="1"/>
    <xf numFmtId="14" fontId="19" fillId="59" borderId="6" xfId="0" applyNumberFormat="1" applyFont="1" applyFill="1" applyBorder="1"/>
    <xf numFmtId="0" fontId="19" fillId="59" borderId="0" xfId="0" applyFont="1" applyFill="1" applyBorder="1"/>
    <xf numFmtId="0" fontId="19" fillId="59" borderId="7" xfId="0" applyFont="1" applyFill="1" applyBorder="1"/>
    <xf numFmtId="14" fontId="14" fillId="70" borderId="6" xfId="0" applyNumberFormat="1" applyFont="1" applyFill="1" applyBorder="1"/>
    <xf numFmtId="0" fontId="14" fillId="70" borderId="0" xfId="0" applyFont="1" applyFill="1" applyBorder="1" applyAlignment="1">
      <alignment horizontal="center"/>
    </xf>
    <xf numFmtId="0" fontId="14" fillId="70" borderId="0" xfId="0" applyFont="1" applyFill="1" applyBorder="1"/>
    <xf numFmtId="0" fontId="14" fillId="70" borderId="0" xfId="0" applyFont="1" applyFill="1" applyBorder="1" applyAlignment="1">
      <alignment horizontal="right"/>
    </xf>
    <xf numFmtId="0" fontId="14" fillId="70" borderId="7" xfId="0" applyFont="1" applyFill="1" applyBorder="1"/>
    <xf numFmtId="0" fontId="55" fillId="40" borderId="11" xfId="0" applyFont="1" applyFill="1" applyBorder="1" applyAlignment="1">
      <alignment horizontal="left"/>
    </xf>
    <xf numFmtId="0" fontId="14" fillId="0" borderId="2" xfId="0" applyFont="1" applyFill="1" applyBorder="1"/>
    <xf numFmtId="0" fontId="55" fillId="40" borderId="51" xfId="0" applyFont="1" applyFill="1" applyBorder="1" applyAlignment="1">
      <alignment horizontal="left"/>
    </xf>
    <xf numFmtId="0" fontId="101" fillId="40" borderId="53" xfId="0" applyFont="1" applyFill="1" applyBorder="1" applyAlignment="1">
      <alignment horizontal="left"/>
    </xf>
    <xf numFmtId="0" fontId="14" fillId="0" borderId="54" xfId="0" applyFont="1" applyBorder="1" applyAlignment="1">
      <alignment horizontal="right"/>
    </xf>
    <xf numFmtId="0" fontId="171" fillId="0" borderId="54" xfId="0" applyFont="1" applyBorder="1" applyAlignment="1">
      <alignment horizontal="right"/>
    </xf>
    <xf numFmtId="10" fontId="188" fillId="0" borderId="54" xfId="0" applyNumberFormat="1" applyFont="1" applyBorder="1"/>
    <xf numFmtId="10" fontId="188" fillId="0" borderId="49" xfId="0" applyNumberFormat="1" applyFont="1" applyBorder="1"/>
    <xf numFmtId="0" fontId="52" fillId="40" borderId="1" xfId="0" applyFont="1" applyFill="1" applyBorder="1" applyAlignment="1">
      <alignment horizontal="center"/>
    </xf>
    <xf numFmtId="0" fontId="55" fillId="40" borderId="51" xfId="0" applyFont="1" applyFill="1" applyBorder="1" applyAlignment="1">
      <alignment horizontal="center"/>
    </xf>
    <xf numFmtId="0" fontId="55" fillId="40" borderId="174" xfId="0" applyFont="1" applyFill="1" applyBorder="1" applyAlignment="1">
      <alignment horizontal="center"/>
    </xf>
    <xf numFmtId="0" fontId="14" fillId="0" borderId="55" xfId="0" applyFont="1" applyBorder="1" applyAlignment="1">
      <alignment horizontal="right"/>
    </xf>
    <xf numFmtId="0" fontId="171" fillId="0" borderId="55" xfId="0" applyFont="1" applyBorder="1" applyAlignment="1">
      <alignment horizontal="right"/>
    </xf>
    <xf numFmtId="0" fontId="171" fillId="0" borderId="55" xfId="0" applyFont="1" applyBorder="1"/>
    <xf numFmtId="10" fontId="188" fillId="0" borderId="55" xfId="0" applyNumberFormat="1" applyFont="1" applyBorder="1"/>
    <xf numFmtId="10" fontId="188" fillId="0" borderId="46" xfId="0" applyNumberFormat="1" applyFont="1" applyBorder="1"/>
    <xf numFmtId="0" fontId="171" fillId="2" borderId="1" xfId="0" applyFont="1" applyFill="1" applyBorder="1"/>
    <xf numFmtId="10" fontId="188" fillId="2" borderId="1" xfId="0" applyNumberFormat="1" applyFont="1" applyFill="1" applyBorder="1"/>
    <xf numFmtId="10" fontId="188" fillId="2" borderId="51" xfId="0" applyNumberFormat="1" applyFont="1" applyFill="1" applyBorder="1"/>
    <xf numFmtId="0" fontId="14" fillId="2" borderId="174" xfId="0" applyFont="1" applyFill="1" applyBorder="1"/>
    <xf numFmtId="17" fontId="14" fillId="0" borderId="54" xfId="0" applyNumberFormat="1" applyFont="1" applyBorder="1" applyAlignment="1">
      <alignment horizontal="right"/>
    </xf>
    <xf numFmtId="0" fontId="14" fillId="0" borderId="175" xfId="0" applyFont="1" applyBorder="1"/>
    <xf numFmtId="0" fontId="14" fillId="0" borderId="176" xfId="0" applyFont="1" applyBorder="1"/>
    <xf numFmtId="17" fontId="14" fillId="0" borderId="55" xfId="0" applyNumberFormat="1" applyFont="1" applyBorder="1" applyAlignment="1">
      <alignment horizontal="right"/>
    </xf>
    <xf numFmtId="0" fontId="14" fillId="0" borderId="177" xfId="0" applyFont="1" applyBorder="1"/>
    <xf numFmtId="0" fontId="20" fillId="2" borderId="54" xfId="0" applyFont="1" applyFill="1" applyBorder="1" applyAlignment="1">
      <alignment horizontal="right"/>
    </xf>
    <xf numFmtId="0" fontId="20" fillId="2" borderId="1" xfId="0" applyFont="1" applyFill="1" applyBorder="1" applyAlignment="1">
      <alignment horizontal="right"/>
    </xf>
    <xf numFmtId="0" fontId="20" fillId="2" borderId="55" xfId="0" applyFont="1" applyFill="1" applyBorder="1" applyAlignment="1">
      <alignment horizontal="right"/>
    </xf>
    <xf numFmtId="0" fontId="14" fillId="0" borderId="55" xfId="0" applyFont="1" applyBorder="1" applyAlignment="1">
      <alignment horizontal="center"/>
    </xf>
    <xf numFmtId="17" fontId="171" fillId="2" borderId="51" xfId="0" applyNumberFormat="1" applyFont="1" applyFill="1" applyBorder="1"/>
    <xf numFmtId="0" fontId="171" fillId="2" borderId="52" xfId="0" applyFont="1" applyFill="1" applyBorder="1"/>
    <xf numFmtId="0" fontId="171" fillId="2" borderId="53" xfId="0" applyFont="1" applyFill="1" applyBorder="1"/>
    <xf numFmtId="3" fontId="20" fillId="2" borderId="51" xfId="0" applyNumberFormat="1" applyFont="1" applyFill="1" applyBorder="1" applyAlignment="1">
      <alignment horizontal="center"/>
    </xf>
    <xf numFmtId="3" fontId="20" fillId="2" borderId="53" xfId="0" applyNumberFormat="1" applyFont="1" applyFill="1" applyBorder="1" applyAlignment="1">
      <alignment horizontal="center"/>
    </xf>
    <xf numFmtId="0" fontId="36" fillId="40" borderId="55" xfId="0" applyFont="1" applyFill="1" applyBorder="1" applyAlignment="1">
      <alignment horizontal="left"/>
    </xf>
    <xf numFmtId="49" fontId="8" fillId="0" borderId="0" xfId="0" applyNumberFormat="1" applyFont="1"/>
    <xf numFmtId="0" fontId="55" fillId="40" borderId="5" xfId="0" applyFont="1" applyFill="1" applyBorder="1" applyAlignment="1">
      <alignment horizontal="left"/>
    </xf>
    <xf numFmtId="0" fontId="55" fillId="40" borderId="12" xfId="0" applyFont="1" applyFill="1" applyBorder="1" applyAlignment="1">
      <alignment horizontal="left"/>
    </xf>
    <xf numFmtId="0" fontId="55" fillId="40" borderId="6" xfId="0" applyFont="1" applyFill="1" applyBorder="1" applyAlignment="1">
      <alignment horizontal="right"/>
    </xf>
    <xf numFmtId="0" fontId="55" fillId="40" borderId="7" xfId="0" applyFont="1" applyFill="1" applyBorder="1"/>
    <xf numFmtId="14" fontId="14" fillId="61" borderId="51" xfId="0" applyNumberFormat="1" applyFont="1" applyFill="1" applyBorder="1" applyAlignment="1">
      <alignment horizontal="right"/>
    </xf>
    <xf numFmtId="3" fontId="55" fillId="40" borderId="1" xfId="10" applyNumberFormat="1" applyFont="1" applyFill="1" applyBorder="1" applyAlignment="1">
      <alignment vertical="center"/>
    </xf>
    <xf numFmtId="0" fontId="138" fillId="0" borderId="29" xfId="0" applyFont="1" applyFill="1" applyBorder="1" applyAlignment="1">
      <alignment horizontal="center"/>
    </xf>
    <xf numFmtId="0" fontId="14" fillId="0" borderId="50" xfId="0" applyFont="1" applyBorder="1"/>
    <xf numFmtId="0" fontId="19" fillId="0" borderId="54" xfId="0" applyFont="1" applyBorder="1"/>
    <xf numFmtId="0" fontId="19" fillId="0" borderId="29" xfId="0" applyFont="1" applyBorder="1" applyAlignment="1">
      <alignment horizontal="center"/>
    </xf>
    <xf numFmtId="0" fontId="14" fillId="0" borderId="5" xfId="0" applyFont="1" applyBorder="1"/>
    <xf numFmtId="0" fontId="14" fillId="0" borderId="5" xfId="0" applyFont="1" applyBorder="1" applyAlignment="1">
      <alignment horizontal="center" wrapText="1"/>
    </xf>
    <xf numFmtId="0" fontId="14" fillId="0" borderId="5" xfId="0" applyFont="1" applyBorder="1" applyAlignment="1">
      <alignment wrapText="1"/>
    </xf>
    <xf numFmtId="1" fontId="171" fillId="0" borderId="6" xfId="0" applyNumberFormat="1" applyFont="1" applyBorder="1"/>
    <xf numFmtId="192" fontId="14" fillId="0" borderId="0" xfId="0" applyNumberFormat="1" applyFont="1" applyBorder="1"/>
    <xf numFmtId="1" fontId="14" fillId="0" borderId="6" xfId="0" applyNumberFormat="1" applyFont="1" applyBorder="1"/>
    <xf numFmtId="1" fontId="14" fillId="0" borderId="0" xfId="0" applyNumberFormat="1" applyFont="1" applyBorder="1"/>
    <xf numFmtId="0" fontId="198" fillId="0" borderId="0" xfId="0" applyFont="1" applyAlignment="1">
      <alignment vertical="center"/>
    </xf>
    <xf numFmtId="0" fontId="144" fillId="0" borderId="0" xfId="0" applyFont="1" applyFill="1" applyBorder="1" applyAlignment="1">
      <alignment horizontal="left"/>
    </xf>
    <xf numFmtId="193" fontId="14" fillId="0" borderId="0" xfId="0" applyNumberFormat="1" applyFont="1" applyBorder="1"/>
    <xf numFmtId="1" fontId="171" fillId="2" borderId="51" xfId="0" applyNumberFormat="1" applyFont="1" applyFill="1" applyBorder="1"/>
    <xf numFmtId="0" fontId="138" fillId="2" borderId="119" xfId="0" applyFont="1" applyFill="1" applyBorder="1" applyAlignment="1">
      <alignment horizontal="left"/>
    </xf>
    <xf numFmtId="192" fontId="171" fillId="2" borderId="52" xfId="0" applyNumberFormat="1" applyFont="1" applyFill="1" applyBorder="1"/>
    <xf numFmtId="0" fontId="176" fillId="2" borderId="119" xfId="0" applyFont="1" applyFill="1" applyBorder="1" applyAlignment="1">
      <alignment horizontal="left"/>
    </xf>
    <xf numFmtId="0" fontId="20" fillId="2" borderId="119" xfId="0" applyFont="1" applyFill="1" applyBorder="1"/>
    <xf numFmtId="0" fontId="144" fillId="61" borderId="122" xfId="0" applyFont="1" applyFill="1" applyBorder="1" applyAlignment="1">
      <alignment horizontal="left"/>
    </xf>
    <xf numFmtId="0" fontId="138" fillId="61" borderId="100" xfId="0" applyFont="1" applyFill="1" applyBorder="1" applyAlignment="1">
      <alignment horizontal="left"/>
    </xf>
    <xf numFmtId="0" fontId="176" fillId="61" borderId="100" xfId="0" applyFont="1" applyFill="1" applyBorder="1" applyAlignment="1">
      <alignment horizontal="left"/>
    </xf>
    <xf numFmtId="0" fontId="20" fillId="2" borderId="28" xfId="0" applyFont="1" applyFill="1" applyBorder="1"/>
    <xf numFmtId="0" fontId="20" fillId="2" borderId="25" xfId="0" applyFont="1" applyFill="1" applyBorder="1"/>
    <xf numFmtId="0" fontId="173" fillId="0" borderId="11" xfId="7" applyFont="1" applyFill="1" applyBorder="1" applyAlignment="1" applyProtection="1">
      <alignment horizontal="left"/>
    </xf>
    <xf numFmtId="0" fontId="144" fillId="2" borderId="51" xfId="0" applyFont="1" applyFill="1" applyBorder="1" applyAlignment="1">
      <alignment horizontal="center"/>
    </xf>
    <xf numFmtId="0" fontId="138" fillId="0" borderId="55" xfId="0" applyFont="1" applyBorder="1" applyAlignment="1">
      <alignment horizontal="center"/>
    </xf>
    <xf numFmtId="0" fontId="138" fillId="0" borderId="3" xfId="0" applyFont="1" applyBorder="1" applyAlignment="1">
      <alignment horizontal="center"/>
    </xf>
    <xf numFmtId="0" fontId="138" fillId="0" borderId="54" xfId="0" applyFont="1" applyBorder="1" applyAlignment="1">
      <alignment horizontal="center"/>
    </xf>
    <xf numFmtId="0" fontId="137" fillId="0" borderId="54" xfId="0" applyFont="1" applyBorder="1" applyAlignment="1">
      <alignment horizontal="center"/>
    </xf>
    <xf numFmtId="0" fontId="20" fillId="2" borderId="55" xfId="0" applyFont="1" applyFill="1" applyBorder="1"/>
    <xf numFmtId="0" fontId="20" fillId="2" borderId="54" xfId="0" applyFont="1" applyFill="1" applyBorder="1"/>
    <xf numFmtId="0" fontId="139" fillId="2" borderId="54" xfId="0" applyFont="1" applyFill="1" applyBorder="1"/>
    <xf numFmtId="1" fontId="138" fillId="0" borderId="29" xfId="0" applyNumberFormat="1" applyFont="1" applyBorder="1" applyAlignment="1">
      <alignment horizontal="center"/>
    </xf>
    <xf numFmtId="1" fontId="138" fillId="2" borderId="52" xfId="0" applyNumberFormat="1" applyFont="1" applyFill="1" applyBorder="1" applyAlignment="1">
      <alignment horizontal="center"/>
    </xf>
    <xf numFmtId="1" fontId="20" fillId="2" borderId="55" xfId="0" applyNumberFormat="1" applyFont="1" applyFill="1" applyBorder="1"/>
    <xf numFmtId="1" fontId="20" fillId="2" borderId="3" xfId="0" applyNumberFormat="1" applyFont="1" applyFill="1" applyBorder="1"/>
    <xf numFmtId="1" fontId="20" fillId="2" borderId="54" xfId="0" applyNumberFormat="1" applyFont="1" applyFill="1" applyBorder="1"/>
    <xf numFmtId="0" fontId="52" fillId="40" borderId="51" xfId="0" applyFont="1" applyFill="1" applyBorder="1" applyAlignment="1">
      <alignment horizontal="left"/>
    </xf>
    <xf numFmtId="0" fontId="55" fillId="40" borderId="53" xfId="0" applyFont="1" applyFill="1" applyBorder="1" applyAlignment="1">
      <alignment horizontal="right"/>
    </xf>
    <xf numFmtId="193" fontId="14" fillId="0" borderId="29" xfId="0" applyNumberFormat="1" applyFont="1" applyBorder="1"/>
    <xf numFmtId="0" fontId="120" fillId="0" borderId="51" xfId="2" applyFont="1" applyBorder="1" applyAlignment="1" applyProtection="1">
      <alignment vertical="center"/>
      <protection hidden="1"/>
    </xf>
    <xf numFmtId="0" fontId="120" fillId="0" borderId="51" xfId="2" applyFont="1" applyFill="1" applyBorder="1" applyAlignment="1" applyProtection="1">
      <alignment vertical="center"/>
      <protection hidden="1"/>
    </xf>
    <xf numFmtId="0" fontId="183" fillId="40" borderId="51" xfId="2" applyFont="1" applyFill="1" applyBorder="1" applyAlignment="1" applyProtection="1">
      <alignment vertical="center"/>
      <protection hidden="1"/>
    </xf>
    <xf numFmtId="0" fontId="183" fillId="40" borderId="1" xfId="2" applyFont="1" applyFill="1" applyBorder="1" applyAlignment="1" applyProtection="1">
      <alignment horizontal="center" vertical="center" wrapText="1"/>
      <protection hidden="1"/>
    </xf>
    <xf numFmtId="3" fontId="120" fillId="0" borderId="1" xfId="2" applyNumberFormat="1" applyFont="1" applyFill="1" applyBorder="1" applyAlignment="1" applyProtection="1">
      <alignment vertical="center"/>
      <protection hidden="1"/>
    </xf>
    <xf numFmtId="0" fontId="120" fillId="2" borderId="51" xfId="2" applyFont="1" applyFill="1" applyBorder="1" applyAlignment="1" applyProtection="1">
      <alignment vertical="center"/>
      <protection hidden="1"/>
    </xf>
    <xf numFmtId="3" fontId="120" fillId="2" borderId="1" xfId="2" applyNumberFormat="1" applyFont="1" applyFill="1" applyBorder="1" applyAlignment="1" applyProtection="1">
      <alignment vertical="center"/>
      <protection hidden="1"/>
    </xf>
    <xf numFmtId="3" fontId="55" fillId="40" borderId="24" xfId="10" applyNumberFormat="1" applyFont="1" applyFill="1" applyBorder="1" applyAlignment="1">
      <alignment horizontal="center" vertical="center"/>
    </xf>
    <xf numFmtId="0" fontId="58" fillId="3" borderId="0" xfId="10" applyFont="1" applyFill="1" applyBorder="1" applyAlignment="1">
      <alignment horizontal="center" vertical="top"/>
    </xf>
    <xf numFmtId="0" fontId="58" fillId="3" borderId="0" xfId="10" applyFont="1" applyFill="1" applyBorder="1" applyAlignment="1">
      <alignment horizontal="center" vertical="top" wrapText="1"/>
    </xf>
    <xf numFmtId="0" fontId="58" fillId="3" borderId="0" xfId="10" applyFont="1" applyFill="1" applyBorder="1" applyAlignment="1">
      <alignment horizontal="center"/>
    </xf>
    <xf numFmtId="0" fontId="14" fillId="3" borderId="5" xfId="0" applyFont="1" applyFill="1" applyBorder="1"/>
    <xf numFmtId="0" fontId="66" fillId="3" borderId="0" xfId="0" applyFont="1" applyFill="1" applyBorder="1"/>
    <xf numFmtId="0" fontId="66" fillId="3" borderId="10" xfId="0" applyFont="1" applyFill="1" applyBorder="1"/>
    <xf numFmtId="0" fontId="58" fillId="3" borderId="5" xfId="10" applyFont="1" applyFill="1" applyBorder="1" applyAlignment="1">
      <alignment horizontal="center"/>
    </xf>
    <xf numFmtId="0" fontId="58" fillId="3" borderId="10" xfId="10" applyFont="1" applyFill="1" applyBorder="1" applyAlignment="1">
      <alignment horizontal="center" vertical="top" wrapText="1"/>
    </xf>
    <xf numFmtId="0" fontId="58" fillId="3" borderId="10" xfId="10" applyFont="1" applyFill="1" applyBorder="1" applyAlignment="1">
      <alignment horizontal="center"/>
    </xf>
    <xf numFmtId="3" fontId="59" fillId="3" borderId="0" xfId="0" applyNumberFormat="1" applyFont="1" applyFill="1"/>
    <xf numFmtId="3" fontId="58" fillId="2" borderId="24" xfId="10" applyNumberFormat="1" applyFont="1" applyFill="1" applyBorder="1"/>
    <xf numFmtId="3" fontId="59" fillId="3" borderId="0" xfId="0" applyNumberFormat="1" applyFont="1" applyFill="1" applyBorder="1"/>
    <xf numFmtId="3" fontId="59" fillId="3" borderId="10" xfId="0" applyNumberFormat="1" applyFont="1" applyFill="1" applyBorder="1"/>
    <xf numFmtId="0" fontId="20" fillId="0" borderId="122" xfId="10" applyFont="1" applyFill="1" applyBorder="1" applyAlignment="1">
      <alignment horizontal="left" vertical="center"/>
    </xf>
    <xf numFmtId="3" fontId="20" fillId="0" borderId="57" xfId="10" applyNumberFormat="1" applyFont="1" applyFill="1" applyBorder="1" applyAlignment="1">
      <alignment horizontal="center" vertical="center"/>
    </xf>
    <xf numFmtId="3" fontId="20" fillId="0" borderId="104" xfId="10" applyNumberFormat="1" applyFont="1" applyFill="1" applyBorder="1" applyAlignment="1">
      <alignment horizontal="center" vertical="center"/>
    </xf>
    <xf numFmtId="0" fontId="20" fillId="0" borderId="103" xfId="10" applyFont="1" applyFill="1" applyBorder="1" applyAlignment="1">
      <alignment horizontal="left" vertical="center"/>
    </xf>
    <xf numFmtId="3" fontId="20" fillId="0" borderId="102" xfId="10" applyNumberFormat="1" applyFont="1" applyFill="1" applyBorder="1" applyAlignment="1">
      <alignment horizontal="center" vertical="center"/>
    </xf>
    <xf numFmtId="3" fontId="20" fillId="0" borderId="113" xfId="10" applyNumberFormat="1" applyFont="1" applyFill="1" applyBorder="1" applyAlignment="1">
      <alignment horizontal="center" vertical="center"/>
    </xf>
    <xf numFmtId="3" fontId="19" fillId="0" borderId="7" xfId="10" applyNumberFormat="1" applyFont="1" applyFill="1" applyBorder="1"/>
    <xf numFmtId="3" fontId="20" fillId="0" borderId="5" xfId="10" applyNumberFormat="1" applyFont="1" applyBorder="1"/>
    <xf numFmtId="3" fontId="20" fillId="0" borderId="12" xfId="10" applyNumberFormat="1" applyFont="1" applyBorder="1"/>
    <xf numFmtId="3" fontId="19" fillId="0" borderId="6" xfId="10" applyNumberFormat="1" applyFont="1" applyFill="1" applyBorder="1"/>
    <xf numFmtId="3" fontId="19" fillId="0" borderId="6" xfId="10" applyNumberFormat="1" applyFont="1" applyBorder="1"/>
    <xf numFmtId="3" fontId="20" fillId="0" borderId="8" xfId="10" applyNumberFormat="1" applyFont="1" applyBorder="1"/>
    <xf numFmtId="3" fontId="20" fillId="0" borderId="10" xfId="10" applyNumberFormat="1" applyFont="1" applyBorder="1"/>
    <xf numFmtId="3" fontId="20" fillId="0" borderId="9" xfId="10" applyNumberFormat="1" applyFont="1" applyBorder="1"/>
    <xf numFmtId="3" fontId="19" fillId="50" borderId="3" xfId="10" applyNumberFormat="1" applyFont="1" applyFill="1" applyBorder="1" applyAlignment="1">
      <alignment horizontal="center" vertical="center"/>
    </xf>
    <xf numFmtId="3" fontId="19" fillId="50" borderId="105" xfId="10" applyNumberFormat="1" applyFont="1" applyFill="1" applyBorder="1" applyAlignment="1">
      <alignment horizontal="center" vertical="center"/>
    </xf>
    <xf numFmtId="3" fontId="19" fillId="50" borderId="25" xfId="10" applyNumberFormat="1" applyFont="1" applyFill="1" applyBorder="1" applyAlignment="1">
      <alignment horizontal="center" vertical="center"/>
    </xf>
    <xf numFmtId="0" fontId="55" fillId="40" borderId="57" xfId="10" applyFont="1" applyFill="1" applyBorder="1" applyAlignment="1">
      <alignment horizontal="center" vertical="center" wrapText="1"/>
    </xf>
    <xf numFmtId="3" fontId="20" fillId="2" borderId="102" xfId="10" applyNumberFormat="1" applyFont="1" applyFill="1" applyBorder="1" applyAlignment="1">
      <alignment horizontal="center" vertical="center" wrapText="1"/>
    </xf>
    <xf numFmtId="3" fontId="20" fillId="0" borderId="55" xfId="10" applyNumberFormat="1" applyFont="1" applyFill="1" applyBorder="1" applyAlignment="1">
      <alignment horizontal="center" vertical="center"/>
    </xf>
    <xf numFmtId="3" fontId="20" fillId="0" borderId="54" xfId="10" applyNumberFormat="1" applyFont="1" applyFill="1" applyBorder="1" applyAlignment="1">
      <alignment horizontal="center" vertical="center"/>
    </xf>
    <xf numFmtId="3" fontId="19" fillId="50" borderId="0" xfId="10" applyNumberFormat="1" applyFont="1" applyFill="1" applyAlignment="1">
      <alignment horizontal="center"/>
    </xf>
    <xf numFmtId="3" fontId="19" fillId="50" borderId="3" xfId="10" quotePrefix="1" applyNumberFormat="1" applyFont="1" applyFill="1" applyBorder="1" applyAlignment="1">
      <alignment horizontal="center" vertical="center"/>
    </xf>
    <xf numFmtId="0" fontId="24" fillId="48" borderId="1" xfId="56" applyFill="1" applyBorder="1"/>
    <xf numFmtId="0" fontId="24" fillId="48" borderId="1" xfId="56" applyFill="1" applyBorder="1" applyAlignment="1">
      <alignment horizontal="center"/>
    </xf>
    <xf numFmtId="0" fontId="24" fillId="48" borderId="119" xfId="56" applyFill="1" applyBorder="1"/>
    <xf numFmtId="0" fontId="0" fillId="0" borderId="54" xfId="56" applyFont="1" applyFill="1" applyBorder="1"/>
    <xf numFmtId="0" fontId="0" fillId="0" borderId="54" xfId="56" applyFont="1" applyFill="1" applyBorder="1" applyAlignment="1">
      <alignment horizontal="center"/>
    </xf>
    <xf numFmtId="177" fontId="8" fillId="0" borderId="0" xfId="56" applyNumberFormat="1" applyFont="1" applyFill="1" applyBorder="1" applyAlignment="1">
      <alignment horizontal="right"/>
    </xf>
    <xf numFmtId="177" fontId="8" fillId="2" borderId="178" xfId="56" applyNumberFormat="1" applyFont="1" applyFill="1" applyBorder="1" applyAlignment="1">
      <alignment horizontal="right"/>
    </xf>
    <xf numFmtId="4" fontId="24" fillId="0" borderId="0" xfId="0" applyNumberFormat="1" applyFont="1" applyBorder="1"/>
    <xf numFmtId="4" fontId="24" fillId="0" borderId="0" xfId="0" applyNumberFormat="1" applyFont="1"/>
    <xf numFmtId="0" fontId="20" fillId="0" borderId="49" xfId="0" applyFont="1" applyBorder="1"/>
    <xf numFmtId="4" fontId="20" fillId="0" borderId="50" xfId="0" applyNumberFormat="1" applyFont="1" applyBorder="1"/>
    <xf numFmtId="3" fontId="24" fillId="46" borderId="11" xfId="0" applyNumberFormat="1" applyFont="1" applyFill="1" applyBorder="1"/>
    <xf numFmtId="3" fontId="24" fillId="46" borderId="5" xfId="0" applyNumberFormat="1" applyFont="1" applyFill="1" applyBorder="1"/>
    <xf numFmtId="3" fontId="24" fillId="0" borderId="11" xfId="0" applyNumberFormat="1" applyFont="1" applyBorder="1"/>
    <xf numFmtId="3" fontId="24" fillId="0" borderId="5" xfId="0" applyNumberFormat="1" applyFont="1" applyBorder="1"/>
    <xf numFmtId="3" fontId="24" fillId="46" borderId="28" xfId="0" applyNumberFormat="1" applyFont="1" applyFill="1" applyBorder="1"/>
    <xf numFmtId="3" fontId="24" fillId="46" borderId="60" xfId="0" applyNumberFormat="1" applyFont="1" applyFill="1" applyBorder="1"/>
    <xf numFmtId="3" fontId="24" fillId="46" borderId="5" xfId="0" applyNumberFormat="1" applyFont="1" applyFill="1" applyBorder="1" applyAlignment="1">
      <alignment horizontal="center"/>
    </xf>
    <xf numFmtId="3" fontId="24" fillId="0" borderId="5" xfId="0" applyNumberFormat="1" applyFont="1" applyBorder="1" applyAlignment="1">
      <alignment horizontal="center"/>
    </xf>
    <xf numFmtId="3" fontId="24" fillId="46" borderId="24" xfId="0" applyNumberFormat="1" applyFont="1" applyFill="1" applyBorder="1" applyAlignment="1">
      <alignment horizontal="center"/>
    </xf>
    <xf numFmtId="4" fontId="20" fillId="2" borderId="52" xfId="0" applyNumberFormat="1" applyFont="1" applyFill="1" applyBorder="1"/>
    <xf numFmtId="4" fontId="19" fillId="0" borderId="0" xfId="0" applyNumberFormat="1" applyFont="1" applyBorder="1" applyAlignment="1">
      <alignment horizontal="center"/>
    </xf>
    <xf numFmtId="1" fontId="19" fillId="0" borderId="0" xfId="10" applyNumberFormat="1" applyFont="1" applyBorder="1" applyAlignment="1">
      <alignment horizontal="center"/>
    </xf>
    <xf numFmtId="0" fontId="183" fillId="40" borderId="1" xfId="2" applyFont="1" applyFill="1" applyBorder="1" applyAlignment="1" applyProtection="1">
      <alignment horizontal="center" vertical="center"/>
      <protection hidden="1"/>
    </xf>
    <xf numFmtId="0" fontId="121" fillId="0" borderId="1" xfId="2" applyFont="1" applyBorder="1" applyAlignment="1" applyProtection="1">
      <alignment vertical="center"/>
      <protection hidden="1"/>
    </xf>
    <xf numFmtId="4" fontId="112" fillId="0" borderId="3" xfId="2" applyNumberFormat="1" applyFont="1" applyFill="1" applyBorder="1" applyAlignment="1" applyProtection="1">
      <alignment horizontal="center" vertical="center"/>
      <protection hidden="1"/>
    </xf>
    <xf numFmtId="0" fontId="19" fillId="50" borderId="41" xfId="78" applyFont="1" applyFill="1" applyBorder="1" applyAlignment="1">
      <alignment horizontal="center"/>
    </xf>
    <xf numFmtId="0" fontId="120" fillId="0" borderId="1" xfId="2" applyFont="1" applyBorder="1" applyAlignment="1" applyProtection="1">
      <alignment horizontal="center"/>
      <protection hidden="1"/>
    </xf>
    <xf numFmtId="0" fontId="183" fillId="40" borderId="51" xfId="2" applyNumberFormat="1" applyFont="1" applyFill="1" applyBorder="1" applyAlignment="1" applyProtection="1">
      <alignment horizontal="center"/>
      <protection hidden="1"/>
    </xf>
    <xf numFmtId="0" fontId="183" fillId="40" borderId="1" xfId="2" applyFont="1" applyFill="1" applyBorder="1" applyAlignment="1" applyProtection="1">
      <alignment horizontal="center" vertical="center"/>
      <protection hidden="1"/>
    </xf>
    <xf numFmtId="0" fontId="120" fillId="0" borderId="3" xfId="2" applyFont="1" applyFill="1" applyBorder="1" applyAlignment="1" applyProtection="1">
      <protection hidden="1"/>
    </xf>
    <xf numFmtId="4" fontId="120" fillId="0" borderId="46" xfId="2" applyNumberFormat="1" applyFont="1" applyFill="1" applyBorder="1" applyAlignment="1" applyProtection="1">
      <protection hidden="1"/>
    </xf>
    <xf numFmtId="4" fontId="120" fillId="0" borderId="49" xfId="2" applyNumberFormat="1" applyFont="1" applyFill="1" applyBorder="1" applyAlignment="1" applyProtection="1">
      <protection hidden="1"/>
    </xf>
    <xf numFmtId="4" fontId="120" fillId="0" borderId="54" xfId="2" applyNumberFormat="1" applyFont="1" applyFill="1" applyBorder="1" applyAlignment="1" applyProtection="1">
      <protection hidden="1"/>
    </xf>
    <xf numFmtId="0" fontId="183" fillId="0" borderId="0" xfId="3" applyFont="1" applyFill="1" applyBorder="1" applyAlignment="1" applyProtection="1">
      <alignment horizontal="right" vertical="center"/>
      <protection hidden="1"/>
    </xf>
    <xf numFmtId="0" fontId="120" fillId="0" borderId="55" xfId="2" applyFont="1" applyBorder="1" applyProtection="1">
      <protection hidden="1"/>
    </xf>
    <xf numFmtId="0" fontId="183" fillId="0" borderId="0" xfId="2" applyFont="1" applyFill="1" applyBorder="1" applyProtection="1">
      <protection hidden="1"/>
    </xf>
    <xf numFmtId="0" fontId="183" fillId="0" borderId="0" xfId="2" applyFont="1" applyFill="1" applyBorder="1" applyAlignment="1" applyProtection="1">
      <alignment horizontal="right"/>
      <protection hidden="1"/>
    </xf>
    <xf numFmtId="186" fontId="120" fillId="0" borderId="0" xfId="2" applyNumberFormat="1" applyFont="1" applyFill="1" applyBorder="1" applyProtection="1">
      <protection hidden="1"/>
    </xf>
    <xf numFmtId="0" fontId="120" fillId="0" borderId="0" xfId="2" applyFont="1" applyFill="1" applyAlignment="1">
      <alignment vertical="center"/>
    </xf>
    <xf numFmtId="193" fontId="14" fillId="0" borderId="0" xfId="0" applyNumberFormat="1" applyFont="1"/>
    <xf numFmtId="193" fontId="0" fillId="0" borderId="0" xfId="0" applyNumberFormat="1" applyFont="1"/>
    <xf numFmtId="193" fontId="14" fillId="0" borderId="4" xfId="0" applyNumberFormat="1" applyFont="1" applyBorder="1"/>
    <xf numFmtId="193" fontId="14" fillId="0" borderId="50" xfId="0" applyNumberFormat="1" applyFont="1" applyBorder="1"/>
    <xf numFmtId="1" fontId="20" fillId="2" borderId="1" xfId="0" applyNumberFormat="1" applyFont="1" applyFill="1" applyBorder="1"/>
    <xf numFmtId="193" fontId="20" fillId="2" borderId="52" xfId="0" applyNumberFormat="1" applyFont="1" applyFill="1" applyBorder="1"/>
    <xf numFmtId="193" fontId="20" fillId="2" borderId="53" xfId="0" applyNumberFormat="1" applyFont="1" applyFill="1" applyBorder="1"/>
    <xf numFmtId="3" fontId="55" fillId="40" borderId="23" xfId="10" applyNumberFormat="1" applyFont="1" applyFill="1" applyBorder="1" applyAlignment="1">
      <alignment horizontal="center" vertical="center"/>
    </xf>
    <xf numFmtId="3" fontId="55" fillId="40" borderId="26" xfId="10" applyNumberFormat="1" applyFont="1" applyFill="1" applyBorder="1" applyAlignment="1">
      <alignment horizontal="center" vertical="center"/>
    </xf>
    <xf numFmtId="3" fontId="55" fillId="40" borderId="24" xfId="10" applyNumberFormat="1" applyFont="1" applyFill="1" applyBorder="1" applyAlignment="1">
      <alignment horizontal="center" vertical="center"/>
    </xf>
    <xf numFmtId="0" fontId="136" fillId="0" borderId="1" xfId="0" applyFont="1" applyBorder="1"/>
    <xf numFmtId="0" fontId="137" fillId="0" borderId="1" xfId="0" applyFont="1" applyBorder="1" applyAlignment="1">
      <alignment horizontal="center"/>
    </xf>
    <xf numFmtId="3" fontId="55" fillId="40" borderId="78" xfId="10" applyNumberFormat="1" applyFont="1" applyFill="1" applyBorder="1" applyAlignment="1">
      <alignment horizontal="center" vertical="center"/>
    </xf>
    <xf numFmtId="0" fontId="137" fillId="0" borderId="76" xfId="0" applyFont="1" applyBorder="1" applyAlignment="1">
      <alignment horizontal="center"/>
    </xf>
    <xf numFmtId="0" fontId="138" fillId="0" borderId="7" xfId="0" applyFont="1" applyFill="1" applyBorder="1" applyAlignment="1">
      <alignment wrapText="1"/>
    </xf>
    <xf numFmtId="4" fontId="19" fillId="0" borderId="46" xfId="0" applyNumberFormat="1" applyFont="1" applyBorder="1" applyAlignment="1">
      <alignment horizontal="center"/>
    </xf>
    <xf numFmtId="4" fontId="19" fillId="0" borderId="48" xfId="0" applyNumberFormat="1" applyFont="1" applyBorder="1" applyAlignment="1">
      <alignment horizontal="center"/>
    </xf>
    <xf numFmtId="4" fontId="20" fillId="0" borderId="0" xfId="10" applyNumberFormat="1" applyFont="1" applyFill="1" applyBorder="1"/>
    <xf numFmtId="0" fontId="169" fillId="40" borderId="58" xfId="0" applyFont="1" applyFill="1" applyBorder="1" applyAlignment="1">
      <alignment horizontal="right"/>
    </xf>
    <xf numFmtId="0" fontId="137" fillId="0" borderId="76" xfId="0" applyFont="1" applyBorder="1"/>
    <xf numFmtId="0" fontId="52" fillId="40" borderId="11" xfId="7" applyFont="1" applyFill="1" applyBorder="1" applyAlignment="1" applyProtection="1"/>
    <xf numFmtId="0" fontId="55" fillId="40" borderId="5" xfId="0" applyFont="1" applyFill="1" applyBorder="1"/>
    <xf numFmtId="0" fontId="55" fillId="40" borderId="12" xfId="0" applyFont="1" applyFill="1" applyBorder="1"/>
    <xf numFmtId="0" fontId="20" fillId="2" borderId="8" xfId="0" applyFont="1" applyFill="1" applyBorder="1" applyAlignment="1">
      <alignment readingOrder="1"/>
    </xf>
    <xf numFmtId="0" fontId="20" fillId="2" borderId="10" xfId="0" applyFont="1" applyFill="1" applyBorder="1" applyAlignment="1">
      <alignment readingOrder="1"/>
    </xf>
    <xf numFmtId="3" fontId="55" fillId="40" borderId="46" xfId="10" applyNumberFormat="1" applyFont="1" applyFill="1" applyBorder="1" applyAlignment="1">
      <alignment horizontal="center" vertical="center"/>
    </xf>
    <xf numFmtId="0" fontId="78" fillId="0" borderId="49" xfId="0" applyFont="1" applyBorder="1" applyAlignment="1">
      <alignment vertical="center"/>
    </xf>
    <xf numFmtId="3" fontId="78" fillId="0" borderId="29" xfId="0" applyNumberFormat="1" applyFont="1" applyBorder="1" applyAlignment="1">
      <alignment horizontal="center" vertical="center"/>
    </xf>
    <xf numFmtId="0" fontId="0" fillId="0" borderId="2" xfId="0" applyBorder="1"/>
    <xf numFmtId="0" fontId="8" fillId="0" borderId="0" xfId="0" applyFont="1"/>
    <xf numFmtId="0" fontId="99" fillId="0" borderId="0" xfId="0" applyFont="1"/>
    <xf numFmtId="10" fontId="117" fillId="0" borderId="0" xfId="0" applyNumberFormat="1" applyFont="1"/>
    <xf numFmtId="17" fontId="0" fillId="0" borderId="0" xfId="0" applyNumberFormat="1"/>
    <xf numFmtId="0" fontId="200" fillId="0" borderId="0" xfId="0" applyFont="1"/>
    <xf numFmtId="0" fontId="169" fillId="2" borderId="8" xfId="0" applyFont="1" applyFill="1" applyBorder="1" applyAlignment="1">
      <alignment horizontal="left"/>
    </xf>
    <xf numFmtId="0" fontId="169" fillId="2" borderId="10" xfId="0" applyFont="1" applyFill="1" applyBorder="1" applyAlignment="1">
      <alignment horizontal="center"/>
    </xf>
    <xf numFmtId="0" fontId="169" fillId="2" borderId="10" xfId="0" applyNumberFormat="1" applyFont="1" applyFill="1" applyBorder="1" applyAlignment="1">
      <alignment horizontal="center"/>
    </xf>
    <xf numFmtId="0" fontId="169" fillId="2" borderId="9" xfId="0" applyNumberFormat="1" applyFont="1" applyFill="1" applyBorder="1" applyAlignment="1">
      <alignment horizontal="center"/>
    </xf>
    <xf numFmtId="3" fontId="55" fillId="40" borderId="23" xfId="10" applyNumberFormat="1" applyFont="1" applyFill="1" applyBorder="1" applyAlignment="1">
      <alignment horizontal="center" vertical="center"/>
    </xf>
    <xf numFmtId="3" fontId="55" fillId="40" borderId="26" xfId="10" applyNumberFormat="1" applyFont="1" applyFill="1" applyBorder="1" applyAlignment="1">
      <alignment horizontal="center" vertical="center"/>
    </xf>
    <xf numFmtId="3" fontId="55" fillId="40" borderId="24" xfId="10" applyNumberFormat="1" applyFont="1" applyFill="1" applyBorder="1" applyAlignment="1">
      <alignment horizontal="center" vertical="center"/>
    </xf>
    <xf numFmtId="0" fontId="55" fillId="40" borderId="47" xfId="0" applyFont="1" applyFill="1" applyBorder="1" applyAlignment="1">
      <alignment horizontal="center"/>
    </xf>
    <xf numFmtId="0" fontId="55" fillId="40" borderId="48" xfId="0" applyFont="1" applyFill="1" applyBorder="1" applyAlignment="1">
      <alignment horizontal="center"/>
    </xf>
    <xf numFmtId="0" fontId="55" fillId="40" borderId="12" xfId="0" applyFont="1" applyFill="1" applyBorder="1" applyAlignment="1">
      <alignment horizontal="center" vertical="top" wrapText="1"/>
    </xf>
    <xf numFmtId="0" fontId="138" fillId="0" borderId="5" xfId="0" applyFont="1" applyBorder="1" applyAlignment="1">
      <alignment horizontal="center"/>
    </xf>
    <xf numFmtId="0" fontId="138" fillId="0" borderId="12" xfId="0" applyFont="1" applyBorder="1" applyAlignment="1">
      <alignment horizontal="center"/>
    </xf>
    <xf numFmtId="0" fontId="55" fillId="40" borderId="26" xfId="0" applyNumberFormat="1" applyFont="1" applyFill="1" applyBorder="1" applyAlignment="1">
      <alignment horizontal="center"/>
    </xf>
    <xf numFmtId="0" fontId="169" fillId="40" borderId="12" xfId="0" applyFont="1" applyFill="1" applyBorder="1" applyAlignment="1">
      <alignment horizontal="right"/>
    </xf>
    <xf numFmtId="0" fontId="140" fillId="0" borderId="7" xfId="0" applyFont="1" applyBorder="1" applyAlignment="1">
      <alignment horizontal="center"/>
    </xf>
    <xf numFmtId="0" fontId="140" fillId="0" borderId="5" xfId="0" applyFont="1" applyBorder="1" applyAlignment="1">
      <alignment horizontal="center"/>
    </xf>
    <xf numFmtId="0" fontId="137" fillId="0" borderId="5" xfId="0" applyFont="1" applyFill="1" applyBorder="1" applyAlignment="1">
      <alignment horizontal="center"/>
    </xf>
    <xf numFmtId="0" fontId="135" fillId="0" borderId="179" xfId="0" applyFont="1" applyBorder="1" applyAlignment="1">
      <alignment horizontal="center" vertical="center"/>
    </xf>
    <xf numFmtId="0" fontId="137" fillId="0" borderId="29" xfId="0" applyFont="1" applyBorder="1"/>
    <xf numFmtId="0" fontId="140" fillId="59" borderId="47" xfId="0" applyFont="1" applyFill="1" applyBorder="1" applyAlignment="1">
      <alignment horizontal="center" vertical="center"/>
    </xf>
    <xf numFmtId="0" fontId="120" fillId="0" borderId="0" xfId="0" applyFont="1" applyAlignment="1">
      <alignment vertical="center"/>
    </xf>
    <xf numFmtId="0" fontId="136" fillId="0" borderId="1" xfId="0" applyFont="1" applyBorder="1" applyAlignment="1">
      <alignment horizontal="center"/>
    </xf>
    <xf numFmtId="0" fontId="136" fillId="0" borderId="1" xfId="0" applyFont="1" applyFill="1" applyBorder="1" applyAlignment="1">
      <alignment horizontal="center"/>
    </xf>
    <xf numFmtId="17" fontId="136" fillId="0" borderId="1" xfId="0" applyNumberFormat="1" applyFont="1" applyBorder="1" applyAlignment="1">
      <alignment horizontal="right"/>
    </xf>
    <xf numFmtId="0" fontId="136" fillId="0" borderId="1" xfId="0" applyFont="1" applyBorder="1" applyAlignment="1">
      <alignment horizontal="right"/>
    </xf>
    <xf numFmtId="0" fontId="136" fillId="0" borderId="1" xfId="0" applyFont="1" applyFill="1" applyBorder="1" applyAlignment="1">
      <alignment horizontal="right"/>
    </xf>
    <xf numFmtId="17" fontId="136" fillId="0" borderId="1" xfId="0" applyNumberFormat="1" applyFont="1" applyBorder="1"/>
    <xf numFmtId="17" fontId="143" fillId="2" borderId="51" xfId="0" applyNumberFormat="1" applyFont="1" applyFill="1" applyBorder="1"/>
    <xf numFmtId="1" fontId="143" fillId="2" borderId="51" xfId="0" applyNumberFormat="1" applyFont="1" applyFill="1" applyBorder="1"/>
    <xf numFmtId="0" fontId="170" fillId="40" borderId="1" xfId="0" applyFont="1" applyFill="1" applyBorder="1" applyAlignment="1">
      <alignment horizontal="center"/>
    </xf>
    <xf numFmtId="0" fontId="170" fillId="2" borderId="1" xfId="0" applyFont="1" applyFill="1" applyBorder="1" applyAlignment="1">
      <alignment horizontal="center"/>
    </xf>
    <xf numFmtId="0" fontId="143" fillId="2" borderId="1" xfId="0" applyFont="1" applyFill="1" applyBorder="1" applyAlignment="1">
      <alignment horizontal="right"/>
    </xf>
    <xf numFmtId="0" fontId="143" fillId="0" borderId="1" xfId="0" applyFont="1" applyBorder="1" applyAlignment="1">
      <alignment horizontal="right"/>
    </xf>
    <xf numFmtId="10" fontId="202" fillId="0" borderId="1" xfId="0" applyNumberFormat="1" applyFont="1" applyBorder="1"/>
    <xf numFmtId="0" fontId="136" fillId="0" borderId="47" xfId="0" applyFont="1" applyBorder="1"/>
    <xf numFmtId="0" fontId="136" fillId="0" borderId="48" xfId="0" applyFont="1" applyBorder="1"/>
    <xf numFmtId="0" fontId="143" fillId="0" borderId="1" xfId="0" applyFont="1" applyBorder="1"/>
    <xf numFmtId="0" fontId="136" fillId="0" borderId="4" xfId="0" applyFont="1" applyBorder="1"/>
    <xf numFmtId="0" fontId="139" fillId="0" borderId="1" xfId="0" applyFont="1" applyBorder="1"/>
    <xf numFmtId="10" fontId="203" fillId="0" borderId="1" xfId="0" applyNumberFormat="1" applyFont="1" applyBorder="1"/>
    <xf numFmtId="0" fontId="136" fillId="0" borderId="3" xfId="0" applyFont="1" applyFill="1" applyBorder="1" applyAlignment="1">
      <alignment horizontal="right"/>
    </xf>
    <xf numFmtId="0" fontId="136" fillId="2" borderId="51" xfId="0" applyFont="1" applyFill="1" applyBorder="1"/>
    <xf numFmtId="0" fontId="136" fillId="2" borderId="1" xfId="0" applyFont="1" applyFill="1" applyBorder="1"/>
    <xf numFmtId="0" fontId="3" fillId="0" borderId="0" xfId="0" applyFont="1"/>
    <xf numFmtId="0" fontId="201" fillId="0" borderId="0" xfId="0" applyFont="1"/>
    <xf numFmtId="0" fontId="136" fillId="0" borderId="0" xfId="0" applyFont="1"/>
    <xf numFmtId="0" fontId="3" fillId="0" borderId="0" xfId="0" applyFont="1" applyBorder="1"/>
    <xf numFmtId="196" fontId="136" fillId="0" borderId="0" xfId="0" applyNumberFormat="1" applyFont="1" applyBorder="1"/>
    <xf numFmtId="0" fontId="136" fillId="0" borderId="0" xfId="0" applyFont="1" applyBorder="1" applyAlignment="1">
      <alignment horizontal="right"/>
    </xf>
    <xf numFmtId="196" fontId="136" fillId="0" borderId="0" xfId="0" applyNumberFormat="1" applyFont="1" applyBorder="1" applyAlignment="1">
      <alignment horizontal="center"/>
    </xf>
    <xf numFmtId="0" fontId="136" fillId="0" borderId="0" xfId="0" applyFont="1" applyBorder="1" applyAlignment="1">
      <alignment horizontal="left"/>
    </xf>
    <xf numFmtId="14" fontId="136" fillId="61" borderId="51" xfId="0" applyNumberFormat="1" applyFont="1" applyFill="1" applyBorder="1"/>
    <xf numFmtId="0" fontId="136" fillId="61" borderId="52" xfId="0" applyFont="1" applyFill="1" applyBorder="1" applyAlignment="1">
      <alignment horizontal="center"/>
    </xf>
    <xf numFmtId="0" fontId="143" fillId="61" borderId="52" xfId="0" applyFont="1" applyFill="1" applyBorder="1"/>
    <xf numFmtId="0" fontId="143" fillId="61" borderId="52" xfId="0" applyFont="1" applyFill="1" applyBorder="1" applyAlignment="1">
      <alignment horizontal="center"/>
    </xf>
    <xf numFmtId="196" fontId="136" fillId="61" borderId="52" xfId="0" applyNumberFormat="1" applyFont="1" applyFill="1" applyBorder="1"/>
    <xf numFmtId="0" fontId="136" fillId="61" borderId="53" xfId="0" applyFont="1" applyFill="1" applyBorder="1" applyAlignment="1">
      <alignment horizontal="center"/>
    </xf>
    <xf numFmtId="14" fontId="136" fillId="0" borderId="2" xfId="0" applyNumberFormat="1" applyFont="1" applyBorder="1"/>
    <xf numFmtId="14" fontId="136" fillId="0" borderId="4" xfId="0" applyNumberFormat="1" applyFont="1" applyBorder="1" applyAlignment="1">
      <alignment horizontal="center"/>
    </xf>
    <xf numFmtId="0" fontId="136" fillId="0" borderId="4" xfId="0" applyFont="1" applyBorder="1" applyAlignment="1">
      <alignment horizontal="center"/>
    </xf>
    <xf numFmtId="0" fontId="202" fillId="0" borderId="4" xfId="0" applyFont="1" applyBorder="1" applyAlignment="1">
      <alignment horizontal="center"/>
    </xf>
    <xf numFmtId="0" fontId="140" fillId="0" borderId="4" xfId="0" applyFont="1" applyBorder="1" applyAlignment="1">
      <alignment horizontal="center"/>
    </xf>
    <xf numFmtId="14" fontId="136" fillId="0" borderId="2" xfId="0" applyNumberFormat="1" applyFont="1" applyBorder="1" applyAlignment="1">
      <alignment horizontal="right"/>
    </xf>
    <xf numFmtId="0" fontId="169" fillId="40" borderId="51" xfId="0" applyFont="1" applyFill="1" applyBorder="1" applyAlignment="1">
      <alignment horizontal="center"/>
    </xf>
    <xf numFmtId="0" fontId="169" fillId="40" borderId="52" xfId="0" applyFont="1" applyFill="1" applyBorder="1" applyAlignment="1">
      <alignment horizontal="center"/>
    </xf>
    <xf numFmtId="0" fontId="169" fillId="40" borderId="53" xfId="0" applyFont="1" applyFill="1" applyBorder="1" applyAlignment="1">
      <alignment horizontal="center"/>
    </xf>
    <xf numFmtId="14" fontId="136" fillId="55" borderId="51" xfId="0" applyNumberFormat="1" applyFont="1" applyFill="1" applyBorder="1"/>
    <xf numFmtId="0" fontId="136" fillId="55" borderId="52" xfId="0" applyFont="1" applyFill="1" applyBorder="1" applyAlignment="1">
      <alignment horizontal="center"/>
    </xf>
    <xf numFmtId="0" fontId="143" fillId="55" borderId="52" xfId="0" applyFont="1" applyFill="1" applyBorder="1"/>
    <xf numFmtId="0" fontId="143" fillId="55" borderId="52" xfId="0" applyFont="1" applyFill="1" applyBorder="1" applyAlignment="1">
      <alignment horizontal="right"/>
    </xf>
    <xf numFmtId="196" fontId="136" fillId="55" borderId="52" xfId="0" applyNumberFormat="1" applyFont="1" applyFill="1" applyBorder="1"/>
    <xf numFmtId="0" fontId="136" fillId="55" borderId="53" xfId="0" applyFont="1" applyFill="1" applyBorder="1" applyAlignment="1">
      <alignment horizontal="center"/>
    </xf>
    <xf numFmtId="0" fontId="136" fillId="55" borderId="53" xfId="0" applyFont="1" applyFill="1" applyBorder="1"/>
    <xf numFmtId="0" fontId="143" fillId="55" borderId="52" xfId="0" applyFont="1" applyFill="1" applyBorder="1" applyAlignment="1">
      <alignment horizontal="left"/>
    </xf>
    <xf numFmtId="0" fontId="136" fillId="76" borderId="1" xfId="0" applyFont="1" applyFill="1" applyBorder="1"/>
    <xf numFmtId="0" fontId="136" fillId="76" borderId="1" xfId="0" applyFont="1" applyFill="1" applyBorder="1" applyAlignment="1">
      <alignment horizontal="center"/>
    </xf>
    <xf numFmtId="0" fontId="136" fillId="53" borderId="1" xfId="0" applyFont="1" applyFill="1" applyBorder="1"/>
    <xf numFmtId="0" fontId="136" fillId="53" borderId="1" xfId="0" applyFont="1" applyFill="1" applyBorder="1" applyAlignment="1">
      <alignment horizontal="center"/>
    </xf>
    <xf numFmtId="0" fontId="136" fillId="50" borderId="1" xfId="0" applyFont="1" applyFill="1" applyBorder="1" applyAlignment="1">
      <alignment horizontal="center"/>
    </xf>
    <xf numFmtId="0" fontId="136" fillId="76" borderId="3" xfId="0" applyFont="1" applyFill="1" applyBorder="1"/>
    <xf numFmtId="0" fontId="136" fillId="50" borderId="3" xfId="0" applyFont="1" applyFill="1" applyBorder="1"/>
    <xf numFmtId="0" fontId="136" fillId="50" borderId="0" xfId="0" applyFont="1" applyFill="1"/>
    <xf numFmtId="0" fontId="169" fillId="50" borderId="0" xfId="0" applyFont="1" applyFill="1" applyAlignment="1">
      <alignment horizontal="center"/>
    </xf>
    <xf numFmtId="0" fontId="170" fillId="40" borderId="1" xfId="0" applyFont="1" applyFill="1" applyBorder="1"/>
    <xf numFmtId="3" fontId="58" fillId="3" borderId="0" xfId="10" applyNumberFormat="1" applyFont="1" applyFill="1" applyBorder="1" applyAlignment="1">
      <alignment horizontal="right"/>
    </xf>
    <xf numFmtId="0" fontId="20" fillId="3" borderId="5" xfId="10" applyFont="1" applyFill="1" applyBorder="1" applyAlignment="1">
      <alignment horizontal="center"/>
    </xf>
    <xf numFmtId="3" fontId="20" fillId="3" borderId="5" xfId="10" applyNumberFormat="1" applyFont="1" applyFill="1" applyBorder="1" applyAlignment="1">
      <alignment horizontal="center"/>
    </xf>
    <xf numFmtId="3" fontId="55" fillId="40" borderId="23" xfId="10" applyNumberFormat="1" applyFont="1" applyFill="1" applyBorder="1" applyAlignment="1">
      <alignment horizontal="center"/>
    </xf>
    <xf numFmtId="3" fontId="55" fillId="40" borderId="24" xfId="10" applyNumberFormat="1" applyFont="1" applyFill="1" applyBorder="1" applyAlignment="1">
      <alignment horizontal="center"/>
    </xf>
    <xf numFmtId="0" fontId="20" fillId="3" borderId="25" xfId="10" applyFont="1" applyFill="1" applyBorder="1"/>
    <xf numFmtId="3" fontId="20" fillId="3" borderId="7" xfId="10" applyNumberFormat="1" applyFont="1" applyFill="1" applyBorder="1" applyAlignment="1">
      <alignment horizontal="center"/>
    </xf>
    <xf numFmtId="0" fontId="20" fillId="3" borderId="28" xfId="10" applyFont="1" applyFill="1" applyBorder="1"/>
    <xf numFmtId="4" fontId="20" fillId="3" borderId="5" xfId="10" applyNumberFormat="1" applyFont="1" applyFill="1" applyBorder="1"/>
    <xf numFmtId="4" fontId="19" fillId="3" borderId="5" xfId="10" applyNumberFormat="1" applyFont="1" applyFill="1" applyBorder="1"/>
    <xf numFmtId="3" fontId="20" fillId="3" borderId="11" xfId="10" applyNumberFormat="1" applyFont="1" applyFill="1" applyBorder="1" applyAlignment="1">
      <alignment horizontal="center"/>
    </xf>
    <xf numFmtId="4" fontId="19" fillId="3" borderId="5" xfId="10" applyNumberFormat="1" applyFont="1" applyFill="1" applyBorder="1" applyAlignment="1">
      <alignment horizontal="center"/>
    </xf>
    <xf numFmtId="4" fontId="20" fillId="3" borderId="0" xfId="10" applyNumberFormat="1" applyFont="1" applyFill="1" applyBorder="1"/>
    <xf numFmtId="3" fontId="20" fillId="3" borderId="6" xfId="10" applyNumberFormat="1" applyFont="1" applyFill="1" applyBorder="1" applyAlignment="1">
      <alignment horizontal="center"/>
    </xf>
    <xf numFmtId="4" fontId="19" fillId="3" borderId="0" xfId="10" applyNumberFormat="1" applyFont="1" applyFill="1" applyBorder="1" applyAlignment="1">
      <alignment horizontal="right"/>
    </xf>
    <xf numFmtId="3" fontId="20" fillId="3" borderId="8" xfId="10" applyNumberFormat="1" applyFont="1" applyFill="1" applyBorder="1" applyAlignment="1">
      <alignment horizontal="center"/>
    </xf>
    <xf numFmtId="3" fontId="20" fillId="3" borderId="10" xfId="10" applyNumberFormat="1" applyFont="1" applyFill="1" applyBorder="1" applyAlignment="1">
      <alignment horizontal="center"/>
    </xf>
    <xf numFmtId="4" fontId="19" fillId="3" borderId="10" xfId="10" applyNumberFormat="1" applyFont="1" applyFill="1" applyBorder="1" applyAlignment="1">
      <alignment horizontal="center"/>
    </xf>
    <xf numFmtId="4" fontId="20" fillId="3" borderId="25" xfId="10" applyNumberFormat="1" applyFont="1" applyFill="1" applyBorder="1"/>
    <xf numFmtId="3" fontId="20" fillId="46" borderId="0" xfId="10" applyNumberFormat="1" applyFont="1" applyFill="1" applyBorder="1"/>
    <xf numFmtId="3" fontId="20" fillId="46" borderId="23" xfId="10" applyNumberFormat="1" applyFont="1" applyFill="1" applyBorder="1"/>
    <xf numFmtId="3" fontId="20" fillId="46" borderId="24" xfId="10" applyNumberFormat="1" applyFont="1" applyFill="1" applyBorder="1"/>
    <xf numFmtId="3" fontId="20" fillId="46" borderId="26" xfId="10" applyNumberFormat="1" applyFont="1" applyFill="1" applyBorder="1"/>
    <xf numFmtId="0" fontId="20" fillId="3" borderId="60" xfId="10" applyFont="1" applyFill="1" applyBorder="1"/>
    <xf numFmtId="0" fontId="14" fillId="3" borderId="25" xfId="0" applyFont="1" applyFill="1" applyBorder="1"/>
    <xf numFmtId="4" fontId="20" fillId="3" borderId="0" xfId="10" applyNumberFormat="1" applyFont="1" applyFill="1" applyBorder="1" applyAlignment="1">
      <alignment horizontal="center"/>
    </xf>
    <xf numFmtId="3" fontId="20" fillId="46" borderId="24" xfId="10" applyNumberFormat="1" applyFont="1" applyFill="1" applyBorder="1" applyAlignment="1">
      <alignment horizontal="center"/>
    </xf>
    <xf numFmtId="4" fontId="20" fillId="46" borderId="24" xfId="10" applyNumberFormat="1" applyFont="1" applyFill="1" applyBorder="1" applyAlignment="1">
      <alignment horizontal="center"/>
    </xf>
    <xf numFmtId="3" fontId="20" fillId="46" borderId="26" xfId="10" applyNumberFormat="1" applyFont="1" applyFill="1" applyBorder="1" applyAlignment="1">
      <alignment horizontal="center"/>
    </xf>
    <xf numFmtId="0" fontId="14" fillId="3" borderId="60" xfId="0" applyFont="1" applyFill="1" applyBorder="1"/>
    <xf numFmtId="3" fontId="20" fillId="3" borderId="23" xfId="10" applyNumberFormat="1" applyFont="1" applyFill="1" applyBorder="1" applyAlignment="1">
      <alignment horizontal="center"/>
    </xf>
    <xf numFmtId="3" fontId="20" fillId="3" borderId="24" xfId="10" applyNumberFormat="1" applyFont="1" applyFill="1" applyBorder="1" applyAlignment="1">
      <alignment horizontal="center"/>
    </xf>
    <xf numFmtId="3" fontId="20" fillId="46" borderId="23" xfId="10" applyNumberFormat="1" applyFont="1" applyFill="1" applyBorder="1" applyAlignment="1">
      <alignment horizontal="center"/>
    </xf>
    <xf numFmtId="3" fontId="14" fillId="3" borderId="25" xfId="0" applyNumberFormat="1" applyFont="1" applyFill="1" applyBorder="1"/>
    <xf numFmtId="0" fontId="20" fillId="3" borderId="23" xfId="10" applyFont="1" applyFill="1" applyBorder="1"/>
    <xf numFmtId="4" fontId="20" fillId="3" borderId="26" xfId="10" applyNumberFormat="1" applyFont="1" applyFill="1" applyBorder="1"/>
    <xf numFmtId="3" fontId="20" fillId="46" borderId="10" xfId="10" applyNumberFormat="1" applyFont="1" applyFill="1" applyBorder="1"/>
    <xf numFmtId="3" fontId="20" fillId="41" borderId="27" xfId="10" applyNumberFormat="1" applyFont="1" applyFill="1" applyBorder="1"/>
    <xf numFmtId="3" fontId="14" fillId="3" borderId="27" xfId="0" applyNumberFormat="1" applyFont="1" applyFill="1" applyBorder="1"/>
    <xf numFmtId="0" fontId="14" fillId="3" borderId="7" xfId="0" applyFont="1" applyFill="1" applyBorder="1"/>
    <xf numFmtId="0" fontId="14" fillId="3" borderId="28" xfId="0" applyFont="1" applyFill="1" applyBorder="1"/>
    <xf numFmtId="3" fontId="14" fillId="3" borderId="0" xfId="0" applyNumberFormat="1" applyFont="1" applyFill="1"/>
    <xf numFmtId="0" fontId="196" fillId="3" borderId="28" xfId="0" applyFont="1" applyFill="1" applyBorder="1"/>
    <xf numFmtId="0" fontId="196" fillId="3" borderId="25" xfId="0" applyFont="1" applyFill="1" applyBorder="1"/>
    <xf numFmtId="0" fontId="196" fillId="3" borderId="60" xfId="0" applyFont="1" applyFill="1" applyBorder="1"/>
    <xf numFmtId="0" fontId="14" fillId="3" borderId="23" xfId="0" applyFont="1" applyFill="1" applyBorder="1"/>
    <xf numFmtId="0" fontId="14" fillId="3" borderId="24" xfId="0" applyFont="1" applyFill="1" applyBorder="1"/>
    <xf numFmtId="0" fontId="14" fillId="3" borderId="26" xfId="0" applyFont="1" applyFill="1" applyBorder="1"/>
    <xf numFmtId="3" fontId="20" fillId="41" borderId="24" xfId="10" applyNumberFormat="1" applyFont="1" applyFill="1" applyBorder="1"/>
    <xf numFmtId="3" fontId="20" fillId="46" borderId="27" xfId="10" applyNumberFormat="1" applyFont="1" applyFill="1" applyBorder="1"/>
    <xf numFmtId="0" fontId="19" fillId="2" borderId="24" xfId="10" applyFont="1" applyFill="1" applyBorder="1" applyAlignment="1">
      <alignment horizontal="center"/>
    </xf>
    <xf numFmtId="0" fontId="135" fillId="0" borderId="52" xfId="0" applyFont="1" applyFill="1" applyBorder="1" applyAlignment="1">
      <alignment horizontal="center" vertical="center"/>
    </xf>
    <xf numFmtId="3" fontId="171" fillId="2" borderId="23" xfId="0" applyNumberFormat="1" applyFont="1" applyFill="1" applyBorder="1" applyAlignment="1">
      <alignment horizontal="center"/>
    </xf>
    <xf numFmtId="3" fontId="171" fillId="2" borderId="24" xfId="0" applyNumberFormat="1" applyFont="1" applyFill="1" applyBorder="1" applyAlignment="1">
      <alignment horizontal="center"/>
    </xf>
    <xf numFmtId="3" fontId="171" fillId="2" borderId="26" xfId="0" applyNumberFormat="1" applyFont="1" applyFill="1" applyBorder="1" applyAlignment="1">
      <alignment horizontal="center"/>
    </xf>
    <xf numFmtId="4" fontId="19" fillId="0" borderId="0" xfId="0" applyNumberFormat="1" applyFont="1" applyFill="1" applyBorder="1" applyAlignment="1">
      <alignment horizontal="center"/>
    </xf>
    <xf numFmtId="177" fontId="0" fillId="0" borderId="0" xfId="0" applyNumberFormat="1" applyFill="1"/>
    <xf numFmtId="0" fontId="14" fillId="2" borderId="7" xfId="52" applyFont="1" applyFill="1" applyBorder="1" applyAlignment="1" applyProtection="1">
      <alignment horizontal="left" wrapText="1"/>
    </xf>
    <xf numFmtId="0" fontId="20" fillId="0" borderId="36" xfId="78" applyFont="1" applyFill="1" applyBorder="1"/>
    <xf numFmtId="14" fontId="20" fillId="0" borderId="39" xfId="78" applyNumberFormat="1" applyFont="1" applyFill="1" applyBorder="1" applyAlignment="1">
      <alignment horizontal="center" vertical="center"/>
    </xf>
    <xf numFmtId="0" fontId="19" fillId="0" borderId="42" xfId="78" applyFont="1" applyFill="1" applyBorder="1"/>
    <xf numFmtId="0" fontId="19" fillId="0" borderId="42" xfId="78" applyFont="1" applyFill="1" applyBorder="1" applyAlignment="1">
      <alignment horizontal="center"/>
    </xf>
    <xf numFmtId="0" fontId="19" fillId="0" borderId="9" xfId="52" applyFont="1" applyFill="1" applyBorder="1" applyAlignment="1" applyProtection="1">
      <alignment horizontal="left" vertical="center" wrapText="1"/>
    </xf>
    <xf numFmtId="0" fontId="0" fillId="0" borderId="0" xfId="0" applyFont="1" applyFill="1"/>
    <xf numFmtId="4" fontId="14" fillId="3" borderId="0" xfId="0" applyNumberFormat="1" applyFont="1" applyFill="1"/>
    <xf numFmtId="4" fontId="171" fillId="3" borderId="0" xfId="0" applyNumberFormat="1" applyFont="1" applyFill="1"/>
    <xf numFmtId="4" fontId="19" fillId="3" borderId="2" xfId="10" applyNumberFormat="1" applyFont="1" applyFill="1" applyBorder="1" applyAlignment="1">
      <alignment horizontal="center"/>
    </xf>
    <xf numFmtId="4" fontId="19" fillId="3" borderId="49" xfId="10" applyNumberFormat="1" applyFont="1" applyFill="1" applyBorder="1" applyAlignment="1">
      <alignment horizontal="center"/>
    </xf>
    <xf numFmtId="4" fontId="19" fillId="3" borderId="29" xfId="10" applyNumberFormat="1" applyFont="1" applyFill="1" applyBorder="1" applyAlignment="1">
      <alignment horizontal="center"/>
    </xf>
    <xf numFmtId="4" fontId="19" fillId="3" borderId="50" xfId="10" applyNumberFormat="1" applyFont="1" applyFill="1" applyBorder="1" applyAlignment="1">
      <alignment horizontal="center"/>
    </xf>
    <xf numFmtId="0" fontId="0" fillId="0" borderId="0" xfId="0" applyAlignment="1">
      <alignment vertical="center"/>
    </xf>
    <xf numFmtId="0" fontId="173" fillId="2" borderId="7" xfId="1" applyFont="1" applyFill="1" applyBorder="1" applyAlignment="1" applyProtection="1">
      <alignment horizontal="center" wrapText="1"/>
    </xf>
    <xf numFmtId="0" fontId="173" fillId="3" borderId="7" xfId="1" applyFont="1" applyFill="1" applyBorder="1" applyAlignment="1" applyProtection="1">
      <alignment horizontal="center" wrapText="1"/>
    </xf>
    <xf numFmtId="0" fontId="173" fillId="2" borderId="7" xfId="1" applyFont="1" applyFill="1" applyBorder="1" applyAlignment="1" applyProtection="1">
      <alignment horizontal="center" vertical="center" wrapText="1"/>
    </xf>
    <xf numFmtId="4" fontId="19" fillId="50" borderId="4" xfId="0" applyNumberFormat="1" applyFont="1" applyFill="1" applyBorder="1"/>
    <xf numFmtId="4" fontId="0" fillId="0" borderId="4" xfId="0" applyNumberFormat="1" applyFont="1" applyBorder="1"/>
    <xf numFmtId="4" fontId="20" fillId="50" borderId="4" xfId="0" applyNumberFormat="1" applyFont="1" applyFill="1" applyBorder="1"/>
    <xf numFmtId="4" fontId="24" fillId="0" borderId="0" xfId="0" applyNumberFormat="1" applyFont="1" applyFill="1" applyBorder="1" applyAlignment="1">
      <alignment horizontal="center"/>
    </xf>
    <xf numFmtId="0" fontId="24" fillId="0" borderId="2" xfId="0" applyFont="1" applyFill="1" applyBorder="1"/>
    <xf numFmtId="4" fontId="24" fillId="0" borderId="4" xfId="0" applyNumberFormat="1" applyFont="1" applyFill="1" applyBorder="1"/>
    <xf numFmtId="0" fontId="24" fillId="0" borderId="49" xfId="0" applyFont="1" applyFill="1" applyBorder="1"/>
    <xf numFmtId="4" fontId="24" fillId="0" borderId="50" xfId="0" applyNumberFormat="1" applyFont="1" applyFill="1" applyBorder="1"/>
    <xf numFmtId="3" fontId="20" fillId="0" borderId="11" xfId="10" applyNumberFormat="1" applyFont="1" applyBorder="1"/>
    <xf numFmtId="0" fontId="19" fillId="0" borderId="25" xfId="10" applyFont="1" applyFill="1" applyBorder="1"/>
    <xf numFmtId="3" fontId="20" fillId="0" borderId="6" xfId="10" applyNumberFormat="1" applyFont="1" applyBorder="1"/>
    <xf numFmtId="3" fontId="20" fillId="2" borderId="23" xfId="10" applyNumberFormat="1" applyFont="1" applyFill="1" applyBorder="1"/>
    <xf numFmtId="0" fontId="204" fillId="0" borderId="0" xfId="1" applyFont="1" applyBorder="1" applyAlignment="1">
      <alignment vertical="top" wrapText="1"/>
    </xf>
    <xf numFmtId="0" fontId="205" fillId="0" borderId="0" xfId="0" applyFont="1" applyBorder="1" applyAlignment="1">
      <alignment vertical="top" wrapText="1"/>
    </xf>
    <xf numFmtId="3" fontId="204" fillId="0" borderId="0" xfId="1" applyNumberFormat="1" applyFont="1" applyAlignment="1">
      <alignment horizontal="center" wrapText="1"/>
    </xf>
    <xf numFmtId="0" fontId="7" fillId="0" borderId="0" xfId="10" applyAlignment="1">
      <alignment horizontal="left" vertical="top" wrapText="1"/>
    </xf>
    <xf numFmtId="0" fontId="36" fillId="40" borderId="51" xfId="10" applyFont="1" applyFill="1" applyBorder="1" applyAlignment="1">
      <alignment horizontal="center" vertical="center"/>
    </xf>
    <xf numFmtId="0" fontId="36" fillId="40" borderId="52" xfId="10" applyFont="1" applyFill="1" applyBorder="1" applyAlignment="1">
      <alignment horizontal="center" vertical="center"/>
    </xf>
    <xf numFmtId="0" fontId="36" fillId="40" borderId="53" xfId="10" applyFont="1" applyFill="1" applyBorder="1" applyAlignment="1">
      <alignment horizontal="center" vertical="center"/>
    </xf>
    <xf numFmtId="3" fontId="58" fillId="3" borderId="0" xfId="10" applyNumberFormat="1" applyFont="1" applyFill="1" applyBorder="1" applyAlignment="1">
      <alignment horizontal="right" vertical="top" wrapText="1"/>
    </xf>
    <xf numFmtId="169" fontId="19" fillId="3" borderId="6" xfId="82" applyNumberFormat="1" applyFont="1" applyFill="1" applyBorder="1" applyAlignment="1">
      <alignment horizontal="center"/>
    </xf>
    <xf numFmtId="169" fontId="19" fillId="3" borderId="7" xfId="82" applyNumberFormat="1" applyFont="1" applyFill="1" applyBorder="1" applyAlignment="1">
      <alignment horizontal="center"/>
    </xf>
    <xf numFmtId="0" fontId="36" fillId="40" borderId="55" xfId="10" applyFont="1" applyFill="1" applyBorder="1" applyAlignment="1">
      <alignment horizontal="center" vertical="center"/>
    </xf>
    <xf numFmtId="0" fontId="36" fillId="40" borderId="46" xfId="10" applyFont="1" applyFill="1" applyBorder="1" applyAlignment="1">
      <alignment horizontal="center" vertical="center"/>
    </xf>
    <xf numFmtId="0" fontId="15" fillId="40" borderId="48" xfId="10" applyFont="1" applyFill="1" applyBorder="1" applyAlignment="1">
      <alignment horizontal="center" vertical="center"/>
    </xf>
    <xf numFmtId="3" fontId="19" fillId="3" borderId="8" xfId="10" applyNumberFormat="1" applyFont="1" applyFill="1" applyBorder="1"/>
    <xf numFmtId="0" fontId="36" fillId="40" borderId="48" xfId="10" applyFont="1" applyFill="1" applyBorder="1" applyAlignment="1">
      <alignment horizontal="center" vertical="center"/>
    </xf>
    <xf numFmtId="169" fontId="19" fillId="3" borderId="12" xfId="10" applyNumberFormat="1" applyFont="1" applyFill="1" applyBorder="1" applyAlignment="1">
      <alignment horizontal="center"/>
    </xf>
    <xf numFmtId="169" fontId="19" fillId="3" borderId="9" xfId="55" applyNumberFormat="1" applyFont="1" applyFill="1" applyBorder="1" applyAlignment="1">
      <alignment horizontal="center"/>
    </xf>
    <xf numFmtId="0" fontId="36" fillId="40" borderId="47" xfId="10" applyFont="1" applyFill="1" applyBorder="1" applyAlignment="1">
      <alignment horizontal="center" vertical="center"/>
    </xf>
    <xf numFmtId="3" fontId="20" fillId="50" borderId="0" xfId="57" applyNumberFormat="1" applyFont="1" applyFill="1" applyBorder="1" applyAlignment="1">
      <alignment horizontal="center"/>
    </xf>
    <xf numFmtId="1" fontId="55" fillId="40" borderId="23" xfId="10" applyNumberFormat="1" applyFont="1" applyFill="1" applyBorder="1"/>
    <xf numFmtId="3" fontId="20" fillId="46" borderId="115" xfId="10" applyNumberFormat="1" applyFont="1" applyFill="1" applyBorder="1"/>
    <xf numFmtId="0" fontId="2" fillId="0" borderId="0" xfId="1" applyAlignment="1" applyProtection="1">
      <alignment horizontal="center"/>
    </xf>
    <xf numFmtId="3" fontId="196" fillId="3" borderId="0" xfId="0" applyNumberFormat="1" applyFont="1" applyFill="1"/>
    <xf numFmtId="4" fontId="24" fillId="3" borderId="0" xfId="0" applyNumberFormat="1" applyFont="1" applyFill="1"/>
    <xf numFmtId="9" fontId="24" fillId="3" borderId="0" xfId="82" applyFont="1" applyFill="1"/>
    <xf numFmtId="3" fontId="24" fillId="3" borderId="0" xfId="0" applyNumberFormat="1" applyFont="1" applyFill="1"/>
    <xf numFmtId="10" fontId="120" fillId="0" borderId="0" xfId="82" applyNumberFormat="1" applyFont="1" applyProtection="1">
      <protection hidden="1"/>
    </xf>
    <xf numFmtId="0" fontId="75" fillId="3" borderId="49" xfId="10" applyFont="1" applyFill="1" applyBorder="1" applyAlignment="1">
      <alignment horizontal="center"/>
    </xf>
    <xf numFmtId="0" fontId="102" fillId="3" borderId="29" xfId="10" applyFont="1" applyFill="1" applyBorder="1" applyAlignment="1">
      <alignment horizontal="center"/>
    </xf>
    <xf numFmtId="169" fontId="102" fillId="3" borderId="29" xfId="55" applyNumberFormat="1" applyFont="1" applyFill="1" applyBorder="1" applyAlignment="1">
      <alignment horizontal="center"/>
    </xf>
    <xf numFmtId="169" fontId="102" fillId="3" borderId="50" xfId="55" applyNumberFormat="1" applyFont="1" applyFill="1" applyBorder="1" applyAlignment="1">
      <alignment horizontal="center"/>
    </xf>
    <xf numFmtId="0" fontId="56" fillId="3" borderId="49" xfId="10" applyFont="1" applyFill="1" applyBorder="1"/>
    <xf numFmtId="3" fontId="103" fillId="3" borderId="29" xfId="10" applyNumberFormat="1" applyFont="1" applyFill="1" applyBorder="1"/>
    <xf numFmtId="169" fontId="155" fillId="0" borderId="29" xfId="55" applyNumberFormat="1" applyFont="1" applyBorder="1" applyAlignment="1">
      <alignment horizontal="center"/>
    </xf>
    <xf numFmtId="169" fontId="155" fillId="0" borderId="50" xfId="55" applyNumberFormat="1" applyFont="1" applyBorder="1" applyAlignment="1">
      <alignment horizontal="center"/>
    </xf>
    <xf numFmtId="169" fontId="155" fillId="3" borderId="0" xfId="55" applyNumberFormat="1" applyFont="1" applyFill="1" applyBorder="1"/>
    <xf numFmtId="3" fontId="102" fillId="3" borderId="0" xfId="0" applyNumberFormat="1" applyFont="1" applyFill="1" applyBorder="1" applyAlignment="1">
      <alignment horizontal="right"/>
    </xf>
    <xf numFmtId="3" fontId="80" fillId="3" borderId="0" xfId="0" applyNumberFormat="1" applyFont="1" applyFill="1" applyBorder="1"/>
    <xf numFmtId="3" fontId="20" fillId="3" borderId="46" xfId="10" applyNumberFormat="1" applyFont="1" applyFill="1" applyBorder="1" applyAlignment="1">
      <alignment horizontal="center" vertical="center"/>
    </xf>
    <xf numFmtId="3" fontId="20" fillId="3" borderId="47" xfId="10" applyNumberFormat="1" applyFont="1" applyFill="1" applyBorder="1" applyAlignment="1">
      <alignment horizontal="center" vertical="center"/>
    </xf>
    <xf numFmtId="3" fontId="20" fillId="3" borderId="48" xfId="10" applyNumberFormat="1" applyFont="1" applyFill="1" applyBorder="1" applyAlignment="1">
      <alignment horizontal="center" vertical="center"/>
    </xf>
    <xf numFmtId="3" fontId="55" fillId="40" borderId="24" xfId="10" applyNumberFormat="1" applyFont="1" applyFill="1" applyBorder="1" applyAlignment="1">
      <alignment horizontal="center" vertical="center"/>
    </xf>
    <xf numFmtId="0" fontId="52" fillId="40" borderId="0" xfId="10" applyFont="1" applyFill="1" applyBorder="1" applyAlignment="1">
      <alignment horizontal="center"/>
    </xf>
    <xf numFmtId="0" fontId="52" fillId="2" borderId="52" xfId="10" applyFont="1" applyFill="1" applyBorder="1" applyAlignment="1">
      <alignment horizontal="center"/>
    </xf>
    <xf numFmtId="0" fontId="20" fillId="2" borderId="24" xfId="78" applyFont="1" applyFill="1" applyBorder="1"/>
    <xf numFmtId="0" fontId="20" fillId="59" borderId="52" xfId="78" applyFont="1" applyFill="1" applyBorder="1" applyAlignment="1">
      <alignment horizontal="left"/>
    </xf>
    <xf numFmtId="0" fontId="21" fillId="0" borderId="47" xfId="78" applyFont="1" applyBorder="1" applyAlignment="1">
      <alignment horizontal="left"/>
    </xf>
    <xf numFmtId="0" fontId="19" fillId="0" borderId="0" xfId="78" applyFont="1" applyBorder="1" applyAlignment="1">
      <alignment horizontal="center"/>
    </xf>
    <xf numFmtId="0" fontId="19" fillId="61" borderId="52" xfId="78" applyFont="1" applyFill="1" applyBorder="1" applyAlignment="1">
      <alignment horizontal="center"/>
    </xf>
    <xf numFmtId="0" fontId="21" fillId="0" borderId="0" xfId="78" applyFont="1" applyBorder="1" applyAlignment="1">
      <alignment horizontal="left"/>
    </xf>
    <xf numFmtId="0" fontId="19" fillId="2" borderId="52" xfId="78" applyFont="1" applyFill="1" applyBorder="1" applyAlignment="1">
      <alignment horizontal="center"/>
    </xf>
    <xf numFmtId="0" fontId="19" fillId="2" borderId="29" xfId="78" applyFont="1" applyFill="1" applyBorder="1" applyAlignment="1">
      <alignment horizontal="center"/>
    </xf>
    <xf numFmtId="177" fontId="20" fillId="61" borderId="53" xfId="78" applyNumberFormat="1" applyFont="1" applyFill="1" applyBorder="1"/>
    <xf numFmtId="177" fontId="20" fillId="2" borderId="50" xfId="78" applyNumberFormat="1" applyFont="1" applyFill="1" applyBorder="1"/>
    <xf numFmtId="177" fontId="20" fillId="2" borderId="53" xfId="78" applyNumberFormat="1" applyFont="1" applyFill="1" applyBorder="1"/>
    <xf numFmtId="0" fontId="52" fillId="40" borderId="29" xfId="10" applyFont="1" applyFill="1" applyBorder="1" applyAlignment="1">
      <alignment horizontal="center"/>
    </xf>
    <xf numFmtId="0" fontId="55" fillId="40" borderId="2" xfId="10" applyFont="1" applyFill="1" applyBorder="1"/>
    <xf numFmtId="176" fontId="55" fillId="40" borderId="0" xfId="10" applyNumberFormat="1" applyFont="1" applyFill="1" applyBorder="1" applyAlignment="1">
      <alignment horizontal="center"/>
    </xf>
    <xf numFmtId="177" fontId="52" fillId="0" borderId="0" xfId="10" applyNumberFormat="1" applyFont="1" applyFill="1" applyBorder="1"/>
    <xf numFmtId="177" fontId="52" fillId="0" borderId="0" xfId="10" applyNumberFormat="1" applyFont="1" applyFill="1" applyBorder="1" applyAlignment="1">
      <alignment horizontal="center"/>
    </xf>
    <xf numFmtId="176" fontId="55" fillId="0" borderId="0" xfId="10" applyNumberFormat="1" applyFont="1" applyFill="1" applyBorder="1" applyAlignment="1">
      <alignment horizontal="center"/>
    </xf>
    <xf numFmtId="0" fontId="55" fillId="40" borderId="0" xfId="10" applyFont="1" applyFill="1" applyBorder="1"/>
    <xf numFmtId="0" fontId="55" fillId="40" borderId="2" xfId="10" applyFont="1" applyFill="1" applyBorder="1" applyAlignment="1">
      <alignment horizontal="center"/>
    </xf>
    <xf numFmtId="0" fontId="20" fillId="61" borderId="52" xfId="10" applyFont="1" applyFill="1" applyBorder="1" applyAlignment="1">
      <alignment horizontal="left"/>
    </xf>
    <xf numFmtId="0" fontId="19" fillId="40" borderId="0" xfId="10" applyFont="1" applyFill="1" applyBorder="1" applyAlignment="1">
      <alignment horizontal="center"/>
    </xf>
    <xf numFmtId="177" fontId="20" fillId="0" borderId="4" xfId="10" applyNumberFormat="1" applyFont="1" applyBorder="1"/>
    <xf numFmtId="0" fontId="52" fillId="0" borderId="0" xfId="10" applyFont="1" applyFill="1" applyBorder="1" applyAlignment="1">
      <alignment horizontal="center"/>
    </xf>
    <xf numFmtId="0" fontId="55" fillId="0" borderId="0" xfId="10" applyFont="1" applyFill="1" applyBorder="1"/>
    <xf numFmtId="176" fontId="55" fillId="0" borderId="4" xfId="10" applyNumberFormat="1" applyFont="1" applyFill="1" applyBorder="1" applyAlignment="1">
      <alignment horizontal="center"/>
    </xf>
    <xf numFmtId="0" fontId="19" fillId="40" borderId="24" xfId="10" applyFont="1" applyFill="1" applyBorder="1"/>
    <xf numFmtId="3" fontId="19" fillId="0" borderId="48" xfId="10" applyNumberFormat="1" applyFont="1" applyBorder="1"/>
    <xf numFmtId="177" fontId="19" fillId="2" borderId="78" xfId="10" applyNumberFormat="1" applyFont="1" applyFill="1" applyBorder="1"/>
    <xf numFmtId="0" fontId="55" fillId="40" borderId="47" xfId="57" applyFont="1" applyFill="1" applyBorder="1" applyAlignment="1">
      <alignment horizontal="center"/>
    </xf>
    <xf numFmtId="0" fontId="55" fillId="40" borderId="48" xfId="57" applyFont="1" applyFill="1" applyBorder="1" applyAlignment="1">
      <alignment horizontal="center"/>
    </xf>
    <xf numFmtId="3" fontId="19" fillId="0" borderId="47" xfId="57" applyNumberFormat="1" applyFont="1" applyFill="1" applyBorder="1" applyAlignment="1">
      <alignment horizontal="center"/>
    </xf>
    <xf numFmtId="3" fontId="19" fillId="0" borderId="48" xfId="57" applyNumberFormat="1" applyFont="1" applyFill="1" applyBorder="1" applyAlignment="1">
      <alignment horizontal="center"/>
    </xf>
    <xf numFmtId="3" fontId="19" fillId="0" borderId="2" xfId="57" applyNumberFormat="1" applyFont="1" applyBorder="1" applyAlignment="1">
      <alignment horizontal="center"/>
    </xf>
    <xf numFmtId="3" fontId="20" fillId="0" borderId="2" xfId="57" applyNumberFormat="1" applyFont="1" applyBorder="1" applyAlignment="1">
      <alignment horizontal="center"/>
    </xf>
    <xf numFmtId="9" fontId="19" fillId="0" borderId="2" xfId="55" applyNumberFormat="1" applyFont="1" applyBorder="1" applyAlignment="1">
      <alignment horizontal="center"/>
    </xf>
    <xf numFmtId="9" fontId="19" fillId="0" borderId="2" xfId="55" applyFont="1" applyBorder="1" applyAlignment="1">
      <alignment horizontal="center"/>
    </xf>
    <xf numFmtId="3" fontId="20" fillId="0" borderId="2" xfId="55" applyNumberFormat="1" applyFont="1" applyBorder="1" applyAlignment="1">
      <alignment horizontal="center"/>
    </xf>
    <xf numFmtId="1" fontId="55" fillId="40" borderId="51" xfId="57" applyNumberFormat="1" applyFont="1" applyFill="1" applyBorder="1" applyAlignment="1">
      <alignment horizontal="center"/>
    </xf>
    <xf numFmtId="10" fontId="19" fillId="0" borderId="47" xfId="55" applyNumberFormat="1" applyFont="1" applyBorder="1" applyAlignment="1">
      <alignment horizontal="center"/>
    </xf>
    <xf numFmtId="10" fontId="19" fillId="0" borderId="46" xfId="55" applyNumberFormat="1" applyFont="1" applyBorder="1" applyAlignment="1">
      <alignment horizontal="center"/>
    </xf>
    <xf numFmtId="3" fontId="20" fillId="2" borderId="2" xfId="57" applyNumberFormat="1" applyFont="1" applyFill="1" applyBorder="1" applyAlignment="1">
      <alignment horizontal="center"/>
    </xf>
    <xf numFmtId="3" fontId="19" fillId="0" borderId="49" xfId="10" applyNumberFormat="1" applyFont="1" applyBorder="1" applyAlignment="1">
      <alignment horizontal="center"/>
    </xf>
    <xf numFmtId="3" fontId="20" fillId="61" borderId="46" xfId="57" applyNumberFormat="1" applyFont="1" applyFill="1" applyBorder="1" applyAlignment="1">
      <alignment horizontal="center"/>
    </xf>
    <xf numFmtId="3" fontId="20" fillId="61" borderId="47" xfId="57" applyNumberFormat="1" applyFont="1" applyFill="1" applyBorder="1" applyAlignment="1">
      <alignment horizontal="center"/>
    </xf>
    <xf numFmtId="3" fontId="20" fillId="61" borderId="48" xfId="57" applyNumberFormat="1" applyFont="1" applyFill="1" applyBorder="1" applyAlignment="1">
      <alignment horizontal="center"/>
    </xf>
    <xf numFmtId="1" fontId="55" fillId="40" borderId="46" xfId="57" applyNumberFormat="1" applyFont="1" applyFill="1" applyBorder="1" applyAlignment="1">
      <alignment horizontal="center"/>
    </xf>
    <xf numFmtId="1" fontId="20" fillId="0" borderId="46" xfId="57" applyNumberFormat="1" applyFont="1" applyFill="1" applyBorder="1" applyAlignment="1">
      <alignment horizontal="center"/>
    </xf>
    <xf numFmtId="0" fontId="20" fillId="0" borderId="47" xfId="57" applyFont="1" applyFill="1" applyBorder="1" applyAlignment="1">
      <alignment horizontal="center"/>
    </xf>
    <xf numFmtId="3" fontId="20" fillId="0" borderId="2" xfId="57" applyNumberFormat="1" applyFont="1" applyFill="1" applyBorder="1" applyAlignment="1">
      <alignment horizontal="center"/>
    </xf>
    <xf numFmtId="3" fontId="19" fillId="0" borderId="2" xfId="10" applyNumberFormat="1" applyFont="1" applyBorder="1" applyAlignment="1">
      <alignment horizontal="center"/>
    </xf>
    <xf numFmtId="9" fontId="19" fillId="0" borderId="0" xfId="10" applyNumberFormat="1" applyFont="1" applyBorder="1" applyAlignment="1">
      <alignment horizontal="center"/>
    </xf>
    <xf numFmtId="3" fontId="19" fillId="0" borderId="46" xfId="10" applyNumberFormat="1" applyFont="1" applyBorder="1" applyAlignment="1">
      <alignment horizontal="center"/>
    </xf>
    <xf numFmtId="3" fontId="20" fillId="2" borderId="2" xfId="10" applyNumberFormat="1" applyFont="1" applyFill="1" applyBorder="1" applyAlignment="1">
      <alignment horizontal="center"/>
    </xf>
    <xf numFmtId="3" fontId="20" fillId="0" borderId="2" xfId="10" applyNumberFormat="1" applyFont="1" applyBorder="1" applyAlignment="1">
      <alignment horizontal="center"/>
    </xf>
    <xf numFmtId="3" fontId="20" fillId="0" borderId="49" xfId="10" applyNumberFormat="1" applyFont="1" applyFill="1" applyBorder="1" applyAlignment="1">
      <alignment horizontal="center"/>
    </xf>
    <xf numFmtId="0" fontId="19" fillId="0" borderId="29" xfId="10" applyFont="1" applyFill="1" applyBorder="1"/>
    <xf numFmtId="0" fontId="2" fillId="2" borderId="34" xfId="1" applyFill="1" applyBorder="1"/>
    <xf numFmtId="3" fontId="24" fillId="46" borderId="12" xfId="0" applyNumberFormat="1" applyFont="1" applyFill="1" applyBorder="1" applyAlignment="1">
      <alignment horizontal="center"/>
    </xf>
    <xf numFmtId="3" fontId="24" fillId="0" borderId="12" xfId="0" applyNumberFormat="1" applyFont="1" applyBorder="1" applyAlignment="1">
      <alignment horizontal="center"/>
    </xf>
    <xf numFmtId="3" fontId="24" fillId="46" borderId="26" xfId="0" applyNumberFormat="1" applyFont="1" applyFill="1" applyBorder="1" applyAlignment="1">
      <alignment horizontal="center"/>
    </xf>
    <xf numFmtId="0" fontId="19" fillId="3" borderId="5" xfId="10" applyFont="1" applyFill="1" applyBorder="1" applyAlignment="1">
      <alignment horizontal="center"/>
    </xf>
    <xf numFmtId="0" fontId="19" fillId="3" borderId="10" xfId="10" applyFont="1" applyFill="1" applyBorder="1" applyAlignment="1">
      <alignment horizontal="center"/>
    </xf>
    <xf numFmtId="14" fontId="19" fillId="3" borderId="0" xfId="10" applyNumberFormat="1" applyFont="1" applyFill="1"/>
    <xf numFmtId="4" fontId="20" fillId="2" borderId="51" xfId="0" applyNumberFormat="1" applyFont="1" applyFill="1" applyBorder="1"/>
    <xf numFmtId="4" fontId="20" fillId="0" borderId="46" xfId="10" applyNumberFormat="1" applyFont="1" applyBorder="1"/>
    <xf numFmtId="4" fontId="20" fillId="0" borderId="2" xfId="10" applyNumberFormat="1" applyFont="1" applyBorder="1"/>
    <xf numFmtId="4" fontId="20" fillId="0" borderId="49" xfId="10" applyNumberFormat="1" applyFont="1" applyBorder="1"/>
    <xf numFmtId="4" fontId="20" fillId="0" borderId="50" xfId="10" applyNumberFormat="1" applyFont="1" applyBorder="1"/>
    <xf numFmtId="4" fontId="24" fillId="0" borderId="2" xfId="0" applyNumberFormat="1" applyFont="1" applyBorder="1"/>
    <xf numFmtId="4" fontId="24" fillId="0" borderId="49" xfId="0" applyNumberFormat="1" applyFont="1" applyBorder="1"/>
    <xf numFmtId="4" fontId="24" fillId="2" borderId="51" xfId="0" applyNumberFormat="1" applyFont="1" applyFill="1" applyBorder="1"/>
    <xf numFmtId="4" fontId="24" fillId="0" borderId="46" xfId="0" applyNumberFormat="1" applyFont="1" applyBorder="1"/>
    <xf numFmtId="0" fontId="138" fillId="0" borderId="9" xfId="0" applyFont="1" applyBorder="1"/>
    <xf numFmtId="14" fontId="0" fillId="0" borderId="0" xfId="0" applyNumberFormat="1"/>
    <xf numFmtId="3" fontId="55" fillId="40" borderId="24" xfId="10" applyNumberFormat="1" applyFont="1" applyFill="1" applyBorder="1" applyAlignment="1">
      <alignment horizontal="center" vertical="center"/>
    </xf>
    <xf numFmtId="0" fontId="36" fillId="40" borderId="51" xfId="10" applyFont="1" applyFill="1" applyBorder="1" applyAlignment="1">
      <alignment horizontal="center" vertical="center"/>
    </xf>
    <xf numFmtId="0" fontId="36" fillId="40" borderId="52" xfId="10" applyFont="1" applyFill="1" applyBorder="1" applyAlignment="1">
      <alignment horizontal="center" vertical="center"/>
    </xf>
    <xf numFmtId="0" fontId="36" fillId="40" borderId="53" xfId="10" applyFont="1" applyFill="1" applyBorder="1" applyAlignment="1">
      <alignment horizontal="center" vertical="center"/>
    </xf>
    <xf numFmtId="3" fontId="19" fillId="0" borderId="2" xfId="10" applyNumberFormat="1" applyFont="1" applyFill="1" applyBorder="1" applyAlignment="1" applyProtection="1">
      <alignment horizontal="left" vertical="center" wrapText="1"/>
    </xf>
    <xf numFmtId="3" fontId="19" fillId="0" borderId="0" xfId="10" applyNumberFormat="1" applyFont="1" applyFill="1" applyBorder="1" applyAlignment="1" applyProtection="1">
      <alignment horizontal="left" vertical="center" wrapText="1"/>
    </xf>
    <xf numFmtId="3" fontId="19" fillId="0" borderId="4" xfId="10" applyNumberFormat="1" applyFont="1" applyFill="1" applyBorder="1" applyAlignment="1" applyProtection="1">
      <alignment horizontal="left" vertical="center" wrapText="1"/>
    </xf>
    <xf numFmtId="3" fontId="59" fillId="3" borderId="5" xfId="0" applyNumberFormat="1" applyFont="1" applyFill="1" applyBorder="1"/>
    <xf numFmtId="3" fontId="59" fillId="3" borderId="0" xfId="0" applyNumberFormat="1" applyFont="1" applyFill="1" applyBorder="1" applyAlignment="1">
      <alignment horizontal="center"/>
    </xf>
    <xf numFmtId="0" fontId="55" fillId="40" borderId="26" xfId="10" applyFont="1" applyFill="1" applyBorder="1" applyAlignment="1">
      <alignment horizontal="center" vertical="center"/>
    </xf>
    <xf numFmtId="0" fontId="59" fillId="0" borderId="0" xfId="0" applyFont="1" applyBorder="1" applyAlignment="1">
      <alignment horizontal="center"/>
    </xf>
    <xf numFmtId="0" fontId="24" fillId="3" borderId="53" xfId="0" applyFont="1" applyFill="1" applyBorder="1"/>
    <xf numFmtId="0" fontId="0" fillId="3" borderId="29" xfId="0" applyFill="1" applyBorder="1"/>
    <xf numFmtId="0" fontId="19" fillId="3" borderId="48" xfId="10" applyFont="1" applyFill="1" applyBorder="1" applyAlignment="1">
      <alignment horizontal="center"/>
    </xf>
    <xf numFmtId="169" fontId="20" fillId="0" borderId="9" xfId="55" applyNumberFormat="1" applyFont="1" applyBorder="1" applyAlignment="1">
      <alignment horizontal="center"/>
    </xf>
    <xf numFmtId="0" fontId="20" fillId="2" borderId="23" xfId="10" applyFont="1" applyFill="1" applyBorder="1" applyAlignment="1">
      <alignment horizontal="center"/>
    </xf>
    <xf numFmtId="3" fontId="20" fillId="2" borderId="24" xfId="10" applyNumberFormat="1" applyFont="1" applyFill="1" applyBorder="1" applyAlignment="1">
      <alignment horizontal="center"/>
    </xf>
    <xf numFmtId="49" fontId="19" fillId="0" borderId="0" xfId="10" applyNumberFormat="1" applyFont="1"/>
    <xf numFmtId="49" fontId="8" fillId="0" borderId="0" xfId="0" applyNumberFormat="1" applyFont="1" applyFill="1" applyBorder="1" applyAlignment="1">
      <alignment horizontal="center"/>
    </xf>
    <xf numFmtId="0" fontId="2" fillId="0" borderId="1" xfId="1" applyBorder="1"/>
    <xf numFmtId="175" fontId="206" fillId="0" borderId="1" xfId="0" applyNumberFormat="1" applyFont="1" applyBorder="1" applyAlignment="1">
      <alignment horizontal="center"/>
    </xf>
    <xf numFmtId="174" fontId="8" fillId="50" borderId="1" xfId="0" applyNumberFormat="1" applyFont="1" applyFill="1" applyBorder="1" applyAlignment="1">
      <alignment horizontal="right"/>
    </xf>
    <xf numFmtId="174" fontId="0" fillId="73" borderId="1" xfId="0" applyNumberFormat="1" applyFill="1" applyBorder="1"/>
    <xf numFmtId="174" fontId="0" fillId="77" borderId="1" xfId="0" applyNumberFormat="1" applyFill="1" applyBorder="1" applyAlignment="1">
      <alignment horizontal="center"/>
    </xf>
    <xf numFmtId="174" fontId="0" fillId="77" borderId="1" xfId="0" applyNumberFormat="1" applyFill="1" applyBorder="1"/>
    <xf numFmtId="174" fontId="0" fillId="59" borderId="1" xfId="0" applyNumberFormat="1" applyFill="1" applyBorder="1"/>
    <xf numFmtId="49" fontId="8" fillId="0" borderId="1" xfId="0" applyNumberFormat="1" applyFont="1" applyFill="1" applyBorder="1" applyAlignment="1">
      <alignment horizontal="center"/>
    </xf>
    <xf numFmtId="4" fontId="8" fillId="51" borderId="1" xfId="0" applyNumberFormat="1" applyFont="1" applyFill="1" applyBorder="1"/>
    <xf numFmtId="0" fontId="8" fillId="48" borderId="1" xfId="0" applyFont="1" applyFill="1" applyBorder="1"/>
    <xf numFmtId="4" fontId="8" fillId="50" borderId="1" xfId="0" applyNumberFormat="1" applyFont="1" applyFill="1" applyBorder="1"/>
    <xf numFmtId="0" fontId="0" fillId="0" borderId="1" xfId="0" applyBorder="1"/>
    <xf numFmtId="0" fontId="2" fillId="0" borderId="0" xfId="1"/>
    <xf numFmtId="0" fontId="8" fillId="0" borderId="1" xfId="0" applyFont="1" applyBorder="1"/>
    <xf numFmtId="49" fontId="8" fillId="50" borderId="1" xfId="0" applyNumberFormat="1" applyFont="1" applyFill="1" applyBorder="1" applyAlignment="1">
      <alignment horizontal="center"/>
    </xf>
    <xf numFmtId="0" fontId="0" fillId="0" borderId="53" xfId="0" applyBorder="1"/>
    <xf numFmtId="174" fontId="0" fillId="77" borderId="1" xfId="0" applyNumberFormat="1" applyFill="1" applyBorder="1" applyAlignment="1">
      <alignment horizontal="right"/>
    </xf>
    <xf numFmtId="49" fontId="8" fillId="51" borderId="1" xfId="0" applyNumberFormat="1" applyFont="1" applyFill="1" applyBorder="1" applyAlignment="1">
      <alignment horizontal="center"/>
    </xf>
    <xf numFmtId="49" fontId="8" fillId="51" borderId="0" xfId="0" applyNumberFormat="1" applyFont="1" applyFill="1" applyBorder="1" applyAlignment="1">
      <alignment horizontal="center"/>
    </xf>
    <xf numFmtId="4" fontId="8" fillId="51" borderId="0" xfId="0" applyNumberFormat="1" applyFont="1" applyFill="1" applyBorder="1"/>
    <xf numFmtId="0" fontId="166" fillId="0" borderId="0" xfId="0" applyFont="1" applyAlignment="1">
      <alignment horizontal="center"/>
    </xf>
    <xf numFmtId="174" fontId="72" fillId="69" borderId="9" xfId="0" applyNumberFormat="1" applyFont="1" applyFill="1" applyBorder="1" applyAlignment="1">
      <alignment horizontal="center"/>
    </xf>
    <xf numFmtId="174" fontId="72" fillId="69" borderId="9" xfId="0" applyNumberFormat="1" applyFont="1" applyFill="1" applyBorder="1" applyAlignment="1">
      <alignment horizontal="left"/>
    </xf>
    <xf numFmtId="49" fontId="72" fillId="69" borderId="9" xfId="0" applyNumberFormat="1" applyFont="1" applyFill="1" applyBorder="1" applyAlignment="1">
      <alignment horizontal="center"/>
    </xf>
    <xf numFmtId="4" fontId="72" fillId="69" borderId="9" xfId="0" applyNumberFormat="1" applyFont="1" applyFill="1" applyBorder="1" applyAlignment="1">
      <alignment horizontal="center"/>
    </xf>
    <xf numFmtId="4" fontId="72" fillId="69" borderId="60" xfId="0" applyNumberFormat="1" applyFont="1" applyFill="1" applyBorder="1" applyAlignment="1">
      <alignment horizontal="center"/>
    </xf>
    <xf numFmtId="0" fontId="72" fillId="69" borderId="180" xfId="0" applyFont="1" applyFill="1" applyBorder="1" applyAlignment="1">
      <alignment horizontal="center"/>
    </xf>
    <xf numFmtId="4" fontId="19" fillId="0" borderId="0" xfId="10" applyNumberFormat="1" applyFont="1" applyFill="1" applyAlignment="1">
      <alignment horizontal="center"/>
    </xf>
    <xf numFmtId="0" fontId="19" fillId="0" borderId="0" xfId="10" applyFont="1" applyFill="1" applyAlignment="1">
      <alignment horizontal="left"/>
    </xf>
    <xf numFmtId="4" fontId="24" fillId="0" borderId="4" xfId="0" applyNumberFormat="1" applyFont="1" applyBorder="1" applyAlignment="1">
      <alignment horizontal="right"/>
    </xf>
    <xf numFmtId="3" fontId="20" fillId="2" borderId="112" xfId="10" applyNumberFormat="1" applyFont="1" applyFill="1" applyBorder="1" applyAlignment="1">
      <alignment horizontal="center" vertical="center" wrapText="1"/>
    </xf>
    <xf numFmtId="3" fontId="20" fillId="0" borderId="49" xfId="10" applyNumberFormat="1" applyFont="1" applyFill="1" applyBorder="1" applyAlignment="1">
      <alignment horizontal="center" vertical="center"/>
    </xf>
    <xf numFmtId="3" fontId="19" fillId="0" borderId="2" xfId="10" applyNumberFormat="1" applyFont="1" applyFill="1" applyBorder="1" applyAlignment="1">
      <alignment horizontal="center" vertical="center"/>
    </xf>
    <xf numFmtId="3" fontId="20" fillId="0" borderId="2" xfId="10" applyNumberFormat="1" applyFont="1" applyFill="1" applyBorder="1" applyAlignment="1">
      <alignment horizontal="center" vertical="center"/>
    </xf>
    <xf numFmtId="3" fontId="20" fillId="0" borderId="46" xfId="10" applyNumberFormat="1" applyFont="1" applyFill="1" applyBorder="1" applyAlignment="1">
      <alignment horizontal="center" vertical="center"/>
    </xf>
    <xf numFmtId="0" fontId="55" fillId="40" borderId="80" xfId="10" applyFont="1" applyFill="1" applyBorder="1" applyAlignment="1">
      <alignment horizontal="center" vertical="center" wrapText="1"/>
    </xf>
    <xf numFmtId="3" fontId="20" fillId="2" borderId="0" xfId="10" applyNumberFormat="1" applyFont="1" applyFill="1" applyBorder="1" applyAlignment="1">
      <alignment horizontal="center"/>
    </xf>
    <xf numFmtId="9" fontId="19" fillId="50" borderId="0" xfId="55" applyFont="1" applyFill="1" applyBorder="1" applyAlignment="1">
      <alignment horizontal="center"/>
    </xf>
    <xf numFmtId="9" fontId="19" fillId="50" borderId="4" xfId="55" applyFont="1" applyFill="1" applyBorder="1" applyAlignment="1">
      <alignment horizontal="center"/>
    </xf>
    <xf numFmtId="3" fontId="90" fillId="0" borderId="0" xfId="10" applyNumberFormat="1" applyFont="1" applyAlignment="1">
      <alignment horizontal="right"/>
    </xf>
    <xf numFmtId="175" fontId="206" fillId="0" borderId="0" xfId="0" applyNumberFormat="1" applyFont="1" applyBorder="1" applyAlignment="1">
      <alignment horizontal="center"/>
    </xf>
    <xf numFmtId="0" fontId="2" fillId="0" borderId="0" xfId="1" applyBorder="1"/>
    <xf numFmtId="0" fontId="137" fillId="0" borderId="6" xfId="0" applyFont="1" applyFill="1" applyBorder="1" applyAlignment="1">
      <alignment horizontal="left"/>
    </xf>
    <xf numFmtId="0" fontId="137" fillId="0" borderId="0" xfId="0" applyFont="1" applyFill="1" applyBorder="1" applyAlignment="1">
      <alignment horizontal="left"/>
    </xf>
    <xf numFmtId="3" fontId="55" fillId="40" borderId="23" xfId="10" applyNumberFormat="1" applyFont="1" applyFill="1" applyBorder="1" applyAlignment="1">
      <alignment horizontal="center" vertical="center"/>
    </xf>
    <xf numFmtId="3" fontId="55" fillId="40" borderId="26" xfId="10" applyNumberFormat="1" applyFont="1" applyFill="1" applyBorder="1" applyAlignment="1">
      <alignment horizontal="center" vertical="center"/>
    </xf>
    <xf numFmtId="3" fontId="55" fillId="40" borderId="24" xfId="10" applyNumberFormat="1" applyFont="1" applyFill="1" applyBorder="1" applyAlignment="1">
      <alignment horizontal="center" vertical="center"/>
    </xf>
    <xf numFmtId="0" fontId="169" fillId="40" borderId="5" xfId="0" applyFont="1" applyFill="1" applyBorder="1"/>
    <xf numFmtId="0" fontId="134" fillId="2" borderId="10" xfId="0" applyFont="1" applyFill="1" applyBorder="1" applyAlignment="1">
      <alignment horizontal="center"/>
    </xf>
    <xf numFmtId="0" fontId="134" fillId="2" borderId="9" xfId="0" applyFont="1" applyFill="1" applyBorder="1" applyAlignment="1">
      <alignment horizontal="center"/>
    </xf>
    <xf numFmtId="0" fontId="140" fillId="0" borderId="5" xfId="0" applyFont="1" applyFill="1" applyBorder="1" applyAlignment="1">
      <alignment horizontal="right"/>
    </xf>
    <xf numFmtId="0" fontId="140" fillId="0" borderId="5" xfId="0" applyFont="1" applyFill="1" applyBorder="1" applyAlignment="1">
      <alignment horizontal="center"/>
    </xf>
    <xf numFmtId="0" fontId="137" fillId="0" borderId="12" xfId="0" applyFont="1" applyFill="1" applyBorder="1" applyAlignment="1">
      <alignment horizontal="center"/>
    </xf>
    <xf numFmtId="0" fontId="137" fillId="0" borderId="8" xfId="0" applyFont="1" applyFill="1" applyBorder="1" applyAlignment="1">
      <alignment horizontal="left"/>
    </xf>
    <xf numFmtId="0" fontId="137" fillId="0" borderId="10" xfId="0" applyFont="1" applyFill="1" applyBorder="1" applyAlignment="1">
      <alignment horizontal="left"/>
    </xf>
    <xf numFmtId="0" fontId="137" fillId="0" borderId="10" xfId="0" applyFont="1" applyFill="1" applyBorder="1" applyAlignment="1">
      <alignment horizontal="center"/>
    </xf>
    <xf numFmtId="0" fontId="169" fillId="40" borderId="0" xfId="0" applyFont="1" applyFill="1" applyBorder="1" applyAlignment="1">
      <alignment horizontal="center" vertical="center"/>
    </xf>
    <xf numFmtId="0" fontId="150" fillId="0" borderId="46" xfId="0" applyFont="1" applyFill="1" applyBorder="1" applyAlignment="1">
      <alignment vertical="center"/>
    </xf>
    <xf numFmtId="193" fontId="136" fillId="0" borderId="1" xfId="0" applyNumberFormat="1" applyFont="1" applyBorder="1"/>
    <xf numFmtId="0" fontId="120" fillId="0" borderId="0" xfId="2" applyFont="1" applyFill="1" applyAlignment="1" applyProtection="1">
      <alignment horizontal="right"/>
      <protection hidden="1"/>
    </xf>
    <xf numFmtId="0" fontId="8" fillId="47" borderId="11" xfId="0" applyFont="1" applyFill="1" applyBorder="1"/>
    <xf numFmtId="0" fontId="8" fillId="39" borderId="6" xfId="0" applyFont="1" applyFill="1" applyBorder="1"/>
    <xf numFmtId="0" fontId="8" fillId="39" borderId="7" xfId="0" applyFont="1" applyFill="1" applyBorder="1"/>
    <xf numFmtId="0" fontId="0" fillId="0" borderId="6" xfId="0" applyBorder="1"/>
    <xf numFmtId="0" fontId="0" fillId="0" borderId="7" xfId="0" applyBorder="1"/>
    <xf numFmtId="0" fontId="0" fillId="0" borderId="8" xfId="0" applyBorder="1"/>
    <xf numFmtId="0" fontId="0" fillId="0" borderId="9" xfId="0" applyBorder="1"/>
    <xf numFmtId="0" fontId="8" fillId="47" borderId="12" xfId="0" applyFont="1" applyFill="1" applyBorder="1"/>
    <xf numFmtId="0" fontId="0" fillId="39" borderId="8" xfId="0" applyFill="1" applyBorder="1"/>
    <xf numFmtId="0" fontId="0" fillId="39" borderId="9" xfId="0" applyFill="1" applyBorder="1"/>
    <xf numFmtId="0" fontId="19" fillId="51" borderId="0" xfId="10" applyFont="1" applyFill="1" applyBorder="1"/>
    <xf numFmtId="0" fontId="19" fillId="51" borderId="7" xfId="10" applyFont="1" applyFill="1" applyBorder="1"/>
    <xf numFmtId="0" fontId="19" fillId="51" borderId="25" xfId="10" applyFont="1" applyFill="1" applyBorder="1" applyAlignment="1">
      <alignment horizontal="center"/>
    </xf>
    <xf numFmtId="0" fontId="19" fillId="51" borderId="0" xfId="10" applyFont="1" applyFill="1" applyAlignment="1">
      <alignment horizontal="center"/>
    </xf>
    <xf numFmtId="3" fontId="14" fillId="51" borderId="11" xfId="0" applyNumberFormat="1" applyFont="1" applyFill="1" applyBorder="1"/>
    <xf numFmtId="2" fontId="14" fillId="51" borderId="5" xfId="0" applyNumberFormat="1" applyFont="1" applyFill="1" applyBorder="1"/>
    <xf numFmtId="4" fontId="14" fillId="51" borderId="5" xfId="0" applyNumberFormat="1" applyFont="1" applyFill="1" applyBorder="1"/>
    <xf numFmtId="16" fontId="20" fillId="51" borderId="12" xfId="10" applyNumberFormat="1" applyFont="1" applyFill="1" applyBorder="1" applyAlignment="1">
      <alignment horizontal="center"/>
    </xf>
    <xf numFmtId="14" fontId="19" fillId="51" borderId="0" xfId="10" applyNumberFormat="1" applyFont="1" applyFill="1" applyBorder="1" applyAlignment="1">
      <alignment horizontal="right"/>
    </xf>
    <xf numFmtId="0" fontId="19" fillId="51" borderId="11" xfId="10" applyFont="1" applyFill="1" applyBorder="1" applyAlignment="1">
      <alignment horizontal="center"/>
    </xf>
    <xf numFmtId="14" fontId="19" fillId="51" borderId="5" xfId="10" applyNumberFormat="1" applyFont="1" applyFill="1" applyBorder="1" applyAlignment="1">
      <alignment horizontal="right"/>
    </xf>
    <xf numFmtId="0" fontId="19" fillId="51" borderId="5" xfId="10" applyFont="1" applyFill="1" applyBorder="1"/>
    <xf numFmtId="0" fontId="19" fillId="51" borderId="12" xfId="10" applyFont="1" applyFill="1" applyBorder="1"/>
    <xf numFmtId="16" fontId="20" fillId="51" borderId="12" xfId="0" applyNumberFormat="1" applyFont="1" applyFill="1" applyBorder="1" applyAlignment="1">
      <alignment horizontal="center"/>
    </xf>
    <xf numFmtId="0" fontId="19" fillId="51" borderId="0" xfId="10" applyFont="1" applyFill="1" applyBorder="1" applyAlignment="1">
      <alignment horizontal="center"/>
    </xf>
    <xf numFmtId="3" fontId="14" fillId="51" borderId="6" xfId="0" applyNumberFormat="1" applyFont="1" applyFill="1" applyBorder="1"/>
    <xf numFmtId="2" fontId="14" fillId="51" borderId="0" xfId="0" applyNumberFormat="1" applyFont="1" applyFill="1" applyBorder="1"/>
    <xf numFmtId="4" fontId="14" fillId="51" borderId="0" xfId="0" applyNumberFormat="1" applyFont="1" applyFill="1" applyBorder="1"/>
    <xf numFmtId="0" fontId="19" fillId="51" borderId="6" xfId="10" applyFont="1" applyFill="1" applyBorder="1" applyAlignment="1">
      <alignment horizontal="center"/>
    </xf>
    <xf numFmtId="16" fontId="20" fillId="51" borderId="7" xfId="0" applyNumberFormat="1" applyFont="1" applyFill="1" applyBorder="1" applyAlignment="1">
      <alignment horizontal="center"/>
    </xf>
    <xf numFmtId="3" fontId="19" fillId="51" borderId="6" xfId="0" applyNumberFormat="1" applyFont="1" applyFill="1" applyBorder="1"/>
    <xf numFmtId="2" fontId="19" fillId="51" borderId="0" xfId="0" applyNumberFormat="1" applyFont="1" applyFill="1" applyBorder="1"/>
    <xf numFmtId="4" fontId="19" fillId="51" borderId="0" xfId="0" applyNumberFormat="1" applyFont="1" applyFill="1" applyBorder="1"/>
    <xf numFmtId="14" fontId="19" fillId="51" borderId="0" xfId="10" applyNumberFormat="1" applyFont="1" applyFill="1" applyAlignment="1">
      <alignment horizontal="right"/>
    </xf>
    <xf numFmtId="0" fontId="19" fillId="51" borderId="62" xfId="10" applyFont="1" applyFill="1" applyBorder="1"/>
    <xf numFmtId="17" fontId="19" fillId="51" borderId="0" xfId="10" applyNumberFormat="1" applyFont="1" applyFill="1" applyBorder="1" applyAlignment="1">
      <alignment horizontal="center"/>
    </xf>
    <xf numFmtId="172" fontId="19" fillId="51" borderId="0" xfId="0" applyNumberFormat="1" applyFont="1" applyFill="1" applyBorder="1" applyAlignment="1">
      <alignment horizontal="center"/>
    </xf>
    <xf numFmtId="172" fontId="19" fillId="51" borderId="7" xfId="0" applyNumberFormat="1" applyFont="1" applyFill="1" applyBorder="1" applyAlignment="1">
      <alignment horizontal="center"/>
    </xf>
    <xf numFmtId="4" fontId="20" fillId="51" borderId="25" xfId="0" applyNumberFormat="1" applyFont="1" applyFill="1" applyBorder="1" applyAlignment="1">
      <alignment horizontal="center"/>
    </xf>
    <xf numFmtId="14" fontId="19" fillId="51" borderId="0" xfId="0" applyNumberFormat="1" applyFont="1" applyFill="1" applyBorder="1" applyAlignment="1">
      <alignment horizontal="center"/>
    </xf>
    <xf numFmtId="14" fontId="19" fillId="51" borderId="0" xfId="0" applyNumberFormat="1" applyFont="1" applyFill="1" applyBorder="1"/>
    <xf numFmtId="14" fontId="0" fillId="51" borderId="0" xfId="0" applyNumberFormat="1" applyFont="1" applyFill="1" applyBorder="1" applyAlignment="1">
      <alignment horizontal="center"/>
    </xf>
    <xf numFmtId="0" fontId="0" fillId="51" borderId="0" xfId="0" applyFont="1" applyFill="1" applyBorder="1" applyAlignment="1">
      <alignment horizontal="center"/>
    </xf>
    <xf numFmtId="0" fontId="0" fillId="51" borderId="7" xfId="0" applyFont="1" applyFill="1" applyBorder="1" applyAlignment="1">
      <alignment horizontal="center"/>
    </xf>
    <xf numFmtId="14" fontId="0" fillId="51" borderId="0" xfId="0" applyNumberFormat="1" applyFont="1" applyFill="1" applyBorder="1"/>
    <xf numFmtId="0" fontId="0" fillId="51" borderId="0" xfId="0" applyFont="1" applyFill="1" applyBorder="1"/>
    <xf numFmtId="0" fontId="0" fillId="51" borderId="7" xfId="0" applyFont="1" applyFill="1" applyBorder="1"/>
    <xf numFmtId="0" fontId="19" fillId="51" borderId="5" xfId="10" applyFont="1" applyFill="1" applyBorder="1" applyAlignment="1">
      <alignment horizontal="center"/>
    </xf>
    <xf numFmtId="172" fontId="19" fillId="51" borderId="5" xfId="0" applyNumberFormat="1" applyFont="1" applyFill="1" applyBorder="1" applyAlignment="1">
      <alignment horizontal="center"/>
    </xf>
    <xf numFmtId="14" fontId="14" fillId="51" borderId="0" xfId="0" applyNumberFormat="1" applyFont="1" applyFill="1" applyBorder="1" applyAlignment="1">
      <alignment horizontal="center"/>
    </xf>
    <xf numFmtId="3" fontId="20" fillId="51" borderId="25" xfId="0" applyNumberFormat="1" applyFont="1" applyFill="1" applyBorder="1" applyAlignment="1">
      <alignment horizontal="center"/>
    </xf>
    <xf numFmtId="17" fontId="19" fillId="51" borderId="5" xfId="10" applyNumberFormat="1" applyFont="1" applyFill="1" applyBorder="1" applyAlignment="1">
      <alignment horizontal="center"/>
    </xf>
    <xf numFmtId="0" fontId="20" fillId="0" borderId="0" xfId="0" applyFont="1" applyBorder="1"/>
    <xf numFmtId="0" fontId="20" fillId="2" borderId="9" xfId="0" applyFont="1" applyFill="1" applyBorder="1" applyAlignment="1">
      <alignment readingOrder="1"/>
    </xf>
    <xf numFmtId="0" fontId="19" fillId="51" borderId="8" xfId="10" applyFont="1" applyFill="1" applyBorder="1" applyAlignment="1">
      <alignment horizontal="center"/>
    </xf>
    <xf numFmtId="0" fontId="19" fillId="51" borderId="10" xfId="10" applyFont="1" applyFill="1" applyBorder="1" applyAlignment="1">
      <alignment horizontal="center"/>
    </xf>
    <xf numFmtId="172" fontId="19" fillId="51" borderId="10" xfId="0" applyNumberFormat="1" applyFont="1" applyFill="1" applyBorder="1" applyAlignment="1">
      <alignment horizontal="center"/>
    </xf>
    <xf numFmtId="172" fontId="19" fillId="51" borderId="9" xfId="0" applyNumberFormat="1" applyFont="1" applyFill="1" applyBorder="1" applyAlignment="1">
      <alignment horizontal="center"/>
    </xf>
    <xf numFmtId="4" fontId="20" fillId="51" borderId="60" xfId="0" applyNumberFormat="1" applyFont="1" applyFill="1" applyBorder="1" applyAlignment="1">
      <alignment horizontal="center"/>
    </xf>
    <xf numFmtId="3" fontId="55" fillId="40" borderId="23" xfId="10" applyNumberFormat="1" applyFont="1" applyFill="1" applyBorder="1" applyAlignment="1">
      <alignment horizontal="center" vertical="center"/>
    </xf>
    <xf numFmtId="3" fontId="55" fillId="40" borderId="26" xfId="10" applyNumberFormat="1" applyFont="1" applyFill="1" applyBorder="1" applyAlignment="1">
      <alignment horizontal="center" vertical="center"/>
    </xf>
    <xf numFmtId="3" fontId="55" fillId="40" borderId="24" xfId="10" applyNumberFormat="1" applyFont="1" applyFill="1" applyBorder="1" applyAlignment="1">
      <alignment horizontal="center" vertical="center"/>
    </xf>
    <xf numFmtId="0" fontId="0" fillId="78" borderId="0" xfId="0" applyFill="1"/>
    <xf numFmtId="0" fontId="96" fillId="78" borderId="0" xfId="0" applyFont="1" applyFill="1"/>
    <xf numFmtId="0" fontId="41" fillId="78" borderId="0" xfId="1" applyFont="1" applyFill="1" applyAlignment="1"/>
    <xf numFmtId="0" fontId="10" fillId="78" borderId="0" xfId="0" applyFont="1" applyFill="1" applyAlignment="1"/>
    <xf numFmtId="0" fontId="0" fillId="78" borderId="0" xfId="0" applyFont="1" applyFill="1"/>
    <xf numFmtId="0" fontId="8" fillId="78" borderId="0" xfId="0" applyFont="1" applyFill="1"/>
    <xf numFmtId="0" fontId="166" fillId="78" borderId="0" xfId="0" applyFont="1" applyFill="1"/>
    <xf numFmtId="0" fontId="165" fillId="78" borderId="0" xfId="1" applyFont="1" applyFill="1"/>
    <xf numFmtId="0" fontId="92" fillId="3" borderId="181" xfId="0" applyFont="1" applyFill="1" applyBorder="1" applyAlignment="1">
      <alignment horizontal="center" vertical="center" wrapText="1"/>
    </xf>
    <xf numFmtId="0" fontId="9" fillId="78" borderId="0" xfId="0" applyFont="1" applyFill="1" applyBorder="1"/>
    <xf numFmtId="0" fontId="165" fillId="78" borderId="0" xfId="0" applyFont="1" applyFill="1"/>
    <xf numFmtId="0" fontId="167" fillId="78" borderId="0" xfId="1" applyFont="1" applyFill="1"/>
    <xf numFmtId="0" fontId="40" fillId="3" borderId="182" xfId="0" applyFont="1" applyFill="1" applyBorder="1" applyAlignment="1">
      <alignment horizontal="center" vertical="center" wrapText="1"/>
    </xf>
    <xf numFmtId="0" fontId="92" fillId="3" borderId="164" xfId="0" applyFont="1" applyFill="1" applyBorder="1" applyAlignment="1">
      <alignment horizontal="center" vertical="center" wrapText="1"/>
    </xf>
    <xf numFmtId="0" fontId="92" fillId="3" borderId="183" xfId="0" applyFont="1" applyFill="1" applyBorder="1" applyAlignment="1">
      <alignment horizontal="center" vertical="center" wrapText="1"/>
    </xf>
    <xf numFmtId="0" fontId="192" fillId="78" borderId="0" xfId="0" applyFont="1" applyFill="1"/>
    <xf numFmtId="0" fontId="193" fillId="78" borderId="0" xfId="1" applyFont="1" applyFill="1"/>
    <xf numFmtId="0" fontId="63" fillId="78" borderId="0" xfId="0" applyFont="1" applyFill="1"/>
    <xf numFmtId="0" fontId="4" fillId="78" borderId="0" xfId="0" applyFont="1" applyFill="1"/>
    <xf numFmtId="0" fontId="14" fillId="78" borderId="0" xfId="0" applyFont="1" applyFill="1" applyBorder="1"/>
    <xf numFmtId="0" fontId="14" fillId="78" borderId="0" xfId="0" applyFont="1" applyFill="1"/>
    <xf numFmtId="0" fontId="0" fillId="78" borderId="0" xfId="0" applyFill="1" applyBorder="1"/>
    <xf numFmtId="0" fontId="3" fillId="78" borderId="0" xfId="0" applyFont="1" applyFill="1"/>
    <xf numFmtId="0" fontId="195" fillId="55" borderId="22" xfId="1" applyFont="1" applyFill="1" applyBorder="1" applyAlignment="1">
      <alignment horizontal="center" vertical="center"/>
    </xf>
    <xf numFmtId="0" fontId="59" fillId="78" borderId="0" xfId="0" applyFont="1" applyFill="1"/>
    <xf numFmtId="0" fontId="14" fillId="78" borderId="0" xfId="0" applyFont="1" applyFill="1" applyAlignment="1">
      <alignment horizontal="center"/>
    </xf>
    <xf numFmtId="0" fontId="13" fillId="78" borderId="0" xfId="1" applyFont="1" applyFill="1"/>
    <xf numFmtId="0" fontId="15" fillId="78" borderId="0" xfId="1" applyFont="1" applyFill="1" applyAlignment="1"/>
    <xf numFmtId="0" fontId="137" fillId="0" borderId="3" xfId="0" applyFont="1" applyBorder="1" applyAlignment="1">
      <alignment horizontal="center"/>
    </xf>
    <xf numFmtId="0" fontId="139" fillId="2" borderId="3" xfId="0" applyFont="1" applyFill="1" applyBorder="1"/>
    <xf numFmtId="0" fontId="144" fillId="2" borderId="1" xfId="0" applyFont="1" applyFill="1" applyBorder="1" applyAlignment="1">
      <alignment horizontal="right"/>
    </xf>
    <xf numFmtId="1" fontId="138" fillId="0" borderId="3" xfId="0" applyNumberFormat="1" applyFont="1" applyBorder="1" applyAlignment="1">
      <alignment horizontal="center"/>
    </xf>
    <xf numFmtId="1" fontId="137" fillId="0" borderId="54" xfId="0" applyNumberFormat="1" applyFont="1" applyBorder="1" applyAlignment="1">
      <alignment horizontal="center"/>
    </xf>
    <xf numFmtId="1" fontId="137" fillId="0" borderId="29" xfId="0" applyNumberFormat="1" applyFont="1" applyBorder="1" applyAlignment="1">
      <alignment horizontal="center"/>
    </xf>
    <xf numFmtId="193" fontId="138" fillId="0" borderId="0" xfId="0" applyNumberFormat="1" applyFont="1" applyFill="1" applyBorder="1"/>
    <xf numFmtId="0" fontId="138" fillId="0" borderId="48" xfId="0" applyFont="1" applyFill="1" applyBorder="1"/>
    <xf numFmtId="0" fontId="137" fillId="0" borderId="5" xfId="0" applyFont="1" applyBorder="1" applyAlignment="1">
      <alignment horizontal="center"/>
    </xf>
    <xf numFmtId="3" fontId="144" fillId="2" borderId="24" xfId="0" applyNumberFormat="1" applyFont="1" applyFill="1" applyBorder="1" applyAlignment="1">
      <alignment horizontal="center"/>
    </xf>
    <xf numFmtId="3" fontId="144" fillId="2" borderId="26" xfId="0" applyNumberFormat="1" applyFont="1" applyFill="1" applyBorder="1" applyAlignment="1">
      <alignment horizontal="center"/>
    </xf>
    <xf numFmtId="0" fontId="183" fillId="40" borderId="1" xfId="2" applyFont="1" applyFill="1" applyBorder="1" applyAlignment="1" applyProtection="1">
      <alignment horizontal="center" vertical="center"/>
      <protection hidden="1"/>
    </xf>
    <xf numFmtId="0" fontId="22" fillId="0" borderId="29" xfId="10" applyFont="1" applyBorder="1" applyAlignment="1">
      <alignment horizontal="center"/>
    </xf>
    <xf numFmtId="0" fontId="22" fillId="0" borderId="50" xfId="10" applyFont="1" applyBorder="1" applyAlignment="1">
      <alignment horizontal="center"/>
    </xf>
    <xf numFmtId="3" fontId="19" fillId="2" borderId="0" xfId="57" applyNumberFormat="1" applyFont="1" applyFill="1" applyBorder="1" applyAlignment="1">
      <alignment horizontal="center"/>
    </xf>
    <xf numFmtId="3" fontId="19" fillId="79" borderId="0" xfId="10" applyNumberFormat="1" applyFont="1" applyFill="1" applyBorder="1" applyAlignment="1">
      <alignment horizontal="center"/>
    </xf>
    <xf numFmtId="3" fontId="19" fillId="79" borderId="0" xfId="57" applyNumberFormat="1" applyFont="1" applyFill="1" applyBorder="1" applyAlignment="1">
      <alignment horizontal="center"/>
    </xf>
    <xf numFmtId="3" fontId="19" fillId="59" borderId="0" xfId="57" applyNumberFormat="1" applyFont="1" applyFill="1" applyBorder="1" applyAlignment="1">
      <alignment horizontal="center"/>
    </xf>
    <xf numFmtId="3" fontId="19" fillId="59" borderId="0" xfId="10" applyNumberFormat="1" applyFont="1" applyFill="1" applyBorder="1" applyAlignment="1">
      <alignment horizontal="center"/>
    </xf>
    <xf numFmtId="3" fontId="19" fillId="59" borderId="4" xfId="10" applyNumberFormat="1" applyFont="1" applyFill="1" applyBorder="1" applyAlignment="1">
      <alignment horizontal="center"/>
    </xf>
    <xf numFmtId="3" fontId="20" fillId="48" borderId="0" xfId="10" applyNumberFormat="1" applyFont="1" applyFill="1" applyBorder="1" applyAlignment="1">
      <alignment horizontal="center"/>
    </xf>
    <xf numFmtId="0" fontId="19" fillId="0" borderId="11" xfId="10" applyFont="1" applyFill="1" applyBorder="1" applyAlignment="1">
      <alignment horizontal="center"/>
    </xf>
    <xf numFmtId="17" fontId="0" fillId="0" borderId="0" xfId="0" applyNumberFormat="1" applyFill="1"/>
    <xf numFmtId="16" fontId="20" fillId="0" borderId="7" xfId="10" applyNumberFormat="1" applyFont="1" applyFill="1" applyBorder="1" applyAlignment="1">
      <alignment horizontal="center"/>
    </xf>
    <xf numFmtId="0" fontId="24" fillId="0" borderId="0" xfId="0" applyFont="1" applyFill="1"/>
    <xf numFmtId="0" fontId="19" fillId="0" borderId="7" xfId="10" applyFont="1" applyFill="1" applyBorder="1" applyAlignment="1">
      <alignment horizontal="center"/>
    </xf>
    <xf numFmtId="49" fontId="19" fillId="0" borderId="6" xfId="10" applyNumberFormat="1" applyFont="1" applyFill="1" applyBorder="1" applyAlignment="1">
      <alignment horizontal="center"/>
    </xf>
    <xf numFmtId="16" fontId="20" fillId="0" borderId="11" xfId="10" applyNumberFormat="1" applyFont="1" applyFill="1" applyBorder="1"/>
    <xf numFmtId="0" fontId="163" fillId="0" borderId="0" xfId="10" applyFont="1" applyFill="1" applyAlignment="1">
      <alignment horizontal="center"/>
    </xf>
    <xf numFmtId="2" fontId="171" fillId="0" borderId="0" xfId="0" applyNumberFormat="1" applyFont="1" applyFill="1" applyBorder="1"/>
    <xf numFmtId="3" fontId="207" fillId="0" borderId="6" xfId="0" applyNumberFormat="1" applyFont="1" applyFill="1" applyBorder="1"/>
    <xf numFmtId="2" fontId="207" fillId="0" borderId="0" xfId="0" applyNumberFormat="1" applyFont="1" applyFill="1" applyBorder="1"/>
    <xf numFmtId="4" fontId="207" fillId="0" borderId="0" xfId="0" applyNumberFormat="1" applyFont="1" applyFill="1" applyBorder="1"/>
    <xf numFmtId="172" fontId="19" fillId="51" borderId="12" xfId="0" applyNumberFormat="1" applyFont="1" applyFill="1" applyBorder="1" applyAlignment="1">
      <alignment horizontal="center"/>
    </xf>
    <xf numFmtId="4" fontId="20" fillId="51" borderId="28" xfId="0" applyNumberFormat="1" applyFont="1" applyFill="1" applyBorder="1" applyAlignment="1">
      <alignment horizontal="center"/>
    </xf>
    <xf numFmtId="3" fontId="55" fillId="40" borderId="23" xfId="10" applyNumberFormat="1" applyFont="1" applyFill="1" applyBorder="1" applyAlignment="1">
      <alignment horizontal="center" vertical="center"/>
    </xf>
    <xf numFmtId="3" fontId="55" fillId="40" borderId="24" xfId="10" applyNumberFormat="1" applyFont="1" applyFill="1" applyBorder="1" applyAlignment="1">
      <alignment horizontal="center" vertical="center"/>
    </xf>
    <xf numFmtId="4" fontId="19" fillId="48" borderId="4" xfId="10" applyNumberFormat="1" applyFont="1" applyFill="1" applyBorder="1" applyAlignment="1">
      <alignment horizontal="center"/>
    </xf>
    <xf numFmtId="3" fontId="20" fillId="48" borderId="3" xfId="10" applyNumberFormat="1" applyFont="1" applyFill="1" applyBorder="1" applyAlignment="1">
      <alignment horizontal="center"/>
    </xf>
    <xf numFmtId="4" fontId="24" fillId="48" borderId="0" xfId="0" applyNumberFormat="1" applyFont="1" applyFill="1" applyBorder="1"/>
    <xf numFmtId="16" fontId="24" fillId="48" borderId="0" xfId="0" applyNumberFormat="1" applyFont="1" applyFill="1"/>
    <xf numFmtId="4" fontId="19" fillId="48" borderId="0" xfId="10" applyNumberFormat="1" applyFont="1" applyFill="1" applyBorder="1" applyAlignment="1">
      <alignment horizontal="center"/>
    </xf>
    <xf numFmtId="4" fontId="19" fillId="48" borderId="50" xfId="10" applyNumberFormat="1" applyFont="1" applyFill="1" applyBorder="1" applyAlignment="1">
      <alignment horizontal="center"/>
    </xf>
    <xf numFmtId="3" fontId="19" fillId="48" borderId="48" xfId="10" applyNumberFormat="1" applyFont="1" applyFill="1" applyBorder="1" applyAlignment="1">
      <alignment horizontal="center"/>
    </xf>
    <xf numFmtId="3" fontId="19" fillId="48" borderId="4" xfId="10" applyNumberFormat="1" applyFont="1" applyFill="1" applyBorder="1" applyAlignment="1">
      <alignment horizontal="center"/>
    </xf>
    <xf numFmtId="4" fontId="171" fillId="48" borderId="0" xfId="0" applyNumberFormat="1" applyFont="1" applyFill="1"/>
    <xf numFmtId="1" fontId="55" fillId="40" borderId="23" xfId="10" applyNumberFormat="1" applyFont="1" applyFill="1" applyBorder="1" applyAlignment="1">
      <alignment horizontal="center" vertical="center"/>
    </xf>
    <xf numFmtId="1" fontId="55" fillId="40" borderId="24" xfId="10" applyNumberFormat="1" applyFont="1" applyFill="1" applyBorder="1" applyAlignment="1">
      <alignment horizontal="center" vertical="center"/>
    </xf>
    <xf numFmtId="3" fontId="59" fillId="3" borderId="7" xfId="0" applyNumberFormat="1" applyFont="1" applyFill="1" applyBorder="1"/>
    <xf numFmtId="3" fontId="59" fillId="3" borderId="9" xfId="0" applyNumberFormat="1" applyFont="1" applyFill="1" applyBorder="1"/>
    <xf numFmtId="3" fontId="75" fillId="3" borderId="0" xfId="10" applyNumberFormat="1" applyFont="1" applyFill="1" applyBorder="1" applyAlignment="1">
      <alignment horizontal="center"/>
    </xf>
    <xf numFmtId="3" fontId="75" fillId="3" borderId="0" xfId="10" applyNumberFormat="1" applyFont="1" applyFill="1" applyBorder="1"/>
    <xf numFmtId="3" fontId="208" fillId="3" borderId="0" xfId="0" applyNumberFormat="1" applyFont="1" applyFill="1" applyBorder="1"/>
    <xf numFmtId="3" fontId="208" fillId="3" borderId="7" xfId="0" applyNumberFormat="1" applyFont="1" applyFill="1" applyBorder="1"/>
    <xf numFmtId="0" fontId="208" fillId="3" borderId="0" xfId="0" applyFont="1" applyFill="1"/>
    <xf numFmtId="3" fontId="59" fillId="3" borderId="7" xfId="0" applyNumberFormat="1" applyFont="1" applyFill="1" applyBorder="1" applyAlignment="1">
      <alignment horizontal="center"/>
    </xf>
    <xf numFmtId="3" fontId="55" fillId="40" borderId="23" xfId="10" applyNumberFormat="1" applyFont="1" applyFill="1" applyBorder="1" applyAlignment="1">
      <alignment horizontal="center" vertical="center"/>
    </xf>
    <xf numFmtId="3" fontId="55" fillId="40" borderId="24" xfId="10" applyNumberFormat="1" applyFont="1" applyFill="1" applyBorder="1" applyAlignment="1">
      <alignment horizontal="center" vertical="center"/>
    </xf>
    <xf numFmtId="9" fontId="20" fillId="3" borderId="0" xfId="55" applyFont="1" applyFill="1" applyBorder="1" applyAlignment="1">
      <alignment horizontal="center"/>
    </xf>
    <xf numFmtId="9" fontId="24" fillId="3" borderId="0" xfId="82" applyFont="1" applyFill="1" applyBorder="1" applyAlignment="1">
      <alignment horizontal="center"/>
    </xf>
    <xf numFmtId="0" fontId="20" fillId="3" borderId="8" xfId="10" applyFont="1" applyFill="1" applyBorder="1"/>
    <xf numFmtId="0" fontId="20" fillId="5" borderId="27" xfId="10" applyFont="1" applyFill="1" applyBorder="1" applyAlignment="1">
      <alignment horizontal="center"/>
    </xf>
    <xf numFmtId="0" fontId="20" fillId="3" borderId="27" xfId="10" applyFont="1" applyFill="1" applyBorder="1"/>
    <xf numFmtId="0" fontId="20" fillId="3" borderId="27" xfId="10" applyFont="1" applyFill="1" applyBorder="1" applyAlignment="1">
      <alignment wrapText="1"/>
    </xf>
    <xf numFmtId="9" fontId="24" fillId="3" borderId="24" xfId="82" applyFont="1" applyFill="1" applyBorder="1" applyAlignment="1">
      <alignment horizontal="center"/>
    </xf>
    <xf numFmtId="9" fontId="24" fillId="3" borderId="26" xfId="82" applyFont="1" applyFill="1" applyBorder="1" applyAlignment="1">
      <alignment horizontal="center"/>
    </xf>
    <xf numFmtId="3" fontId="19" fillId="39" borderId="5" xfId="10" applyNumberFormat="1" applyFont="1" applyFill="1" applyBorder="1" applyAlignment="1">
      <alignment horizontal="center"/>
    </xf>
    <xf numFmtId="3" fontId="19" fillId="39" borderId="0" xfId="10" applyNumberFormat="1" applyFont="1" applyFill="1" applyBorder="1" applyAlignment="1">
      <alignment horizontal="center"/>
    </xf>
    <xf numFmtId="3" fontId="19" fillId="39" borderId="0" xfId="10" applyNumberFormat="1" applyFont="1" applyFill="1" applyBorder="1"/>
    <xf numFmtId="0" fontId="20" fillId="5" borderId="12" xfId="10" applyFont="1" applyFill="1" applyBorder="1" applyAlignment="1">
      <alignment horizontal="left"/>
    </xf>
    <xf numFmtId="0" fontId="20" fillId="5" borderId="27" xfId="10" applyFont="1" applyFill="1" applyBorder="1" applyAlignment="1">
      <alignment horizontal="left"/>
    </xf>
    <xf numFmtId="0" fontId="20" fillId="41" borderId="11" xfId="10" applyFont="1" applyFill="1" applyBorder="1"/>
    <xf numFmtId="0" fontId="20" fillId="41" borderId="27" xfId="10" applyFont="1" applyFill="1" applyBorder="1"/>
    <xf numFmtId="0" fontId="24" fillId="3" borderId="60" xfId="0" applyFont="1" applyFill="1" applyBorder="1"/>
    <xf numFmtId="0" fontId="24" fillId="3" borderId="5" xfId="0" applyFont="1" applyFill="1" applyBorder="1"/>
    <xf numFmtId="0" fontId="24" fillId="3" borderId="12" xfId="0" applyFont="1" applyFill="1" applyBorder="1"/>
    <xf numFmtId="0" fontId="20" fillId="3" borderId="27" xfId="10" applyFont="1" applyFill="1" applyBorder="1" applyAlignment="1">
      <alignment horizontal="left"/>
    </xf>
    <xf numFmtId="9" fontId="24" fillId="3" borderId="8" xfId="82" applyFont="1" applyFill="1" applyBorder="1" applyAlignment="1">
      <alignment horizontal="center"/>
    </xf>
    <xf numFmtId="9" fontId="24" fillId="3" borderId="9" xfId="82" applyFont="1" applyFill="1" applyBorder="1" applyAlignment="1">
      <alignment horizontal="center"/>
    </xf>
    <xf numFmtId="9" fontId="24" fillId="3" borderId="10" xfId="82" applyFont="1" applyFill="1" applyBorder="1" applyAlignment="1">
      <alignment horizontal="center"/>
    </xf>
    <xf numFmtId="3" fontId="24" fillId="3" borderId="0" xfId="0" applyNumberFormat="1" applyFont="1" applyFill="1" applyBorder="1"/>
    <xf numFmtId="9" fontId="20" fillId="3" borderId="26" xfId="55" applyFont="1" applyFill="1" applyBorder="1" applyAlignment="1">
      <alignment horizontal="center"/>
    </xf>
    <xf numFmtId="3" fontId="79" fillId="46" borderId="56" xfId="10" applyNumberFormat="1" applyFont="1" applyFill="1" applyBorder="1"/>
    <xf numFmtId="4" fontId="20" fillId="3" borderId="60" xfId="10" applyNumberFormat="1" applyFont="1" applyFill="1" applyBorder="1"/>
    <xf numFmtId="0" fontId="55" fillId="40" borderId="24" xfId="10" applyFont="1" applyFill="1" applyBorder="1" applyAlignment="1">
      <alignment horizontal="center"/>
    </xf>
    <xf numFmtId="0" fontId="55" fillId="40" borderId="26" xfId="10" applyFont="1" applyFill="1" applyBorder="1" applyAlignment="1">
      <alignment horizontal="center"/>
    </xf>
    <xf numFmtId="3" fontId="19" fillId="3" borderId="7" xfId="10" applyNumberFormat="1" applyFont="1" applyFill="1" applyBorder="1"/>
    <xf numFmtId="3" fontId="196" fillId="61" borderId="2" xfId="0" applyNumberFormat="1" applyFont="1" applyFill="1" applyBorder="1"/>
    <xf numFmtId="3" fontId="79" fillId="61" borderId="23" xfId="10" applyNumberFormat="1" applyFont="1" applyFill="1" applyBorder="1"/>
    <xf numFmtId="3" fontId="79" fillId="61" borderId="27" xfId="10" applyNumberFormat="1" applyFont="1" applyFill="1" applyBorder="1"/>
    <xf numFmtId="0" fontId="196" fillId="39" borderId="6" xfId="0" applyFont="1" applyFill="1" applyBorder="1"/>
    <xf numFmtId="0" fontId="196" fillId="39" borderId="0" xfId="0" applyFont="1" applyFill="1" applyBorder="1"/>
    <xf numFmtId="0" fontId="14" fillId="39" borderId="12" xfId="0" applyFont="1" applyFill="1" applyBorder="1"/>
    <xf numFmtId="3" fontId="196" fillId="39" borderId="5" xfId="0" applyNumberFormat="1" applyFont="1" applyFill="1" applyBorder="1"/>
    <xf numFmtId="0" fontId="196" fillId="39" borderId="5" xfId="0" applyFont="1" applyFill="1" applyBorder="1"/>
    <xf numFmtId="0" fontId="196" fillId="39" borderId="12" xfId="0" applyFont="1" applyFill="1" applyBorder="1"/>
    <xf numFmtId="0" fontId="196" fillId="39" borderId="8" xfId="0" applyFont="1" applyFill="1" applyBorder="1"/>
    <xf numFmtId="0" fontId="196" fillId="39" borderId="10" xfId="0" applyFont="1" applyFill="1" applyBorder="1"/>
    <xf numFmtId="0" fontId="14" fillId="39" borderId="9" xfId="0" applyFont="1" applyFill="1" applyBorder="1"/>
    <xf numFmtId="3" fontId="196" fillId="39" borderId="9" xfId="0" applyNumberFormat="1" applyFont="1" applyFill="1" applyBorder="1"/>
    <xf numFmtId="0" fontId="20" fillId="39" borderId="27" xfId="10" applyFont="1" applyFill="1" applyBorder="1" applyAlignment="1">
      <alignment wrapText="1"/>
    </xf>
    <xf numFmtId="0" fontId="19" fillId="39" borderId="24" xfId="10" applyFont="1" applyFill="1" applyBorder="1"/>
    <xf numFmtId="3" fontId="19" fillId="39" borderId="24" xfId="10" applyNumberFormat="1" applyFont="1" applyFill="1" applyBorder="1"/>
    <xf numFmtId="9" fontId="20" fillId="39" borderId="24" xfId="55" applyFont="1" applyFill="1" applyBorder="1" applyAlignment="1">
      <alignment horizontal="center"/>
    </xf>
    <xf numFmtId="3" fontId="14" fillId="0" borderId="23" xfId="82" applyNumberFormat="1" applyFont="1" applyFill="1" applyBorder="1" applyAlignment="1">
      <alignment horizontal="center"/>
    </xf>
    <xf numFmtId="3" fontId="14" fillId="0" borderId="24" xfId="82" applyNumberFormat="1" applyFont="1" applyFill="1" applyBorder="1" applyAlignment="1">
      <alignment horizontal="center"/>
    </xf>
    <xf numFmtId="0" fontId="24" fillId="0" borderId="24" xfId="82" applyNumberFormat="1" applyFont="1" applyFill="1" applyBorder="1" applyAlignment="1">
      <alignment horizontal="center"/>
    </xf>
    <xf numFmtId="3" fontId="14" fillId="0" borderId="26" xfId="82" applyNumberFormat="1" applyFont="1" applyFill="1" applyBorder="1" applyAlignment="1">
      <alignment horizontal="center"/>
    </xf>
    <xf numFmtId="0" fontId="20" fillId="39" borderId="27" xfId="10" applyFont="1" applyFill="1" applyBorder="1"/>
    <xf numFmtId="0" fontId="171" fillId="39" borderId="27" xfId="0" applyFont="1" applyFill="1" applyBorder="1"/>
    <xf numFmtId="0" fontId="0" fillId="0" borderId="55" xfId="0" applyBorder="1"/>
    <xf numFmtId="0" fontId="0" fillId="77" borderId="1" xfId="0" applyFill="1" applyBorder="1"/>
    <xf numFmtId="0" fontId="0" fillId="0" borderId="54" xfId="0" applyBorder="1"/>
    <xf numFmtId="0" fontId="8" fillId="77" borderId="54" xfId="0" applyFont="1" applyFill="1" applyBorder="1"/>
    <xf numFmtId="4" fontId="8" fillId="77" borderId="1" xfId="0" applyNumberFormat="1" applyFont="1" applyFill="1" applyBorder="1"/>
    <xf numFmtId="4" fontId="0" fillId="0" borderId="0" xfId="0" applyNumberFormat="1"/>
    <xf numFmtId="0" fontId="0" fillId="61" borderId="54" xfId="0" applyFont="1" applyFill="1" applyBorder="1"/>
    <xf numFmtId="4" fontId="0" fillId="61" borderId="1" xfId="0" applyNumberFormat="1" applyFont="1" applyFill="1" applyBorder="1"/>
    <xf numFmtId="0" fontId="0" fillId="3" borderId="54" xfId="0" applyFont="1" applyFill="1" applyBorder="1" applyAlignment="1">
      <alignment horizontal="right"/>
    </xf>
    <xf numFmtId="0" fontId="0" fillId="3" borderId="54" xfId="0" applyFont="1" applyFill="1" applyBorder="1"/>
    <xf numFmtId="4" fontId="0" fillId="3" borderId="1" xfId="0" applyNumberFormat="1" applyFont="1" applyFill="1" applyBorder="1"/>
    <xf numFmtId="0" fontId="37" fillId="0" borderId="0" xfId="0" applyFont="1"/>
    <xf numFmtId="0" fontId="0" fillId="61" borderId="1" xfId="0" applyFill="1" applyBorder="1"/>
    <xf numFmtId="4" fontId="0" fillId="61" borderId="1" xfId="0" applyNumberFormat="1" applyFill="1" applyBorder="1"/>
    <xf numFmtId="4" fontId="0" fillId="61" borderId="1" xfId="0" applyNumberFormat="1" applyFill="1" applyBorder="1" applyAlignment="1">
      <alignment horizontal="right"/>
    </xf>
    <xf numFmtId="0" fontId="0" fillId="0" borderId="1" xfId="0" applyBorder="1" applyAlignment="1">
      <alignment horizontal="right"/>
    </xf>
    <xf numFmtId="4" fontId="0" fillId="0" borderId="1" xfId="0" applyNumberFormat="1" applyBorder="1"/>
    <xf numFmtId="2" fontId="0" fillId="0" borderId="1" xfId="0" applyNumberFormat="1" applyBorder="1"/>
    <xf numFmtId="0" fontId="209" fillId="0" borderId="1" xfId="0" applyFont="1" applyBorder="1" applyAlignment="1">
      <alignment horizontal="right"/>
    </xf>
    <xf numFmtId="4" fontId="209" fillId="0" borderId="1" xfId="0" applyNumberFormat="1" applyFont="1" applyBorder="1"/>
    <xf numFmtId="4" fontId="0" fillId="77" borderId="1" xfId="0" applyNumberFormat="1" applyFill="1" applyBorder="1"/>
    <xf numFmtId="0" fontId="0" fillId="0" borderId="4" xfId="0" applyBorder="1"/>
    <xf numFmtId="0" fontId="0" fillId="0" borderId="46" xfId="0" applyBorder="1"/>
    <xf numFmtId="0" fontId="0" fillId="0" borderId="47" xfId="0" applyBorder="1"/>
    <xf numFmtId="0" fontId="0" fillId="0" borderId="48" xfId="0" applyBorder="1"/>
    <xf numFmtId="0" fontId="0" fillId="0" borderId="3" xfId="0" applyBorder="1"/>
    <xf numFmtId="0" fontId="0" fillId="0" borderId="49" xfId="0" applyBorder="1"/>
    <xf numFmtId="0" fontId="0" fillId="0" borderId="29" xfId="0" applyBorder="1"/>
    <xf numFmtId="0" fontId="0" fillId="0" borderId="50" xfId="0" applyBorder="1"/>
    <xf numFmtId="0" fontId="0" fillId="0" borderId="55" xfId="0" applyFill="1" applyBorder="1"/>
    <xf numFmtId="0" fontId="0" fillId="0" borderId="46" xfId="0" applyFill="1" applyBorder="1"/>
    <xf numFmtId="0" fontId="0" fillId="0" borderId="3" xfId="0" applyFill="1" applyBorder="1"/>
    <xf numFmtId="0" fontId="0" fillId="0" borderId="2" xfId="0" applyFill="1" applyBorder="1"/>
    <xf numFmtId="0" fontId="0" fillId="0" borderId="54" xfId="0" applyFill="1" applyBorder="1"/>
    <xf numFmtId="0" fontId="0" fillId="0" borderId="49" xfId="0" applyFill="1" applyBorder="1"/>
    <xf numFmtId="0" fontId="45" fillId="77" borderId="51" xfId="0" applyFont="1" applyFill="1" applyBorder="1"/>
    <xf numFmtId="0" fontId="45" fillId="77" borderId="1" xfId="0" applyFont="1" applyFill="1" applyBorder="1"/>
    <xf numFmtId="3" fontId="45" fillId="77" borderId="52" xfId="0" applyNumberFormat="1" applyFont="1" applyFill="1" applyBorder="1"/>
    <xf numFmtId="0" fontId="0" fillId="5" borderId="55" xfId="0" applyFill="1" applyBorder="1"/>
    <xf numFmtId="0" fontId="0" fillId="5" borderId="3" xfId="0" applyFill="1" applyBorder="1"/>
    <xf numFmtId="4" fontId="0" fillId="0" borderId="55" xfId="0" applyNumberFormat="1" applyBorder="1"/>
    <xf numFmtId="4" fontId="0" fillId="0" borderId="3" xfId="0" applyNumberFormat="1" applyBorder="1"/>
    <xf numFmtId="0" fontId="0" fillId="5" borderId="54" xfId="0" applyFill="1" applyBorder="1"/>
    <xf numFmtId="4" fontId="0" fillId="0" borderId="54" xfId="0" applyNumberFormat="1" applyBorder="1"/>
    <xf numFmtId="0" fontId="0" fillId="0" borderId="3" xfId="0" applyFill="1" applyBorder="1" applyAlignment="1">
      <alignment wrapText="1"/>
    </xf>
    <xf numFmtId="0" fontId="0" fillId="5" borderId="3" xfId="0" applyFill="1" applyBorder="1" applyAlignment="1">
      <alignment wrapText="1"/>
    </xf>
    <xf numFmtId="3" fontId="0" fillId="0" borderId="55" xfId="0" applyNumberFormat="1" applyBorder="1"/>
    <xf numFmtId="3" fontId="0" fillId="0" borderId="3" xfId="0" applyNumberFormat="1" applyBorder="1"/>
    <xf numFmtId="3" fontId="0" fillId="0" borderId="54" xfId="0" applyNumberFormat="1" applyBorder="1"/>
    <xf numFmtId="3" fontId="0" fillId="0" borderId="3" xfId="0" applyNumberFormat="1" applyBorder="1" applyAlignment="1">
      <alignment horizontal="right"/>
    </xf>
    <xf numFmtId="4" fontId="8" fillId="41" borderId="1" xfId="0" applyNumberFormat="1" applyFont="1" applyFill="1" applyBorder="1"/>
    <xf numFmtId="0" fontId="62" fillId="41" borderId="55" xfId="1" applyFont="1" applyFill="1" applyBorder="1"/>
    <xf numFmtId="4" fontId="8" fillId="41" borderId="1" xfId="0" applyNumberFormat="1" applyFont="1" applyFill="1" applyBorder="1" applyAlignment="1">
      <alignment horizontal="center"/>
    </xf>
    <xf numFmtId="4" fontId="8" fillId="61" borderId="1" xfId="0" applyNumberFormat="1" applyFont="1" applyFill="1" applyBorder="1" applyAlignment="1">
      <alignment horizontal="center"/>
    </xf>
    <xf numFmtId="4" fontId="0" fillId="3" borderId="1" xfId="0" applyNumberFormat="1" applyFont="1" applyFill="1" applyBorder="1" applyAlignment="1">
      <alignment horizontal="center"/>
    </xf>
    <xf numFmtId="4" fontId="0" fillId="0" borderId="1" xfId="0" applyNumberFormat="1" applyFont="1" applyFill="1" applyBorder="1" applyAlignment="1">
      <alignment horizontal="center"/>
    </xf>
    <xf numFmtId="0" fontId="8" fillId="41" borderId="55" xfId="0" applyFont="1" applyFill="1" applyBorder="1" applyAlignment="1">
      <alignment horizontal="center"/>
    </xf>
    <xf numFmtId="0" fontId="0" fillId="0" borderId="0" xfId="0" applyBorder="1" applyAlignment="1">
      <alignment horizontal="center"/>
    </xf>
    <xf numFmtId="0" fontId="20" fillId="0" borderId="0" xfId="10" applyFont="1" applyFill="1" applyBorder="1" applyAlignment="1">
      <alignment horizontal="center"/>
    </xf>
    <xf numFmtId="3" fontId="0" fillId="0" borderId="0" xfId="0" applyNumberFormat="1" applyBorder="1" applyAlignment="1">
      <alignment horizontal="center"/>
    </xf>
    <xf numFmtId="3" fontId="0" fillId="0" borderId="5" xfId="0" applyNumberFormat="1" applyBorder="1" applyAlignment="1">
      <alignment horizontal="center"/>
    </xf>
    <xf numFmtId="3" fontId="24" fillId="0" borderId="0" xfId="0" applyNumberFormat="1" applyFont="1" applyFill="1" applyBorder="1"/>
    <xf numFmtId="0" fontId="135" fillId="0" borderId="0" xfId="0" applyFont="1" applyAlignment="1">
      <alignment vertical="center"/>
    </xf>
    <xf numFmtId="0" fontId="2" fillId="2" borderId="7" xfId="1" applyFill="1" applyBorder="1" applyAlignment="1" applyProtection="1">
      <alignment horizontal="center" wrapText="1"/>
    </xf>
    <xf numFmtId="0" fontId="55" fillId="40" borderId="47" xfId="0" applyFont="1" applyFill="1" applyBorder="1" applyAlignment="1">
      <alignment horizontal="center"/>
    </xf>
    <xf numFmtId="0" fontId="55" fillId="40" borderId="48" xfId="0" applyFont="1" applyFill="1" applyBorder="1" applyAlignment="1">
      <alignment horizontal="center"/>
    </xf>
    <xf numFmtId="0" fontId="9" fillId="40" borderId="12" xfId="0" applyFont="1" applyFill="1" applyBorder="1"/>
    <xf numFmtId="0" fontId="135" fillId="0" borderId="6" xfId="0" applyFont="1" applyFill="1" applyBorder="1" applyAlignment="1">
      <alignment horizontal="left" vertical="center" wrapText="1"/>
    </xf>
    <xf numFmtId="0" fontId="135" fillId="0" borderId="7" xfId="0" applyFont="1" applyFill="1" applyBorder="1" applyAlignment="1">
      <alignment vertical="center" wrapText="1"/>
    </xf>
    <xf numFmtId="0" fontId="135" fillId="0" borderId="8" xfId="0" applyFont="1" applyFill="1" applyBorder="1" applyAlignment="1">
      <alignment horizontal="left" vertical="center" wrapText="1"/>
    </xf>
    <xf numFmtId="0" fontId="135" fillId="0" borderId="9" xfId="0" applyFont="1" applyFill="1" applyBorder="1" applyAlignment="1">
      <alignment vertical="center" wrapText="1"/>
    </xf>
    <xf numFmtId="0" fontId="52" fillId="40" borderId="0" xfId="0" applyFont="1" applyFill="1" applyBorder="1" applyAlignment="1">
      <alignment horizontal="left"/>
    </xf>
    <xf numFmtId="0" fontId="52" fillId="40" borderId="47" xfId="0" applyFont="1" applyFill="1" applyBorder="1" applyAlignment="1">
      <alignment horizontal="left"/>
    </xf>
    <xf numFmtId="0" fontId="78" fillId="0" borderId="29" xfId="0" applyFont="1" applyBorder="1" applyAlignment="1">
      <alignment horizontal="center" vertical="center" wrapText="1"/>
    </xf>
    <xf numFmtId="0" fontId="19" fillId="0" borderId="29" xfId="0" applyFont="1" applyBorder="1" applyAlignment="1">
      <alignment horizontal="center" vertical="center"/>
    </xf>
    <xf numFmtId="0" fontId="143" fillId="0" borderId="1" xfId="0" applyFont="1" applyBorder="1" applyAlignment="1">
      <alignment horizontal="center"/>
    </xf>
    <xf numFmtId="0" fontId="143" fillId="0" borderId="3" xfId="0" applyFont="1" applyFill="1" applyBorder="1" applyAlignment="1">
      <alignment horizontal="center"/>
    </xf>
    <xf numFmtId="0" fontId="136" fillId="0" borderId="2" xfId="0" applyFont="1" applyBorder="1"/>
    <xf numFmtId="0" fontId="143" fillId="0" borderId="0" xfId="0" applyFont="1"/>
    <xf numFmtId="0" fontId="210" fillId="0" borderId="0" xfId="0" applyFont="1"/>
    <xf numFmtId="10" fontId="211" fillId="0" borderId="0" xfId="0" applyNumberFormat="1" applyFont="1"/>
    <xf numFmtId="17" fontId="143" fillId="0" borderId="1" xfId="0" applyNumberFormat="1" applyFont="1" applyBorder="1"/>
    <xf numFmtId="17" fontId="136" fillId="0" borderId="0" xfId="0" applyNumberFormat="1" applyFont="1"/>
    <xf numFmtId="0" fontId="143" fillId="40" borderId="1" xfId="0" applyFont="1" applyFill="1" applyBorder="1" applyAlignment="1">
      <alignment horizontal="center"/>
    </xf>
    <xf numFmtId="0" fontId="143" fillId="0" borderId="1" xfId="0" applyFont="1" applyBorder="1" applyAlignment="1">
      <alignment horizontal="center" vertical="center"/>
    </xf>
    <xf numFmtId="14" fontId="136" fillId="0" borderId="1" xfId="0" applyNumberFormat="1" applyFont="1" applyBorder="1"/>
    <xf numFmtId="0" fontId="136" fillId="0" borderId="1" xfId="0" applyNumberFormat="1" applyFont="1" applyBorder="1" applyAlignment="1">
      <alignment horizontal="center"/>
    </xf>
    <xf numFmtId="0" fontId="136" fillId="0" borderId="1" xfId="0" applyFont="1" applyBorder="1" applyAlignment="1">
      <alignment horizontal="center" vertical="center"/>
    </xf>
    <xf numFmtId="196" fontId="136" fillId="0" borderId="1" xfId="0" applyNumberFormat="1" applyFont="1" applyBorder="1" applyAlignment="1">
      <alignment horizontal="center"/>
    </xf>
    <xf numFmtId="14" fontId="136" fillId="0" borderId="1" xfId="0" applyNumberFormat="1" applyFont="1" applyBorder="1" applyAlignment="1">
      <alignment horizontal="center"/>
    </xf>
    <xf numFmtId="0" fontId="136" fillId="0" borderId="1" xfId="0" applyFont="1" applyBorder="1" applyAlignment="1">
      <alignment horizontal="left"/>
    </xf>
    <xf numFmtId="196" fontId="136" fillId="0" borderId="1" xfId="0" applyNumberFormat="1" applyFont="1" applyBorder="1"/>
    <xf numFmtId="14" fontId="136" fillId="0" borderId="0" xfId="0" applyNumberFormat="1" applyFont="1"/>
    <xf numFmtId="0" fontId="136" fillId="0" borderId="54" xfId="0" applyNumberFormat="1" applyFont="1" applyBorder="1" applyAlignment="1">
      <alignment horizontal="center"/>
    </xf>
    <xf numFmtId="0" fontId="136" fillId="0" borderId="0" xfId="0" applyFont="1" applyBorder="1" applyAlignment="1">
      <alignment horizontal="center" vertical="center"/>
    </xf>
    <xf numFmtId="196" fontId="136" fillId="0" borderId="0" xfId="0" applyNumberFormat="1" applyFont="1"/>
    <xf numFmtId="0" fontId="136" fillId="0" borderId="0" xfId="0" applyFont="1" applyAlignment="1">
      <alignment horizontal="center"/>
    </xf>
    <xf numFmtId="14" fontId="136" fillId="0" borderId="0" xfId="0" applyNumberFormat="1" applyFont="1" applyBorder="1"/>
    <xf numFmtId="0" fontId="143" fillId="0" borderId="0" xfId="0" applyFont="1" applyBorder="1" applyAlignment="1">
      <alignment horizontal="center" vertical="center"/>
    </xf>
    <xf numFmtId="0" fontId="143" fillId="0" borderId="0" xfId="0" applyFont="1" applyBorder="1"/>
    <xf numFmtId="0" fontId="202" fillId="0" borderId="1" xfId="0" applyFont="1" applyBorder="1" applyAlignment="1">
      <alignment horizontal="center"/>
    </xf>
    <xf numFmtId="0" fontId="136" fillId="0" borderId="0" xfId="0" applyFont="1" applyAlignment="1">
      <alignment horizontal="center" vertical="center"/>
    </xf>
    <xf numFmtId="0" fontId="140" fillId="0" borderId="1" xfId="0" applyFont="1" applyBorder="1" applyAlignment="1">
      <alignment horizontal="center"/>
    </xf>
    <xf numFmtId="14" fontId="136" fillId="0" borderId="1" xfId="0" applyNumberFormat="1" applyFont="1" applyBorder="1" applyAlignment="1">
      <alignment horizontal="right"/>
    </xf>
    <xf numFmtId="0" fontId="136" fillId="50" borderId="1" xfId="0" applyFont="1" applyFill="1" applyBorder="1" applyAlignment="1">
      <alignment horizontal="center" vertical="center"/>
    </xf>
    <xf numFmtId="0" fontId="136" fillId="50" borderId="1" xfId="0" applyFont="1" applyFill="1" applyBorder="1"/>
    <xf numFmtId="0" fontId="143" fillId="0" borderId="1" xfId="0" applyFont="1" applyBorder="1" applyAlignment="1">
      <alignment horizontal="left"/>
    </xf>
    <xf numFmtId="14" fontId="143" fillId="0" borderId="1" xfId="0" applyNumberFormat="1" applyFont="1" applyBorder="1" applyAlignment="1">
      <alignment horizontal="center"/>
    </xf>
    <xf numFmtId="0" fontId="139" fillId="0" borderId="1" xfId="0" applyFont="1" applyBorder="1" applyAlignment="1">
      <alignment horizontal="center"/>
    </xf>
    <xf numFmtId="14" fontId="136" fillId="0" borderId="0" xfId="0" applyNumberFormat="1" applyFont="1" applyBorder="1" applyAlignment="1">
      <alignment horizontal="right"/>
    </xf>
    <xf numFmtId="0" fontId="183" fillId="40" borderId="1" xfId="2" applyFont="1" applyFill="1" applyBorder="1" applyAlignment="1" applyProtection="1">
      <alignment horizontal="center" vertical="center"/>
      <protection hidden="1"/>
    </xf>
    <xf numFmtId="0" fontId="120" fillId="2" borderId="46" xfId="2" applyFont="1" applyFill="1" applyBorder="1" applyProtection="1">
      <protection hidden="1"/>
    </xf>
    <xf numFmtId="10" fontId="120" fillId="2" borderId="1" xfId="82" applyNumberFormat="1" applyFont="1" applyFill="1" applyBorder="1" applyAlignment="1" applyProtection="1">
      <protection hidden="1"/>
    </xf>
    <xf numFmtId="3" fontId="55" fillId="40" borderId="23" xfId="10" applyNumberFormat="1" applyFont="1" applyFill="1" applyBorder="1" applyAlignment="1">
      <alignment horizontal="center" vertical="center"/>
    </xf>
    <xf numFmtId="3" fontId="55" fillId="40" borderId="26" xfId="10" applyNumberFormat="1" applyFont="1" applyFill="1" applyBorder="1" applyAlignment="1">
      <alignment horizontal="center" vertical="center"/>
    </xf>
    <xf numFmtId="3" fontId="55" fillId="40" borderId="24" xfId="10" applyNumberFormat="1" applyFont="1" applyFill="1" applyBorder="1" applyAlignment="1">
      <alignment horizontal="center" vertical="center"/>
    </xf>
    <xf numFmtId="3" fontId="59" fillId="0" borderId="7" xfId="0" applyNumberFormat="1" applyFont="1" applyFill="1" applyBorder="1"/>
    <xf numFmtId="0" fontId="8" fillId="75" borderId="1" xfId="0" applyFont="1" applyFill="1" applyBorder="1"/>
    <xf numFmtId="176" fontId="55" fillId="40" borderId="29" xfId="10" applyNumberFormat="1" applyFont="1" applyFill="1" applyBorder="1" applyAlignment="1">
      <alignment horizontal="center"/>
    </xf>
    <xf numFmtId="177" fontId="19" fillId="59" borderId="29" xfId="10" applyNumberFormat="1" applyFont="1" applyFill="1" applyBorder="1"/>
    <xf numFmtId="3" fontId="19" fillId="0" borderId="46" xfId="57" applyNumberFormat="1" applyFont="1" applyBorder="1" applyAlignment="1">
      <alignment horizontal="center"/>
    </xf>
    <xf numFmtId="3" fontId="19" fillId="0" borderId="47" xfId="57" applyNumberFormat="1" applyFont="1" applyBorder="1" applyAlignment="1">
      <alignment horizontal="center"/>
    </xf>
    <xf numFmtId="3" fontId="22" fillId="3" borderId="0" xfId="10" applyNumberFormat="1" applyFont="1" applyFill="1" applyBorder="1"/>
    <xf numFmtId="169" fontId="14" fillId="3" borderId="9" xfId="0" applyNumberFormat="1" applyFont="1" applyFill="1" applyBorder="1" applyAlignment="1">
      <alignment horizontal="center"/>
    </xf>
    <xf numFmtId="0" fontId="0" fillId="48" borderId="0" xfId="0" applyFont="1" applyFill="1"/>
    <xf numFmtId="0" fontId="55" fillId="40" borderId="97" xfId="10" applyFont="1" applyFill="1" applyBorder="1" applyAlignment="1">
      <alignment horizontal="center"/>
    </xf>
    <xf numFmtId="0" fontId="22" fillId="0" borderId="25" xfId="10" applyFont="1" applyBorder="1"/>
    <xf numFmtId="0" fontId="19" fillId="0" borderId="60" xfId="10" applyFont="1" applyBorder="1"/>
    <xf numFmtId="0" fontId="62" fillId="41" borderId="0" xfId="1" applyFont="1" applyFill="1" applyBorder="1" applyAlignment="1">
      <alignment horizontal="center"/>
    </xf>
    <xf numFmtId="0" fontId="19" fillId="0" borderId="25" xfId="10" applyFont="1" applyBorder="1" applyAlignment="1">
      <alignment horizontal="center"/>
    </xf>
    <xf numFmtId="169" fontId="24" fillId="0" borderId="0" xfId="55" applyNumberFormat="1" applyFont="1" applyBorder="1"/>
    <xf numFmtId="9" fontId="19" fillId="0" borderId="0" xfId="55" applyFont="1" applyBorder="1"/>
    <xf numFmtId="172" fontId="19" fillId="50" borderId="7" xfId="0" applyNumberFormat="1" applyFont="1" applyFill="1" applyBorder="1" applyAlignment="1">
      <alignment horizontal="center"/>
    </xf>
    <xf numFmtId="4" fontId="20" fillId="50" borderId="25" xfId="0" applyNumberFormat="1" applyFont="1" applyFill="1" applyBorder="1" applyAlignment="1">
      <alignment horizontal="center"/>
    </xf>
    <xf numFmtId="0" fontId="0" fillId="50" borderId="0" xfId="0" applyFont="1" applyFill="1"/>
    <xf numFmtId="3" fontId="36" fillId="40" borderId="0" xfId="10" applyNumberFormat="1" applyFont="1" applyFill="1" applyBorder="1" applyAlignment="1">
      <alignment horizontal="center" vertical="center"/>
    </xf>
    <xf numFmtId="3" fontId="36" fillId="40" borderId="0" xfId="10" applyNumberFormat="1" applyFont="1" applyFill="1" applyBorder="1" applyAlignment="1">
      <alignment horizontal="center"/>
    </xf>
    <xf numFmtId="4" fontId="20" fillId="51" borderId="0" xfId="0" applyNumberFormat="1" applyFont="1" applyFill="1" applyBorder="1" applyAlignment="1">
      <alignment horizontal="center"/>
    </xf>
    <xf numFmtId="4" fontId="20" fillId="50" borderId="0" xfId="0" applyNumberFormat="1" applyFont="1" applyFill="1" applyBorder="1" applyAlignment="1">
      <alignment horizontal="center"/>
    </xf>
    <xf numFmtId="4" fontId="20" fillId="3" borderId="0" xfId="0" applyNumberFormat="1" applyFont="1" applyFill="1" applyBorder="1" applyAlignment="1">
      <alignment horizontal="center"/>
    </xf>
    <xf numFmtId="3" fontId="20" fillId="51" borderId="0" xfId="0" applyNumberFormat="1" applyFont="1" applyFill="1" applyBorder="1" applyAlignment="1">
      <alignment horizontal="center"/>
    </xf>
    <xf numFmtId="4" fontId="20" fillId="50" borderId="0" xfId="0" applyNumberFormat="1" applyFont="1" applyFill="1" applyBorder="1" applyAlignment="1">
      <alignment horizontal="left"/>
    </xf>
    <xf numFmtId="0" fontId="0" fillId="51" borderId="0" xfId="0" applyFont="1" applyFill="1"/>
    <xf numFmtId="0" fontId="19" fillId="50" borderId="62" xfId="10" applyFont="1" applyFill="1" applyBorder="1"/>
    <xf numFmtId="3" fontId="22" fillId="0" borderId="0" xfId="10" applyNumberFormat="1" applyFont="1" applyFill="1" applyBorder="1"/>
    <xf numFmtId="0" fontId="20" fillId="2" borderId="103" xfId="10" applyFont="1" applyFill="1" applyBorder="1" applyAlignment="1">
      <alignment vertical="center"/>
    </xf>
    <xf numFmtId="3" fontId="20" fillId="2" borderId="113" xfId="10" applyNumberFormat="1" applyFont="1" applyFill="1" applyBorder="1" applyAlignment="1">
      <alignment horizontal="center" vertical="center" wrapText="1"/>
    </xf>
    <xf numFmtId="0" fontId="20" fillId="0" borderId="110" xfId="10" applyFont="1" applyFill="1" applyBorder="1" applyAlignment="1">
      <alignment horizontal="left" vertical="center"/>
    </xf>
    <xf numFmtId="3" fontId="20" fillId="0" borderId="111" xfId="10" applyNumberFormat="1" applyFont="1" applyFill="1" applyBorder="1" applyAlignment="1">
      <alignment horizontal="center" vertical="center"/>
    </xf>
    <xf numFmtId="0" fontId="2" fillId="0" borderId="0" xfId="1" applyFill="1" applyAlignment="1">
      <alignment horizontal="center"/>
    </xf>
    <xf numFmtId="14" fontId="0" fillId="51" borderId="0" xfId="0" applyNumberFormat="1" applyFont="1" applyFill="1"/>
    <xf numFmtId="3" fontId="20" fillId="79" borderId="0" xfId="10" applyNumberFormat="1" applyFont="1" applyFill="1" applyBorder="1" applyAlignment="1">
      <alignment horizontal="center"/>
    </xf>
    <xf numFmtId="0" fontId="57" fillId="44" borderId="49" xfId="10" applyFont="1" applyFill="1" applyBorder="1"/>
    <xf numFmtId="3" fontId="83" fillId="44" borderId="29" xfId="10" applyNumberFormat="1" applyFont="1" applyFill="1" applyBorder="1"/>
    <xf numFmtId="3" fontId="83" fillId="44" borderId="50" xfId="10" applyNumberFormat="1" applyFont="1" applyFill="1" applyBorder="1"/>
    <xf numFmtId="0" fontId="57" fillId="2" borderId="49" xfId="10" applyFont="1" applyFill="1" applyBorder="1"/>
    <xf numFmtId="3" fontId="83" fillId="2" borderId="29" xfId="10" applyNumberFormat="1" applyFont="1" applyFill="1" applyBorder="1"/>
    <xf numFmtId="3" fontId="83" fillId="2" borderId="50" xfId="10" applyNumberFormat="1" applyFont="1" applyFill="1" applyBorder="1"/>
    <xf numFmtId="0" fontId="58" fillId="45" borderId="46" xfId="10" applyFont="1" applyFill="1" applyBorder="1"/>
    <xf numFmtId="3" fontId="80" fillId="45" borderId="47" xfId="10" applyNumberFormat="1" applyFont="1" applyFill="1" applyBorder="1"/>
    <xf numFmtId="3" fontId="80" fillId="45" borderId="48" xfId="10" applyNumberFormat="1" applyFont="1" applyFill="1" applyBorder="1"/>
    <xf numFmtId="0" fontId="58" fillId="3" borderId="2" xfId="10" applyFont="1" applyFill="1" applyBorder="1"/>
    <xf numFmtId="169" fontId="155" fillId="3" borderId="4" xfId="55" applyNumberFormat="1" applyFont="1" applyFill="1" applyBorder="1"/>
    <xf numFmtId="3" fontId="80" fillId="3" borderId="4" xfId="0" applyNumberFormat="1" applyFont="1" applyFill="1" applyBorder="1"/>
    <xf numFmtId="0" fontId="75" fillId="3" borderId="2" xfId="10" applyFont="1" applyFill="1" applyBorder="1" applyAlignment="1">
      <alignment horizontal="right"/>
    </xf>
    <xf numFmtId="3" fontId="102" fillId="3" borderId="4" xfId="0" applyNumberFormat="1" applyFont="1" applyFill="1" applyBorder="1" applyAlignment="1">
      <alignment horizontal="right"/>
    </xf>
    <xf numFmtId="0" fontId="58" fillId="3" borderId="49" xfId="10" applyFont="1" applyFill="1" applyBorder="1"/>
    <xf numFmtId="3" fontId="80" fillId="3" borderId="29" xfId="10" applyNumberFormat="1" applyFont="1" applyFill="1" applyBorder="1"/>
    <xf numFmtId="3" fontId="85" fillId="3" borderId="29" xfId="0" applyNumberFormat="1" applyFont="1" applyFill="1" applyBorder="1"/>
    <xf numFmtId="3" fontId="85" fillId="3" borderId="50" xfId="0" applyNumberFormat="1" applyFont="1" applyFill="1" applyBorder="1"/>
    <xf numFmtId="172" fontId="19" fillId="0" borderId="0" xfId="0" applyNumberFormat="1" applyFont="1" applyFill="1" applyBorder="1" applyAlignment="1">
      <alignment horizontal="center"/>
    </xf>
    <xf numFmtId="172" fontId="19" fillId="0" borderId="7" xfId="0" applyNumberFormat="1" applyFont="1" applyFill="1" applyBorder="1" applyAlignment="1">
      <alignment horizontal="center"/>
    </xf>
    <xf numFmtId="4" fontId="20" fillId="0" borderId="25" xfId="0" applyNumberFormat="1" applyFont="1" applyFill="1" applyBorder="1" applyAlignment="1">
      <alignment horizontal="center"/>
    </xf>
    <xf numFmtId="4" fontId="20" fillId="0" borderId="0" xfId="0" applyNumberFormat="1" applyFont="1" applyFill="1" applyBorder="1" applyAlignment="1">
      <alignment horizontal="center"/>
    </xf>
    <xf numFmtId="3" fontId="20" fillId="0" borderId="26" xfId="10" applyNumberFormat="1" applyFont="1" applyBorder="1" applyAlignment="1">
      <alignment horizontal="center"/>
    </xf>
    <xf numFmtId="3" fontId="20" fillId="2" borderId="26" xfId="10" applyNumberFormat="1" applyFont="1" applyFill="1" applyBorder="1" applyAlignment="1">
      <alignment horizontal="center"/>
    </xf>
    <xf numFmtId="3" fontId="20" fillId="0" borderId="0" xfId="10" applyNumberFormat="1" applyFont="1" applyFill="1" applyBorder="1" applyAlignment="1">
      <alignment horizontal="center"/>
    </xf>
    <xf numFmtId="0" fontId="19" fillId="0" borderId="62" xfId="10" applyFont="1" applyFill="1" applyBorder="1"/>
    <xf numFmtId="17" fontId="19" fillId="0" borderId="5" xfId="10" applyNumberFormat="1" applyFont="1" applyFill="1" applyBorder="1" applyAlignment="1">
      <alignment horizontal="center"/>
    </xf>
    <xf numFmtId="172" fontId="19" fillId="0" borderId="5" xfId="0" applyNumberFormat="1" applyFont="1" applyFill="1" applyBorder="1" applyAlignment="1">
      <alignment horizontal="center"/>
    </xf>
    <xf numFmtId="172" fontId="19" fillId="0" borderId="12" xfId="0" applyNumberFormat="1" applyFont="1" applyFill="1" applyBorder="1" applyAlignment="1">
      <alignment horizontal="center"/>
    </xf>
    <xf numFmtId="4" fontId="20" fillId="0" borderId="28" xfId="0" applyNumberFormat="1" applyFont="1" applyFill="1" applyBorder="1" applyAlignment="1">
      <alignment horizontal="center"/>
    </xf>
    <xf numFmtId="17" fontId="19" fillId="0" borderId="0" xfId="10" applyNumberFormat="1" applyFont="1" applyFill="1" applyBorder="1" applyAlignment="1">
      <alignment horizontal="center"/>
    </xf>
    <xf numFmtId="14" fontId="0" fillId="0" borderId="0" xfId="0" applyNumberFormat="1" applyFont="1" applyFill="1" applyBorder="1" applyAlignment="1">
      <alignment horizontal="center"/>
    </xf>
    <xf numFmtId="3" fontId="20" fillId="0" borderId="25" xfId="0" applyNumberFormat="1" applyFont="1" applyFill="1" applyBorder="1" applyAlignment="1">
      <alignment horizontal="center"/>
    </xf>
    <xf numFmtId="3" fontId="20" fillId="0" borderId="0" xfId="0" applyNumberFormat="1" applyFont="1" applyFill="1" applyBorder="1" applyAlignment="1">
      <alignment horizontal="center"/>
    </xf>
    <xf numFmtId="14" fontId="19" fillId="0" borderId="0" xfId="0" applyNumberFormat="1" applyFont="1" applyFill="1" applyBorder="1" applyAlignment="1">
      <alignment horizontal="center"/>
    </xf>
    <xf numFmtId="14" fontId="19" fillId="0" borderId="0" xfId="0" applyNumberFormat="1" applyFont="1" applyFill="1" applyBorder="1"/>
    <xf numFmtId="14" fontId="0" fillId="0" borderId="0" xfId="0" applyNumberFormat="1" applyFont="1" applyFill="1" applyBorder="1"/>
    <xf numFmtId="0" fontId="0" fillId="0" borderId="0" xfId="0" applyFont="1" applyFill="1" applyBorder="1"/>
    <xf numFmtId="0" fontId="0" fillId="0" borderId="7" xfId="0" applyFont="1" applyFill="1" applyBorder="1"/>
    <xf numFmtId="172" fontId="19" fillId="0" borderId="10" xfId="0" applyNumberFormat="1" applyFont="1" applyFill="1" applyBorder="1" applyAlignment="1">
      <alignment horizontal="center"/>
    </xf>
    <xf numFmtId="172" fontId="19" fillId="0" borderId="9" xfId="0" applyNumberFormat="1" applyFont="1" applyFill="1" applyBorder="1" applyAlignment="1">
      <alignment horizontal="center"/>
    </xf>
    <xf numFmtId="4" fontId="20" fillId="0" borderId="60" xfId="0" applyNumberFormat="1" applyFont="1" applyFill="1" applyBorder="1" applyAlignment="1">
      <alignment horizontal="center"/>
    </xf>
    <xf numFmtId="0" fontId="19" fillId="0" borderId="63" xfId="10" applyFont="1" applyFill="1" applyBorder="1"/>
    <xf numFmtId="184" fontId="0" fillId="0" borderId="0" xfId="55" applyNumberFormat="1" applyFont="1" applyFill="1" applyAlignment="1">
      <alignment horizontal="center"/>
    </xf>
    <xf numFmtId="177" fontId="42" fillId="50" borderId="0" xfId="10" applyNumberFormat="1" applyFont="1" applyFill="1"/>
    <xf numFmtId="0" fontId="212" fillId="0" borderId="0" xfId="10" applyFont="1"/>
    <xf numFmtId="0" fontId="213" fillId="0" borderId="0" xfId="10" applyFont="1"/>
    <xf numFmtId="177" fontId="19" fillId="61" borderId="0" xfId="10" applyNumberFormat="1" applyFont="1" applyFill="1" applyBorder="1"/>
    <xf numFmtId="177" fontId="19" fillId="61" borderId="0" xfId="10" applyNumberFormat="1" applyFont="1" applyFill="1"/>
    <xf numFmtId="169" fontId="14" fillId="3" borderId="7" xfId="0" applyNumberFormat="1" applyFont="1" applyFill="1" applyBorder="1" applyAlignment="1">
      <alignment horizontal="center"/>
    </xf>
    <xf numFmtId="3" fontId="19" fillId="0" borderId="11" xfId="10" applyNumberFormat="1" applyFont="1" applyFill="1" applyBorder="1"/>
    <xf numFmtId="0" fontId="20" fillId="3" borderId="55" xfId="10" applyFont="1" applyFill="1" applyBorder="1" applyAlignment="1">
      <alignment horizontal="center" vertical="center"/>
    </xf>
    <xf numFmtId="0" fontId="20" fillId="3" borderId="28" xfId="10" applyFont="1" applyFill="1" applyBorder="1" applyAlignment="1">
      <alignment horizontal="center"/>
    </xf>
    <xf numFmtId="0" fontId="20" fillId="3" borderId="25" xfId="10" applyFont="1" applyFill="1" applyBorder="1" applyAlignment="1">
      <alignment horizontal="center"/>
    </xf>
    <xf numFmtId="0" fontId="20" fillId="3" borderId="60" xfId="10" applyFont="1" applyFill="1" applyBorder="1" applyAlignment="1">
      <alignment horizontal="center"/>
    </xf>
    <xf numFmtId="0" fontId="20" fillId="3" borderId="6" xfId="10" applyFont="1" applyFill="1" applyBorder="1" applyAlignment="1">
      <alignment horizontal="center"/>
    </xf>
    <xf numFmtId="0" fontId="20" fillId="3" borderId="8" xfId="10" applyFont="1" applyFill="1" applyBorder="1" applyAlignment="1">
      <alignment horizontal="center"/>
    </xf>
    <xf numFmtId="0" fontId="20" fillId="3" borderId="46" xfId="10" applyFont="1" applyFill="1" applyBorder="1" applyAlignment="1">
      <alignment horizontal="center" vertical="center"/>
    </xf>
    <xf numFmtId="0" fontId="20" fillId="3" borderId="47" xfId="10" applyFont="1" applyFill="1" applyBorder="1" applyAlignment="1">
      <alignment horizontal="center" vertical="center"/>
    </xf>
    <xf numFmtId="0" fontId="20" fillId="3" borderId="48" xfId="10" applyFont="1" applyFill="1" applyBorder="1" applyAlignment="1">
      <alignment horizontal="center" vertical="center"/>
    </xf>
    <xf numFmtId="9" fontId="20" fillId="3" borderId="46" xfId="10" applyNumberFormat="1" applyFont="1" applyFill="1" applyBorder="1" applyAlignment="1">
      <alignment horizontal="center" vertical="center"/>
    </xf>
    <xf numFmtId="9" fontId="20" fillId="3" borderId="48" xfId="10" applyNumberFormat="1" applyFont="1" applyFill="1" applyBorder="1" applyAlignment="1">
      <alignment horizontal="center" vertical="center"/>
    </xf>
    <xf numFmtId="0" fontId="20" fillId="3" borderId="47" xfId="10" applyFont="1" applyFill="1" applyBorder="1" applyAlignment="1">
      <alignment horizontal="center" vertical="center" wrapText="1"/>
    </xf>
    <xf numFmtId="0" fontId="83" fillId="3" borderId="47" xfId="10" applyFont="1" applyFill="1" applyBorder="1" applyAlignment="1">
      <alignment horizontal="left" vertical="top" wrapText="1"/>
    </xf>
    <xf numFmtId="9" fontId="20" fillId="3" borderId="47" xfId="10" applyNumberFormat="1" applyFont="1" applyFill="1" applyBorder="1" applyAlignment="1">
      <alignment horizontal="center" vertical="center"/>
    </xf>
    <xf numFmtId="0" fontId="20" fillId="3" borderId="48" xfId="10" applyFont="1" applyFill="1" applyBorder="1" applyAlignment="1">
      <alignment horizontal="center" vertical="center" wrapText="1"/>
    </xf>
    <xf numFmtId="3" fontId="19" fillId="42" borderId="11" xfId="10" applyNumberFormat="1" applyFont="1" applyFill="1" applyBorder="1" applyAlignment="1">
      <alignment horizontal="center"/>
    </xf>
    <xf numFmtId="3" fontId="19" fillId="43" borderId="5" xfId="10" applyNumberFormat="1" applyFont="1" applyFill="1" applyBorder="1" applyAlignment="1">
      <alignment horizontal="center"/>
    </xf>
    <xf numFmtId="3" fontId="19" fillId="42" borderId="5" xfId="10" applyNumberFormat="1" applyFont="1" applyFill="1" applyBorder="1" applyAlignment="1">
      <alignment horizontal="center"/>
    </xf>
    <xf numFmtId="3" fontId="19" fillId="43" borderId="6" xfId="10" applyNumberFormat="1" applyFont="1" applyFill="1" applyBorder="1" applyAlignment="1">
      <alignment horizontal="center"/>
    </xf>
    <xf numFmtId="3" fontId="19" fillId="2" borderId="6" xfId="10" applyNumberFormat="1" applyFont="1" applyFill="1" applyBorder="1" applyAlignment="1">
      <alignment horizontal="center"/>
    </xf>
    <xf numFmtId="3" fontId="19" fillId="42" borderId="6" xfId="10" applyNumberFormat="1" applyFont="1" applyFill="1" applyBorder="1" applyAlignment="1">
      <alignment horizontal="center"/>
    </xf>
    <xf numFmtId="3" fontId="14" fillId="2" borderId="6" xfId="10" applyNumberFormat="1" applyFont="1" applyFill="1" applyBorder="1" applyAlignment="1">
      <alignment horizontal="center"/>
    </xf>
    <xf numFmtId="3" fontId="20" fillId="3" borderId="9" xfId="10" applyNumberFormat="1" applyFont="1" applyFill="1" applyBorder="1" applyAlignment="1">
      <alignment horizontal="center"/>
    </xf>
    <xf numFmtId="0" fontId="36" fillId="40" borderId="47" xfId="10" applyFont="1" applyFill="1" applyBorder="1" applyAlignment="1">
      <alignment horizontal="center" vertical="center" wrapText="1"/>
    </xf>
    <xf numFmtId="0" fontId="36" fillId="40" borderId="48" xfId="10" applyFont="1" applyFill="1" applyBorder="1" applyAlignment="1">
      <alignment horizontal="center" vertical="center" wrapText="1"/>
    </xf>
    <xf numFmtId="0" fontId="138" fillId="0" borderId="10" xfId="0" applyFont="1" applyBorder="1"/>
    <xf numFmtId="3" fontId="55" fillId="40" borderId="23" xfId="10" applyNumberFormat="1" applyFont="1" applyFill="1" applyBorder="1" applyAlignment="1">
      <alignment horizontal="center" vertical="center"/>
    </xf>
    <xf numFmtId="0" fontId="14" fillId="0" borderId="53" xfId="0" applyFont="1" applyBorder="1"/>
    <xf numFmtId="0" fontId="138" fillId="0" borderId="47" xfId="0" applyFont="1" applyFill="1" applyBorder="1"/>
    <xf numFmtId="1" fontId="144" fillId="2" borderId="53" xfId="0" applyNumberFormat="1" applyFont="1" applyFill="1" applyBorder="1" applyAlignment="1">
      <alignment horizontal="center"/>
    </xf>
    <xf numFmtId="0" fontId="55" fillId="40" borderId="52" xfId="10" applyNumberFormat="1" applyFont="1" applyFill="1" applyBorder="1" applyAlignment="1">
      <alignment vertical="center"/>
    </xf>
    <xf numFmtId="0" fontId="55" fillId="40" borderId="53" xfId="10" applyNumberFormat="1" applyFont="1" applyFill="1" applyBorder="1" applyAlignment="1">
      <alignment vertical="center"/>
    </xf>
    <xf numFmtId="0" fontId="55" fillId="40" borderId="52" xfId="10" applyNumberFormat="1" applyFont="1" applyFill="1" applyBorder="1" applyAlignment="1">
      <alignment horizontal="center" vertical="center"/>
    </xf>
    <xf numFmtId="1" fontId="14" fillId="0" borderId="29" xfId="0" applyNumberFormat="1" applyFont="1" applyBorder="1" applyAlignment="1">
      <alignment horizontal="center"/>
    </xf>
    <xf numFmtId="0" fontId="55" fillId="40" borderId="24" xfId="10" applyNumberFormat="1" applyFont="1" applyFill="1" applyBorder="1" applyAlignment="1">
      <alignment horizontal="center" vertical="center"/>
    </xf>
    <xf numFmtId="0" fontId="137" fillId="0" borderId="0" xfId="0" applyNumberFormat="1" applyFont="1" applyAlignment="1">
      <alignment horizontal="center"/>
    </xf>
    <xf numFmtId="0" fontId="137" fillId="0" borderId="24" xfId="0" applyFont="1" applyBorder="1" applyAlignment="1">
      <alignment horizontal="center"/>
    </xf>
    <xf numFmtId="0" fontId="55" fillId="40" borderId="26" xfId="10" applyNumberFormat="1" applyFont="1" applyFill="1" applyBorder="1" applyAlignment="1">
      <alignment horizontal="center" vertical="center"/>
    </xf>
    <xf numFmtId="0" fontId="137" fillId="0" borderId="23" xfId="0" applyFont="1" applyBorder="1"/>
    <xf numFmtId="0" fontId="137" fillId="0" borderId="26" xfId="0" applyFont="1" applyBorder="1" applyAlignment="1">
      <alignment horizontal="center"/>
    </xf>
    <xf numFmtId="0" fontId="169" fillId="40" borderId="1" xfId="0" applyFont="1" applyFill="1" applyBorder="1" applyAlignment="1">
      <alignment horizontal="left"/>
    </xf>
    <xf numFmtId="0" fontId="139" fillId="2" borderId="1" xfId="0" applyFont="1" applyFill="1" applyBorder="1"/>
    <xf numFmtId="193" fontId="139" fillId="2" borderId="1" xfId="0" applyNumberFormat="1" applyFont="1" applyFill="1" applyBorder="1"/>
    <xf numFmtId="193" fontId="136" fillId="0" borderId="1" xfId="0" applyNumberFormat="1" applyFont="1" applyFill="1" applyBorder="1"/>
    <xf numFmtId="0" fontId="136" fillId="0" borderId="1" xfId="0" applyFont="1" applyFill="1" applyBorder="1"/>
    <xf numFmtId="193" fontId="137" fillId="0" borderId="1" xfId="0" applyNumberFormat="1" applyFont="1" applyBorder="1" applyAlignment="1">
      <alignment horizontal="center"/>
    </xf>
    <xf numFmtId="0" fontId="137" fillId="0" borderId="0" xfId="0" applyNumberFormat="1" applyFont="1"/>
    <xf numFmtId="0" fontId="55" fillId="40" borderId="23" xfId="10" applyNumberFormat="1" applyFont="1" applyFill="1" applyBorder="1" applyAlignment="1">
      <alignment horizontal="center" vertical="center"/>
    </xf>
    <xf numFmtId="195" fontId="14" fillId="0" borderId="0" xfId="0" applyNumberFormat="1" applyFont="1"/>
    <xf numFmtId="0" fontId="14" fillId="0" borderId="1" xfId="0" applyFont="1" applyBorder="1"/>
    <xf numFmtId="193" fontId="14" fillId="0" borderId="1" xfId="0" applyNumberFormat="1" applyFont="1" applyBorder="1"/>
    <xf numFmtId="195" fontId="14" fillId="0" borderId="1" xfId="0" applyNumberFormat="1" applyFont="1" applyBorder="1"/>
    <xf numFmtId="0" fontId="55" fillId="40" borderId="47" xfId="10" applyNumberFormat="1" applyFont="1" applyFill="1" applyBorder="1" applyAlignment="1">
      <alignment horizontal="center" vertical="center"/>
    </xf>
    <xf numFmtId="0" fontId="55" fillId="40" borderId="48" xfId="10" applyNumberFormat="1" applyFont="1" applyFill="1" applyBorder="1" applyAlignment="1">
      <alignment horizontal="center" vertical="center"/>
    </xf>
    <xf numFmtId="3" fontId="14" fillId="0" borderId="0" xfId="0" applyNumberFormat="1" applyFont="1" applyBorder="1" applyAlignment="1">
      <alignment horizontal="center"/>
    </xf>
    <xf numFmtId="3" fontId="138" fillId="0" borderId="0" xfId="0" applyNumberFormat="1" applyFont="1" applyBorder="1" applyAlignment="1">
      <alignment horizontal="center"/>
    </xf>
    <xf numFmtId="3" fontId="14" fillId="0" borderId="29" xfId="0" applyNumberFormat="1" applyFont="1" applyBorder="1"/>
    <xf numFmtId="3" fontId="138" fillId="0" borderId="29" xfId="0" applyNumberFormat="1" applyFont="1" applyBorder="1" applyAlignment="1">
      <alignment horizontal="center"/>
    </xf>
    <xf numFmtId="3" fontId="14" fillId="0" borderId="29" xfId="0" applyNumberFormat="1" applyFont="1" applyBorder="1" applyAlignment="1">
      <alignment horizontal="center"/>
    </xf>
    <xf numFmtId="3" fontId="137" fillId="0" borderId="0" xfId="0" applyNumberFormat="1" applyFont="1" applyFill="1" applyBorder="1" applyAlignment="1">
      <alignment horizontal="center"/>
    </xf>
    <xf numFmtId="3" fontId="137" fillId="2" borderId="24" xfId="0" applyNumberFormat="1" applyFont="1" applyFill="1" applyBorder="1" applyAlignment="1">
      <alignment horizontal="center"/>
    </xf>
    <xf numFmtId="3" fontId="136" fillId="2" borderId="26" xfId="0" applyNumberFormat="1" applyFont="1" applyFill="1" applyBorder="1"/>
    <xf numFmtId="3" fontId="136" fillId="0" borderId="0" xfId="0" applyNumberFormat="1" applyFont="1" applyBorder="1"/>
    <xf numFmtId="3" fontId="136" fillId="2" borderId="24" xfId="0" applyNumberFormat="1" applyFont="1" applyFill="1" applyBorder="1"/>
    <xf numFmtId="0" fontId="169" fillId="40" borderId="24" xfId="10" applyNumberFormat="1" applyFont="1" applyFill="1" applyBorder="1" applyAlignment="1">
      <alignment horizontal="center" vertical="center"/>
    </xf>
    <xf numFmtId="0" fontId="138" fillId="0" borderId="6" xfId="0" applyFont="1" applyBorder="1" applyAlignment="1">
      <alignment horizontal="center"/>
    </xf>
    <xf numFmtId="3" fontId="144" fillId="2" borderId="23" xfId="0" applyNumberFormat="1" applyFont="1" applyFill="1" applyBorder="1" applyAlignment="1">
      <alignment horizontal="center"/>
    </xf>
    <xf numFmtId="0" fontId="20" fillId="0" borderId="34" xfId="78" applyFont="1" applyFill="1" applyBorder="1"/>
    <xf numFmtId="14" fontId="20" fillId="0" borderId="37" xfId="78" applyNumberFormat="1" applyFont="1" applyFill="1" applyBorder="1" applyAlignment="1">
      <alignment horizontal="center"/>
    </xf>
    <xf numFmtId="0" fontId="20" fillId="0" borderId="41" xfId="78" applyFont="1" applyFill="1" applyBorder="1" applyAlignment="1">
      <alignment horizontal="center"/>
    </xf>
    <xf numFmtId="4" fontId="24" fillId="0" borderId="29" xfId="0" applyNumberFormat="1" applyFont="1" applyBorder="1"/>
    <xf numFmtId="4" fontId="20" fillId="2" borderId="1" xfId="0" applyNumberFormat="1" applyFont="1" applyFill="1" applyBorder="1"/>
    <xf numFmtId="4" fontId="19" fillId="0" borderId="4" xfId="10" applyNumberFormat="1" applyFont="1" applyBorder="1" applyAlignment="1">
      <alignment horizontal="right"/>
    </xf>
    <xf numFmtId="0" fontId="1" fillId="0" borderId="3" xfId="2" applyNumberFormat="1" applyFont="1" applyFill="1" applyBorder="1" applyAlignment="1" applyProtection="1">
      <alignment vertical="center"/>
      <protection hidden="1"/>
    </xf>
    <xf numFmtId="0" fontId="1" fillId="0" borderId="2" xfId="2" applyFont="1" applyBorder="1" applyAlignment="1" applyProtection="1">
      <alignment vertical="center"/>
      <protection hidden="1"/>
    </xf>
    <xf numFmtId="0" fontId="1" fillId="0" borderId="2" xfId="2" applyNumberFormat="1" applyFont="1" applyFill="1" applyBorder="1" applyAlignment="1" applyProtection="1">
      <alignment vertical="center"/>
      <protection hidden="1"/>
    </xf>
    <xf numFmtId="4" fontId="1" fillId="0" borderId="3" xfId="2" applyNumberFormat="1" applyFont="1" applyFill="1" applyBorder="1" applyAlignment="1" applyProtection="1">
      <alignment vertical="center"/>
      <protection hidden="1"/>
    </xf>
    <xf numFmtId="0" fontId="20" fillId="0" borderId="2" xfId="10" applyFont="1" applyFill="1" applyBorder="1"/>
    <xf numFmtId="0" fontId="20" fillId="0" borderId="4" xfId="10" applyFont="1" applyFill="1" applyBorder="1"/>
    <xf numFmtId="4" fontId="20" fillId="0" borderId="2" xfId="10" applyNumberFormat="1" applyFont="1" applyFill="1" applyBorder="1" applyAlignment="1">
      <alignment horizontal="center"/>
    </xf>
    <xf numFmtId="4" fontId="20" fillId="0" borderId="4" xfId="10" applyNumberFormat="1" applyFont="1" applyFill="1" applyBorder="1"/>
    <xf numFmtId="0" fontId="20" fillId="0" borderId="2" xfId="0" applyFont="1" applyFill="1" applyBorder="1"/>
    <xf numFmtId="4" fontId="20" fillId="0" borderId="4" xfId="0" applyNumberFormat="1" applyFont="1" applyFill="1" applyBorder="1"/>
    <xf numFmtId="4" fontId="20" fillId="0" borderId="46" xfId="0" applyNumberFormat="1" applyFont="1" applyFill="1" applyBorder="1"/>
    <xf numFmtId="4" fontId="20" fillId="0" borderId="2" xfId="0" applyNumberFormat="1" applyFont="1" applyFill="1" applyBorder="1"/>
    <xf numFmtId="0" fontId="36" fillId="40" borderId="51" xfId="10" applyFont="1" applyFill="1" applyBorder="1" applyAlignment="1">
      <alignment horizontal="center" vertical="center"/>
    </xf>
    <xf numFmtId="0" fontId="36" fillId="40" borderId="52" xfId="10" applyFont="1" applyFill="1" applyBorder="1" applyAlignment="1">
      <alignment horizontal="center" vertical="center"/>
    </xf>
    <xf numFmtId="169" fontId="19" fillId="0" borderId="12" xfId="10" applyNumberFormat="1" applyFont="1" applyFill="1" applyBorder="1" applyAlignment="1">
      <alignment horizontal="center"/>
    </xf>
    <xf numFmtId="169" fontId="19" fillId="0" borderId="7" xfId="55" applyNumberFormat="1" applyFont="1" applyFill="1" applyBorder="1" applyAlignment="1">
      <alignment horizontal="center"/>
    </xf>
    <xf numFmtId="3" fontId="19" fillId="0" borderId="8" xfId="10" applyNumberFormat="1" applyFont="1" applyFill="1" applyBorder="1"/>
    <xf numFmtId="169" fontId="19" fillId="0" borderId="9" xfId="55" applyNumberFormat="1" applyFont="1" applyFill="1" applyBorder="1" applyAlignment="1">
      <alignment horizontal="center"/>
    </xf>
    <xf numFmtId="169" fontId="22" fillId="3" borderId="12" xfId="10" applyNumberFormat="1" applyFont="1" applyFill="1" applyBorder="1" applyAlignment="1">
      <alignment horizontal="center"/>
    </xf>
    <xf numFmtId="169" fontId="22" fillId="3" borderId="7" xfId="55" applyNumberFormat="1" applyFont="1" applyFill="1" applyBorder="1" applyAlignment="1">
      <alignment horizontal="center"/>
    </xf>
    <xf numFmtId="169" fontId="22" fillId="3" borderId="9" xfId="55" applyNumberFormat="1" applyFont="1" applyFill="1" applyBorder="1" applyAlignment="1">
      <alignment horizontal="center"/>
    </xf>
    <xf numFmtId="0" fontId="19" fillId="3" borderId="28" xfId="10" applyFont="1" applyFill="1" applyBorder="1" applyAlignment="1">
      <alignment horizontal="center"/>
    </xf>
    <xf numFmtId="0" fontId="19" fillId="3" borderId="25" xfId="10" applyFont="1" applyFill="1" applyBorder="1" applyAlignment="1">
      <alignment horizontal="center"/>
    </xf>
    <xf numFmtId="0" fontId="19" fillId="3" borderId="60" xfId="10" applyFont="1" applyFill="1" applyBorder="1" applyAlignment="1">
      <alignment horizontal="center"/>
    </xf>
    <xf numFmtId="0" fontId="0" fillId="0" borderId="0" xfId="0" applyBorder="1" applyAlignment="1">
      <alignment horizontal="center"/>
    </xf>
    <xf numFmtId="3" fontId="8" fillId="46" borderId="60" xfId="0" applyNumberFormat="1" applyFont="1" applyFill="1" applyBorder="1"/>
    <xf numFmtId="4" fontId="20" fillId="50" borderId="6" xfId="0" applyNumberFormat="1" applyFont="1" applyFill="1" applyBorder="1" applyAlignment="1">
      <alignment horizontal="center"/>
    </xf>
    <xf numFmtId="4" fontId="20" fillId="50" borderId="7" xfId="0" applyNumberFormat="1" applyFont="1" applyFill="1" applyBorder="1" applyAlignment="1">
      <alignment horizontal="center"/>
    </xf>
    <xf numFmtId="4" fontId="20" fillId="51" borderId="6" xfId="0" applyNumberFormat="1" applyFont="1" applyFill="1" applyBorder="1" applyAlignment="1">
      <alignment horizontal="center"/>
    </xf>
    <xf numFmtId="4" fontId="20" fillId="51" borderId="7" xfId="0" applyNumberFormat="1" applyFont="1" applyFill="1" applyBorder="1" applyAlignment="1">
      <alignment horizontal="center"/>
    </xf>
    <xf numFmtId="0" fontId="0" fillId="51" borderId="6" xfId="0" applyFont="1" applyFill="1" applyBorder="1"/>
    <xf numFmtId="4" fontId="20" fillId="3" borderId="6" xfId="0" applyNumberFormat="1" applyFont="1" applyFill="1" applyBorder="1" applyAlignment="1">
      <alignment horizontal="center"/>
    </xf>
    <xf numFmtId="4" fontId="20" fillId="3" borderId="7" xfId="0" applyNumberFormat="1" applyFont="1" applyFill="1" applyBorder="1" applyAlignment="1">
      <alignment horizontal="center"/>
    </xf>
    <xf numFmtId="3" fontId="20" fillId="3" borderId="7" xfId="0" applyNumberFormat="1" applyFont="1" applyFill="1" applyBorder="1" applyAlignment="1">
      <alignment horizontal="center"/>
    </xf>
    <xf numFmtId="0" fontId="8" fillId="50" borderId="7" xfId="0" applyFont="1" applyFill="1" applyBorder="1"/>
    <xf numFmtId="0" fontId="0" fillId="50" borderId="7" xfId="0" applyFont="1" applyFill="1" applyBorder="1"/>
    <xf numFmtId="4" fontId="20" fillId="3" borderId="8" xfId="0" applyNumberFormat="1" applyFont="1" applyFill="1" applyBorder="1" applyAlignment="1">
      <alignment horizontal="center"/>
    </xf>
    <xf numFmtId="4" fontId="20" fillId="3" borderId="9" xfId="0" applyNumberFormat="1" applyFont="1" applyFill="1" applyBorder="1" applyAlignment="1">
      <alignment horizontal="center"/>
    </xf>
    <xf numFmtId="4" fontId="20" fillId="80" borderId="6" xfId="0" applyNumberFormat="1" applyFont="1" applyFill="1" applyBorder="1" applyAlignment="1">
      <alignment horizontal="center"/>
    </xf>
    <xf numFmtId="49" fontId="58" fillId="3" borderId="0" xfId="10" applyNumberFormat="1" applyFont="1" applyFill="1" applyBorder="1"/>
    <xf numFmtId="49" fontId="58" fillId="3" borderId="10" xfId="10" applyNumberFormat="1" applyFont="1" applyFill="1" applyBorder="1"/>
    <xf numFmtId="49" fontId="75" fillId="3" borderId="0" xfId="10" applyNumberFormat="1" applyFont="1" applyFill="1" applyBorder="1"/>
    <xf numFmtId="49" fontId="58" fillId="3" borderId="0" xfId="10" applyNumberFormat="1" applyFont="1" applyFill="1" applyBorder="1" applyAlignment="1">
      <alignment wrapText="1"/>
    </xf>
    <xf numFmtId="49" fontId="58" fillId="3" borderId="0" xfId="10" applyNumberFormat="1" applyFont="1" applyFill="1" applyBorder="1" applyAlignment="1">
      <alignment vertical="top" wrapText="1"/>
    </xf>
    <xf numFmtId="3" fontId="58" fillId="2" borderId="10" xfId="10" applyNumberFormat="1" applyFont="1" applyFill="1" applyBorder="1" applyAlignment="1">
      <alignment horizontal="center"/>
    </xf>
    <xf numFmtId="0" fontId="58" fillId="2" borderId="10" xfId="10" applyFont="1" applyFill="1" applyBorder="1"/>
    <xf numFmtId="3" fontId="58" fillId="2" borderId="10" xfId="10" applyNumberFormat="1" applyFont="1" applyFill="1" applyBorder="1"/>
    <xf numFmtId="3" fontId="58" fillId="2" borderId="9" xfId="10" applyNumberFormat="1" applyFont="1" applyFill="1" applyBorder="1"/>
    <xf numFmtId="3" fontId="75" fillId="3" borderId="6" xfId="10" applyNumberFormat="1" applyFont="1" applyFill="1" applyBorder="1" applyAlignment="1">
      <alignment horizontal="center"/>
    </xf>
    <xf numFmtId="3" fontId="58" fillId="3" borderId="6" xfId="10" applyNumberFormat="1" applyFont="1" applyFill="1" applyBorder="1" applyAlignment="1">
      <alignment horizontal="center" vertical="top"/>
    </xf>
    <xf numFmtId="3" fontId="58" fillId="3" borderId="6" xfId="10" applyNumberFormat="1" applyFont="1" applyFill="1" applyBorder="1" applyAlignment="1">
      <alignment horizontal="center" vertical="top" wrapText="1"/>
    </xf>
    <xf numFmtId="3" fontId="58" fillId="3" borderId="8" xfId="10" applyNumberFormat="1" applyFont="1" applyFill="1" applyBorder="1" applyAlignment="1">
      <alignment horizontal="center" vertical="top" wrapText="1"/>
    </xf>
    <xf numFmtId="3" fontId="58" fillId="3" borderId="10" xfId="10" applyNumberFormat="1" applyFont="1" applyFill="1" applyBorder="1" applyAlignment="1">
      <alignment horizontal="center" vertical="top" wrapText="1"/>
    </xf>
    <xf numFmtId="3" fontId="58" fillId="3" borderId="10" xfId="10" applyNumberFormat="1" applyFont="1" applyFill="1" applyBorder="1" applyAlignment="1">
      <alignment horizontal="center" vertical="top"/>
    </xf>
    <xf numFmtId="3" fontId="59" fillId="3" borderId="10" xfId="0" applyNumberFormat="1" applyFont="1" applyFill="1" applyBorder="1" applyAlignment="1">
      <alignment horizontal="center"/>
    </xf>
    <xf numFmtId="0" fontId="58" fillId="2" borderId="8" xfId="10" applyFont="1" applyFill="1" applyBorder="1" applyAlignment="1">
      <alignment horizontal="center"/>
    </xf>
    <xf numFmtId="0" fontId="58" fillId="2" borderId="10" xfId="10" applyFont="1" applyFill="1" applyBorder="1" applyAlignment="1">
      <alignment horizontal="center"/>
    </xf>
    <xf numFmtId="49" fontId="64" fillId="2" borderId="10" xfId="10" applyNumberFormat="1" applyFont="1" applyFill="1" applyBorder="1" applyAlignment="1">
      <alignment horizontal="center"/>
    </xf>
    <xf numFmtId="0" fontId="58" fillId="2" borderId="9" xfId="10" applyFont="1" applyFill="1" applyBorder="1"/>
    <xf numFmtId="3" fontId="14" fillId="3" borderId="7" xfId="0" applyNumberFormat="1" applyFont="1" applyFill="1" applyBorder="1"/>
    <xf numFmtId="3" fontId="59" fillId="3" borderId="12" xfId="0" applyNumberFormat="1" applyFont="1" applyFill="1" applyBorder="1"/>
    <xf numFmtId="0" fontId="19" fillId="51" borderId="62" xfId="10" applyFont="1" applyFill="1" applyBorder="1" applyAlignment="1">
      <alignment vertical="top"/>
    </xf>
    <xf numFmtId="0" fontId="19" fillId="51" borderId="6" xfId="10" applyFont="1" applyFill="1" applyBorder="1" applyAlignment="1">
      <alignment horizontal="center" vertical="top"/>
    </xf>
    <xf numFmtId="17" fontId="19" fillId="51" borderId="0" xfId="10" applyNumberFormat="1" applyFont="1" applyFill="1" applyBorder="1" applyAlignment="1">
      <alignment horizontal="center" vertical="top"/>
    </xf>
    <xf numFmtId="172" fontId="19" fillId="51" borderId="0" xfId="0" applyNumberFormat="1" applyFont="1" applyFill="1" applyBorder="1" applyAlignment="1">
      <alignment horizontal="center" vertical="top"/>
    </xf>
    <xf numFmtId="4" fontId="20" fillId="51" borderId="25" xfId="0" applyNumberFormat="1" applyFont="1" applyFill="1" applyBorder="1" applyAlignment="1">
      <alignment horizontal="center" vertical="top"/>
    </xf>
    <xf numFmtId="4" fontId="20" fillId="50" borderId="6" xfId="0" applyNumberFormat="1" applyFont="1" applyFill="1" applyBorder="1" applyAlignment="1">
      <alignment horizontal="center" vertical="top" wrapText="1"/>
    </xf>
    <xf numFmtId="0" fontId="0" fillId="3" borderId="0" xfId="0" applyFont="1" applyFill="1" applyAlignment="1">
      <alignment vertical="top"/>
    </xf>
    <xf numFmtId="0" fontId="183" fillId="40" borderId="1" xfId="2" applyFont="1" applyFill="1" applyBorder="1" applyAlignment="1" applyProtection="1">
      <alignment horizontal="center" vertical="center"/>
      <protection hidden="1"/>
    </xf>
    <xf numFmtId="4" fontId="20" fillId="48" borderId="7" xfId="0" applyNumberFormat="1" applyFont="1" applyFill="1" applyBorder="1" applyAlignment="1">
      <alignment horizontal="center" vertical="top"/>
    </xf>
    <xf numFmtId="0" fontId="128" fillId="0" borderId="0" xfId="2" applyFont="1" applyBorder="1" applyProtection="1">
      <protection hidden="1"/>
    </xf>
    <xf numFmtId="0" fontId="128" fillId="0" borderId="29" xfId="2" applyFont="1" applyBorder="1" applyProtection="1">
      <protection hidden="1"/>
    </xf>
    <xf numFmtId="0" fontId="128" fillId="0" borderId="4" xfId="2" applyFont="1" applyFill="1" applyBorder="1" applyProtection="1">
      <protection hidden="1"/>
    </xf>
    <xf numFmtId="0" fontId="128" fillId="0" borderId="50" xfId="2" applyFont="1" applyFill="1" applyBorder="1" applyProtection="1">
      <protection hidden="1"/>
    </xf>
    <xf numFmtId="197" fontId="120" fillId="0" borderId="3" xfId="2" applyNumberFormat="1" applyFont="1" applyFill="1" applyBorder="1" applyAlignment="1" applyProtection="1">
      <alignment horizontal="right" vertical="center"/>
      <protection hidden="1"/>
    </xf>
    <xf numFmtId="198" fontId="120" fillId="0" borderId="3" xfId="2" applyNumberFormat="1" applyFont="1" applyFill="1" applyBorder="1" applyAlignment="1" applyProtection="1">
      <alignment horizontal="right" vertical="center"/>
      <protection hidden="1"/>
    </xf>
    <xf numFmtId="0" fontId="120" fillId="0" borderId="55" xfId="2" applyFont="1" applyFill="1" applyBorder="1" applyProtection="1">
      <protection hidden="1"/>
    </xf>
    <xf numFmtId="0" fontId="14" fillId="0" borderId="0" xfId="0" applyFont="1" applyBorder="1" applyAlignment="1">
      <alignment horizontal="center"/>
    </xf>
    <xf numFmtId="0" fontId="55" fillId="40" borderId="47" xfId="0" applyFont="1" applyFill="1" applyBorder="1" applyAlignment="1">
      <alignment horizontal="center"/>
    </xf>
    <xf numFmtId="0" fontId="55" fillId="40" borderId="48" xfId="0" applyFont="1" applyFill="1" applyBorder="1" applyAlignment="1">
      <alignment horizontal="center"/>
    </xf>
    <xf numFmtId="0" fontId="92" fillId="3" borderId="0" xfId="0" applyFont="1" applyFill="1" applyBorder="1" applyAlignment="1">
      <alignment horizontal="center" vertical="center" wrapText="1"/>
    </xf>
    <xf numFmtId="0" fontId="127" fillId="3" borderId="0" xfId="0" applyFont="1" applyFill="1" applyBorder="1" applyAlignment="1">
      <alignment horizontal="center" vertical="center" wrapText="1"/>
    </xf>
    <xf numFmtId="0" fontId="127" fillId="3" borderId="0" xfId="0" applyFont="1" applyFill="1" applyBorder="1" applyAlignment="1">
      <alignment horizontal="left" vertical="center" wrapText="1"/>
    </xf>
    <xf numFmtId="0" fontId="126" fillId="3" borderId="0" xfId="1" applyFont="1" applyFill="1" applyBorder="1" applyAlignment="1">
      <alignment horizontal="center" vertical="center" wrapText="1"/>
    </xf>
    <xf numFmtId="0" fontId="92" fillId="3" borderId="0" xfId="0" applyFont="1" applyFill="1" applyBorder="1" applyAlignment="1">
      <alignment horizontal="left" vertical="center"/>
    </xf>
    <xf numFmtId="0" fontId="182" fillId="3" borderId="0" xfId="0" applyFont="1" applyFill="1" applyBorder="1" applyAlignment="1">
      <alignment horizontal="right" vertical="center" wrapText="1"/>
    </xf>
    <xf numFmtId="0" fontId="92" fillId="3" borderId="0" xfId="0" applyFont="1" applyFill="1" applyBorder="1" applyAlignment="1">
      <alignment vertical="center"/>
    </xf>
    <xf numFmtId="0" fontId="97" fillId="3" borderId="0" xfId="1" applyFont="1" applyFill="1" applyBorder="1" applyAlignment="1">
      <alignment horizontal="center" vertical="center" wrapText="1"/>
    </xf>
    <xf numFmtId="0" fontId="97" fillId="3" borderId="0" xfId="1" applyFont="1" applyFill="1" applyBorder="1" applyAlignment="1">
      <alignment horizontal="right" vertical="center" wrapText="1"/>
    </xf>
    <xf numFmtId="0" fontId="92" fillId="3" borderId="0" xfId="0" applyFont="1" applyFill="1" applyBorder="1" applyAlignment="1">
      <alignment horizontal="center" vertical="center"/>
    </xf>
    <xf numFmtId="0" fontId="181" fillId="3" borderId="0" xfId="0" applyFont="1" applyFill="1" applyBorder="1" applyAlignment="1">
      <alignment horizontal="center" vertical="center"/>
    </xf>
    <xf numFmtId="0" fontId="0" fillId="78" borderId="0" xfId="0" applyFont="1" applyFill="1" applyBorder="1"/>
    <xf numFmtId="3" fontId="0" fillId="0" borderId="0" xfId="0" applyNumberFormat="1" applyFont="1"/>
    <xf numFmtId="0" fontId="0" fillId="0" borderId="0" xfId="0" applyFont="1" applyAlignment="1">
      <alignment horizontal="center"/>
    </xf>
    <xf numFmtId="9" fontId="0" fillId="0" borderId="0" xfId="82" applyFont="1"/>
    <xf numFmtId="3" fontId="214" fillId="0" borderId="0" xfId="0" applyNumberFormat="1" applyFont="1" applyBorder="1" applyAlignment="1">
      <alignment horizontal="center" vertical="center" readingOrder="1"/>
    </xf>
    <xf numFmtId="0" fontId="215" fillId="0" borderId="0" xfId="0" applyFont="1"/>
    <xf numFmtId="0" fontId="8" fillId="77" borderId="0" xfId="0" applyFont="1" applyFill="1"/>
    <xf numFmtId="3" fontId="0" fillId="0" borderId="0" xfId="0" applyNumberFormat="1"/>
    <xf numFmtId="3" fontId="8" fillId="0" borderId="0" xfId="0" applyNumberFormat="1" applyFont="1"/>
    <xf numFmtId="10" fontId="0" fillId="0" borderId="0" xfId="82" applyNumberFormat="1" applyFont="1"/>
    <xf numFmtId="4" fontId="8" fillId="0" borderId="0" xfId="0" applyNumberFormat="1" applyFont="1"/>
    <xf numFmtId="10" fontId="0" fillId="0" borderId="0" xfId="82" applyNumberFormat="1" applyFont="1" applyAlignment="1">
      <alignment horizontal="center"/>
    </xf>
    <xf numFmtId="3" fontId="0" fillId="0" borderId="0" xfId="0" applyNumberFormat="1" applyBorder="1"/>
    <xf numFmtId="3" fontId="0" fillId="65" borderId="0" xfId="0" applyNumberFormat="1" applyFill="1" applyBorder="1"/>
    <xf numFmtId="3" fontId="0" fillId="65" borderId="4" xfId="0" applyNumberFormat="1" applyFill="1" applyBorder="1"/>
    <xf numFmtId="3" fontId="0" fillId="0" borderId="4" xfId="0" applyNumberFormat="1" applyBorder="1"/>
    <xf numFmtId="0" fontId="0" fillId="0" borderId="3" xfId="0" applyFont="1" applyBorder="1"/>
    <xf numFmtId="0" fontId="0" fillId="0" borderId="54" xfId="0" applyFont="1" applyBorder="1"/>
    <xf numFmtId="0" fontId="36" fillId="40" borderId="51" xfId="0" applyFont="1" applyFill="1" applyBorder="1"/>
    <xf numFmtId="0" fontId="36" fillId="40" borderId="52" xfId="0" applyFont="1" applyFill="1" applyBorder="1"/>
    <xf numFmtId="0" fontId="36" fillId="40" borderId="53" xfId="0" applyFont="1" applyFill="1" applyBorder="1"/>
    <xf numFmtId="3" fontId="8" fillId="0" borderId="51" xfId="0" applyNumberFormat="1" applyFont="1" applyBorder="1"/>
    <xf numFmtId="3" fontId="8" fillId="0" borderId="52" xfId="0" applyNumberFormat="1" applyFont="1" applyBorder="1"/>
    <xf numFmtId="3" fontId="8" fillId="0" borderId="53" xfId="0" applyNumberFormat="1" applyFont="1" applyBorder="1"/>
    <xf numFmtId="0" fontId="215" fillId="0" borderId="54" xfId="0" applyFont="1" applyBorder="1"/>
    <xf numFmtId="3" fontId="0" fillId="0" borderId="2" xfId="0" applyNumberFormat="1" applyBorder="1"/>
    <xf numFmtId="4" fontId="8" fillId="0" borderId="49" xfId="0" applyNumberFormat="1" applyFont="1" applyBorder="1"/>
    <xf numFmtId="4" fontId="8" fillId="0" borderId="29" xfId="0" applyNumberFormat="1" applyFont="1" applyBorder="1"/>
    <xf numFmtId="4" fontId="8" fillId="0" borderId="50" xfId="0" applyNumberFormat="1" applyFont="1" applyBorder="1"/>
    <xf numFmtId="4" fontId="8" fillId="0" borderId="51" xfId="0" applyNumberFormat="1" applyFont="1" applyBorder="1"/>
    <xf numFmtId="4" fontId="8" fillId="0" borderId="52" xfId="0" applyNumberFormat="1" applyFont="1" applyBorder="1"/>
    <xf numFmtId="4" fontId="8" fillId="0" borderId="53" xfId="0" applyNumberFormat="1" applyFont="1" applyBorder="1"/>
    <xf numFmtId="0" fontId="8" fillId="0" borderId="0" xfId="0" applyFont="1" applyFill="1"/>
    <xf numFmtId="0" fontId="8" fillId="0" borderId="54" xfId="0" applyFont="1" applyBorder="1"/>
    <xf numFmtId="4" fontId="0" fillId="0" borderId="2" xfId="0" applyNumberFormat="1" applyBorder="1"/>
    <xf numFmtId="4" fontId="0" fillId="0" borderId="0" xfId="0" applyNumberFormat="1" applyBorder="1"/>
    <xf numFmtId="4" fontId="0" fillId="0" borderId="4" xfId="0" applyNumberFormat="1" applyBorder="1"/>
    <xf numFmtId="4" fontId="0" fillId="0" borderId="29" xfId="0" applyNumberFormat="1" applyBorder="1"/>
    <xf numFmtId="4" fontId="0" fillId="0" borderId="50" xfId="0" applyNumberFormat="1" applyBorder="1"/>
    <xf numFmtId="4" fontId="0" fillId="0" borderId="0" xfId="0" applyNumberFormat="1" applyFont="1" applyBorder="1"/>
    <xf numFmtId="4" fontId="8" fillId="0" borderId="0" xfId="0" applyNumberFormat="1" applyFont="1" applyBorder="1"/>
    <xf numFmtId="4" fontId="8" fillId="0" borderId="4" xfId="0" applyNumberFormat="1" applyFont="1" applyBorder="1"/>
    <xf numFmtId="0" fontId="8" fillId="0" borderId="3" xfId="0" applyFont="1" applyBorder="1"/>
    <xf numFmtId="0" fontId="8" fillId="0" borderId="55" xfId="0" applyFont="1" applyBorder="1"/>
    <xf numFmtId="4" fontId="8" fillId="0" borderId="47" xfId="0" applyNumberFormat="1" applyFont="1" applyBorder="1"/>
    <xf numFmtId="4" fontId="8" fillId="0" borderId="48" xfId="0" applyNumberFormat="1" applyFont="1" applyBorder="1"/>
    <xf numFmtId="4" fontId="8" fillId="0" borderId="46" xfId="0" applyNumberFormat="1" applyFont="1" applyBorder="1"/>
    <xf numFmtId="4" fontId="8" fillId="0" borderId="2" xfId="0" applyNumberFormat="1" applyFont="1" applyBorder="1"/>
    <xf numFmtId="1" fontId="36" fillId="40" borderId="52" xfId="0" applyNumberFormat="1" applyFont="1" applyFill="1" applyBorder="1"/>
    <xf numFmtId="1" fontId="36" fillId="40" borderId="53" xfId="0" applyNumberFormat="1" applyFont="1" applyFill="1" applyBorder="1"/>
    <xf numFmtId="4" fontId="0" fillId="0" borderId="47" xfId="0" applyNumberFormat="1" applyBorder="1"/>
    <xf numFmtId="0" fontId="0" fillId="40" borderId="1" xfId="0" applyFill="1" applyBorder="1"/>
    <xf numFmtId="0" fontId="9" fillId="40" borderId="52" xfId="0" applyFont="1" applyFill="1" applyBorder="1"/>
    <xf numFmtId="3" fontId="0" fillId="0" borderId="47" xfId="0" applyNumberFormat="1" applyBorder="1"/>
    <xf numFmtId="3" fontId="0" fillId="0" borderId="48" xfId="0" applyNumberFormat="1" applyBorder="1"/>
    <xf numFmtId="0" fontId="0" fillId="0" borderId="52" xfId="0" applyBorder="1"/>
    <xf numFmtId="0" fontId="55" fillId="40" borderId="1" xfId="0" applyFont="1" applyFill="1" applyBorder="1"/>
    <xf numFmtId="3" fontId="214" fillId="0" borderId="4" xfId="0" applyNumberFormat="1" applyFont="1" applyBorder="1" applyAlignment="1">
      <alignment horizontal="center" vertical="center" readingOrder="1"/>
    </xf>
    <xf numFmtId="0" fontId="214" fillId="0" borderId="4" xfId="0" applyFont="1" applyBorder="1" applyAlignment="1">
      <alignment horizontal="center" vertical="center" readingOrder="1"/>
    </xf>
    <xf numFmtId="3" fontId="214" fillId="0" borderId="29" xfId="0" applyNumberFormat="1" applyFont="1" applyBorder="1" applyAlignment="1">
      <alignment horizontal="center" vertical="center" readingOrder="1"/>
    </xf>
    <xf numFmtId="3" fontId="214" fillId="0" borderId="29" xfId="0" applyNumberFormat="1" applyFont="1" applyBorder="1" applyAlignment="1">
      <alignment horizontal="center"/>
    </xf>
    <xf numFmtId="0" fontId="214" fillId="0" borderId="50" xfId="0" applyFont="1" applyBorder="1" applyAlignment="1">
      <alignment horizontal="center"/>
    </xf>
    <xf numFmtId="0" fontId="55" fillId="40" borderId="52" xfId="10" applyFont="1" applyFill="1" applyBorder="1" applyAlignment="1">
      <alignment horizontal="center" vertical="center"/>
    </xf>
    <xf numFmtId="0" fontId="55" fillId="40" borderId="53" xfId="10" applyFont="1" applyFill="1" applyBorder="1" applyAlignment="1">
      <alignment horizontal="center" vertical="center"/>
    </xf>
    <xf numFmtId="0" fontId="55" fillId="40" borderId="1" xfId="10" applyFont="1" applyFill="1" applyBorder="1" applyAlignment="1">
      <alignment horizontal="center" vertical="center"/>
    </xf>
    <xf numFmtId="0" fontId="78" fillId="0" borderId="3" xfId="0" applyFont="1" applyBorder="1" applyAlignment="1">
      <alignment horizontal="right" vertical="center" readingOrder="1"/>
    </xf>
    <xf numFmtId="0" fontId="78" fillId="0" borderId="54" xfId="0" applyFont="1" applyBorder="1" applyAlignment="1">
      <alignment horizontal="right" vertical="center" readingOrder="1"/>
    </xf>
    <xf numFmtId="3" fontId="214" fillId="0" borderId="50" xfId="0" applyNumberFormat="1" applyFont="1" applyBorder="1" applyAlignment="1">
      <alignment horizontal="center" vertical="center" readingOrder="1"/>
    </xf>
    <xf numFmtId="0" fontId="55" fillId="40" borderId="51" xfId="10" applyFont="1" applyFill="1" applyBorder="1" applyAlignment="1">
      <alignment vertical="center"/>
    </xf>
    <xf numFmtId="0" fontId="55" fillId="40" borderId="53" xfId="10" applyFont="1" applyFill="1" applyBorder="1" applyAlignment="1">
      <alignment vertical="center"/>
    </xf>
    <xf numFmtId="0" fontId="78" fillId="0" borderId="4" xfId="0" applyFont="1" applyBorder="1" applyAlignment="1">
      <alignment horizontal="right" vertical="center" readingOrder="1"/>
    </xf>
    <xf numFmtId="0" fontId="78" fillId="0" borderId="50" xfId="0" applyFont="1" applyBorder="1" applyAlignment="1">
      <alignment horizontal="right" vertical="center" readingOrder="1"/>
    </xf>
    <xf numFmtId="3" fontId="216" fillId="0" borderId="0" xfId="0" applyNumberFormat="1" applyFont="1" applyBorder="1" applyAlignment="1">
      <alignment horizontal="center" vertical="center" readingOrder="1"/>
    </xf>
    <xf numFmtId="3" fontId="216" fillId="0" borderId="4" xfId="0" applyNumberFormat="1" applyFont="1" applyBorder="1" applyAlignment="1">
      <alignment horizontal="center" vertical="center" readingOrder="1"/>
    </xf>
    <xf numFmtId="0" fontId="216" fillId="0" borderId="4" xfId="0" applyFont="1" applyBorder="1" applyAlignment="1">
      <alignment horizontal="center" vertical="center" readingOrder="1"/>
    </xf>
    <xf numFmtId="3" fontId="216" fillId="0" borderId="29" xfId="0" applyNumberFormat="1" applyFont="1" applyBorder="1" applyAlignment="1">
      <alignment horizontal="center" vertical="center" readingOrder="1"/>
    </xf>
    <xf numFmtId="3" fontId="216" fillId="0" borderId="29" xfId="0" applyNumberFormat="1" applyFont="1" applyBorder="1" applyAlignment="1">
      <alignment horizontal="center"/>
    </xf>
    <xf numFmtId="0" fontId="216" fillId="0" borderId="50" xfId="0" applyFont="1" applyBorder="1" applyAlignment="1">
      <alignment horizontal="center"/>
    </xf>
    <xf numFmtId="0" fontId="52" fillId="40" borderId="46" xfId="0" applyFont="1" applyFill="1" applyBorder="1"/>
    <xf numFmtId="0" fontId="52" fillId="40" borderId="48" xfId="0" applyFont="1" applyFill="1" applyBorder="1" applyAlignment="1">
      <alignment horizontal="right" vertical="center" readingOrder="1"/>
    </xf>
    <xf numFmtId="0" fontId="94" fillId="0" borderId="0" xfId="10" applyFont="1" applyFill="1" applyBorder="1" applyAlignment="1">
      <alignment horizontal="center"/>
    </xf>
    <xf numFmtId="3" fontId="8" fillId="0" borderId="0" xfId="0" applyNumberFormat="1" applyFont="1" applyFill="1" applyBorder="1"/>
    <xf numFmtId="0" fontId="20" fillId="0" borderId="28" xfId="10" applyFont="1" applyBorder="1" applyAlignment="1">
      <alignment horizontal="center"/>
    </xf>
    <xf numFmtId="0" fontId="20" fillId="0" borderId="60" xfId="10" applyFont="1" applyBorder="1" applyAlignment="1">
      <alignment horizontal="center"/>
    </xf>
    <xf numFmtId="3" fontId="8" fillId="46" borderId="28" xfId="0" applyNumberFormat="1" applyFont="1" applyFill="1" applyBorder="1"/>
    <xf numFmtId="3" fontId="0" fillId="0" borderId="5" xfId="0" applyNumberFormat="1" applyBorder="1"/>
    <xf numFmtId="0" fontId="8" fillId="0" borderId="24" xfId="0" applyFont="1" applyBorder="1"/>
    <xf numFmtId="4" fontId="8" fillId="0" borderId="24" xfId="0" applyNumberFormat="1" applyFont="1" applyBorder="1"/>
    <xf numFmtId="3" fontId="0" fillId="0" borderId="12" xfId="0" applyNumberFormat="1" applyBorder="1" applyAlignment="1">
      <alignment horizontal="center"/>
    </xf>
    <xf numFmtId="3" fontId="0" fillId="0" borderId="7" xfId="0" applyNumberFormat="1" applyBorder="1" applyAlignment="1">
      <alignment horizontal="center"/>
    </xf>
    <xf numFmtId="3" fontId="0" fillId="0" borderId="10" xfId="0" applyNumberFormat="1" applyBorder="1" applyAlignment="1">
      <alignment horizontal="center"/>
    </xf>
    <xf numFmtId="3" fontId="0" fillId="0" borderId="9" xfId="0" applyNumberFormat="1" applyBorder="1" applyAlignment="1">
      <alignment horizontal="center"/>
    </xf>
    <xf numFmtId="3" fontId="8" fillId="46" borderId="27" xfId="0" applyNumberFormat="1" applyFont="1" applyFill="1" applyBorder="1"/>
    <xf numFmtId="9" fontId="0" fillId="0" borderId="28" xfId="0" applyNumberFormat="1" applyBorder="1" applyAlignment="1">
      <alignment horizontal="center"/>
    </xf>
    <xf numFmtId="0" fontId="20" fillId="0" borderId="25" xfId="10" applyFont="1" applyFill="1" applyBorder="1" applyAlignment="1">
      <alignment horizontal="center"/>
    </xf>
    <xf numFmtId="3" fontId="14" fillId="3" borderId="5" xfId="0" applyNumberFormat="1" applyFont="1" applyFill="1" applyBorder="1" applyAlignment="1">
      <alignment horizontal="center"/>
    </xf>
    <xf numFmtId="3" fontId="14" fillId="3" borderId="0" xfId="0" applyNumberFormat="1" applyFont="1" applyFill="1" applyBorder="1" applyAlignment="1">
      <alignment horizontal="center"/>
    </xf>
    <xf numFmtId="3" fontId="14" fillId="3" borderId="10" xfId="0" applyNumberFormat="1" applyFont="1" applyFill="1" applyBorder="1" applyAlignment="1">
      <alignment horizontal="center"/>
    </xf>
    <xf numFmtId="3" fontId="14" fillId="3" borderId="9" xfId="0" applyNumberFormat="1" applyFont="1" applyFill="1" applyBorder="1" applyAlignment="1">
      <alignment horizontal="center"/>
    </xf>
    <xf numFmtId="9" fontId="24" fillId="3" borderId="23" xfId="82" applyFont="1" applyFill="1" applyBorder="1" applyAlignment="1">
      <alignment horizontal="center"/>
    </xf>
    <xf numFmtId="0" fontId="55" fillId="40" borderId="23" xfId="10" applyFont="1" applyFill="1" applyBorder="1"/>
    <xf numFmtId="4" fontId="20" fillId="0" borderId="0" xfId="0" applyNumberFormat="1" applyFont="1" applyFill="1" applyBorder="1"/>
    <xf numFmtId="4" fontId="20" fillId="0" borderId="0" xfId="0" applyNumberFormat="1" applyFont="1" applyBorder="1"/>
    <xf numFmtId="4" fontId="19" fillId="0" borderId="0" xfId="0" applyNumberFormat="1" applyFont="1" applyBorder="1"/>
    <xf numFmtId="4" fontId="19" fillId="0" borderId="10" xfId="0" applyNumberFormat="1" applyFont="1" applyBorder="1"/>
    <xf numFmtId="4" fontId="20" fillId="2" borderId="46" xfId="0" applyNumberFormat="1" applyFont="1" applyFill="1" applyBorder="1"/>
    <xf numFmtId="4" fontId="20" fillId="2" borderId="48" xfId="0" applyNumberFormat="1" applyFont="1" applyFill="1" applyBorder="1"/>
    <xf numFmtId="4" fontId="24" fillId="0" borderId="50" xfId="0" applyNumberFormat="1" applyFont="1" applyBorder="1" applyAlignment="1">
      <alignment horizontal="center"/>
    </xf>
    <xf numFmtId="4" fontId="19" fillId="0" borderId="48" xfId="0" applyNumberFormat="1" applyFont="1" applyFill="1" applyBorder="1" applyAlignment="1">
      <alignment horizontal="center"/>
    </xf>
    <xf numFmtId="4" fontId="19" fillId="0" borderId="4" xfId="0" applyNumberFormat="1" applyFont="1" applyFill="1" applyBorder="1" applyAlignment="1">
      <alignment horizontal="center"/>
    </xf>
    <xf numFmtId="0" fontId="20" fillId="0" borderId="4" xfId="10" applyFont="1" applyFill="1" applyBorder="1" applyAlignment="1">
      <alignment horizontal="center"/>
    </xf>
    <xf numFmtId="4" fontId="20" fillId="69" borderId="6" xfId="0" applyNumberFormat="1" applyFont="1" applyFill="1" applyBorder="1" applyAlignment="1">
      <alignment horizontal="center"/>
    </xf>
    <xf numFmtId="172" fontId="19" fillId="69" borderId="7" xfId="0" applyNumberFormat="1" applyFont="1" applyFill="1" applyBorder="1" applyAlignment="1">
      <alignment horizontal="center"/>
    </xf>
    <xf numFmtId="4" fontId="20" fillId="69" borderId="7" xfId="0" applyNumberFormat="1" applyFont="1" applyFill="1" applyBorder="1" applyAlignment="1">
      <alignment horizontal="center"/>
    </xf>
    <xf numFmtId="172" fontId="19" fillId="69" borderId="12" xfId="0" applyNumberFormat="1" applyFont="1" applyFill="1" applyBorder="1" applyAlignment="1">
      <alignment horizontal="center" wrapText="1"/>
    </xf>
    <xf numFmtId="172" fontId="19" fillId="69" borderId="7" xfId="0" applyNumberFormat="1" applyFont="1" applyFill="1" applyBorder="1" applyAlignment="1">
      <alignment horizontal="center" wrapText="1"/>
    </xf>
    <xf numFmtId="172" fontId="19" fillId="69" borderId="7" xfId="0" applyNumberFormat="1" applyFont="1" applyFill="1" applyBorder="1" applyAlignment="1">
      <alignment horizontal="center" vertical="top"/>
    </xf>
    <xf numFmtId="172" fontId="19" fillId="69" borderId="0" xfId="0" applyNumberFormat="1" applyFont="1" applyFill="1" applyBorder="1" applyAlignment="1">
      <alignment horizontal="center" vertical="top"/>
    </xf>
    <xf numFmtId="172" fontId="19" fillId="48" borderId="0" xfId="0" applyNumberFormat="1" applyFont="1" applyFill="1" applyBorder="1" applyAlignment="1">
      <alignment horizontal="center"/>
    </xf>
    <xf numFmtId="172" fontId="19" fillId="48" borderId="7" xfId="0" applyNumberFormat="1" applyFont="1" applyFill="1" applyBorder="1" applyAlignment="1">
      <alignment horizontal="center"/>
    </xf>
    <xf numFmtId="4" fontId="20" fillId="48" borderId="6" xfId="0" applyNumberFormat="1" applyFont="1" applyFill="1" applyBorder="1" applyAlignment="1">
      <alignment horizontal="center"/>
    </xf>
    <xf numFmtId="0" fontId="36" fillId="40" borderId="85" xfId="10" applyFont="1" applyFill="1" applyBorder="1" applyAlignment="1">
      <alignment horizontal="center"/>
    </xf>
    <xf numFmtId="0" fontId="36" fillId="40" borderId="47" xfId="10" applyFont="1" applyFill="1" applyBorder="1" applyAlignment="1">
      <alignment horizontal="center"/>
    </xf>
    <xf numFmtId="3" fontId="36" fillId="40" borderId="152" xfId="10" applyNumberFormat="1" applyFont="1" applyFill="1" applyBorder="1" applyAlignment="1">
      <alignment horizontal="center"/>
    </xf>
    <xf numFmtId="3" fontId="36" fillId="40" borderId="47" xfId="10" applyNumberFormat="1" applyFont="1" applyFill="1" applyBorder="1" applyAlignment="1">
      <alignment horizontal="center"/>
    </xf>
    <xf numFmtId="3" fontId="36" fillId="40" borderId="48" xfId="10" applyNumberFormat="1" applyFont="1" applyFill="1" applyBorder="1" applyAlignment="1">
      <alignment horizontal="center"/>
    </xf>
    <xf numFmtId="4" fontId="20" fillId="0" borderId="4" xfId="0" applyNumberFormat="1" applyFont="1" applyFill="1" applyBorder="1" applyAlignment="1">
      <alignment horizontal="center"/>
    </xf>
    <xf numFmtId="3" fontId="20" fillId="0" borderId="4" xfId="0" applyNumberFormat="1" applyFont="1" applyFill="1" applyBorder="1" applyAlignment="1">
      <alignment horizontal="center"/>
    </xf>
    <xf numFmtId="0" fontId="19" fillId="0" borderId="82" xfId="10" applyFont="1" applyFill="1" applyBorder="1" applyAlignment="1">
      <alignment horizontal="center"/>
    </xf>
    <xf numFmtId="0" fontId="19" fillId="0" borderId="29" xfId="10" applyFont="1" applyFill="1" applyBorder="1" applyAlignment="1">
      <alignment horizontal="center"/>
    </xf>
    <xf numFmtId="14" fontId="19" fillId="0" borderId="29" xfId="0" applyNumberFormat="1" applyFont="1" applyFill="1" applyBorder="1" applyAlignment="1">
      <alignment horizontal="center"/>
    </xf>
    <xf numFmtId="0" fontId="19" fillId="0" borderId="29" xfId="0" applyFont="1" applyFill="1" applyBorder="1" applyAlignment="1">
      <alignment horizontal="center"/>
    </xf>
    <xf numFmtId="4" fontId="20" fillId="0" borderId="97" xfId="0" applyNumberFormat="1" applyFont="1" applyFill="1" applyBorder="1" applyAlignment="1">
      <alignment horizontal="center"/>
    </xf>
    <xf numFmtId="4" fontId="20" fillId="0" borderId="29" xfId="0" applyNumberFormat="1" applyFont="1" applyFill="1" applyBorder="1" applyAlignment="1">
      <alignment horizontal="center"/>
    </xf>
    <xf numFmtId="4" fontId="20" fillId="0" borderId="50" xfId="0" applyNumberFormat="1" applyFont="1" applyFill="1" applyBorder="1" applyAlignment="1">
      <alignment horizontal="center"/>
    </xf>
    <xf numFmtId="0" fontId="14" fillId="0" borderId="0" xfId="0" applyFont="1" applyBorder="1" applyAlignment="1">
      <alignment horizontal="center"/>
    </xf>
    <xf numFmtId="0" fontId="55" fillId="40" borderId="47" xfId="0" applyFont="1" applyFill="1" applyBorder="1" applyAlignment="1">
      <alignment horizontal="center"/>
    </xf>
    <xf numFmtId="0" fontId="55" fillId="40" borderId="48" xfId="0" applyFont="1" applyFill="1" applyBorder="1" applyAlignment="1">
      <alignment horizontal="center"/>
    </xf>
    <xf numFmtId="0" fontId="138" fillId="0" borderId="50" xfId="0" applyFont="1" applyFill="1" applyBorder="1" applyAlignment="1">
      <alignment horizontal="center"/>
    </xf>
    <xf numFmtId="0" fontId="0" fillId="0" borderId="48" xfId="0" applyFill="1" applyBorder="1" applyAlignment="1">
      <alignment horizontal="center"/>
    </xf>
    <xf numFmtId="0" fontId="0" fillId="0" borderId="4" xfId="0" applyFill="1" applyBorder="1" applyAlignment="1">
      <alignment horizontal="center"/>
    </xf>
    <xf numFmtId="0" fontId="20" fillId="2" borderId="53" xfId="0" applyFont="1" applyFill="1" applyBorder="1" applyAlignment="1">
      <alignment horizontal="left"/>
    </xf>
    <xf numFmtId="0" fontId="8" fillId="39" borderId="0" xfId="0" applyFont="1" applyFill="1" applyBorder="1"/>
    <xf numFmtId="0" fontId="8" fillId="47" borderId="5" xfId="0" applyFont="1" applyFill="1" applyBorder="1"/>
    <xf numFmtId="0" fontId="0" fillId="39" borderId="10" xfId="0" applyFill="1" applyBorder="1"/>
    <xf numFmtId="0" fontId="170" fillId="40" borderId="6" xfId="0" applyFont="1" applyFill="1" applyBorder="1"/>
    <xf numFmtId="0" fontId="169" fillId="40" borderId="7" xfId="0" applyFont="1" applyFill="1" applyBorder="1" applyAlignment="1">
      <alignment horizontal="center"/>
    </xf>
    <xf numFmtId="0" fontId="140" fillId="0" borderId="11" xfId="0" applyFont="1" applyBorder="1"/>
    <xf numFmtId="0" fontId="137" fillId="0" borderId="9" xfId="0" applyFont="1" applyBorder="1"/>
    <xf numFmtId="0" fontId="52" fillId="40" borderId="11" xfId="0" applyFont="1" applyFill="1" applyBorder="1"/>
    <xf numFmtId="0" fontId="55" fillId="40" borderId="5" xfId="0" applyFont="1" applyFill="1" applyBorder="1" applyAlignment="1">
      <alignment horizontal="center"/>
    </xf>
    <xf numFmtId="0" fontId="55" fillId="40" borderId="12" xfId="0" applyFont="1" applyFill="1" applyBorder="1" applyAlignment="1">
      <alignment horizontal="center"/>
    </xf>
    <xf numFmtId="0" fontId="14" fillId="0" borderId="10" xfId="0" applyFont="1" applyBorder="1" applyAlignment="1">
      <alignment horizontal="center"/>
    </xf>
    <xf numFmtId="0" fontId="138" fillId="0" borderId="10" xfId="0" applyFont="1" applyFill="1" applyBorder="1"/>
    <xf numFmtId="2" fontId="14" fillId="0" borderId="5" xfId="0" applyNumberFormat="1" applyFont="1" applyFill="1" applyBorder="1"/>
    <xf numFmtId="4" fontId="14" fillId="0" borderId="5" xfId="0" applyNumberFormat="1" applyFont="1" applyFill="1" applyBorder="1"/>
    <xf numFmtId="16" fontId="20" fillId="0" borderId="12" xfId="0" applyNumberFormat="1" applyFont="1" applyFill="1" applyBorder="1" applyAlignment="1">
      <alignment horizontal="center"/>
    </xf>
    <xf numFmtId="14" fontId="19" fillId="0" borderId="0" xfId="10" applyNumberFormat="1" applyFont="1" applyFill="1" applyAlignment="1">
      <alignment horizontal="right"/>
    </xf>
    <xf numFmtId="4" fontId="14" fillId="0" borderId="6" xfId="0" applyNumberFormat="1" applyFont="1" applyFill="1" applyBorder="1"/>
    <xf numFmtId="0" fontId="14" fillId="0" borderId="11" xfId="0" applyFont="1" applyFill="1" applyBorder="1"/>
    <xf numFmtId="16" fontId="20" fillId="51" borderId="7" xfId="10" applyNumberFormat="1" applyFont="1" applyFill="1" applyBorder="1" applyAlignment="1">
      <alignment horizontal="center"/>
    </xf>
    <xf numFmtId="49" fontId="19" fillId="51" borderId="0" xfId="0" applyNumberFormat="1" applyFont="1" applyFill="1" applyBorder="1"/>
    <xf numFmtId="0" fontId="14" fillId="51" borderId="6" xfId="0" applyFont="1" applyFill="1" applyBorder="1" applyAlignment="1">
      <alignment horizontal="center"/>
    </xf>
    <xf numFmtId="0" fontId="14" fillId="51" borderId="7" xfId="0" applyFont="1" applyFill="1" applyBorder="1" applyAlignment="1">
      <alignment horizontal="center"/>
    </xf>
    <xf numFmtId="0" fontId="19" fillId="51" borderId="7" xfId="10" applyFont="1" applyFill="1" applyBorder="1" applyAlignment="1">
      <alignment horizontal="center"/>
    </xf>
    <xf numFmtId="0" fontId="19" fillId="51" borderId="6" xfId="0" applyFont="1" applyFill="1" applyBorder="1" applyAlignment="1">
      <alignment horizontal="center"/>
    </xf>
    <xf numFmtId="0" fontId="19" fillId="51" borderId="7" xfId="0" applyFont="1" applyFill="1" applyBorder="1" applyAlignment="1">
      <alignment horizontal="center"/>
    </xf>
    <xf numFmtId="16" fontId="19" fillId="51" borderId="7" xfId="10" applyNumberFormat="1" applyFont="1" applyFill="1" applyBorder="1" applyAlignment="1">
      <alignment horizontal="center"/>
    </xf>
    <xf numFmtId="16" fontId="164" fillId="0" borderId="6" xfId="10" applyNumberFormat="1" applyFont="1" applyFill="1" applyBorder="1"/>
    <xf numFmtId="14" fontId="163" fillId="0" borderId="0" xfId="10" applyNumberFormat="1" applyFont="1" applyFill="1" applyBorder="1" applyAlignment="1">
      <alignment horizontal="right"/>
    </xf>
    <xf numFmtId="0" fontId="207" fillId="0" borderId="6" xfId="0" applyFont="1" applyFill="1" applyBorder="1" applyAlignment="1">
      <alignment horizontal="center"/>
    </xf>
    <xf numFmtId="0" fontId="207" fillId="0" borderId="7" xfId="0" applyFont="1" applyFill="1" applyBorder="1" applyAlignment="1">
      <alignment horizontal="center"/>
    </xf>
    <xf numFmtId="0" fontId="163" fillId="0" borderId="0" xfId="10" applyFont="1" applyFill="1"/>
    <xf numFmtId="14" fontId="19" fillId="78" borderId="0" xfId="10" applyNumberFormat="1" applyFont="1" applyFill="1" applyBorder="1" applyAlignment="1">
      <alignment horizontal="right"/>
    </xf>
    <xf numFmtId="0" fontId="19" fillId="78" borderId="0" xfId="10" applyFont="1" applyFill="1" applyBorder="1"/>
    <xf numFmtId="0" fontId="19" fillId="78" borderId="7" xfId="10" applyFont="1" applyFill="1" applyBorder="1"/>
    <xf numFmtId="0" fontId="19" fillId="78" borderId="25" xfId="10" applyFont="1" applyFill="1" applyBorder="1" applyAlignment="1">
      <alignment horizontal="center"/>
    </xf>
    <xf numFmtId="0" fontId="19" fillId="78" borderId="0" xfId="10" applyFont="1" applyFill="1" applyAlignment="1">
      <alignment horizontal="center"/>
    </xf>
    <xf numFmtId="3" fontId="14" fillId="78" borderId="11" xfId="0" applyNumberFormat="1" applyFont="1" applyFill="1" applyBorder="1"/>
    <xf numFmtId="2" fontId="14" fillId="78" borderId="5" xfId="0" applyNumberFormat="1" applyFont="1" applyFill="1" applyBorder="1"/>
    <xf numFmtId="4" fontId="14" fillId="78" borderId="5" xfId="0" applyNumberFormat="1" applyFont="1" applyFill="1" applyBorder="1"/>
    <xf numFmtId="16" fontId="20" fillId="78" borderId="12" xfId="0" applyNumberFormat="1" applyFont="1" applyFill="1" applyBorder="1" applyAlignment="1">
      <alignment horizontal="center"/>
    </xf>
    <xf numFmtId="0" fontId="14" fillId="78" borderId="11" xfId="0" applyFont="1" applyFill="1" applyBorder="1" applyAlignment="1">
      <alignment horizontal="center"/>
    </xf>
    <xf numFmtId="0" fontId="14" fillId="78" borderId="12" xfId="0" applyFont="1" applyFill="1" applyBorder="1" applyAlignment="1">
      <alignment horizontal="center"/>
    </xf>
    <xf numFmtId="0" fontId="14" fillId="51" borderId="11" xfId="0" applyFont="1" applyFill="1" applyBorder="1" applyAlignment="1">
      <alignment horizontal="center"/>
    </xf>
    <xf numFmtId="0" fontId="14" fillId="51" borderId="12" xfId="0" applyFont="1" applyFill="1" applyBorder="1" applyAlignment="1">
      <alignment horizontal="center"/>
    </xf>
    <xf numFmtId="0" fontId="19" fillId="51" borderId="12" xfId="10" applyFont="1" applyFill="1" applyBorder="1" applyAlignment="1">
      <alignment horizontal="center"/>
    </xf>
    <xf numFmtId="0" fontId="19" fillId="51" borderId="0" xfId="10" applyFont="1" applyFill="1"/>
    <xf numFmtId="0" fontId="19" fillId="78" borderId="0" xfId="10" applyFont="1" applyFill="1" applyBorder="1" applyAlignment="1">
      <alignment horizontal="center"/>
    </xf>
    <xf numFmtId="3" fontId="14" fillId="78" borderId="6" xfId="0" applyNumberFormat="1" applyFont="1" applyFill="1" applyBorder="1"/>
    <xf numFmtId="2" fontId="19" fillId="78" borderId="0" xfId="0" applyNumberFormat="1" applyFont="1" applyFill="1" applyBorder="1"/>
    <xf numFmtId="4" fontId="19" fillId="78" borderId="0" xfId="0" applyNumberFormat="1" applyFont="1" applyFill="1" applyBorder="1"/>
    <xf numFmtId="16" fontId="20" fillId="78" borderId="7" xfId="0" applyNumberFormat="1" applyFont="1" applyFill="1" applyBorder="1" applyAlignment="1">
      <alignment horizontal="center"/>
    </xf>
    <xf numFmtId="0" fontId="14" fillId="78" borderId="6" xfId="0" applyFont="1" applyFill="1" applyBorder="1" applyAlignment="1">
      <alignment horizontal="center"/>
    </xf>
    <xf numFmtId="0" fontId="14" fillId="78" borderId="7" xfId="0" applyFont="1" applyFill="1" applyBorder="1" applyAlignment="1">
      <alignment horizontal="center"/>
    </xf>
    <xf numFmtId="3" fontId="20" fillId="81" borderId="6" xfId="0" applyNumberFormat="1" applyFont="1" applyFill="1" applyBorder="1" applyAlignment="1">
      <alignment horizontal="center"/>
    </xf>
    <xf numFmtId="0" fontId="9" fillId="40" borderId="5" xfId="0" applyFont="1" applyFill="1" applyBorder="1"/>
    <xf numFmtId="0" fontId="135" fillId="0" borderId="10" xfId="0" applyFont="1" applyFill="1" applyBorder="1" applyAlignment="1">
      <alignment vertical="center" wrapText="1"/>
    </xf>
    <xf numFmtId="0" fontId="219" fillId="0" borderId="4" xfId="0" applyFont="1" applyBorder="1" applyAlignment="1">
      <alignment horizontal="center" vertical="center"/>
    </xf>
    <xf numFmtId="3" fontId="14" fillId="0" borderId="50" xfId="0" applyNumberFormat="1" applyFont="1" applyBorder="1" applyAlignment="1">
      <alignment horizontal="center"/>
    </xf>
    <xf numFmtId="0" fontId="152" fillId="0" borderId="0" xfId="10" applyFont="1" applyFill="1" applyBorder="1" applyAlignment="1">
      <alignment horizontal="left"/>
    </xf>
    <xf numFmtId="0" fontId="12" fillId="78" borderId="0" xfId="0" applyFont="1" applyFill="1" applyAlignment="1">
      <alignment horizontal="center"/>
    </xf>
    <xf numFmtId="0" fontId="18" fillId="4" borderId="172" xfId="0" applyFont="1" applyFill="1" applyBorder="1" applyAlignment="1">
      <alignment horizontal="center" vertical="center"/>
    </xf>
    <xf numFmtId="0" fontId="18" fillId="4" borderId="173" xfId="0" applyFont="1" applyFill="1" applyBorder="1" applyAlignment="1">
      <alignment horizontal="center" vertical="center"/>
    </xf>
    <xf numFmtId="0" fontId="18" fillId="78" borderId="167" xfId="0" applyFont="1" applyFill="1" applyBorder="1" applyAlignment="1">
      <alignment horizontal="center" vertical="center"/>
    </xf>
    <xf numFmtId="0" fontId="18" fillId="78" borderId="168" xfId="0" applyFont="1" applyFill="1" applyBorder="1" applyAlignment="1">
      <alignment horizontal="center" vertical="center"/>
    </xf>
    <xf numFmtId="0" fontId="18" fillId="78" borderId="184" xfId="0" applyFont="1" applyFill="1" applyBorder="1" applyAlignment="1">
      <alignment horizontal="center" vertical="center"/>
    </xf>
    <xf numFmtId="0" fontId="18" fillId="78" borderId="185" xfId="0" applyFont="1" applyFill="1" applyBorder="1" applyAlignment="1">
      <alignment horizontal="center" vertical="center"/>
    </xf>
    <xf numFmtId="0" fontId="15" fillId="78" borderId="0" xfId="1" applyFont="1" applyFill="1" applyAlignment="1">
      <alignment horizontal="left"/>
    </xf>
    <xf numFmtId="0" fontId="15" fillId="78" borderId="0" xfId="1" applyFont="1" applyFill="1" applyAlignment="1">
      <alignment horizontal="center"/>
    </xf>
    <xf numFmtId="0" fontId="165" fillId="78" borderId="0" xfId="0" applyFont="1" applyFill="1" applyAlignment="1">
      <alignment horizontal="left"/>
    </xf>
    <xf numFmtId="0" fontId="165" fillId="78" borderId="0" xfId="1" applyFont="1" applyFill="1" applyAlignment="1">
      <alignment horizontal="left"/>
    </xf>
    <xf numFmtId="0" fontId="39" fillId="78" borderId="0" xfId="1" applyFont="1" applyFill="1" applyAlignment="1">
      <alignment horizontal="center"/>
    </xf>
    <xf numFmtId="0" fontId="92" fillId="3" borderId="182" xfId="0" applyFont="1" applyFill="1" applyBorder="1" applyAlignment="1">
      <alignment horizontal="center" vertical="center" wrapText="1"/>
    </xf>
    <xf numFmtId="0" fontId="92" fillId="3" borderId="183" xfId="0" applyFont="1" applyFill="1" applyBorder="1" applyAlignment="1">
      <alignment horizontal="center" vertical="center" wrapText="1"/>
    </xf>
    <xf numFmtId="0" fontId="126" fillId="3" borderId="0" xfId="1" applyFont="1" applyFill="1" applyBorder="1" applyAlignment="1">
      <alignment horizontal="right" vertical="center" wrapText="1"/>
    </xf>
    <xf numFmtId="0" fontId="97" fillId="3" borderId="182" xfId="1" applyFont="1" applyFill="1" applyBorder="1" applyAlignment="1">
      <alignment horizontal="center" vertical="center" wrapText="1"/>
    </xf>
    <xf numFmtId="0" fontId="97" fillId="3" borderId="183" xfId="1" applyFont="1" applyFill="1" applyBorder="1" applyAlignment="1">
      <alignment horizontal="center" vertical="center" wrapText="1"/>
    </xf>
    <xf numFmtId="0" fontId="41" fillId="78" borderId="0" xfId="1" applyFont="1" applyFill="1" applyAlignment="1">
      <alignment horizontal="center"/>
    </xf>
    <xf numFmtId="0" fontId="62" fillId="41" borderId="74" xfId="1" applyFont="1" applyFill="1" applyBorder="1" applyAlignment="1">
      <alignment horizontal="center"/>
    </xf>
    <xf numFmtId="0" fontId="62" fillId="41" borderId="0" xfId="1" applyFont="1" applyFill="1" applyBorder="1" applyAlignment="1">
      <alignment horizontal="center"/>
    </xf>
    <xf numFmtId="0" fontId="169" fillId="40" borderId="47" xfId="0" applyFont="1" applyFill="1" applyBorder="1" applyAlignment="1">
      <alignment horizontal="center"/>
    </xf>
    <xf numFmtId="0" fontId="170" fillId="40" borderId="48" xfId="0" applyFont="1" applyFill="1" applyBorder="1" applyAlignment="1">
      <alignment horizontal="center"/>
    </xf>
    <xf numFmtId="0" fontId="169" fillId="40" borderId="46" xfId="0" applyFont="1" applyFill="1" applyBorder="1" applyAlignment="1">
      <alignment horizontal="center"/>
    </xf>
    <xf numFmtId="0" fontId="137" fillId="0" borderId="6" xfId="0" applyFont="1" applyFill="1" applyBorder="1" applyAlignment="1">
      <alignment horizontal="left"/>
    </xf>
    <xf numFmtId="0" fontId="137" fillId="0" borderId="0" xfId="0" applyFont="1" applyFill="1" applyBorder="1" applyAlignment="1">
      <alignment horizontal="left"/>
    </xf>
    <xf numFmtId="0" fontId="0" fillId="0" borderId="0" xfId="0" applyBorder="1" applyAlignment="1">
      <alignment horizontal="left"/>
    </xf>
    <xf numFmtId="0" fontId="134" fillId="0" borderId="6" xfId="0" applyFont="1" applyBorder="1" applyAlignment="1"/>
    <xf numFmtId="0" fontId="0" fillId="0" borderId="0" xfId="0" applyBorder="1" applyAlignment="1"/>
    <xf numFmtId="0" fontId="139" fillId="2" borderId="8" xfId="0" applyFont="1" applyFill="1" applyBorder="1" applyAlignment="1">
      <alignment horizontal="left"/>
    </xf>
    <xf numFmtId="0" fontId="139" fillId="2" borderId="10" xfId="0" applyFont="1" applyFill="1" applyBorder="1" applyAlignment="1">
      <alignment horizontal="left"/>
    </xf>
    <xf numFmtId="0" fontId="140" fillId="0" borderId="11" xfId="0" applyFont="1" applyFill="1" applyBorder="1" applyAlignment="1">
      <alignment horizontal="left"/>
    </xf>
    <xf numFmtId="0" fontId="0" fillId="0" borderId="5" xfId="0" applyBorder="1" applyAlignment="1"/>
    <xf numFmtId="0" fontId="104" fillId="41" borderId="74" xfId="1" applyFont="1" applyFill="1" applyBorder="1" applyAlignment="1">
      <alignment horizontal="center"/>
    </xf>
    <xf numFmtId="0" fontId="104" fillId="41" borderId="0" xfId="1" applyFont="1" applyFill="1" applyBorder="1" applyAlignment="1">
      <alignment horizontal="center"/>
    </xf>
    <xf numFmtId="0" fontId="55" fillId="40" borderId="23" xfId="10" applyNumberFormat="1" applyFont="1" applyFill="1" applyBorder="1" applyAlignment="1">
      <alignment horizontal="center" vertical="center"/>
    </xf>
    <xf numFmtId="0" fontId="55" fillId="40" borderId="26" xfId="10" applyNumberFormat="1" applyFont="1" applyFill="1" applyBorder="1" applyAlignment="1">
      <alignment horizontal="center" vertical="center"/>
    </xf>
    <xf numFmtId="0" fontId="134" fillId="46" borderId="10" xfId="0" applyFont="1" applyFill="1" applyBorder="1" applyAlignment="1">
      <alignment horizontal="center"/>
    </xf>
    <xf numFmtId="0" fontId="55" fillId="40" borderId="24" xfId="10" applyNumberFormat="1" applyFont="1" applyFill="1" applyBorder="1" applyAlignment="1">
      <alignment horizontal="center" vertical="center"/>
    </xf>
    <xf numFmtId="0" fontId="134" fillId="46" borderId="8" xfId="0" applyFont="1" applyFill="1" applyBorder="1" applyAlignment="1">
      <alignment horizontal="center"/>
    </xf>
    <xf numFmtId="0" fontId="134" fillId="46" borderId="9" xfId="0" applyFont="1" applyFill="1" applyBorder="1" applyAlignment="1">
      <alignment horizontal="center"/>
    </xf>
    <xf numFmtId="0" fontId="136" fillId="0" borderId="0" xfId="0" applyFont="1" applyBorder="1" applyAlignment="1">
      <alignment horizontal="center"/>
    </xf>
    <xf numFmtId="0" fontId="143" fillId="40" borderId="1" xfId="0" applyFont="1" applyFill="1" applyBorder="1" applyAlignment="1">
      <alignment horizontal="right"/>
    </xf>
    <xf numFmtId="0" fontId="136" fillId="0" borderId="2" xfId="0" applyFont="1" applyBorder="1" applyAlignment="1">
      <alignment horizontal="center"/>
    </xf>
    <xf numFmtId="0" fontId="136" fillId="0" borderId="4" xfId="0" applyFont="1" applyBorder="1" applyAlignment="1">
      <alignment horizontal="center"/>
    </xf>
    <xf numFmtId="0" fontId="136" fillId="0" borderId="49" xfId="0" applyFont="1" applyBorder="1" applyAlignment="1">
      <alignment horizontal="center"/>
    </xf>
    <xf numFmtId="0" fontId="136" fillId="0" borderId="29" xfId="0" applyFont="1" applyBorder="1" applyAlignment="1">
      <alignment horizontal="center"/>
    </xf>
    <xf numFmtId="0" fontId="136" fillId="0" borderId="50" xfId="0" applyFont="1" applyBorder="1" applyAlignment="1">
      <alignment horizontal="center"/>
    </xf>
    <xf numFmtId="0" fontId="136" fillId="0" borderId="47" xfId="0" applyFont="1" applyBorder="1" applyAlignment="1">
      <alignment horizontal="center"/>
    </xf>
    <xf numFmtId="0" fontId="136" fillId="0" borderId="51" xfId="0" applyFont="1" applyBorder="1" applyAlignment="1">
      <alignment horizontal="center"/>
    </xf>
    <xf numFmtId="0" fontId="136" fillId="0" borderId="52" xfId="0" applyFont="1" applyBorder="1" applyAlignment="1">
      <alignment horizontal="center"/>
    </xf>
    <xf numFmtId="0" fontId="136" fillId="0" borderId="53" xfId="0" applyFont="1" applyBorder="1" applyAlignment="1">
      <alignment horizontal="center"/>
    </xf>
    <xf numFmtId="0" fontId="136" fillId="0" borderId="51" xfId="0" applyFont="1" applyBorder="1" applyAlignment="1">
      <alignment horizontal="center" vertical="center"/>
    </xf>
    <xf numFmtId="0" fontId="136" fillId="0" borderId="52" xfId="0" applyFont="1" applyBorder="1" applyAlignment="1">
      <alignment horizontal="center" vertical="center"/>
    </xf>
    <xf numFmtId="0" fontId="136" fillId="0" borderId="53" xfId="0" applyFont="1" applyBorder="1" applyAlignment="1">
      <alignment horizontal="center" vertical="center"/>
    </xf>
    <xf numFmtId="0" fontId="136" fillId="0" borderId="46" xfId="0" applyFont="1" applyBorder="1" applyAlignment="1">
      <alignment horizontal="center" vertical="center"/>
    </xf>
    <xf numFmtId="0" fontId="136" fillId="0" borderId="47" xfId="0" applyFont="1" applyBorder="1" applyAlignment="1">
      <alignment horizontal="center" vertical="center"/>
    </xf>
    <xf numFmtId="0" fontId="136" fillId="0" borderId="48" xfId="0" applyFont="1" applyBorder="1" applyAlignment="1">
      <alignment horizontal="center" vertical="center"/>
    </xf>
    <xf numFmtId="0" fontId="14" fillId="0" borderId="0" xfId="0" applyFont="1" applyBorder="1" applyAlignment="1">
      <alignment horizontal="center"/>
    </xf>
    <xf numFmtId="0" fontId="171" fillId="0" borderId="46" xfId="0" applyFont="1" applyBorder="1" applyAlignment="1">
      <alignment horizontal="left"/>
    </xf>
    <xf numFmtId="0" fontId="171" fillId="0" borderId="47" xfId="0" applyFont="1" applyBorder="1" applyAlignment="1">
      <alignment horizontal="left"/>
    </xf>
    <xf numFmtId="0" fontId="171" fillId="0" borderId="48" xfId="0" applyFont="1" applyBorder="1" applyAlignment="1">
      <alignment horizontal="left"/>
    </xf>
    <xf numFmtId="0" fontId="55" fillId="40" borderId="51" xfId="0" applyFont="1" applyFill="1" applyBorder="1" applyAlignment="1">
      <alignment horizontal="center" vertical="center"/>
    </xf>
    <xf numFmtId="0" fontId="55" fillId="40" borderId="52" xfId="0" applyFont="1" applyFill="1" applyBorder="1" applyAlignment="1">
      <alignment horizontal="center" vertical="center"/>
    </xf>
    <xf numFmtId="0" fontId="55" fillId="40" borderId="53" xfId="0" applyFont="1" applyFill="1" applyBorder="1" applyAlignment="1">
      <alignment horizontal="center" vertical="center"/>
    </xf>
    <xf numFmtId="0" fontId="14" fillId="0" borderId="0" xfId="0" applyFont="1" applyBorder="1" applyAlignment="1">
      <alignment horizontal="center" vertical="center"/>
    </xf>
    <xf numFmtId="0" fontId="176" fillId="0" borderId="0" xfId="0" applyFont="1" applyBorder="1" applyAlignment="1">
      <alignment horizontal="center" vertical="center" wrapText="1"/>
    </xf>
    <xf numFmtId="0" fontId="14" fillId="0" borderId="46" xfId="0" applyFont="1" applyBorder="1" applyAlignment="1">
      <alignment horizontal="left" vertical="center"/>
    </xf>
    <xf numFmtId="0" fontId="14" fillId="0" borderId="47" xfId="0" applyFont="1" applyBorder="1" applyAlignment="1">
      <alignment horizontal="left" vertical="center"/>
    </xf>
    <xf numFmtId="0" fontId="14" fillId="0" borderId="48" xfId="0" applyFont="1" applyBorder="1" applyAlignment="1">
      <alignment horizontal="left" vertical="center"/>
    </xf>
    <xf numFmtId="0" fontId="14" fillId="0" borderId="2" xfId="0" applyFont="1" applyBorder="1" applyAlignment="1">
      <alignment horizontal="left"/>
    </xf>
    <xf numFmtId="0" fontId="14" fillId="0" borderId="0" xfId="0" applyFont="1" applyBorder="1" applyAlignment="1">
      <alignment horizontal="left"/>
    </xf>
    <xf numFmtId="0" fontId="14" fillId="0" borderId="4" xfId="0" applyFont="1" applyBorder="1" applyAlignment="1">
      <alignment horizontal="left"/>
    </xf>
    <xf numFmtId="0" fontId="14" fillId="0" borderId="49" xfId="0" applyFont="1" applyBorder="1" applyAlignment="1">
      <alignment horizontal="left"/>
    </xf>
    <xf numFmtId="0" fontId="14" fillId="0" borderId="29" xfId="0" applyFont="1" applyBorder="1" applyAlignment="1">
      <alignment horizontal="left"/>
    </xf>
    <xf numFmtId="0" fontId="14" fillId="0" borderId="50" xfId="0" applyFont="1" applyBorder="1" applyAlignment="1">
      <alignment horizontal="left"/>
    </xf>
    <xf numFmtId="0" fontId="199" fillId="0" borderId="46" xfId="0" applyFont="1" applyBorder="1" applyAlignment="1">
      <alignment horizontal="center" vertical="center"/>
    </xf>
    <xf numFmtId="0" fontId="199" fillId="0" borderId="47" xfId="0" applyFont="1" applyBorder="1" applyAlignment="1">
      <alignment horizontal="center" vertical="center"/>
    </xf>
    <xf numFmtId="0" fontId="199" fillId="0" borderId="48" xfId="0" applyFont="1" applyBorder="1" applyAlignment="1">
      <alignment horizontal="center" vertical="center"/>
    </xf>
    <xf numFmtId="0" fontId="0" fillId="0" borderId="2"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49" xfId="0" applyBorder="1" applyAlignment="1">
      <alignment horizontal="center"/>
    </xf>
    <xf numFmtId="0" fontId="0" fillId="0" borderId="29" xfId="0" applyBorder="1" applyAlignment="1">
      <alignment horizontal="center"/>
    </xf>
    <xf numFmtId="0" fontId="0" fillId="0" borderId="50" xfId="0" applyBorder="1" applyAlignment="1">
      <alignment horizontal="center"/>
    </xf>
    <xf numFmtId="0" fontId="0" fillId="0" borderId="47" xfId="0" applyBorder="1" applyAlignment="1">
      <alignment horizontal="center"/>
    </xf>
    <xf numFmtId="0" fontId="104" fillId="41" borderId="43" xfId="1" applyFont="1" applyFill="1" applyBorder="1" applyAlignment="1">
      <alignment horizontal="center"/>
    </xf>
    <xf numFmtId="0" fontId="104" fillId="41" borderId="44" xfId="1" applyFont="1" applyFill="1" applyBorder="1" applyAlignment="1">
      <alignment horizontal="center"/>
    </xf>
    <xf numFmtId="0" fontId="104" fillId="41" borderId="45" xfId="1" applyFont="1" applyFill="1" applyBorder="1" applyAlignment="1">
      <alignment horizontal="center"/>
    </xf>
    <xf numFmtId="0" fontId="54" fillId="3" borderId="0" xfId="10" applyFont="1" applyFill="1" applyAlignment="1">
      <alignment horizontal="left"/>
    </xf>
    <xf numFmtId="0" fontId="61" fillId="3" borderId="0" xfId="10" applyFont="1" applyFill="1" applyAlignment="1">
      <alignment horizontal="left"/>
    </xf>
    <xf numFmtId="0" fontId="62" fillId="41" borderId="43" xfId="1" applyFont="1" applyFill="1" applyBorder="1" applyAlignment="1">
      <alignment horizontal="center"/>
    </xf>
    <xf numFmtId="0" fontId="62" fillId="41" borderId="44" xfId="1" applyFont="1" applyFill="1" applyBorder="1" applyAlignment="1">
      <alignment horizontal="center"/>
    </xf>
    <xf numFmtId="0" fontId="62" fillId="41" borderId="45" xfId="1" applyFont="1" applyFill="1" applyBorder="1" applyAlignment="1">
      <alignment horizontal="center"/>
    </xf>
    <xf numFmtId="0" fontId="19" fillId="2" borderId="41" xfId="78" applyFont="1" applyFill="1" applyBorder="1" applyAlignment="1">
      <alignment horizontal="center" vertical="center" wrapText="1"/>
    </xf>
    <xf numFmtId="0" fontId="68" fillId="41" borderId="43" xfId="1" applyFont="1" applyFill="1" applyBorder="1" applyAlignment="1">
      <alignment horizontal="center"/>
    </xf>
    <xf numFmtId="0" fontId="68" fillId="41" borderId="44" xfId="1" applyFont="1" applyFill="1" applyBorder="1" applyAlignment="1">
      <alignment horizontal="center"/>
    </xf>
    <xf numFmtId="0" fontId="42" fillId="3" borderId="0" xfId="10" applyFont="1" applyFill="1" applyAlignment="1">
      <alignment horizontal="left" vertical="center" wrapText="1"/>
    </xf>
    <xf numFmtId="0" fontId="7" fillId="3" borderId="6" xfId="10" applyFill="1" applyBorder="1" applyAlignment="1">
      <alignment horizontal="left" vertical="center" wrapText="1"/>
    </xf>
    <xf numFmtId="0" fontId="7" fillId="3" borderId="0" xfId="10" applyFill="1" applyBorder="1" applyAlignment="1">
      <alignment horizontal="left" vertical="center" wrapText="1"/>
    </xf>
    <xf numFmtId="0" fontId="7" fillId="3" borderId="7" xfId="10" applyFill="1" applyBorder="1" applyAlignment="1">
      <alignment horizontal="left" vertical="center" wrapText="1"/>
    </xf>
    <xf numFmtId="0" fontId="42" fillId="3" borderId="6" xfId="10" applyFont="1" applyFill="1" applyBorder="1" applyAlignment="1">
      <alignment horizontal="left" vertical="center" wrapText="1"/>
    </xf>
    <xf numFmtId="0" fontId="42" fillId="3" borderId="0" xfId="10" applyFont="1" applyFill="1" applyBorder="1" applyAlignment="1">
      <alignment horizontal="left" vertical="center" wrapText="1"/>
    </xf>
    <xf numFmtId="0" fontId="42" fillId="3" borderId="7" xfId="10" applyFont="1" applyFill="1" applyBorder="1" applyAlignment="1">
      <alignment horizontal="left" vertical="center" wrapText="1"/>
    </xf>
    <xf numFmtId="0" fontId="7" fillId="3" borderId="6" xfId="10" applyFill="1" applyBorder="1" applyAlignment="1">
      <alignment horizontal="center" vertical="center" wrapText="1"/>
    </xf>
    <xf numFmtId="0" fontId="7" fillId="3" borderId="0" xfId="10" applyFill="1" applyBorder="1" applyAlignment="1">
      <alignment horizontal="center" vertical="center" wrapText="1"/>
    </xf>
    <xf numFmtId="0" fontId="7" fillId="3" borderId="7" xfId="10" applyFill="1" applyBorder="1" applyAlignment="1">
      <alignment horizontal="center" vertical="center" wrapText="1"/>
    </xf>
    <xf numFmtId="0" fontId="7" fillId="3" borderId="11" xfId="10" applyFill="1" applyBorder="1" applyAlignment="1">
      <alignment horizontal="left" vertical="center" wrapText="1"/>
    </xf>
    <xf numFmtId="0" fontId="7" fillId="3" borderId="5" xfId="10" applyFill="1" applyBorder="1" applyAlignment="1">
      <alignment horizontal="left" vertical="center" wrapText="1"/>
    </xf>
    <xf numFmtId="49" fontId="19" fillId="3" borderId="51" xfId="10" applyNumberFormat="1" applyFont="1" applyFill="1" applyBorder="1" applyAlignment="1">
      <alignment horizontal="center"/>
    </xf>
    <xf numFmtId="49" fontId="19" fillId="3" borderId="52" xfId="10" applyNumberFormat="1" applyFont="1" applyFill="1" applyBorder="1" applyAlignment="1">
      <alignment horizontal="center"/>
    </xf>
    <xf numFmtId="0" fontId="36" fillId="40" borderId="51" xfId="10" applyFont="1" applyFill="1" applyBorder="1" applyAlignment="1">
      <alignment horizontal="center" vertical="center"/>
    </xf>
    <xf numFmtId="0" fontId="36" fillId="40" borderId="52" xfId="10" applyFont="1" applyFill="1" applyBorder="1" applyAlignment="1">
      <alignment horizontal="center" vertical="center"/>
    </xf>
    <xf numFmtId="0" fontId="36" fillId="40" borderId="53" xfId="10" applyFont="1" applyFill="1" applyBorder="1" applyAlignment="1">
      <alignment horizontal="center" vertical="center"/>
    </xf>
    <xf numFmtId="0" fontId="36" fillId="40" borderId="51" xfId="10" applyFont="1" applyFill="1" applyBorder="1" applyAlignment="1">
      <alignment vertical="center"/>
    </xf>
    <xf numFmtId="0" fontId="36" fillId="40" borderId="53" xfId="10" applyFont="1" applyFill="1" applyBorder="1" applyAlignment="1">
      <alignment vertical="center"/>
    </xf>
    <xf numFmtId="49" fontId="20" fillId="2" borderId="51" xfId="10" applyNumberFormat="1" applyFont="1" applyFill="1" applyBorder="1" applyAlignment="1">
      <alignment horizontal="center"/>
    </xf>
    <xf numFmtId="49" fontId="20" fillId="2" borderId="52" xfId="10" applyNumberFormat="1" applyFont="1" applyFill="1" applyBorder="1" applyAlignment="1">
      <alignment horizontal="center"/>
    </xf>
    <xf numFmtId="0" fontId="62" fillId="41" borderId="68" xfId="1" applyFont="1" applyFill="1" applyBorder="1" applyAlignment="1">
      <alignment horizontal="center"/>
    </xf>
    <xf numFmtId="0" fontId="62" fillId="41" borderId="69" xfId="1" applyFont="1" applyFill="1" applyBorder="1" applyAlignment="1">
      <alignment horizontal="center"/>
    </xf>
    <xf numFmtId="0" fontId="62" fillId="41" borderId="70" xfId="1" applyFont="1" applyFill="1" applyBorder="1" applyAlignment="1">
      <alignment horizontal="center"/>
    </xf>
    <xf numFmtId="0" fontId="7" fillId="3" borderId="0" xfId="10" applyFill="1" applyAlignment="1">
      <alignment horizontal="center"/>
    </xf>
    <xf numFmtId="0" fontId="7" fillId="2" borderId="0" xfId="10" applyFill="1" applyAlignment="1">
      <alignment horizontal="center"/>
    </xf>
    <xf numFmtId="3" fontId="42" fillId="0" borderId="7" xfId="10" applyNumberFormat="1" applyFont="1" applyFill="1" applyBorder="1" applyAlignment="1">
      <alignment horizontal="center" wrapText="1"/>
    </xf>
    <xf numFmtId="0" fontId="84" fillId="59" borderId="0" xfId="10" applyFont="1" applyFill="1" applyAlignment="1">
      <alignment horizontal="center"/>
    </xf>
    <xf numFmtId="4" fontId="42" fillId="50" borderId="25" xfId="10" applyNumberFormat="1" applyFont="1" applyFill="1" applyBorder="1" applyAlignment="1">
      <alignment horizontal="center" wrapText="1"/>
    </xf>
    <xf numFmtId="4" fontId="42" fillId="50" borderId="60" xfId="10" applyNumberFormat="1" applyFont="1" applyFill="1" applyBorder="1" applyAlignment="1">
      <alignment horizontal="center" wrapText="1"/>
    </xf>
    <xf numFmtId="0" fontId="84" fillId="47" borderId="6" xfId="10" applyFont="1" applyFill="1" applyBorder="1" applyAlignment="1">
      <alignment horizontal="center"/>
    </xf>
    <xf numFmtId="0" fontId="84" fillId="47" borderId="0" xfId="10" applyFont="1" applyFill="1" applyBorder="1" applyAlignment="1">
      <alignment horizontal="center"/>
    </xf>
    <xf numFmtId="0" fontId="84" fillId="47" borderId="7" xfId="10" applyFont="1" applyFill="1" applyBorder="1" applyAlignment="1">
      <alignment horizontal="center"/>
    </xf>
    <xf numFmtId="4" fontId="84" fillId="50" borderId="6" xfId="10" applyNumberFormat="1" applyFont="1" applyFill="1" applyBorder="1" applyAlignment="1" applyProtection="1">
      <alignment horizontal="center" wrapText="1"/>
      <protection locked="0"/>
    </xf>
    <xf numFmtId="4" fontId="84" fillId="50" borderId="8" xfId="10" applyNumberFormat="1" applyFont="1" applyFill="1" applyBorder="1" applyAlignment="1" applyProtection="1">
      <alignment horizontal="center" wrapText="1"/>
      <protection locked="0"/>
    </xf>
    <xf numFmtId="4" fontId="84" fillId="0" borderId="7" xfId="10" applyNumberFormat="1" applyFont="1" applyFill="1" applyBorder="1" applyAlignment="1">
      <alignment horizontal="center" wrapText="1"/>
    </xf>
    <xf numFmtId="4" fontId="84" fillId="0" borderId="9" xfId="10" applyNumberFormat="1" applyFont="1" applyFill="1" applyBorder="1" applyAlignment="1">
      <alignment horizontal="center" wrapText="1"/>
    </xf>
    <xf numFmtId="0" fontId="62" fillId="0" borderId="68" xfId="1" applyFont="1" applyFill="1" applyBorder="1" applyAlignment="1">
      <alignment horizontal="center"/>
    </xf>
    <xf numFmtId="0" fontId="62" fillId="0" borderId="69" xfId="1" applyFont="1" applyFill="1" applyBorder="1" applyAlignment="1">
      <alignment horizontal="center"/>
    </xf>
    <xf numFmtId="0" fontId="62" fillId="0" borderId="70" xfId="1" applyFont="1" applyFill="1" applyBorder="1" applyAlignment="1">
      <alignment horizontal="center"/>
    </xf>
    <xf numFmtId="1" fontId="42" fillId="0" borderId="7" xfId="10" applyNumberFormat="1" applyFont="1" applyFill="1" applyBorder="1" applyAlignment="1">
      <alignment horizontal="center" wrapText="1"/>
    </xf>
    <xf numFmtId="1" fontId="42" fillId="0" borderId="9" xfId="10" applyNumberFormat="1" applyFont="1" applyFill="1" applyBorder="1" applyAlignment="1">
      <alignment horizontal="center" wrapText="1"/>
    </xf>
    <xf numFmtId="0" fontId="84" fillId="58" borderId="6" xfId="10" applyFont="1" applyFill="1" applyBorder="1" applyAlignment="1">
      <alignment horizontal="center"/>
    </xf>
    <xf numFmtId="0" fontId="84" fillId="58" borderId="0" xfId="10" applyFont="1" applyFill="1" applyBorder="1" applyAlignment="1">
      <alignment horizontal="center"/>
    </xf>
    <xf numFmtId="0" fontId="84" fillId="58" borderId="7" xfId="10" applyFont="1" applyFill="1" applyBorder="1" applyAlignment="1">
      <alignment horizontal="center"/>
    </xf>
    <xf numFmtId="0" fontId="84" fillId="58" borderId="0" xfId="10" applyFont="1" applyFill="1" applyAlignment="1">
      <alignment horizontal="center"/>
    </xf>
    <xf numFmtId="0" fontId="62" fillId="41" borderId="71" xfId="1" applyFont="1" applyFill="1" applyBorder="1" applyAlignment="1">
      <alignment horizontal="center"/>
    </xf>
    <xf numFmtId="0" fontId="68" fillId="41" borderId="71" xfId="1" applyFont="1" applyFill="1" applyBorder="1" applyAlignment="1">
      <alignment horizontal="center"/>
    </xf>
    <xf numFmtId="0" fontId="68" fillId="41" borderId="0" xfId="1" applyFont="1" applyFill="1" applyBorder="1" applyAlignment="1">
      <alignment horizontal="center"/>
    </xf>
    <xf numFmtId="3" fontId="36" fillId="40" borderId="6" xfId="10" applyNumberFormat="1" applyFont="1" applyFill="1" applyBorder="1" applyAlignment="1">
      <alignment horizontal="center"/>
    </xf>
    <xf numFmtId="3" fontId="36" fillId="40" borderId="0" xfId="10" applyNumberFormat="1" applyFont="1" applyFill="1" applyBorder="1" applyAlignment="1">
      <alignment horizontal="center"/>
    </xf>
    <xf numFmtId="3" fontId="36" fillId="40" borderId="11" xfId="10" applyNumberFormat="1" applyFont="1" applyFill="1" applyBorder="1" applyAlignment="1">
      <alignment horizontal="center"/>
    </xf>
    <xf numFmtId="3" fontId="36" fillId="40" borderId="12" xfId="10" applyNumberFormat="1" applyFont="1" applyFill="1" applyBorder="1" applyAlignment="1">
      <alignment horizontal="center"/>
    </xf>
    <xf numFmtId="0" fontId="55" fillId="40" borderId="51" xfId="10" applyFont="1" applyFill="1" applyBorder="1" applyAlignment="1">
      <alignment horizontal="center" vertical="center"/>
    </xf>
    <xf numFmtId="0" fontId="55" fillId="40" borderId="53" xfId="10" applyFont="1" applyFill="1" applyBorder="1" applyAlignment="1">
      <alignment horizontal="center" vertical="center"/>
    </xf>
    <xf numFmtId="0" fontId="19" fillId="0" borderId="0" xfId="78" applyFont="1" applyAlignment="1">
      <alignment horizontal="left"/>
    </xf>
    <xf numFmtId="0" fontId="55" fillId="40" borderId="47" xfId="0" applyFont="1" applyFill="1" applyBorder="1" applyAlignment="1">
      <alignment horizontal="center"/>
    </xf>
    <xf numFmtId="0" fontId="55" fillId="40" borderId="150" xfId="0" applyFont="1" applyFill="1" applyBorder="1" applyAlignment="1">
      <alignment horizontal="center"/>
    </xf>
    <xf numFmtId="0" fontId="55" fillId="40" borderId="48" xfId="0" applyFont="1" applyFill="1" applyBorder="1" applyAlignment="1">
      <alignment horizontal="center"/>
    </xf>
    <xf numFmtId="0" fontId="36" fillId="40" borderId="23" xfId="56" applyFont="1" applyFill="1" applyBorder="1" applyAlignment="1">
      <alignment horizontal="center"/>
    </xf>
    <xf numFmtId="0" fontId="36" fillId="40" borderId="24" xfId="56" applyFont="1" applyFill="1" applyBorder="1" applyAlignment="1">
      <alignment horizontal="center"/>
    </xf>
    <xf numFmtId="177" fontId="36" fillId="40" borderId="23" xfId="56" applyNumberFormat="1" applyFont="1" applyFill="1" applyBorder="1" applyAlignment="1">
      <alignment horizontal="center"/>
    </xf>
    <xf numFmtId="177" fontId="70" fillId="40" borderId="24" xfId="10" applyNumberFormat="1" applyFont="1" applyFill="1" applyBorder="1" applyAlignment="1"/>
    <xf numFmtId="177" fontId="70" fillId="40" borderId="26" xfId="10" applyNumberFormat="1" applyFont="1" applyFill="1" applyBorder="1" applyAlignment="1"/>
    <xf numFmtId="0" fontId="8" fillId="0" borderId="23" xfId="56" applyFont="1" applyBorder="1" applyAlignment="1">
      <alignment horizontal="center"/>
    </xf>
    <xf numFmtId="0" fontId="8" fillId="0" borderId="24" xfId="56" applyFont="1" applyBorder="1" applyAlignment="1">
      <alignment horizontal="center"/>
    </xf>
    <xf numFmtId="177" fontId="8" fillId="0" borderId="23" xfId="56" applyNumberFormat="1" applyFont="1" applyBorder="1" applyAlignment="1">
      <alignment horizontal="center"/>
    </xf>
    <xf numFmtId="177" fontId="7" fillId="0" borderId="24" xfId="10" applyNumberFormat="1" applyBorder="1" applyAlignment="1"/>
    <xf numFmtId="177" fontId="7" fillId="0" borderId="26" xfId="10" applyNumberFormat="1" applyBorder="1" applyAlignment="1"/>
    <xf numFmtId="0" fontId="180" fillId="40" borderId="52" xfId="10" applyFont="1" applyFill="1" applyBorder="1" applyAlignment="1">
      <alignment horizontal="center"/>
    </xf>
    <xf numFmtId="49" fontId="55" fillId="40" borderId="46" xfId="10" applyNumberFormat="1" applyFont="1" applyFill="1" applyBorder="1" applyAlignment="1">
      <alignment horizontal="center"/>
    </xf>
    <xf numFmtId="49" fontId="55" fillId="40" borderId="48" xfId="10" applyNumberFormat="1" applyFont="1" applyFill="1" applyBorder="1" applyAlignment="1">
      <alignment horizontal="center"/>
    </xf>
    <xf numFmtId="0" fontId="19" fillId="0" borderId="0" xfId="10" applyFont="1" applyFill="1" applyBorder="1" applyAlignment="1" applyProtection="1">
      <alignment horizontal="left" wrapText="1"/>
    </xf>
    <xf numFmtId="0" fontId="19" fillId="0" borderId="0" xfId="10" applyFont="1" applyFill="1" applyBorder="1" applyAlignment="1" applyProtection="1">
      <alignment horizontal="left"/>
    </xf>
    <xf numFmtId="3" fontId="19" fillId="0" borderId="2" xfId="10" applyNumberFormat="1" applyFont="1" applyFill="1" applyBorder="1" applyAlignment="1" applyProtection="1">
      <alignment horizontal="left" vertical="center" wrapText="1"/>
    </xf>
    <xf numFmtId="3" fontId="19" fillId="0" borderId="0" xfId="10" applyNumberFormat="1" applyFont="1" applyFill="1" applyBorder="1" applyAlignment="1" applyProtection="1">
      <alignment horizontal="left" vertical="center" wrapText="1"/>
    </xf>
    <xf numFmtId="3" fontId="19" fillId="0" borderId="7" xfId="10" applyNumberFormat="1" applyFont="1" applyFill="1" applyBorder="1" applyAlignment="1" applyProtection="1">
      <alignment horizontal="left" vertical="center" wrapText="1"/>
    </xf>
    <xf numFmtId="3" fontId="19" fillId="0" borderId="2" xfId="10" applyNumberFormat="1" applyFont="1" applyFill="1" applyBorder="1" applyAlignment="1" applyProtection="1">
      <alignment horizontal="center" vertical="center" wrapText="1"/>
    </xf>
    <xf numFmtId="3" fontId="19" fillId="0" borderId="0" xfId="10" applyNumberFormat="1" applyFont="1" applyFill="1" applyBorder="1" applyAlignment="1" applyProtection="1">
      <alignment horizontal="center" vertical="center" wrapText="1"/>
    </xf>
    <xf numFmtId="3" fontId="19" fillId="0" borderId="7" xfId="10" applyNumberFormat="1" applyFont="1" applyFill="1" applyBorder="1" applyAlignment="1" applyProtection="1">
      <alignment horizontal="center" vertical="center" wrapText="1"/>
    </xf>
    <xf numFmtId="3" fontId="19" fillId="0" borderId="80" xfId="10" applyNumberFormat="1" applyFont="1" applyFill="1" applyBorder="1" applyAlignment="1" applyProtection="1">
      <alignment horizontal="left" vertical="center" wrapText="1"/>
    </xf>
    <xf numFmtId="3" fontId="19" fillId="0" borderId="5" xfId="10" applyNumberFormat="1" applyFont="1" applyFill="1" applyBorder="1" applyAlignment="1" applyProtection="1">
      <alignment horizontal="left" vertical="center" wrapText="1"/>
    </xf>
    <xf numFmtId="3" fontId="19" fillId="0" borderId="121" xfId="10" applyNumberFormat="1" applyFont="1" applyFill="1" applyBorder="1" applyAlignment="1" applyProtection="1">
      <alignment horizontal="left" vertical="center" wrapText="1"/>
    </xf>
    <xf numFmtId="3" fontId="19" fillId="0" borderId="4" xfId="10" applyNumberFormat="1" applyFont="1" applyFill="1" applyBorder="1" applyAlignment="1" applyProtection="1">
      <alignment horizontal="left" vertical="center" wrapText="1"/>
    </xf>
    <xf numFmtId="3" fontId="19" fillId="0" borderId="49" xfId="10" quotePrefix="1" applyNumberFormat="1" applyFont="1" applyFill="1" applyBorder="1" applyAlignment="1" applyProtection="1">
      <alignment horizontal="left" vertical="center" wrapText="1"/>
    </xf>
    <xf numFmtId="3" fontId="19" fillId="0" borderId="29" xfId="10" quotePrefix="1" applyNumberFormat="1" applyFont="1" applyFill="1" applyBorder="1" applyAlignment="1" applyProtection="1">
      <alignment horizontal="left" vertical="center" wrapText="1"/>
    </xf>
    <xf numFmtId="3" fontId="19" fillId="0" borderId="50" xfId="10" quotePrefix="1" applyNumberFormat="1" applyFont="1" applyFill="1" applyBorder="1" applyAlignment="1" applyProtection="1">
      <alignment horizontal="left" vertical="center" wrapText="1"/>
    </xf>
    <xf numFmtId="0" fontId="52" fillId="40" borderId="11" xfId="10" applyFont="1" applyFill="1" applyBorder="1" applyAlignment="1">
      <alignment horizontal="center"/>
    </xf>
    <xf numFmtId="0" fontId="52" fillId="40" borderId="12" xfId="10" applyFont="1" applyFill="1" applyBorder="1" applyAlignment="1">
      <alignment horizontal="center"/>
    </xf>
    <xf numFmtId="0" fontId="19" fillId="0" borderId="0" xfId="10" applyFont="1" applyFill="1" applyBorder="1" applyAlignment="1">
      <alignment horizontal="center" vertical="center"/>
    </xf>
    <xf numFmtId="0" fontId="19" fillId="0" borderId="7" xfId="10" applyFont="1" applyFill="1" applyBorder="1" applyAlignment="1">
      <alignment horizontal="center" vertical="center"/>
    </xf>
    <xf numFmtId="0" fontId="91" fillId="40" borderId="23" xfId="10" applyFont="1" applyFill="1" applyBorder="1" applyAlignment="1">
      <alignment horizontal="center"/>
    </xf>
    <xf numFmtId="0" fontId="70" fillId="40" borderId="24" xfId="10" applyFont="1" applyFill="1" applyBorder="1" applyAlignment="1">
      <alignment horizontal="center"/>
    </xf>
    <xf numFmtId="0" fontId="70" fillId="40" borderId="26" xfId="10" applyFont="1" applyFill="1" applyBorder="1" applyAlignment="1">
      <alignment horizontal="center"/>
    </xf>
    <xf numFmtId="0" fontId="62" fillId="41" borderId="143" xfId="1" applyFont="1" applyFill="1" applyBorder="1" applyAlignment="1">
      <alignment horizontal="center"/>
    </xf>
    <xf numFmtId="0" fontId="62" fillId="41" borderId="144" xfId="1" applyFont="1" applyFill="1" applyBorder="1" applyAlignment="1">
      <alignment horizontal="center"/>
    </xf>
    <xf numFmtId="0" fontId="62" fillId="41" borderId="145" xfId="1" applyFont="1" applyFill="1" applyBorder="1" applyAlignment="1">
      <alignment horizontal="center"/>
    </xf>
    <xf numFmtId="1" fontId="162" fillId="40" borderId="24" xfId="10" applyNumberFormat="1" applyFont="1" applyFill="1" applyBorder="1" applyAlignment="1">
      <alignment horizontal="center" vertical="center"/>
    </xf>
    <xf numFmtId="0" fontId="51" fillId="40" borderId="0" xfId="60" applyFont="1" applyFill="1" applyBorder="1" applyAlignment="1">
      <alignment horizontal="center" vertical="center"/>
    </xf>
    <xf numFmtId="0" fontId="51" fillId="40" borderId="0" xfId="60" applyFont="1" applyFill="1" applyBorder="1" applyAlignment="1">
      <alignment horizontal="center" vertical="center" wrapText="1"/>
    </xf>
    <xf numFmtId="0" fontId="62" fillId="75" borderId="0" xfId="1" applyFont="1" applyFill="1" applyAlignment="1">
      <alignment horizontal="center"/>
    </xf>
    <xf numFmtId="0" fontId="20" fillId="42" borderId="84" xfId="10" applyFont="1" applyFill="1" applyBorder="1" applyAlignment="1"/>
    <xf numFmtId="0" fontId="20" fillId="42" borderId="89" xfId="10" applyFont="1" applyFill="1" applyBorder="1" applyAlignment="1"/>
    <xf numFmtId="0" fontId="94" fillId="42" borderId="82" xfId="10" applyFont="1" applyFill="1" applyBorder="1" applyAlignment="1">
      <alignment horizontal="center" wrapText="1"/>
    </xf>
    <xf numFmtId="0" fontId="94" fillId="42" borderId="29" xfId="10" applyFont="1" applyFill="1" applyBorder="1" applyAlignment="1">
      <alignment horizontal="center" wrapText="1"/>
    </xf>
    <xf numFmtId="0" fontId="94" fillId="42" borderId="83" xfId="10" applyFont="1" applyFill="1" applyBorder="1" applyAlignment="1">
      <alignment horizontal="center" wrapText="1"/>
    </xf>
    <xf numFmtId="0" fontId="36" fillId="40" borderId="84" xfId="10" applyFont="1" applyFill="1" applyBorder="1" applyAlignment="1">
      <alignment wrapText="1"/>
    </xf>
    <xf numFmtId="0" fontId="9" fillId="40" borderId="89" xfId="10" applyFont="1" applyFill="1" applyBorder="1" applyAlignment="1">
      <alignment wrapText="1"/>
    </xf>
    <xf numFmtId="0" fontId="20" fillId="42" borderId="85" xfId="10" applyFont="1" applyFill="1" applyBorder="1" applyAlignment="1">
      <alignment wrapText="1"/>
    </xf>
    <xf numFmtId="0" fontId="20" fillId="42" borderId="62" xfId="10" applyFont="1" applyFill="1" applyBorder="1" applyAlignment="1">
      <alignment wrapText="1"/>
    </xf>
    <xf numFmtId="0" fontId="20" fillId="42" borderId="86" xfId="10" applyFont="1" applyFill="1" applyBorder="1" applyAlignment="1">
      <alignment wrapText="1"/>
    </xf>
    <xf numFmtId="0" fontId="20" fillId="42" borderId="90" xfId="10" applyFont="1" applyFill="1" applyBorder="1" applyAlignment="1">
      <alignment wrapText="1"/>
    </xf>
    <xf numFmtId="0" fontId="20" fillId="42" borderId="55" xfId="10" applyFont="1" applyFill="1" applyBorder="1" applyAlignment="1">
      <alignment wrapText="1"/>
    </xf>
    <xf numFmtId="0" fontId="20" fillId="42" borderId="3" xfId="10" applyFont="1" applyFill="1" applyBorder="1" applyAlignment="1">
      <alignment wrapText="1"/>
    </xf>
    <xf numFmtId="0" fontId="20" fillId="42" borderId="48" xfId="10" applyFont="1" applyFill="1" applyBorder="1" applyAlignment="1">
      <alignment wrapText="1"/>
    </xf>
    <xf numFmtId="0" fontId="20" fillId="42" borderId="4" xfId="10" applyFont="1" applyFill="1" applyBorder="1" applyAlignment="1">
      <alignment wrapText="1"/>
    </xf>
    <xf numFmtId="0" fontId="94" fillId="42" borderId="62" xfId="10" applyFont="1" applyFill="1" applyBorder="1" applyAlignment="1">
      <alignment horizontal="center"/>
    </xf>
    <xf numFmtId="0" fontId="94" fillId="42" borderId="0" xfId="10" applyFont="1" applyFill="1" applyBorder="1" applyAlignment="1">
      <alignment horizontal="center"/>
    </xf>
    <xf numFmtId="0" fontId="94" fillId="42" borderId="81" xfId="10" applyFont="1" applyFill="1" applyBorder="1" applyAlignment="1">
      <alignment horizontal="center"/>
    </xf>
    <xf numFmtId="0" fontId="13" fillId="40" borderId="62" xfId="10" applyFont="1" applyFill="1" applyBorder="1" applyAlignment="1">
      <alignment horizontal="center"/>
    </xf>
    <xf numFmtId="0" fontId="13" fillId="40" borderId="81" xfId="10" applyFont="1" applyFill="1" applyBorder="1" applyAlignment="1">
      <alignment horizontal="center"/>
    </xf>
    <xf numFmtId="0" fontId="104" fillId="40" borderId="62" xfId="10" applyFont="1" applyFill="1" applyBorder="1" applyAlignment="1">
      <alignment horizontal="center"/>
    </xf>
    <xf numFmtId="0" fontId="104" fillId="40" borderId="81" xfId="10" applyFont="1" applyFill="1" applyBorder="1" applyAlignment="1">
      <alignment horizontal="center"/>
    </xf>
    <xf numFmtId="0" fontId="13" fillId="40" borderId="0" xfId="10" applyFont="1" applyFill="1" applyAlignment="1">
      <alignment horizontal="center"/>
    </xf>
    <xf numFmtId="0" fontId="104" fillId="40" borderId="0" xfId="10" applyFont="1" applyFill="1" applyAlignment="1">
      <alignment horizontal="center"/>
    </xf>
    <xf numFmtId="0" fontId="13" fillId="40" borderId="82" xfId="10" applyFont="1" applyFill="1" applyBorder="1" applyAlignment="1">
      <alignment horizontal="center"/>
    </xf>
    <xf numFmtId="0" fontId="13" fillId="40" borderId="29" xfId="10" applyFont="1" applyFill="1" applyBorder="1" applyAlignment="1">
      <alignment horizontal="center"/>
    </xf>
    <xf numFmtId="0" fontId="104" fillId="40" borderId="83" xfId="10" applyFont="1" applyFill="1" applyBorder="1" applyAlignment="1">
      <alignment horizontal="center"/>
    </xf>
    <xf numFmtId="0" fontId="94" fillId="42" borderId="82" xfId="10" applyFont="1" applyFill="1" applyBorder="1" applyAlignment="1">
      <alignment horizontal="center"/>
    </xf>
    <xf numFmtId="0" fontId="94" fillId="42" borderId="29" xfId="10" applyFont="1" applyFill="1" applyBorder="1" applyAlignment="1">
      <alignment horizontal="center"/>
    </xf>
    <xf numFmtId="0" fontId="94" fillId="42" borderId="83" xfId="10" applyFont="1" applyFill="1" applyBorder="1" applyAlignment="1">
      <alignment horizontal="center"/>
    </xf>
    <xf numFmtId="0" fontId="36" fillId="40" borderId="46" xfId="10" applyFont="1" applyFill="1" applyBorder="1" applyAlignment="1">
      <alignment horizontal="center"/>
    </xf>
    <xf numFmtId="0" fontId="36" fillId="40" borderId="48" xfId="10" applyFont="1" applyFill="1" applyBorder="1" applyAlignment="1">
      <alignment horizontal="center"/>
    </xf>
    <xf numFmtId="0" fontId="36" fillId="40" borderId="55" xfId="10" applyFont="1" applyFill="1" applyBorder="1" applyAlignment="1">
      <alignment horizontal="center" wrapText="1"/>
    </xf>
    <xf numFmtId="0" fontId="52" fillId="40" borderId="3" xfId="10" applyFont="1" applyFill="1" applyBorder="1" applyAlignment="1">
      <alignment wrapText="1"/>
    </xf>
    <xf numFmtId="0" fontId="36" fillId="40" borderId="46" xfId="10" applyFont="1" applyFill="1" applyBorder="1" applyAlignment="1">
      <alignment horizontal="center" wrapText="1"/>
    </xf>
    <xf numFmtId="0" fontId="52" fillId="40" borderId="2" xfId="10" applyFont="1" applyFill="1" applyBorder="1" applyAlignment="1">
      <alignment wrapText="1"/>
    </xf>
    <xf numFmtId="0" fontId="120" fillId="0" borderId="51" xfId="2" applyFont="1" applyFill="1" applyBorder="1" applyAlignment="1" applyProtection="1">
      <alignment horizontal="right" vertical="center"/>
      <protection hidden="1"/>
    </xf>
    <xf numFmtId="0" fontId="120" fillId="0" borderId="53" xfId="2" applyFont="1" applyFill="1" applyBorder="1" applyAlignment="1" applyProtection="1">
      <alignment horizontal="right" vertical="center"/>
      <protection hidden="1"/>
    </xf>
    <xf numFmtId="0" fontId="120" fillId="2" borderId="51" xfId="2" applyFont="1" applyFill="1" applyBorder="1" applyAlignment="1" applyProtection="1">
      <alignment horizontal="right" vertical="center"/>
      <protection hidden="1"/>
    </xf>
    <xf numFmtId="0" fontId="120" fillId="2" borderId="53" xfId="2" applyFont="1" applyFill="1" applyBorder="1" applyAlignment="1" applyProtection="1">
      <alignment horizontal="right" vertical="center"/>
      <protection hidden="1"/>
    </xf>
    <xf numFmtId="0" fontId="183" fillId="40" borderId="51" xfId="2" applyFont="1" applyFill="1" applyBorder="1" applyAlignment="1" applyProtection="1">
      <alignment horizontal="center" vertical="center"/>
      <protection hidden="1"/>
    </xf>
    <xf numFmtId="0" fontId="183" fillId="40" borderId="53" xfId="2" applyFont="1" applyFill="1" applyBorder="1" applyAlignment="1" applyProtection="1">
      <alignment horizontal="center" vertical="center"/>
      <protection hidden="1"/>
    </xf>
    <xf numFmtId="0" fontId="183" fillId="40" borderId="1" xfId="2" applyFont="1" applyFill="1" applyBorder="1" applyAlignment="1" applyProtection="1">
      <alignment horizontal="center" vertical="center"/>
      <protection hidden="1"/>
    </xf>
    <xf numFmtId="0" fontId="42" fillId="40" borderId="51" xfId="10" applyFont="1" applyFill="1" applyBorder="1" applyAlignment="1">
      <alignment horizontal="center"/>
    </xf>
    <xf numFmtId="0" fontId="7" fillId="40" borderId="52" xfId="10" applyFill="1" applyBorder="1" applyAlignment="1">
      <alignment horizontal="center"/>
    </xf>
    <xf numFmtId="0" fontId="7" fillId="40" borderId="53" xfId="10" applyFill="1" applyBorder="1" applyAlignment="1">
      <alignment horizontal="center"/>
    </xf>
    <xf numFmtId="0" fontId="91" fillId="40" borderId="51" xfId="10" applyFont="1" applyFill="1" applyBorder="1" applyAlignment="1">
      <alignment horizontal="center"/>
    </xf>
    <xf numFmtId="0" fontId="70" fillId="40" borderId="52" xfId="10" applyFont="1" applyFill="1" applyBorder="1" applyAlignment="1">
      <alignment horizontal="center"/>
    </xf>
    <xf numFmtId="0" fontId="70" fillId="40" borderId="53" xfId="10" applyFont="1" applyFill="1" applyBorder="1" applyAlignment="1">
      <alignment horizontal="center"/>
    </xf>
    <xf numFmtId="0" fontId="13" fillId="41" borderId="74" xfId="1" applyFont="1" applyFill="1" applyBorder="1" applyAlignment="1">
      <alignment horizontal="center"/>
    </xf>
    <xf numFmtId="0" fontId="13" fillId="41" borderId="0" xfId="1" applyFont="1" applyFill="1" applyBorder="1" applyAlignment="1">
      <alignment horizontal="center"/>
    </xf>
    <xf numFmtId="0" fontId="20" fillId="2" borderId="28" xfId="10" applyFont="1" applyFill="1" applyBorder="1" applyAlignment="1">
      <alignment horizontal="center"/>
    </xf>
    <xf numFmtId="0" fontId="20" fillId="2" borderId="5" xfId="10" applyFont="1" applyFill="1" applyBorder="1" applyAlignment="1">
      <alignment horizontal="center"/>
    </xf>
    <xf numFmtId="0" fontId="20" fillId="0" borderId="25" xfId="10" applyFont="1" applyBorder="1" applyAlignment="1">
      <alignment horizontal="center"/>
    </xf>
    <xf numFmtId="0" fontId="20" fillId="2" borderId="27" xfId="10" applyFont="1" applyFill="1" applyBorder="1" applyAlignment="1">
      <alignment horizontal="center"/>
    </xf>
    <xf numFmtId="0" fontId="20" fillId="2" borderId="24" xfId="10" applyFont="1" applyFill="1" applyBorder="1" applyAlignment="1">
      <alignment horizontal="center"/>
    </xf>
  </cellXfs>
  <cellStyles count="83">
    <cellStyle name="20% - Accent1" xfId="28" builtinId="30" customBuiltin="1"/>
    <cellStyle name="20% - Accent2" xfId="32" builtinId="34" customBuiltin="1"/>
    <cellStyle name="20% - Accent3" xfId="36" builtinId="38" customBuiltin="1"/>
    <cellStyle name="20% - Accent4" xfId="40" builtinId="42" customBuiltin="1"/>
    <cellStyle name="20% - Accent5" xfId="44" builtinId="46" customBuiltin="1"/>
    <cellStyle name="20% - Accent6" xfId="48" builtinId="50" customBuiltin="1"/>
    <cellStyle name="40% - Accent1" xfId="29" builtinId="31" customBuiltin="1"/>
    <cellStyle name="40% - Accent2" xfId="33" builtinId="35" customBuiltin="1"/>
    <cellStyle name="40% - Accent3" xfId="37" builtinId="39" customBuiltin="1"/>
    <cellStyle name="40% - Accent4" xfId="41" builtinId="43" customBuiltin="1"/>
    <cellStyle name="40% - Accent5" xfId="45" builtinId="47" customBuiltin="1"/>
    <cellStyle name="40% - Accent6" xfId="49" builtinId="51" customBuiltin="1"/>
    <cellStyle name="60% - Accent1" xfId="30" builtinId="32" customBuiltin="1"/>
    <cellStyle name="60% - Accent2" xfId="34" builtinId="36" customBuiltin="1"/>
    <cellStyle name="60% - Accent3" xfId="38" builtinId="40" customBuiltin="1"/>
    <cellStyle name="60% - Accent4" xfId="42" builtinId="44" customBuiltin="1"/>
    <cellStyle name="60% - Accent5" xfId="46" builtinId="48" customBuiltin="1"/>
    <cellStyle name="60% - Accent6" xfId="50" builtinId="52" customBuiltin="1"/>
    <cellStyle name="Accent1" xfId="27" builtinId="29" customBuiltin="1"/>
    <cellStyle name="Accent2" xfId="31" builtinId="33" customBuiltin="1"/>
    <cellStyle name="Accent3" xfId="35" builtinId="37" customBuiltin="1"/>
    <cellStyle name="Accent4" xfId="39" builtinId="41" customBuiltin="1"/>
    <cellStyle name="Accent5" xfId="43" builtinId="45" customBuiltin="1"/>
    <cellStyle name="Accent6" xfId="47" builtinId="49" customBuiltin="1"/>
    <cellStyle name="Berekening" xfId="21" builtinId="22" customBuiltin="1"/>
    <cellStyle name="Controlecel" xfId="23" builtinId="23" customBuiltin="1"/>
    <cellStyle name="Euro" xfId="51" xr:uid="{00000000-0005-0000-0000-00001A000000}"/>
    <cellStyle name="Excel Built-in Normal" xfId="6" xr:uid="{00000000-0005-0000-0000-00001B000000}"/>
    <cellStyle name="Gekoppelde cel" xfId="22" builtinId="24" customBuiltin="1"/>
    <cellStyle name="Goed" xfId="16" builtinId="26" customBuiltin="1"/>
    <cellStyle name="head2" xfId="62" xr:uid="{00000000-0005-0000-0000-00001E000000}"/>
    <cellStyle name="Heading" xfId="63" xr:uid="{00000000-0005-0000-0000-00001F000000}"/>
    <cellStyle name="Hyperlink" xfId="1" builtinId="8"/>
    <cellStyle name="Hyperlink 2" xfId="3" xr:uid="{00000000-0005-0000-0000-000021000000}"/>
    <cellStyle name="Hyperlink 2 2" xfId="8" xr:uid="{00000000-0005-0000-0000-000022000000}"/>
    <cellStyle name="Hyperlink 3" xfId="7" xr:uid="{00000000-0005-0000-0000-000023000000}"/>
    <cellStyle name="Hyperlink 4" xfId="52" xr:uid="{00000000-0005-0000-0000-000024000000}"/>
    <cellStyle name="Invoer" xfId="19" builtinId="20" customBuiltin="1"/>
    <cellStyle name="Komma 2" xfId="4" xr:uid="{00000000-0005-0000-0000-000026000000}"/>
    <cellStyle name="Komma 2 2" xfId="59" xr:uid="{00000000-0005-0000-0000-000027000000}"/>
    <cellStyle name="Komma 3" xfId="53" xr:uid="{00000000-0005-0000-0000-000028000000}"/>
    <cellStyle name="Kop 1" xfId="12" builtinId="16" customBuiltin="1"/>
    <cellStyle name="Kop 2" xfId="13" builtinId="17" customBuiltin="1"/>
    <cellStyle name="Kop 3" xfId="14" builtinId="18" customBuiltin="1"/>
    <cellStyle name="Kop 4" xfId="15" builtinId="19" customBuiltin="1"/>
    <cellStyle name="LINKS" xfId="73" xr:uid="{00000000-0005-0000-0000-00002D000000}"/>
    <cellStyle name="LINKS 2" xfId="77" xr:uid="{00000000-0005-0000-0000-00002E000000}"/>
    <cellStyle name="LINKS 3" xfId="76" xr:uid="{00000000-0005-0000-0000-00002F000000}"/>
    <cellStyle name="Neutraal" xfId="18" builtinId="28" customBuiltin="1"/>
    <cellStyle name="Normal" xfId="9" xr:uid="{00000000-0005-0000-0000-000031000000}"/>
    <cellStyle name="Normal 2" xfId="61" xr:uid="{00000000-0005-0000-0000-000032000000}"/>
    <cellStyle name="Normal 2 2" xfId="64" xr:uid="{00000000-0005-0000-0000-000033000000}"/>
    <cellStyle name="Normal 3" xfId="75" xr:uid="{00000000-0005-0000-0000-000034000000}"/>
    <cellStyle name="Note Links" xfId="74" xr:uid="{00000000-0005-0000-0000-000035000000}"/>
    <cellStyle name="NotesA9" xfId="72" xr:uid="{00000000-0005-0000-0000-000036000000}"/>
    <cellStyle name="Notitie 2" xfId="54" xr:uid="{00000000-0005-0000-0000-000037000000}"/>
    <cellStyle name="Ongeldig" xfId="17" builtinId="27" customBuiltin="1"/>
    <cellStyle name="otes" xfId="71" xr:uid="{00000000-0005-0000-0000-000039000000}"/>
    <cellStyle name="Percent (0)" xfId="65" xr:uid="{00000000-0005-0000-0000-00003A000000}"/>
    <cellStyle name="Percent (0) 2" xfId="66" xr:uid="{00000000-0005-0000-0000-00003B000000}"/>
    <cellStyle name="Procent" xfId="82" builtinId="5"/>
    <cellStyle name="Procent 2" xfId="5" xr:uid="{00000000-0005-0000-0000-00003D000000}"/>
    <cellStyle name="Procent 3" xfId="55" xr:uid="{00000000-0005-0000-0000-00003E000000}"/>
    <cellStyle name="sDefault" xfId="67" xr:uid="{00000000-0005-0000-0000-00003F000000}"/>
    <cellStyle name="Standaard" xfId="0" builtinId="0"/>
    <cellStyle name="Standaard 2" xfId="2" xr:uid="{00000000-0005-0000-0000-000041000000}"/>
    <cellStyle name="Standaard 2 2" xfId="10" xr:uid="{00000000-0005-0000-0000-000042000000}"/>
    <cellStyle name="Standaard 2 2 2" xfId="58" xr:uid="{00000000-0005-0000-0000-000043000000}"/>
    <cellStyle name="Standaard 2 3" xfId="56" xr:uid="{00000000-0005-0000-0000-000044000000}"/>
    <cellStyle name="Standaard 3" xfId="57" xr:uid="{00000000-0005-0000-0000-000045000000}"/>
    <cellStyle name="Standaard 4" xfId="60" xr:uid="{00000000-0005-0000-0000-000046000000}"/>
    <cellStyle name="Standaard 5" xfId="78" xr:uid="{00000000-0005-0000-0000-000047000000}"/>
    <cellStyle name="Standaard_Blad1" xfId="80" xr:uid="{00000000-0005-0000-0000-000048000000}"/>
    <cellStyle name="Standaard_Blad1 2" xfId="81" xr:uid="{00000000-0005-0000-0000-000049000000}"/>
    <cellStyle name="Standaard_KANSARM" xfId="79" xr:uid="{00000000-0005-0000-0000-00004A000000}"/>
    <cellStyle name="step" xfId="68" xr:uid="{00000000-0005-0000-0000-00004B000000}"/>
    <cellStyle name="table_head1" xfId="69" xr:uid="{00000000-0005-0000-0000-00004C000000}"/>
    <cellStyle name="Tickmark" xfId="70" xr:uid="{00000000-0005-0000-0000-00004D000000}"/>
    <cellStyle name="Titel" xfId="11" builtinId="15" customBuiltin="1"/>
    <cellStyle name="Totaal" xfId="26" builtinId="25" customBuiltin="1"/>
    <cellStyle name="Uitvoer" xfId="20" builtinId="21" customBuiltin="1"/>
    <cellStyle name="Verklarende tekst" xfId="25" builtinId="53" customBuiltin="1"/>
    <cellStyle name="Waarschuwingstekst" xfId="24" builtinId="11" customBuiltin="1"/>
  </cellStyles>
  <dxfs count="8">
    <dxf>
      <font>
        <condense val="0"/>
        <extend val="0"/>
        <color rgb="FF006100"/>
      </font>
      <fill>
        <patternFill>
          <bgColor rgb="FFC6EFCE"/>
        </patternFill>
      </fill>
    </dxf>
    <dxf>
      <font>
        <condense val="0"/>
        <extend val="0"/>
        <color rgb="FF9C0006"/>
      </font>
      <fill>
        <patternFill>
          <bgColor rgb="FFFFC7CE"/>
        </patternFill>
      </fill>
    </dxf>
    <dxf>
      <font>
        <condense val="0"/>
        <extend val="0"/>
        <color indexed="9"/>
      </font>
      <fill>
        <patternFill>
          <bgColor indexed="10"/>
        </patternFill>
      </fill>
    </dxf>
    <dxf>
      <font>
        <condense val="0"/>
        <extend val="0"/>
        <color indexed="9"/>
      </font>
      <fill>
        <patternFill>
          <bgColor indexed="10"/>
        </patternFill>
      </fill>
    </dxf>
    <dxf>
      <font>
        <color rgb="FF00B050"/>
      </font>
    </dxf>
    <dxf>
      <font>
        <color rgb="FF00B050"/>
      </font>
    </dxf>
    <dxf>
      <font>
        <color rgb="FF00B050"/>
      </font>
    </dxf>
    <dxf>
      <font>
        <color rgb="FF00B050"/>
      </font>
    </dxf>
  </dxfs>
  <tableStyles count="0" defaultTableStyle="TableStyleMedium2" defaultPivotStyle="PivotStyleLight16"/>
  <colors>
    <mruColors>
      <color rgb="FF9AB8AA"/>
      <color rgb="FF91D6AC"/>
      <color rgb="FF5DC384"/>
      <color rgb="FF2C637C"/>
      <color rgb="FFE0C816"/>
      <color rgb="FFEBD531"/>
      <color rgb="FFE6BB04"/>
      <color rgb="FF006699"/>
      <color rgb="FFFFF4A1"/>
      <color rgb="FFD2AB0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8.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1.xml"/><Relationship Id="rId47" Type="http://schemas.openxmlformats.org/officeDocument/2006/relationships/worksheet" Target="worksheets/sheet46.xml"/><Relationship Id="rId50" Type="http://schemas.openxmlformats.org/officeDocument/2006/relationships/worksheet" Target="worksheets/sheet49.xml"/><Relationship Id="rId55" Type="http://schemas.openxmlformats.org/officeDocument/2006/relationships/worksheet" Target="worksheets/sheet54.xml"/><Relationship Id="rId63" Type="http://schemas.openxmlformats.org/officeDocument/2006/relationships/worksheet" Target="worksheets/sheet62.xml"/><Relationship Id="rId68" Type="http://schemas.openxmlformats.org/officeDocument/2006/relationships/worksheet" Target="worksheets/sheet67.xml"/><Relationship Id="rId76" Type="http://schemas.openxmlformats.org/officeDocument/2006/relationships/worksheet" Target="worksheets/sheet75.xml"/><Relationship Id="rId84" Type="http://schemas.openxmlformats.org/officeDocument/2006/relationships/worksheet" Target="worksheets/sheet83.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hartsheet" Target="chartsheets/sheet1.xml"/><Relationship Id="rId40" Type="http://schemas.openxmlformats.org/officeDocument/2006/relationships/worksheet" Target="worksheets/sheet39.xml"/><Relationship Id="rId45" Type="http://schemas.openxmlformats.org/officeDocument/2006/relationships/worksheet" Target="worksheets/sheet44.xml"/><Relationship Id="rId53" Type="http://schemas.openxmlformats.org/officeDocument/2006/relationships/worksheet" Target="worksheets/sheet52.xml"/><Relationship Id="rId58" Type="http://schemas.openxmlformats.org/officeDocument/2006/relationships/worksheet" Target="worksheets/sheet57.xml"/><Relationship Id="rId66" Type="http://schemas.openxmlformats.org/officeDocument/2006/relationships/worksheet" Target="worksheets/sheet65.xml"/><Relationship Id="rId74" Type="http://schemas.openxmlformats.org/officeDocument/2006/relationships/worksheet" Target="worksheets/sheet73.xml"/><Relationship Id="rId79" Type="http://schemas.openxmlformats.org/officeDocument/2006/relationships/worksheet" Target="worksheets/sheet78.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0.xml"/><Relationship Id="rId82" Type="http://schemas.openxmlformats.org/officeDocument/2006/relationships/worksheet" Target="worksheets/sheet81.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2.xml"/><Relationship Id="rId48" Type="http://schemas.openxmlformats.org/officeDocument/2006/relationships/worksheet" Target="worksheets/sheet47.xml"/><Relationship Id="rId56" Type="http://schemas.openxmlformats.org/officeDocument/2006/relationships/worksheet" Target="worksheets/sheet55.xml"/><Relationship Id="rId64" Type="http://schemas.openxmlformats.org/officeDocument/2006/relationships/worksheet" Target="worksheets/sheet63.xml"/><Relationship Id="rId69" Type="http://schemas.openxmlformats.org/officeDocument/2006/relationships/worksheet" Target="worksheets/sheet68.xml"/><Relationship Id="rId77" Type="http://schemas.openxmlformats.org/officeDocument/2006/relationships/worksheet" Target="worksheets/sheet76.xml"/><Relationship Id="rId8" Type="http://schemas.openxmlformats.org/officeDocument/2006/relationships/worksheet" Target="worksheets/sheet8.xml"/><Relationship Id="rId51" Type="http://schemas.openxmlformats.org/officeDocument/2006/relationships/worksheet" Target="worksheets/sheet50.xml"/><Relationship Id="rId72" Type="http://schemas.openxmlformats.org/officeDocument/2006/relationships/worksheet" Target="worksheets/sheet71.xml"/><Relationship Id="rId80" Type="http://schemas.openxmlformats.org/officeDocument/2006/relationships/worksheet" Target="worksheets/sheet79.xml"/><Relationship Id="rId85" Type="http://schemas.openxmlformats.org/officeDocument/2006/relationships/worksheet" Target="worksheets/sheet8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7.xml"/><Relationship Id="rId46" Type="http://schemas.openxmlformats.org/officeDocument/2006/relationships/worksheet" Target="worksheets/sheet45.xml"/><Relationship Id="rId59" Type="http://schemas.openxmlformats.org/officeDocument/2006/relationships/worksheet" Target="worksheets/sheet58.xml"/><Relationship Id="rId67" Type="http://schemas.openxmlformats.org/officeDocument/2006/relationships/worksheet" Target="worksheets/sheet66.xml"/><Relationship Id="rId20" Type="http://schemas.openxmlformats.org/officeDocument/2006/relationships/worksheet" Target="worksheets/sheet20.xml"/><Relationship Id="rId41" Type="http://schemas.openxmlformats.org/officeDocument/2006/relationships/worksheet" Target="worksheets/sheet40.xml"/><Relationship Id="rId54" Type="http://schemas.openxmlformats.org/officeDocument/2006/relationships/worksheet" Target="worksheets/sheet53.xml"/><Relationship Id="rId62" Type="http://schemas.openxmlformats.org/officeDocument/2006/relationships/worksheet" Target="worksheets/sheet61.xml"/><Relationship Id="rId70" Type="http://schemas.openxmlformats.org/officeDocument/2006/relationships/worksheet" Target="worksheets/sheet69.xml"/><Relationship Id="rId75" Type="http://schemas.openxmlformats.org/officeDocument/2006/relationships/worksheet" Target="worksheets/sheet74.xml"/><Relationship Id="rId83" Type="http://schemas.openxmlformats.org/officeDocument/2006/relationships/worksheet" Target="worksheets/sheet82.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8.xml"/><Relationship Id="rId57" Type="http://schemas.openxmlformats.org/officeDocument/2006/relationships/worksheet" Target="worksheets/sheet5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3.xml"/><Relationship Id="rId52" Type="http://schemas.openxmlformats.org/officeDocument/2006/relationships/worksheet" Target="worksheets/sheet51.xml"/><Relationship Id="rId60" Type="http://schemas.openxmlformats.org/officeDocument/2006/relationships/worksheet" Target="worksheets/sheet59.xml"/><Relationship Id="rId65" Type="http://schemas.openxmlformats.org/officeDocument/2006/relationships/worksheet" Target="worksheets/sheet64.xml"/><Relationship Id="rId73" Type="http://schemas.openxmlformats.org/officeDocument/2006/relationships/worksheet" Target="worksheets/sheet72.xml"/><Relationship Id="rId78" Type="http://schemas.openxmlformats.org/officeDocument/2006/relationships/worksheet" Target="worksheets/sheet77.xml"/><Relationship Id="rId81" Type="http://schemas.openxmlformats.org/officeDocument/2006/relationships/worksheet" Target="worksheets/sheet80.xml"/><Relationship Id="rId86" Type="http://schemas.openxmlformats.org/officeDocument/2006/relationships/externalLink" Target="externalLinks/externalLink1.xml"/></Relationships>
</file>

<file path=xl/charts/_rels/chart10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10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10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10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10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10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10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107.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108.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109.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110.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111.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112.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113.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114.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115.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4.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8.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82.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83.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8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86.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87.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88.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89.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90.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91.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92.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93.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94.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9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9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9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9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9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Selectieve afvalinzameling (totaal tonnage)</a:t>
            </a:r>
          </a:p>
        </c:rich>
      </c:tx>
      <c:overlay val="0"/>
    </c:title>
    <c:autoTitleDeleted val="0"/>
    <c:plotArea>
      <c:layout/>
      <c:lineChart>
        <c:grouping val="standard"/>
        <c:varyColors val="0"/>
        <c:ser>
          <c:idx val="2"/>
          <c:order val="0"/>
          <c:tx>
            <c:strRef>
              <c:f>'B-milieu'!$A$5</c:f>
              <c:strCache>
                <c:ptCount val="1"/>
                <c:pt idx="0">
                  <c:v>Selectieve afvalinzameling</c:v>
                </c:pt>
              </c:strCache>
            </c:strRef>
          </c:tx>
          <c:dLbls>
            <c:dLbl>
              <c:idx val="1"/>
              <c:layout>
                <c:manualLayout>
                  <c:x val="-5.9247810407006697E-2"/>
                  <c:y val="-5.1480051480051477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F44-4E55-B879-83F6B94C9217}"/>
                </c:ext>
              </c:extLst>
            </c:dLbl>
            <c:dLbl>
              <c:idx val="2"/>
              <c:layout>
                <c:manualLayout>
                  <c:x val="-5.4095826893353939E-2"/>
                  <c:y val="4.826254826254826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44-4E55-B879-83F6B94C9217}"/>
                </c:ext>
              </c:extLst>
            </c:dLbl>
            <c:dLbl>
              <c:idx val="3"/>
              <c:layout>
                <c:manualLayout>
                  <c:x val="-9.2735703245749618E-2"/>
                  <c:y val="-5.1480051480051477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44-4E55-B879-83F6B94C9217}"/>
                </c:ext>
              </c:extLst>
            </c:dLbl>
            <c:dLbl>
              <c:idx val="4"/>
              <c:layout>
                <c:manualLayout>
                  <c:x val="-5.4095826893353939E-2"/>
                  <c:y val="-3.5392535392535396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44-4E55-B879-83F6B94C9217}"/>
                </c:ext>
              </c:extLst>
            </c:dLbl>
            <c:dLbl>
              <c:idx val="5"/>
              <c:layout>
                <c:manualLayout>
                  <c:x val="-7.9855744461617723E-2"/>
                  <c:y val="5.1480051480051477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44-4E55-B879-83F6B94C9217}"/>
                </c:ext>
              </c:extLst>
            </c:dLbl>
            <c:dLbl>
              <c:idx val="6"/>
              <c:layout>
                <c:manualLayout>
                  <c:x val="-3.8639876352395769E-2"/>
                  <c:y val="4.826254826254826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44-4E55-B879-83F6B94C9217}"/>
                </c:ext>
              </c:extLst>
            </c:dLbl>
            <c:dLbl>
              <c:idx val="7"/>
              <c:layout>
                <c:manualLayout>
                  <c:x val="-6.4399793920659365E-2"/>
                  <c:y val="-4.826254826254826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F44-4E55-B879-83F6B94C9217}"/>
                </c:ext>
              </c:extLst>
            </c:dLbl>
            <c:dLbl>
              <c:idx val="8"/>
              <c:layout>
                <c:manualLayout>
                  <c:x val="-8.5007727975270481E-2"/>
                  <c:y val="-4.18275418275418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F44-4E55-B879-83F6B94C9217}"/>
                </c:ext>
              </c:extLst>
            </c:dLbl>
            <c:dLbl>
              <c:idx val="9"/>
              <c:layout>
                <c:manualLayout>
                  <c:x val="4.3284418993080408E-2"/>
                  <c:y val="-6.4350064350064351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F44-4E55-B879-83F6B94C9217}"/>
                </c:ext>
              </c:extLst>
            </c:dLbl>
            <c:dLbl>
              <c:idx val="10"/>
              <c:layout>
                <c:manualLayout>
                  <c:x val="-0.10046367851622875"/>
                  <c:y val="-1.9305019305019305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F44-4E55-B879-83F6B94C9217}"/>
                </c:ext>
              </c:extLst>
            </c:dLbl>
            <c:dLbl>
              <c:idx val="12"/>
              <c:layout>
                <c:manualLayout>
                  <c:x val="-6.7340067340067337E-3"/>
                  <c:y val="-3.8610038610038609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F44-4E55-B879-83F6B94C9217}"/>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'B-milieu'!$B$5:$Q$5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c:v>2021</c:v>
                </c:pt>
              </c:numCache>
            </c:numRef>
          </c:cat>
          <c:val>
            <c:numRef>
              <c:f>'B-milieu'!$B$12:$Q$12</c:f>
              <c:numCache>
                <c:formatCode>General</c:formatCode>
                <c:ptCount val="16"/>
                <c:pt idx="0">
                  <c:v>1754</c:v>
                </c:pt>
                <c:pt idx="1">
                  <c:v>1875.64</c:v>
                </c:pt>
                <c:pt idx="2">
                  <c:v>1879.74</c:v>
                </c:pt>
                <c:pt idx="3">
                  <c:v>1914.52</c:v>
                </c:pt>
                <c:pt idx="4">
                  <c:v>2028.355</c:v>
                </c:pt>
                <c:pt idx="5">
                  <c:v>1858.28</c:v>
                </c:pt>
                <c:pt idx="6">
                  <c:v>1831.4199999999998</c:v>
                </c:pt>
                <c:pt idx="7">
                  <c:v>1920.92</c:v>
                </c:pt>
                <c:pt idx="8">
                  <c:v>2067</c:v>
                </c:pt>
                <c:pt idx="9">
                  <c:v>2066.17</c:v>
                </c:pt>
                <c:pt idx="10">
                  <c:v>2089.2600000000002</c:v>
                </c:pt>
                <c:pt idx="11">
                  <c:v>2281.9199999999996</c:v>
                </c:pt>
                <c:pt idx="12">
                  <c:v>2097.04</c:v>
                </c:pt>
                <c:pt idx="13">
                  <c:v>2073.79</c:v>
                </c:pt>
                <c:pt idx="14">
                  <c:v>2282.6</c:v>
                </c:pt>
                <c:pt idx="15">
                  <c:v>2141.86</c:v>
                </c:pt>
              </c:numCache>
            </c:numRef>
          </c:val>
          <c:smooth val="0"/>
          <c:extLst>
            <c:ext xmlns:c16="http://schemas.microsoft.com/office/drawing/2014/chart" uri="{C3380CC4-5D6E-409C-BE32-E72D297353CC}">
              <c16:uniqueId val="{0000000B-4F44-4E55-B879-83F6B94C9217}"/>
            </c:ext>
          </c:extLst>
        </c:ser>
        <c:dLbls>
          <c:showLegendKey val="0"/>
          <c:showVal val="0"/>
          <c:showCatName val="0"/>
          <c:showSerName val="0"/>
          <c:showPercent val="0"/>
          <c:showBubbleSize val="0"/>
        </c:dLbls>
        <c:marker val="1"/>
        <c:smooth val="0"/>
        <c:axId val="841544208"/>
        <c:axId val="1"/>
      </c:lineChart>
      <c:catAx>
        <c:axId val="84154420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84154420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Individuele vs. Groepen vs. Schoolgroepen</a:t>
            </a:r>
          </a:p>
        </c:rich>
      </c:tx>
      <c:overlay val="0"/>
    </c:title>
    <c:autoTitleDeleted val="0"/>
    <c:plotArea>
      <c:layout/>
      <c:barChart>
        <c:barDir val="col"/>
        <c:grouping val="percentStacked"/>
        <c:varyColors val="0"/>
        <c:ser>
          <c:idx val="0"/>
          <c:order val="0"/>
          <c:tx>
            <c:v>Individueel</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117</c:v>
              </c:pt>
              <c:pt idx="1">
                <c:v>149</c:v>
              </c:pt>
              <c:pt idx="2">
                <c:v>274</c:v>
              </c:pt>
              <c:pt idx="3">
                <c:v>387</c:v>
              </c:pt>
              <c:pt idx="4">
                <c:v>383</c:v>
              </c:pt>
              <c:pt idx="5">
                <c:v>366</c:v>
              </c:pt>
              <c:pt idx="6">
                <c:v>531</c:v>
              </c:pt>
              <c:pt idx="7">
                <c:v>656</c:v>
              </c:pt>
              <c:pt idx="8">
                <c:v>394</c:v>
              </c:pt>
              <c:pt idx="9">
                <c:v>329</c:v>
              </c:pt>
              <c:pt idx="10">
                <c:v>319</c:v>
              </c:pt>
              <c:pt idx="11">
                <c:v>154</c:v>
              </c:pt>
            </c:numLit>
          </c:val>
          <c:extLst>
            <c:ext xmlns:c16="http://schemas.microsoft.com/office/drawing/2014/chart" uri="{C3380CC4-5D6E-409C-BE32-E72D297353CC}">
              <c16:uniqueId val="{00000000-74F7-4914-9864-9DC1429B4EAA}"/>
            </c:ext>
          </c:extLst>
        </c:ser>
        <c:ser>
          <c:idx val="1"/>
          <c:order val="1"/>
          <c:tx>
            <c:v>Groepen</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0</c:v>
              </c:pt>
              <c:pt idx="1">
                <c:v>0</c:v>
              </c:pt>
              <c:pt idx="2">
                <c:v>9</c:v>
              </c:pt>
              <c:pt idx="3">
                <c:v>20</c:v>
              </c:pt>
              <c:pt idx="4">
                <c:v>68</c:v>
              </c:pt>
              <c:pt idx="5">
                <c:v>0</c:v>
              </c:pt>
              <c:pt idx="6">
                <c:v>51</c:v>
              </c:pt>
              <c:pt idx="7">
                <c:v>57</c:v>
              </c:pt>
              <c:pt idx="8">
                <c:v>55</c:v>
              </c:pt>
              <c:pt idx="9">
                <c:v>21</c:v>
              </c:pt>
              <c:pt idx="10">
                <c:v>68</c:v>
              </c:pt>
              <c:pt idx="11">
                <c:v>10</c:v>
              </c:pt>
            </c:numLit>
          </c:val>
          <c:extLst>
            <c:ext xmlns:c16="http://schemas.microsoft.com/office/drawing/2014/chart" uri="{C3380CC4-5D6E-409C-BE32-E72D297353CC}">
              <c16:uniqueId val="{00000001-74F7-4914-9864-9DC1429B4EAA}"/>
            </c:ext>
          </c:extLst>
        </c:ser>
        <c:ser>
          <c:idx val="2"/>
          <c:order val="2"/>
          <c:tx>
            <c:v>Schoolgroepen</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3</c:v>
              </c:pt>
              <c:pt idx="1">
                <c:v>0</c:v>
              </c:pt>
              <c:pt idx="2">
                <c:v>167</c:v>
              </c:pt>
              <c:pt idx="3">
                <c:v>15</c:v>
              </c:pt>
              <c:pt idx="4">
                <c:v>0</c:v>
              </c:pt>
              <c:pt idx="5">
                <c:v>0</c:v>
              </c:pt>
              <c:pt idx="6">
                <c:v>2</c:v>
              </c:pt>
              <c:pt idx="7">
                <c:v>5</c:v>
              </c:pt>
              <c:pt idx="8">
                <c:v>3</c:v>
              </c:pt>
              <c:pt idx="9">
                <c:v>50</c:v>
              </c:pt>
              <c:pt idx="10">
                <c:v>50</c:v>
              </c:pt>
              <c:pt idx="11">
                <c:v>3</c:v>
              </c:pt>
            </c:numLit>
          </c:val>
          <c:extLst>
            <c:ext xmlns:c16="http://schemas.microsoft.com/office/drawing/2014/chart" uri="{C3380CC4-5D6E-409C-BE32-E72D297353CC}">
              <c16:uniqueId val="{00000002-74F7-4914-9864-9DC1429B4EAA}"/>
            </c:ext>
          </c:extLst>
        </c:ser>
        <c:dLbls>
          <c:showLegendKey val="0"/>
          <c:showVal val="0"/>
          <c:showCatName val="0"/>
          <c:showSerName val="0"/>
          <c:showPercent val="0"/>
          <c:showBubbleSize val="0"/>
        </c:dLbls>
        <c:gapWidth val="55"/>
        <c:overlap val="100"/>
        <c:axId val="677258472"/>
        <c:axId val="1"/>
      </c:barChart>
      <c:catAx>
        <c:axId val="677258472"/>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58472"/>
        <c:crosses val="autoZero"/>
        <c:crossBetween val="between"/>
      </c:valAx>
    </c:plotArea>
    <c:legend>
      <c:legendPos val="r"/>
      <c:layout>
        <c:manualLayout>
          <c:xMode val="edge"/>
          <c:yMode val="edge"/>
          <c:x val="0.82026281028596915"/>
          <c:y val="0.47826140658248917"/>
          <c:w val="0.16830099668913934"/>
          <c:h val="0.1841434910150298"/>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'F-Taartjes'!$D$70</c:f>
              <c:strCache>
                <c:ptCount val="1"/>
                <c:pt idx="0">
                  <c:v>AGB</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C3-42E4-BD8F-5E5F1A0B8786}"/>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C3-42E4-BD8F-5E5F1A0B8786}"/>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C3-42E4-BD8F-5E5F1A0B878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9C96-42D6-90B8-DD269D0231A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9C96-42D6-90B8-DD269D0231A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1-9C96-42D6-90B8-DD269D0231AD}"/>
              </c:ext>
            </c:extLst>
          </c:dPt>
          <c:dLbls>
            <c:dLbl>
              <c:idx val="3"/>
              <c:layout>
                <c:manualLayout>
                  <c:x val="-2.9145835643783962E-2"/>
                  <c:y val="-4.113382446813431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96-42D6-90B8-DD269D0231AD}"/>
                </c:ext>
              </c:extLst>
            </c:dLbl>
            <c:dLbl>
              <c:idx val="4"/>
              <c:layout>
                <c:manualLayout>
                  <c:x val="-0.23547077742042807"/>
                  <c:y val="-4.9973185598549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C96-42D6-90B8-DD269D0231AD}"/>
                </c:ext>
              </c:extLst>
            </c:dLbl>
            <c:dLbl>
              <c:idx val="5"/>
              <c:layout>
                <c:manualLayout>
                  <c:x val="0.15942597316180548"/>
                  <c:y val="-5.70702413968943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96-42D6-90B8-DD269D0231A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'F-Taartjes'!$A$71:$A$76</c:f>
              <c:strCache>
                <c:ptCount val="6"/>
                <c:pt idx="0">
                  <c:v>Goed&amp;diensten</c:v>
                </c:pt>
                <c:pt idx="1">
                  <c:v>Personeel</c:v>
                </c:pt>
                <c:pt idx="2">
                  <c:v>Kosten sociale dienst</c:v>
                </c:pt>
                <c:pt idx="3">
                  <c:v>Werkingssubsidies</c:v>
                </c:pt>
                <c:pt idx="4">
                  <c:v>Andere</c:v>
                </c:pt>
                <c:pt idx="5">
                  <c:v>Financieel</c:v>
                </c:pt>
              </c:strCache>
            </c:strRef>
          </c:cat>
          <c:val>
            <c:numRef>
              <c:f>'F-Taartjes'!$D$71:$D$76</c:f>
              <c:numCache>
                <c:formatCode>General</c:formatCode>
                <c:ptCount val="6"/>
                <c:pt idx="0" formatCode="#,##0">
                  <c:v>263190</c:v>
                </c:pt>
                <c:pt idx="1">
                  <c:v>0</c:v>
                </c:pt>
                <c:pt idx="2">
                  <c:v>0</c:v>
                </c:pt>
                <c:pt idx="3">
                  <c:v>0</c:v>
                </c:pt>
                <c:pt idx="4" formatCode="#,##0">
                  <c:v>973</c:v>
                </c:pt>
                <c:pt idx="5">
                  <c:v>59</c:v>
                </c:pt>
              </c:numCache>
            </c:numRef>
          </c:val>
          <c:extLst>
            <c:ext xmlns:c16="http://schemas.microsoft.com/office/drawing/2014/chart" uri="{C3380CC4-5D6E-409C-BE32-E72D297353CC}">
              <c16:uniqueId val="{00000000-9C96-42D6-90B8-DD269D0231A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'F-Taartjes'!$O$69</c:f>
              <c:strCache>
                <c:ptCount val="1"/>
                <c:pt idx="0">
                  <c:v>STAD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EC67-423C-8061-8EAD3FFCC9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EC67-423C-8061-8EAD3FFCC9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EC67-423C-8061-8EAD3FFCC9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EC67-423C-8061-8EAD3FFCC9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EC67-423C-8061-8EAD3FFCC9BA}"/>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EC67-423C-8061-8EAD3FFCC9BA}"/>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'F-Taartjes'!$N$70:$N$75</c:f>
              <c:strCache>
                <c:ptCount val="6"/>
                <c:pt idx="0">
                  <c:v>Ontvangsten werking</c:v>
                </c:pt>
                <c:pt idx="1">
                  <c:v>Fiscale ontvangsten </c:v>
                </c:pt>
                <c:pt idx="2">
                  <c:v>Werkingssubsidies</c:v>
                </c:pt>
                <c:pt idx="3">
                  <c:v>Recup kosten SD</c:v>
                </c:pt>
                <c:pt idx="4">
                  <c:v>Andere </c:v>
                </c:pt>
                <c:pt idx="5">
                  <c:v>Financieel</c:v>
                </c:pt>
              </c:strCache>
            </c:strRef>
          </c:cat>
          <c:val>
            <c:numRef>
              <c:f>'F-Taartjes'!$O$70:$O$75</c:f>
              <c:numCache>
                <c:formatCode>#,##0</c:formatCode>
                <c:ptCount val="6"/>
                <c:pt idx="0">
                  <c:v>590206</c:v>
                </c:pt>
                <c:pt idx="1">
                  <c:v>11545053</c:v>
                </c:pt>
                <c:pt idx="2">
                  <c:v>8405483</c:v>
                </c:pt>
                <c:pt idx="4">
                  <c:v>138957</c:v>
                </c:pt>
                <c:pt idx="5">
                  <c:v>952905</c:v>
                </c:pt>
              </c:numCache>
            </c:numRef>
          </c:val>
          <c:extLst>
            <c:ext xmlns:c16="http://schemas.microsoft.com/office/drawing/2014/chart" uri="{C3380CC4-5D6E-409C-BE32-E72D297353CC}">
              <c16:uniqueId val="{00000000-17D1-4B47-B6CD-61E815877E5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'F-Taartjes'!$P$69</c:f>
              <c:strCache>
                <c:ptCount val="1"/>
                <c:pt idx="0">
                  <c:v>OCMW</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C3D-4FDE-97F0-DAE9735490F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C3D-4FDE-97F0-DAE9735490F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C3D-4FDE-97F0-DAE9735490F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C3D-4FDE-97F0-DAE9735490F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C3D-4FDE-97F0-DAE9735490F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C3D-4FDE-97F0-DAE9735490F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'F-Taartjes'!$N$70:$N$75</c:f>
              <c:strCache>
                <c:ptCount val="6"/>
                <c:pt idx="0">
                  <c:v>Ontvangsten werking</c:v>
                </c:pt>
                <c:pt idx="1">
                  <c:v>Fiscale ontvangsten </c:v>
                </c:pt>
                <c:pt idx="2">
                  <c:v>Werkingssubsidies</c:v>
                </c:pt>
                <c:pt idx="3">
                  <c:v>Recup kosten SD</c:v>
                </c:pt>
                <c:pt idx="4">
                  <c:v>Andere </c:v>
                </c:pt>
                <c:pt idx="5">
                  <c:v>Financieel</c:v>
                </c:pt>
              </c:strCache>
            </c:strRef>
          </c:cat>
          <c:val>
            <c:numRef>
              <c:f>'F-Taartjes'!$P$70:$P$75</c:f>
              <c:numCache>
                <c:formatCode>General</c:formatCode>
                <c:ptCount val="6"/>
                <c:pt idx="0" formatCode="#,##0">
                  <c:v>8783336</c:v>
                </c:pt>
                <c:pt idx="1">
                  <c:v>0</c:v>
                </c:pt>
                <c:pt idx="2" formatCode="#,##0">
                  <c:v>6564151</c:v>
                </c:pt>
                <c:pt idx="3" formatCode="#,##0">
                  <c:v>37405</c:v>
                </c:pt>
                <c:pt idx="4" formatCode="#,##0">
                  <c:v>320421</c:v>
                </c:pt>
                <c:pt idx="5" formatCode="#,##0">
                  <c:v>950</c:v>
                </c:pt>
              </c:numCache>
            </c:numRef>
          </c:val>
          <c:extLst>
            <c:ext xmlns:c16="http://schemas.microsoft.com/office/drawing/2014/chart" uri="{C3380CC4-5D6E-409C-BE32-E72D297353CC}">
              <c16:uniqueId val="{00000000-4BB3-4397-B561-6BD80B83D05D}"/>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'F-Taartjes'!$Q$69</c:f>
              <c:strCache>
                <c:ptCount val="1"/>
                <c:pt idx="0">
                  <c:v>AGB</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C06-4AC2-A262-3CACA001FD8E}"/>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C06-4AC2-A262-3CACA001FD8E}"/>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1-83AA-4405-9F07-AAC74D4D0026}"/>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C06-4AC2-A262-3CACA001FD8E}"/>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83AA-4405-9F07-AAC74D4D0026}"/>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3-83AA-4405-9F07-AAC74D4D0026}"/>
              </c:ext>
            </c:extLst>
          </c:dPt>
          <c:dLbls>
            <c:dLbl>
              <c:idx val="2"/>
              <c:layout>
                <c:manualLayout>
                  <c:x val="-7.3226919142660038E-2"/>
                  <c:y val="-1.92962327448451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AA-4405-9F07-AAC74D4D0026}"/>
                </c:ext>
              </c:extLst>
            </c:dLbl>
            <c:dLbl>
              <c:idx val="4"/>
              <c:layout>
                <c:manualLayout>
                  <c:x val="-3.1386001221146452E-2"/>
                  <c:y val="-5.69732966250168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AA-4405-9F07-AAC74D4D0026}"/>
                </c:ext>
              </c:extLst>
            </c:dLbl>
            <c:dLbl>
              <c:idx val="5"/>
              <c:layout>
                <c:manualLayout>
                  <c:x val="0.15570410194194004"/>
                  <c:y val="-6.459853487610943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AA-4405-9F07-AAC74D4D002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'F-Taartjes'!$N$70:$N$75</c:f>
              <c:strCache>
                <c:ptCount val="6"/>
                <c:pt idx="0">
                  <c:v>Ontvangsten werking</c:v>
                </c:pt>
                <c:pt idx="1">
                  <c:v>Fiscale ontvangsten </c:v>
                </c:pt>
                <c:pt idx="2">
                  <c:v>Werkingssubsidies</c:v>
                </c:pt>
                <c:pt idx="3">
                  <c:v>Recup kosten SD</c:v>
                </c:pt>
                <c:pt idx="4">
                  <c:v>Andere </c:v>
                </c:pt>
                <c:pt idx="5">
                  <c:v>Financieel</c:v>
                </c:pt>
              </c:strCache>
            </c:strRef>
          </c:cat>
          <c:val>
            <c:numRef>
              <c:f>'F-Taartjes'!$Q$70:$Q$75</c:f>
              <c:numCache>
                <c:formatCode>General</c:formatCode>
                <c:ptCount val="6"/>
                <c:pt idx="0" formatCode="#,##0">
                  <c:v>49108</c:v>
                </c:pt>
                <c:pt idx="2" formatCode="#,##0">
                  <c:v>1443</c:v>
                </c:pt>
                <c:pt idx="3">
                  <c:v>0</c:v>
                </c:pt>
                <c:pt idx="4">
                  <c:v>1135</c:v>
                </c:pt>
                <c:pt idx="5" formatCode="#,##0">
                  <c:v>413</c:v>
                </c:pt>
              </c:numCache>
            </c:numRef>
          </c:val>
          <c:extLst>
            <c:ext xmlns:c16="http://schemas.microsoft.com/office/drawing/2014/chart" uri="{C3380CC4-5D6E-409C-BE32-E72D297353CC}">
              <c16:uniqueId val="{00000000-83AA-4405-9F07-AAC74D4D002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'F-Staat O en K'!$A$7</c:f>
              <c:strCache>
                <c:ptCount val="1"/>
                <c:pt idx="0">
                  <c:v>Personeelskost stad</c:v>
                </c:pt>
              </c:strCache>
            </c:strRef>
          </c:tx>
          <c:spPr>
            <a:ln w="9525" cap="rnd">
              <a:solidFill>
                <a:schemeClr val="accent1"/>
              </a:solidFill>
              <a:round/>
            </a:ln>
            <a:effectLst/>
          </c:spPr>
          <c:marker>
            <c:symbol val="none"/>
          </c:marker>
          <c:xVal>
            <c:numRef>
              <c:f>'F-Staat O en K'!$B$6:$I$6</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K'!$B$7:$I$7</c:f>
              <c:numCache>
                <c:formatCode>#,##0</c:formatCode>
                <c:ptCount val="8"/>
                <c:pt idx="0">
                  <c:v>8522971</c:v>
                </c:pt>
                <c:pt idx="1">
                  <c:v>8530955</c:v>
                </c:pt>
                <c:pt idx="2">
                  <c:v>8564303</c:v>
                </c:pt>
                <c:pt idx="3">
                  <c:v>8893163</c:v>
                </c:pt>
                <c:pt idx="4">
                  <c:v>9400932</c:v>
                </c:pt>
                <c:pt idx="5">
                  <c:v>9328932</c:v>
                </c:pt>
                <c:pt idx="6">
                  <c:v>9324958</c:v>
                </c:pt>
                <c:pt idx="7">
                  <c:v>9847715</c:v>
                </c:pt>
              </c:numCache>
            </c:numRef>
          </c:yVal>
          <c:smooth val="1"/>
          <c:extLst>
            <c:ext xmlns:c16="http://schemas.microsoft.com/office/drawing/2014/chart" uri="{C3380CC4-5D6E-409C-BE32-E72D297353CC}">
              <c16:uniqueId val="{00000000-876C-4E48-A719-508480F1A0BE}"/>
            </c:ext>
          </c:extLst>
        </c:ser>
        <c:ser>
          <c:idx val="1"/>
          <c:order val="1"/>
          <c:tx>
            <c:strRef>
              <c:f>'F-Staat O en K'!$A$8</c:f>
              <c:strCache>
                <c:ptCount val="1"/>
                <c:pt idx="0">
                  <c:v>Goederen en diensten</c:v>
                </c:pt>
              </c:strCache>
            </c:strRef>
          </c:tx>
          <c:spPr>
            <a:ln w="9525" cap="rnd">
              <a:solidFill>
                <a:schemeClr val="accent2"/>
              </a:solidFill>
              <a:round/>
            </a:ln>
            <a:effectLst/>
          </c:spPr>
          <c:marker>
            <c:symbol val="none"/>
          </c:marker>
          <c:xVal>
            <c:numRef>
              <c:f>'F-Staat O en K'!$B$6:$I$6</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K'!$B$8:$I$8</c:f>
              <c:numCache>
                <c:formatCode>#,##0</c:formatCode>
                <c:ptCount val="8"/>
                <c:pt idx="0">
                  <c:v>3079919</c:v>
                </c:pt>
                <c:pt idx="1">
                  <c:v>3264310</c:v>
                </c:pt>
                <c:pt idx="2">
                  <c:v>2834224</c:v>
                </c:pt>
                <c:pt idx="3">
                  <c:v>3137477</c:v>
                </c:pt>
                <c:pt idx="4">
                  <c:v>3064018</c:v>
                </c:pt>
                <c:pt idx="5">
                  <c:v>3098900</c:v>
                </c:pt>
                <c:pt idx="6">
                  <c:v>3823387</c:v>
                </c:pt>
                <c:pt idx="7">
                  <c:v>4738883</c:v>
                </c:pt>
              </c:numCache>
            </c:numRef>
          </c:yVal>
          <c:smooth val="1"/>
          <c:extLst>
            <c:ext xmlns:c16="http://schemas.microsoft.com/office/drawing/2014/chart" uri="{C3380CC4-5D6E-409C-BE32-E72D297353CC}">
              <c16:uniqueId val="{00000001-876C-4E48-A719-508480F1A0BE}"/>
            </c:ext>
          </c:extLst>
        </c:ser>
        <c:ser>
          <c:idx val="2"/>
          <c:order val="2"/>
          <c:tx>
            <c:strRef>
              <c:f>'F-Staat O en K'!$A$9</c:f>
              <c:strCache>
                <c:ptCount val="1"/>
                <c:pt idx="0">
                  <c:v>Afschrijvingen en voorzieningen</c:v>
                </c:pt>
              </c:strCache>
            </c:strRef>
          </c:tx>
          <c:spPr>
            <a:ln w="9525" cap="rnd">
              <a:solidFill>
                <a:schemeClr val="accent3"/>
              </a:solidFill>
              <a:round/>
            </a:ln>
            <a:effectLst/>
          </c:spPr>
          <c:marker>
            <c:symbol val="none"/>
          </c:marker>
          <c:xVal>
            <c:numRef>
              <c:f>'F-Staat O en K'!$B$6:$I$6</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K'!$B$9:$I$9</c:f>
              <c:numCache>
                <c:formatCode>#,##0</c:formatCode>
                <c:ptCount val="8"/>
                <c:pt idx="0">
                  <c:v>4357760</c:v>
                </c:pt>
                <c:pt idx="1">
                  <c:v>2647031</c:v>
                </c:pt>
                <c:pt idx="2">
                  <c:v>3913267</c:v>
                </c:pt>
                <c:pt idx="3">
                  <c:v>3317620</c:v>
                </c:pt>
                <c:pt idx="4">
                  <c:v>4380078</c:v>
                </c:pt>
                <c:pt idx="5">
                  <c:v>3000285</c:v>
                </c:pt>
                <c:pt idx="6">
                  <c:v>2903397</c:v>
                </c:pt>
                <c:pt idx="7">
                  <c:v>3768172</c:v>
                </c:pt>
              </c:numCache>
            </c:numRef>
          </c:yVal>
          <c:smooth val="1"/>
          <c:extLst>
            <c:ext xmlns:c16="http://schemas.microsoft.com/office/drawing/2014/chart" uri="{C3380CC4-5D6E-409C-BE32-E72D297353CC}">
              <c16:uniqueId val="{00000002-876C-4E48-A719-508480F1A0BE}"/>
            </c:ext>
          </c:extLst>
        </c:ser>
        <c:ser>
          <c:idx val="3"/>
          <c:order val="3"/>
          <c:tx>
            <c:strRef>
              <c:f>'F-Staat O en K'!$A$10</c:f>
              <c:strCache>
                <c:ptCount val="1"/>
                <c:pt idx="0">
                  <c:v>Toegestane werkingssubsidies</c:v>
                </c:pt>
              </c:strCache>
            </c:strRef>
          </c:tx>
          <c:spPr>
            <a:ln w="9525" cap="rnd">
              <a:solidFill>
                <a:schemeClr val="accent4"/>
              </a:solidFill>
              <a:round/>
            </a:ln>
            <a:effectLst/>
          </c:spPr>
          <c:marker>
            <c:symbol val="none"/>
          </c:marker>
          <c:xVal>
            <c:numRef>
              <c:f>'F-Staat O en K'!$B$6:$I$6</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K'!$B$10:$I$10</c:f>
              <c:numCache>
                <c:formatCode>#,##0</c:formatCode>
                <c:ptCount val="8"/>
                <c:pt idx="0">
                  <c:v>4292627</c:v>
                </c:pt>
                <c:pt idx="1">
                  <c:v>4337367</c:v>
                </c:pt>
                <c:pt idx="2">
                  <c:v>1825476</c:v>
                </c:pt>
                <c:pt idx="3">
                  <c:v>4268498</c:v>
                </c:pt>
                <c:pt idx="4">
                  <c:v>4303808</c:v>
                </c:pt>
                <c:pt idx="5">
                  <c:v>2938873</c:v>
                </c:pt>
                <c:pt idx="6">
                  <c:v>2955806</c:v>
                </c:pt>
                <c:pt idx="7">
                  <c:v>2895770</c:v>
                </c:pt>
              </c:numCache>
            </c:numRef>
          </c:yVal>
          <c:smooth val="1"/>
          <c:extLst>
            <c:ext xmlns:c16="http://schemas.microsoft.com/office/drawing/2014/chart" uri="{C3380CC4-5D6E-409C-BE32-E72D297353CC}">
              <c16:uniqueId val="{00000003-876C-4E48-A719-508480F1A0BE}"/>
            </c:ext>
          </c:extLst>
        </c:ser>
        <c:ser>
          <c:idx val="4"/>
          <c:order val="4"/>
          <c:tx>
            <c:strRef>
              <c:f>'F-Staat O en K'!$A$11</c:f>
              <c:strCache>
                <c:ptCount val="1"/>
                <c:pt idx="0">
                  <c:v>Andere operationele kosten</c:v>
                </c:pt>
              </c:strCache>
            </c:strRef>
          </c:tx>
          <c:spPr>
            <a:ln w="9525" cap="rnd">
              <a:solidFill>
                <a:schemeClr val="accent5"/>
              </a:solidFill>
              <a:round/>
            </a:ln>
            <a:effectLst/>
          </c:spPr>
          <c:marker>
            <c:symbol val="none"/>
          </c:marker>
          <c:xVal>
            <c:numRef>
              <c:f>'F-Staat O en K'!$B$6:$I$6</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K'!$B$11:$I$11</c:f>
              <c:numCache>
                <c:formatCode>#,##0</c:formatCode>
                <c:ptCount val="8"/>
                <c:pt idx="0">
                  <c:v>634295</c:v>
                </c:pt>
                <c:pt idx="1">
                  <c:v>492495</c:v>
                </c:pt>
                <c:pt idx="2">
                  <c:v>640580</c:v>
                </c:pt>
                <c:pt idx="3">
                  <c:v>694160</c:v>
                </c:pt>
                <c:pt idx="4">
                  <c:v>586369</c:v>
                </c:pt>
                <c:pt idx="5">
                  <c:v>719193</c:v>
                </c:pt>
                <c:pt idx="6">
                  <c:v>704690</c:v>
                </c:pt>
                <c:pt idx="7">
                  <c:v>578870</c:v>
                </c:pt>
              </c:numCache>
            </c:numRef>
          </c:yVal>
          <c:smooth val="1"/>
          <c:extLst>
            <c:ext xmlns:c16="http://schemas.microsoft.com/office/drawing/2014/chart" uri="{C3380CC4-5D6E-409C-BE32-E72D297353CC}">
              <c16:uniqueId val="{00000004-876C-4E48-A719-508480F1A0BE}"/>
            </c:ext>
          </c:extLst>
        </c:ser>
        <c:ser>
          <c:idx val="5"/>
          <c:order val="5"/>
          <c:tx>
            <c:strRef>
              <c:f>'F-Staat O en K'!$A$12</c:f>
              <c:strCache>
                <c:ptCount val="1"/>
                <c:pt idx="0">
                  <c:v>Toegestane investeringssubsidies</c:v>
                </c:pt>
              </c:strCache>
            </c:strRef>
          </c:tx>
          <c:spPr>
            <a:ln w="9525" cap="rnd">
              <a:solidFill>
                <a:schemeClr val="accent6"/>
              </a:solidFill>
              <a:round/>
            </a:ln>
            <a:effectLst/>
          </c:spPr>
          <c:marker>
            <c:symbol val="none"/>
          </c:marker>
          <c:xVal>
            <c:numRef>
              <c:f>'F-Staat O en K'!$B$6:$I$6</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K'!$B$12:$I$12</c:f>
              <c:numCache>
                <c:formatCode>#,##0</c:formatCode>
                <c:ptCount val="8"/>
                <c:pt idx="0">
                  <c:v>649109</c:v>
                </c:pt>
                <c:pt idx="1">
                  <c:v>1156123</c:v>
                </c:pt>
                <c:pt idx="2">
                  <c:v>-7412688</c:v>
                </c:pt>
                <c:pt idx="3">
                  <c:v>145593</c:v>
                </c:pt>
                <c:pt idx="4">
                  <c:v>172133</c:v>
                </c:pt>
                <c:pt idx="5">
                  <c:v>81677</c:v>
                </c:pt>
                <c:pt idx="6">
                  <c:v>162417</c:v>
                </c:pt>
                <c:pt idx="7">
                  <c:v>151921</c:v>
                </c:pt>
              </c:numCache>
            </c:numRef>
          </c:yVal>
          <c:smooth val="1"/>
          <c:extLst>
            <c:ext xmlns:c16="http://schemas.microsoft.com/office/drawing/2014/chart" uri="{C3380CC4-5D6E-409C-BE32-E72D297353CC}">
              <c16:uniqueId val="{00000005-876C-4E48-A719-508480F1A0BE}"/>
            </c:ext>
          </c:extLst>
        </c:ser>
        <c:ser>
          <c:idx val="6"/>
          <c:order val="6"/>
          <c:tx>
            <c:strRef>
              <c:f>'F-Staat O en K'!$A$13</c:f>
              <c:strCache>
                <c:ptCount val="1"/>
                <c:pt idx="0">
                  <c:v>Financiële kosten</c:v>
                </c:pt>
              </c:strCache>
            </c:strRef>
          </c:tx>
          <c:spPr>
            <a:ln w="9525" cap="rnd">
              <a:solidFill>
                <a:schemeClr val="accent1">
                  <a:lumMod val="60000"/>
                </a:schemeClr>
              </a:solidFill>
              <a:round/>
            </a:ln>
            <a:effectLst/>
          </c:spPr>
          <c:marker>
            <c:symbol val="none"/>
          </c:marker>
          <c:xVal>
            <c:numRef>
              <c:f>'F-Staat O en K'!$B$6:$I$6</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K'!$B$13:$I$13</c:f>
              <c:numCache>
                <c:formatCode>#,##0</c:formatCode>
                <c:ptCount val="8"/>
                <c:pt idx="0">
                  <c:v>582020</c:v>
                </c:pt>
                <c:pt idx="1">
                  <c:v>498573</c:v>
                </c:pt>
                <c:pt idx="2">
                  <c:v>424802</c:v>
                </c:pt>
                <c:pt idx="3">
                  <c:v>389196</c:v>
                </c:pt>
                <c:pt idx="4">
                  <c:v>1352994</c:v>
                </c:pt>
                <c:pt idx="5">
                  <c:v>358126</c:v>
                </c:pt>
                <c:pt idx="6">
                  <c:v>314509</c:v>
                </c:pt>
                <c:pt idx="7">
                  <c:v>290266</c:v>
                </c:pt>
              </c:numCache>
            </c:numRef>
          </c:yVal>
          <c:smooth val="1"/>
          <c:extLst>
            <c:ext xmlns:c16="http://schemas.microsoft.com/office/drawing/2014/chart" uri="{C3380CC4-5D6E-409C-BE32-E72D297353CC}">
              <c16:uniqueId val="{00000006-876C-4E48-A719-508480F1A0BE}"/>
            </c:ext>
          </c:extLst>
        </c:ser>
        <c:dLbls>
          <c:showLegendKey val="0"/>
          <c:showVal val="0"/>
          <c:showCatName val="0"/>
          <c:showSerName val="0"/>
          <c:showPercent val="0"/>
          <c:showBubbleSize val="0"/>
        </c:dLbls>
        <c:axId val="502151680"/>
        <c:axId val="502149384"/>
      </c:scatterChart>
      <c:valAx>
        <c:axId val="502151680"/>
        <c:scaling>
          <c:orientation val="minMax"/>
        </c:scaling>
        <c:delete val="0"/>
        <c:axPos val="b"/>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nl-BE"/>
          </a:p>
        </c:txPr>
        <c:crossAx val="502149384"/>
        <c:crosses val="autoZero"/>
        <c:crossBetween val="midCat"/>
      </c:valAx>
      <c:valAx>
        <c:axId val="5021493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solidFill>
              <a:schemeClr val="tx2">
                <a:lumMod val="40000"/>
                <a:lumOff val="60000"/>
              </a:schemeClr>
            </a:solid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nl-BE"/>
          </a:p>
        </c:txPr>
        <c:crossAx val="50215168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tx>
            <c:strRef>
              <c:f>'F-Staat O en K'!$A$25</c:f>
              <c:strCache>
                <c:ptCount val="1"/>
                <c:pt idx="0">
                  <c:v>Personeelskost OCMW</c:v>
                </c:pt>
              </c:strCache>
            </c:strRef>
          </c:tx>
          <c:spPr>
            <a:ln w="19050" cap="rnd">
              <a:solidFill>
                <a:schemeClr val="accent1"/>
              </a:solidFill>
              <a:round/>
            </a:ln>
            <a:effectLst/>
          </c:spPr>
          <c:marker>
            <c:symbol val="none"/>
          </c:marker>
          <c:xVal>
            <c:numRef>
              <c:f>'F-Staat O en K'!$B$24:$I$24</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K'!$B$25:$I$25</c:f>
              <c:numCache>
                <c:formatCode>#,##0</c:formatCode>
                <c:ptCount val="8"/>
                <c:pt idx="0">
                  <c:v>10784308</c:v>
                </c:pt>
                <c:pt idx="1">
                  <c:v>11070639</c:v>
                </c:pt>
                <c:pt idx="2">
                  <c:v>11563039</c:v>
                </c:pt>
                <c:pt idx="3">
                  <c:v>11879791</c:v>
                </c:pt>
                <c:pt idx="4">
                  <c:v>12433617</c:v>
                </c:pt>
                <c:pt idx="5">
                  <c:v>13025192</c:v>
                </c:pt>
                <c:pt idx="6">
                  <c:v>12625970</c:v>
                </c:pt>
                <c:pt idx="7">
                  <c:v>14034415</c:v>
                </c:pt>
              </c:numCache>
            </c:numRef>
          </c:yVal>
          <c:smooth val="1"/>
          <c:extLst>
            <c:ext xmlns:c16="http://schemas.microsoft.com/office/drawing/2014/chart" uri="{C3380CC4-5D6E-409C-BE32-E72D297353CC}">
              <c16:uniqueId val="{00000000-2FAD-4B1C-9E4C-41F340D2BC31}"/>
            </c:ext>
          </c:extLst>
        </c:ser>
        <c:ser>
          <c:idx val="1"/>
          <c:order val="1"/>
          <c:tx>
            <c:strRef>
              <c:f>'F-Staat O en K'!$A$26</c:f>
              <c:strCache>
                <c:ptCount val="1"/>
                <c:pt idx="0">
                  <c:v>Goederen en diensten</c:v>
                </c:pt>
              </c:strCache>
            </c:strRef>
          </c:tx>
          <c:spPr>
            <a:ln w="19050" cap="rnd">
              <a:solidFill>
                <a:schemeClr val="accent2"/>
              </a:solidFill>
              <a:round/>
            </a:ln>
            <a:effectLst/>
          </c:spPr>
          <c:marker>
            <c:symbol val="none"/>
          </c:marker>
          <c:xVal>
            <c:numRef>
              <c:f>'F-Staat O en K'!$B$24:$I$24</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K'!$B$26:$I$26</c:f>
              <c:numCache>
                <c:formatCode>#,##0</c:formatCode>
                <c:ptCount val="8"/>
                <c:pt idx="0">
                  <c:v>2608121</c:v>
                </c:pt>
                <c:pt idx="1">
                  <c:v>2727245</c:v>
                </c:pt>
                <c:pt idx="2">
                  <c:v>2597028</c:v>
                </c:pt>
                <c:pt idx="3">
                  <c:v>2682527</c:v>
                </c:pt>
                <c:pt idx="4">
                  <c:v>2626007</c:v>
                </c:pt>
                <c:pt idx="5">
                  <c:v>2382472</c:v>
                </c:pt>
                <c:pt idx="6">
                  <c:v>2673344</c:v>
                </c:pt>
                <c:pt idx="7">
                  <c:v>3253663</c:v>
                </c:pt>
              </c:numCache>
            </c:numRef>
          </c:yVal>
          <c:smooth val="1"/>
          <c:extLst>
            <c:ext xmlns:c16="http://schemas.microsoft.com/office/drawing/2014/chart" uri="{C3380CC4-5D6E-409C-BE32-E72D297353CC}">
              <c16:uniqueId val="{00000001-2FAD-4B1C-9E4C-41F340D2BC31}"/>
            </c:ext>
          </c:extLst>
        </c:ser>
        <c:ser>
          <c:idx val="2"/>
          <c:order val="2"/>
          <c:tx>
            <c:strRef>
              <c:f>'F-Staat O en K'!$A$27</c:f>
              <c:strCache>
                <c:ptCount val="1"/>
                <c:pt idx="0">
                  <c:v>Afschrijvingen en voorzieningen</c:v>
                </c:pt>
              </c:strCache>
            </c:strRef>
          </c:tx>
          <c:spPr>
            <a:ln w="19050" cap="rnd">
              <a:solidFill>
                <a:schemeClr val="accent3"/>
              </a:solidFill>
              <a:round/>
            </a:ln>
            <a:effectLst/>
          </c:spPr>
          <c:marker>
            <c:symbol val="none"/>
          </c:marker>
          <c:xVal>
            <c:numRef>
              <c:f>'F-Staat O en K'!$B$24:$I$24</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K'!$B$27:$I$27</c:f>
              <c:numCache>
                <c:formatCode>#,##0</c:formatCode>
                <c:ptCount val="8"/>
                <c:pt idx="0">
                  <c:v>1365267</c:v>
                </c:pt>
                <c:pt idx="1">
                  <c:v>1027518</c:v>
                </c:pt>
                <c:pt idx="2">
                  <c:v>1859692</c:v>
                </c:pt>
                <c:pt idx="3">
                  <c:v>1435285</c:v>
                </c:pt>
                <c:pt idx="4">
                  <c:v>3383335</c:v>
                </c:pt>
                <c:pt idx="5">
                  <c:v>1659843</c:v>
                </c:pt>
                <c:pt idx="6">
                  <c:v>2183048</c:v>
                </c:pt>
                <c:pt idx="7">
                  <c:v>1278716</c:v>
                </c:pt>
              </c:numCache>
            </c:numRef>
          </c:yVal>
          <c:smooth val="1"/>
          <c:extLst>
            <c:ext xmlns:c16="http://schemas.microsoft.com/office/drawing/2014/chart" uri="{C3380CC4-5D6E-409C-BE32-E72D297353CC}">
              <c16:uniqueId val="{00000002-2FAD-4B1C-9E4C-41F340D2BC31}"/>
            </c:ext>
          </c:extLst>
        </c:ser>
        <c:ser>
          <c:idx val="3"/>
          <c:order val="3"/>
          <c:tx>
            <c:strRef>
              <c:f>'F-Staat O en K'!$A$28</c:f>
              <c:strCache>
                <c:ptCount val="1"/>
                <c:pt idx="0">
                  <c:v>Kosten sociale dienst</c:v>
                </c:pt>
              </c:strCache>
            </c:strRef>
          </c:tx>
          <c:spPr>
            <a:ln w="19050" cap="rnd">
              <a:solidFill>
                <a:schemeClr val="accent4"/>
              </a:solidFill>
              <a:round/>
            </a:ln>
            <a:effectLst/>
          </c:spPr>
          <c:marker>
            <c:symbol val="none"/>
          </c:marker>
          <c:xVal>
            <c:numRef>
              <c:f>'F-Staat O en K'!$B$24:$I$24</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K'!$B$28:$I$28</c:f>
              <c:numCache>
                <c:formatCode>#,##0</c:formatCode>
                <c:ptCount val="8"/>
                <c:pt idx="0">
                  <c:v>487316</c:v>
                </c:pt>
                <c:pt idx="1">
                  <c:v>537703</c:v>
                </c:pt>
                <c:pt idx="2">
                  <c:v>691298</c:v>
                </c:pt>
                <c:pt idx="3">
                  <c:v>725877</c:v>
                </c:pt>
                <c:pt idx="4">
                  <c:v>743313</c:v>
                </c:pt>
                <c:pt idx="5">
                  <c:v>690788</c:v>
                </c:pt>
                <c:pt idx="6">
                  <c:v>710711</c:v>
                </c:pt>
                <c:pt idx="7">
                  <c:v>955471</c:v>
                </c:pt>
              </c:numCache>
            </c:numRef>
          </c:yVal>
          <c:smooth val="1"/>
          <c:extLst>
            <c:ext xmlns:c16="http://schemas.microsoft.com/office/drawing/2014/chart" uri="{C3380CC4-5D6E-409C-BE32-E72D297353CC}">
              <c16:uniqueId val="{00000003-2FAD-4B1C-9E4C-41F340D2BC31}"/>
            </c:ext>
          </c:extLst>
        </c:ser>
        <c:ser>
          <c:idx val="4"/>
          <c:order val="4"/>
          <c:tx>
            <c:strRef>
              <c:f>'F-Staat O en K'!$A$29</c:f>
              <c:strCache>
                <c:ptCount val="1"/>
                <c:pt idx="0">
                  <c:v>Toegestande werkingssubsidies</c:v>
                </c:pt>
              </c:strCache>
            </c:strRef>
          </c:tx>
          <c:spPr>
            <a:ln w="19050" cap="rnd">
              <a:solidFill>
                <a:schemeClr val="accent5"/>
              </a:solidFill>
              <a:round/>
            </a:ln>
            <a:effectLst/>
          </c:spPr>
          <c:marker>
            <c:symbol val="none"/>
          </c:marker>
          <c:xVal>
            <c:numRef>
              <c:f>'F-Staat O en K'!$B$24:$I$24</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K'!$B$29:$I$29</c:f>
              <c:numCache>
                <c:formatCode>#,##0</c:formatCode>
                <c:ptCount val="8"/>
                <c:pt idx="0">
                  <c:v>22179</c:v>
                </c:pt>
                <c:pt idx="1">
                  <c:v>22680</c:v>
                </c:pt>
                <c:pt idx="2">
                  <c:v>22237</c:v>
                </c:pt>
                <c:pt idx="3">
                  <c:v>22311</c:v>
                </c:pt>
                <c:pt idx="4">
                  <c:v>21704</c:v>
                </c:pt>
                <c:pt idx="5">
                  <c:v>34022</c:v>
                </c:pt>
                <c:pt idx="6">
                  <c:v>26683</c:v>
                </c:pt>
                <c:pt idx="7">
                  <c:v>61524</c:v>
                </c:pt>
              </c:numCache>
            </c:numRef>
          </c:yVal>
          <c:smooth val="1"/>
          <c:extLst>
            <c:ext xmlns:c16="http://schemas.microsoft.com/office/drawing/2014/chart" uri="{C3380CC4-5D6E-409C-BE32-E72D297353CC}">
              <c16:uniqueId val="{00000004-2FAD-4B1C-9E4C-41F340D2BC31}"/>
            </c:ext>
          </c:extLst>
        </c:ser>
        <c:ser>
          <c:idx val="5"/>
          <c:order val="5"/>
          <c:tx>
            <c:strRef>
              <c:f>'F-Staat O en K'!$A$30</c:f>
              <c:strCache>
                <c:ptCount val="1"/>
                <c:pt idx="0">
                  <c:v>Minderwaarden bij realisatie vast actief</c:v>
                </c:pt>
              </c:strCache>
            </c:strRef>
          </c:tx>
          <c:spPr>
            <a:ln w="19050" cap="rnd">
              <a:solidFill>
                <a:schemeClr val="accent6"/>
              </a:solidFill>
              <a:round/>
            </a:ln>
            <a:effectLst/>
          </c:spPr>
          <c:marker>
            <c:symbol val="none"/>
          </c:marker>
          <c:xVal>
            <c:numRef>
              <c:f>'F-Staat O en K'!$B$24:$I$24</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K'!$B$30:$I$30</c:f>
              <c:numCache>
                <c:formatCode>#,##0</c:formatCode>
                <c:ptCount val="8"/>
                <c:pt idx="5">
                  <c:v>6626</c:v>
                </c:pt>
                <c:pt idx="6">
                  <c:v>80679</c:v>
                </c:pt>
                <c:pt idx="7">
                  <c:v>0</c:v>
                </c:pt>
              </c:numCache>
            </c:numRef>
          </c:yVal>
          <c:smooth val="1"/>
          <c:extLst>
            <c:ext xmlns:c16="http://schemas.microsoft.com/office/drawing/2014/chart" uri="{C3380CC4-5D6E-409C-BE32-E72D297353CC}">
              <c16:uniqueId val="{00000005-2FAD-4B1C-9E4C-41F340D2BC31}"/>
            </c:ext>
          </c:extLst>
        </c:ser>
        <c:ser>
          <c:idx val="6"/>
          <c:order val="6"/>
          <c:tx>
            <c:strRef>
              <c:f>'F-Staat O en K'!$A$31</c:f>
              <c:strCache>
                <c:ptCount val="1"/>
                <c:pt idx="0">
                  <c:v>Andere operatione kosten </c:v>
                </c:pt>
              </c:strCache>
            </c:strRef>
          </c:tx>
          <c:spPr>
            <a:ln w="19050" cap="rnd">
              <a:solidFill>
                <a:schemeClr val="accent1">
                  <a:lumMod val="60000"/>
                </a:schemeClr>
              </a:solidFill>
              <a:round/>
            </a:ln>
            <a:effectLst/>
          </c:spPr>
          <c:marker>
            <c:symbol val="none"/>
          </c:marker>
          <c:xVal>
            <c:numRef>
              <c:f>'F-Staat O en K'!$B$24:$I$24</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K'!$B$31:$I$31</c:f>
              <c:numCache>
                <c:formatCode>#,##0</c:formatCode>
                <c:ptCount val="8"/>
                <c:pt idx="0">
                  <c:v>56615</c:v>
                </c:pt>
                <c:pt idx="1">
                  <c:v>88877</c:v>
                </c:pt>
                <c:pt idx="2">
                  <c:v>62979</c:v>
                </c:pt>
                <c:pt idx="3">
                  <c:v>71613</c:v>
                </c:pt>
                <c:pt idx="4">
                  <c:v>72586</c:v>
                </c:pt>
                <c:pt idx="5">
                  <c:v>73413</c:v>
                </c:pt>
                <c:pt idx="6">
                  <c:v>79125</c:v>
                </c:pt>
                <c:pt idx="7">
                  <c:v>99829</c:v>
                </c:pt>
              </c:numCache>
            </c:numRef>
          </c:yVal>
          <c:smooth val="1"/>
          <c:extLst>
            <c:ext xmlns:c16="http://schemas.microsoft.com/office/drawing/2014/chart" uri="{C3380CC4-5D6E-409C-BE32-E72D297353CC}">
              <c16:uniqueId val="{00000006-2FAD-4B1C-9E4C-41F340D2BC31}"/>
            </c:ext>
          </c:extLst>
        </c:ser>
        <c:ser>
          <c:idx val="7"/>
          <c:order val="7"/>
          <c:tx>
            <c:strRef>
              <c:f>'F-Staat O en K'!$A$32</c:f>
              <c:strCache>
                <c:ptCount val="1"/>
                <c:pt idx="0">
                  <c:v>Financiële kosten</c:v>
                </c:pt>
              </c:strCache>
            </c:strRef>
          </c:tx>
          <c:spPr>
            <a:ln w="19050" cap="rnd">
              <a:solidFill>
                <a:schemeClr val="accent2">
                  <a:lumMod val="60000"/>
                </a:schemeClr>
              </a:solidFill>
              <a:round/>
            </a:ln>
            <a:effectLst/>
          </c:spPr>
          <c:marker>
            <c:symbol val="none"/>
          </c:marker>
          <c:xVal>
            <c:numRef>
              <c:f>'F-Staat O en K'!$B$24:$I$24</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K'!$B$32:$I$32</c:f>
              <c:numCache>
                <c:formatCode>#,##0</c:formatCode>
                <c:ptCount val="8"/>
                <c:pt idx="0">
                  <c:v>92346</c:v>
                </c:pt>
                <c:pt idx="1">
                  <c:v>80554</c:v>
                </c:pt>
                <c:pt idx="2">
                  <c:v>70538</c:v>
                </c:pt>
                <c:pt idx="3">
                  <c:v>39554</c:v>
                </c:pt>
                <c:pt idx="4">
                  <c:v>32081</c:v>
                </c:pt>
                <c:pt idx="5">
                  <c:v>994</c:v>
                </c:pt>
                <c:pt idx="6">
                  <c:v>1657</c:v>
                </c:pt>
                <c:pt idx="7">
                  <c:v>3234</c:v>
                </c:pt>
              </c:numCache>
            </c:numRef>
          </c:yVal>
          <c:smooth val="1"/>
          <c:extLst>
            <c:ext xmlns:c16="http://schemas.microsoft.com/office/drawing/2014/chart" uri="{C3380CC4-5D6E-409C-BE32-E72D297353CC}">
              <c16:uniqueId val="{00000007-2FAD-4B1C-9E4C-41F340D2BC31}"/>
            </c:ext>
          </c:extLst>
        </c:ser>
        <c:dLbls>
          <c:showLegendKey val="0"/>
          <c:showVal val="0"/>
          <c:showCatName val="0"/>
          <c:showSerName val="0"/>
          <c:showPercent val="0"/>
          <c:showBubbleSize val="0"/>
        </c:dLbls>
        <c:axId val="502148728"/>
        <c:axId val="502157584"/>
      </c:scatterChart>
      <c:valAx>
        <c:axId val="50214872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02157584"/>
        <c:crosses val="autoZero"/>
        <c:crossBetween val="midCat"/>
      </c:valAx>
      <c:valAx>
        <c:axId val="5021575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02148728"/>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1"/>
          <c:order val="0"/>
          <c:tx>
            <c:strRef>
              <c:f>'F-Staat O en K'!$A$51</c:f>
              <c:strCache>
                <c:ptCount val="1"/>
                <c:pt idx="0">
                  <c:v>Goederen en diensten</c:v>
                </c:pt>
              </c:strCache>
            </c:strRef>
          </c:tx>
          <c:spPr>
            <a:ln w="19050" cap="rnd">
              <a:solidFill>
                <a:schemeClr val="accent2"/>
              </a:solid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0-FC5A-40B9-985A-6E21A6C57301}"/>
                </c:ext>
              </c:extLst>
            </c:dLbl>
            <c:dLbl>
              <c:idx val="1"/>
              <c:layout>
                <c:manualLayout>
                  <c:x val="-7.9960007404170762E-3"/>
                  <c:y val="5.274721623451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5A-40B9-985A-6E21A6C57301}"/>
                </c:ext>
              </c:extLst>
            </c:dLbl>
            <c:dLbl>
              <c:idx val="2"/>
              <c:delete val="1"/>
              <c:extLst>
                <c:ext xmlns:c15="http://schemas.microsoft.com/office/drawing/2012/chart" uri="{CE6537A1-D6FC-4f65-9D91-7224C49458BB}"/>
                <c:ext xmlns:c16="http://schemas.microsoft.com/office/drawing/2014/chart" uri="{C3380CC4-5D6E-409C-BE32-E72D297353CC}">
                  <c16:uniqueId val="{00000002-FC5A-40B9-985A-6E21A6C57301}"/>
                </c:ext>
              </c:extLst>
            </c:dLbl>
            <c:dLbl>
              <c:idx val="3"/>
              <c:layout>
                <c:manualLayout>
                  <c:x val="-2.9985002776564108E-2"/>
                  <c:y val="4.1025612626843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5A-40B9-985A-6E21A6C57301}"/>
                </c:ext>
              </c:extLst>
            </c:dLbl>
            <c:dLbl>
              <c:idx val="4"/>
              <c:delete val="1"/>
              <c:extLst>
                <c:ext xmlns:c15="http://schemas.microsoft.com/office/drawing/2012/chart" uri="{CE6537A1-D6FC-4f65-9D91-7224C49458BB}"/>
                <c:ext xmlns:c16="http://schemas.microsoft.com/office/drawing/2014/chart" uri="{C3380CC4-5D6E-409C-BE32-E72D297353CC}">
                  <c16:uniqueId val="{00000004-FC5A-40B9-985A-6E21A6C573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'F-Staat O en K'!$B$49:$I$49</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K'!$B$51:$I$51</c:f>
              <c:numCache>
                <c:formatCode>#,##0.00</c:formatCode>
                <c:ptCount val="8"/>
                <c:pt idx="0">
                  <c:v>376285</c:v>
                </c:pt>
                <c:pt idx="1">
                  <c:v>208878</c:v>
                </c:pt>
                <c:pt idx="2">
                  <c:v>220325</c:v>
                </c:pt>
                <c:pt idx="3">
                  <c:v>259176</c:v>
                </c:pt>
                <c:pt idx="4">
                  <c:v>261392</c:v>
                </c:pt>
                <c:pt idx="5">
                  <c:v>263190</c:v>
                </c:pt>
                <c:pt idx="6">
                  <c:v>381198</c:v>
                </c:pt>
                <c:pt idx="7">
                  <c:v>462663</c:v>
                </c:pt>
              </c:numCache>
            </c:numRef>
          </c:yVal>
          <c:smooth val="1"/>
          <c:extLst>
            <c:ext xmlns:c16="http://schemas.microsoft.com/office/drawing/2014/chart" uri="{C3380CC4-5D6E-409C-BE32-E72D297353CC}">
              <c16:uniqueId val="{00000005-FC5A-40B9-985A-6E21A6C57301}"/>
            </c:ext>
          </c:extLst>
        </c:ser>
        <c:ser>
          <c:idx val="2"/>
          <c:order val="1"/>
          <c:tx>
            <c:strRef>
              <c:f>'F-Staat O en K'!$A$52</c:f>
              <c:strCache>
                <c:ptCount val="1"/>
                <c:pt idx="0">
                  <c:v>Afschrijvingen en voorzieningen</c:v>
                </c:pt>
              </c:strCache>
            </c:strRef>
          </c:tx>
          <c:spPr>
            <a:ln w="19050" cap="rnd">
              <a:solidFill>
                <a:schemeClr val="accent3"/>
              </a:solidFill>
              <a:round/>
            </a:ln>
            <a:effectLst/>
          </c:spPr>
          <c:marker>
            <c:symbol val="none"/>
          </c:marker>
          <c:dLbls>
            <c:dLbl>
              <c:idx val="0"/>
              <c:layout>
                <c:manualLayout>
                  <c:x val="-3.5982003331876844E-2"/>
                  <c:y val="-8.79120270575222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C5A-40B9-985A-6E21A6C57301}"/>
                </c:ext>
              </c:extLst>
            </c:dLbl>
            <c:dLbl>
              <c:idx val="1"/>
              <c:delete val="1"/>
              <c:extLst>
                <c:ext xmlns:c15="http://schemas.microsoft.com/office/drawing/2012/chart" uri="{CE6537A1-D6FC-4f65-9D91-7224C49458BB}"/>
                <c:ext xmlns:c16="http://schemas.microsoft.com/office/drawing/2014/chart" uri="{C3380CC4-5D6E-409C-BE32-E72D297353CC}">
                  <c16:uniqueId val="{00000007-FC5A-40B9-985A-6E21A6C57301}"/>
                </c:ext>
              </c:extLst>
            </c:dLbl>
            <c:dLbl>
              <c:idx val="3"/>
              <c:delete val="1"/>
              <c:extLst>
                <c:ext xmlns:c15="http://schemas.microsoft.com/office/drawing/2012/chart" uri="{CE6537A1-D6FC-4f65-9D91-7224C49458BB}"/>
                <c:ext xmlns:c16="http://schemas.microsoft.com/office/drawing/2014/chart" uri="{C3380CC4-5D6E-409C-BE32-E72D297353CC}">
                  <c16:uniqueId val="{00000008-FC5A-40B9-985A-6E21A6C57301}"/>
                </c:ext>
              </c:extLst>
            </c:dLbl>
            <c:dLbl>
              <c:idx val="4"/>
              <c:layout>
                <c:manualLayout>
                  <c:x val="-2.9985002776564108E-2"/>
                  <c:y val="-8.7911796317293664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extLst>
                <c:ext xmlns:c15="http://schemas.microsoft.com/office/drawing/2012/chart" uri="{CE6537A1-D6FC-4f65-9D91-7224C49458BB}">
                  <c15:layout>
                    <c:manualLayout>
                      <c:w val="9.3942934998180433E-2"/>
                      <c:h val="0.10540675118219754"/>
                    </c:manualLayout>
                  </c15:layout>
                </c:ext>
                <c:ext xmlns:c16="http://schemas.microsoft.com/office/drawing/2014/chart" uri="{C3380CC4-5D6E-409C-BE32-E72D297353CC}">
                  <c16:uniqueId val="{00000009-FC5A-40B9-985A-6E21A6C57301}"/>
                </c:ext>
              </c:extLst>
            </c:dLbl>
            <c:dLbl>
              <c:idx val="5"/>
              <c:delete val="1"/>
              <c:extLst>
                <c:ext xmlns:c15="http://schemas.microsoft.com/office/drawing/2012/chart" uri="{CE6537A1-D6FC-4f65-9D91-7224C49458BB}"/>
                <c:ext xmlns:c16="http://schemas.microsoft.com/office/drawing/2014/chart" uri="{C3380CC4-5D6E-409C-BE32-E72D297353CC}">
                  <c16:uniqueId val="{0000000A-FC5A-40B9-985A-6E21A6C573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'F-Staat O en K'!$B$49:$I$49</c:f>
              <c:numCache>
                <c:formatCode>General</c:formatCode>
                <c:ptCount val="8"/>
                <c:pt idx="0">
                  <c:v>2015</c:v>
                </c:pt>
                <c:pt idx="1">
                  <c:v>2016</c:v>
                </c:pt>
                <c:pt idx="2">
                  <c:v>2017</c:v>
                </c:pt>
                <c:pt idx="3">
                  <c:v>2018</c:v>
                </c:pt>
                <c:pt idx="4">
                  <c:v>2019</c:v>
                </c:pt>
                <c:pt idx="5">
                  <c:v>2020</c:v>
                </c:pt>
                <c:pt idx="6">
                  <c:v>2021</c:v>
                </c:pt>
                <c:pt idx="7">
                  <c:v>2022</c:v>
                </c:pt>
              </c:numCache>
            </c:numRef>
          </c:xVal>
          <c:yVal>
            <c:numRef>
              <c:f>'F-Staat O en K'!$B$52:$I$52</c:f>
              <c:numCache>
                <c:formatCode>#,##0.00</c:formatCode>
                <c:ptCount val="8"/>
                <c:pt idx="0">
                  <c:v>339703</c:v>
                </c:pt>
                <c:pt idx="1">
                  <c:v>355659</c:v>
                </c:pt>
                <c:pt idx="2">
                  <c:v>368508</c:v>
                </c:pt>
                <c:pt idx="3">
                  <c:v>523450</c:v>
                </c:pt>
                <c:pt idx="4">
                  <c:v>543715</c:v>
                </c:pt>
                <c:pt idx="5">
                  <c:v>542327</c:v>
                </c:pt>
                <c:pt idx="6">
                  <c:v>588529</c:v>
                </c:pt>
                <c:pt idx="7">
                  <c:v>581934</c:v>
                </c:pt>
              </c:numCache>
            </c:numRef>
          </c:yVal>
          <c:smooth val="1"/>
          <c:extLst>
            <c:ext xmlns:c16="http://schemas.microsoft.com/office/drawing/2014/chart" uri="{C3380CC4-5D6E-409C-BE32-E72D297353CC}">
              <c16:uniqueId val="{0000000B-FC5A-40B9-985A-6E21A6C57301}"/>
            </c:ext>
          </c:extLst>
        </c:ser>
        <c:dLbls>
          <c:showLegendKey val="0"/>
          <c:showVal val="0"/>
          <c:showCatName val="0"/>
          <c:showSerName val="0"/>
          <c:showPercent val="0"/>
          <c:showBubbleSize val="0"/>
        </c:dLbls>
        <c:axId val="573164160"/>
        <c:axId val="573155632"/>
      </c:scatterChart>
      <c:valAx>
        <c:axId val="5731641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3155632"/>
        <c:crosses val="autoZero"/>
        <c:crossBetween val="midCat"/>
      </c:valAx>
      <c:valAx>
        <c:axId val="573155632"/>
        <c:scaling>
          <c:orientation val="minMax"/>
          <c:min val="10000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3164160"/>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'F-Staat O en K'!$A$70</c:f>
              <c:strCache>
                <c:ptCount val="1"/>
                <c:pt idx="0">
                  <c:v>Totaal opbrengsten Veurne</c:v>
                </c:pt>
              </c:strCache>
            </c:strRef>
          </c:tx>
          <c:spPr>
            <a:solidFill>
              <a:schemeClr val="accent1"/>
            </a:solidFill>
            <a:ln>
              <a:noFill/>
            </a:ln>
            <a:effectLst/>
          </c:spPr>
          <c:invertIfNegative val="0"/>
          <c:cat>
            <c:numRef>
              <c:f>'F-Staat O en K'!$B$66:$H$66</c:f>
              <c:numCache>
                <c:formatCode>General</c:formatCode>
                <c:ptCount val="7"/>
                <c:pt idx="0">
                  <c:v>2015</c:v>
                </c:pt>
                <c:pt idx="1">
                  <c:v>2016</c:v>
                </c:pt>
                <c:pt idx="2">
                  <c:v>2017</c:v>
                </c:pt>
                <c:pt idx="3">
                  <c:v>2018</c:v>
                </c:pt>
                <c:pt idx="4">
                  <c:v>2019</c:v>
                </c:pt>
                <c:pt idx="5">
                  <c:v>2020</c:v>
                </c:pt>
                <c:pt idx="6">
                  <c:v>2021</c:v>
                </c:pt>
              </c:numCache>
            </c:numRef>
          </c:cat>
          <c:val>
            <c:numRef>
              <c:f>'F-Staat O en K'!$B$70:$H$70</c:f>
              <c:numCache>
                <c:formatCode>#,##0.00</c:formatCode>
                <c:ptCount val="7"/>
                <c:pt idx="0">
                  <c:v>42037337</c:v>
                </c:pt>
                <c:pt idx="1">
                  <c:v>38016672</c:v>
                </c:pt>
                <c:pt idx="2">
                  <c:v>38874802</c:v>
                </c:pt>
                <c:pt idx="3">
                  <c:v>39607636</c:v>
                </c:pt>
                <c:pt idx="4">
                  <c:v>42226755</c:v>
                </c:pt>
                <c:pt idx="5">
                  <c:v>39121920</c:v>
                </c:pt>
                <c:pt idx="6">
                  <c:v>41503992</c:v>
                </c:pt>
              </c:numCache>
            </c:numRef>
          </c:val>
          <c:extLst>
            <c:ext xmlns:c16="http://schemas.microsoft.com/office/drawing/2014/chart" uri="{C3380CC4-5D6E-409C-BE32-E72D297353CC}">
              <c16:uniqueId val="{00000000-DFDB-41B9-BC5B-F14A57EDF483}"/>
            </c:ext>
          </c:extLst>
        </c:ser>
        <c:ser>
          <c:idx val="1"/>
          <c:order val="1"/>
          <c:tx>
            <c:strRef>
              <c:f>'F-Staat O en K'!$A$75</c:f>
              <c:strCache>
                <c:ptCount val="1"/>
                <c:pt idx="0">
                  <c:v>Totaal kosten Veurne</c:v>
                </c:pt>
              </c:strCache>
            </c:strRef>
          </c:tx>
          <c:spPr>
            <a:solidFill>
              <a:schemeClr val="accent2"/>
            </a:solidFill>
            <a:ln>
              <a:noFill/>
            </a:ln>
            <a:effectLst/>
          </c:spPr>
          <c:invertIfNegative val="0"/>
          <c:cat>
            <c:numRef>
              <c:f>'F-Staat O en K'!$B$66:$H$66</c:f>
              <c:numCache>
                <c:formatCode>General</c:formatCode>
                <c:ptCount val="7"/>
                <c:pt idx="0">
                  <c:v>2015</c:v>
                </c:pt>
                <c:pt idx="1">
                  <c:v>2016</c:v>
                </c:pt>
                <c:pt idx="2">
                  <c:v>2017</c:v>
                </c:pt>
                <c:pt idx="3">
                  <c:v>2018</c:v>
                </c:pt>
                <c:pt idx="4">
                  <c:v>2019</c:v>
                </c:pt>
                <c:pt idx="5">
                  <c:v>2020</c:v>
                </c:pt>
                <c:pt idx="6">
                  <c:v>2021</c:v>
                </c:pt>
              </c:numCache>
            </c:numRef>
          </c:cat>
          <c:val>
            <c:numRef>
              <c:f>'F-Staat O en K'!$B$75:$H$75</c:f>
              <c:numCache>
                <c:formatCode>#,##0.00</c:formatCode>
                <c:ptCount val="7"/>
                <c:pt idx="0">
                  <c:v>38408995</c:v>
                </c:pt>
                <c:pt idx="1">
                  <c:v>37176201</c:v>
                </c:pt>
                <c:pt idx="2">
                  <c:v>28263036</c:v>
                </c:pt>
                <c:pt idx="3">
                  <c:v>38519156</c:v>
                </c:pt>
                <c:pt idx="4">
                  <c:v>43410374</c:v>
                </c:pt>
                <c:pt idx="5">
                  <c:v>38205886</c:v>
                </c:pt>
                <c:pt idx="6">
                  <c:v>39561344</c:v>
                </c:pt>
              </c:numCache>
            </c:numRef>
          </c:val>
          <c:extLst>
            <c:ext xmlns:c16="http://schemas.microsoft.com/office/drawing/2014/chart" uri="{C3380CC4-5D6E-409C-BE32-E72D297353CC}">
              <c16:uniqueId val="{00000001-DFDB-41B9-BC5B-F14A57EDF483}"/>
            </c:ext>
          </c:extLst>
        </c:ser>
        <c:dLbls>
          <c:showLegendKey val="0"/>
          <c:showVal val="0"/>
          <c:showCatName val="0"/>
          <c:showSerName val="0"/>
          <c:showPercent val="0"/>
          <c:showBubbleSize val="0"/>
        </c:dLbls>
        <c:gapWidth val="150"/>
        <c:overlap val="100"/>
        <c:axId val="571272720"/>
        <c:axId val="571270752"/>
      </c:barChart>
      <c:lineChart>
        <c:grouping val="standard"/>
        <c:varyColors val="0"/>
        <c:ser>
          <c:idx val="2"/>
          <c:order val="2"/>
          <c:tx>
            <c:strRef>
              <c:f>'F-Staat O en K'!$A$80</c:f>
              <c:strCache>
                <c:ptCount val="1"/>
                <c:pt idx="0">
                  <c:v>Resultaat Veurne</c:v>
                </c:pt>
              </c:strCache>
            </c:strRef>
          </c:tx>
          <c:spPr>
            <a:ln w="28575" cap="rnd">
              <a:solidFill>
                <a:schemeClr val="accent3"/>
              </a:solidFill>
              <a:round/>
            </a:ln>
            <a:effectLst/>
          </c:spPr>
          <c:marker>
            <c:symbol val="none"/>
          </c:marker>
          <c:val>
            <c:numRef>
              <c:f>'F-Staat O en K'!$B$80:$H$80</c:f>
              <c:numCache>
                <c:formatCode>#,##0.00</c:formatCode>
                <c:ptCount val="7"/>
                <c:pt idx="0">
                  <c:v>3628342</c:v>
                </c:pt>
                <c:pt idx="1">
                  <c:v>840471</c:v>
                </c:pt>
                <c:pt idx="2">
                  <c:v>10611766</c:v>
                </c:pt>
                <c:pt idx="3">
                  <c:v>1088480</c:v>
                </c:pt>
                <c:pt idx="4">
                  <c:v>-1183619</c:v>
                </c:pt>
                <c:pt idx="5">
                  <c:v>916034</c:v>
                </c:pt>
                <c:pt idx="6">
                  <c:v>1942648</c:v>
                </c:pt>
              </c:numCache>
            </c:numRef>
          </c:val>
          <c:smooth val="0"/>
          <c:extLst>
            <c:ext xmlns:c16="http://schemas.microsoft.com/office/drawing/2014/chart" uri="{C3380CC4-5D6E-409C-BE32-E72D297353CC}">
              <c16:uniqueId val="{00000002-DFDB-41B9-BC5B-F14A57EDF483}"/>
            </c:ext>
          </c:extLst>
        </c:ser>
        <c:dLbls>
          <c:showLegendKey val="0"/>
          <c:showVal val="0"/>
          <c:showCatName val="0"/>
          <c:showSerName val="0"/>
          <c:showPercent val="0"/>
          <c:showBubbleSize val="0"/>
        </c:dLbls>
        <c:marker val="1"/>
        <c:smooth val="0"/>
        <c:axId val="571272720"/>
        <c:axId val="571270752"/>
      </c:lineChart>
      <c:catAx>
        <c:axId val="571272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1270752"/>
        <c:crosses val="autoZero"/>
        <c:auto val="1"/>
        <c:lblAlgn val="ctr"/>
        <c:lblOffset val="100"/>
        <c:noMultiLvlLbl val="0"/>
      </c:catAx>
      <c:valAx>
        <c:axId val="5712707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1272720"/>
        <c:crosses val="autoZero"/>
        <c:crossBetween val="between"/>
      </c:val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nl-BE"/>
          </a:p>
        </c:txPr>
      </c:dTable>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'F-Staat O en K'!$A$125</c:f>
              <c:strCache>
                <c:ptCount val="1"/>
                <c:pt idx="0">
                  <c:v>Opbrengsten uit de werking</c:v>
                </c:pt>
              </c:strCache>
            </c:strRef>
          </c:tx>
          <c:spPr>
            <a:ln w="28575" cap="rnd">
              <a:solidFill>
                <a:schemeClr val="accent1"/>
              </a:solidFill>
              <a:round/>
            </a:ln>
            <a:effectLst/>
          </c:spPr>
          <c:marker>
            <c:symbol val="none"/>
          </c:marker>
          <c:dLbls>
            <c:dLbl>
              <c:idx val="0"/>
              <c:layout>
                <c:manualLayout>
                  <c:x val="-5.6565656565656569E-2"/>
                  <c:y val="-4.62962962962962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CA-44C4-86C3-F9FA32D7B644}"/>
                </c:ext>
              </c:extLst>
            </c:dLbl>
            <c:dLbl>
              <c:idx val="1"/>
              <c:layout>
                <c:manualLayout>
                  <c:x val="-5.1178451178451226E-2"/>
                  <c:y val="5.55555555555555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CA-44C4-86C3-F9FA32D7B644}"/>
                </c:ext>
              </c:extLst>
            </c:dLbl>
            <c:dLbl>
              <c:idx val="2"/>
              <c:layout>
                <c:manualLayout>
                  <c:x val="-9.876429116524601E-17"/>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CA-44C4-86C3-F9FA32D7B644}"/>
                </c:ext>
              </c:extLst>
            </c:dLbl>
            <c:dLbl>
              <c:idx val="3"/>
              <c:layout>
                <c:manualLayout>
                  <c:x val="-8.3501683501683507E-2"/>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CA-44C4-86C3-F9FA32D7B644}"/>
                </c:ext>
              </c:extLst>
            </c:dLbl>
            <c:dLbl>
              <c:idx val="4"/>
              <c:layout>
                <c:manualLayout>
                  <c:x val="-1.0774410774410775E-2"/>
                  <c:y val="-6.48148148148148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CA-44C4-86C3-F9FA32D7B644}"/>
                </c:ext>
              </c:extLst>
            </c:dLbl>
            <c:dLbl>
              <c:idx val="5"/>
              <c:layout>
                <c:manualLayout>
                  <c:x val="-6.1952861952862051E-2"/>
                  <c:y val="5.09259259259260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CA-44C4-86C3-F9FA32D7B644}"/>
                </c:ext>
              </c:extLst>
            </c:dLbl>
            <c:dLbl>
              <c:idx val="6"/>
              <c:layout>
                <c:manualLayout>
                  <c:x val="-7.2727272727272724E-2"/>
                  <c:y val="-8.33333333333333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2CA-44C4-86C3-F9FA32D7B644}"/>
                </c:ext>
              </c:extLst>
            </c:dLbl>
            <c:spPr>
              <a:solidFill>
                <a:schemeClr val="accent2">
                  <a:lumMod val="20000"/>
                  <a:lumOff val="80000"/>
                </a:schemeClr>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'F-Staat O en K'!$B$124:$I$124</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K'!$B$125:$I$125</c:f>
              <c:numCache>
                <c:formatCode>#,##0.00</c:formatCode>
                <c:ptCount val="8"/>
                <c:pt idx="0">
                  <c:v>178303</c:v>
                </c:pt>
                <c:pt idx="1">
                  <c:v>48896</c:v>
                </c:pt>
                <c:pt idx="2">
                  <c:v>57429</c:v>
                </c:pt>
                <c:pt idx="3">
                  <c:v>92002</c:v>
                </c:pt>
                <c:pt idx="4">
                  <c:v>87581</c:v>
                </c:pt>
                <c:pt idx="5">
                  <c:v>49108</c:v>
                </c:pt>
                <c:pt idx="6">
                  <c:v>249275</c:v>
                </c:pt>
                <c:pt idx="7">
                  <c:v>183795</c:v>
                </c:pt>
              </c:numCache>
            </c:numRef>
          </c:val>
          <c:smooth val="0"/>
          <c:extLst>
            <c:ext xmlns:c16="http://schemas.microsoft.com/office/drawing/2014/chart" uri="{C3380CC4-5D6E-409C-BE32-E72D297353CC}">
              <c16:uniqueId val="{00000007-42CA-44C4-86C3-F9FA32D7B644}"/>
            </c:ext>
          </c:extLst>
        </c:ser>
        <c:dLbls>
          <c:showLegendKey val="0"/>
          <c:showVal val="0"/>
          <c:showCatName val="0"/>
          <c:showSerName val="0"/>
          <c:showPercent val="0"/>
          <c:showBubbleSize val="0"/>
        </c:dLbls>
        <c:smooth val="0"/>
        <c:axId val="506099216"/>
        <c:axId val="506091672"/>
      </c:lineChart>
      <c:catAx>
        <c:axId val="506099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06091672"/>
        <c:crosses val="autoZero"/>
        <c:auto val="1"/>
        <c:lblAlgn val="ctr"/>
        <c:lblOffset val="100"/>
        <c:noMultiLvlLbl val="0"/>
      </c:catAx>
      <c:valAx>
        <c:axId val="5060916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060992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'F-Staat O en K'!$A$104</c:f>
              <c:strCache>
                <c:ptCount val="1"/>
                <c:pt idx="0">
                  <c:v>Opbrengsten uit de werking</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'F-Staat O en K'!$B$103:$I$103</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K'!$B$104:$I$104</c:f>
              <c:numCache>
                <c:formatCode>#,##0.00</c:formatCode>
                <c:ptCount val="8"/>
                <c:pt idx="0">
                  <c:v>7993026</c:v>
                </c:pt>
                <c:pt idx="1">
                  <c:v>8227445</c:v>
                </c:pt>
                <c:pt idx="2">
                  <c:v>8223387</c:v>
                </c:pt>
                <c:pt idx="3">
                  <c:v>8523210</c:v>
                </c:pt>
                <c:pt idx="4">
                  <c:v>8836808</c:v>
                </c:pt>
                <c:pt idx="5">
                  <c:v>8783336</c:v>
                </c:pt>
                <c:pt idx="6">
                  <c:v>8074381</c:v>
                </c:pt>
                <c:pt idx="7">
                  <c:v>9814285</c:v>
                </c:pt>
              </c:numCache>
            </c:numRef>
          </c:val>
          <c:smooth val="0"/>
          <c:extLst>
            <c:ext xmlns:c16="http://schemas.microsoft.com/office/drawing/2014/chart" uri="{C3380CC4-5D6E-409C-BE32-E72D297353CC}">
              <c16:uniqueId val="{00000000-B417-40D7-AC75-DFEFB5560AA7}"/>
            </c:ext>
          </c:extLst>
        </c:ser>
        <c:ser>
          <c:idx val="1"/>
          <c:order val="1"/>
          <c:tx>
            <c:strRef>
              <c:f>'F-Staat O en K'!$A$105</c:f>
              <c:strCache>
                <c:ptCount val="1"/>
                <c:pt idx="0">
                  <c:v>Algemene werkingssubsidies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'F-Staat O en K'!$B$103:$I$103</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K'!$B$105:$I$105</c:f>
              <c:numCache>
                <c:formatCode>#,##0.00</c:formatCode>
                <c:ptCount val="8"/>
                <c:pt idx="0">
                  <c:v>2108946</c:v>
                </c:pt>
                <c:pt idx="1">
                  <c:v>2387874</c:v>
                </c:pt>
                <c:pt idx="2">
                  <c:v>2582515</c:v>
                </c:pt>
                <c:pt idx="3">
                  <c:v>2748847</c:v>
                </c:pt>
                <c:pt idx="4">
                  <c:v>2760051</c:v>
                </c:pt>
                <c:pt idx="5">
                  <c:v>1001452</c:v>
                </c:pt>
                <c:pt idx="6">
                  <c:v>977730</c:v>
                </c:pt>
                <c:pt idx="7">
                  <c:v>1167601</c:v>
                </c:pt>
              </c:numCache>
            </c:numRef>
          </c:val>
          <c:smooth val="0"/>
          <c:extLst>
            <c:ext xmlns:c16="http://schemas.microsoft.com/office/drawing/2014/chart" uri="{C3380CC4-5D6E-409C-BE32-E72D297353CC}">
              <c16:uniqueId val="{00000001-B417-40D7-AC75-DFEFB5560AA7}"/>
            </c:ext>
          </c:extLst>
        </c:ser>
        <c:ser>
          <c:idx val="2"/>
          <c:order val="2"/>
          <c:tx>
            <c:strRef>
              <c:f>'F-Staat O en K'!$A$106</c:f>
              <c:strCache>
                <c:ptCount val="1"/>
                <c:pt idx="0">
                  <c:v>specifieke werkingssubsidies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'F-Staat O en K'!$B$103:$I$103</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K'!$B$106:$I$106</c:f>
              <c:numCache>
                <c:formatCode>#,##0.00</c:formatCode>
                <c:ptCount val="8"/>
                <c:pt idx="0">
                  <c:v>4440923</c:v>
                </c:pt>
                <c:pt idx="1">
                  <c:v>4574175</c:v>
                </c:pt>
                <c:pt idx="2">
                  <c:v>4678956</c:v>
                </c:pt>
                <c:pt idx="3">
                  <c:v>4835723</c:v>
                </c:pt>
                <c:pt idx="4">
                  <c:v>4733320</c:v>
                </c:pt>
                <c:pt idx="5">
                  <c:v>5564449</c:v>
                </c:pt>
                <c:pt idx="6">
                  <c:v>5905373</c:v>
                </c:pt>
                <c:pt idx="7">
                  <c:v>6304587</c:v>
                </c:pt>
              </c:numCache>
            </c:numRef>
          </c:val>
          <c:smooth val="0"/>
          <c:extLst>
            <c:ext xmlns:c16="http://schemas.microsoft.com/office/drawing/2014/chart" uri="{C3380CC4-5D6E-409C-BE32-E72D297353CC}">
              <c16:uniqueId val="{00000002-B417-40D7-AC75-DFEFB5560AA7}"/>
            </c:ext>
          </c:extLst>
        </c:ser>
        <c:ser>
          <c:idx val="3"/>
          <c:order val="3"/>
          <c:tx>
            <c:strRef>
              <c:f>'F-Staat O en K'!$A$107</c:f>
              <c:strCache>
                <c:ptCount val="1"/>
                <c:pt idx="0">
                  <c:v>Recup kosten sociale dienst</c:v>
                </c:pt>
              </c:strCache>
            </c:strRef>
          </c:tx>
          <c:spPr>
            <a:ln w="28575" cap="rnd">
              <a:solidFill>
                <a:schemeClr val="accent4"/>
              </a:solidFill>
              <a:round/>
            </a:ln>
            <a:effectLst/>
          </c:spPr>
          <c:marker>
            <c:symbol val="none"/>
          </c:marker>
          <c:cat>
            <c:numRef>
              <c:f>'F-Staat O en K'!$B$103:$I$103</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K'!$B$107:$I$107</c:f>
              <c:numCache>
                <c:formatCode>#,##0.00</c:formatCode>
                <c:ptCount val="8"/>
                <c:pt idx="0">
                  <c:v>80035</c:v>
                </c:pt>
                <c:pt idx="1">
                  <c:v>72562</c:v>
                </c:pt>
                <c:pt idx="2">
                  <c:v>102891</c:v>
                </c:pt>
                <c:pt idx="3">
                  <c:v>91690</c:v>
                </c:pt>
                <c:pt idx="4">
                  <c:v>58166</c:v>
                </c:pt>
                <c:pt idx="5">
                  <c:v>37405</c:v>
                </c:pt>
                <c:pt idx="6">
                  <c:v>38942</c:v>
                </c:pt>
                <c:pt idx="7">
                  <c:v>52698</c:v>
                </c:pt>
              </c:numCache>
            </c:numRef>
          </c:val>
          <c:smooth val="0"/>
          <c:extLst>
            <c:ext xmlns:c16="http://schemas.microsoft.com/office/drawing/2014/chart" uri="{C3380CC4-5D6E-409C-BE32-E72D297353CC}">
              <c16:uniqueId val="{00000003-B417-40D7-AC75-DFEFB5560AA7}"/>
            </c:ext>
          </c:extLst>
        </c:ser>
        <c:ser>
          <c:idx val="4"/>
          <c:order val="4"/>
          <c:tx>
            <c:strRef>
              <c:f>'F-Staat O en K'!$A$108</c:f>
              <c:strCache>
                <c:ptCount val="1"/>
                <c:pt idx="0">
                  <c:v>Andere operationele opbrengsten</c:v>
                </c:pt>
              </c:strCache>
            </c:strRef>
          </c:tx>
          <c:spPr>
            <a:ln w="28575" cap="rnd">
              <a:solidFill>
                <a:schemeClr val="accent5"/>
              </a:solidFill>
              <a:round/>
            </a:ln>
            <a:effectLst/>
          </c:spPr>
          <c:marker>
            <c:symbol val="none"/>
          </c:marker>
          <c:cat>
            <c:numRef>
              <c:f>'F-Staat O en K'!$B$103:$I$103</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K'!$B$108:$I$108</c:f>
              <c:numCache>
                <c:formatCode>#,##0.00</c:formatCode>
                <c:ptCount val="8"/>
                <c:pt idx="0">
                  <c:v>222544</c:v>
                </c:pt>
                <c:pt idx="1">
                  <c:v>200953</c:v>
                </c:pt>
                <c:pt idx="2">
                  <c:v>320282</c:v>
                </c:pt>
                <c:pt idx="3">
                  <c:v>250973</c:v>
                </c:pt>
                <c:pt idx="4">
                  <c:v>349207</c:v>
                </c:pt>
                <c:pt idx="5">
                  <c:v>320421</c:v>
                </c:pt>
                <c:pt idx="6">
                  <c:v>379187</c:v>
                </c:pt>
                <c:pt idx="7">
                  <c:v>377784</c:v>
                </c:pt>
              </c:numCache>
            </c:numRef>
          </c:val>
          <c:smooth val="0"/>
          <c:extLst>
            <c:ext xmlns:c16="http://schemas.microsoft.com/office/drawing/2014/chart" uri="{C3380CC4-5D6E-409C-BE32-E72D297353CC}">
              <c16:uniqueId val="{00000004-B417-40D7-AC75-DFEFB5560AA7}"/>
            </c:ext>
          </c:extLst>
        </c:ser>
        <c:ser>
          <c:idx val="5"/>
          <c:order val="5"/>
          <c:tx>
            <c:strRef>
              <c:f>'F-Staat O en K'!$A$109</c:f>
              <c:strCache>
                <c:ptCount val="1"/>
                <c:pt idx="0">
                  <c:v>Meerwaarden bij de realisatie vast activa</c:v>
                </c:pt>
              </c:strCache>
            </c:strRef>
          </c:tx>
          <c:spPr>
            <a:ln w="28575" cap="rnd">
              <a:solidFill>
                <a:schemeClr val="accent6"/>
              </a:solidFill>
              <a:round/>
            </a:ln>
            <a:effectLst/>
          </c:spPr>
          <c:marker>
            <c:symbol val="none"/>
          </c:marker>
          <c:cat>
            <c:numRef>
              <c:f>'F-Staat O en K'!$B$103:$I$103</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K'!$B$109:$I$109</c:f>
              <c:numCache>
                <c:formatCode>#,##0.00</c:formatCode>
                <c:ptCount val="8"/>
                <c:pt idx="0">
                  <c:v>0</c:v>
                </c:pt>
                <c:pt idx="1">
                  <c:v>0</c:v>
                </c:pt>
                <c:pt idx="2">
                  <c:v>1174521</c:v>
                </c:pt>
                <c:pt idx="3">
                  <c:v>418625</c:v>
                </c:pt>
                <c:pt idx="4">
                  <c:v>123772</c:v>
                </c:pt>
                <c:pt idx="5">
                  <c:v>307268</c:v>
                </c:pt>
                <c:pt idx="6">
                  <c:v>458999</c:v>
                </c:pt>
                <c:pt idx="7">
                  <c:v>6269346</c:v>
                </c:pt>
              </c:numCache>
            </c:numRef>
          </c:val>
          <c:smooth val="0"/>
          <c:extLst>
            <c:ext xmlns:c16="http://schemas.microsoft.com/office/drawing/2014/chart" uri="{C3380CC4-5D6E-409C-BE32-E72D297353CC}">
              <c16:uniqueId val="{00000005-B417-40D7-AC75-DFEFB5560AA7}"/>
            </c:ext>
          </c:extLst>
        </c:ser>
        <c:ser>
          <c:idx val="6"/>
          <c:order val="6"/>
          <c:tx>
            <c:strRef>
              <c:f>'F-Staat O en K'!$A$110</c:f>
              <c:strCache>
                <c:ptCount val="1"/>
                <c:pt idx="0">
                  <c:v>Financiële opbrengsten</c:v>
                </c:pt>
              </c:strCache>
            </c:strRef>
          </c:tx>
          <c:spPr>
            <a:ln w="28575" cap="rnd">
              <a:solidFill>
                <a:schemeClr val="accent1">
                  <a:lumMod val="60000"/>
                </a:schemeClr>
              </a:solidFill>
              <a:round/>
            </a:ln>
            <a:effectLst/>
          </c:spPr>
          <c:marker>
            <c:symbol val="none"/>
          </c:marker>
          <c:cat>
            <c:numRef>
              <c:f>'F-Staat O en K'!$B$103:$I$103</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K'!$B$110:$I$110</c:f>
              <c:numCache>
                <c:formatCode>#,##0.00</c:formatCode>
                <c:ptCount val="8"/>
                <c:pt idx="0">
                  <c:v>462158</c:v>
                </c:pt>
                <c:pt idx="1">
                  <c:v>460228</c:v>
                </c:pt>
                <c:pt idx="2">
                  <c:v>458951</c:v>
                </c:pt>
                <c:pt idx="3">
                  <c:v>458236</c:v>
                </c:pt>
                <c:pt idx="4">
                  <c:v>457962</c:v>
                </c:pt>
                <c:pt idx="5">
                  <c:v>428343</c:v>
                </c:pt>
                <c:pt idx="6">
                  <c:v>422232</c:v>
                </c:pt>
                <c:pt idx="7">
                  <c:v>322539</c:v>
                </c:pt>
              </c:numCache>
            </c:numRef>
          </c:val>
          <c:smooth val="0"/>
          <c:extLst>
            <c:ext xmlns:c16="http://schemas.microsoft.com/office/drawing/2014/chart" uri="{C3380CC4-5D6E-409C-BE32-E72D297353CC}">
              <c16:uniqueId val="{00000006-B417-40D7-AC75-DFEFB5560AA7}"/>
            </c:ext>
          </c:extLst>
        </c:ser>
        <c:dLbls>
          <c:showLegendKey val="0"/>
          <c:showVal val="0"/>
          <c:showCatName val="0"/>
          <c:showSerName val="0"/>
          <c:showPercent val="0"/>
          <c:showBubbleSize val="0"/>
        </c:dLbls>
        <c:smooth val="0"/>
        <c:axId val="509670680"/>
        <c:axId val="509667072"/>
      </c:lineChart>
      <c:catAx>
        <c:axId val="509670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09667072"/>
        <c:crosses val="autoZero"/>
        <c:auto val="1"/>
        <c:lblAlgn val="ctr"/>
        <c:lblOffset val="100"/>
        <c:noMultiLvlLbl val="0"/>
      </c:catAx>
      <c:valAx>
        <c:axId val="5096670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096706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Algemene Cijfers</a:t>
            </a:r>
          </a:p>
        </c:rich>
      </c:tx>
      <c:overlay val="0"/>
    </c:title>
    <c:autoTitleDeleted val="0"/>
    <c:plotArea>
      <c:layout/>
      <c:barChart>
        <c:barDir val="col"/>
        <c:grouping val="stacked"/>
        <c:varyColors val="0"/>
        <c:ser>
          <c:idx val="0"/>
          <c:order val="0"/>
          <c:tx>
            <c:v>Volwassenen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33</c:v>
              </c:pt>
              <c:pt idx="1">
                <c:v>36</c:v>
              </c:pt>
              <c:pt idx="2">
                <c:v>67</c:v>
              </c:pt>
              <c:pt idx="3">
                <c:v>84</c:v>
              </c:pt>
              <c:pt idx="4">
                <c:v>86</c:v>
              </c:pt>
              <c:pt idx="5">
                <c:v>90</c:v>
              </c:pt>
              <c:pt idx="6">
                <c:v>209</c:v>
              </c:pt>
              <c:pt idx="7">
                <c:v>324</c:v>
              </c:pt>
              <c:pt idx="8">
                <c:v>238</c:v>
              </c:pt>
              <c:pt idx="9">
                <c:v>228</c:v>
              </c:pt>
              <c:pt idx="10">
                <c:v>182</c:v>
              </c:pt>
              <c:pt idx="11">
                <c:v>186</c:v>
              </c:pt>
            </c:numLit>
          </c:val>
          <c:extLst>
            <c:ext xmlns:c16="http://schemas.microsoft.com/office/drawing/2014/chart" uri="{C3380CC4-5D6E-409C-BE32-E72D297353CC}">
              <c16:uniqueId val="{00000000-27F7-4A65-A7B3-83B519D7AD18}"/>
            </c:ext>
          </c:extLst>
        </c:ser>
        <c:ser>
          <c:idx val="1"/>
          <c:order val="1"/>
          <c:tx>
            <c:v>Senioren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44</c:v>
              </c:pt>
              <c:pt idx="1">
                <c:v>31</c:v>
              </c:pt>
              <c:pt idx="2">
                <c:v>46</c:v>
              </c:pt>
              <c:pt idx="3">
                <c:v>49</c:v>
              </c:pt>
              <c:pt idx="4">
                <c:v>95</c:v>
              </c:pt>
              <c:pt idx="5">
                <c:v>116</c:v>
              </c:pt>
              <c:pt idx="6">
                <c:v>94</c:v>
              </c:pt>
              <c:pt idx="7">
                <c:v>125</c:v>
              </c:pt>
              <c:pt idx="8">
                <c:v>172</c:v>
              </c:pt>
              <c:pt idx="9">
                <c:v>73</c:v>
              </c:pt>
              <c:pt idx="10">
                <c:v>92</c:v>
              </c:pt>
              <c:pt idx="11">
                <c:v>21</c:v>
              </c:pt>
            </c:numLit>
          </c:val>
          <c:extLst>
            <c:ext xmlns:c16="http://schemas.microsoft.com/office/drawing/2014/chart" uri="{C3380CC4-5D6E-409C-BE32-E72D297353CC}">
              <c16:uniqueId val="{00000001-27F7-4A65-A7B3-83B519D7AD18}"/>
            </c:ext>
          </c:extLst>
        </c:ser>
        <c:ser>
          <c:idx val="2"/>
          <c:order val="2"/>
          <c:tx>
            <c:v>7 - 18 jaar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11</c:v>
              </c:pt>
              <c:pt idx="1">
                <c:v>8</c:v>
              </c:pt>
              <c:pt idx="2">
                <c:v>18</c:v>
              </c:pt>
              <c:pt idx="3">
                <c:v>15</c:v>
              </c:pt>
              <c:pt idx="4">
                <c:v>11</c:v>
              </c:pt>
              <c:pt idx="5">
                <c:v>21</c:v>
              </c:pt>
              <c:pt idx="6">
                <c:v>44</c:v>
              </c:pt>
              <c:pt idx="7">
                <c:v>53</c:v>
              </c:pt>
              <c:pt idx="8">
                <c:v>7</c:v>
              </c:pt>
              <c:pt idx="9">
                <c:v>21</c:v>
              </c:pt>
              <c:pt idx="10">
                <c:v>17</c:v>
              </c:pt>
              <c:pt idx="11">
                <c:v>8</c:v>
              </c:pt>
            </c:numLit>
          </c:val>
          <c:extLst>
            <c:ext xmlns:c16="http://schemas.microsoft.com/office/drawing/2014/chart" uri="{C3380CC4-5D6E-409C-BE32-E72D297353CC}">
              <c16:uniqueId val="{00000002-27F7-4A65-A7B3-83B519D7AD18}"/>
            </c:ext>
          </c:extLst>
        </c:ser>
        <c:ser>
          <c:idx val="3"/>
          <c:order val="3"/>
          <c:tx>
            <c:v>&lt; 7 jaar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3-27F7-4A65-A7B3-83B519D7AD18}"/>
            </c:ext>
          </c:extLst>
        </c:ser>
        <c:ser>
          <c:idx val="4"/>
          <c:order val="4"/>
          <c:tx>
            <c:v>reductietarief (ind)</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19</c:v>
              </c:pt>
              <c:pt idx="1">
                <c:v>22</c:v>
              </c:pt>
              <c:pt idx="2">
                <c:v>27</c:v>
              </c:pt>
              <c:pt idx="3">
                <c:v>20</c:v>
              </c:pt>
              <c:pt idx="4">
                <c:v>19</c:v>
              </c:pt>
              <c:pt idx="5">
                <c:v>25</c:v>
              </c:pt>
              <c:pt idx="6">
                <c:v>39</c:v>
              </c:pt>
              <c:pt idx="7">
                <c:v>73</c:v>
              </c:pt>
              <c:pt idx="8">
                <c:v>37</c:v>
              </c:pt>
              <c:pt idx="9">
                <c:v>32</c:v>
              </c:pt>
              <c:pt idx="10">
                <c:v>33</c:v>
              </c:pt>
              <c:pt idx="11">
                <c:v>27</c:v>
              </c:pt>
            </c:numLit>
          </c:val>
          <c:extLst>
            <c:ext xmlns:c16="http://schemas.microsoft.com/office/drawing/2014/chart" uri="{C3380CC4-5D6E-409C-BE32-E72D297353CC}">
              <c16:uniqueId val="{00000004-27F7-4A65-A7B3-83B519D7AD18}"/>
            </c:ext>
          </c:extLst>
        </c:ser>
        <c:ser>
          <c:idx val="5"/>
          <c:order val="5"/>
          <c:tx>
            <c:v>Volwassenen (groep)</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64</c:v>
              </c:pt>
              <c:pt idx="2">
                <c:v>21</c:v>
              </c:pt>
              <c:pt idx="3">
                <c:v>0</c:v>
              </c:pt>
              <c:pt idx="4">
                <c:v>17</c:v>
              </c:pt>
              <c:pt idx="5">
                <c:v>17</c:v>
              </c:pt>
              <c:pt idx="6">
                <c:v>19</c:v>
              </c:pt>
              <c:pt idx="7">
                <c:v>40</c:v>
              </c:pt>
              <c:pt idx="8">
                <c:v>65</c:v>
              </c:pt>
              <c:pt idx="9">
                <c:v>0</c:v>
              </c:pt>
              <c:pt idx="10">
                <c:v>0</c:v>
              </c:pt>
              <c:pt idx="11">
                <c:v>15</c:v>
              </c:pt>
            </c:numLit>
          </c:val>
          <c:extLst>
            <c:ext xmlns:c16="http://schemas.microsoft.com/office/drawing/2014/chart" uri="{C3380CC4-5D6E-409C-BE32-E72D297353CC}">
              <c16:uniqueId val="{00000005-27F7-4A65-A7B3-83B519D7AD18}"/>
            </c:ext>
          </c:extLst>
        </c:ser>
        <c:ser>
          <c:idx val="6"/>
          <c:order val="6"/>
          <c:tx>
            <c:v>School (groep)</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0</c:v>
              </c:pt>
              <c:pt idx="2">
                <c:v>0</c:v>
              </c:pt>
              <c:pt idx="3">
                <c:v>45</c:v>
              </c:pt>
              <c:pt idx="4">
                <c:v>0</c:v>
              </c:pt>
              <c:pt idx="5">
                <c:v>14</c:v>
              </c:pt>
              <c:pt idx="6">
                <c:v>6</c:v>
              </c:pt>
              <c:pt idx="7">
                <c:v>6</c:v>
              </c:pt>
              <c:pt idx="8">
                <c:v>0</c:v>
              </c:pt>
              <c:pt idx="9">
                <c:v>54</c:v>
              </c:pt>
              <c:pt idx="10">
                <c:v>11</c:v>
              </c:pt>
              <c:pt idx="11">
                <c:v>10</c:v>
              </c:pt>
            </c:numLit>
          </c:val>
          <c:extLst>
            <c:ext xmlns:c16="http://schemas.microsoft.com/office/drawing/2014/chart" uri="{C3380CC4-5D6E-409C-BE32-E72D297353CC}">
              <c16:uniqueId val="{00000006-27F7-4A65-A7B3-83B519D7AD18}"/>
            </c:ext>
          </c:extLst>
        </c:ser>
        <c:ser>
          <c:idx val="7"/>
          <c:order val="7"/>
          <c:tx>
            <c:v>Gratis</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13</c:v>
              </c:pt>
              <c:pt idx="1">
                <c:v>5</c:v>
              </c:pt>
              <c:pt idx="2">
                <c:v>3</c:v>
              </c:pt>
              <c:pt idx="3">
                <c:v>2</c:v>
              </c:pt>
              <c:pt idx="4">
                <c:v>8</c:v>
              </c:pt>
              <c:pt idx="5">
                <c:v>5</c:v>
              </c:pt>
              <c:pt idx="6">
                <c:v>12</c:v>
              </c:pt>
              <c:pt idx="7">
                <c:v>6</c:v>
              </c:pt>
              <c:pt idx="8">
                <c:v>6</c:v>
              </c:pt>
              <c:pt idx="9">
                <c:v>3</c:v>
              </c:pt>
              <c:pt idx="10">
                <c:v>2</c:v>
              </c:pt>
              <c:pt idx="11">
                <c:v>0</c:v>
              </c:pt>
            </c:numLit>
          </c:val>
          <c:extLst>
            <c:ext xmlns:c16="http://schemas.microsoft.com/office/drawing/2014/chart" uri="{C3380CC4-5D6E-409C-BE32-E72D297353CC}">
              <c16:uniqueId val="{00000007-27F7-4A65-A7B3-83B519D7AD18}"/>
            </c:ext>
          </c:extLst>
        </c:ser>
        <c:dLbls>
          <c:showLegendKey val="0"/>
          <c:showVal val="0"/>
          <c:showCatName val="0"/>
          <c:showSerName val="0"/>
          <c:showPercent val="0"/>
          <c:showBubbleSize val="0"/>
        </c:dLbls>
        <c:gapWidth val="55"/>
        <c:overlap val="100"/>
        <c:axId val="677260440"/>
        <c:axId val="1"/>
      </c:barChart>
      <c:catAx>
        <c:axId val="677260440"/>
        <c:scaling>
          <c:orientation val="minMax"/>
        </c:scaling>
        <c:delete val="0"/>
        <c:axPos val="b"/>
        <c:numFmt formatCode="mmm\-yy"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60440"/>
        <c:crosses val="autoZero"/>
        <c:crossBetween val="between"/>
      </c:valAx>
    </c:plotArea>
    <c:legend>
      <c:legendPos val="r"/>
      <c:layout>
        <c:manualLayout>
          <c:xMode val="edge"/>
          <c:yMode val="edge"/>
          <c:x val="0.81386392811296537"/>
          <c:y val="0.3225058004640371"/>
          <c:w val="0.17458279845956359"/>
          <c:h val="0.44547563805104406"/>
        </c:manualLayout>
      </c:layout>
      <c:overlay val="0"/>
      <c:txPr>
        <a:bodyPr/>
        <a:lstStyle/>
        <a:p>
          <a:pPr>
            <a:defRPr sz="845"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'F-Staat O en K'!$A$88</c:f>
              <c:strCache>
                <c:ptCount val="1"/>
                <c:pt idx="0">
                  <c:v>Opbrengsten uit de werking</c:v>
                </c:pt>
              </c:strCache>
            </c:strRef>
          </c:tx>
          <c:spPr>
            <a:ln w="28575" cap="rnd">
              <a:solidFill>
                <a:schemeClr val="accent1"/>
              </a:solidFill>
              <a:round/>
            </a:ln>
            <a:effectLst/>
          </c:spPr>
          <c:marker>
            <c:symbol val="none"/>
          </c:marker>
          <c:cat>
            <c:numRef>
              <c:f>'F-Staat O en K'!$B$87:$H$87</c:f>
              <c:numCache>
                <c:formatCode>General</c:formatCode>
                <c:ptCount val="7"/>
                <c:pt idx="0">
                  <c:v>2015</c:v>
                </c:pt>
                <c:pt idx="1">
                  <c:v>2016</c:v>
                </c:pt>
                <c:pt idx="2">
                  <c:v>2017</c:v>
                </c:pt>
                <c:pt idx="3">
                  <c:v>2018</c:v>
                </c:pt>
                <c:pt idx="4">
                  <c:v>2019</c:v>
                </c:pt>
                <c:pt idx="5">
                  <c:v>2020</c:v>
                </c:pt>
                <c:pt idx="6">
                  <c:v>2021</c:v>
                </c:pt>
              </c:numCache>
            </c:numRef>
          </c:cat>
          <c:val>
            <c:numRef>
              <c:f>'F-Staat O en K'!$B$88:$H$88</c:f>
              <c:numCache>
                <c:formatCode>#,##0.00</c:formatCode>
                <c:ptCount val="7"/>
                <c:pt idx="0">
                  <c:v>1568505</c:v>
                </c:pt>
                <c:pt idx="1">
                  <c:v>1738492</c:v>
                </c:pt>
                <c:pt idx="2">
                  <c:v>952920</c:v>
                </c:pt>
                <c:pt idx="3">
                  <c:v>1505181</c:v>
                </c:pt>
                <c:pt idx="4">
                  <c:v>1463507</c:v>
                </c:pt>
                <c:pt idx="5">
                  <c:v>590206</c:v>
                </c:pt>
                <c:pt idx="6">
                  <c:v>802361</c:v>
                </c:pt>
              </c:numCache>
            </c:numRef>
          </c:val>
          <c:smooth val="0"/>
          <c:extLst>
            <c:ext xmlns:c16="http://schemas.microsoft.com/office/drawing/2014/chart" uri="{C3380CC4-5D6E-409C-BE32-E72D297353CC}">
              <c16:uniqueId val="{00000000-E6BE-43F2-AA95-A0ECBF270E38}"/>
            </c:ext>
          </c:extLst>
        </c:ser>
        <c:ser>
          <c:idx val="1"/>
          <c:order val="1"/>
          <c:tx>
            <c:strRef>
              <c:f>'F-Staat O en K'!$A$89</c:f>
              <c:strCache>
                <c:ptCount val="1"/>
                <c:pt idx="0">
                  <c:v>Fiscale opbrengsten</c:v>
                </c:pt>
              </c:strCache>
            </c:strRef>
          </c:tx>
          <c:spPr>
            <a:ln w="28575" cap="rnd">
              <a:solidFill>
                <a:schemeClr val="accent2"/>
              </a:solidFill>
              <a:round/>
            </a:ln>
            <a:effectLst/>
          </c:spPr>
          <c:marker>
            <c:symbol val="none"/>
          </c:marker>
          <c:cat>
            <c:numRef>
              <c:f>'F-Staat O en K'!$B$87:$H$87</c:f>
              <c:numCache>
                <c:formatCode>General</c:formatCode>
                <c:ptCount val="7"/>
                <c:pt idx="0">
                  <c:v>2015</c:v>
                </c:pt>
                <c:pt idx="1">
                  <c:v>2016</c:v>
                </c:pt>
                <c:pt idx="2">
                  <c:v>2017</c:v>
                </c:pt>
                <c:pt idx="3">
                  <c:v>2018</c:v>
                </c:pt>
                <c:pt idx="4">
                  <c:v>2019</c:v>
                </c:pt>
                <c:pt idx="5">
                  <c:v>2020</c:v>
                </c:pt>
                <c:pt idx="6">
                  <c:v>2021</c:v>
                </c:pt>
              </c:numCache>
            </c:numRef>
          </c:cat>
          <c:val>
            <c:numRef>
              <c:f>'F-Staat O en K'!$B$89:$H$89</c:f>
              <c:numCache>
                <c:formatCode>#,##0.00</c:formatCode>
                <c:ptCount val="7"/>
                <c:pt idx="0">
                  <c:v>11119034</c:v>
                </c:pt>
                <c:pt idx="1">
                  <c:v>10790981</c:v>
                </c:pt>
                <c:pt idx="2">
                  <c:v>10616529</c:v>
                </c:pt>
                <c:pt idx="3">
                  <c:v>11199598</c:v>
                </c:pt>
                <c:pt idx="4">
                  <c:v>11556685</c:v>
                </c:pt>
                <c:pt idx="5">
                  <c:v>11545053</c:v>
                </c:pt>
                <c:pt idx="6">
                  <c:v>11993156</c:v>
                </c:pt>
              </c:numCache>
            </c:numRef>
          </c:val>
          <c:smooth val="0"/>
          <c:extLst>
            <c:ext xmlns:c16="http://schemas.microsoft.com/office/drawing/2014/chart" uri="{C3380CC4-5D6E-409C-BE32-E72D297353CC}">
              <c16:uniqueId val="{00000001-E6BE-43F2-AA95-A0ECBF270E38}"/>
            </c:ext>
          </c:extLst>
        </c:ser>
        <c:ser>
          <c:idx val="2"/>
          <c:order val="2"/>
          <c:tx>
            <c:strRef>
              <c:f>'F-Staat O en K'!$A$90</c:f>
              <c:strCache>
                <c:ptCount val="1"/>
                <c:pt idx="0">
                  <c:v>Werkingssubsidies</c:v>
                </c:pt>
              </c:strCache>
            </c:strRef>
          </c:tx>
          <c:spPr>
            <a:ln w="28575" cap="rnd">
              <a:solidFill>
                <a:schemeClr val="accent3"/>
              </a:solidFill>
              <a:round/>
            </a:ln>
            <a:effectLst/>
          </c:spPr>
          <c:marker>
            <c:symbol val="none"/>
          </c:marker>
          <c:cat>
            <c:numRef>
              <c:f>'F-Staat O en K'!$B$87:$H$87</c:f>
              <c:numCache>
                <c:formatCode>General</c:formatCode>
                <c:ptCount val="7"/>
                <c:pt idx="0">
                  <c:v>2015</c:v>
                </c:pt>
                <c:pt idx="1">
                  <c:v>2016</c:v>
                </c:pt>
                <c:pt idx="2">
                  <c:v>2017</c:v>
                </c:pt>
                <c:pt idx="3">
                  <c:v>2018</c:v>
                </c:pt>
                <c:pt idx="4">
                  <c:v>2019</c:v>
                </c:pt>
                <c:pt idx="5">
                  <c:v>2020</c:v>
                </c:pt>
                <c:pt idx="6">
                  <c:v>2021</c:v>
                </c:pt>
              </c:numCache>
            </c:numRef>
          </c:cat>
          <c:val>
            <c:numRef>
              <c:f>'F-Staat O en K'!$B$90:$H$90</c:f>
              <c:numCache>
                <c:formatCode>#,##0.00</c:formatCode>
                <c:ptCount val="7"/>
                <c:pt idx="0">
                  <c:v>6944273</c:v>
                </c:pt>
                <c:pt idx="1">
                  <c:v>7333654</c:v>
                </c:pt>
                <c:pt idx="2">
                  <c:v>7577422</c:v>
                </c:pt>
                <c:pt idx="3">
                  <c:v>7625244</c:v>
                </c:pt>
                <c:pt idx="4">
                  <c:v>8688032</c:v>
                </c:pt>
                <c:pt idx="5">
                  <c:v>8405483</c:v>
                </c:pt>
                <c:pt idx="6">
                  <c:v>10359260</c:v>
                </c:pt>
              </c:numCache>
            </c:numRef>
          </c:val>
          <c:smooth val="0"/>
          <c:extLst>
            <c:ext xmlns:c16="http://schemas.microsoft.com/office/drawing/2014/chart" uri="{C3380CC4-5D6E-409C-BE32-E72D297353CC}">
              <c16:uniqueId val="{00000002-E6BE-43F2-AA95-A0ECBF270E38}"/>
            </c:ext>
          </c:extLst>
        </c:ser>
        <c:ser>
          <c:idx val="3"/>
          <c:order val="3"/>
          <c:tx>
            <c:strRef>
              <c:f>'F-Staat O en K'!$A$91</c:f>
              <c:strCache>
                <c:ptCount val="1"/>
                <c:pt idx="0">
                  <c:v>Meerwaarden bij realisatie vast actief</c:v>
                </c:pt>
              </c:strCache>
            </c:strRef>
          </c:tx>
          <c:spPr>
            <a:ln w="28575" cap="rnd">
              <a:solidFill>
                <a:schemeClr val="accent4"/>
              </a:solidFill>
              <a:round/>
            </a:ln>
            <a:effectLst/>
          </c:spPr>
          <c:marker>
            <c:symbol val="none"/>
          </c:marker>
          <c:cat>
            <c:numRef>
              <c:f>'F-Staat O en K'!$B$87:$H$87</c:f>
              <c:numCache>
                <c:formatCode>General</c:formatCode>
                <c:ptCount val="7"/>
                <c:pt idx="0">
                  <c:v>2015</c:v>
                </c:pt>
                <c:pt idx="1">
                  <c:v>2016</c:v>
                </c:pt>
                <c:pt idx="2">
                  <c:v>2017</c:v>
                </c:pt>
                <c:pt idx="3">
                  <c:v>2018</c:v>
                </c:pt>
                <c:pt idx="4">
                  <c:v>2019</c:v>
                </c:pt>
                <c:pt idx="5">
                  <c:v>2020</c:v>
                </c:pt>
                <c:pt idx="6">
                  <c:v>2021</c:v>
                </c:pt>
              </c:numCache>
            </c:numRef>
          </c:cat>
          <c:val>
            <c:numRef>
              <c:f>'F-Staat O en K'!$B$91:$H$91</c:f>
              <c:numCache>
                <c:formatCode>#,##0.00</c:formatCode>
                <c:ptCount val="7"/>
                <c:pt idx="0">
                  <c:v>89792</c:v>
                </c:pt>
                <c:pt idx="1">
                  <c:v>285699</c:v>
                </c:pt>
                <c:pt idx="2">
                  <c:v>29415</c:v>
                </c:pt>
                <c:pt idx="3">
                  <c:v>4750</c:v>
                </c:pt>
                <c:pt idx="4">
                  <c:v>178222</c:v>
                </c:pt>
                <c:pt idx="5">
                  <c:v>316511</c:v>
                </c:pt>
                <c:pt idx="6">
                  <c:v>0</c:v>
                </c:pt>
              </c:numCache>
            </c:numRef>
          </c:val>
          <c:smooth val="0"/>
          <c:extLst>
            <c:ext xmlns:c16="http://schemas.microsoft.com/office/drawing/2014/chart" uri="{C3380CC4-5D6E-409C-BE32-E72D297353CC}">
              <c16:uniqueId val="{00000003-E6BE-43F2-AA95-A0ECBF270E38}"/>
            </c:ext>
          </c:extLst>
        </c:ser>
        <c:ser>
          <c:idx val="4"/>
          <c:order val="4"/>
          <c:tx>
            <c:strRef>
              <c:f>'F-Staat O en K'!$A$92</c:f>
              <c:strCache>
                <c:ptCount val="1"/>
                <c:pt idx="0">
                  <c:v>Andere opbrengsten</c:v>
                </c:pt>
              </c:strCache>
            </c:strRef>
          </c:tx>
          <c:spPr>
            <a:ln w="28575" cap="rnd">
              <a:solidFill>
                <a:schemeClr val="accent5"/>
              </a:solidFill>
              <a:round/>
            </a:ln>
            <a:effectLst/>
          </c:spPr>
          <c:marker>
            <c:symbol val="none"/>
          </c:marker>
          <c:cat>
            <c:numRef>
              <c:f>'F-Staat O en K'!$B$87:$H$87</c:f>
              <c:numCache>
                <c:formatCode>General</c:formatCode>
                <c:ptCount val="7"/>
                <c:pt idx="0">
                  <c:v>2015</c:v>
                </c:pt>
                <c:pt idx="1">
                  <c:v>2016</c:v>
                </c:pt>
                <c:pt idx="2">
                  <c:v>2017</c:v>
                </c:pt>
                <c:pt idx="3">
                  <c:v>2018</c:v>
                </c:pt>
                <c:pt idx="4">
                  <c:v>2019</c:v>
                </c:pt>
                <c:pt idx="5">
                  <c:v>2020</c:v>
                </c:pt>
                <c:pt idx="6">
                  <c:v>2021</c:v>
                </c:pt>
              </c:numCache>
            </c:numRef>
          </c:cat>
          <c:val>
            <c:numRef>
              <c:f>'F-Staat O en K'!$B$92:$H$92</c:f>
              <c:numCache>
                <c:formatCode>#,##0.00</c:formatCode>
                <c:ptCount val="7"/>
                <c:pt idx="0">
                  <c:v>60243</c:v>
                </c:pt>
                <c:pt idx="1">
                  <c:v>61376</c:v>
                </c:pt>
                <c:pt idx="2">
                  <c:v>58129</c:v>
                </c:pt>
                <c:pt idx="3">
                  <c:v>58129</c:v>
                </c:pt>
                <c:pt idx="4">
                  <c:v>63238</c:v>
                </c:pt>
                <c:pt idx="5">
                  <c:v>139957</c:v>
                </c:pt>
                <c:pt idx="6">
                  <c:v>192771</c:v>
                </c:pt>
              </c:numCache>
            </c:numRef>
          </c:val>
          <c:smooth val="0"/>
          <c:extLst>
            <c:ext xmlns:c16="http://schemas.microsoft.com/office/drawing/2014/chart" uri="{C3380CC4-5D6E-409C-BE32-E72D297353CC}">
              <c16:uniqueId val="{00000004-E6BE-43F2-AA95-A0ECBF270E38}"/>
            </c:ext>
          </c:extLst>
        </c:ser>
        <c:ser>
          <c:idx val="5"/>
          <c:order val="5"/>
          <c:tx>
            <c:strRef>
              <c:f>'F-Staat O en K'!$A$93</c:f>
              <c:strCache>
                <c:ptCount val="1"/>
                <c:pt idx="0">
                  <c:v>Financiele opbrengsten</c:v>
                </c:pt>
              </c:strCache>
            </c:strRef>
          </c:tx>
          <c:spPr>
            <a:ln w="28575" cap="rnd">
              <a:solidFill>
                <a:schemeClr val="accent6"/>
              </a:solidFill>
              <a:round/>
            </a:ln>
            <a:effectLst/>
          </c:spPr>
          <c:marker>
            <c:symbol val="none"/>
          </c:marker>
          <c:cat>
            <c:numRef>
              <c:f>'F-Staat O en K'!$B$87:$H$87</c:f>
              <c:numCache>
                <c:formatCode>General</c:formatCode>
                <c:ptCount val="7"/>
                <c:pt idx="0">
                  <c:v>2015</c:v>
                </c:pt>
                <c:pt idx="1">
                  <c:v>2016</c:v>
                </c:pt>
                <c:pt idx="2">
                  <c:v>2017</c:v>
                </c:pt>
                <c:pt idx="3">
                  <c:v>2018</c:v>
                </c:pt>
                <c:pt idx="4">
                  <c:v>2019</c:v>
                </c:pt>
                <c:pt idx="5">
                  <c:v>2020</c:v>
                </c:pt>
                <c:pt idx="6">
                  <c:v>2021</c:v>
                </c:pt>
              </c:numCache>
            </c:numRef>
          </c:cat>
          <c:val>
            <c:numRef>
              <c:f>'F-Staat O en K'!$B$93:$H$93</c:f>
              <c:numCache>
                <c:formatCode>#,##0.00</c:formatCode>
                <c:ptCount val="7"/>
                <c:pt idx="0">
                  <c:v>6758810</c:v>
                </c:pt>
                <c:pt idx="1">
                  <c:v>1781144</c:v>
                </c:pt>
                <c:pt idx="2">
                  <c:v>2038959</c:v>
                </c:pt>
                <c:pt idx="3">
                  <c:v>1793385</c:v>
                </c:pt>
                <c:pt idx="4">
                  <c:v>1852047</c:v>
                </c:pt>
                <c:pt idx="5">
                  <c:v>1630937</c:v>
                </c:pt>
                <c:pt idx="6">
                  <c:v>1648674</c:v>
                </c:pt>
              </c:numCache>
            </c:numRef>
          </c:val>
          <c:smooth val="0"/>
          <c:extLst>
            <c:ext xmlns:c16="http://schemas.microsoft.com/office/drawing/2014/chart" uri="{C3380CC4-5D6E-409C-BE32-E72D297353CC}">
              <c16:uniqueId val="{00000005-E6BE-43F2-AA95-A0ECBF270E38}"/>
            </c:ext>
          </c:extLst>
        </c:ser>
        <c:dLbls>
          <c:showLegendKey val="0"/>
          <c:showVal val="0"/>
          <c:showCatName val="0"/>
          <c:showSerName val="0"/>
          <c:showPercent val="0"/>
          <c:showBubbleSize val="0"/>
        </c:dLbls>
        <c:smooth val="0"/>
        <c:axId val="577109720"/>
        <c:axId val="577111032"/>
      </c:lineChart>
      <c:catAx>
        <c:axId val="577109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7111032"/>
        <c:crosses val="autoZero"/>
        <c:auto val="1"/>
        <c:lblAlgn val="ctr"/>
        <c:lblOffset val="100"/>
        <c:noMultiLvlLbl val="0"/>
      </c:catAx>
      <c:valAx>
        <c:axId val="5771110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71097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Evolutie personeelskosten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ndard"/>
        <c:varyColors val="0"/>
        <c:ser>
          <c:idx val="0"/>
          <c:order val="0"/>
          <c:tx>
            <c:strRef>
              <c:f>'F-Staat O en K'!$A$7</c:f>
              <c:strCache>
                <c:ptCount val="1"/>
                <c:pt idx="0">
                  <c:v>Personeelskost stad</c:v>
                </c:pt>
              </c:strCache>
            </c:strRef>
          </c:tx>
          <c:spPr>
            <a:ln w="28575" cap="rnd">
              <a:solidFill>
                <a:schemeClr val="accent1"/>
              </a:solidFill>
              <a:round/>
            </a:ln>
            <a:effectLst/>
          </c:spPr>
          <c:marker>
            <c:symbol val="none"/>
          </c:marker>
          <c:cat>
            <c:numRef>
              <c:f>'F-Staat O en K'!$B$6:$I$6</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K'!$B$7:$I$7</c:f>
              <c:numCache>
                <c:formatCode>#,##0</c:formatCode>
                <c:ptCount val="8"/>
                <c:pt idx="0">
                  <c:v>8522971</c:v>
                </c:pt>
                <c:pt idx="1">
                  <c:v>8530955</c:v>
                </c:pt>
                <c:pt idx="2">
                  <c:v>8564303</c:v>
                </c:pt>
                <c:pt idx="3">
                  <c:v>8893163</c:v>
                </c:pt>
                <c:pt idx="4">
                  <c:v>9400932</c:v>
                </c:pt>
                <c:pt idx="5">
                  <c:v>9328932</c:v>
                </c:pt>
                <c:pt idx="6">
                  <c:v>9324958</c:v>
                </c:pt>
                <c:pt idx="7">
                  <c:v>9847715</c:v>
                </c:pt>
              </c:numCache>
            </c:numRef>
          </c:val>
          <c:smooth val="0"/>
          <c:extLst>
            <c:ext xmlns:c16="http://schemas.microsoft.com/office/drawing/2014/chart" uri="{C3380CC4-5D6E-409C-BE32-E72D297353CC}">
              <c16:uniqueId val="{00000000-4763-44DE-A785-96D533468CA3}"/>
            </c:ext>
          </c:extLst>
        </c:ser>
        <c:ser>
          <c:idx val="1"/>
          <c:order val="1"/>
          <c:tx>
            <c:strRef>
              <c:f>'F-Staat O en K'!$A$25</c:f>
              <c:strCache>
                <c:ptCount val="1"/>
                <c:pt idx="0">
                  <c:v>Personeelskost OCMW</c:v>
                </c:pt>
              </c:strCache>
            </c:strRef>
          </c:tx>
          <c:spPr>
            <a:ln w="28575" cap="rnd">
              <a:solidFill>
                <a:schemeClr val="accent2"/>
              </a:solidFill>
              <a:round/>
            </a:ln>
            <a:effectLst/>
          </c:spPr>
          <c:marker>
            <c:symbol val="none"/>
          </c:marker>
          <c:cat>
            <c:numRef>
              <c:f>'F-Staat O en K'!$B$6:$I$6</c:f>
              <c:numCache>
                <c:formatCode>General</c:formatCode>
                <c:ptCount val="8"/>
                <c:pt idx="0">
                  <c:v>2015</c:v>
                </c:pt>
                <c:pt idx="1">
                  <c:v>2016</c:v>
                </c:pt>
                <c:pt idx="2">
                  <c:v>2017</c:v>
                </c:pt>
                <c:pt idx="3">
                  <c:v>2018</c:v>
                </c:pt>
                <c:pt idx="4">
                  <c:v>2019</c:v>
                </c:pt>
                <c:pt idx="5">
                  <c:v>2020</c:v>
                </c:pt>
                <c:pt idx="6">
                  <c:v>2021</c:v>
                </c:pt>
                <c:pt idx="7">
                  <c:v>2022</c:v>
                </c:pt>
              </c:numCache>
            </c:numRef>
          </c:cat>
          <c:val>
            <c:numRef>
              <c:f>'F-Staat O en K'!$B$25:$I$25</c:f>
              <c:numCache>
                <c:formatCode>#,##0</c:formatCode>
                <c:ptCount val="8"/>
                <c:pt idx="0">
                  <c:v>10784308</c:v>
                </c:pt>
                <c:pt idx="1">
                  <c:v>11070639</c:v>
                </c:pt>
                <c:pt idx="2">
                  <c:v>11563039</c:v>
                </c:pt>
                <c:pt idx="3">
                  <c:v>11879791</c:v>
                </c:pt>
                <c:pt idx="4">
                  <c:v>12433617</c:v>
                </c:pt>
                <c:pt idx="5">
                  <c:v>13025192</c:v>
                </c:pt>
                <c:pt idx="6">
                  <c:v>12625970</c:v>
                </c:pt>
                <c:pt idx="7">
                  <c:v>14034415</c:v>
                </c:pt>
              </c:numCache>
            </c:numRef>
          </c:val>
          <c:smooth val="0"/>
          <c:extLst>
            <c:ext xmlns:c16="http://schemas.microsoft.com/office/drawing/2014/chart" uri="{C3380CC4-5D6E-409C-BE32-E72D297353CC}">
              <c16:uniqueId val="{00000001-4763-44DE-A785-96D533468CA3}"/>
            </c:ext>
          </c:extLst>
        </c:ser>
        <c:dLbls>
          <c:showLegendKey val="0"/>
          <c:showVal val="0"/>
          <c:showCatName val="0"/>
          <c:showSerName val="0"/>
          <c:showPercent val="0"/>
          <c:showBubbleSize val="0"/>
        </c:dLbls>
        <c:smooth val="0"/>
        <c:axId val="288757856"/>
        <c:axId val="288755232"/>
      </c:lineChart>
      <c:catAx>
        <c:axId val="28875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288755232"/>
        <c:crosses val="autoZero"/>
        <c:auto val="1"/>
        <c:lblAlgn val="ctr"/>
        <c:lblOffset val="100"/>
        <c:noMultiLvlLbl val="0"/>
      </c:catAx>
      <c:valAx>
        <c:axId val="288755232"/>
        <c:scaling>
          <c:orientation val="minMax"/>
          <c:min val="50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288757856"/>
        <c:crosses val="autoZero"/>
        <c:crossBetween val="between"/>
        <c:majorUnit val="100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'F-Financieel evenw'!$A$30</c:f>
              <c:strCache>
                <c:ptCount val="1"/>
                <c:pt idx="0">
                  <c:v>AFM S</c:v>
                </c:pt>
              </c:strCache>
            </c:strRef>
          </c:tx>
          <c:spPr>
            <a:solidFill>
              <a:schemeClr val="accent1"/>
            </a:solidFill>
            <a:ln>
              <a:noFill/>
            </a:ln>
            <a:effectLst/>
          </c:spPr>
          <c:invertIfNegative val="0"/>
          <c:cat>
            <c:numRef>
              <c:f>'F-Financieel evenw'!$B$29:$I$29</c:f>
              <c:numCache>
                <c:formatCode>0</c:formatCode>
                <c:ptCount val="8"/>
                <c:pt idx="0">
                  <c:v>2015</c:v>
                </c:pt>
                <c:pt idx="1">
                  <c:v>2016</c:v>
                </c:pt>
                <c:pt idx="2">
                  <c:v>2017</c:v>
                </c:pt>
                <c:pt idx="3">
                  <c:v>2018</c:v>
                </c:pt>
                <c:pt idx="4">
                  <c:v>2019</c:v>
                </c:pt>
                <c:pt idx="5">
                  <c:v>2020</c:v>
                </c:pt>
                <c:pt idx="6">
                  <c:v>2021</c:v>
                </c:pt>
                <c:pt idx="7">
                  <c:v>2022</c:v>
                </c:pt>
              </c:numCache>
            </c:numRef>
          </c:cat>
          <c:val>
            <c:numRef>
              <c:f>'F-Financieel evenw'!$B$30:$I$30</c:f>
              <c:numCache>
                <c:formatCode>#,##0</c:formatCode>
                <c:ptCount val="8"/>
                <c:pt idx="0">
                  <c:v>7408380</c:v>
                </c:pt>
                <c:pt idx="1">
                  <c:v>2461839</c:v>
                </c:pt>
                <c:pt idx="2">
                  <c:v>4723109</c:v>
                </c:pt>
                <c:pt idx="3">
                  <c:v>2435648</c:v>
                </c:pt>
                <c:pt idx="4">
                  <c:v>2518823</c:v>
                </c:pt>
                <c:pt idx="5">
                  <c:v>3077805</c:v>
                </c:pt>
                <c:pt idx="6">
                  <c:v>3979816</c:v>
                </c:pt>
                <c:pt idx="7">
                  <c:v>3390708</c:v>
                </c:pt>
              </c:numCache>
            </c:numRef>
          </c:val>
          <c:extLst>
            <c:ext xmlns:c16="http://schemas.microsoft.com/office/drawing/2014/chart" uri="{C3380CC4-5D6E-409C-BE32-E72D297353CC}">
              <c16:uniqueId val="{00000000-4D94-4EF7-84F0-81CE5A2B02BB}"/>
            </c:ext>
          </c:extLst>
        </c:ser>
        <c:ser>
          <c:idx val="1"/>
          <c:order val="1"/>
          <c:tx>
            <c:strRef>
              <c:f>'F-Financieel evenw'!$A$31</c:f>
              <c:strCache>
                <c:ptCount val="1"/>
                <c:pt idx="0">
                  <c:v>AFM O</c:v>
                </c:pt>
              </c:strCache>
            </c:strRef>
          </c:tx>
          <c:spPr>
            <a:solidFill>
              <a:schemeClr val="accent2"/>
            </a:solidFill>
            <a:ln>
              <a:noFill/>
            </a:ln>
            <a:effectLst/>
          </c:spPr>
          <c:invertIfNegative val="0"/>
          <c:cat>
            <c:numRef>
              <c:f>'F-Financieel evenw'!$B$29:$I$29</c:f>
              <c:numCache>
                <c:formatCode>0</c:formatCode>
                <c:ptCount val="8"/>
                <c:pt idx="0">
                  <c:v>2015</c:v>
                </c:pt>
                <c:pt idx="1">
                  <c:v>2016</c:v>
                </c:pt>
                <c:pt idx="2">
                  <c:v>2017</c:v>
                </c:pt>
                <c:pt idx="3">
                  <c:v>2018</c:v>
                </c:pt>
                <c:pt idx="4">
                  <c:v>2019</c:v>
                </c:pt>
                <c:pt idx="5">
                  <c:v>2020</c:v>
                </c:pt>
                <c:pt idx="6">
                  <c:v>2021</c:v>
                </c:pt>
                <c:pt idx="7">
                  <c:v>2022</c:v>
                </c:pt>
              </c:numCache>
            </c:numRef>
          </c:cat>
          <c:val>
            <c:numRef>
              <c:f>'F-Financieel evenw'!$B$31:$I$31</c:f>
              <c:numCache>
                <c:formatCode>#,##0</c:formatCode>
                <c:ptCount val="8"/>
                <c:pt idx="0">
                  <c:v>643067</c:v>
                </c:pt>
                <c:pt idx="1">
                  <c:v>838084</c:v>
                </c:pt>
                <c:pt idx="2">
                  <c:v>797226</c:v>
                </c:pt>
                <c:pt idx="3">
                  <c:v>845140</c:v>
                </c:pt>
                <c:pt idx="4">
                  <c:v>639706</c:v>
                </c:pt>
                <c:pt idx="5">
                  <c:v>-175628</c:v>
                </c:pt>
                <c:pt idx="6">
                  <c:v>-476641</c:v>
                </c:pt>
                <c:pt idx="7">
                  <c:v>-421622</c:v>
                </c:pt>
              </c:numCache>
            </c:numRef>
          </c:val>
          <c:extLst>
            <c:ext xmlns:c16="http://schemas.microsoft.com/office/drawing/2014/chart" uri="{C3380CC4-5D6E-409C-BE32-E72D297353CC}">
              <c16:uniqueId val="{00000001-4D94-4EF7-84F0-81CE5A2B02BB}"/>
            </c:ext>
          </c:extLst>
        </c:ser>
        <c:ser>
          <c:idx val="2"/>
          <c:order val="2"/>
          <c:tx>
            <c:strRef>
              <c:f>'F-Financieel evenw'!$A$32</c:f>
              <c:strCache>
                <c:ptCount val="1"/>
                <c:pt idx="0">
                  <c:v>AFM A</c:v>
                </c:pt>
              </c:strCache>
            </c:strRef>
          </c:tx>
          <c:spPr>
            <a:solidFill>
              <a:schemeClr val="accent3"/>
            </a:solidFill>
            <a:ln>
              <a:noFill/>
            </a:ln>
            <a:effectLst/>
          </c:spPr>
          <c:invertIfNegative val="0"/>
          <c:cat>
            <c:numRef>
              <c:f>'F-Financieel evenw'!$B$29:$I$29</c:f>
              <c:numCache>
                <c:formatCode>0</c:formatCode>
                <c:ptCount val="8"/>
                <c:pt idx="0">
                  <c:v>2015</c:v>
                </c:pt>
                <c:pt idx="1">
                  <c:v>2016</c:v>
                </c:pt>
                <c:pt idx="2">
                  <c:v>2017</c:v>
                </c:pt>
                <c:pt idx="3">
                  <c:v>2018</c:v>
                </c:pt>
                <c:pt idx="4">
                  <c:v>2019</c:v>
                </c:pt>
                <c:pt idx="5">
                  <c:v>2020</c:v>
                </c:pt>
                <c:pt idx="6">
                  <c:v>2021</c:v>
                </c:pt>
                <c:pt idx="7">
                  <c:v>2022</c:v>
                </c:pt>
              </c:numCache>
            </c:numRef>
          </c:cat>
          <c:val>
            <c:numRef>
              <c:f>'F-Financieel evenw'!$B$32:$I$32</c:f>
              <c:numCache>
                <c:formatCode>#,##0</c:formatCode>
                <c:ptCount val="8"/>
                <c:pt idx="0">
                  <c:v>-524887</c:v>
                </c:pt>
                <c:pt idx="1">
                  <c:v>-465112</c:v>
                </c:pt>
                <c:pt idx="2">
                  <c:v>-169733</c:v>
                </c:pt>
                <c:pt idx="3">
                  <c:v>-199245</c:v>
                </c:pt>
                <c:pt idx="4">
                  <c:v>812055</c:v>
                </c:pt>
                <c:pt idx="5">
                  <c:v>-212123</c:v>
                </c:pt>
                <c:pt idx="6">
                  <c:v>-149487</c:v>
                </c:pt>
                <c:pt idx="7">
                  <c:v>-299635</c:v>
                </c:pt>
              </c:numCache>
            </c:numRef>
          </c:val>
          <c:extLst>
            <c:ext xmlns:c16="http://schemas.microsoft.com/office/drawing/2014/chart" uri="{C3380CC4-5D6E-409C-BE32-E72D297353CC}">
              <c16:uniqueId val="{00000002-4D94-4EF7-84F0-81CE5A2B02BB}"/>
            </c:ext>
          </c:extLst>
        </c:ser>
        <c:dLbls>
          <c:showLegendKey val="0"/>
          <c:showVal val="0"/>
          <c:showCatName val="0"/>
          <c:showSerName val="0"/>
          <c:showPercent val="0"/>
          <c:showBubbleSize val="0"/>
        </c:dLbls>
        <c:gapWidth val="219"/>
        <c:axId val="573157272"/>
        <c:axId val="573158256"/>
      </c:barChart>
      <c:lineChart>
        <c:grouping val="standard"/>
        <c:varyColors val="0"/>
        <c:ser>
          <c:idx val="3"/>
          <c:order val="3"/>
          <c:tx>
            <c:strRef>
              <c:f>'F-Financieel evenw'!$A$34</c:f>
              <c:strCache>
                <c:ptCount val="1"/>
                <c:pt idx="0">
                  <c:v>AFM Veurne</c:v>
                </c:pt>
              </c:strCache>
            </c:strRef>
          </c:tx>
          <c:spPr>
            <a:ln w="28575" cap="rnd">
              <a:solidFill>
                <a:schemeClr val="accent4"/>
              </a:solidFill>
              <a:round/>
            </a:ln>
            <a:effectLst/>
          </c:spPr>
          <c:marker>
            <c:symbol val="none"/>
          </c:marker>
          <c:cat>
            <c:numRef>
              <c:f>'F-Financieel evenw'!$B$29:$I$29</c:f>
              <c:numCache>
                <c:formatCode>0</c:formatCode>
                <c:ptCount val="8"/>
                <c:pt idx="0">
                  <c:v>2015</c:v>
                </c:pt>
                <c:pt idx="1">
                  <c:v>2016</c:v>
                </c:pt>
                <c:pt idx="2">
                  <c:v>2017</c:v>
                </c:pt>
                <c:pt idx="3">
                  <c:v>2018</c:v>
                </c:pt>
                <c:pt idx="4">
                  <c:v>2019</c:v>
                </c:pt>
                <c:pt idx="5">
                  <c:v>2020</c:v>
                </c:pt>
                <c:pt idx="6">
                  <c:v>2021</c:v>
                </c:pt>
                <c:pt idx="7">
                  <c:v>2022</c:v>
                </c:pt>
              </c:numCache>
            </c:numRef>
          </c:cat>
          <c:val>
            <c:numRef>
              <c:f>'F-Financieel evenw'!$B$34:$I$34</c:f>
              <c:numCache>
                <c:formatCode>#,##0</c:formatCode>
                <c:ptCount val="8"/>
                <c:pt idx="0">
                  <c:v>7526560</c:v>
                </c:pt>
                <c:pt idx="1">
                  <c:v>2834811</c:v>
                </c:pt>
                <c:pt idx="2">
                  <c:v>5350602</c:v>
                </c:pt>
                <c:pt idx="3">
                  <c:v>3081543</c:v>
                </c:pt>
                <c:pt idx="4">
                  <c:v>3970584</c:v>
                </c:pt>
                <c:pt idx="5">
                  <c:v>2690054</c:v>
                </c:pt>
                <c:pt idx="6">
                  <c:v>3353688</c:v>
                </c:pt>
                <c:pt idx="7">
                  <c:v>2669451</c:v>
                </c:pt>
              </c:numCache>
            </c:numRef>
          </c:val>
          <c:smooth val="0"/>
          <c:extLst>
            <c:ext xmlns:c16="http://schemas.microsoft.com/office/drawing/2014/chart" uri="{C3380CC4-5D6E-409C-BE32-E72D297353CC}">
              <c16:uniqueId val="{00000003-4D94-4EF7-84F0-81CE5A2B02BB}"/>
            </c:ext>
          </c:extLst>
        </c:ser>
        <c:dLbls>
          <c:showLegendKey val="0"/>
          <c:showVal val="0"/>
          <c:showCatName val="0"/>
          <c:showSerName val="0"/>
          <c:showPercent val="0"/>
          <c:showBubbleSize val="0"/>
        </c:dLbls>
        <c:marker val="1"/>
        <c:smooth val="0"/>
        <c:axId val="573157272"/>
        <c:axId val="573158256"/>
      </c:lineChart>
      <c:catAx>
        <c:axId val="5731572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3158256"/>
        <c:crosses val="autoZero"/>
        <c:auto val="1"/>
        <c:lblAlgn val="ctr"/>
        <c:lblOffset val="100"/>
        <c:noMultiLvlLbl val="0"/>
      </c:catAx>
      <c:valAx>
        <c:axId val="573158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3157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'F-Financieel evenw'!$A$19:$C$19</c:f>
              <c:strCache>
                <c:ptCount val="3"/>
                <c:pt idx="0">
                  <c:v>Exploitatiesaldo S</c:v>
                </c:pt>
              </c:strCache>
            </c:strRef>
          </c:tx>
          <c:spPr>
            <a:solidFill>
              <a:schemeClr val="accent1"/>
            </a:solidFill>
            <a:ln>
              <a:noFill/>
            </a:ln>
            <a:effectLst/>
          </c:spPr>
          <c:invertIfNegative val="0"/>
          <c:cat>
            <c:numRef>
              <c:extLst>
                <c:ext xmlns:c15="http://schemas.microsoft.com/office/drawing/2012/chart" uri="{02D57815-91ED-43cb-92C2-25804820EDAC}">
                  <c15:fullRef>
                    <c15:sqref>'F-Financieel evenw'!$D$18:$I$18</c15:sqref>
                  </c15:fullRef>
                </c:ext>
              </c:extLst>
              <c:f>'F-Financieel evenw'!$F$18:$I$18</c:f>
              <c:numCache>
                <c:formatCode>0</c:formatCode>
                <c:ptCount val="4"/>
                <c:pt idx="0">
                  <c:v>2019</c:v>
                </c:pt>
                <c:pt idx="1">
                  <c:v>2020</c:v>
                </c:pt>
                <c:pt idx="2">
                  <c:v>2021</c:v>
                </c:pt>
                <c:pt idx="3">
                  <c:v>2022</c:v>
                </c:pt>
              </c:numCache>
            </c:numRef>
          </c:cat>
          <c:val>
            <c:numRef>
              <c:extLst>
                <c:ext xmlns:c15="http://schemas.microsoft.com/office/drawing/2012/chart" uri="{02D57815-91ED-43cb-92C2-25804820EDAC}">
                  <c15:fullRef>
                    <c15:sqref>'F-Financieel evenw'!$D$19:$I$19</c15:sqref>
                  </c15:fullRef>
                </c:ext>
              </c:extLst>
              <c:f>'F-Financieel evenw'!$F$19:$I$19</c:f>
              <c:numCache>
                <c:formatCode>#,##0</c:formatCode>
                <c:ptCount val="4"/>
                <c:pt idx="0">
                  <c:v>4571688</c:v>
                </c:pt>
                <c:pt idx="1">
                  <c:v>5188581</c:v>
                </c:pt>
                <c:pt idx="2">
                  <c:v>5868580</c:v>
                </c:pt>
                <c:pt idx="3">
                  <c:v>5299737</c:v>
                </c:pt>
              </c:numCache>
            </c:numRef>
          </c:val>
          <c:extLst>
            <c:ext xmlns:c16="http://schemas.microsoft.com/office/drawing/2014/chart" uri="{C3380CC4-5D6E-409C-BE32-E72D297353CC}">
              <c16:uniqueId val="{00000000-B48E-4DC3-A0CD-09D0FB92A86A}"/>
            </c:ext>
          </c:extLst>
        </c:ser>
        <c:ser>
          <c:idx val="1"/>
          <c:order val="1"/>
          <c:tx>
            <c:strRef>
              <c:f>'F-Financieel evenw'!$A$20:$C$20</c:f>
              <c:strCache>
                <c:ptCount val="3"/>
                <c:pt idx="0">
                  <c:v>Exploitatiesaldo O</c:v>
                </c:pt>
              </c:strCache>
            </c:strRef>
          </c:tx>
          <c:spPr>
            <a:solidFill>
              <a:schemeClr val="accent2"/>
            </a:solidFill>
            <a:ln>
              <a:noFill/>
            </a:ln>
            <a:effectLst/>
          </c:spPr>
          <c:invertIfNegative val="0"/>
          <c:cat>
            <c:numRef>
              <c:extLst>
                <c:ext xmlns:c15="http://schemas.microsoft.com/office/drawing/2012/chart" uri="{02D57815-91ED-43cb-92C2-25804820EDAC}">
                  <c15:fullRef>
                    <c15:sqref>'F-Financieel evenw'!$D$18:$I$18</c15:sqref>
                  </c15:fullRef>
                </c:ext>
              </c:extLst>
              <c:f>'F-Financieel evenw'!$F$18:$I$18</c:f>
              <c:numCache>
                <c:formatCode>0</c:formatCode>
                <c:ptCount val="4"/>
                <c:pt idx="0">
                  <c:v>2019</c:v>
                </c:pt>
                <c:pt idx="1">
                  <c:v>2020</c:v>
                </c:pt>
                <c:pt idx="2">
                  <c:v>2021</c:v>
                </c:pt>
                <c:pt idx="3">
                  <c:v>2022</c:v>
                </c:pt>
              </c:numCache>
            </c:numRef>
          </c:cat>
          <c:val>
            <c:numRef>
              <c:extLst>
                <c:ext xmlns:c15="http://schemas.microsoft.com/office/drawing/2012/chart" uri="{02D57815-91ED-43cb-92C2-25804820EDAC}">
                  <c15:fullRef>
                    <c15:sqref>'F-Financieel evenw'!$D$20:$I$20</c15:sqref>
                  </c15:fullRef>
                </c:ext>
              </c:extLst>
              <c:f>'F-Financieel evenw'!$F$20:$I$20</c:f>
              <c:numCache>
                <c:formatCode>#,##0</c:formatCode>
                <c:ptCount val="4"/>
                <c:pt idx="0">
                  <c:v>864994</c:v>
                </c:pt>
                <c:pt idx="1">
                  <c:v>-509873</c:v>
                </c:pt>
                <c:pt idx="2">
                  <c:v>-752199</c:v>
                </c:pt>
                <c:pt idx="3">
                  <c:v>-700160</c:v>
                </c:pt>
              </c:numCache>
            </c:numRef>
          </c:val>
          <c:extLst>
            <c:ext xmlns:c16="http://schemas.microsoft.com/office/drawing/2014/chart" uri="{C3380CC4-5D6E-409C-BE32-E72D297353CC}">
              <c16:uniqueId val="{00000001-B48E-4DC3-A0CD-09D0FB92A86A}"/>
            </c:ext>
          </c:extLst>
        </c:ser>
        <c:ser>
          <c:idx val="2"/>
          <c:order val="2"/>
          <c:tx>
            <c:strRef>
              <c:f>'F-Financieel evenw'!$A$21:$C$21</c:f>
              <c:strCache>
                <c:ptCount val="3"/>
                <c:pt idx="0">
                  <c:v>Exploitatiesaldo A</c:v>
                </c:pt>
              </c:strCache>
            </c:strRef>
          </c:tx>
          <c:spPr>
            <a:solidFill>
              <a:schemeClr val="accent3"/>
            </a:solidFill>
            <a:ln>
              <a:noFill/>
            </a:ln>
            <a:effectLst/>
          </c:spPr>
          <c:invertIfNegative val="0"/>
          <c:cat>
            <c:numRef>
              <c:extLst>
                <c:ext xmlns:c15="http://schemas.microsoft.com/office/drawing/2012/chart" uri="{02D57815-91ED-43cb-92C2-25804820EDAC}">
                  <c15:fullRef>
                    <c15:sqref>'F-Financieel evenw'!$D$18:$I$18</c15:sqref>
                  </c15:fullRef>
                </c:ext>
              </c:extLst>
              <c:f>'F-Financieel evenw'!$F$18:$I$18</c:f>
              <c:numCache>
                <c:formatCode>0</c:formatCode>
                <c:ptCount val="4"/>
                <c:pt idx="0">
                  <c:v>2019</c:v>
                </c:pt>
                <c:pt idx="1">
                  <c:v>2020</c:v>
                </c:pt>
                <c:pt idx="2">
                  <c:v>2021</c:v>
                </c:pt>
                <c:pt idx="3">
                  <c:v>2022</c:v>
                </c:pt>
              </c:numCache>
            </c:numRef>
          </c:cat>
          <c:val>
            <c:numRef>
              <c:extLst>
                <c:ext xmlns:c15="http://schemas.microsoft.com/office/drawing/2012/chart" uri="{02D57815-91ED-43cb-92C2-25804820EDAC}">
                  <c15:fullRef>
                    <c15:sqref>'F-Financieel evenw'!$D$21:$I$21</c15:sqref>
                  </c15:fullRef>
                </c:ext>
              </c:extLst>
              <c:f>'F-Financieel evenw'!$F$21:$I$21</c:f>
              <c:numCache>
                <c:formatCode>#,##0</c:formatCode>
                <c:ptCount val="4"/>
                <c:pt idx="0">
                  <c:v>812055</c:v>
                </c:pt>
                <c:pt idx="1">
                  <c:v>-212123</c:v>
                </c:pt>
                <c:pt idx="2">
                  <c:v>-149487</c:v>
                </c:pt>
                <c:pt idx="3">
                  <c:v>-299635</c:v>
                </c:pt>
              </c:numCache>
            </c:numRef>
          </c:val>
          <c:extLst>
            <c:ext xmlns:c16="http://schemas.microsoft.com/office/drawing/2014/chart" uri="{C3380CC4-5D6E-409C-BE32-E72D297353CC}">
              <c16:uniqueId val="{00000002-B48E-4DC3-A0CD-09D0FB92A86A}"/>
            </c:ext>
          </c:extLst>
        </c:ser>
        <c:dLbls>
          <c:showLegendKey val="0"/>
          <c:showVal val="0"/>
          <c:showCatName val="0"/>
          <c:showSerName val="0"/>
          <c:showPercent val="0"/>
          <c:showBubbleSize val="0"/>
        </c:dLbls>
        <c:gapWidth val="219"/>
        <c:axId val="573157272"/>
        <c:axId val="573158256"/>
      </c:barChart>
      <c:lineChart>
        <c:grouping val="standard"/>
        <c:varyColors val="0"/>
        <c:ser>
          <c:idx val="3"/>
          <c:order val="3"/>
          <c:tx>
            <c:strRef>
              <c:f>'F-Financieel evenw'!$A$22:$C$22</c:f>
              <c:strCache>
                <c:ptCount val="3"/>
                <c:pt idx="0">
                  <c:v>Exploitatiesaldo Veurne</c:v>
                </c:pt>
              </c:strCache>
            </c:strRef>
          </c:tx>
          <c:spPr>
            <a:ln w="28575" cap="rnd">
              <a:solidFill>
                <a:schemeClr val="accent4"/>
              </a:solidFill>
              <a:round/>
            </a:ln>
            <a:effectLst/>
          </c:spPr>
          <c:marker>
            <c:symbol val="none"/>
          </c:marker>
          <c:cat>
            <c:numRef>
              <c:extLst>
                <c:ext xmlns:c15="http://schemas.microsoft.com/office/drawing/2012/chart" uri="{02D57815-91ED-43cb-92C2-25804820EDAC}">
                  <c15:fullRef>
                    <c15:sqref>'F-Financieel evenw'!$D$18:$I$18</c15:sqref>
                  </c15:fullRef>
                </c:ext>
              </c:extLst>
              <c:f>'F-Financieel evenw'!$F$18:$I$18</c:f>
              <c:numCache>
                <c:formatCode>0</c:formatCode>
                <c:ptCount val="4"/>
                <c:pt idx="0">
                  <c:v>2019</c:v>
                </c:pt>
                <c:pt idx="1">
                  <c:v>2020</c:v>
                </c:pt>
                <c:pt idx="2">
                  <c:v>2021</c:v>
                </c:pt>
                <c:pt idx="3">
                  <c:v>2022</c:v>
                </c:pt>
              </c:numCache>
            </c:numRef>
          </c:cat>
          <c:val>
            <c:numRef>
              <c:extLst>
                <c:ext xmlns:c15="http://schemas.microsoft.com/office/drawing/2012/chart" uri="{02D57815-91ED-43cb-92C2-25804820EDAC}">
                  <c15:fullRef>
                    <c15:sqref>'F-Financieel evenw'!$D$22:$I$22</c15:sqref>
                  </c15:fullRef>
                </c:ext>
              </c:extLst>
              <c:f>'F-Financieel evenw'!$F$22:$I$22</c:f>
              <c:numCache>
                <c:formatCode>#,##0.00</c:formatCode>
                <c:ptCount val="4"/>
                <c:pt idx="0">
                  <c:v>6248737</c:v>
                </c:pt>
                <c:pt idx="1">
                  <c:v>4466585</c:v>
                </c:pt>
                <c:pt idx="2">
                  <c:v>4966894</c:v>
                </c:pt>
                <c:pt idx="3">
                  <c:v>4299942</c:v>
                </c:pt>
              </c:numCache>
            </c:numRef>
          </c:val>
          <c:smooth val="0"/>
          <c:extLst>
            <c:ext xmlns:c16="http://schemas.microsoft.com/office/drawing/2014/chart" uri="{C3380CC4-5D6E-409C-BE32-E72D297353CC}">
              <c16:uniqueId val="{00000003-B48E-4DC3-A0CD-09D0FB92A86A}"/>
            </c:ext>
          </c:extLst>
        </c:ser>
        <c:dLbls>
          <c:showLegendKey val="0"/>
          <c:showVal val="0"/>
          <c:showCatName val="0"/>
          <c:showSerName val="0"/>
          <c:showPercent val="0"/>
          <c:showBubbleSize val="0"/>
        </c:dLbls>
        <c:marker val="1"/>
        <c:smooth val="0"/>
        <c:axId val="573157272"/>
        <c:axId val="573158256"/>
      </c:lineChart>
      <c:catAx>
        <c:axId val="573157272"/>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3158256"/>
        <c:crosses val="autoZero"/>
        <c:auto val="1"/>
        <c:lblAlgn val="ctr"/>
        <c:lblOffset val="100"/>
        <c:noMultiLvlLbl val="0"/>
      </c:catAx>
      <c:valAx>
        <c:axId val="5731582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73157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6620953630796151"/>
          <c:y val="0.13930555555555557"/>
          <c:w val="0.80568132108486434"/>
          <c:h val="0.61498432487605714"/>
        </c:manualLayout>
      </c:layout>
      <c:lineChart>
        <c:grouping val="standard"/>
        <c:varyColors val="0"/>
        <c:ser>
          <c:idx val="2"/>
          <c:order val="0"/>
          <c:tx>
            <c:strRef>
              <c:f>'F-evolutie schuld stad &amp; agb'!$F$4</c:f>
              <c:strCache>
                <c:ptCount val="1"/>
                <c:pt idx="0">
                  <c:v>Totaal</c:v>
                </c:pt>
              </c:strCache>
            </c:strRef>
          </c:tx>
          <c:spPr>
            <a:ln w="28575" cap="rnd">
              <a:solidFill>
                <a:schemeClr val="accent3"/>
              </a:solidFill>
              <a:round/>
            </a:ln>
            <a:effectLst/>
          </c:spPr>
          <c:marker>
            <c:symbol val="none"/>
          </c:marker>
          <c:cat>
            <c:numRef>
              <c:f>'F-evolutie schuld stad &amp; agb'!$C$5:$C$33</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'F-evolutie schuld stad &amp; agb'!$F$5:$F$33</c:f>
              <c:numCache>
                <c:formatCode>#,##0</c:formatCode>
                <c:ptCount val="29"/>
                <c:pt idx="0">
                  <c:v>11480698</c:v>
                </c:pt>
                <c:pt idx="1">
                  <c:v>11324043</c:v>
                </c:pt>
                <c:pt idx="2">
                  <c:v>10002848</c:v>
                </c:pt>
                <c:pt idx="3">
                  <c:v>11757969</c:v>
                </c:pt>
                <c:pt idx="4">
                  <c:v>13130465</c:v>
                </c:pt>
                <c:pt idx="5">
                  <c:v>15910234</c:v>
                </c:pt>
                <c:pt idx="6">
                  <c:v>15776433</c:v>
                </c:pt>
                <c:pt idx="7">
                  <c:v>15455072</c:v>
                </c:pt>
                <c:pt idx="8">
                  <c:v>14091395.190000001</c:v>
                </c:pt>
                <c:pt idx="9">
                  <c:v>12699697</c:v>
                </c:pt>
                <c:pt idx="10">
                  <c:v>12125018.310000001</c:v>
                </c:pt>
                <c:pt idx="11">
                  <c:v>12428391.710000001</c:v>
                </c:pt>
                <c:pt idx="12">
                  <c:v>14757778.369999999</c:v>
                </c:pt>
                <c:pt idx="13">
                  <c:v>12338205.32</c:v>
                </c:pt>
                <c:pt idx="14">
                  <c:v>16212220</c:v>
                </c:pt>
                <c:pt idx="15">
                  <c:v>15408788.67</c:v>
                </c:pt>
                <c:pt idx="16">
                  <c:v>14445436.789999999</c:v>
                </c:pt>
                <c:pt idx="17">
                  <c:v>18185465.550000001</c:v>
                </c:pt>
                <c:pt idx="18">
                  <c:v>18405944.760000002</c:v>
                </c:pt>
                <c:pt idx="19">
                  <c:v>18032511.57</c:v>
                </c:pt>
                <c:pt idx="20">
                  <c:v>19680485.840000004</c:v>
                </c:pt>
                <c:pt idx="21">
                  <c:v>18203130.750000004</c:v>
                </c:pt>
                <c:pt idx="22">
                  <c:v>16738534.800000001</c:v>
                </c:pt>
                <c:pt idx="23">
                  <c:v>26139501.640000001</c:v>
                </c:pt>
                <c:pt idx="24">
                  <c:v>30352689.710000001</c:v>
                </c:pt>
                <c:pt idx="25">
                  <c:v>29791649.620000001</c:v>
                </c:pt>
                <c:pt idx="26">
                  <c:v>28459684.330000002</c:v>
                </c:pt>
                <c:pt idx="27">
                  <c:v>27084043.280000001</c:v>
                </c:pt>
                <c:pt idx="28">
                  <c:v>25115299.150000002</c:v>
                </c:pt>
              </c:numCache>
            </c:numRef>
          </c:val>
          <c:smooth val="0"/>
          <c:extLst>
            <c:ext xmlns:c16="http://schemas.microsoft.com/office/drawing/2014/chart" uri="{C3380CC4-5D6E-409C-BE32-E72D297353CC}">
              <c16:uniqueId val="{00000002-DB9F-467A-BCC6-871061A3E7C5}"/>
            </c:ext>
          </c:extLst>
        </c:ser>
        <c:dLbls>
          <c:showLegendKey val="0"/>
          <c:showVal val="0"/>
          <c:showCatName val="0"/>
          <c:showSerName val="0"/>
          <c:showPercent val="0"/>
          <c:showBubbleSize val="0"/>
        </c:dLbls>
        <c:smooth val="0"/>
        <c:axId val="515796168"/>
        <c:axId val="515797808"/>
      </c:lineChart>
      <c:catAx>
        <c:axId val="515796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797808"/>
        <c:crosses val="autoZero"/>
        <c:auto val="1"/>
        <c:lblAlgn val="ctr"/>
        <c:lblOffset val="100"/>
        <c:noMultiLvlLbl val="0"/>
      </c:catAx>
      <c:valAx>
        <c:axId val="5157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796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6620953630796151"/>
          <c:y val="0.13930555555555557"/>
          <c:w val="0.80568132108486434"/>
          <c:h val="0.61498432487605714"/>
        </c:manualLayout>
      </c:layout>
      <c:lineChart>
        <c:grouping val="standard"/>
        <c:varyColors val="0"/>
        <c:ser>
          <c:idx val="2"/>
          <c:order val="0"/>
          <c:tx>
            <c:strRef>
              <c:f>'F-evolutie schuld stad &amp; ag'!$F$4</c:f>
              <c:strCache>
                <c:ptCount val="1"/>
                <c:pt idx="0">
                  <c:v>Totaal</c:v>
                </c:pt>
              </c:strCache>
            </c:strRef>
          </c:tx>
          <c:spPr>
            <a:ln w="28575" cap="rnd">
              <a:solidFill>
                <a:schemeClr val="accent3"/>
              </a:solidFill>
              <a:round/>
            </a:ln>
            <a:effectLst/>
          </c:spPr>
          <c:marker>
            <c:symbol val="none"/>
          </c:marker>
          <c:cat>
            <c:numRef>
              <c:f>'F-evolutie schuld stad &amp; ag'!$C$5:$C$33</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'F-evolutie schuld stad &amp; ag'!$F$5:$F$33</c:f>
              <c:numCache>
                <c:formatCode>#,##0</c:formatCode>
                <c:ptCount val="29"/>
                <c:pt idx="0">
                  <c:v>11480698</c:v>
                </c:pt>
                <c:pt idx="1">
                  <c:v>11324043</c:v>
                </c:pt>
                <c:pt idx="2">
                  <c:v>10002848</c:v>
                </c:pt>
                <c:pt idx="3">
                  <c:v>11757969</c:v>
                </c:pt>
                <c:pt idx="4">
                  <c:v>13130465</c:v>
                </c:pt>
                <c:pt idx="5">
                  <c:v>15910234</c:v>
                </c:pt>
                <c:pt idx="6">
                  <c:v>15776433</c:v>
                </c:pt>
                <c:pt idx="7">
                  <c:v>15455072</c:v>
                </c:pt>
                <c:pt idx="8">
                  <c:v>14091395.190000001</c:v>
                </c:pt>
                <c:pt idx="9">
                  <c:v>12699697</c:v>
                </c:pt>
                <c:pt idx="10">
                  <c:v>12125018.310000001</c:v>
                </c:pt>
                <c:pt idx="11">
                  <c:v>12428391.710000001</c:v>
                </c:pt>
                <c:pt idx="12">
                  <c:v>14757778.369999999</c:v>
                </c:pt>
                <c:pt idx="13">
                  <c:v>12338205.32</c:v>
                </c:pt>
                <c:pt idx="14">
                  <c:v>16212220</c:v>
                </c:pt>
                <c:pt idx="15">
                  <c:v>15408788.67</c:v>
                </c:pt>
                <c:pt idx="16">
                  <c:v>14445436.789999999</c:v>
                </c:pt>
                <c:pt idx="17">
                  <c:v>18185465.550000001</c:v>
                </c:pt>
                <c:pt idx="18">
                  <c:v>18405944.760000002</c:v>
                </c:pt>
                <c:pt idx="19">
                  <c:v>18032511.57</c:v>
                </c:pt>
                <c:pt idx="20">
                  <c:v>19680485.840000004</c:v>
                </c:pt>
                <c:pt idx="21">
                  <c:v>18203130.750000004</c:v>
                </c:pt>
                <c:pt idx="22">
                  <c:v>16738534.800000001</c:v>
                </c:pt>
                <c:pt idx="23">
                  <c:v>26139501.640000001</c:v>
                </c:pt>
                <c:pt idx="24">
                  <c:v>30352689.710000001</c:v>
                </c:pt>
                <c:pt idx="25">
                  <c:v>29791649.620000001</c:v>
                </c:pt>
                <c:pt idx="26">
                  <c:v>28459684.330000002</c:v>
                </c:pt>
                <c:pt idx="27">
                  <c:v>27084043.280000001</c:v>
                </c:pt>
                <c:pt idx="28">
                  <c:v>25115299.150000002</c:v>
                </c:pt>
              </c:numCache>
            </c:numRef>
          </c:val>
          <c:smooth val="0"/>
          <c:extLst>
            <c:ext xmlns:c16="http://schemas.microsoft.com/office/drawing/2014/chart" uri="{C3380CC4-5D6E-409C-BE32-E72D297353CC}">
              <c16:uniqueId val="{00000000-033C-4491-B768-DC04BCD1F3E5}"/>
            </c:ext>
          </c:extLst>
        </c:ser>
        <c:dLbls>
          <c:showLegendKey val="0"/>
          <c:showVal val="0"/>
          <c:showCatName val="0"/>
          <c:showSerName val="0"/>
          <c:showPercent val="0"/>
          <c:showBubbleSize val="0"/>
        </c:dLbls>
        <c:smooth val="0"/>
        <c:axId val="515796168"/>
        <c:axId val="515797808"/>
      </c:lineChart>
      <c:catAx>
        <c:axId val="515796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797808"/>
        <c:crosses val="autoZero"/>
        <c:auto val="1"/>
        <c:lblAlgn val="ctr"/>
        <c:lblOffset val="100"/>
        <c:noMultiLvlLbl val="0"/>
      </c:catAx>
      <c:valAx>
        <c:axId val="5157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7961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1"/>
          <c:tx>
            <c:strRef>
              <c:f>'F-RIZIVBEWONERS'!$L$3</c:f>
              <c:strCache>
                <c:ptCount val="1"/>
                <c:pt idx="0">
                  <c:v>riziv</c:v>
                </c:pt>
              </c:strCache>
            </c:strRef>
          </c:tx>
          <c:cat>
            <c:numRef>
              <c:f>'F-RIZIVBEWONERS'!$K$4:$K$24</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'F-RIZIVBEWONERS'!$L$4:$L$24</c:f>
              <c:numCache>
                <c:formatCode>#,##0</c:formatCode>
                <c:ptCount val="21"/>
                <c:pt idx="0">
                  <c:v>2379427.89</c:v>
                </c:pt>
                <c:pt idx="1">
                  <c:v>2552051.02</c:v>
                </c:pt>
                <c:pt idx="2">
                  <c:v>2708430.25</c:v>
                </c:pt>
                <c:pt idx="3">
                  <c:v>2717876.33</c:v>
                </c:pt>
                <c:pt idx="4">
                  <c:v>2639433.7799999998</c:v>
                </c:pt>
                <c:pt idx="5">
                  <c:v>2734345.44</c:v>
                </c:pt>
                <c:pt idx="6">
                  <c:v>2957691.3</c:v>
                </c:pt>
                <c:pt idx="7">
                  <c:v>3090089.47</c:v>
                </c:pt>
                <c:pt idx="8">
                  <c:v>3450365.88</c:v>
                </c:pt>
                <c:pt idx="9">
                  <c:v>3608817.68</c:v>
                </c:pt>
                <c:pt idx="10">
                  <c:v>3730728.68</c:v>
                </c:pt>
                <c:pt idx="11">
                  <c:v>3872461.33</c:v>
                </c:pt>
                <c:pt idx="12">
                  <c:v>3960989.95</c:v>
                </c:pt>
                <c:pt idx="13">
                  <c:v>4039961.71</c:v>
                </c:pt>
                <c:pt idx="14">
                  <c:v>4224565.5199999996</c:v>
                </c:pt>
                <c:pt idx="15">
                  <c:v>4261665.68</c:v>
                </c:pt>
                <c:pt idx="16">
                  <c:v>4406110.34</c:v>
                </c:pt>
                <c:pt idx="17">
                  <c:v>4657109.55</c:v>
                </c:pt>
                <c:pt idx="18">
                  <c:v>4838991.45</c:v>
                </c:pt>
                <c:pt idx="19">
                  <c:v>4420257.26</c:v>
                </c:pt>
                <c:pt idx="20">
                  <c:v>5471034.0499999998</c:v>
                </c:pt>
              </c:numCache>
            </c:numRef>
          </c:val>
          <c:smooth val="0"/>
          <c:extLst>
            <c:ext xmlns:c16="http://schemas.microsoft.com/office/drawing/2014/chart" uri="{C3380CC4-5D6E-409C-BE32-E72D297353CC}">
              <c16:uniqueId val="{00000001-22B1-42AF-9B99-F26601BE0748}"/>
            </c:ext>
          </c:extLst>
        </c:ser>
        <c:ser>
          <c:idx val="2"/>
          <c:order val="2"/>
          <c:tx>
            <c:strRef>
              <c:f>'F-RIZIVBEWONERS'!$P$3</c:f>
              <c:strCache>
                <c:ptCount val="1"/>
                <c:pt idx="0">
                  <c:v>bewoners</c:v>
                </c:pt>
              </c:strCache>
            </c:strRef>
          </c:tx>
          <c:cat>
            <c:numRef>
              <c:f>'F-RIZIVBEWONERS'!$K$4:$K$24</c:f>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f>'F-RIZIVBEWONERS'!$P$4:$P$24</c:f>
              <c:numCache>
                <c:formatCode>#,##0</c:formatCode>
                <c:ptCount val="21"/>
                <c:pt idx="0">
                  <c:v>1985482.16</c:v>
                </c:pt>
                <c:pt idx="1">
                  <c:v>2150939.17</c:v>
                </c:pt>
                <c:pt idx="2">
                  <c:v>2174647.59</c:v>
                </c:pt>
                <c:pt idx="3">
                  <c:v>2124268.17</c:v>
                </c:pt>
                <c:pt idx="4">
                  <c:v>2192190.2999999998</c:v>
                </c:pt>
                <c:pt idx="5">
                  <c:v>2271959.54</c:v>
                </c:pt>
                <c:pt idx="6">
                  <c:v>2316272.36</c:v>
                </c:pt>
                <c:pt idx="7">
                  <c:v>2405668.88</c:v>
                </c:pt>
                <c:pt idx="8">
                  <c:v>2421711.44</c:v>
                </c:pt>
                <c:pt idx="9">
                  <c:v>2406079.08</c:v>
                </c:pt>
                <c:pt idx="10">
                  <c:v>2603128.6</c:v>
                </c:pt>
                <c:pt idx="11">
                  <c:v>2724815.7</c:v>
                </c:pt>
                <c:pt idx="12">
                  <c:v>2851113.9</c:v>
                </c:pt>
                <c:pt idx="13">
                  <c:v>2843869.5</c:v>
                </c:pt>
                <c:pt idx="14">
                  <c:v>2916425.54</c:v>
                </c:pt>
                <c:pt idx="15">
                  <c:v>2904141.63</c:v>
                </c:pt>
                <c:pt idx="16">
                  <c:v>2980674.13</c:v>
                </c:pt>
                <c:pt idx="17">
                  <c:v>3054228.55</c:v>
                </c:pt>
                <c:pt idx="18">
                  <c:v>3089799.71</c:v>
                </c:pt>
                <c:pt idx="19">
                  <c:v>2734530.16</c:v>
                </c:pt>
                <c:pt idx="20">
                  <c:v>3290634.89</c:v>
                </c:pt>
              </c:numCache>
            </c:numRef>
          </c:val>
          <c:smooth val="0"/>
          <c:extLst>
            <c:ext xmlns:c16="http://schemas.microsoft.com/office/drawing/2014/chart" uri="{C3380CC4-5D6E-409C-BE32-E72D297353CC}">
              <c16:uniqueId val="{00000001-2E87-403A-9533-FB161B20578C}"/>
            </c:ext>
          </c:extLst>
        </c:ser>
        <c:dLbls>
          <c:showLegendKey val="0"/>
          <c:showVal val="0"/>
          <c:showCatName val="0"/>
          <c:showSerName val="0"/>
          <c:showPercent val="0"/>
          <c:showBubbleSize val="0"/>
        </c:dLbls>
        <c:marker val="1"/>
        <c:smooth val="0"/>
        <c:axId val="122223232"/>
        <c:axId val="122487168"/>
        <c:extLst>
          <c:ext xmlns:c15="http://schemas.microsoft.com/office/drawing/2012/chart" uri="{02D57815-91ED-43cb-92C2-25804820EDAC}">
            <c15:filteredLineSeries>
              <c15:ser>
                <c:idx val="0"/>
                <c:order val="0"/>
                <c:tx>
                  <c:strRef>
                    <c:extLst>
                      <c:ext uri="{02D57815-91ED-43cb-92C2-25804820EDAC}">
                        <c15:formulaRef>
                          <c15:sqref>'F-RIZIVBEWONERS'!$K$3</c15:sqref>
                        </c15:formulaRef>
                      </c:ext>
                    </c:extLst>
                    <c:strCache>
                      <c:ptCount val="1"/>
                      <c:pt idx="0">
                        <c:v>jaar</c:v>
                      </c:pt>
                    </c:strCache>
                  </c:strRef>
                </c:tx>
                <c:cat>
                  <c:numRef>
                    <c:extLst>
                      <c:ext uri="{02D57815-91ED-43cb-92C2-25804820EDAC}">
                        <c15:formulaRef>
                          <c15:sqref>'F-RIZIVBEWONERS'!$K$4:$K$24</c15:sqref>
                        </c15:formulaRef>
                      </c:ext>
                    </c:extLst>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cat>
                <c:val>
                  <c:numRef>
                    <c:extLst>
                      <c:ext uri="{02D57815-91ED-43cb-92C2-25804820EDAC}">
                        <c15:formulaRef>
                          <c15:sqref>'F-RIZIVBEWONERS'!$K$4:$K$24</c15:sqref>
                        </c15:formulaRef>
                      </c:ext>
                    </c:extLst>
                    <c:numCache>
                      <c:formatCode>General</c:formatCode>
                      <c:ptCount val="21"/>
                      <c:pt idx="0">
                        <c:v>2002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pt idx="20">
                        <c:v>2022</c:v>
                      </c:pt>
                    </c:numCache>
                  </c:numRef>
                </c:val>
                <c:smooth val="0"/>
                <c:extLst>
                  <c:ext xmlns:c16="http://schemas.microsoft.com/office/drawing/2014/chart" uri="{C3380CC4-5D6E-409C-BE32-E72D297353CC}">
                    <c16:uniqueId val="{00000000-22B1-42AF-9B99-F26601BE0748}"/>
                  </c:ext>
                </c:extLst>
              </c15:ser>
            </c15:filteredLineSeries>
          </c:ext>
        </c:extLst>
      </c:lineChart>
      <c:catAx>
        <c:axId val="122223232"/>
        <c:scaling>
          <c:orientation val="minMax"/>
        </c:scaling>
        <c:delete val="0"/>
        <c:axPos val="b"/>
        <c:numFmt formatCode="General" sourceLinked="1"/>
        <c:majorTickMark val="out"/>
        <c:minorTickMark val="none"/>
        <c:tickLblPos val="nextTo"/>
        <c:crossAx val="122487168"/>
        <c:crosses val="autoZero"/>
        <c:auto val="1"/>
        <c:lblAlgn val="ctr"/>
        <c:lblOffset val="100"/>
        <c:noMultiLvlLbl val="0"/>
      </c:catAx>
      <c:valAx>
        <c:axId val="122487168"/>
        <c:scaling>
          <c:orientation val="minMax"/>
        </c:scaling>
        <c:delete val="0"/>
        <c:axPos val="l"/>
        <c:majorGridlines/>
        <c:numFmt formatCode="#,##0" sourceLinked="1"/>
        <c:majorTickMark val="out"/>
        <c:minorTickMark val="none"/>
        <c:tickLblPos val="nextTo"/>
        <c:crossAx val="122223232"/>
        <c:crosses val="autoZero"/>
        <c:crossBetween val="between"/>
        <c:majorUnit val="500000"/>
      </c:valAx>
    </c:plotArea>
    <c:legend>
      <c:legendPos val="r"/>
      <c:overlay val="0"/>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200" b="0" i="0" u="none" strike="noStrike" baseline="0">
                <a:solidFill>
                  <a:srgbClr val="000000"/>
                </a:solidFill>
                <a:latin typeface="Calibri"/>
                <a:ea typeface="Calibri"/>
                <a:cs typeface="Calibri"/>
              </a:defRPr>
            </a:pPr>
            <a:r>
              <a:rPr lang="nl-BE"/>
              <a:t>Aantal VTE (gemiddeld)</a:t>
            </a:r>
          </a:p>
          <a:p>
            <a:pPr algn="r">
              <a:defRPr sz="1200" b="0" i="0" u="none" strike="noStrike" baseline="0">
                <a:solidFill>
                  <a:srgbClr val="000000"/>
                </a:solidFill>
                <a:latin typeface="Calibri"/>
                <a:ea typeface="Calibri"/>
                <a:cs typeface="Calibri"/>
              </a:defRPr>
            </a:pPr>
            <a:r>
              <a:rPr lang="nl-BE"/>
              <a:t>afgesloten jaar</a:t>
            </a:r>
          </a:p>
        </c:rich>
      </c:tx>
      <c:layout>
        <c:manualLayout>
          <c:xMode val="edge"/>
          <c:yMode val="edge"/>
          <c:x val="0.72651812191345877"/>
          <c:y val="5.358110236220473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0203390201224844"/>
          <c:y val="0.19782658076831305"/>
          <c:w val="0.56245078740157484"/>
          <c:h val="0.64803397757098535"/>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3366FF"/>
              </a:solidFill>
              <a:ln w="12700">
                <a:solidFill>
                  <a:srgbClr val="000000"/>
                </a:solidFill>
                <a:prstDash val="solid"/>
              </a:ln>
            </c:spPr>
            <c:extLst>
              <c:ext xmlns:c16="http://schemas.microsoft.com/office/drawing/2014/chart" uri="{C3380CC4-5D6E-409C-BE32-E72D297353CC}">
                <c16:uniqueId val="{00000001-36F8-4295-A998-8A60F5F32C99}"/>
              </c:ext>
            </c:extLst>
          </c:dPt>
          <c:dPt>
            <c:idx val="1"/>
            <c:bubble3D val="0"/>
            <c:spPr>
              <a:solidFill>
                <a:srgbClr val="FFFF00"/>
              </a:solidFill>
              <a:ln w="12700">
                <a:solidFill>
                  <a:srgbClr val="000000"/>
                </a:solidFill>
                <a:prstDash val="solid"/>
              </a:ln>
            </c:spPr>
            <c:extLst>
              <c:ext xmlns:c16="http://schemas.microsoft.com/office/drawing/2014/chart" uri="{C3380CC4-5D6E-409C-BE32-E72D297353CC}">
                <c16:uniqueId val="{00000003-36F8-4295-A998-8A60F5F32C99}"/>
              </c:ext>
            </c:extLst>
          </c:dPt>
          <c:dPt>
            <c:idx val="2"/>
            <c:bubble3D val="0"/>
            <c:spPr>
              <a:solidFill>
                <a:srgbClr val="FF9900"/>
              </a:solidFill>
              <a:ln w="12700">
                <a:solidFill>
                  <a:srgbClr val="000000"/>
                </a:solidFill>
                <a:prstDash val="solid"/>
              </a:ln>
            </c:spPr>
            <c:extLst>
              <c:ext xmlns:c16="http://schemas.microsoft.com/office/drawing/2014/chart" uri="{C3380CC4-5D6E-409C-BE32-E72D297353CC}">
                <c16:uniqueId val="{00000005-36F8-4295-A998-8A60F5F32C99}"/>
              </c:ext>
            </c:extLst>
          </c:dPt>
          <c:dPt>
            <c:idx val="3"/>
            <c:bubble3D val="0"/>
            <c:spPr>
              <a:solidFill>
                <a:srgbClr val="00FF00"/>
              </a:solidFill>
              <a:ln w="12700">
                <a:solidFill>
                  <a:srgbClr val="000000"/>
                </a:solidFill>
                <a:prstDash val="solid"/>
              </a:ln>
            </c:spPr>
            <c:extLst>
              <c:ext xmlns:c16="http://schemas.microsoft.com/office/drawing/2014/chart" uri="{C3380CC4-5D6E-409C-BE32-E72D297353CC}">
                <c16:uniqueId val="{00000007-36F8-4295-A998-8A60F5F32C99}"/>
              </c:ext>
            </c:extLst>
          </c:dPt>
          <c:dPt>
            <c:idx val="4"/>
            <c:bubble3D val="0"/>
            <c:spPr>
              <a:solidFill>
                <a:srgbClr val="FF0000"/>
              </a:solidFill>
              <a:ln w="12700">
                <a:solidFill>
                  <a:srgbClr val="000000"/>
                </a:solidFill>
                <a:prstDash val="solid"/>
              </a:ln>
            </c:spPr>
            <c:extLst>
              <c:ext xmlns:c16="http://schemas.microsoft.com/office/drawing/2014/chart" uri="{C3380CC4-5D6E-409C-BE32-E72D297353CC}">
                <c16:uniqueId val="{00000009-36F8-4295-A998-8A60F5F32C99}"/>
              </c:ext>
            </c:extLst>
          </c:dPt>
          <c:dLbls>
            <c:numFmt formatCode="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'P-tewerkstelling'!$A$4:$A$8</c:f>
              <c:strCache>
                <c:ptCount val="5"/>
                <c:pt idx="0">
                  <c:v>Vastbenoemd</c:v>
                </c:pt>
                <c:pt idx="1">
                  <c:v>Niet vastbenoemd</c:v>
                </c:pt>
                <c:pt idx="2">
                  <c:v>Jobstudent</c:v>
                </c:pt>
                <c:pt idx="3">
                  <c:v>Art. 60 - TWE</c:v>
                </c:pt>
                <c:pt idx="4">
                  <c:v>Plan activa</c:v>
                </c:pt>
              </c:strCache>
            </c:strRef>
          </c:cat>
          <c:val>
            <c:numRef>
              <c:f>'P-tewerkstelling'!$G$4:$G$8</c:f>
              <c:numCache>
                <c:formatCode>#,##0.00</c:formatCode>
                <c:ptCount val="5"/>
                <c:pt idx="0">
                  <c:v>16.980699999999999</c:v>
                </c:pt>
                <c:pt idx="1">
                  <c:v>168.61689999999999</c:v>
                </c:pt>
                <c:pt idx="2">
                  <c:v>3.6867000000000001</c:v>
                </c:pt>
                <c:pt idx="3">
                  <c:v>4.7138999999999998</c:v>
                </c:pt>
                <c:pt idx="4">
                  <c:v>0</c:v>
                </c:pt>
              </c:numCache>
            </c:numRef>
          </c:val>
          <c:extLst>
            <c:ext xmlns:c16="http://schemas.microsoft.com/office/drawing/2014/chart" uri="{C3380CC4-5D6E-409C-BE32-E72D297353CC}">
              <c16:uniqueId val="{0000000A-36F8-4295-A998-8A60F5F32C99}"/>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rtl="0">
            <a:defRPr sz="920"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nl-BE"/>
              <a:t>Aantal VTE (gemiddeld)</a:t>
            </a:r>
          </a:p>
        </c:rich>
      </c:tx>
      <c:layout>
        <c:manualLayout>
          <c:xMode val="edge"/>
          <c:yMode val="edge"/>
          <c:x val="0.71015633915325804"/>
          <c:y val="5.0968163863238033E-2"/>
        </c:manualLayout>
      </c:layout>
      <c:overlay val="0"/>
      <c:spPr>
        <a:noFill/>
        <a:ln w="25400">
          <a:noFill/>
        </a:ln>
      </c:spPr>
    </c:title>
    <c:autoTitleDeleted val="0"/>
    <c:plotArea>
      <c:layout>
        <c:manualLayout>
          <c:layoutTarget val="inner"/>
          <c:xMode val="edge"/>
          <c:yMode val="edge"/>
          <c:x val="0.1095890410958904"/>
          <c:y val="0.20664243874401583"/>
          <c:w val="0.852054794520548"/>
          <c:h val="0.64206757752604926"/>
        </c:manualLayout>
      </c:layout>
      <c:lineChart>
        <c:grouping val="standard"/>
        <c:varyColors val="0"/>
        <c:ser>
          <c:idx val="0"/>
          <c:order val="0"/>
          <c:spPr>
            <a:ln w="25400">
              <a:solidFill>
                <a:srgbClr val="000080"/>
              </a:solidFill>
              <a:prstDash val="solid"/>
            </a:ln>
          </c:spPr>
          <c:marker>
            <c:symbol val="diamond"/>
            <c:size val="7"/>
            <c:spPr>
              <a:solidFill>
                <a:srgbClr val="000080"/>
              </a:solidFill>
              <a:ln>
                <a:solidFill>
                  <a:srgbClr val="000080"/>
                </a:solidFill>
                <a:prstDash val="solid"/>
              </a:ln>
            </c:spPr>
          </c:marker>
          <c:cat>
            <c:numRef>
              <c:f>'P-tewerkstelling'!$B$3:$G$3</c:f>
              <c:numCache>
                <c:formatCode>General</c:formatCode>
                <c:ptCount val="6"/>
                <c:pt idx="0">
                  <c:v>2017</c:v>
                </c:pt>
                <c:pt idx="1">
                  <c:v>2018</c:v>
                </c:pt>
                <c:pt idx="2">
                  <c:v>2019</c:v>
                </c:pt>
                <c:pt idx="3">
                  <c:v>2020</c:v>
                </c:pt>
                <c:pt idx="4">
                  <c:v>2021</c:v>
                </c:pt>
                <c:pt idx="5">
                  <c:v>2022</c:v>
                </c:pt>
              </c:numCache>
            </c:numRef>
          </c:cat>
          <c:val>
            <c:numRef>
              <c:f>'P-tewerkstelling'!$B$9:$G$9</c:f>
              <c:numCache>
                <c:formatCode>#,##0.00</c:formatCode>
                <c:ptCount val="6"/>
                <c:pt idx="0">
                  <c:v>196.77999999999997</c:v>
                </c:pt>
                <c:pt idx="1">
                  <c:v>201.51339999999999</c:v>
                </c:pt>
                <c:pt idx="2">
                  <c:v>209.70990000000003</c:v>
                </c:pt>
                <c:pt idx="3">
                  <c:v>208.19499999999999</c:v>
                </c:pt>
                <c:pt idx="4">
                  <c:v>198.68800000000002</c:v>
                </c:pt>
                <c:pt idx="5">
                  <c:v>193.9982</c:v>
                </c:pt>
              </c:numCache>
            </c:numRef>
          </c:val>
          <c:smooth val="0"/>
          <c:extLst>
            <c:ext xmlns:c16="http://schemas.microsoft.com/office/drawing/2014/chart" uri="{C3380CC4-5D6E-409C-BE32-E72D297353CC}">
              <c16:uniqueId val="{00000000-C3B0-4C66-B222-E5E7E05881AA}"/>
            </c:ext>
          </c:extLst>
        </c:ser>
        <c:dLbls>
          <c:showLegendKey val="0"/>
          <c:showVal val="0"/>
          <c:showCatName val="0"/>
          <c:showSerName val="0"/>
          <c:showPercent val="0"/>
          <c:showBubbleSize val="0"/>
        </c:dLbls>
        <c:marker val="1"/>
        <c:smooth val="0"/>
        <c:axId val="164553088"/>
        <c:axId val="164555008"/>
      </c:lineChart>
      <c:catAx>
        <c:axId val="1645530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nl-BE"/>
          </a:p>
        </c:txPr>
        <c:crossAx val="164555008"/>
        <c:crosses val="autoZero"/>
        <c:auto val="1"/>
        <c:lblAlgn val="ctr"/>
        <c:lblOffset val="100"/>
        <c:tickLblSkip val="1"/>
        <c:tickMarkSkip val="1"/>
        <c:noMultiLvlLbl val="0"/>
      </c:catAx>
      <c:valAx>
        <c:axId val="164555008"/>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nl-BE"/>
          </a:p>
        </c:txPr>
        <c:crossAx val="16455308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i="0" u="none" strike="noStrike" baseline="0">
                <a:solidFill>
                  <a:srgbClr val="000000"/>
                </a:solidFill>
                <a:latin typeface="Calibri"/>
                <a:ea typeface="Calibri"/>
                <a:cs typeface="Calibri"/>
              </a:defRPr>
            </a:pPr>
            <a:r>
              <a:rPr lang="nl-BE"/>
              <a:t>Aantal voltijdse equivalenten</a:t>
            </a:r>
          </a:p>
        </c:rich>
      </c:tx>
      <c:layout>
        <c:manualLayout>
          <c:xMode val="edge"/>
          <c:yMode val="edge"/>
          <c:x val="0.28800000000000003"/>
          <c:y val="5.1200908593549817E-2"/>
        </c:manualLayout>
      </c:layout>
      <c:overlay val="0"/>
      <c:spPr>
        <a:noFill/>
        <a:ln w="25400">
          <a:noFill/>
        </a:ln>
      </c:spPr>
    </c:title>
    <c:autoTitleDeleted val="0"/>
    <c:plotArea>
      <c:layout>
        <c:manualLayout>
          <c:layoutTarget val="inner"/>
          <c:xMode val="edge"/>
          <c:yMode val="edge"/>
          <c:x val="7.4125924747271602E-2"/>
          <c:y val="0.18518560380860236"/>
          <c:w val="0.90629432521192443"/>
          <c:h val="0.62037177275881794"/>
        </c:manualLayout>
      </c:layout>
      <c:barChart>
        <c:barDir val="col"/>
        <c:grouping val="clustered"/>
        <c:varyColors val="0"/>
        <c:ser>
          <c:idx val="0"/>
          <c:order val="0"/>
          <c:tx>
            <c:strRef>
              <c:f>'P-tewerkstelling'!$A$4</c:f>
              <c:strCache>
                <c:ptCount val="1"/>
                <c:pt idx="0">
                  <c:v>Vastbenoemd</c:v>
                </c:pt>
              </c:strCache>
            </c:strRef>
          </c:tx>
          <c:spPr>
            <a:solidFill>
              <a:srgbClr val="9999FF"/>
            </a:solidFill>
            <a:ln w="12700">
              <a:solidFill>
                <a:srgbClr val="000000"/>
              </a:solidFill>
              <a:prstDash val="solid"/>
            </a:ln>
          </c:spPr>
          <c:invertIfNegative val="0"/>
          <c:cat>
            <c:numRef>
              <c:f>'P-tewerkstelling'!$B$3:$G$3</c:f>
              <c:numCache>
                <c:formatCode>General</c:formatCode>
                <c:ptCount val="6"/>
                <c:pt idx="0">
                  <c:v>2017</c:v>
                </c:pt>
                <c:pt idx="1">
                  <c:v>2018</c:v>
                </c:pt>
                <c:pt idx="2">
                  <c:v>2019</c:v>
                </c:pt>
                <c:pt idx="3">
                  <c:v>2020</c:v>
                </c:pt>
                <c:pt idx="4">
                  <c:v>2021</c:v>
                </c:pt>
                <c:pt idx="5">
                  <c:v>2022</c:v>
                </c:pt>
              </c:numCache>
            </c:numRef>
          </c:cat>
          <c:val>
            <c:numRef>
              <c:f>'P-tewerkstelling'!$B$4:$G$4</c:f>
              <c:numCache>
                <c:formatCode>#,##0.00</c:formatCode>
                <c:ptCount val="6"/>
                <c:pt idx="0">
                  <c:v>33.909999999999997</c:v>
                </c:pt>
                <c:pt idx="1">
                  <c:v>29.130000000000003</c:v>
                </c:pt>
                <c:pt idx="2">
                  <c:v>26.990000000000002</c:v>
                </c:pt>
                <c:pt idx="3">
                  <c:v>24.08</c:v>
                </c:pt>
                <c:pt idx="4">
                  <c:v>20.07</c:v>
                </c:pt>
                <c:pt idx="5">
                  <c:v>16.980699999999999</c:v>
                </c:pt>
              </c:numCache>
            </c:numRef>
          </c:val>
          <c:extLst xmlns:c15="http://schemas.microsoft.com/office/drawing/2012/chart">
            <c:ext xmlns:c16="http://schemas.microsoft.com/office/drawing/2014/chart" uri="{C3380CC4-5D6E-409C-BE32-E72D297353CC}">
              <c16:uniqueId val="{00000000-923E-4508-9857-8F10D722FB5C}"/>
            </c:ext>
          </c:extLst>
        </c:ser>
        <c:ser>
          <c:idx val="1"/>
          <c:order val="1"/>
          <c:tx>
            <c:strRef>
              <c:f>'P-tewerkstelling'!$A$5</c:f>
              <c:strCache>
                <c:ptCount val="1"/>
                <c:pt idx="0">
                  <c:v>Niet vastbenoemd</c:v>
                </c:pt>
              </c:strCache>
            </c:strRef>
          </c:tx>
          <c:spPr>
            <a:solidFill>
              <a:srgbClr val="993366"/>
            </a:solidFill>
            <a:ln w="12700">
              <a:solidFill>
                <a:srgbClr val="000000"/>
              </a:solidFill>
              <a:prstDash val="solid"/>
            </a:ln>
          </c:spPr>
          <c:invertIfNegative val="0"/>
          <c:cat>
            <c:numRef>
              <c:f>'P-tewerkstelling'!$B$3:$G$3</c:f>
              <c:numCache>
                <c:formatCode>General</c:formatCode>
                <c:ptCount val="6"/>
                <c:pt idx="0">
                  <c:v>2017</c:v>
                </c:pt>
                <c:pt idx="1">
                  <c:v>2018</c:v>
                </c:pt>
                <c:pt idx="2">
                  <c:v>2019</c:v>
                </c:pt>
                <c:pt idx="3">
                  <c:v>2020</c:v>
                </c:pt>
                <c:pt idx="4">
                  <c:v>2021</c:v>
                </c:pt>
                <c:pt idx="5">
                  <c:v>2022</c:v>
                </c:pt>
              </c:numCache>
            </c:numRef>
          </c:cat>
          <c:val>
            <c:numRef>
              <c:f>'P-tewerkstelling'!$B$5:$G$5</c:f>
              <c:numCache>
                <c:formatCode>#,##0.00</c:formatCode>
                <c:ptCount val="6"/>
                <c:pt idx="0">
                  <c:v>154.51999999999998</c:v>
                </c:pt>
                <c:pt idx="1">
                  <c:v>163.7234</c:v>
                </c:pt>
                <c:pt idx="2">
                  <c:v>167.48990000000001</c:v>
                </c:pt>
                <c:pt idx="3">
                  <c:v>170.965</c:v>
                </c:pt>
                <c:pt idx="4">
                  <c:v>166.47800000000001</c:v>
                </c:pt>
                <c:pt idx="5">
                  <c:v>168.61689999999999</c:v>
                </c:pt>
              </c:numCache>
            </c:numRef>
          </c:val>
          <c:extLst>
            <c:ext xmlns:c16="http://schemas.microsoft.com/office/drawing/2014/chart" uri="{C3380CC4-5D6E-409C-BE32-E72D297353CC}">
              <c16:uniqueId val="{00000001-923E-4508-9857-8F10D722FB5C}"/>
            </c:ext>
          </c:extLst>
        </c:ser>
        <c:ser>
          <c:idx val="2"/>
          <c:order val="2"/>
          <c:tx>
            <c:strRef>
              <c:f>'P-tewerkstelling'!$A$6</c:f>
              <c:strCache>
                <c:ptCount val="1"/>
                <c:pt idx="0">
                  <c:v>Jobstudent</c:v>
                </c:pt>
              </c:strCache>
            </c:strRef>
          </c:tx>
          <c:spPr>
            <a:solidFill>
              <a:srgbClr val="FFFFCC"/>
            </a:solidFill>
            <a:ln w="12700">
              <a:solidFill>
                <a:srgbClr val="000000"/>
              </a:solidFill>
              <a:prstDash val="solid"/>
            </a:ln>
          </c:spPr>
          <c:invertIfNegative val="0"/>
          <c:cat>
            <c:numRef>
              <c:f>'P-tewerkstelling'!$B$3:$G$3</c:f>
              <c:numCache>
                <c:formatCode>General</c:formatCode>
                <c:ptCount val="6"/>
                <c:pt idx="0">
                  <c:v>2017</c:v>
                </c:pt>
                <c:pt idx="1">
                  <c:v>2018</c:v>
                </c:pt>
                <c:pt idx="2">
                  <c:v>2019</c:v>
                </c:pt>
                <c:pt idx="3">
                  <c:v>2020</c:v>
                </c:pt>
                <c:pt idx="4">
                  <c:v>2021</c:v>
                </c:pt>
                <c:pt idx="5">
                  <c:v>2022</c:v>
                </c:pt>
              </c:numCache>
            </c:numRef>
          </c:cat>
          <c:val>
            <c:numRef>
              <c:f>'P-tewerkstelling'!$B$6:$G$6</c:f>
              <c:numCache>
                <c:formatCode>#,##0.00</c:formatCode>
                <c:ptCount val="6"/>
                <c:pt idx="0">
                  <c:v>4.8600000000000003</c:v>
                </c:pt>
                <c:pt idx="1">
                  <c:v>5.31</c:v>
                </c:pt>
                <c:pt idx="2">
                  <c:v>4.21</c:v>
                </c:pt>
                <c:pt idx="3">
                  <c:v>4.01</c:v>
                </c:pt>
                <c:pt idx="4">
                  <c:v>4.05</c:v>
                </c:pt>
                <c:pt idx="5">
                  <c:v>3.6867000000000001</c:v>
                </c:pt>
              </c:numCache>
            </c:numRef>
          </c:val>
          <c:extLst>
            <c:ext xmlns:c16="http://schemas.microsoft.com/office/drawing/2014/chart" uri="{C3380CC4-5D6E-409C-BE32-E72D297353CC}">
              <c16:uniqueId val="{00000002-923E-4508-9857-8F10D722FB5C}"/>
            </c:ext>
          </c:extLst>
        </c:ser>
        <c:ser>
          <c:idx val="4"/>
          <c:order val="3"/>
          <c:tx>
            <c:strRef>
              <c:f>'P-tewerkstelling'!$A$7</c:f>
              <c:strCache>
                <c:ptCount val="1"/>
                <c:pt idx="0">
                  <c:v>Art. 60 - TWE</c:v>
                </c:pt>
              </c:strCache>
            </c:strRef>
          </c:tx>
          <c:spPr>
            <a:solidFill>
              <a:srgbClr val="99CC00"/>
            </a:solidFill>
            <a:ln w="12700">
              <a:solidFill>
                <a:srgbClr val="000000"/>
              </a:solidFill>
              <a:prstDash val="solid"/>
            </a:ln>
          </c:spPr>
          <c:invertIfNegative val="0"/>
          <c:cat>
            <c:numRef>
              <c:f>'P-tewerkstelling'!$B$3:$G$3</c:f>
              <c:numCache>
                <c:formatCode>General</c:formatCode>
                <c:ptCount val="6"/>
                <c:pt idx="0">
                  <c:v>2017</c:v>
                </c:pt>
                <c:pt idx="1">
                  <c:v>2018</c:v>
                </c:pt>
                <c:pt idx="2">
                  <c:v>2019</c:v>
                </c:pt>
                <c:pt idx="3">
                  <c:v>2020</c:v>
                </c:pt>
                <c:pt idx="4">
                  <c:v>2021</c:v>
                </c:pt>
                <c:pt idx="5">
                  <c:v>2022</c:v>
                </c:pt>
              </c:numCache>
            </c:numRef>
          </c:cat>
          <c:val>
            <c:numRef>
              <c:f>'P-tewerkstelling'!$B$7:$G$7</c:f>
              <c:numCache>
                <c:formatCode>#,##0.00</c:formatCode>
                <c:ptCount val="6"/>
                <c:pt idx="0">
                  <c:v>2.4500000000000002</c:v>
                </c:pt>
                <c:pt idx="1">
                  <c:v>3.35</c:v>
                </c:pt>
                <c:pt idx="2">
                  <c:v>11.02</c:v>
                </c:pt>
                <c:pt idx="3">
                  <c:v>9.14</c:v>
                </c:pt>
                <c:pt idx="4">
                  <c:v>8.09</c:v>
                </c:pt>
                <c:pt idx="5">
                  <c:v>4.7138999999999998</c:v>
                </c:pt>
              </c:numCache>
            </c:numRef>
          </c:val>
          <c:extLst>
            <c:ext xmlns:c16="http://schemas.microsoft.com/office/drawing/2014/chart" uri="{C3380CC4-5D6E-409C-BE32-E72D297353CC}">
              <c16:uniqueId val="{00000003-923E-4508-9857-8F10D722FB5C}"/>
            </c:ext>
          </c:extLst>
        </c:ser>
        <c:ser>
          <c:idx val="3"/>
          <c:order val="4"/>
          <c:tx>
            <c:strRef>
              <c:f>'P-tewerkstelling'!$A$8</c:f>
              <c:strCache>
                <c:ptCount val="1"/>
                <c:pt idx="0">
                  <c:v>Plan activa</c:v>
                </c:pt>
              </c:strCache>
            </c:strRef>
          </c:tx>
          <c:invertIfNegative val="0"/>
          <c:cat>
            <c:numRef>
              <c:f>'P-tewerkstelling'!$B$3:$G$3</c:f>
              <c:numCache>
                <c:formatCode>General</c:formatCode>
                <c:ptCount val="6"/>
                <c:pt idx="0">
                  <c:v>2017</c:v>
                </c:pt>
                <c:pt idx="1">
                  <c:v>2018</c:v>
                </c:pt>
                <c:pt idx="2">
                  <c:v>2019</c:v>
                </c:pt>
                <c:pt idx="3">
                  <c:v>2020</c:v>
                </c:pt>
                <c:pt idx="4">
                  <c:v>2021</c:v>
                </c:pt>
                <c:pt idx="5">
                  <c:v>2022</c:v>
                </c:pt>
              </c:numCache>
            </c:numRef>
          </c:cat>
          <c:val>
            <c:numRef>
              <c:f>'P-tewerkstelling'!$B$8:$G$8</c:f>
              <c:numCache>
                <c:formatCode>#,##0.00</c:formatCode>
                <c:ptCount val="6"/>
                <c:pt idx="0">
                  <c:v>1.04</c:v>
                </c:pt>
                <c:pt idx="1">
                  <c:v>0</c:v>
                </c:pt>
                <c:pt idx="2">
                  <c:v>0</c:v>
                </c:pt>
                <c:pt idx="3">
                  <c:v>0</c:v>
                </c:pt>
                <c:pt idx="4">
                  <c:v>0</c:v>
                </c:pt>
                <c:pt idx="5">
                  <c:v>0</c:v>
                </c:pt>
              </c:numCache>
            </c:numRef>
          </c:val>
          <c:extLst>
            <c:ext xmlns:c16="http://schemas.microsoft.com/office/drawing/2014/chart" uri="{C3380CC4-5D6E-409C-BE32-E72D297353CC}">
              <c16:uniqueId val="{00000000-40F6-4F1F-9126-16C5E822F87A}"/>
            </c:ext>
          </c:extLst>
        </c:ser>
        <c:dLbls>
          <c:showLegendKey val="0"/>
          <c:showVal val="0"/>
          <c:showCatName val="0"/>
          <c:showSerName val="0"/>
          <c:showPercent val="0"/>
          <c:showBubbleSize val="0"/>
        </c:dLbls>
        <c:gapWidth val="150"/>
        <c:axId val="164398976"/>
        <c:axId val="164400512"/>
        <c:extLst/>
      </c:barChart>
      <c:catAx>
        <c:axId val="164398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nl-BE"/>
          </a:p>
        </c:txPr>
        <c:crossAx val="164400512"/>
        <c:crosses val="autoZero"/>
        <c:auto val="1"/>
        <c:lblAlgn val="ctr"/>
        <c:lblOffset val="100"/>
        <c:tickLblSkip val="1"/>
        <c:tickMarkSkip val="1"/>
        <c:noMultiLvlLbl val="0"/>
      </c:catAx>
      <c:valAx>
        <c:axId val="16440051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nl-BE"/>
          </a:p>
        </c:txPr>
        <c:crossAx val="164398976"/>
        <c:crosses val="autoZero"/>
        <c:crossBetween val="between"/>
      </c:valAx>
      <c:spPr>
        <a:solidFill>
          <a:srgbClr val="FFFFFF"/>
        </a:solidFill>
        <a:ln w="3175">
          <a:solidFill>
            <a:srgbClr val="000000"/>
          </a:solidFill>
          <a:prstDash val="solid"/>
        </a:ln>
      </c:spPr>
    </c:plotArea>
    <c:legend>
      <c:legendPos val="b"/>
      <c:layout>
        <c:manualLayout>
          <c:xMode val="edge"/>
          <c:yMode val="edge"/>
          <c:x val="7.4236657917760443E-3"/>
          <c:y val="0.90904950865310685"/>
          <c:w val="0.97074262775976528"/>
          <c:h val="6.0220084626624849E-2"/>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Individuele vs. Groepen vs. Schoolgroepen</a:t>
            </a:r>
          </a:p>
        </c:rich>
      </c:tx>
      <c:layout>
        <c:manualLayout>
          <c:xMode val="edge"/>
          <c:yMode val="edge"/>
          <c:x val="0.16480533096901762"/>
          <c:y val="0"/>
        </c:manualLayout>
      </c:layout>
      <c:overlay val="0"/>
    </c:title>
    <c:autoTitleDeleted val="0"/>
    <c:plotArea>
      <c:layout/>
      <c:barChart>
        <c:barDir val="col"/>
        <c:grouping val="percentStacked"/>
        <c:varyColors val="0"/>
        <c:ser>
          <c:idx val="0"/>
          <c:order val="0"/>
          <c:tx>
            <c:v>Individueel</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120</c:v>
              </c:pt>
              <c:pt idx="1">
                <c:v>102</c:v>
              </c:pt>
              <c:pt idx="2">
                <c:v>161</c:v>
              </c:pt>
              <c:pt idx="3">
                <c:v>170</c:v>
              </c:pt>
              <c:pt idx="4">
                <c:v>219</c:v>
              </c:pt>
              <c:pt idx="5">
                <c:v>257</c:v>
              </c:pt>
              <c:pt idx="6">
                <c:v>398</c:v>
              </c:pt>
              <c:pt idx="7">
                <c:v>581</c:v>
              </c:pt>
              <c:pt idx="8">
                <c:v>460</c:v>
              </c:pt>
              <c:pt idx="9">
                <c:v>357</c:v>
              </c:pt>
              <c:pt idx="10">
                <c:v>326</c:v>
              </c:pt>
              <c:pt idx="11">
                <c:v>242</c:v>
              </c:pt>
            </c:numLit>
          </c:val>
          <c:extLst>
            <c:ext xmlns:c16="http://schemas.microsoft.com/office/drawing/2014/chart" uri="{C3380CC4-5D6E-409C-BE32-E72D297353CC}">
              <c16:uniqueId val="{00000000-0889-4E67-9BCB-44BDA76D0151}"/>
            </c:ext>
          </c:extLst>
        </c:ser>
        <c:ser>
          <c:idx val="1"/>
          <c:order val="1"/>
          <c:tx>
            <c:v>Groepen</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64</c:v>
              </c:pt>
              <c:pt idx="2">
                <c:v>21</c:v>
              </c:pt>
              <c:pt idx="3">
                <c:v>0</c:v>
              </c:pt>
              <c:pt idx="4">
                <c:v>17</c:v>
              </c:pt>
              <c:pt idx="5">
                <c:v>17</c:v>
              </c:pt>
              <c:pt idx="6">
                <c:v>19</c:v>
              </c:pt>
              <c:pt idx="7">
                <c:v>40</c:v>
              </c:pt>
              <c:pt idx="8">
                <c:v>65</c:v>
              </c:pt>
              <c:pt idx="9">
                <c:v>0</c:v>
              </c:pt>
              <c:pt idx="10">
                <c:v>0</c:v>
              </c:pt>
              <c:pt idx="11">
                <c:v>15</c:v>
              </c:pt>
            </c:numLit>
          </c:val>
          <c:extLst>
            <c:ext xmlns:c16="http://schemas.microsoft.com/office/drawing/2014/chart" uri="{C3380CC4-5D6E-409C-BE32-E72D297353CC}">
              <c16:uniqueId val="{00000001-0889-4E67-9BCB-44BDA76D0151}"/>
            </c:ext>
          </c:extLst>
        </c:ser>
        <c:ser>
          <c:idx val="2"/>
          <c:order val="2"/>
          <c:tx>
            <c:v>Schoolgroepen</c:v>
          </c:tx>
          <c:invertIfNegative val="0"/>
          <c:cat>
            <c:numLit>
              <c:formatCode>General</c:formatCode>
              <c:ptCount val="12"/>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numLit>
          </c:cat>
          <c:val>
            <c:numLit>
              <c:formatCode>General</c:formatCode>
              <c:ptCount val="12"/>
              <c:pt idx="0">
                <c:v>0</c:v>
              </c:pt>
              <c:pt idx="1">
                <c:v>0</c:v>
              </c:pt>
              <c:pt idx="2">
                <c:v>0</c:v>
              </c:pt>
              <c:pt idx="3">
                <c:v>45</c:v>
              </c:pt>
              <c:pt idx="4">
                <c:v>0</c:v>
              </c:pt>
              <c:pt idx="5">
                <c:v>14</c:v>
              </c:pt>
              <c:pt idx="6">
                <c:v>6</c:v>
              </c:pt>
              <c:pt idx="7">
                <c:v>6</c:v>
              </c:pt>
              <c:pt idx="8">
                <c:v>0</c:v>
              </c:pt>
              <c:pt idx="9">
                <c:v>54</c:v>
              </c:pt>
              <c:pt idx="10">
                <c:v>11</c:v>
              </c:pt>
              <c:pt idx="11">
                <c:v>10</c:v>
              </c:pt>
            </c:numLit>
          </c:val>
          <c:extLst>
            <c:ext xmlns:c16="http://schemas.microsoft.com/office/drawing/2014/chart" uri="{C3380CC4-5D6E-409C-BE32-E72D297353CC}">
              <c16:uniqueId val="{00000002-0889-4E67-9BCB-44BDA76D0151}"/>
            </c:ext>
          </c:extLst>
        </c:ser>
        <c:dLbls>
          <c:showLegendKey val="0"/>
          <c:showVal val="0"/>
          <c:showCatName val="0"/>
          <c:showSerName val="0"/>
          <c:showPercent val="0"/>
          <c:showBubbleSize val="0"/>
        </c:dLbls>
        <c:gapWidth val="55"/>
        <c:overlap val="100"/>
        <c:axId val="677252568"/>
        <c:axId val="1"/>
      </c:barChart>
      <c:catAx>
        <c:axId val="677252568"/>
        <c:scaling>
          <c:orientation val="minMax"/>
        </c:scaling>
        <c:delete val="0"/>
        <c:axPos val="b"/>
        <c:numFmt formatCode="mmm\-yy" sourceLinked="0"/>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52568"/>
        <c:crosses val="autoZero"/>
        <c:crossBetween val="between"/>
      </c:valAx>
    </c:plotArea>
    <c:legend>
      <c:legendPos val="r"/>
      <c:layout>
        <c:manualLayout>
          <c:xMode val="edge"/>
          <c:yMode val="edge"/>
          <c:x val="0.8512064343163539"/>
          <c:y val="0.46171693735498842"/>
          <c:w val="0.13806970509383376"/>
          <c:h val="0.16705336426914152"/>
        </c:manualLayout>
      </c:layout>
      <c:overlay val="0"/>
      <c:txPr>
        <a:bodyPr/>
        <a:lstStyle/>
        <a:p>
          <a:pPr>
            <a:defRPr sz="845"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Respo bijdrage</a:t>
            </a:r>
            <a:r>
              <a:rPr lang="en-US" baseline="0"/>
              <a:t> Veurne</a:t>
            </a:r>
            <a:endParaRPr lang="en-US"/>
          </a:p>
        </c:rich>
      </c:tx>
      <c:overlay val="0"/>
    </c:title>
    <c:autoTitleDeleted val="0"/>
    <c:plotArea>
      <c:layout/>
      <c:lineChart>
        <c:grouping val="standard"/>
        <c:varyColors val="0"/>
        <c:ser>
          <c:idx val="1"/>
          <c:order val="0"/>
          <c:tx>
            <c:v>respo bijdrage</c:v>
          </c:tx>
          <c:dLbls>
            <c:dLbl>
              <c:idx val="1"/>
              <c:layout>
                <c:manualLayout>
                  <c:x val="-3.0389359177848192E-2"/>
                  <c:y val="-5.0125313283208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26-4AA7-B34F-1BCF23B02F7A}"/>
                </c:ext>
              </c:extLst>
            </c:dLbl>
            <c:dLbl>
              <c:idx val="10"/>
              <c:layout>
                <c:manualLayout>
                  <c:x val="-2.2792019383386142E-2"/>
                  <c:y val="-3.007518796992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26-4AA7-B34F-1BCF23B02F7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 Resp bijdrage'!$D$3:$P$3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'P Resp bijdrage'!$D$42:$P$42</c:f>
              <c:numCache>
                <c:formatCode>#,##0</c:formatCode>
                <c:ptCount val="13"/>
                <c:pt idx="0">
                  <c:v>132666.755</c:v>
                </c:pt>
                <c:pt idx="1">
                  <c:v>224935.22999999998</c:v>
                </c:pt>
                <c:pt idx="2">
                  <c:v>91002.64499999996</c:v>
                </c:pt>
                <c:pt idx="3">
                  <c:v>372930.93500000006</c:v>
                </c:pt>
                <c:pt idx="4">
                  <c:v>511178.16249999998</c:v>
                </c:pt>
                <c:pt idx="5">
                  <c:v>500643.88750000001</c:v>
                </c:pt>
                <c:pt idx="6">
                  <c:v>547403.01500000013</c:v>
                </c:pt>
                <c:pt idx="7">
                  <c:v>656169.26500000013</c:v>
                </c:pt>
                <c:pt idx="8">
                  <c:v>757843.5199999999</c:v>
                </c:pt>
                <c:pt idx="9">
                  <c:v>1235222.8934999998</c:v>
                </c:pt>
                <c:pt idx="10">
                  <c:v>1525979.963</c:v>
                </c:pt>
                <c:pt idx="11">
                  <c:v>1785847.6839999999</c:v>
                </c:pt>
                <c:pt idx="12">
                  <c:v>2052729.1185000003</c:v>
                </c:pt>
              </c:numCache>
            </c:numRef>
          </c:val>
          <c:smooth val="0"/>
          <c:extLst>
            <c:ext xmlns:c16="http://schemas.microsoft.com/office/drawing/2014/chart" uri="{C3380CC4-5D6E-409C-BE32-E72D297353CC}">
              <c16:uniqueId val="{00000002-5E26-4AA7-B34F-1BCF23B02F7A}"/>
            </c:ext>
          </c:extLst>
        </c:ser>
        <c:ser>
          <c:idx val="0"/>
          <c:order val="1"/>
          <c:tx>
            <c:v>respo gecompenseerd</c:v>
          </c:tx>
          <c:dLbls>
            <c:dLbl>
              <c:idx val="5"/>
              <c:layout>
                <c:manualLayout>
                  <c:x val="-9.49667474307756E-2"/>
                  <c:y val="-1.5922127381136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26-4AA7-B34F-1BCF23B02F7A}"/>
                </c:ext>
              </c:extLst>
            </c:dLbl>
            <c:dLbl>
              <c:idx val="6"/>
              <c:layout>
                <c:manualLayout>
                  <c:x val="-0.10636275712246866"/>
                  <c:y val="-3.380989141063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26-4AA7-B34F-1BCF23B02F7A}"/>
                </c:ext>
              </c:extLst>
            </c:dLbl>
            <c:dLbl>
              <c:idx val="7"/>
              <c:layout>
                <c:manualLayout>
                  <c:x val="-9.8765417328006685E-2"/>
                  <c:y val="-5.6612041141916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E26-4AA7-B34F-1BCF23B02F7A}"/>
                </c:ext>
              </c:extLst>
            </c:dLbl>
            <c:dLbl>
              <c:idx val="8"/>
              <c:layout>
                <c:manualLayout>
                  <c:x val="-6.8376058150158431E-2"/>
                  <c:y val="-4.0100250626566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E26-4AA7-B34F-1BCF23B02F7A}"/>
                </c:ext>
              </c:extLst>
            </c:dLbl>
            <c:dLbl>
              <c:idx val="9"/>
              <c:layout>
                <c:manualLayout>
                  <c:x val="-9.6866082379391108E-2"/>
                  <c:y val="-3.3416875522138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E26-4AA7-B34F-1BCF23B02F7A}"/>
                </c:ext>
              </c:extLst>
            </c:dLbl>
            <c:dLbl>
              <c:idx val="10"/>
              <c:layout>
                <c:manualLayout>
                  <c:x val="-8.9268667807962582E-2"/>
                  <c:y val="-3.3023813199820645E-2"/>
                </c:manualLayout>
              </c:layout>
              <c:showLegendKey val="0"/>
              <c:showVal val="1"/>
              <c:showCatName val="0"/>
              <c:showSerName val="0"/>
              <c:showPercent val="0"/>
              <c:showBubbleSize val="0"/>
              <c:extLst>
                <c:ext xmlns:c15="http://schemas.microsoft.com/office/drawing/2012/chart" uri="{CE6537A1-D6FC-4f65-9D91-7224C49458BB}">
                  <c15:layout>
                    <c:manualLayout>
                      <c:w val="0.14537509696703127"/>
                      <c:h val="5.6788195593197907E-2"/>
                    </c:manualLayout>
                  </c15:layout>
                </c:ext>
                <c:ext xmlns:c16="http://schemas.microsoft.com/office/drawing/2014/chart" uri="{C3380CC4-5D6E-409C-BE32-E72D297353CC}">
                  <c16:uniqueId val="{00000008-5E26-4AA7-B34F-1BCF23B02F7A}"/>
                </c:ext>
              </c:extLst>
            </c:dLbl>
            <c:dLbl>
              <c:idx val="11"/>
              <c:layout>
                <c:manualLayout>
                  <c:x val="-3.7986698972310239E-2"/>
                  <c:y val="-5.0911577229316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E26-4AA7-B34F-1BCF23B02F7A}"/>
                </c:ext>
              </c:extLst>
            </c:dLbl>
            <c:dLbl>
              <c:idx val="12"/>
              <c:layout>
                <c:manualLayout>
                  <c:x val="-1.8993349486155119E-2"/>
                  <c:y val="-5.6808688387635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E26-4AA7-B34F-1BCF23B02F7A}"/>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 Resp bijdrage'!$D$3:$P$3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'P Resp bijdrage'!$D$44:$P$44</c:f>
              <c:numCache>
                <c:formatCode>General</c:formatCode>
                <c:ptCount val="13"/>
                <c:pt idx="5" formatCode="#,##0">
                  <c:v>129154.88750000001</c:v>
                </c:pt>
                <c:pt idx="6" formatCode="#,##0">
                  <c:v>119547.01500000013</c:v>
                </c:pt>
                <c:pt idx="7" formatCode="#,##0">
                  <c:v>119299.26500000013</c:v>
                </c:pt>
                <c:pt idx="8" formatCode="#,##0">
                  <c:v>-25322.480000000098</c:v>
                </c:pt>
                <c:pt idx="9" formatCode="#,##0">
                  <c:v>345373.89349999977</c:v>
                </c:pt>
                <c:pt idx="10" formatCode="#,##0">
                  <c:v>563312.96299999999</c:v>
                </c:pt>
                <c:pt idx="11" formatCode="#,##0">
                  <c:v>823180.68399999989</c:v>
                </c:pt>
                <c:pt idx="12" formatCode="#,##0">
                  <c:v>1090060.1185000003</c:v>
                </c:pt>
              </c:numCache>
            </c:numRef>
          </c:val>
          <c:smooth val="0"/>
          <c:extLst>
            <c:ext xmlns:c16="http://schemas.microsoft.com/office/drawing/2014/chart" uri="{C3380CC4-5D6E-409C-BE32-E72D297353CC}">
              <c16:uniqueId val="{0000000B-5E26-4AA7-B34F-1BCF23B02F7A}"/>
            </c:ext>
          </c:extLst>
        </c:ser>
        <c:dLbls>
          <c:showLegendKey val="0"/>
          <c:showVal val="0"/>
          <c:showCatName val="0"/>
          <c:showSerName val="0"/>
          <c:showPercent val="0"/>
          <c:showBubbleSize val="0"/>
        </c:dLbls>
        <c:marker val="1"/>
        <c:smooth val="0"/>
        <c:axId val="110946944"/>
        <c:axId val="110948736"/>
      </c:lineChart>
      <c:catAx>
        <c:axId val="110946944"/>
        <c:scaling>
          <c:orientation val="minMax"/>
        </c:scaling>
        <c:delete val="0"/>
        <c:axPos val="b"/>
        <c:numFmt formatCode="General" sourceLinked="1"/>
        <c:majorTickMark val="none"/>
        <c:minorTickMark val="none"/>
        <c:tickLblPos val="nextTo"/>
        <c:crossAx val="110948736"/>
        <c:crosses val="autoZero"/>
        <c:auto val="1"/>
        <c:lblAlgn val="ctr"/>
        <c:lblOffset val="100"/>
        <c:noMultiLvlLbl val="0"/>
      </c:catAx>
      <c:valAx>
        <c:axId val="110948736"/>
        <c:scaling>
          <c:orientation val="minMax"/>
        </c:scaling>
        <c:delete val="0"/>
        <c:axPos val="l"/>
        <c:majorGridlines/>
        <c:numFmt formatCode="#,##0" sourceLinked="1"/>
        <c:majorTickMark val="none"/>
        <c:minorTickMark val="none"/>
        <c:tickLblPos val="nextTo"/>
        <c:spPr>
          <a:ln w="9525">
            <a:noFill/>
          </a:ln>
        </c:spPr>
        <c:crossAx val="110946944"/>
        <c:crosses val="autoZero"/>
        <c:crossBetween val="between"/>
      </c:valAx>
    </c:plotArea>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Respo bijdrage</a:t>
            </a:r>
            <a:r>
              <a:rPr lang="en-US" baseline="0"/>
              <a:t> Veurne</a:t>
            </a:r>
            <a:endParaRPr lang="en-US"/>
          </a:p>
        </c:rich>
      </c:tx>
      <c:overlay val="0"/>
    </c:title>
    <c:autoTitleDeleted val="0"/>
    <c:plotArea>
      <c:layout>
        <c:manualLayout>
          <c:layoutTarget val="inner"/>
          <c:xMode val="edge"/>
          <c:yMode val="edge"/>
          <c:x val="0.10526339592166364"/>
          <c:y val="0.17632044589931878"/>
          <c:w val="0.86191609125782354"/>
          <c:h val="0.80082367513049635"/>
        </c:manualLayout>
      </c:layout>
      <c:lineChart>
        <c:grouping val="standard"/>
        <c:varyColors val="0"/>
        <c:ser>
          <c:idx val="1"/>
          <c:order val="0"/>
          <c:tx>
            <c:v>respo bijdrage</c:v>
          </c:tx>
          <c:dLbls>
            <c:dLbl>
              <c:idx val="1"/>
              <c:layout>
                <c:manualLayout>
                  <c:x val="-3.0389359177848192E-2"/>
                  <c:y val="-5.012531328320801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FC6-4DA3-B007-64EB91DEEC25}"/>
                </c:ext>
              </c:extLst>
            </c:dLbl>
            <c:dLbl>
              <c:idx val="10"/>
              <c:layout>
                <c:manualLayout>
                  <c:x val="-2.2792019383386142E-2"/>
                  <c:y val="-3.007518796992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C6-4DA3-B007-64EB91DEEC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'P-Resp bijdrage'!$D$3:$P$3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'P-Resp bijdrage'!$D$42:$P$42</c:f>
              <c:numCache>
                <c:formatCode>#,##0</c:formatCode>
                <c:ptCount val="13"/>
                <c:pt idx="0">
                  <c:v>132666.755</c:v>
                </c:pt>
                <c:pt idx="1">
                  <c:v>224935.22999999998</c:v>
                </c:pt>
                <c:pt idx="2">
                  <c:v>91002.64499999996</c:v>
                </c:pt>
                <c:pt idx="3">
                  <c:v>372930.93500000006</c:v>
                </c:pt>
                <c:pt idx="4">
                  <c:v>511178.16249999998</c:v>
                </c:pt>
                <c:pt idx="5">
                  <c:v>444279.36000000004</c:v>
                </c:pt>
                <c:pt idx="6">
                  <c:v>448161.48000000004</c:v>
                </c:pt>
                <c:pt idx="7">
                  <c:v>600209.495</c:v>
                </c:pt>
                <c:pt idx="8">
                  <c:v>764557.90316399978</c:v>
                </c:pt>
                <c:pt idx="9">
                  <c:v>1371997.7592800001</c:v>
                </c:pt>
                <c:pt idx="10">
                  <c:v>1604827.7711750001</c:v>
                </c:pt>
                <c:pt idx="11">
                  <c:v>1909609.4214700002</c:v>
                </c:pt>
                <c:pt idx="12">
                  <c:v>2198145.4006599998</c:v>
                </c:pt>
              </c:numCache>
            </c:numRef>
          </c:val>
          <c:smooth val="0"/>
          <c:extLst>
            <c:ext xmlns:c16="http://schemas.microsoft.com/office/drawing/2014/chart" uri="{C3380CC4-5D6E-409C-BE32-E72D297353CC}">
              <c16:uniqueId val="{00000002-EFC6-4DA3-B007-64EB91DEEC25}"/>
            </c:ext>
          </c:extLst>
        </c:ser>
        <c:ser>
          <c:idx val="0"/>
          <c:order val="1"/>
          <c:tx>
            <c:v>respo gecompenseerd</c:v>
          </c:tx>
          <c:dLbls>
            <c:dLbl>
              <c:idx val="5"/>
              <c:layout>
                <c:manualLayout>
                  <c:x val="-9.49667474307756E-2"/>
                  <c:y val="-1.5922127381136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FC6-4DA3-B007-64EB91DEEC25}"/>
                </c:ext>
              </c:extLst>
            </c:dLbl>
            <c:dLbl>
              <c:idx val="6"/>
              <c:layout>
                <c:manualLayout>
                  <c:x val="-0.10636275712246866"/>
                  <c:y val="-3.38098914106324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FC6-4DA3-B007-64EB91DEEC25}"/>
                </c:ext>
              </c:extLst>
            </c:dLbl>
            <c:dLbl>
              <c:idx val="7"/>
              <c:layout>
                <c:manualLayout>
                  <c:x val="-9.8765417328006685E-2"/>
                  <c:y val="-5.66120411419161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FC6-4DA3-B007-64EB91DEEC25}"/>
                </c:ext>
              </c:extLst>
            </c:dLbl>
            <c:dLbl>
              <c:idx val="8"/>
              <c:layout>
                <c:manualLayout>
                  <c:x val="-6.8376058150158431E-2"/>
                  <c:y val="-4.01002506265664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FC6-4DA3-B007-64EB91DEEC25}"/>
                </c:ext>
              </c:extLst>
            </c:dLbl>
            <c:dLbl>
              <c:idx val="9"/>
              <c:layout>
                <c:manualLayout>
                  <c:x val="-9.6866082379391108E-2"/>
                  <c:y val="-3.341687552213867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FC6-4DA3-B007-64EB91DEEC25}"/>
                </c:ext>
              </c:extLst>
            </c:dLbl>
            <c:dLbl>
              <c:idx val="10"/>
              <c:layout>
                <c:manualLayout>
                  <c:x val="-8.9268667807962582E-2"/>
                  <c:y val="-3.3023813199820645E-2"/>
                </c:manualLayout>
              </c:layout>
              <c:showLegendKey val="0"/>
              <c:showVal val="1"/>
              <c:showCatName val="0"/>
              <c:showSerName val="0"/>
              <c:showPercent val="0"/>
              <c:showBubbleSize val="0"/>
              <c:extLst>
                <c:ext xmlns:c15="http://schemas.microsoft.com/office/drawing/2012/chart" uri="{CE6537A1-D6FC-4f65-9D91-7224C49458BB}">
                  <c15:layout>
                    <c:manualLayout>
                      <c:w val="0.14537509696703127"/>
                      <c:h val="5.6788195593197907E-2"/>
                    </c:manualLayout>
                  </c15:layout>
                </c:ext>
                <c:ext xmlns:c16="http://schemas.microsoft.com/office/drawing/2014/chart" uri="{C3380CC4-5D6E-409C-BE32-E72D297353CC}">
                  <c16:uniqueId val="{00000008-EFC6-4DA3-B007-64EB91DEEC25}"/>
                </c:ext>
              </c:extLst>
            </c:dLbl>
            <c:dLbl>
              <c:idx val="11"/>
              <c:layout>
                <c:manualLayout>
                  <c:x val="-3.7986698972310239E-2"/>
                  <c:y val="-5.0911577229316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FC6-4DA3-B007-64EB91DEEC25}"/>
                </c:ext>
              </c:extLst>
            </c:dLbl>
            <c:dLbl>
              <c:idx val="12"/>
              <c:layout>
                <c:manualLayout>
                  <c:x val="-1.8993349486155119E-2"/>
                  <c:y val="-5.68086883876357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FC6-4DA3-B007-64EB91DEEC25}"/>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'P-Resp bijdrage'!$D$3:$P$3</c:f>
              <c:numCache>
                <c:formatCode>General</c:formatCode>
                <c:ptCount val="13"/>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numCache>
            </c:numRef>
          </c:cat>
          <c:val>
            <c:numRef>
              <c:f>'P-Resp bijdrage'!$D$44:$P$44</c:f>
              <c:numCache>
                <c:formatCode>General</c:formatCode>
                <c:ptCount val="13"/>
                <c:pt idx="5" formatCode="#,##0">
                  <c:v>66941.360000000044</c:v>
                </c:pt>
                <c:pt idx="6" formatCode="#,##0">
                  <c:v>-11441.01999999996</c:v>
                </c:pt>
                <c:pt idx="7" formatCode="#,##0">
                  <c:v>130760.495</c:v>
                </c:pt>
                <c:pt idx="8" formatCode="#,##0">
                  <c:v>138670.40316399978</c:v>
                </c:pt>
                <c:pt idx="9" formatCode="#,##0">
                  <c:v>547669.25928000011</c:v>
                </c:pt>
                <c:pt idx="10" formatCode="#,##0">
                  <c:v>660157.27117500012</c:v>
                </c:pt>
                <c:pt idx="11" formatCode="#,##0">
                  <c:v>964938.92147000018</c:v>
                </c:pt>
                <c:pt idx="12" formatCode="#,##0">
                  <c:v>1242474.9006599998</c:v>
                </c:pt>
              </c:numCache>
            </c:numRef>
          </c:val>
          <c:smooth val="0"/>
          <c:extLst>
            <c:ext xmlns:c16="http://schemas.microsoft.com/office/drawing/2014/chart" uri="{C3380CC4-5D6E-409C-BE32-E72D297353CC}">
              <c16:uniqueId val="{0000000B-EFC6-4DA3-B007-64EB91DEEC25}"/>
            </c:ext>
          </c:extLst>
        </c:ser>
        <c:dLbls>
          <c:showLegendKey val="0"/>
          <c:showVal val="0"/>
          <c:showCatName val="0"/>
          <c:showSerName val="0"/>
          <c:showPercent val="0"/>
          <c:showBubbleSize val="0"/>
        </c:dLbls>
        <c:marker val="1"/>
        <c:smooth val="0"/>
        <c:axId val="110946944"/>
        <c:axId val="110948736"/>
      </c:lineChart>
      <c:catAx>
        <c:axId val="110946944"/>
        <c:scaling>
          <c:orientation val="minMax"/>
        </c:scaling>
        <c:delete val="0"/>
        <c:axPos val="b"/>
        <c:numFmt formatCode="General" sourceLinked="1"/>
        <c:majorTickMark val="none"/>
        <c:minorTickMark val="none"/>
        <c:tickLblPos val="nextTo"/>
        <c:crossAx val="110948736"/>
        <c:crosses val="autoZero"/>
        <c:auto val="1"/>
        <c:lblAlgn val="ctr"/>
        <c:lblOffset val="100"/>
        <c:noMultiLvlLbl val="0"/>
      </c:catAx>
      <c:valAx>
        <c:axId val="110948736"/>
        <c:scaling>
          <c:orientation val="minMax"/>
        </c:scaling>
        <c:delete val="0"/>
        <c:axPos val="l"/>
        <c:majorGridlines/>
        <c:numFmt formatCode="#,##0" sourceLinked="1"/>
        <c:majorTickMark val="none"/>
        <c:minorTickMark val="none"/>
        <c:tickLblPos val="nextTo"/>
        <c:spPr>
          <a:ln w="9525">
            <a:noFill/>
          </a:ln>
        </c:spPr>
        <c:crossAx val="110946944"/>
        <c:crosses val="autoZero"/>
        <c:crossBetween val="between"/>
      </c:valAx>
    </c:plotArea>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Bezoekers</a:t>
            </a:r>
            <a:r>
              <a:rPr lang="nl-BE" baseline="0"/>
              <a:t> Sint-Niklaastoren</a:t>
            </a:r>
            <a:endParaRPr lang="nl-BE"/>
          </a:p>
        </c:rich>
      </c:tx>
      <c:layout>
        <c:manualLayout>
          <c:xMode val="edge"/>
          <c:yMode val="edge"/>
          <c:x val="0.41191666666666665"/>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barChart>
        <c:barDir val="col"/>
        <c:grouping val="clustered"/>
        <c:varyColors val="0"/>
        <c:ser>
          <c:idx val="0"/>
          <c:order val="0"/>
          <c:spPr>
            <a:solidFill>
              <a:schemeClr val="accent1"/>
            </a:solidFill>
            <a:ln>
              <a:noFill/>
            </a:ln>
            <a:effectLst/>
          </c:spPr>
          <c:invertIfNegative val="0"/>
          <c:cat>
            <c:strRef>
              <c:f>'[1]VT-VISIT VEURNE'!$A$800:$A$807</c:f>
              <c:strCache>
                <c:ptCount val="8"/>
                <c:pt idx="0">
                  <c:v>April - mei </c:v>
                </c:pt>
                <c:pt idx="1">
                  <c:v>Juni</c:v>
                </c:pt>
                <c:pt idx="2">
                  <c:v>Juli</c:v>
                </c:pt>
                <c:pt idx="3">
                  <c:v>Augustus </c:v>
                </c:pt>
                <c:pt idx="4">
                  <c:v>september </c:v>
                </c:pt>
                <c:pt idx="5">
                  <c:v>oktober </c:v>
                </c:pt>
                <c:pt idx="6">
                  <c:v>November </c:v>
                </c:pt>
                <c:pt idx="7">
                  <c:v>December</c:v>
                </c:pt>
              </c:strCache>
            </c:strRef>
          </c:cat>
          <c:val>
            <c:numRef>
              <c:f>'[1]VT-VISIT VEURNE'!$B$800:$B$807</c:f>
              <c:numCache>
                <c:formatCode>General</c:formatCode>
                <c:ptCount val="8"/>
                <c:pt idx="0">
                  <c:v>4717</c:v>
                </c:pt>
                <c:pt idx="1">
                  <c:v>1310</c:v>
                </c:pt>
                <c:pt idx="2">
                  <c:v>3130</c:v>
                </c:pt>
                <c:pt idx="3">
                  <c:v>3512</c:v>
                </c:pt>
                <c:pt idx="4">
                  <c:v>1728</c:v>
                </c:pt>
                <c:pt idx="5">
                  <c:v>2138</c:v>
                </c:pt>
                <c:pt idx="6">
                  <c:v>1564</c:v>
                </c:pt>
                <c:pt idx="7">
                  <c:v>1272</c:v>
                </c:pt>
              </c:numCache>
            </c:numRef>
          </c:val>
          <c:extLst>
            <c:ext xmlns:c16="http://schemas.microsoft.com/office/drawing/2014/chart" uri="{C3380CC4-5D6E-409C-BE32-E72D297353CC}">
              <c16:uniqueId val="{00000000-5FCA-452E-B56A-80692839E08D}"/>
            </c:ext>
          </c:extLst>
        </c:ser>
        <c:dLbls>
          <c:showLegendKey val="0"/>
          <c:showVal val="0"/>
          <c:showCatName val="0"/>
          <c:showSerName val="0"/>
          <c:showPercent val="0"/>
          <c:showBubbleSize val="0"/>
        </c:dLbls>
        <c:gapWidth val="219"/>
        <c:overlap val="-27"/>
        <c:axId val="587224648"/>
        <c:axId val="587234816"/>
      </c:barChart>
      <c:catAx>
        <c:axId val="587224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87234816"/>
        <c:crosses val="autoZero"/>
        <c:auto val="1"/>
        <c:lblAlgn val="ctr"/>
        <c:lblOffset val="100"/>
        <c:noMultiLvlLbl val="0"/>
      </c:catAx>
      <c:valAx>
        <c:axId val="587234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872246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'VT-ZWEMBAD'!$A$5</c:f>
              <c:strCache>
                <c:ptCount val="1"/>
                <c:pt idx="0">
                  <c:v>Publiek</c:v>
                </c:pt>
              </c:strCache>
            </c:strRef>
          </c:tx>
          <c:spPr>
            <a:ln w="28575" cap="rnd">
              <a:solidFill>
                <a:schemeClr val="accent1"/>
              </a:solidFill>
              <a:round/>
            </a:ln>
            <a:effectLst/>
          </c:spPr>
          <c:marker>
            <c:symbol val="none"/>
          </c:marker>
          <c:cat>
            <c:numRef>
              <c:f>'VT-ZWEMBAD'!$B$4:$M$4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'VT-ZWEMBAD'!$B$5:$M$5</c:f>
              <c:numCache>
                <c:formatCode>#,##0</c:formatCode>
                <c:ptCount val="12"/>
                <c:pt idx="0">
                  <c:v>18974</c:v>
                </c:pt>
                <c:pt idx="1">
                  <c:v>18676</c:v>
                </c:pt>
                <c:pt idx="2">
                  <c:v>19878</c:v>
                </c:pt>
                <c:pt idx="3">
                  <c:v>19687</c:v>
                </c:pt>
                <c:pt idx="4">
                  <c:v>18839</c:v>
                </c:pt>
                <c:pt idx="5">
                  <c:v>21565</c:v>
                </c:pt>
                <c:pt idx="6">
                  <c:v>16453</c:v>
                </c:pt>
                <c:pt idx="7">
                  <c:v>17361</c:v>
                </c:pt>
                <c:pt idx="8">
                  <c:v>18513</c:v>
                </c:pt>
                <c:pt idx="9">
                  <c:v>10610</c:v>
                </c:pt>
                <c:pt idx="10">
                  <c:v>12340</c:v>
                </c:pt>
                <c:pt idx="11" formatCode="General">
                  <c:v>15838</c:v>
                </c:pt>
              </c:numCache>
            </c:numRef>
          </c:val>
          <c:smooth val="0"/>
          <c:extLst>
            <c:ext xmlns:c16="http://schemas.microsoft.com/office/drawing/2014/chart" uri="{C3380CC4-5D6E-409C-BE32-E72D297353CC}">
              <c16:uniqueId val="{00000000-78C2-4D87-B2BB-AAAED8C1C568}"/>
            </c:ext>
          </c:extLst>
        </c:ser>
        <c:ser>
          <c:idx val="1"/>
          <c:order val="1"/>
          <c:tx>
            <c:strRef>
              <c:f>'VT-ZWEMBAD'!$A$6</c:f>
              <c:strCache>
                <c:ptCount val="1"/>
                <c:pt idx="0">
                  <c:v>Scholen</c:v>
                </c:pt>
              </c:strCache>
            </c:strRef>
          </c:tx>
          <c:spPr>
            <a:ln w="28575" cap="rnd">
              <a:solidFill>
                <a:schemeClr val="accent2"/>
              </a:solidFill>
              <a:round/>
            </a:ln>
            <a:effectLst/>
          </c:spPr>
          <c:marker>
            <c:symbol val="none"/>
          </c:marker>
          <c:cat>
            <c:numRef>
              <c:f>'VT-ZWEMBAD'!$B$4:$M$4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'VT-ZWEMBAD'!$B$6:$M$6</c:f>
              <c:numCache>
                <c:formatCode>#,##0</c:formatCode>
                <c:ptCount val="12"/>
                <c:pt idx="0">
                  <c:v>38643</c:v>
                </c:pt>
                <c:pt idx="1">
                  <c:v>40771</c:v>
                </c:pt>
                <c:pt idx="2">
                  <c:v>41594</c:v>
                </c:pt>
                <c:pt idx="3">
                  <c:v>38194</c:v>
                </c:pt>
                <c:pt idx="4">
                  <c:v>39565</c:v>
                </c:pt>
                <c:pt idx="5">
                  <c:v>41162</c:v>
                </c:pt>
                <c:pt idx="6">
                  <c:v>27261</c:v>
                </c:pt>
                <c:pt idx="7">
                  <c:v>27421</c:v>
                </c:pt>
                <c:pt idx="8">
                  <c:v>26252</c:v>
                </c:pt>
                <c:pt idx="9">
                  <c:v>14200</c:v>
                </c:pt>
                <c:pt idx="10">
                  <c:v>21567</c:v>
                </c:pt>
                <c:pt idx="11" formatCode="General">
                  <c:v>23652</c:v>
                </c:pt>
              </c:numCache>
            </c:numRef>
          </c:val>
          <c:smooth val="0"/>
          <c:extLst>
            <c:ext xmlns:c16="http://schemas.microsoft.com/office/drawing/2014/chart" uri="{C3380CC4-5D6E-409C-BE32-E72D297353CC}">
              <c16:uniqueId val="{00000001-78C2-4D87-B2BB-AAAED8C1C568}"/>
            </c:ext>
          </c:extLst>
        </c:ser>
        <c:ser>
          <c:idx val="2"/>
          <c:order val="2"/>
          <c:tx>
            <c:strRef>
              <c:f>'VT-ZWEMBAD'!$A$7</c:f>
              <c:strCache>
                <c:ptCount val="1"/>
                <c:pt idx="0">
                  <c:v>Verenigingen</c:v>
                </c:pt>
              </c:strCache>
            </c:strRef>
          </c:tx>
          <c:spPr>
            <a:ln w="28575" cap="rnd">
              <a:solidFill>
                <a:schemeClr val="accent3"/>
              </a:solidFill>
              <a:round/>
            </a:ln>
            <a:effectLst/>
          </c:spPr>
          <c:marker>
            <c:symbol val="none"/>
          </c:marker>
          <c:cat>
            <c:numRef>
              <c:f>'VT-ZWEMBAD'!$B$4:$M$4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'VT-ZWEMBAD'!$B$7:$M$7</c:f>
              <c:numCache>
                <c:formatCode>#,##0</c:formatCode>
                <c:ptCount val="12"/>
                <c:pt idx="0">
                  <c:v>13440</c:v>
                </c:pt>
                <c:pt idx="1">
                  <c:v>13500</c:v>
                </c:pt>
                <c:pt idx="2">
                  <c:v>13720</c:v>
                </c:pt>
                <c:pt idx="3">
                  <c:v>13814</c:v>
                </c:pt>
                <c:pt idx="4">
                  <c:v>13752</c:v>
                </c:pt>
                <c:pt idx="5">
                  <c:v>14223</c:v>
                </c:pt>
                <c:pt idx="6">
                  <c:v>14349</c:v>
                </c:pt>
                <c:pt idx="7">
                  <c:v>14530</c:v>
                </c:pt>
                <c:pt idx="8">
                  <c:v>13800</c:v>
                </c:pt>
                <c:pt idx="9">
                  <c:v>4335</c:v>
                </c:pt>
                <c:pt idx="10">
                  <c:v>10413</c:v>
                </c:pt>
                <c:pt idx="11" formatCode="General">
                  <c:v>11100</c:v>
                </c:pt>
              </c:numCache>
            </c:numRef>
          </c:val>
          <c:smooth val="0"/>
          <c:extLst>
            <c:ext xmlns:c16="http://schemas.microsoft.com/office/drawing/2014/chart" uri="{C3380CC4-5D6E-409C-BE32-E72D297353CC}">
              <c16:uniqueId val="{00000002-78C2-4D87-B2BB-AAAED8C1C568}"/>
            </c:ext>
          </c:extLst>
        </c:ser>
        <c:ser>
          <c:idx val="3"/>
          <c:order val="3"/>
          <c:tx>
            <c:strRef>
              <c:f>'VT-ZWEMBAD'!$A$8</c:f>
              <c:strCache>
                <c:ptCount val="1"/>
                <c:pt idx="0">
                  <c:v>Totaal</c:v>
                </c:pt>
              </c:strCache>
            </c:strRef>
          </c:tx>
          <c:spPr>
            <a:ln w="28575" cap="rnd">
              <a:solidFill>
                <a:schemeClr val="accent4"/>
              </a:solidFill>
              <a:round/>
            </a:ln>
            <a:effectLst/>
          </c:spPr>
          <c:marker>
            <c:symbol val="none"/>
          </c:marker>
          <c:cat>
            <c:numRef>
              <c:f>'VT-ZWEMBAD'!$B$4:$M$4</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'VT-ZWEMBAD'!$B$8:$M$8</c:f>
              <c:numCache>
                <c:formatCode>#,##0</c:formatCode>
                <c:ptCount val="12"/>
                <c:pt idx="0">
                  <c:v>71057</c:v>
                </c:pt>
                <c:pt idx="1">
                  <c:v>72947</c:v>
                </c:pt>
                <c:pt idx="2">
                  <c:v>75192</c:v>
                </c:pt>
                <c:pt idx="3">
                  <c:v>71695</c:v>
                </c:pt>
                <c:pt idx="4">
                  <c:v>72156</c:v>
                </c:pt>
                <c:pt idx="5">
                  <c:v>76950</c:v>
                </c:pt>
                <c:pt idx="6">
                  <c:v>58063</c:v>
                </c:pt>
                <c:pt idx="7">
                  <c:v>59312</c:v>
                </c:pt>
                <c:pt idx="8">
                  <c:v>58565</c:v>
                </c:pt>
                <c:pt idx="9">
                  <c:v>29145</c:v>
                </c:pt>
                <c:pt idx="10">
                  <c:v>46341</c:v>
                </c:pt>
                <c:pt idx="11">
                  <c:v>52612</c:v>
                </c:pt>
              </c:numCache>
            </c:numRef>
          </c:val>
          <c:smooth val="0"/>
          <c:extLst>
            <c:ext xmlns:c16="http://schemas.microsoft.com/office/drawing/2014/chart" uri="{C3380CC4-5D6E-409C-BE32-E72D297353CC}">
              <c16:uniqueId val="{00000003-78C2-4D87-B2BB-AAAED8C1C568}"/>
            </c:ext>
          </c:extLst>
        </c:ser>
        <c:dLbls>
          <c:showLegendKey val="0"/>
          <c:showVal val="0"/>
          <c:showCatName val="0"/>
          <c:showSerName val="0"/>
          <c:showPercent val="0"/>
          <c:showBubbleSize val="0"/>
        </c:dLbls>
        <c:smooth val="0"/>
        <c:axId val="515660816"/>
        <c:axId val="515655568"/>
      </c:lineChart>
      <c:catAx>
        <c:axId val="515660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655568"/>
        <c:crosses val="autoZero"/>
        <c:auto val="1"/>
        <c:lblAlgn val="ctr"/>
        <c:lblOffset val="100"/>
        <c:noMultiLvlLbl val="0"/>
      </c:catAx>
      <c:valAx>
        <c:axId val="5156555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156608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'8341'!#REF!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4F6E-421E-BE37-4C718FC37E61}"/>
            </c:ext>
          </c:extLst>
        </c:ser>
        <c:ser>
          <c:idx val="1"/>
          <c:order val="1"/>
          <c:spPr>
            <a:solidFill>
              <a:srgbClr val="993366"/>
            </a:solidFill>
            <a:ln w="12700">
              <a:solidFill>
                <a:srgbClr val="000000"/>
              </a:solidFill>
              <a:prstDash val="solid"/>
            </a:ln>
          </c:spPr>
          <c:invertIfNegative val="0"/>
          <c:val>
            <c:numRef>
              <c:f>'8341'!#REF!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4F6E-421E-BE37-4C718FC37E61}"/>
            </c:ext>
          </c:extLst>
        </c:ser>
        <c:dLbls>
          <c:showLegendKey val="0"/>
          <c:showVal val="0"/>
          <c:showCatName val="0"/>
          <c:showSerName val="0"/>
          <c:showPercent val="0"/>
          <c:showBubbleSize val="0"/>
        </c:dLbls>
        <c:gapWidth val="150"/>
        <c:shape val="box"/>
        <c:axId val="168407424"/>
        <c:axId val="168408960"/>
        <c:axId val="0"/>
      </c:bar3DChart>
      <c:catAx>
        <c:axId val="16840742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8408960"/>
        <c:crosses val="autoZero"/>
        <c:auto val="1"/>
        <c:lblAlgn val="ctr"/>
        <c:lblOffset val="100"/>
        <c:tickLblSkip val="1"/>
        <c:tickMarkSkip val="1"/>
        <c:noMultiLvlLbl val="0"/>
      </c:catAx>
      <c:valAx>
        <c:axId val="1684089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8407424"/>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8D1E-43EF-830B-90F7E09AA373}"/>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D1E-43EF-830B-90F7E09AA373}"/>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8D1E-43EF-830B-90F7E09AA373}"/>
            </c:ext>
          </c:extLst>
        </c:ser>
        <c:dLbls>
          <c:showLegendKey val="0"/>
          <c:showVal val="0"/>
          <c:showCatName val="0"/>
          <c:showSerName val="0"/>
          <c:showPercent val="0"/>
          <c:showBubbleSize val="0"/>
        </c:dLbls>
        <c:marker val="1"/>
        <c:smooth val="0"/>
        <c:axId val="185762176"/>
        <c:axId val="185764096"/>
      </c:lineChart>
      <c:catAx>
        <c:axId val="1857621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764096"/>
        <c:crosses val="autoZero"/>
        <c:auto val="1"/>
        <c:lblAlgn val="ctr"/>
        <c:lblOffset val="100"/>
        <c:tickLblSkip val="1"/>
        <c:tickMarkSkip val="1"/>
        <c:noMultiLvlLbl val="0"/>
      </c:catAx>
      <c:valAx>
        <c:axId val="18576409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76217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FA35-4CB3-B883-4B2B866EE46B}"/>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A35-4CB3-B883-4B2B866EE46B}"/>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3D43-4A49-8E2B-2B979901E059}"/>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'8341'!#REF!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3D43-4A49-8E2B-2B979901E059}"/>
            </c:ext>
          </c:extLst>
        </c:ser>
        <c:dLbls>
          <c:showLegendKey val="0"/>
          <c:showVal val="0"/>
          <c:showCatName val="0"/>
          <c:showSerName val="0"/>
          <c:showPercent val="0"/>
          <c:showBubbleSize val="0"/>
        </c:dLbls>
        <c:marker val="1"/>
        <c:smooth val="0"/>
        <c:axId val="185424896"/>
        <c:axId val="185431168"/>
      </c:lineChart>
      <c:catAx>
        <c:axId val="185424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431168"/>
        <c:crosses val="autoZero"/>
        <c:auto val="1"/>
        <c:lblAlgn val="ctr"/>
        <c:lblOffset val="100"/>
        <c:tickLblSkip val="1"/>
        <c:tickMarkSkip val="1"/>
        <c:noMultiLvlLbl val="0"/>
      </c:catAx>
      <c:valAx>
        <c:axId val="1854311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424896"/>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2EF8-48E1-930F-D352B532C781}"/>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'8341'!#REF!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EF8-48E1-930F-D352B532C781}"/>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800" b="1" i="0" u="none" strike="noStrike" baseline="0">
              <a:solidFill>
                <a:srgbClr val="000000"/>
              </a:solidFill>
              <a:latin typeface="Calibri"/>
              <a:ea typeface="Calibri"/>
              <a:cs typeface="Calibri"/>
            </a:defRPr>
          </a:pPr>
          <a:endParaRPr lang="nl-BE"/>
        </a:p>
      </c:txPr>
    </c:title>
    <c:autoTitleDeleted val="0"/>
    <c:plotArea>
      <c:layout/>
      <c:lineChart>
        <c:grouping val="standard"/>
        <c:varyColors val="0"/>
        <c:ser>
          <c:idx val="2"/>
          <c:order val="0"/>
          <c:tx>
            <c:strRef>
              <c:f>'B-Mobiliteit'!$A$8</c:f>
              <c:strCache>
                <c:ptCount val="1"/>
                <c:pt idx="0">
                  <c:v>Inname openbaar domein</c:v>
                </c:pt>
              </c:strCache>
            </c:strRef>
          </c:tx>
          <c:dLbls>
            <c:dLbl>
              <c:idx val="0"/>
              <c:layout>
                <c:manualLayout>
                  <c:x val="-3.1821797931583122E-2"/>
                  <c:y val="-4.2971147943523635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847-416A-B3A8-BC2EFBACE843}"/>
                </c:ext>
              </c:extLst>
            </c:dLbl>
            <c:dLbl>
              <c:idx val="1"/>
              <c:layout>
                <c:manualLayout>
                  <c:x val="-2.5855210819411296E-2"/>
                  <c:y val="4.2971147943523635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47-416A-B3A8-BC2EFBACE843}"/>
                </c:ext>
              </c:extLst>
            </c:dLbl>
            <c:dLbl>
              <c:idx val="2"/>
              <c:layout>
                <c:manualLayout>
                  <c:x val="-3.5799522673031062E-2"/>
                  <c:y val="-3.6832412523020198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847-416A-B3A8-BC2EFBACE843}"/>
                </c:ext>
              </c:extLst>
            </c:dLbl>
            <c:dLbl>
              <c:idx val="3"/>
              <c:layout>
                <c:manualLayout>
                  <c:x val="-2.386634844868735E-2"/>
                  <c:y val="4.604051565377532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847-416A-B3A8-BC2EFBACE843}"/>
                </c:ext>
              </c:extLst>
            </c:dLbl>
            <c:dLbl>
              <c:idx val="4"/>
              <c:layout>
                <c:manualLayout>
                  <c:x val="-2.5855210819411296E-2"/>
                  <c:y val="5.8317986494782072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847-416A-B3A8-BC2EFBACE843}"/>
                </c:ext>
              </c:extLst>
            </c:dLbl>
            <c:dLbl>
              <c:idx val="5"/>
              <c:layout>
                <c:manualLayout>
                  <c:x val="-4.1766109785202864E-2"/>
                  <c:y val="-3.6832412523020261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847-416A-B3A8-BC2EFBACE843}"/>
                </c:ext>
              </c:extLst>
            </c:dLbl>
            <c:dLbl>
              <c:idx val="6"/>
              <c:layout>
                <c:manualLayout>
                  <c:x val="-3.7788385043754973E-2"/>
                  <c:y val="-4.604051565377532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847-416A-B3A8-BC2EFBACE843}"/>
                </c:ext>
              </c:extLst>
            </c:dLbl>
            <c:dLbl>
              <c:idx val="7"/>
              <c:layout>
                <c:manualLayout>
                  <c:x val="-4.3754972155926809E-2"/>
                  <c:y val="-3.9901780233271948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847-416A-B3A8-BC2EFBACE843}"/>
                </c:ext>
              </c:extLst>
            </c:dLbl>
            <c:dLbl>
              <c:idx val="8"/>
              <c:layout>
                <c:manualLayout>
                  <c:x val="-3.3810660302307081E-2"/>
                  <c:y val="-4.604051565377532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847-416A-B3A8-BC2EFBACE843}"/>
                </c:ext>
              </c:extLst>
            </c:dLbl>
            <c:dLbl>
              <c:idx val="9"/>
              <c:layout>
                <c:manualLayout>
                  <c:x val="-2.5855210819411296E-2"/>
                  <c:y val="5.5248618784530384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847-416A-B3A8-BC2EFBACE843}"/>
                </c:ext>
              </c:extLst>
            </c:dLbl>
            <c:dLbl>
              <c:idx val="10"/>
              <c:layout>
                <c:manualLayout>
                  <c:x val="-4.1766109785202864E-2"/>
                  <c:y val="-3.6832412523020261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847-416A-B3A8-BC2EFBACE843}"/>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'B-Mobiliteit'!$B$8:$M$8</c:f>
              <c:numCache>
                <c:formatCode>General</c:formatCode>
                <c:ptCount val="12"/>
                <c:pt idx="0">
                  <c:v>2006</c:v>
                </c:pt>
                <c:pt idx="1">
                  <c:v>2007</c:v>
                </c:pt>
                <c:pt idx="2">
                  <c:v>2008</c:v>
                </c:pt>
                <c:pt idx="3">
                  <c:v>2009</c:v>
                </c:pt>
                <c:pt idx="4">
                  <c:v>2010</c:v>
                </c:pt>
                <c:pt idx="5">
                  <c:v>2011</c:v>
                </c:pt>
                <c:pt idx="6">
                  <c:v>2012</c:v>
                </c:pt>
                <c:pt idx="7">
                  <c:v>2013</c:v>
                </c:pt>
                <c:pt idx="8">
                  <c:v>2014</c:v>
                </c:pt>
                <c:pt idx="9">
                  <c:v>2015</c:v>
                </c:pt>
                <c:pt idx="10">
                  <c:v>2016</c:v>
                </c:pt>
                <c:pt idx="11">
                  <c:v>2017</c:v>
                </c:pt>
              </c:numCache>
            </c:numRef>
          </c:cat>
          <c:val>
            <c:numRef>
              <c:f>'B-Mobiliteit'!$B$34:$M$34</c:f>
              <c:numCache>
                <c:formatCode>General</c:formatCode>
                <c:ptCount val="12"/>
                <c:pt idx="0">
                  <c:v>111</c:v>
                </c:pt>
                <c:pt idx="1">
                  <c:v>80</c:v>
                </c:pt>
                <c:pt idx="2">
                  <c:v>119</c:v>
                </c:pt>
                <c:pt idx="3">
                  <c:v>79</c:v>
                </c:pt>
                <c:pt idx="4">
                  <c:v>83</c:v>
                </c:pt>
                <c:pt idx="5">
                  <c:v>106</c:v>
                </c:pt>
                <c:pt idx="6">
                  <c:v>131</c:v>
                </c:pt>
                <c:pt idx="7">
                  <c:v>144</c:v>
                </c:pt>
                <c:pt idx="8">
                  <c:v>140</c:v>
                </c:pt>
                <c:pt idx="9">
                  <c:v>126</c:v>
                </c:pt>
                <c:pt idx="10">
                  <c:v>179</c:v>
                </c:pt>
                <c:pt idx="11">
                  <c:v>110</c:v>
                </c:pt>
              </c:numCache>
            </c:numRef>
          </c:val>
          <c:smooth val="0"/>
          <c:extLst>
            <c:ext xmlns:c16="http://schemas.microsoft.com/office/drawing/2014/chart" uri="{C3380CC4-5D6E-409C-BE32-E72D297353CC}">
              <c16:uniqueId val="{0000000B-F847-416A-B3A8-BC2EFBACE843}"/>
            </c:ext>
          </c:extLst>
        </c:ser>
        <c:dLbls>
          <c:showLegendKey val="0"/>
          <c:showVal val="0"/>
          <c:showCatName val="0"/>
          <c:showSerName val="0"/>
          <c:showPercent val="0"/>
          <c:showBubbleSize val="0"/>
        </c:dLbls>
        <c:marker val="1"/>
        <c:smooth val="0"/>
        <c:axId val="841537648"/>
        <c:axId val="1"/>
      </c:lineChart>
      <c:catAx>
        <c:axId val="84153764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841537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FAFE-4374-805C-289102C76440}"/>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'8341'!#REF!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'8341'!#REF!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AFE-4374-805C-289102C76440}"/>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Verdeling van het aantal beschikbare kortverblijfbedden, ROB-bedden en RVT-bedden</a:t>
            </a:r>
          </a:p>
        </c:rich>
      </c:tx>
      <c:layout>
        <c:manualLayout>
          <c:xMode val="edge"/>
          <c:yMode val="edge"/>
          <c:x val="0.11538500310412018"/>
          <c:y val="3.731349786810245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857166811317945"/>
          <c:y val="0.36940365810776093"/>
          <c:w val="0.64560526163995646"/>
          <c:h val="0.3507469076982781"/>
        </c:manualLayout>
      </c:layout>
      <c:pie3DChart>
        <c:varyColors val="1"/>
        <c:ser>
          <c:idx val="0"/>
          <c:order val="0"/>
          <c:spPr>
            <a:solidFill>
              <a:srgbClr val="9999FF"/>
            </a:solidFill>
            <a:ln w="12700">
              <a:solidFill>
                <a:srgbClr val="000000"/>
              </a:solidFill>
              <a:prstDash val="solid"/>
            </a:ln>
          </c:spPr>
          <c:explosion val="25"/>
          <c:dPt>
            <c:idx val="0"/>
            <c:bubble3D val="0"/>
            <c:spPr>
              <a:solidFill>
                <a:srgbClr val="FFC000"/>
              </a:solidFill>
              <a:ln w="12700">
                <a:solidFill>
                  <a:srgbClr val="000000"/>
                </a:solidFill>
                <a:prstDash val="solid"/>
              </a:ln>
            </c:spPr>
            <c:extLst>
              <c:ext xmlns:c16="http://schemas.microsoft.com/office/drawing/2014/chart" uri="{C3380CC4-5D6E-409C-BE32-E72D297353CC}">
                <c16:uniqueId val="{00000001-30F8-4247-BC93-CFA26E672C7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30F8-4247-BC93-CFA26E672C70}"/>
              </c:ext>
            </c:extLst>
          </c:dPt>
          <c:dPt>
            <c:idx val="2"/>
            <c:bubble3D val="0"/>
            <c:spPr>
              <a:solidFill>
                <a:srgbClr val="92D050"/>
              </a:solidFill>
              <a:ln w="12700">
                <a:solidFill>
                  <a:srgbClr val="000000"/>
                </a:solidFill>
                <a:prstDash val="solid"/>
              </a:ln>
            </c:spPr>
            <c:extLst>
              <c:ext xmlns:c16="http://schemas.microsoft.com/office/drawing/2014/chart" uri="{C3380CC4-5D6E-409C-BE32-E72D297353CC}">
                <c16:uniqueId val="{00000005-30F8-4247-BC93-CFA26E672C70}"/>
              </c:ext>
            </c:extLst>
          </c:dPt>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'W-WZC TL'!$A$5:$A$6</c:f>
              <c:strCache>
                <c:ptCount val="2"/>
                <c:pt idx="0">
                  <c:v>Aantal erkende bedden kortverblijf 31/12</c:v>
                </c:pt>
                <c:pt idx="1">
                  <c:v>Aantal erkende bedden WZC 31/12</c:v>
                </c:pt>
              </c:strCache>
            </c:strRef>
          </c:cat>
          <c:val>
            <c:numRef>
              <c:f>'W-WZC TL'!$G$5:$G$6</c:f>
              <c:numCache>
                <c:formatCode>#,##0</c:formatCode>
                <c:ptCount val="2"/>
                <c:pt idx="0">
                  <c:v>1</c:v>
                </c:pt>
                <c:pt idx="1">
                  <c:v>159</c:v>
                </c:pt>
              </c:numCache>
            </c:numRef>
          </c:val>
          <c:extLst>
            <c:ext xmlns:c16="http://schemas.microsoft.com/office/drawing/2014/chart" uri="{C3380CC4-5D6E-409C-BE32-E72D297353CC}">
              <c16:uniqueId val="{00000006-30F8-4247-BC93-CFA26E672C70}"/>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Kamertypes 31/12</a:t>
            </a:r>
          </a:p>
        </c:rich>
      </c:tx>
      <c:layout>
        <c:manualLayout>
          <c:xMode val="edge"/>
          <c:yMode val="edge"/>
          <c:x val="0.40970353282110922"/>
          <c:y val="3.731349786810245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17520215633423181"/>
          <c:y val="0.33209015728879521"/>
          <c:w val="0.65229110512129385"/>
          <c:h val="0.3619409579439678"/>
        </c:manualLayout>
      </c:layout>
      <c:pie3DChart>
        <c:varyColors val="1"/>
        <c:ser>
          <c:idx val="0"/>
          <c:order val="0"/>
          <c:spPr>
            <a:ln w="12700">
              <a:solidFill>
                <a:srgbClr val="000000"/>
              </a:solidFill>
              <a:prstDash val="solid"/>
            </a:ln>
          </c:spPr>
          <c:dPt>
            <c:idx val="0"/>
            <c:bubble3D val="0"/>
            <c:spPr>
              <a:solidFill>
                <a:srgbClr val="9999FF"/>
              </a:solidFill>
              <a:ln w="12700">
                <a:solidFill>
                  <a:srgbClr val="000000"/>
                </a:solidFill>
                <a:prstDash val="solid"/>
              </a:ln>
            </c:spPr>
            <c:extLst>
              <c:ext xmlns:c16="http://schemas.microsoft.com/office/drawing/2014/chart" uri="{C3380CC4-5D6E-409C-BE32-E72D297353CC}">
                <c16:uniqueId val="{00000001-B4E6-42C8-BFBF-C1C1B7BE5D76}"/>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B4E6-42C8-BFBF-C1C1B7BE5D76}"/>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B4E6-42C8-BFBF-C1C1B7BE5D76}"/>
              </c:ext>
            </c:extLst>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'W-WZC TL'!$H$29:$H$30</c:f>
              <c:strCache>
                <c:ptCount val="2"/>
                <c:pt idx="0">
                  <c:v>1-persoonskamer</c:v>
                </c:pt>
                <c:pt idx="1">
                  <c:v>2-persoonskamer</c:v>
                </c:pt>
              </c:strCache>
            </c:strRef>
          </c:cat>
          <c:val>
            <c:numRef>
              <c:f>'W-WZC TL'!$I$29:$I$30</c:f>
              <c:numCache>
                <c:formatCode>General</c:formatCode>
                <c:ptCount val="2"/>
                <c:pt idx="0">
                  <c:v>160</c:v>
                </c:pt>
                <c:pt idx="1">
                  <c:v>2</c:v>
                </c:pt>
              </c:numCache>
            </c:numRef>
          </c:val>
          <c:extLst>
            <c:ext xmlns:c16="http://schemas.microsoft.com/office/drawing/2014/chart" uri="{C3380CC4-5D6E-409C-BE32-E72D297353CC}">
              <c16:uniqueId val="{00000006-B4E6-42C8-BFBF-C1C1B7BE5D76}"/>
            </c:ext>
          </c:extLst>
        </c:ser>
        <c:dLbls>
          <c:showLegendKey val="0"/>
          <c:showVal val="0"/>
          <c:showCatName val="0"/>
          <c:showSerName val="0"/>
          <c:showPercent val="0"/>
          <c:showBubbleSize val="0"/>
          <c:showLeaderLines val="1"/>
        </c:dLbls>
      </c:pie3DChart>
      <c:spPr>
        <a:noFill/>
        <a:ln w="25400">
          <a:noFill/>
        </a:ln>
      </c:spPr>
    </c:plotArea>
    <c:legend>
      <c:legendPos val="b"/>
      <c:layout>
        <c:manualLayout>
          <c:xMode val="edge"/>
          <c:yMode val="edge"/>
          <c:x val="0.24939467312348668"/>
          <c:y val="0.81027667984189722"/>
          <c:w val="0.50363196125907983"/>
          <c:h val="0.1620553359683794"/>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2412326650658029"/>
          <c:y val="3.5461185329361912E-2"/>
        </c:manualLayout>
      </c:layout>
      <c:overlay val="0"/>
      <c:spPr>
        <a:noFill/>
        <a:ln w="25400">
          <a:noFill/>
        </a:ln>
      </c:spPr>
      <c:txPr>
        <a:bodyPr/>
        <a:lstStyle/>
        <a:p>
          <a:pPr>
            <a:defRPr sz="960" b="0" i="0" u="none" strike="noStrike" baseline="0">
              <a:solidFill>
                <a:srgbClr val="000000"/>
              </a:solidFill>
              <a:latin typeface="Calibri"/>
              <a:ea typeface="Calibri"/>
              <a:cs typeface="Calibri"/>
            </a:defRPr>
          </a:pPr>
          <a:endParaRPr lang="nl-BE"/>
        </a:p>
      </c:txPr>
    </c:title>
    <c:autoTitleDeleted val="0"/>
    <c:plotArea>
      <c:layout>
        <c:manualLayout>
          <c:layoutTarget val="inner"/>
          <c:xMode val="edge"/>
          <c:yMode val="edge"/>
          <c:x val="0.143646408839779"/>
          <c:y val="0.20212835954246849"/>
          <c:w val="0.81767955801104975"/>
          <c:h val="0.65248452904937193"/>
        </c:manualLayout>
      </c:layout>
      <c:lineChart>
        <c:grouping val="standard"/>
        <c:varyColors val="0"/>
        <c:ser>
          <c:idx val="0"/>
          <c:order val="0"/>
          <c:tx>
            <c:strRef>
              <c:f>'W-WZC TL'!$A$10</c:f>
              <c:strCache>
                <c:ptCount val="1"/>
                <c:pt idx="0">
                  <c:v>Aantal verblijfsdagen WZC</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TL'!$B$10:$G$10</c:f>
              <c:numCache>
                <c:formatCode>#,##0</c:formatCode>
                <c:ptCount val="6"/>
                <c:pt idx="0">
                  <c:v>57640</c:v>
                </c:pt>
                <c:pt idx="1">
                  <c:v>58687</c:v>
                </c:pt>
                <c:pt idx="2">
                  <c:v>58824</c:v>
                </c:pt>
                <c:pt idx="3">
                  <c:v>58742</c:v>
                </c:pt>
                <c:pt idx="4">
                  <c:v>51387</c:v>
                </c:pt>
                <c:pt idx="5">
                  <c:v>57967</c:v>
                </c:pt>
              </c:numCache>
            </c:numRef>
          </c:val>
          <c:smooth val="0"/>
          <c:extLst>
            <c:ext xmlns:c16="http://schemas.microsoft.com/office/drawing/2014/chart" uri="{C3380CC4-5D6E-409C-BE32-E72D297353CC}">
              <c16:uniqueId val="{00000000-578D-4814-AE1C-39EADF2E1E81}"/>
            </c:ext>
          </c:extLst>
        </c:ser>
        <c:dLbls>
          <c:showLegendKey val="0"/>
          <c:showVal val="0"/>
          <c:showCatName val="0"/>
          <c:showSerName val="0"/>
          <c:showPercent val="0"/>
          <c:showBubbleSize val="0"/>
        </c:dLbls>
        <c:marker val="1"/>
        <c:smooth val="0"/>
        <c:axId val="185855360"/>
        <c:axId val="185878016"/>
      </c:lineChart>
      <c:catAx>
        <c:axId val="185855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5878016"/>
        <c:crosses val="autoZero"/>
        <c:auto val="1"/>
        <c:lblAlgn val="ctr"/>
        <c:lblOffset val="100"/>
        <c:tickLblSkip val="1"/>
        <c:tickMarkSkip val="1"/>
        <c:noMultiLvlLbl val="0"/>
      </c:catAx>
      <c:valAx>
        <c:axId val="18587801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5855360"/>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20304753572469"/>
          <c:y val="9.7259527952264377E-2"/>
          <c:w val="0.83557951482479786"/>
          <c:h val="0.65248452904937193"/>
        </c:manualLayout>
      </c:layout>
      <c:lineChart>
        <c:grouping val="standard"/>
        <c:varyColors val="0"/>
        <c:ser>
          <c:idx val="0"/>
          <c:order val="0"/>
          <c:tx>
            <c:strRef>
              <c:f>'W-WZC TL'!$A$11</c:f>
              <c:strCache>
                <c:ptCount val="1"/>
                <c:pt idx="0">
                  <c:v>Aantal aangerekende afwezigheidsdagen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TL'!$B$11:$G$11</c:f>
              <c:numCache>
                <c:formatCode>#,##0</c:formatCode>
                <c:ptCount val="6"/>
                <c:pt idx="0">
                  <c:v>1016</c:v>
                </c:pt>
                <c:pt idx="1">
                  <c:v>839</c:v>
                </c:pt>
                <c:pt idx="2">
                  <c:v>933</c:v>
                </c:pt>
                <c:pt idx="3">
                  <c:v>737</c:v>
                </c:pt>
                <c:pt idx="4">
                  <c:v>639</c:v>
                </c:pt>
                <c:pt idx="5">
                  <c:v>740</c:v>
                </c:pt>
              </c:numCache>
            </c:numRef>
          </c:val>
          <c:smooth val="0"/>
          <c:extLst>
            <c:ext xmlns:c16="http://schemas.microsoft.com/office/drawing/2014/chart" uri="{C3380CC4-5D6E-409C-BE32-E72D297353CC}">
              <c16:uniqueId val="{00000000-9202-4308-8557-F68E425D6F5C}"/>
            </c:ext>
          </c:extLst>
        </c:ser>
        <c:ser>
          <c:idx val="1"/>
          <c:order val="1"/>
          <c:tx>
            <c:strRef>
              <c:f>'W-WZC TL'!$A$12</c:f>
              <c:strCache>
                <c:ptCount val="1"/>
                <c:pt idx="0">
                  <c:v>Aantal aangerekende ontslagdagen</c:v>
                </c:pt>
              </c:strCache>
            </c:strRef>
          </c:tx>
          <c:cat>
            <c:strRef>
              <c:f>'W-WZC TL'!$B$4:$G$4</c:f>
              <c:strCache>
                <c:ptCount val="6"/>
                <c:pt idx="0">
                  <c:v>2017</c:v>
                </c:pt>
                <c:pt idx="1">
                  <c:v>2018</c:v>
                </c:pt>
                <c:pt idx="2">
                  <c:v>2019</c:v>
                </c:pt>
                <c:pt idx="3">
                  <c:v>2020</c:v>
                </c:pt>
                <c:pt idx="4">
                  <c:v>2021</c:v>
                </c:pt>
                <c:pt idx="5">
                  <c:v>2022</c:v>
                </c:pt>
              </c:strCache>
            </c:strRef>
          </c:cat>
          <c:val>
            <c:numRef>
              <c:f>'W-WZC TL'!$B$12:$G$12</c:f>
              <c:numCache>
                <c:formatCode>#,##0</c:formatCode>
                <c:ptCount val="6"/>
                <c:pt idx="0">
                  <c:v>195</c:v>
                </c:pt>
                <c:pt idx="1">
                  <c:v>92</c:v>
                </c:pt>
                <c:pt idx="2">
                  <c:v>92</c:v>
                </c:pt>
                <c:pt idx="3">
                  <c:v>15</c:v>
                </c:pt>
                <c:pt idx="4">
                  <c:v>49</c:v>
                </c:pt>
                <c:pt idx="5">
                  <c:v>132</c:v>
                </c:pt>
              </c:numCache>
            </c:numRef>
          </c:val>
          <c:smooth val="0"/>
          <c:extLst>
            <c:ext xmlns:c16="http://schemas.microsoft.com/office/drawing/2014/chart" uri="{C3380CC4-5D6E-409C-BE32-E72D297353CC}">
              <c16:uniqueId val="{00000001-9202-4308-8557-F68E425D6F5C}"/>
            </c:ext>
          </c:extLst>
        </c:ser>
        <c:dLbls>
          <c:showLegendKey val="0"/>
          <c:showVal val="0"/>
          <c:showCatName val="0"/>
          <c:showSerName val="0"/>
          <c:showPercent val="0"/>
          <c:showBubbleSize val="0"/>
        </c:dLbls>
        <c:marker val="1"/>
        <c:smooth val="0"/>
        <c:axId val="185924224"/>
        <c:axId val="185991552"/>
      </c:lineChart>
      <c:catAx>
        <c:axId val="18592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5991552"/>
        <c:crosses val="autoZero"/>
        <c:auto val="1"/>
        <c:lblAlgn val="ctr"/>
        <c:lblOffset val="100"/>
        <c:tickLblSkip val="1"/>
        <c:tickMarkSkip val="1"/>
        <c:noMultiLvlLbl val="0"/>
      </c:catAx>
      <c:valAx>
        <c:axId val="18599155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5924224"/>
        <c:crosses val="autoZero"/>
        <c:crossBetween val="between"/>
      </c:valAx>
      <c:spPr>
        <a:solidFill>
          <a:srgbClr val="C0C0C0"/>
        </a:solidFill>
        <a:ln w="12700">
          <a:solidFill>
            <a:srgbClr val="808080"/>
          </a:solidFill>
          <a:prstDash val="solid"/>
        </a:ln>
      </c:spPr>
    </c:plotArea>
    <c:legend>
      <c:legendPos val="b"/>
      <c:overlay val="0"/>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Tegemoetkoming wzc en cvk</a:t>
            </a:r>
          </a:p>
        </c:rich>
      </c:tx>
      <c:layout>
        <c:manualLayout>
          <c:xMode val="edge"/>
          <c:yMode val="edge"/>
          <c:x val="0.37343721508495648"/>
          <c:y val="8.5261892064288788E-2"/>
        </c:manualLayout>
      </c:layout>
      <c:overlay val="0"/>
      <c:spPr>
        <a:noFill/>
        <a:ln w="25400">
          <a:noFill/>
        </a:ln>
      </c:spPr>
    </c:title>
    <c:autoTitleDeleted val="0"/>
    <c:plotArea>
      <c:layout>
        <c:manualLayout>
          <c:layoutTarget val="inner"/>
          <c:xMode val="edge"/>
          <c:yMode val="edge"/>
          <c:x val="0.11019313391317448"/>
          <c:y val="0.20973859484212182"/>
          <c:w val="0.85124195947927284"/>
          <c:h val="0.5393278153083132"/>
        </c:manualLayout>
      </c:layout>
      <c:barChart>
        <c:barDir val="col"/>
        <c:grouping val="clustered"/>
        <c:varyColors val="0"/>
        <c:ser>
          <c:idx val="0"/>
          <c:order val="0"/>
          <c:tx>
            <c:strRef>
              <c:f>'W-WZC TL'!$A$7</c:f>
              <c:strCache>
                <c:ptCount val="1"/>
                <c:pt idx="0">
                  <c:v>Bezetting KV (%)</c:v>
                </c:pt>
              </c:strCache>
            </c:strRef>
          </c:tx>
          <c:spPr>
            <a:solidFill>
              <a:srgbClr val="9999FF"/>
            </a:solidFill>
            <a:ln w="12700">
              <a:solidFill>
                <a:srgbClr val="000080"/>
              </a:solidFill>
              <a:prstDash val="solid"/>
            </a:ln>
          </c:spPr>
          <c:invertIfNegative val="0"/>
          <c:dLbls>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'W-WZC TL'!$B$4:$G$4</c:f>
              <c:strCache>
                <c:ptCount val="6"/>
                <c:pt idx="0">
                  <c:v>2017</c:v>
                </c:pt>
                <c:pt idx="1">
                  <c:v>2018</c:v>
                </c:pt>
                <c:pt idx="2">
                  <c:v>2019</c:v>
                </c:pt>
                <c:pt idx="3">
                  <c:v>2020</c:v>
                </c:pt>
                <c:pt idx="4">
                  <c:v>2021</c:v>
                </c:pt>
                <c:pt idx="5">
                  <c:v>2022</c:v>
                </c:pt>
              </c:strCache>
            </c:strRef>
          </c:cat>
          <c:val>
            <c:numRef>
              <c:f>'W-WZC TL'!$B$7:$G$7</c:f>
              <c:numCache>
                <c:formatCode>#,##0.00</c:formatCode>
                <c:ptCount val="6"/>
                <c:pt idx="0">
                  <c:v>83.84</c:v>
                </c:pt>
                <c:pt idx="1">
                  <c:v>82.74</c:v>
                </c:pt>
                <c:pt idx="2">
                  <c:v>92.33</c:v>
                </c:pt>
                <c:pt idx="3">
                  <c:v>87.98</c:v>
                </c:pt>
                <c:pt idx="4">
                  <c:v>95.89</c:v>
                </c:pt>
                <c:pt idx="5">
                  <c:v>99.45</c:v>
                </c:pt>
              </c:numCache>
            </c:numRef>
          </c:val>
          <c:extLst>
            <c:ext xmlns:c16="http://schemas.microsoft.com/office/drawing/2014/chart" uri="{C3380CC4-5D6E-409C-BE32-E72D297353CC}">
              <c16:uniqueId val="{00000000-4B58-4AB0-A4BB-F48044A6DF75}"/>
            </c:ext>
          </c:extLst>
        </c:ser>
        <c:ser>
          <c:idx val="1"/>
          <c:order val="1"/>
          <c:tx>
            <c:strRef>
              <c:f>'W-WZC TL'!$A$8</c:f>
              <c:strCache>
                <c:ptCount val="1"/>
                <c:pt idx="0">
                  <c:v>Bezetting WZC (%)</c:v>
                </c:pt>
              </c:strCache>
            </c:strRef>
          </c:tx>
          <c:invertIfNegative val="0"/>
          <c:cat>
            <c:strRef>
              <c:f>'W-WZC TL'!$B$4:$G$4</c:f>
              <c:strCache>
                <c:ptCount val="6"/>
                <c:pt idx="0">
                  <c:v>2017</c:v>
                </c:pt>
                <c:pt idx="1">
                  <c:v>2018</c:v>
                </c:pt>
                <c:pt idx="2">
                  <c:v>2019</c:v>
                </c:pt>
                <c:pt idx="3">
                  <c:v>2020</c:v>
                </c:pt>
                <c:pt idx="4">
                  <c:v>2021</c:v>
                </c:pt>
                <c:pt idx="5">
                  <c:v>2022</c:v>
                </c:pt>
              </c:strCache>
            </c:strRef>
          </c:cat>
          <c:val>
            <c:numRef>
              <c:f>'W-WZC TL'!$B$8:$G$8</c:f>
              <c:numCache>
                <c:formatCode>#,##0.00</c:formatCode>
                <c:ptCount val="6"/>
                <c:pt idx="0">
                  <c:v>97.63</c:v>
                </c:pt>
                <c:pt idx="1">
                  <c:v>98.99</c:v>
                </c:pt>
                <c:pt idx="2">
                  <c:v>99.28</c:v>
                </c:pt>
                <c:pt idx="3">
                  <c:v>98.48</c:v>
                </c:pt>
                <c:pt idx="4">
                  <c:v>86.96</c:v>
                </c:pt>
                <c:pt idx="5">
                  <c:v>98.23</c:v>
                </c:pt>
              </c:numCache>
            </c:numRef>
          </c:val>
          <c:extLst>
            <c:ext xmlns:c16="http://schemas.microsoft.com/office/drawing/2014/chart" uri="{C3380CC4-5D6E-409C-BE32-E72D297353CC}">
              <c16:uniqueId val="{00000000-E3D5-4D62-A034-4E42A31AA5E8}"/>
            </c:ext>
          </c:extLst>
        </c:ser>
        <c:ser>
          <c:idx val="3"/>
          <c:order val="2"/>
          <c:tx>
            <c:strRef>
              <c:f>'W-WZC TL'!$A$9</c:f>
              <c:strCache>
                <c:ptCount val="1"/>
                <c:pt idx="0">
                  <c:v>Bezetting instelling (%)</c:v>
                </c:pt>
              </c:strCache>
            </c:strRef>
          </c:tx>
          <c:spPr>
            <a:solidFill>
              <a:schemeClr val="accent6">
                <a:lumMod val="75000"/>
              </a:schemeClr>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'W-WZC TL'!$B$4:$G$4</c:f>
              <c:strCache>
                <c:ptCount val="6"/>
                <c:pt idx="0">
                  <c:v>2017</c:v>
                </c:pt>
                <c:pt idx="1">
                  <c:v>2018</c:v>
                </c:pt>
                <c:pt idx="2">
                  <c:v>2019</c:v>
                </c:pt>
                <c:pt idx="3">
                  <c:v>2020</c:v>
                </c:pt>
                <c:pt idx="4">
                  <c:v>2021</c:v>
                </c:pt>
                <c:pt idx="5">
                  <c:v>2022</c:v>
                </c:pt>
              </c:strCache>
            </c:strRef>
          </c:cat>
          <c:val>
            <c:numRef>
              <c:f>'W-WZC TL'!$B$9:$G$9</c:f>
              <c:numCache>
                <c:formatCode>#,##0.00</c:formatCode>
                <c:ptCount val="6"/>
                <c:pt idx="0">
                  <c:v>97.54</c:v>
                </c:pt>
                <c:pt idx="1">
                  <c:v>98.89</c:v>
                </c:pt>
                <c:pt idx="2">
                  <c:v>99.24</c:v>
                </c:pt>
                <c:pt idx="3">
                  <c:v>98.41</c:v>
                </c:pt>
                <c:pt idx="4">
                  <c:v>87.01</c:v>
                </c:pt>
                <c:pt idx="5">
                  <c:v>98.23</c:v>
                </c:pt>
              </c:numCache>
            </c:numRef>
          </c:val>
          <c:extLst>
            <c:ext xmlns:c16="http://schemas.microsoft.com/office/drawing/2014/chart" uri="{C3380CC4-5D6E-409C-BE32-E72D297353CC}">
              <c16:uniqueId val="{00000000-9809-426D-9618-AEF2F94C2C80}"/>
            </c:ext>
          </c:extLst>
        </c:ser>
        <c:dLbls>
          <c:showLegendKey val="0"/>
          <c:showVal val="0"/>
          <c:showCatName val="0"/>
          <c:showSerName val="0"/>
          <c:showPercent val="0"/>
          <c:showBubbleSize val="0"/>
        </c:dLbls>
        <c:gapWidth val="150"/>
        <c:axId val="186045568"/>
        <c:axId val="186047104"/>
      </c:barChart>
      <c:catAx>
        <c:axId val="1860455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047104"/>
        <c:crosses val="autoZero"/>
        <c:auto val="1"/>
        <c:lblAlgn val="ctr"/>
        <c:lblOffset val="100"/>
        <c:tickLblSkip val="1"/>
        <c:tickMarkSkip val="1"/>
        <c:noMultiLvlLbl val="0"/>
      </c:catAx>
      <c:valAx>
        <c:axId val="186047104"/>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045568"/>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Overzicht ontslagen/opnames</a:t>
            </a:r>
          </a:p>
        </c:rich>
      </c:tx>
      <c:layout>
        <c:manualLayout>
          <c:xMode val="edge"/>
          <c:yMode val="edge"/>
          <c:x val="0.3709242527799364"/>
          <c:y val="3.5971378102452024E-2"/>
        </c:manualLayout>
      </c:layout>
      <c:overlay val="0"/>
      <c:spPr>
        <a:noFill/>
        <a:ln w="25400">
          <a:noFill/>
        </a:ln>
      </c:spPr>
    </c:title>
    <c:autoTitleDeleted val="0"/>
    <c:plotArea>
      <c:layout>
        <c:manualLayout>
          <c:layoutTarget val="inner"/>
          <c:xMode val="edge"/>
          <c:yMode val="edge"/>
          <c:x val="4.7554379374880169E-2"/>
          <c:y val="0.22661870503597123"/>
          <c:w val="0.93342453230121936"/>
          <c:h val="0.53237410071942448"/>
        </c:manualLayout>
      </c:layout>
      <c:barChart>
        <c:barDir val="col"/>
        <c:grouping val="clustered"/>
        <c:varyColors val="0"/>
        <c:ser>
          <c:idx val="0"/>
          <c:order val="0"/>
          <c:tx>
            <c:strRef>
              <c:f>'W-WZC TL'!$A$17</c:f>
              <c:strCache>
                <c:ptCount val="1"/>
                <c:pt idx="0">
                  <c:v>Aantal ontslag/overleden</c:v>
                </c:pt>
              </c:strCache>
            </c:strRef>
          </c:tx>
          <c:spPr>
            <a:solidFill>
              <a:srgbClr val="9999FF"/>
            </a:solidFill>
            <a:ln w="12700">
              <a:solidFill>
                <a:srgbClr val="000000"/>
              </a:solidFill>
              <a:prstDash val="solid"/>
            </a:ln>
          </c:spPr>
          <c:invertIfNegative val="0"/>
          <c:cat>
            <c:strRef>
              <c:f>'W-WZC TL'!$B$4:$G$4</c:f>
              <c:strCache>
                <c:ptCount val="6"/>
                <c:pt idx="0">
                  <c:v>2017</c:v>
                </c:pt>
                <c:pt idx="1">
                  <c:v>2018</c:v>
                </c:pt>
                <c:pt idx="2">
                  <c:v>2019</c:v>
                </c:pt>
                <c:pt idx="3">
                  <c:v>2020</c:v>
                </c:pt>
                <c:pt idx="4">
                  <c:v>2021</c:v>
                </c:pt>
                <c:pt idx="5">
                  <c:v>2022</c:v>
                </c:pt>
              </c:strCache>
            </c:strRef>
          </c:cat>
          <c:val>
            <c:numRef>
              <c:f>'W-WZC TL'!$B$17:$G$17</c:f>
              <c:numCache>
                <c:formatCode>#,##0</c:formatCode>
                <c:ptCount val="6"/>
                <c:pt idx="0">
                  <c:v>84</c:v>
                </c:pt>
                <c:pt idx="1">
                  <c:v>78</c:v>
                </c:pt>
                <c:pt idx="2">
                  <c:v>72</c:v>
                </c:pt>
                <c:pt idx="3">
                  <c:v>71</c:v>
                </c:pt>
                <c:pt idx="4">
                  <c:v>79</c:v>
                </c:pt>
                <c:pt idx="5">
                  <c:v>58</c:v>
                </c:pt>
              </c:numCache>
            </c:numRef>
          </c:val>
          <c:extLst>
            <c:ext xmlns:c16="http://schemas.microsoft.com/office/drawing/2014/chart" uri="{C3380CC4-5D6E-409C-BE32-E72D297353CC}">
              <c16:uniqueId val="{00000000-E944-4179-B541-D212B182603F}"/>
            </c:ext>
          </c:extLst>
        </c:ser>
        <c:ser>
          <c:idx val="1"/>
          <c:order val="1"/>
          <c:tx>
            <c:strRef>
              <c:f>'W-WZC TL'!$A$18</c:f>
              <c:strCache>
                <c:ptCount val="1"/>
                <c:pt idx="0">
                  <c:v>Gerealiseerde opnames</c:v>
                </c:pt>
              </c:strCache>
            </c:strRef>
          </c:tx>
          <c:spPr>
            <a:solidFill>
              <a:srgbClr val="993366"/>
            </a:solidFill>
            <a:ln w="12700">
              <a:solidFill>
                <a:srgbClr val="000000"/>
              </a:solidFill>
              <a:prstDash val="solid"/>
            </a:ln>
          </c:spPr>
          <c:invertIfNegative val="0"/>
          <c:cat>
            <c:strRef>
              <c:f>'W-WZC TL'!$B$4:$G$4</c:f>
              <c:strCache>
                <c:ptCount val="6"/>
                <c:pt idx="0">
                  <c:v>2017</c:v>
                </c:pt>
                <c:pt idx="1">
                  <c:v>2018</c:v>
                </c:pt>
                <c:pt idx="2">
                  <c:v>2019</c:v>
                </c:pt>
                <c:pt idx="3">
                  <c:v>2020</c:v>
                </c:pt>
                <c:pt idx="4">
                  <c:v>2021</c:v>
                </c:pt>
                <c:pt idx="5">
                  <c:v>2022</c:v>
                </c:pt>
              </c:strCache>
            </c:strRef>
          </c:cat>
          <c:val>
            <c:numRef>
              <c:f>'W-WZC TL'!$B$18:$G$18</c:f>
              <c:numCache>
                <c:formatCode>#,##0</c:formatCode>
                <c:ptCount val="6"/>
                <c:pt idx="0">
                  <c:v>85</c:v>
                </c:pt>
                <c:pt idx="1">
                  <c:v>77</c:v>
                </c:pt>
                <c:pt idx="2">
                  <c:v>74</c:v>
                </c:pt>
                <c:pt idx="3">
                  <c:v>67</c:v>
                </c:pt>
                <c:pt idx="4">
                  <c:v>76</c:v>
                </c:pt>
                <c:pt idx="5">
                  <c:v>61</c:v>
                </c:pt>
              </c:numCache>
            </c:numRef>
          </c:val>
          <c:extLst>
            <c:ext xmlns:c16="http://schemas.microsoft.com/office/drawing/2014/chart" uri="{C3380CC4-5D6E-409C-BE32-E72D297353CC}">
              <c16:uniqueId val="{00000001-E944-4179-B541-D212B182603F}"/>
            </c:ext>
          </c:extLst>
        </c:ser>
        <c:dLbls>
          <c:showLegendKey val="0"/>
          <c:showVal val="0"/>
          <c:showCatName val="0"/>
          <c:showSerName val="0"/>
          <c:showPercent val="0"/>
          <c:showBubbleSize val="0"/>
        </c:dLbls>
        <c:gapWidth val="150"/>
        <c:axId val="186073472"/>
        <c:axId val="186075008"/>
      </c:barChart>
      <c:catAx>
        <c:axId val="186073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075008"/>
        <c:crosses val="autoZero"/>
        <c:auto val="1"/>
        <c:lblAlgn val="ctr"/>
        <c:lblOffset val="100"/>
        <c:tickLblSkip val="1"/>
        <c:tickMarkSkip val="1"/>
        <c:noMultiLvlLbl val="0"/>
      </c:catAx>
      <c:valAx>
        <c:axId val="1860750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073472"/>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902964959568733"/>
          <c:y val="8.9606048408267552E-2"/>
          <c:w val="0.60107816711590301"/>
          <c:h val="0.76344353243843954"/>
        </c:manualLayout>
      </c:layout>
      <c:barChart>
        <c:barDir val="col"/>
        <c:grouping val="percentStacked"/>
        <c:varyColors val="0"/>
        <c:ser>
          <c:idx val="0"/>
          <c:order val="0"/>
          <c:tx>
            <c:strRef>
              <c:f>'W-WZC TL'!$A$20</c:f>
              <c:strCache>
                <c:ptCount val="1"/>
                <c:pt idx="0">
                  <c:v>% mannen</c:v>
                </c:pt>
              </c:strCache>
            </c:strRef>
          </c:tx>
          <c:spPr>
            <a:solidFill>
              <a:srgbClr val="9999FF"/>
            </a:solidFill>
            <a:ln w="12700">
              <a:solidFill>
                <a:srgbClr val="000000"/>
              </a:solidFill>
              <a:prstDash val="solid"/>
            </a:ln>
          </c:spPr>
          <c:invertIfNegative val="0"/>
          <c:cat>
            <c:strRef>
              <c:f>'W-WZC TL'!$B$4:$G$4</c:f>
              <c:strCache>
                <c:ptCount val="6"/>
                <c:pt idx="0">
                  <c:v>2017</c:v>
                </c:pt>
                <c:pt idx="1">
                  <c:v>2018</c:v>
                </c:pt>
                <c:pt idx="2">
                  <c:v>2019</c:v>
                </c:pt>
                <c:pt idx="3">
                  <c:v>2020</c:v>
                </c:pt>
                <c:pt idx="4">
                  <c:v>2021</c:v>
                </c:pt>
                <c:pt idx="5">
                  <c:v>2022</c:v>
                </c:pt>
              </c:strCache>
            </c:strRef>
          </c:cat>
          <c:val>
            <c:numRef>
              <c:f>'W-WZC TL'!$B$20:$G$20</c:f>
              <c:numCache>
                <c:formatCode>0.00%</c:formatCode>
                <c:ptCount val="6"/>
                <c:pt idx="0">
                  <c:v>0.27939999999999998</c:v>
                </c:pt>
                <c:pt idx="1">
                  <c:v>0.27500000000000002</c:v>
                </c:pt>
                <c:pt idx="2">
                  <c:v>0.34749999999999998</c:v>
                </c:pt>
                <c:pt idx="3">
                  <c:v>0.33329999999999999</c:v>
                </c:pt>
                <c:pt idx="4">
                  <c:v>0.32200000000000001</c:v>
                </c:pt>
                <c:pt idx="5">
                  <c:v>0.3211</c:v>
                </c:pt>
              </c:numCache>
            </c:numRef>
          </c:val>
          <c:extLst>
            <c:ext xmlns:c16="http://schemas.microsoft.com/office/drawing/2014/chart" uri="{C3380CC4-5D6E-409C-BE32-E72D297353CC}">
              <c16:uniqueId val="{00000000-104F-4448-8F3A-37316CF901AA}"/>
            </c:ext>
          </c:extLst>
        </c:ser>
        <c:ser>
          <c:idx val="1"/>
          <c:order val="1"/>
          <c:tx>
            <c:strRef>
              <c:f>'W-WZC TL'!$A$21</c:f>
              <c:strCache>
                <c:ptCount val="1"/>
                <c:pt idx="0">
                  <c:v>% vrouwen</c:v>
                </c:pt>
              </c:strCache>
            </c:strRef>
          </c:tx>
          <c:spPr>
            <a:solidFill>
              <a:srgbClr val="993366"/>
            </a:solidFill>
            <a:ln w="12700">
              <a:solidFill>
                <a:srgbClr val="000000"/>
              </a:solidFill>
              <a:prstDash val="solid"/>
            </a:ln>
          </c:spPr>
          <c:invertIfNegative val="0"/>
          <c:cat>
            <c:strRef>
              <c:f>'W-WZC TL'!$B$4:$G$4</c:f>
              <c:strCache>
                <c:ptCount val="6"/>
                <c:pt idx="0">
                  <c:v>2017</c:v>
                </c:pt>
                <c:pt idx="1">
                  <c:v>2018</c:v>
                </c:pt>
                <c:pt idx="2">
                  <c:v>2019</c:v>
                </c:pt>
                <c:pt idx="3">
                  <c:v>2020</c:v>
                </c:pt>
                <c:pt idx="4">
                  <c:v>2021</c:v>
                </c:pt>
                <c:pt idx="5">
                  <c:v>2022</c:v>
                </c:pt>
              </c:strCache>
            </c:strRef>
          </c:cat>
          <c:val>
            <c:numRef>
              <c:f>'W-WZC TL'!$B$21:$G$21</c:f>
              <c:numCache>
                <c:formatCode>0.00%</c:formatCode>
                <c:ptCount val="6"/>
                <c:pt idx="0">
                  <c:v>0.72060000000000002</c:v>
                </c:pt>
                <c:pt idx="1">
                  <c:v>0.72499999999999998</c:v>
                </c:pt>
                <c:pt idx="2">
                  <c:v>0.65249999999999997</c:v>
                </c:pt>
                <c:pt idx="3">
                  <c:v>0.66669999999999996</c:v>
                </c:pt>
                <c:pt idx="4">
                  <c:v>0.67800000000000005</c:v>
                </c:pt>
                <c:pt idx="5">
                  <c:v>0.67889999999999995</c:v>
                </c:pt>
              </c:numCache>
            </c:numRef>
          </c:val>
          <c:extLst>
            <c:ext xmlns:c16="http://schemas.microsoft.com/office/drawing/2014/chart" uri="{C3380CC4-5D6E-409C-BE32-E72D297353CC}">
              <c16:uniqueId val="{00000001-104F-4448-8F3A-37316CF901AA}"/>
            </c:ext>
          </c:extLst>
        </c:ser>
        <c:dLbls>
          <c:showLegendKey val="0"/>
          <c:showVal val="0"/>
          <c:showCatName val="0"/>
          <c:showSerName val="0"/>
          <c:showPercent val="0"/>
          <c:showBubbleSize val="0"/>
        </c:dLbls>
        <c:gapWidth val="150"/>
        <c:overlap val="100"/>
        <c:axId val="186101120"/>
        <c:axId val="186111104"/>
      </c:barChart>
      <c:catAx>
        <c:axId val="1861011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111104"/>
        <c:crosses val="autoZero"/>
        <c:auto val="1"/>
        <c:lblAlgn val="ctr"/>
        <c:lblOffset val="100"/>
        <c:tickLblSkip val="1"/>
        <c:tickMarkSkip val="1"/>
        <c:noMultiLvlLbl val="0"/>
      </c:catAx>
      <c:valAx>
        <c:axId val="1861111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101120"/>
        <c:crosses val="autoZero"/>
        <c:crossBetween val="between"/>
      </c:valAx>
      <c:spPr>
        <a:solidFill>
          <a:srgbClr val="C0C0C0"/>
        </a:solidFill>
        <a:ln w="12700">
          <a:solidFill>
            <a:srgbClr val="808080"/>
          </a:solidFill>
          <a:prstDash val="solid"/>
        </a:ln>
      </c:spPr>
    </c:plotArea>
    <c:legend>
      <c:legendPos val="r"/>
      <c:layout>
        <c:manualLayout>
          <c:xMode val="edge"/>
          <c:yMode val="edge"/>
          <c:x val="0.76677019539224267"/>
          <c:y val="0.42482223812932485"/>
          <c:w val="0.20986772002336918"/>
          <c:h val="0.1397671065764666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3669544350315"/>
          <c:y val="8.9606048408267552E-2"/>
          <c:w val="0.47107564747882091"/>
          <c:h val="0.76344353243843954"/>
        </c:manualLayout>
      </c:layout>
      <c:lineChart>
        <c:grouping val="standard"/>
        <c:varyColors val="0"/>
        <c:ser>
          <c:idx val="0"/>
          <c:order val="0"/>
          <c:tx>
            <c:strRef>
              <c:f>'W-WZC TL'!$A$25</c:f>
              <c:strCache>
                <c:ptCount val="1"/>
                <c:pt idx="0">
                  <c:v>Gemiddelde verblijfsduur algemeen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TL'!$B$25:$G$25</c:f>
              <c:numCache>
                <c:formatCode>#,##0" dagen"</c:formatCode>
                <c:ptCount val="6"/>
                <c:pt idx="0">
                  <c:v>986</c:v>
                </c:pt>
                <c:pt idx="1">
                  <c:v>914</c:v>
                </c:pt>
                <c:pt idx="2">
                  <c:v>966</c:v>
                </c:pt>
                <c:pt idx="3">
                  <c:v>1034</c:v>
                </c:pt>
                <c:pt idx="4">
                  <c:v>966</c:v>
                </c:pt>
                <c:pt idx="5">
                  <c:v>982</c:v>
                </c:pt>
              </c:numCache>
            </c:numRef>
          </c:val>
          <c:smooth val="0"/>
          <c:extLst>
            <c:ext xmlns:c16="http://schemas.microsoft.com/office/drawing/2014/chart" uri="{C3380CC4-5D6E-409C-BE32-E72D297353CC}">
              <c16:uniqueId val="{00000000-D0BD-4167-8E80-E842FD2E1399}"/>
            </c:ext>
          </c:extLst>
        </c:ser>
        <c:ser>
          <c:idx val="1"/>
          <c:order val="1"/>
          <c:tx>
            <c:strRef>
              <c:f>'W-WZC TL'!$A$26</c:f>
              <c:strCache>
                <c:ptCount val="1"/>
                <c:pt idx="0">
                  <c:v>Gemiddelde verblijfsduur mannen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TL'!$B$26:$G$26</c:f>
              <c:numCache>
                <c:formatCode>#,##0" dagen"</c:formatCode>
                <c:ptCount val="6"/>
                <c:pt idx="0">
                  <c:v>623</c:v>
                </c:pt>
                <c:pt idx="1">
                  <c:v>594</c:v>
                </c:pt>
                <c:pt idx="2">
                  <c:v>618</c:v>
                </c:pt>
                <c:pt idx="3">
                  <c:v>757</c:v>
                </c:pt>
                <c:pt idx="4">
                  <c:v>685</c:v>
                </c:pt>
                <c:pt idx="5">
                  <c:v>730</c:v>
                </c:pt>
              </c:numCache>
            </c:numRef>
          </c:val>
          <c:smooth val="0"/>
          <c:extLst>
            <c:ext xmlns:c16="http://schemas.microsoft.com/office/drawing/2014/chart" uri="{C3380CC4-5D6E-409C-BE32-E72D297353CC}">
              <c16:uniqueId val="{00000001-D0BD-4167-8E80-E842FD2E1399}"/>
            </c:ext>
          </c:extLst>
        </c:ser>
        <c:ser>
          <c:idx val="2"/>
          <c:order val="2"/>
          <c:tx>
            <c:strRef>
              <c:f>'W-WZC TL'!$A$27</c:f>
              <c:strCache>
                <c:ptCount val="1"/>
                <c:pt idx="0">
                  <c:v>Gemiddelde verblijfsduur vrouwen</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TL'!$B$27:$G$27</c:f>
              <c:numCache>
                <c:formatCode>#,##0" dagen"</c:formatCode>
                <c:ptCount val="6"/>
                <c:pt idx="0">
                  <c:v>1127</c:v>
                </c:pt>
                <c:pt idx="1">
                  <c:v>1036</c:v>
                </c:pt>
                <c:pt idx="2">
                  <c:v>1152</c:v>
                </c:pt>
                <c:pt idx="3">
                  <c:v>1172</c:v>
                </c:pt>
                <c:pt idx="4">
                  <c:v>1100</c:v>
                </c:pt>
                <c:pt idx="5">
                  <c:v>1101</c:v>
                </c:pt>
              </c:numCache>
            </c:numRef>
          </c:val>
          <c:smooth val="0"/>
          <c:extLst>
            <c:ext xmlns:c16="http://schemas.microsoft.com/office/drawing/2014/chart" uri="{C3380CC4-5D6E-409C-BE32-E72D297353CC}">
              <c16:uniqueId val="{00000002-D0BD-4167-8E80-E842FD2E1399}"/>
            </c:ext>
          </c:extLst>
        </c:ser>
        <c:dLbls>
          <c:showLegendKey val="0"/>
          <c:showVal val="0"/>
          <c:showCatName val="0"/>
          <c:showSerName val="0"/>
          <c:showPercent val="0"/>
          <c:showBubbleSize val="0"/>
        </c:dLbls>
        <c:marker val="1"/>
        <c:smooth val="0"/>
        <c:axId val="186153984"/>
        <c:axId val="186172544"/>
      </c:lineChart>
      <c:catAx>
        <c:axId val="1861539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172544"/>
        <c:crosses val="autoZero"/>
        <c:auto val="1"/>
        <c:lblAlgn val="ctr"/>
        <c:lblOffset val="100"/>
        <c:tickLblSkip val="1"/>
        <c:tickMarkSkip val="1"/>
        <c:noMultiLvlLbl val="0"/>
      </c:catAx>
      <c:valAx>
        <c:axId val="186172544"/>
        <c:scaling>
          <c:orientation val="minMax"/>
        </c:scaling>
        <c:delete val="0"/>
        <c:axPos val="l"/>
        <c:majorGridlines>
          <c:spPr>
            <a:ln w="3175">
              <a:solidFill>
                <a:srgbClr val="000000"/>
              </a:solidFill>
              <a:prstDash val="solid"/>
            </a:ln>
          </c:spPr>
        </c:majorGridlines>
        <c:numFmt formatCode="#,##0&quot; dagen&quot;"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153984"/>
        <c:crosses val="autoZero"/>
        <c:crossBetween val="between"/>
      </c:valAx>
      <c:spPr>
        <a:solidFill>
          <a:srgbClr val="C0C0C0"/>
        </a:solidFill>
        <a:ln w="12700">
          <a:solidFill>
            <a:srgbClr val="808080"/>
          </a:solidFill>
          <a:prstDash val="solid"/>
        </a:ln>
      </c:spPr>
    </c:plotArea>
    <c:legend>
      <c:legendPos val="r"/>
      <c:layout>
        <c:manualLayout>
          <c:xMode val="edge"/>
          <c:yMode val="edge"/>
          <c:x val="0.71058823529411763"/>
          <c:y val="9.469696969696971E-2"/>
          <c:w val="0.26588235294117646"/>
          <c:h val="0.7601010101010100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339622641509441E-2"/>
          <c:y val="8.9285869987915017E-2"/>
          <c:w val="0.54447439353099736"/>
          <c:h val="0.7642870470965526"/>
        </c:manualLayout>
      </c:layout>
      <c:lineChart>
        <c:grouping val="standard"/>
        <c:varyColors val="0"/>
        <c:ser>
          <c:idx val="0"/>
          <c:order val="0"/>
          <c:tx>
            <c:strRef>
              <c:f>'W-WZC TL'!$A$22</c:f>
              <c:strCache>
                <c:ptCount val="1"/>
                <c:pt idx="0">
                  <c:v>Gemiddelde leeftijd algemeen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TL'!$B$22:$G$22</c:f>
              <c:numCache>
                <c:formatCode>#,##0</c:formatCode>
                <c:ptCount val="6"/>
                <c:pt idx="0">
                  <c:v>85.67</c:v>
                </c:pt>
                <c:pt idx="1">
                  <c:v>85.66</c:v>
                </c:pt>
                <c:pt idx="2">
                  <c:v>85.44</c:v>
                </c:pt>
                <c:pt idx="3">
                  <c:v>86.05</c:v>
                </c:pt>
                <c:pt idx="4">
                  <c:v>86.54</c:v>
                </c:pt>
                <c:pt idx="5">
                  <c:v>86.94</c:v>
                </c:pt>
              </c:numCache>
            </c:numRef>
          </c:val>
          <c:smooth val="0"/>
          <c:extLst>
            <c:ext xmlns:c16="http://schemas.microsoft.com/office/drawing/2014/chart" uri="{C3380CC4-5D6E-409C-BE32-E72D297353CC}">
              <c16:uniqueId val="{00000000-FACB-4C69-9690-A5C94CBC7541}"/>
            </c:ext>
          </c:extLst>
        </c:ser>
        <c:ser>
          <c:idx val="1"/>
          <c:order val="1"/>
          <c:tx>
            <c:strRef>
              <c:f>'W-WZC TL'!$A$23</c:f>
              <c:strCache>
                <c:ptCount val="1"/>
                <c:pt idx="0">
                  <c:v>Gemiddelde leeftijd mannen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TL'!$B$23:$G$23</c:f>
              <c:numCache>
                <c:formatCode>#,##0</c:formatCode>
                <c:ptCount val="6"/>
                <c:pt idx="0">
                  <c:v>81.94</c:v>
                </c:pt>
                <c:pt idx="1">
                  <c:v>81.98</c:v>
                </c:pt>
                <c:pt idx="2">
                  <c:v>82.75</c:v>
                </c:pt>
                <c:pt idx="3">
                  <c:v>83.73</c:v>
                </c:pt>
                <c:pt idx="4">
                  <c:v>83.83</c:v>
                </c:pt>
                <c:pt idx="5">
                  <c:v>83.66</c:v>
                </c:pt>
              </c:numCache>
            </c:numRef>
          </c:val>
          <c:smooth val="0"/>
          <c:extLst>
            <c:ext xmlns:c16="http://schemas.microsoft.com/office/drawing/2014/chart" uri="{C3380CC4-5D6E-409C-BE32-E72D297353CC}">
              <c16:uniqueId val="{00000001-FACB-4C69-9690-A5C94CBC7541}"/>
            </c:ext>
          </c:extLst>
        </c:ser>
        <c:ser>
          <c:idx val="2"/>
          <c:order val="2"/>
          <c:tx>
            <c:strRef>
              <c:f>'W-WZC TL'!$A$24</c:f>
              <c:strCache>
                <c:ptCount val="1"/>
                <c:pt idx="0">
                  <c:v>Gemiddelde leeftijd vrouwen</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TL'!$B$24:$G$24</c:f>
              <c:numCache>
                <c:formatCode>#,##0</c:formatCode>
                <c:ptCount val="6"/>
                <c:pt idx="0">
                  <c:v>87.12</c:v>
                </c:pt>
                <c:pt idx="1">
                  <c:v>87.06</c:v>
                </c:pt>
                <c:pt idx="2">
                  <c:v>86.88</c:v>
                </c:pt>
                <c:pt idx="3">
                  <c:v>87.21</c:v>
                </c:pt>
                <c:pt idx="4">
                  <c:v>87.82</c:v>
                </c:pt>
                <c:pt idx="5">
                  <c:v>88.49</c:v>
                </c:pt>
              </c:numCache>
            </c:numRef>
          </c:val>
          <c:smooth val="0"/>
          <c:extLst>
            <c:ext xmlns:c16="http://schemas.microsoft.com/office/drawing/2014/chart" uri="{C3380CC4-5D6E-409C-BE32-E72D297353CC}">
              <c16:uniqueId val="{00000002-FACB-4C69-9690-A5C94CBC7541}"/>
            </c:ext>
          </c:extLst>
        </c:ser>
        <c:dLbls>
          <c:showLegendKey val="0"/>
          <c:showVal val="0"/>
          <c:showCatName val="0"/>
          <c:showSerName val="0"/>
          <c:showPercent val="0"/>
          <c:showBubbleSize val="0"/>
        </c:dLbls>
        <c:marker val="1"/>
        <c:smooth val="0"/>
        <c:axId val="186203136"/>
        <c:axId val="186221696"/>
      </c:lineChart>
      <c:catAx>
        <c:axId val="186203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221696"/>
        <c:crosses val="autoZero"/>
        <c:auto val="1"/>
        <c:lblAlgn val="ctr"/>
        <c:lblOffset val="100"/>
        <c:tickLblSkip val="1"/>
        <c:tickMarkSkip val="1"/>
        <c:noMultiLvlLbl val="0"/>
      </c:catAx>
      <c:valAx>
        <c:axId val="18622169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203136"/>
        <c:crosses val="autoZero"/>
        <c:crossBetween val="between"/>
      </c:valAx>
      <c:spPr>
        <a:solidFill>
          <a:srgbClr val="C0C0C0"/>
        </a:solidFill>
        <a:ln w="12700">
          <a:solidFill>
            <a:srgbClr val="808080"/>
          </a:solidFill>
          <a:prstDash val="solid"/>
        </a:ln>
      </c:spPr>
    </c:plotArea>
    <c:legend>
      <c:legendPos val="r"/>
      <c:layout>
        <c:manualLayout>
          <c:xMode val="edge"/>
          <c:yMode val="edge"/>
          <c:x val="0.67554479418886193"/>
          <c:y val="0.30566037735849055"/>
          <c:w val="0.30266343825665865"/>
          <c:h val="0.3811320754716980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Aantal onderwijscheques</a:t>
            </a:r>
          </a:p>
        </c:rich>
      </c:tx>
      <c:layout>
        <c:manualLayout>
          <c:xMode val="edge"/>
          <c:yMode val="edge"/>
          <c:x val="0.22217514124293786"/>
          <c:y val="2.6755852842809364E-2"/>
        </c:manualLayout>
      </c:layout>
      <c:overlay val="0"/>
    </c:title>
    <c:autoTitleDeleted val="0"/>
    <c:plotArea>
      <c:layout/>
      <c:lineChart>
        <c:grouping val="standard"/>
        <c:varyColors val="0"/>
        <c:ser>
          <c:idx val="0"/>
          <c:order val="0"/>
          <c:tx>
            <c:strRef>
              <c:f>'B-onderwijs&amp;opvang'!$A$5</c:f>
              <c:strCache>
                <c:ptCount val="1"/>
                <c:pt idx="0">
                  <c:v>Onderwijscheques</c:v>
                </c:pt>
              </c:strCache>
            </c:strRef>
          </c:tx>
          <c:cat>
            <c:strRef>
              <c:f>'B-onderwijs&amp;opvang'!$B$6:$P$6</c:f>
              <c:strCache>
                <c:ptCount val="15"/>
                <c:pt idx="0">
                  <c:v>2007-2008</c:v>
                </c:pt>
                <c:pt idx="1">
                  <c:v>2008-2009</c:v>
                </c:pt>
                <c:pt idx="2">
                  <c:v>2009-2010</c:v>
                </c:pt>
                <c:pt idx="3">
                  <c:v>2010-2011</c:v>
                </c:pt>
                <c:pt idx="4">
                  <c:v>2011-2012</c:v>
                </c:pt>
                <c:pt idx="5">
                  <c:v>2012-2013</c:v>
                </c:pt>
                <c:pt idx="6">
                  <c:v>2013-2014</c:v>
                </c:pt>
                <c:pt idx="7">
                  <c:v>2014-2015</c:v>
                </c:pt>
                <c:pt idx="8">
                  <c:v>2015-2016</c:v>
                </c:pt>
                <c:pt idx="9">
                  <c:v>2016-2017</c:v>
                </c:pt>
                <c:pt idx="10">
                  <c:v>2017-2018</c:v>
                </c:pt>
                <c:pt idx="11">
                  <c:v>2018-2019</c:v>
                </c:pt>
                <c:pt idx="12">
                  <c:v>2019-2020</c:v>
                </c:pt>
                <c:pt idx="13">
                  <c:v>2020-2021</c:v>
                </c:pt>
                <c:pt idx="14">
                  <c:v>2021-2022</c:v>
                </c:pt>
              </c:strCache>
            </c:strRef>
          </c:cat>
          <c:val>
            <c:numRef>
              <c:f>'B-onderwijs&amp;opvang'!$B$7:$P$7</c:f>
              <c:numCache>
                <c:formatCode>General</c:formatCode>
                <c:ptCount val="15"/>
                <c:pt idx="0">
                  <c:v>326</c:v>
                </c:pt>
                <c:pt idx="1">
                  <c:v>348</c:v>
                </c:pt>
                <c:pt idx="2">
                  <c:v>434</c:v>
                </c:pt>
                <c:pt idx="3">
                  <c:v>500</c:v>
                </c:pt>
                <c:pt idx="4">
                  <c:v>352</c:v>
                </c:pt>
                <c:pt idx="5">
                  <c:v>376</c:v>
                </c:pt>
                <c:pt idx="6">
                  <c:v>332</c:v>
                </c:pt>
                <c:pt idx="7">
                  <c:v>300</c:v>
                </c:pt>
                <c:pt idx="8">
                  <c:v>324</c:v>
                </c:pt>
                <c:pt idx="9">
                  <c:v>368</c:v>
                </c:pt>
                <c:pt idx="10">
                  <c:v>339</c:v>
                </c:pt>
                <c:pt idx="11">
                  <c:v>568</c:v>
                </c:pt>
                <c:pt idx="12">
                  <c:v>546</c:v>
                </c:pt>
                <c:pt idx="13">
                  <c:v>636</c:v>
                </c:pt>
              </c:numCache>
            </c:numRef>
          </c:val>
          <c:smooth val="0"/>
          <c:extLst>
            <c:ext xmlns:c16="http://schemas.microsoft.com/office/drawing/2014/chart" uri="{C3380CC4-5D6E-409C-BE32-E72D297353CC}">
              <c16:uniqueId val="{00000000-AE40-4E37-9CCB-F4AE4B18184C}"/>
            </c:ext>
          </c:extLst>
        </c:ser>
        <c:dLbls>
          <c:showLegendKey val="0"/>
          <c:showVal val="0"/>
          <c:showCatName val="0"/>
          <c:showSerName val="0"/>
          <c:showPercent val="0"/>
          <c:showBubbleSize val="0"/>
        </c:dLbls>
        <c:marker val="1"/>
        <c:smooth val="0"/>
        <c:axId val="820236648"/>
        <c:axId val="1"/>
      </c:lineChart>
      <c:catAx>
        <c:axId val="820236648"/>
        <c:scaling>
          <c:orientation val="minMax"/>
        </c:scaling>
        <c:delete val="0"/>
        <c:axPos val="b"/>
        <c:numFmt formatCode="General" sourceLinked="1"/>
        <c:majorTickMark val="out"/>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820236648"/>
        <c:crosses val="autoZero"/>
        <c:crossBetween val="between"/>
      </c:valAx>
    </c:plotArea>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016172506738545"/>
          <c:y val="9.3984962406015032E-2"/>
          <c:w val="0.48517520215633425"/>
          <c:h val="0.75187969924812026"/>
        </c:manualLayout>
      </c:layout>
      <c:lineChart>
        <c:grouping val="standard"/>
        <c:varyColors val="0"/>
        <c:ser>
          <c:idx val="0"/>
          <c:order val="0"/>
          <c:tx>
            <c:strRef>
              <c:f>'W-WZC TL'!$A$13</c:f>
              <c:strCache>
                <c:ptCount val="1"/>
                <c:pt idx="0">
                  <c:v>Budg. kostprijs/dag/bewoner (excl. afschr...)</c:v>
                </c:pt>
              </c:strCache>
            </c:strRef>
          </c:tx>
          <c:spPr>
            <a:ln w="38100">
              <a:solidFill>
                <a:srgbClr val="000080"/>
              </a:solidFill>
              <a:prstDash val="solid"/>
            </a:ln>
          </c:spPr>
          <c:marker>
            <c:symbol val="diamond"/>
            <c:size val="5"/>
            <c:spPr>
              <a:solidFill>
                <a:srgbClr val="000080"/>
              </a:solidFill>
              <a:ln>
                <a:solidFill>
                  <a:srgbClr val="000080"/>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TL'!$B$13:$G$13</c:f>
              <c:numCache>
                <c:formatCode>#,##0.00</c:formatCode>
                <c:ptCount val="6"/>
                <c:pt idx="0">
                  <c:v>145.13871981263011</c:v>
                </c:pt>
                <c:pt idx="1">
                  <c:v>148.78392829757868</c:v>
                </c:pt>
                <c:pt idx="2">
                  <c:v>150.83303770569833</c:v>
                </c:pt>
                <c:pt idx="3">
                  <c:v>162.24599366722276</c:v>
                </c:pt>
                <c:pt idx="4">
                  <c:v>182.92518944480122</c:v>
                </c:pt>
                <c:pt idx="5">
                  <c:v>187.73280280159403</c:v>
                </c:pt>
              </c:numCache>
            </c:numRef>
          </c:val>
          <c:smooth val="0"/>
          <c:extLst>
            <c:ext xmlns:c16="http://schemas.microsoft.com/office/drawing/2014/chart" uri="{C3380CC4-5D6E-409C-BE32-E72D297353CC}">
              <c16:uniqueId val="{00000000-E263-4D85-968A-F352BCDDEF00}"/>
            </c:ext>
          </c:extLst>
        </c:ser>
        <c:ser>
          <c:idx val="2"/>
          <c:order val="1"/>
          <c:tx>
            <c:strRef>
              <c:f>'W-WZC TL'!$A$14</c:f>
              <c:strCache>
                <c:ptCount val="1"/>
                <c:pt idx="0">
                  <c:v>Gemiddeld aangerekende bewonersdagprijs</c:v>
                </c:pt>
              </c:strCache>
            </c:strRef>
          </c:tx>
          <c:spPr>
            <a:ln w="38100">
              <a:solidFill>
                <a:srgbClr val="FFFF00"/>
              </a:solidFill>
              <a:prstDash val="solid"/>
            </a:ln>
          </c:spPr>
          <c:marker>
            <c:symbol val="triangle"/>
            <c:size val="5"/>
            <c:spPr>
              <a:solidFill>
                <a:srgbClr val="FFFF00"/>
              </a:solidFill>
              <a:ln>
                <a:solidFill>
                  <a:srgbClr val="FFFF00"/>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TL'!$B$14:$G$14</c:f>
              <c:numCache>
                <c:formatCode>#,##0.00</c:formatCode>
                <c:ptCount val="6"/>
                <c:pt idx="0">
                  <c:v>49.56</c:v>
                </c:pt>
                <c:pt idx="1">
                  <c:v>50.15</c:v>
                </c:pt>
                <c:pt idx="2">
                  <c:v>51.22</c:v>
                </c:pt>
                <c:pt idx="3">
                  <c:v>52.06</c:v>
                </c:pt>
                <c:pt idx="4">
                  <c:v>52.66</c:v>
                </c:pt>
                <c:pt idx="5">
                  <c:v>56.09</c:v>
                </c:pt>
              </c:numCache>
            </c:numRef>
          </c:val>
          <c:smooth val="0"/>
          <c:extLst>
            <c:ext xmlns:c16="http://schemas.microsoft.com/office/drawing/2014/chart" uri="{C3380CC4-5D6E-409C-BE32-E72D297353CC}">
              <c16:uniqueId val="{00000001-E263-4D85-968A-F352BCDDEF00}"/>
            </c:ext>
          </c:extLst>
        </c:ser>
        <c:ser>
          <c:idx val="3"/>
          <c:order val="2"/>
          <c:tx>
            <c:strRef>
              <c:f>'W-WZC TL'!$A$15</c:f>
              <c:strCache>
                <c:ptCount val="1"/>
                <c:pt idx="0">
                  <c:v>Gemiddelde tegemoetkoming wzc en cvk per dag</c:v>
                </c:pt>
              </c:strCache>
            </c:strRef>
          </c:tx>
          <c:spPr>
            <a:ln w="38100">
              <a:solidFill>
                <a:schemeClr val="accent6"/>
              </a:solidFill>
              <a:prstDash val="solid"/>
            </a:ln>
          </c:spPr>
          <c:marker>
            <c:symbol val="x"/>
            <c:size val="5"/>
            <c:spPr>
              <a:solidFill>
                <a:schemeClr val="accent6"/>
              </a:solidFill>
              <a:ln>
                <a:solidFill>
                  <a:schemeClr val="accent6">
                    <a:alpha val="90000"/>
                  </a:schemeClr>
                </a:solidFill>
                <a:prstDash val="solid"/>
              </a:ln>
            </c:spPr>
          </c:marker>
          <c:cat>
            <c:strRef>
              <c:f>'W-WZC TL'!$B$4:$G$4</c:f>
              <c:strCache>
                <c:ptCount val="6"/>
                <c:pt idx="0">
                  <c:v>2017</c:v>
                </c:pt>
                <c:pt idx="1">
                  <c:v>2018</c:v>
                </c:pt>
                <c:pt idx="2">
                  <c:v>2019</c:v>
                </c:pt>
                <c:pt idx="3">
                  <c:v>2020</c:v>
                </c:pt>
                <c:pt idx="4">
                  <c:v>2021</c:v>
                </c:pt>
                <c:pt idx="5">
                  <c:v>2022</c:v>
                </c:pt>
              </c:strCache>
            </c:strRef>
          </c:cat>
          <c:val>
            <c:numRef>
              <c:f>'W-WZC TL'!$B$15:$G$15</c:f>
              <c:numCache>
                <c:formatCode>#,##0.00</c:formatCode>
                <c:ptCount val="6"/>
                <c:pt idx="0">
                  <c:v>74.810688480848214</c:v>
                </c:pt>
                <c:pt idx="1">
                  <c:v>76.297604114356957</c:v>
                </c:pt>
                <c:pt idx="2">
                  <c:v>80.357338452247433</c:v>
                </c:pt>
                <c:pt idx="3">
                  <c:v>83.967992677297886</c:v>
                </c:pt>
                <c:pt idx="4">
                  <c:v>86.98554116813601</c:v>
                </c:pt>
                <c:pt idx="5">
                  <c:v>95.367348521824013</c:v>
                </c:pt>
              </c:numCache>
            </c:numRef>
          </c:val>
          <c:smooth val="1"/>
          <c:extLst>
            <c:ext xmlns:c16="http://schemas.microsoft.com/office/drawing/2014/chart" uri="{C3380CC4-5D6E-409C-BE32-E72D297353CC}">
              <c16:uniqueId val="{00000002-E263-4D85-968A-F352BCDDEF00}"/>
            </c:ext>
          </c:extLst>
        </c:ser>
        <c:dLbls>
          <c:showLegendKey val="0"/>
          <c:showVal val="0"/>
          <c:showCatName val="0"/>
          <c:showSerName val="0"/>
          <c:showPercent val="0"/>
          <c:showBubbleSize val="0"/>
        </c:dLbls>
        <c:marker val="1"/>
        <c:smooth val="0"/>
        <c:axId val="186248192"/>
        <c:axId val="186320000"/>
      </c:lineChart>
      <c:catAx>
        <c:axId val="186248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320000"/>
        <c:crosses val="autoZero"/>
        <c:auto val="1"/>
        <c:lblAlgn val="ctr"/>
        <c:lblOffset val="100"/>
        <c:noMultiLvlLbl val="0"/>
      </c:catAx>
      <c:valAx>
        <c:axId val="186320000"/>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24819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Dagprijs Ter Linden (31/12)</a:t>
            </a:r>
          </a:p>
        </c:rich>
      </c:tx>
      <c:layout>
        <c:manualLayout>
          <c:xMode val="edge"/>
          <c:yMode val="edge"/>
          <c:x val="0.37586503870173676"/>
          <c:y val="4.6016374818819289E-2"/>
        </c:manualLayout>
      </c:layout>
      <c:overlay val="0"/>
      <c:spPr>
        <a:noFill/>
        <a:ln w="25400">
          <a:noFill/>
        </a:ln>
      </c:spPr>
    </c:title>
    <c:autoTitleDeleted val="0"/>
    <c:plotArea>
      <c:layout>
        <c:manualLayout>
          <c:layoutTarget val="inner"/>
          <c:xMode val="edge"/>
          <c:yMode val="edge"/>
          <c:x val="9.668508287292818E-2"/>
          <c:y val="0.21223021582733814"/>
          <c:w val="0.4889502762430939"/>
          <c:h val="0.64028776978417268"/>
        </c:manualLayout>
      </c:layout>
      <c:lineChart>
        <c:grouping val="standard"/>
        <c:varyColors val="0"/>
        <c:ser>
          <c:idx val="0"/>
          <c:order val="0"/>
          <c:tx>
            <c:strRef>
              <c:f>'W-WZC TL'!$H$78</c:f>
              <c:strCache>
                <c:ptCount val="1"/>
                <c:pt idx="0">
                  <c:v>eenpersoonskamer site 1997</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'W-WZC TL'!$I$77:$N$77</c:f>
              <c:strCache>
                <c:ptCount val="6"/>
                <c:pt idx="0">
                  <c:v>2017</c:v>
                </c:pt>
                <c:pt idx="1">
                  <c:v>2018</c:v>
                </c:pt>
                <c:pt idx="2">
                  <c:v>2019</c:v>
                </c:pt>
                <c:pt idx="3">
                  <c:v>2020</c:v>
                </c:pt>
                <c:pt idx="4">
                  <c:v>2021</c:v>
                </c:pt>
                <c:pt idx="5">
                  <c:v>2022</c:v>
                </c:pt>
              </c:strCache>
            </c:strRef>
          </c:cat>
          <c:val>
            <c:numRef>
              <c:f>'W-WZC TL'!$I$78:$N$78</c:f>
              <c:numCache>
                <c:formatCode>General</c:formatCode>
                <c:ptCount val="6"/>
                <c:pt idx="0">
                  <c:v>49.75</c:v>
                </c:pt>
                <c:pt idx="1">
                  <c:v>50.51</c:v>
                </c:pt>
                <c:pt idx="2">
                  <c:v>51.7</c:v>
                </c:pt>
                <c:pt idx="3">
                  <c:v>52.11</c:v>
                </c:pt>
                <c:pt idx="4">
                  <c:v>52.58</c:v>
                </c:pt>
                <c:pt idx="5">
                  <c:v>58.5</c:v>
                </c:pt>
              </c:numCache>
            </c:numRef>
          </c:val>
          <c:smooth val="0"/>
          <c:extLst>
            <c:ext xmlns:c16="http://schemas.microsoft.com/office/drawing/2014/chart" uri="{C3380CC4-5D6E-409C-BE32-E72D297353CC}">
              <c16:uniqueId val="{00000000-5382-4EC5-88FC-2CD7AC3E9202}"/>
            </c:ext>
          </c:extLst>
        </c:ser>
        <c:ser>
          <c:idx val="1"/>
          <c:order val="1"/>
          <c:tx>
            <c:strRef>
              <c:f>'W-WZC TL'!$H$79</c:f>
              <c:strCache>
                <c:ptCount val="1"/>
                <c:pt idx="0">
                  <c:v>echtparenprijs site 1997</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strRef>
              <c:f>'W-WZC TL'!$I$77:$N$77</c:f>
              <c:strCache>
                <c:ptCount val="6"/>
                <c:pt idx="0">
                  <c:v>2017</c:v>
                </c:pt>
                <c:pt idx="1">
                  <c:v>2018</c:v>
                </c:pt>
                <c:pt idx="2">
                  <c:v>2019</c:v>
                </c:pt>
                <c:pt idx="3">
                  <c:v>2020</c:v>
                </c:pt>
                <c:pt idx="4">
                  <c:v>2021</c:v>
                </c:pt>
                <c:pt idx="5">
                  <c:v>2022</c:v>
                </c:pt>
              </c:strCache>
            </c:strRef>
          </c:cat>
          <c:val>
            <c:numRef>
              <c:f>'W-WZC TL'!$I$79:$N$79</c:f>
              <c:numCache>
                <c:formatCode>General</c:formatCode>
                <c:ptCount val="6"/>
                <c:pt idx="0">
                  <c:v>39.75</c:v>
                </c:pt>
                <c:pt idx="1">
                  <c:v>40.35</c:v>
                </c:pt>
                <c:pt idx="2">
                  <c:v>41.3</c:v>
                </c:pt>
                <c:pt idx="3">
                  <c:v>41.63</c:v>
                </c:pt>
                <c:pt idx="4">
                  <c:v>42</c:v>
                </c:pt>
                <c:pt idx="5">
                  <c:v>46.89</c:v>
                </c:pt>
              </c:numCache>
            </c:numRef>
          </c:val>
          <c:smooth val="0"/>
          <c:extLst>
            <c:ext xmlns:c16="http://schemas.microsoft.com/office/drawing/2014/chart" uri="{C3380CC4-5D6E-409C-BE32-E72D297353CC}">
              <c16:uniqueId val="{00000001-5382-4EC5-88FC-2CD7AC3E9202}"/>
            </c:ext>
          </c:extLst>
        </c:ser>
        <c:ser>
          <c:idx val="2"/>
          <c:order val="2"/>
          <c:tx>
            <c:strRef>
              <c:f>'W-WZC TL'!$H$80</c:f>
              <c:strCache>
                <c:ptCount val="1"/>
                <c:pt idx="0">
                  <c:v>eenpersoonskamer site 2013</c:v>
                </c:pt>
              </c:strCache>
            </c:strRef>
          </c:tx>
          <c:spPr>
            <a:ln w="12700">
              <a:solidFill>
                <a:srgbClr val="FFFF00"/>
              </a:solidFill>
              <a:prstDash val="solid"/>
            </a:ln>
          </c:spPr>
          <c:marker>
            <c:symbol val="triangle"/>
            <c:size val="5"/>
            <c:spPr>
              <a:solidFill>
                <a:srgbClr val="FFFF00"/>
              </a:solidFill>
              <a:ln>
                <a:solidFill>
                  <a:srgbClr val="FFFF00"/>
                </a:solidFill>
                <a:prstDash val="solid"/>
              </a:ln>
            </c:spPr>
          </c:marker>
          <c:cat>
            <c:strRef>
              <c:f>'W-WZC TL'!$I$77:$N$77</c:f>
              <c:strCache>
                <c:ptCount val="6"/>
                <c:pt idx="0">
                  <c:v>2017</c:v>
                </c:pt>
                <c:pt idx="1">
                  <c:v>2018</c:v>
                </c:pt>
                <c:pt idx="2">
                  <c:v>2019</c:v>
                </c:pt>
                <c:pt idx="3">
                  <c:v>2020</c:v>
                </c:pt>
                <c:pt idx="4">
                  <c:v>2021</c:v>
                </c:pt>
                <c:pt idx="5">
                  <c:v>2022</c:v>
                </c:pt>
              </c:strCache>
            </c:strRef>
          </c:cat>
          <c:val>
            <c:numRef>
              <c:f>'W-WZC TL'!$I$80:$N$80</c:f>
              <c:numCache>
                <c:formatCode>General</c:formatCode>
                <c:ptCount val="6"/>
                <c:pt idx="0">
                  <c:v>52</c:v>
                </c:pt>
                <c:pt idx="1">
                  <c:v>52.79</c:v>
                </c:pt>
                <c:pt idx="2">
                  <c:v>54.04</c:v>
                </c:pt>
                <c:pt idx="3">
                  <c:v>54.47</c:v>
                </c:pt>
                <c:pt idx="4">
                  <c:v>54.96</c:v>
                </c:pt>
                <c:pt idx="5">
                  <c:v>61.03</c:v>
                </c:pt>
              </c:numCache>
            </c:numRef>
          </c:val>
          <c:smooth val="0"/>
          <c:extLst>
            <c:ext xmlns:c16="http://schemas.microsoft.com/office/drawing/2014/chart" uri="{C3380CC4-5D6E-409C-BE32-E72D297353CC}">
              <c16:uniqueId val="{00000002-5382-4EC5-88FC-2CD7AC3E9202}"/>
            </c:ext>
          </c:extLst>
        </c:ser>
        <c:ser>
          <c:idx val="3"/>
          <c:order val="3"/>
          <c:tx>
            <c:strRef>
              <c:f>'W-WZC TL'!$H$81</c:f>
              <c:strCache>
                <c:ptCount val="1"/>
                <c:pt idx="0">
                  <c:v>eenpersoonskamer XL site 2013</c:v>
                </c:pt>
              </c:strCache>
            </c:strRef>
          </c:tx>
          <c:spPr>
            <a:ln w="12700">
              <a:solidFill>
                <a:srgbClr val="00FFFF"/>
              </a:solidFill>
              <a:prstDash val="solid"/>
            </a:ln>
          </c:spPr>
          <c:marker>
            <c:symbol val="x"/>
            <c:size val="5"/>
            <c:spPr>
              <a:noFill/>
              <a:ln>
                <a:solidFill>
                  <a:srgbClr val="00FFFF"/>
                </a:solidFill>
                <a:prstDash val="solid"/>
              </a:ln>
            </c:spPr>
          </c:marker>
          <c:cat>
            <c:strRef>
              <c:f>'W-WZC TL'!$I$77:$N$77</c:f>
              <c:strCache>
                <c:ptCount val="6"/>
                <c:pt idx="0">
                  <c:v>2017</c:v>
                </c:pt>
                <c:pt idx="1">
                  <c:v>2018</c:v>
                </c:pt>
                <c:pt idx="2">
                  <c:v>2019</c:v>
                </c:pt>
                <c:pt idx="3">
                  <c:v>2020</c:v>
                </c:pt>
                <c:pt idx="4">
                  <c:v>2021</c:v>
                </c:pt>
                <c:pt idx="5">
                  <c:v>2022</c:v>
                </c:pt>
              </c:strCache>
            </c:strRef>
          </c:cat>
          <c:val>
            <c:numRef>
              <c:f>'W-WZC TL'!$I$81:$N$81</c:f>
              <c:numCache>
                <c:formatCode>General</c:formatCode>
                <c:ptCount val="6"/>
                <c:pt idx="0">
                  <c:v>53.25</c:v>
                </c:pt>
                <c:pt idx="1">
                  <c:v>54.06</c:v>
                </c:pt>
                <c:pt idx="2">
                  <c:v>55.34</c:v>
                </c:pt>
                <c:pt idx="3">
                  <c:v>55.78</c:v>
                </c:pt>
                <c:pt idx="4">
                  <c:v>56.28</c:v>
                </c:pt>
                <c:pt idx="5">
                  <c:v>62.48</c:v>
                </c:pt>
              </c:numCache>
            </c:numRef>
          </c:val>
          <c:smooth val="0"/>
          <c:extLst>
            <c:ext xmlns:c16="http://schemas.microsoft.com/office/drawing/2014/chart" uri="{C3380CC4-5D6E-409C-BE32-E72D297353CC}">
              <c16:uniqueId val="{00000003-5382-4EC5-88FC-2CD7AC3E9202}"/>
            </c:ext>
          </c:extLst>
        </c:ser>
        <c:ser>
          <c:idx val="4"/>
          <c:order val="4"/>
          <c:tx>
            <c:strRef>
              <c:f>'W-WZC TL'!$H$82</c:f>
              <c:strCache>
                <c:ptCount val="1"/>
                <c:pt idx="0">
                  <c:v>tweepersoonskamer site 2013</c:v>
                </c:pt>
              </c:strCache>
            </c:strRef>
          </c:tx>
          <c:spPr>
            <a:ln w="12700">
              <a:solidFill>
                <a:srgbClr val="800080"/>
              </a:solidFill>
              <a:prstDash val="solid"/>
            </a:ln>
          </c:spPr>
          <c:marker>
            <c:symbol val="star"/>
            <c:size val="5"/>
            <c:spPr>
              <a:noFill/>
              <a:ln>
                <a:solidFill>
                  <a:srgbClr val="800080"/>
                </a:solidFill>
                <a:prstDash val="solid"/>
              </a:ln>
            </c:spPr>
          </c:marker>
          <c:cat>
            <c:strRef>
              <c:f>'W-WZC TL'!$I$77:$N$77</c:f>
              <c:strCache>
                <c:ptCount val="6"/>
                <c:pt idx="0">
                  <c:v>2017</c:v>
                </c:pt>
                <c:pt idx="1">
                  <c:v>2018</c:v>
                </c:pt>
                <c:pt idx="2">
                  <c:v>2019</c:v>
                </c:pt>
                <c:pt idx="3">
                  <c:v>2020</c:v>
                </c:pt>
                <c:pt idx="4">
                  <c:v>2021</c:v>
                </c:pt>
                <c:pt idx="5">
                  <c:v>2022</c:v>
                </c:pt>
              </c:strCache>
            </c:strRef>
          </c:cat>
          <c:val>
            <c:numRef>
              <c:f>'W-WZC TL'!$I$82:$N$82</c:f>
              <c:numCache>
                <c:formatCode>General</c:formatCode>
                <c:ptCount val="6"/>
                <c:pt idx="0">
                  <c:v>46.75</c:v>
                </c:pt>
                <c:pt idx="1">
                  <c:v>47.46</c:v>
                </c:pt>
                <c:pt idx="2">
                  <c:v>48.58</c:v>
                </c:pt>
                <c:pt idx="3">
                  <c:v>48.97</c:v>
                </c:pt>
                <c:pt idx="4">
                  <c:v>49.41</c:v>
                </c:pt>
                <c:pt idx="5">
                  <c:v>54.94</c:v>
                </c:pt>
              </c:numCache>
            </c:numRef>
          </c:val>
          <c:smooth val="0"/>
          <c:extLst>
            <c:ext xmlns:c16="http://schemas.microsoft.com/office/drawing/2014/chart" uri="{C3380CC4-5D6E-409C-BE32-E72D297353CC}">
              <c16:uniqueId val="{00000004-5382-4EC5-88FC-2CD7AC3E9202}"/>
            </c:ext>
          </c:extLst>
        </c:ser>
        <c:ser>
          <c:idx val="6"/>
          <c:order val="5"/>
          <c:tx>
            <c:strRef>
              <c:f>'W-WZC TL'!$H$83</c:f>
              <c:strCache>
                <c:ptCount val="1"/>
                <c:pt idx="0">
                  <c:v>echtparenprijs site 2013</c:v>
                </c:pt>
              </c:strCache>
            </c:strRef>
          </c:tx>
          <c:cat>
            <c:strRef>
              <c:f>'W-WZC TL'!$I$77:$N$77</c:f>
              <c:strCache>
                <c:ptCount val="6"/>
                <c:pt idx="0">
                  <c:v>2017</c:v>
                </c:pt>
                <c:pt idx="1">
                  <c:v>2018</c:v>
                </c:pt>
                <c:pt idx="2">
                  <c:v>2019</c:v>
                </c:pt>
                <c:pt idx="3">
                  <c:v>2020</c:v>
                </c:pt>
                <c:pt idx="4">
                  <c:v>2021</c:v>
                </c:pt>
                <c:pt idx="5">
                  <c:v>2022</c:v>
                </c:pt>
              </c:strCache>
            </c:strRef>
          </c:cat>
          <c:val>
            <c:numRef>
              <c:f>'W-WZC TL'!$I$83:$N$83</c:f>
              <c:numCache>
                <c:formatCode>General</c:formatCode>
                <c:ptCount val="6"/>
                <c:pt idx="0">
                  <c:v>40.5</c:v>
                </c:pt>
                <c:pt idx="1">
                  <c:v>41.12</c:v>
                </c:pt>
                <c:pt idx="2">
                  <c:v>42.09</c:v>
                </c:pt>
                <c:pt idx="3">
                  <c:v>42.43</c:v>
                </c:pt>
                <c:pt idx="4">
                  <c:v>42.81</c:v>
                </c:pt>
                <c:pt idx="5">
                  <c:v>47.69</c:v>
                </c:pt>
              </c:numCache>
            </c:numRef>
          </c:val>
          <c:smooth val="0"/>
          <c:extLst>
            <c:ext xmlns:c16="http://schemas.microsoft.com/office/drawing/2014/chart" uri="{C3380CC4-5D6E-409C-BE32-E72D297353CC}">
              <c16:uniqueId val="{00000005-5382-4EC5-88FC-2CD7AC3E9202}"/>
            </c:ext>
          </c:extLst>
        </c:ser>
        <c:dLbls>
          <c:showLegendKey val="0"/>
          <c:showVal val="0"/>
          <c:showCatName val="0"/>
          <c:showSerName val="0"/>
          <c:showPercent val="0"/>
          <c:showBubbleSize val="0"/>
        </c:dLbls>
        <c:marker val="1"/>
        <c:smooth val="0"/>
        <c:axId val="186371072"/>
        <c:axId val="186376960"/>
      </c:lineChart>
      <c:catAx>
        <c:axId val="186371072"/>
        <c:scaling>
          <c:orientation val="minMax"/>
        </c:scaling>
        <c:delete val="0"/>
        <c:axPos val="b"/>
        <c:numFmt formatCode="yyyy"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376960"/>
        <c:crosses val="autoZero"/>
        <c:auto val="1"/>
        <c:lblAlgn val="ctr"/>
        <c:lblOffset val="100"/>
        <c:tickLblSkip val="1"/>
        <c:tickMarkSkip val="1"/>
        <c:noMultiLvlLbl val="0"/>
      </c:catAx>
      <c:valAx>
        <c:axId val="186376960"/>
        <c:scaling>
          <c:orientation val="minMax"/>
          <c:min val="30"/>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8637107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horizontalDpi="0"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'8440'!#REF!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76E-4372-8FDB-91CFF4C38C4B}"/>
            </c:ext>
          </c:extLst>
        </c:ser>
        <c:ser>
          <c:idx val="1"/>
          <c:order val="1"/>
          <c:spPr>
            <a:solidFill>
              <a:srgbClr val="993366"/>
            </a:solidFill>
            <a:ln w="12700">
              <a:solidFill>
                <a:srgbClr val="000000"/>
              </a:solidFill>
              <a:prstDash val="solid"/>
            </a:ln>
          </c:spPr>
          <c:invertIfNegative val="0"/>
          <c:val>
            <c:numRef>
              <c:f>'8440'!#REF!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76E-4372-8FDB-91CFF4C38C4B}"/>
            </c:ext>
          </c:extLst>
        </c:ser>
        <c:dLbls>
          <c:showLegendKey val="0"/>
          <c:showVal val="0"/>
          <c:showCatName val="0"/>
          <c:showSerName val="0"/>
          <c:showPercent val="0"/>
          <c:showBubbleSize val="0"/>
        </c:dLbls>
        <c:gapWidth val="150"/>
        <c:shape val="box"/>
        <c:axId val="167253504"/>
        <c:axId val="167255040"/>
        <c:axId val="0"/>
      </c:bar3DChart>
      <c:catAx>
        <c:axId val="16725350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255040"/>
        <c:crosses val="autoZero"/>
        <c:auto val="1"/>
        <c:lblAlgn val="ctr"/>
        <c:lblOffset val="100"/>
        <c:tickLblSkip val="1"/>
        <c:tickMarkSkip val="1"/>
        <c:noMultiLvlLbl val="0"/>
      </c:catAx>
      <c:valAx>
        <c:axId val="1672550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253504"/>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12B9-4472-ADAE-075FFCF32BB8}"/>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2B9-4472-ADAE-075FFCF32BB8}"/>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12B9-4472-ADAE-075FFCF32BB8}"/>
            </c:ext>
          </c:extLst>
        </c:ser>
        <c:dLbls>
          <c:showLegendKey val="0"/>
          <c:showVal val="0"/>
          <c:showCatName val="0"/>
          <c:showSerName val="0"/>
          <c:showPercent val="0"/>
          <c:showBubbleSize val="0"/>
        </c:dLbls>
        <c:marker val="1"/>
        <c:smooth val="0"/>
        <c:axId val="167306752"/>
        <c:axId val="167308672"/>
      </c:lineChart>
      <c:catAx>
        <c:axId val="1673067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308672"/>
        <c:crosses val="autoZero"/>
        <c:auto val="1"/>
        <c:lblAlgn val="ctr"/>
        <c:lblOffset val="100"/>
        <c:tickLblSkip val="1"/>
        <c:tickMarkSkip val="1"/>
        <c:noMultiLvlLbl val="0"/>
      </c:catAx>
      <c:valAx>
        <c:axId val="16730867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306752"/>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1AC4-4011-93AC-27DB85348768}"/>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'8440'!#REF!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AC4-4011-93AC-27DB85348768}"/>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400-4A41-8843-3405E71EE38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'8440'!#REF!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'8440'!#REF!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400-4A41-8843-3405E71EE38C}"/>
            </c:ext>
          </c:extLst>
        </c:ser>
        <c:dLbls>
          <c:showLegendKey val="0"/>
          <c:showVal val="0"/>
          <c:showCatName val="0"/>
          <c:showSerName val="0"/>
          <c:showPercent val="0"/>
          <c:showBubbleSize val="0"/>
        </c:dLbls>
        <c:marker val="1"/>
        <c:smooth val="0"/>
        <c:axId val="167444864"/>
        <c:axId val="167446784"/>
      </c:lineChart>
      <c:catAx>
        <c:axId val="16744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446784"/>
        <c:crosses val="autoZero"/>
        <c:auto val="1"/>
        <c:lblAlgn val="ctr"/>
        <c:lblOffset val="100"/>
        <c:tickLblSkip val="1"/>
        <c:tickMarkSkip val="1"/>
        <c:noMultiLvlLbl val="0"/>
      </c:catAx>
      <c:valAx>
        <c:axId val="16744678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44486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E29E-48D0-A491-EF37C4F7984A}"/>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'8440'!#REF!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29E-48D0-A491-EF37C4F7984A}"/>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1F09-4688-842F-AA5967335AD2}"/>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'8440'!#REF!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'8440'!#REF!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F09-4688-842F-AA5967335AD2}"/>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356517951953011E-2"/>
          <c:y val="0.1116751269035533"/>
          <c:w val="0.54023109786076207"/>
          <c:h val="0.7208121827411168"/>
        </c:manualLayout>
      </c:layout>
      <c:barChart>
        <c:barDir val="col"/>
        <c:grouping val="clustered"/>
        <c:varyColors val="0"/>
        <c:ser>
          <c:idx val="0"/>
          <c:order val="0"/>
          <c:tx>
            <c:strRef>
              <c:f>'W-GEZINSHULP'!$A$41</c:f>
              <c:strCache>
                <c:ptCount val="1"/>
                <c:pt idx="0">
                  <c:v>Aantal gezinnen poetsdienst (jaar)</c:v>
                </c:pt>
              </c:strCache>
            </c:strRef>
          </c:tx>
          <c:spPr>
            <a:solidFill>
              <a:srgbClr val="9999FF"/>
            </a:solidFill>
            <a:ln w="12700">
              <a:solidFill>
                <a:srgbClr val="000000"/>
              </a:solidFill>
              <a:prstDash val="solid"/>
            </a:ln>
          </c:spPr>
          <c:invertIfNegative val="0"/>
          <c:cat>
            <c:strRef>
              <c:f>'W-GEZINSHULP'!$B$40:$F$40</c:f>
              <c:strCache>
                <c:ptCount val="5"/>
                <c:pt idx="0">
                  <c:v>2017</c:v>
                </c:pt>
                <c:pt idx="1">
                  <c:v>2018</c:v>
                </c:pt>
                <c:pt idx="2">
                  <c:v>2019</c:v>
                </c:pt>
                <c:pt idx="3">
                  <c:v>2020</c:v>
                </c:pt>
                <c:pt idx="4">
                  <c:v>2021</c:v>
                </c:pt>
              </c:strCache>
            </c:strRef>
          </c:cat>
          <c:val>
            <c:numRef>
              <c:f>'W-GEZINSHULP'!$B$41:$F$41</c:f>
              <c:numCache>
                <c:formatCode>#,##0</c:formatCode>
                <c:ptCount val="5"/>
                <c:pt idx="0">
                  <c:v>100</c:v>
                </c:pt>
                <c:pt idx="1">
                  <c:v>108</c:v>
                </c:pt>
                <c:pt idx="2">
                  <c:v>79</c:v>
                </c:pt>
                <c:pt idx="3">
                  <c:v>62</c:v>
                </c:pt>
                <c:pt idx="4">
                  <c:v>0</c:v>
                </c:pt>
              </c:numCache>
            </c:numRef>
          </c:val>
          <c:extLst>
            <c:ext xmlns:c16="http://schemas.microsoft.com/office/drawing/2014/chart" uri="{C3380CC4-5D6E-409C-BE32-E72D297353CC}">
              <c16:uniqueId val="{00000000-98F4-4F22-A048-F3F190D1A254}"/>
            </c:ext>
          </c:extLst>
        </c:ser>
        <c:ser>
          <c:idx val="1"/>
          <c:order val="1"/>
          <c:tx>
            <c:strRef>
              <c:f>'W-GEZINSHULP'!$A$42</c:f>
              <c:strCache>
                <c:ptCount val="1"/>
                <c:pt idx="0">
                  <c:v>Aantal gezinnen poetsdienst (31/12)</c:v>
                </c:pt>
              </c:strCache>
            </c:strRef>
          </c:tx>
          <c:spPr>
            <a:solidFill>
              <a:srgbClr val="993366"/>
            </a:solidFill>
            <a:ln w="12700">
              <a:solidFill>
                <a:srgbClr val="000000"/>
              </a:solidFill>
              <a:prstDash val="solid"/>
            </a:ln>
          </c:spPr>
          <c:invertIfNegative val="0"/>
          <c:cat>
            <c:strRef>
              <c:f>'W-GEZINSHULP'!$B$40:$F$40</c:f>
              <c:strCache>
                <c:ptCount val="5"/>
                <c:pt idx="0">
                  <c:v>2017</c:v>
                </c:pt>
                <c:pt idx="1">
                  <c:v>2018</c:v>
                </c:pt>
                <c:pt idx="2">
                  <c:v>2019</c:v>
                </c:pt>
                <c:pt idx="3">
                  <c:v>2020</c:v>
                </c:pt>
                <c:pt idx="4">
                  <c:v>2021</c:v>
                </c:pt>
              </c:strCache>
            </c:strRef>
          </c:cat>
          <c:val>
            <c:numRef>
              <c:f>'W-GEZINSHULP'!$B$42:$F$42</c:f>
              <c:numCache>
                <c:formatCode>#,##0</c:formatCode>
                <c:ptCount val="5"/>
                <c:pt idx="0">
                  <c:v>73</c:v>
                </c:pt>
                <c:pt idx="1">
                  <c:v>72</c:v>
                </c:pt>
                <c:pt idx="2">
                  <c:v>60</c:v>
                </c:pt>
                <c:pt idx="3">
                  <c:v>0</c:v>
                </c:pt>
                <c:pt idx="4">
                  <c:v>0</c:v>
                </c:pt>
              </c:numCache>
            </c:numRef>
          </c:val>
          <c:extLst>
            <c:ext xmlns:c16="http://schemas.microsoft.com/office/drawing/2014/chart" uri="{C3380CC4-5D6E-409C-BE32-E72D297353CC}">
              <c16:uniqueId val="{00000001-98F4-4F22-A048-F3F190D1A254}"/>
            </c:ext>
          </c:extLst>
        </c:ser>
        <c:dLbls>
          <c:showLegendKey val="0"/>
          <c:showVal val="0"/>
          <c:showCatName val="0"/>
          <c:showSerName val="0"/>
          <c:showPercent val="0"/>
          <c:showBubbleSize val="0"/>
        </c:dLbls>
        <c:gapWidth val="150"/>
        <c:axId val="167881728"/>
        <c:axId val="167891712"/>
      </c:barChart>
      <c:catAx>
        <c:axId val="167881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891712"/>
        <c:crosses val="autoZero"/>
        <c:auto val="1"/>
        <c:lblAlgn val="ctr"/>
        <c:lblOffset val="100"/>
        <c:tickLblSkip val="1"/>
        <c:tickMarkSkip val="1"/>
        <c:noMultiLvlLbl val="0"/>
      </c:catAx>
      <c:valAx>
        <c:axId val="1678917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881728"/>
        <c:crosses val="autoZero"/>
        <c:crossBetween val="between"/>
      </c:valAx>
      <c:spPr>
        <a:solidFill>
          <a:srgbClr val="C0C0C0"/>
        </a:solidFill>
        <a:ln w="12700">
          <a:solidFill>
            <a:srgbClr val="808080"/>
          </a:solidFill>
          <a:prstDash val="solid"/>
        </a:ln>
      </c:spPr>
    </c:plotArea>
    <c:legend>
      <c:legendPos val="r"/>
      <c:layout>
        <c:manualLayout>
          <c:xMode val="edge"/>
          <c:yMode val="edge"/>
          <c:x val="0.64719626168224298"/>
          <c:y val="0.31550802139037432"/>
          <c:w val="0.33411214953271029"/>
          <c:h val="0.3636363636363635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Aantal uren geleverde prestaties poetsdienst</a:t>
            </a:r>
          </a:p>
        </c:rich>
      </c:tx>
      <c:layout>
        <c:manualLayout>
          <c:xMode val="edge"/>
          <c:yMode val="edge"/>
          <c:x val="0.3109048723897912"/>
          <c:y val="4.5685011298721351E-2"/>
        </c:manualLayout>
      </c:layout>
      <c:overlay val="0"/>
      <c:spPr>
        <a:noFill/>
        <a:ln w="25400">
          <a:noFill/>
        </a:ln>
      </c:spPr>
    </c:title>
    <c:autoTitleDeleted val="0"/>
    <c:plotArea>
      <c:layout>
        <c:manualLayout>
          <c:layoutTarget val="inner"/>
          <c:xMode val="edge"/>
          <c:yMode val="edge"/>
          <c:x val="0.11136890951276102"/>
          <c:y val="0.22842639593908629"/>
          <c:w val="0.85614849187935038"/>
          <c:h val="0.60406091370558379"/>
        </c:manualLayout>
      </c:layout>
      <c:lineChart>
        <c:grouping val="standard"/>
        <c:varyColors val="0"/>
        <c:ser>
          <c:idx val="0"/>
          <c:order val="0"/>
          <c:tx>
            <c:strRef>
              <c:f>'W-GEZINSHULP'!$A$43</c:f>
              <c:strCache>
                <c:ptCount val="1"/>
                <c:pt idx="0">
                  <c:v>Aantal uren geleverde prestaties</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'W-GEZINSHULP'!$B$40:$F$40</c:f>
              <c:strCache>
                <c:ptCount val="5"/>
                <c:pt idx="0">
                  <c:v>2017</c:v>
                </c:pt>
                <c:pt idx="1">
                  <c:v>2018</c:v>
                </c:pt>
                <c:pt idx="2">
                  <c:v>2019</c:v>
                </c:pt>
                <c:pt idx="3">
                  <c:v>2020</c:v>
                </c:pt>
                <c:pt idx="4">
                  <c:v>2021</c:v>
                </c:pt>
              </c:strCache>
            </c:strRef>
          </c:cat>
          <c:val>
            <c:numRef>
              <c:f>'W-GEZINSHULP'!$B$43:$F$43</c:f>
              <c:numCache>
                <c:formatCode>#,##0</c:formatCode>
                <c:ptCount val="5"/>
                <c:pt idx="0">
                  <c:v>8206.5</c:v>
                </c:pt>
                <c:pt idx="1">
                  <c:v>8165.5</c:v>
                </c:pt>
                <c:pt idx="2">
                  <c:v>6858.5</c:v>
                </c:pt>
                <c:pt idx="3">
                  <c:v>4190.75</c:v>
                </c:pt>
                <c:pt idx="4">
                  <c:v>0</c:v>
                </c:pt>
              </c:numCache>
            </c:numRef>
          </c:val>
          <c:smooth val="0"/>
          <c:extLst>
            <c:ext xmlns:c16="http://schemas.microsoft.com/office/drawing/2014/chart" uri="{C3380CC4-5D6E-409C-BE32-E72D297353CC}">
              <c16:uniqueId val="{00000000-D86B-4C04-A29E-ED2D4D4F08FF}"/>
            </c:ext>
          </c:extLst>
        </c:ser>
        <c:dLbls>
          <c:showLegendKey val="0"/>
          <c:showVal val="0"/>
          <c:showCatName val="0"/>
          <c:showSerName val="0"/>
          <c:showPercent val="0"/>
          <c:showBubbleSize val="0"/>
        </c:dLbls>
        <c:marker val="1"/>
        <c:smooth val="0"/>
        <c:axId val="167584128"/>
        <c:axId val="167586048"/>
      </c:lineChart>
      <c:catAx>
        <c:axId val="1675841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586048"/>
        <c:crosses val="autoZero"/>
        <c:auto val="1"/>
        <c:lblAlgn val="ctr"/>
        <c:lblOffset val="100"/>
        <c:tickLblSkip val="1"/>
        <c:tickMarkSkip val="1"/>
        <c:noMultiLvlLbl val="0"/>
      </c:catAx>
      <c:valAx>
        <c:axId val="1675860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58412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Algemene Cijfers</a:t>
            </a:r>
          </a:p>
        </c:rich>
      </c:tx>
      <c:overlay val="0"/>
    </c:title>
    <c:autoTitleDeleted val="0"/>
    <c:plotArea>
      <c:layout/>
      <c:barChart>
        <c:barDir val="col"/>
        <c:grouping val="stacked"/>
        <c:varyColors val="0"/>
        <c:ser>
          <c:idx val="0"/>
          <c:order val="0"/>
          <c:tx>
            <c:v>Volwassenen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108</c:v>
              </c:pt>
              <c:pt idx="1">
                <c:v>81</c:v>
              </c:pt>
              <c:pt idx="2">
                <c:v>71</c:v>
              </c:pt>
              <c:pt idx="3">
                <c:v>196</c:v>
              </c:pt>
              <c:pt idx="4">
                <c:v>165</c:v>
              </c:pt>
              <c:pt idx="5">
                <c:v>159</c:v>
              </c:pt>
              <c:pt idx="6">
                <c:v>221</c:v>
              </c:pt>
              <c:pt idx="7">
                <c:v>294</c:v>
              </c:pt>
              <c:pt idx="8">
                <c:v>188</c:v>
              </c:pt>
              <c:pt idx="9">
                <c:v>109</c:v>
              </c:pt>
              <c:pt idx="10">
                <c:v>150</c:v>
              </c:pt>
              <c:pt idx="11">
                <c:v>60</c:v>
              </c:pt>
            </c:numLit>
          </c:val>
          <c:extLst>
            <c:ext xmlns:c16="http://schemas.microsoft.com/office/drawing/2014/chart" uri="{C3380CC4-5D6E-409C-BE32-E72D297353CC}">
              <c16:uniqueId val="{00000000-3360-4DC9-8304-DF83E5052FFD}"/>
            </c:ext>
          </c:extLst>
        </c:ser>
        <c:ser>
          <c:idx val="1"/>
          <c:order val="1"/>
          <c:tx>
            <c:v>Senioren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50</c:v>
              </c:pt>
              <c:pt idx="2">
                <c:v>63</c:v>
              </c:pt>
              <c:pt idx="3">
                <c:v>129</c:v>
              </c:pt>
              <c:pt idx="4">
                <c:v>189</c:v>
              </c:pt>
              <c:pt idx="5">
                <c:v>197</c:v>
              </c:pt>
              <c:pt idx="6">
                <c:v>159</c:v>
              </c:pt>
              <c:pt idx="7">
                <c:v>227</c:v>
              </c:pt>
              <c:pt idx="8">
                <c:v>221</c:v>
              </c:pt>
              <c:pt idx="9">
                <c:v>210</c:v>
              </c:pt>
              <c:pt idx="10">
                <c:v>150</c:v>
              </c:pt>
              <c:pt idx="11">
                <c:v>84</c:v>
              </c:pt>
            </c:numLit>
          </c:val>
          <c:extLst>
            <c:ext xmlns:c16="http://schemas.microsoft.com/office/drawing/2014/chart" uri="{C3380CC4-5D6E-409C-BE32-E72D297353CC}">
              <c16:uniqueId val="{00000001-3360-4DC9-8304-DF83E5052FFD}"/>
            </c:ext>
          </c:extLst>
        </c:ser>
        <c:ser>
          <c:idx val="2"/>
          <c:order val="2"/>
          <c:tx>
            <c:v>7 - 18 jaar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9</c:v>
              </c:pt>
              <c:pt idx="2">
                <c:v>17</c:v>
              </c:pt>
              <c:pt idx="3">
                <c:v>34</c:v>
              </c:pt>
              <c:pt idx="4">
                <c:v>5</c:v>
              </c:pt>
              <c:pt idx="5">
                <c:v>7</c:v>
              </c:pt>
              <c:pt idx="6">
                <c:v>63</c:v>
              </c:pt>
              <c:pt idx="7">
                <c:v>76</c:v>
              </c:pt>
              <c:pt idx="8">
                <c:v>8</c:v>
              </c:pt>
              <c:pt idx="9">
                <c:v>20</c:v>
              </c:pt>
              <c:pt idx="10">
                <c:v>23</c:v>
              </c:pt>
              <c:pt idx="11">
                <c:v>9</c:v>
              </c:pt>
            </c:numLit>
          </c:val>
          <c:extLst>
            <c:ext xmlns:c16="http://schemas.microsoft.com/office/drawing/2014/chart" uri="{C3380CC4-5D6E-409C-BE32-E72D297353CC}">
              <c16:uniqueId val="{00000002-3360-4DC9-8304-DF83E5052FFD}"/>
            </c:ext>
          </c:extLst>
        </c:ser>
        <c:ser>
          <c:idx val="3"/>
          <c:order val="3"/>
          <c:tx>
            <c:v>&lt; 7 jaar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3-3360-4DC9-8304-DF83E5052FFD}"/>
            </c:ext>
          </c:extLst>
        </c:ser>
        <c:ser>
          <c:idx val="4"/>
          <c:order val="4"/>
          <c:tx>
            <c:v>reductietarief (ind)</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28</c:v>
              </c:pt>
              <c:pt idx="2">
                <c:v>53</c:v>
              </c:pt>
              <c:pt idx="3">
                <c:v>195</c:v>
              </c:pt>
              <c:pt idx="4">
                <c:v>44</c:v>
              </c:pt>
              <c:pt idx="5">
                <c:v>43</c:v>
              </c:pt>
              <c:pt idx="6">
                <c:v>75</c:v>
              </c:pt>
              <c:pt idx="7">
                <c:v>178</c:v>
              </c:pt>
              <c:pt idx="8">
                <c:v>49</c:v>
              </c:pt>
              <c:pt idx="9">
                <c:v>73</c:v>
              </c:pt>
              <c:pt idx="10">
                <c:v>67</c:v>
              </c:pt>
              <c:pt idx="11">
                <c:v>51</c:v>
              </c:pt>
            </c:numLit>
          </c:val>
          <c:extLst>
            <c:ext xmlns:c16="http://schemas.microsoft.com/office/drawing/2014/chart" uri="{C3380CC4-5D6E-409C-BE32-E72D297353CC}">
              <c16:uniqueId val="{00000004-3360-4DC9-8304-DF83E5052FFD}"/>
            </c:ext>
          </c:extLst>
        </c:ser>
        <c:ser>
          <c:idx val="5"/>
          <c:order val="5"/>
          <c:tx>
            <c:v>Volwassenen (groep)</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57</c:v>
              </c:pt>
              <c:pt idx="1">
                <c:v>0</c:v>
              </c:pt>
              <c:pt idx="2">
                <c:v>23</c:v>
              </c:pt>
              <c:pt idx="3">
                <c:v>117</c:v>
              </c:pt>
              <c:pt idx="4">
                <c:v>202</c:v>
              </c:pt>
              <c:pt idx="5">
                <c:v>223</c:v>
              </c:pt>
              <c:pt idx="6">
                <c:v>34</c:v>
              </c:pt>
              <c:pt idx="7">
                <c:v>32</c:v>
              </c:pt>
              <c:pt idx="8">
                <c:v>58</c:v>
              </c:pt>
              <c:pt idx="9">
                <c:v>177</c:v>
              </c:pt>
              <c:pt idx="10">
                <c:v>0</c:v>
              </c:pt>
              <c:pt idx="11">
                <c:v>0</c:v>
              </c:pt>
            </c:numLit>
          </c:val>
          <c:extLst>
            <c:ext xmlns:c16="http://schemas.microsoft.com/office/drawing/2014/chart" uri="{C3380CC4-5D6E-409C-BE32-E72D297353CC}">
              <c16:uniqueId val="{00000005-3360-4DC9-8304-DF83E5052FFD}"/>
            </c:ext>
          </c:extLst>
        </c:ser>
        <c:ser>
          <c:idx val="6"/>
          <c:order val="6"/>
          <c:tx>
            <c:v>School (groep)</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8</c:v>
              </c:pt>
              <c:pt idx="2">
                <c:v>21</c:v>
              </c:pt>
              <c:pt idx="3">
                <c:v>146</c:v>
              </c:pt>
              <c:pt idx="4">
                <c:v>11</c:v>
              </c:pt>
              <c:pt idx="5">
                <c:v>19</c:v>
              </c:pt>
              <c:pt idx="6">
                <c:v>0</c:v>
              </c:pt>
              <c:pt idx="7">
                <c:v>0</c:v>
              </c:pt>
              <c:pt idx="8">
                <c:v>22</c:v>
              </c:pt>
              <c:pt idx="9">
                <c:v>2</c:v>
              </c:pt>
              <c:pt idx="10">
                <c:v>4</c:v>
              </c:pt>
              <c:pt idx="11">
                <c:v>1</c:v>
              </c:pt>
            </c:numLit>
          </c:val>
          <c:extLst>
            <c:ext xmlns:c16="http://schemas.microsoft.com/office/drawing/2014/chart" uri="{C3380CC4-5D6E-409C-BE32-E72D297353CC}">
              <c16:uniqueId val="{00000006-3360-4DC9-8304-DF83E5052FFD}"/>
            </c:ext>
          </c:extLst>
        </c:ser>
        <c:ser>
          <c:idx val="7"/>
          <c:order val="7"/>
          <c:tx>
            <c:v>Gratis</c:v>
          </c:tx>
          <c:invertIfNegative val="0"/>
          <c:cat>
            <c:numLit>
              <c:formatCode>General</c:formatCode>
              <c:ptCount val="12"/>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numLit>
          </c:cat>
          <c:val>
            <c:numLit>
              <c:formatCode>General</c:formatCode>
              <c:ptCount val="12"/>
              <c:pt idx="0">
                <c:v>0</c:v>
              </c:pt>
              <c:pt idx="1">
                <c:v>0</c:v>
              </c:pt>
              <c:pt idx="2">
                <c:v>1</c:v>
              </c:pt>
              <c:pt idx="3">
                <c:v>10</c:v>
              </c:pt>
              <c:pt idx="4">
                <c:v>3</c:v>
              </c:pt>
              <c:pt idx="5">
                <c:v>7</c:v>
              </c:pt>
              <c:pt idx="6">
                <c:v>16</c:v>
              </c:pt>
              <c:pt idx="7">
                <c:v>17</c:v>
              </c:pt>
              <c:pt idx="8">
                <c:v>35</c:v>
              </c:pt>
              <c:pt idx="9">
                <c:v>5</c:v>
              </c:pt>
              <c:pt idx="10">
                <c:v>3</c:v>
              </c:pt>
              <c:pt idx="11">
                <c:v>4</c:v>
              </c:pt>
            </c:numLit>
          </c:val>
          <c:extLst>
            <c:ext xmlns:c16="http://schemas.microsoft.com/office/drawing/2014/chart" uri="{C3380CC4-5D6E-409C-BE32-E72D297353CC}">
              <c16:uniqueId val="{00000007-3360-4DC9-8304-DF83E5052FFD}"/>
            </c:ext>
          </c:extLst>
        </c:ser>
        <c:dLbls>
          <c:showLegendKey val="0"/>
          <c:showVal val="0"/>
          <c:showCatName val="0"/>
          <c:showSerName val="0"/>
          <c:showPercent val="0"/>
          <c:showBubbleSize val="0"/>
        </c:dLbls>
        <c:gapWidth val="55"/>
        <c:overlap val="100"/>
        <c:axId val="677264048"/>
        <c:axId val="1"/>
      </c:barChart>
      <c:catAx>
        <c:axId val="677264048"/>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64048"/>
        <c:crosses val="autoZero"/>
        <c:crossBetween val="between"/>
      </c:valAx>
    </c:plotArea>
    <c:legend>
      <c:legendPos val="r"/>
      <c:layout>
        <c:manualLayout>
          <c:xMode val="edge"/>
          <c:yMode val="edge"/>
          <c:x val="0.68709040472785543"/>
          <c:y val="0.20973861413390743"/>
          <c:w val="0.29759322754239959"/>
          <c:h val="0.72284919441249618"/>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12339222614840988"/>
          <c:y val="4.5685011298721351E-2"/>
        </c:manualLayout>
      </c:layout>
      <c:overlay val="0"/>
      <c:spPr>
        <a:noFill/>
        <a:ln w="25400">
          <a:noFill/>
        </a:ln>
      </c:spPr>
      <c:txPr>
        <a:bodyPr/>
        <a:lstStyle/>
        <a:p>
          <a:pPr>
            <a:defRPr sz="960" b="0" i="0" u="none" strike="noStrike" baseline="0">
              <a:solidFill>
                <a:srgbClr val="000000"/>
              </a:solidFill>
              <a:latin typeface="Calibri"/>
              <a:ea typeface="Calibri"/>
              <a:cs typeface="Calibri"/>
            </a:defRPr>
          </a:pPr>
          <a:endParaRPr lang="nl-BE"/>
        </a:p>
      </c:txPr>
    </c:title>
    <c:autoTitleDeleted val="0"/>
    <c:plotArea>
      <c:layout>
        <c:manualLayout>
          <c:layoutTarget val="inner"/>
          <c:xMode val="edge"/>
          <c:yMode val="edge"/>
          <c:x val="8.0459950745219888E-2"/>
          <c:y val="0.22842639593908629"/>
          <c:w val="0.88735831393299647"/>
          <c:h val="0.60406091370558379"/>
        </c:manualLayout>
      </c:layout>
      <c:lineChart>
        <c:grouping val="standard"/>
        <c:varyColors val="0"/>
        <c:ser>
          <c:idx val="0"/>
          <c:order val="0"/>
          <c:tx>
            <c:strRef>
              <c:f>'W-GEZINSHULP'!$A$46</c:f>
              <c:strCache>
                <c:ptCount val="1"/>
                <c:pt idx="0">
                  <c:v>Gemiddeld aangerekend tarief per uur</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dLbls>
            <c:numFmt formatCode="#,##0.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'W-GEZINSHULP'!$B$40:$F$40</c:f>
              <c:strCache>
                <c:ptCount val="5"/>
                <c:pt idx="0">
                  <c:v>2017</c:v>
                </c:pt>
                <c:pt idx="1">
                  <c:v>2018</c:v>
                </c:pt>
                <c:pt idx="2">
                  <c:v>2019</c:v>
                </c:pt>
                <c:pt idx="3">
                  <c:v>2020</c:v>
                </c:pt>
                <c:pt idx="4">
                  <c:v>2021</c:v>
                </c:pt>
              </c:strCache>
            </c:strRef>
          </c:cat>
          <c:val>
            <c:numRef>
              <c:f>'W-GEZINSHULP'!$B$46:$F$46</c:f>
              <c:numCache>
                <c:formatCode>#,##0.00</c:formatCode>
                <c:ptCount val="5"/>
                <c:pt idx="0">
                  <c:v>8.8721440321696221</c:v>
                </c:pt>
                <c:pt idx="1">
                  <c:v>9.5542795909619738</c:v>
                </c:pt>
                <c:pt idx="2">
                  <c:v>9.8669679959174754</c:v>
                </c:pt>
                <c:pt idx="3">
                  <c:v>9.8265823539939152</c:v>
                </c:pt>
                <c:pt idx="4">
                  <c:v>0</c:v>
                </c:pt>
              </c:numCache>
            </c:numRef>
          </c:val>
          <c:smooth val="0"/>
          <c:extLst>
            <c:ext xmlns:c16="http://schemas.microsoft.com/office/drawing/2014/chart" uri="{C3380CC4-5D6E-409C-BE32-E72D297353CC}">
              <c16:uniqueId val="{00000000-4DD6-4027-8BA4-88992B741AF2}"/>
            </c:ext>
          </c:extLst>
        </c:ser>
        <c:dLbls>
          <c:showLegendKey val="0"/>
          <c:showVal val="0"/>
          <c:showCatName val="0"/>
          <c:showSerName val="0"/>
          <c:showPercent val="0"/>
          <c:showBubbleSize val="0"/>
        </c:dLbls>
        <c:marker val="1"/>
        <c:smooth val="0"/>
        <c:axId val="167615104"/>
        <c:axId val="167637376"/>
      </c:lineChart>
      <c:catAx>
        <c:axId val="167615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637376"/>
        <c:crosses val="autoZero"/>
        <c:auto val="1"/>
        <c:lblAlgn val="ctr"/>
        <c:lblOffset val="100"/>
        <c:tickLblSkip val="1"/>
        <c:tickMarkSkip val="1"/>
        <c:noMultiLvlLbl val="0"/>
      </c:catAx>
      <c:valAx>
        <c:axId val="167637376"/>
        <c:scaling>
          <c:orientation val="minMax"/>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6151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635353872536507"/>
          <c:y val="0.14480104425449494"/>
          <c:w val="0.8111508629999804"/>
          <c:h val="0.57360406091370564"/>
        </c:manualLayout>
      </c:layout>
      <c:barChart>
        <c:barDir val="col"/>
        <c:grouping val="clustered"/>
        <c:varyColors val="0"/>
        <c:ser>
          <c:idx val="0"/>
          <c:order val="0"/>
          <c:tx>
            <c:strRef>
              <c:f>'W-GEZINSHULP'!$A$72</c:f>
              <c:strCache>
                <c:ptCount val="1"/>
                <c:pt idx="0">
                  <c:v>Aantal personen</c:v>
                </c:pt>
              </c:strCache>
            </c:strRef>
          </c:tx>
          <c:invertIfNegative val="0"/>
          <c:cat>
            <c:strRef>
              <c:f>'W-GEZINSHULP'!$B$71:$F$71</c:f>
              <c:strCache>
                <c:ptCount val="5"/>
                <c:pt idx="0">
                  <c:v>2017</c:v>
                </c:pt>
                <c:pt idx="1">
                  <c:v>2018</c:v>
                </c:pt>
                <c:pt idx="2">
                  <c:v>2019</c:v>
                </c:pt>
                <c:pt idx="3">
                  <c:v>2020</c:v>
                </c:pt>
                <c:pt idx="4">
                  <c:v>2021</c:v>
                </c:pt>
              </c:strCache>
            </c:strRef>
          </c:cat>
          <c:val>
            <c:numRef>
              <c:f>'W-GEZINSHULP'!$B$72:$F$72</c:f>
              <c:numCache>
                <c:formatCode>#,##0</c:formatCode>
                <c:ptCount val="5"/>
                <c:pt idx="0">
                  <c:v>105</c:v>
                </c:pt>
                <c:pt idx="1">
                  <c:v>0</c:v>
                </c:pt>
                <c:pt idx="2">
                  <c:v>0</c:v>
                </c:pt>
                <c:pt idx="3">
                  <c:v>0</c:v>
                </c:pt>
                <c:pt idx="4">
                  <c:v>0</c:v>
                </c:pt>
              </c:numCache>
            </c:numRef>
          </c:val>
          <c:extLst>
            <c:ext xmlns:c16="http://schemas.microsoft.com/office/drawing/2014/chart" uri="{C3380CC4-5D6E-409C-BE32-E72D297353CC}">
              <c16:uniqueId val="{00000000-A23E-4303-BD00-615B7BC72366}"/>
            </c:ext>
          </c:extLst>
        </c:ser>
        <c:ser>
          <c:idx val="1"/>
          <c:order val="1"/>
          <c:tx>
            <c:strRef>
              <c:f>'W-GEZINSHULP'!$A$73</c:f>
              <c:strCache>
                <c:ptCount val="1"/>
                <c:pt idx="0">
                  <c:v>Gefactureerde klusjes</c:v>
                </c:pt>
              </c:strCache>
            </c:strRef>
          </c:tx>
          <c:invertIfNegative val="0"/>
          <c:cat>
            <c:strRef>
              <c:f>'W-GEZINSHULP'!$B$71:$F$71</c:f>
              <c:strCache>
                <c:ptCount val="5"/>
                <c:pt idx="0">
                  <c:v>2017</c:v>
                </c:pt>
                <c:pt idx="1">
                  <c:v>2018</c:v>
                </c:pt>
                <c:pt idx="2">
                  <c:v>2019</c:v>
                </c:pt>
                <c:pt idx="3">
                  <c:v>2020</c:v>
                </c:pt>
                <c:pt idx="4">
                  <c:v>2021</c:v>
                </c:pt>
              </c:strCache>
            </c:strRef>
          </c:cat>
          <c:val>
            <c:numRef>
              <c:f>'W-GEZINSHULP'!$B$73:$F$73</c:f>
              <c:numCache>
                <c:formatCode>#,##0</c:formatCode>
                <c:ptCount val="5"/>
                <c:pt idx="0">
                  <c:v>105</c:v>
                </c:pt>
                <c:pt idx="1">
                  <c:v>0</c:v>
                </c:pt>
                <c:pt idx="2">
                  <c:v>0</c:v>
                </c:pt>
                <c:pt idx="3">
                  <c:v>0</c:v>
                </c:pt>
                <c:pt idx="4">
                  <c:v>0</c:v>
                </c:pt>
              </c:numCache>
            </c:numRef>
          </c:val>
          <c:extLst>
            <c:ext xmlns:c16="http://schemas.microsoft.com/office/drawing/2014/chart" uri="{C3380CC4-5D6E-409C-BE32-E72D297353CC}">
              <c16:uniqueId val="{00000001-A23E-4303-BD00-615B7BC72366}"/>
            </c:ext>
          </c:extLst>
        </c:ser>
        <c:dLbls>
          <c:showLegendKey val="0"/>
          <c:showVal val="0"/>
          <c:showCatName val="0"/>
          <c:showSerName val="0"/>
          <c:showPercent val="0"/>
          <c:showBubbleSize val="0"/>
        </c:dLbls>
        <c:gapWidth val="150"/>
        <c:axId val="167724544"/>
        <c:axId val="167726080"/>
      </c:barChart>
      <c:catAx>
        <c:axId val="167724544"/>
        <c:scaling>
          <c:orientation val="minMax"/>
        </c:scaling>
        <c:delete val="0"/>
        <c:axPos val="b"/>
        <c:numFmt formatCode="General" sourceLinked="1"/>
        <c:majorTickMark val="out"/>
        <c:minorTickMark val="none"/>
        <c:tickLblPos val="nextTo"/>
        <c:txPr>
          <a:bodyPr rot="0" vert="horz"/>
          <a:lstStyle/>
          <a:p>
            <a:pPr>
              <a:defRPr/>
            </a:pPr>
            <a:endParaRPr lang="nl-BE"/>
          </a:p>
        </c:txPr>
        <c:crossAx val="167726080"/>
        <c:crosses val="autoZero"/>
        <c:auto val="1"/>
        <c:lblAlgn val="ctr"/>
        <c:lblOffset val="100"/>
        <c:noMultiLvlLbl val="0"/>
      </c:catAx>
      <c:valAx>
        <c:axId val="167726080"/>
        <c:scaling>
          <c:orientation val="minMax"/>
        </c:scaling>
        <c:delete val="0"/>
        <c:axPos val="l"/>
        <c:majorGridlines/>
        <c:numFmt formatCode="#,##0" sourceLinked="1"/>
        <c:majorTickMark val="out"/>
        <c:minorTickMark val="none"/>
        <c:tickLblPos val="nextTo"/>
        <c:txPr>
          <a:bodyPr rot="0" vert="horz"/>
          <a:lstStyle/>
          <a:p>
            <a:pPr>
              <a:defRPr/>
            </a:pPr>
            <a:endParaRPr lang="nl-BE"/>
          </a:p>
        </c:txPr>
        <c:crossAx val="167724544"/>
        <c:crosses val="autoZero"/>
        <c:crossBetween val="between"/>
      </c:valAx>
    </c:plotArea>
    <c:legend>
      <c:legendPos val="b"/>
      <c:layout>
        <c:manualLayout>
          <c:xMode val="edge"/>
          <c:yMode val="edge"/>
          <c:x val="0.17263874434648291"/>
          <c:y val="0.84967619689250073"/>
          <c:w val="0.67467237418265358"/>
          <c:h val="0.12893342877594846"/>
        </c:manualLayout>
      </c:layout>
      <c:overlay val="0"/>
    </c:legend>
    <c:plotVisOnly val="1"/>
    <c:dispBlanksAs val="gap"/>
    <c:showDLblsOverMax val="0"/>
  </c:chart>
  <c:printSettings>
    <c:headerFooter alignWithMargins="0"/>
    <c:pageMargins b="1" l="0.75" r="0.75" t="1" header="0.5" footer="0.5"/>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'W-GEZINSHULP'!$A$22</c:f>
              <c:strCache>
                <c:ptCount val="1"/>
                <c:pt idx="0">
                  <c:v>Aantal personen mantelzorgtoelage (31/12)</c:v>
                </c:pt>
              </c:strCache>
            </c:strRef>
          </c:tx>
          <c:spPr>
            <a:ln w="28575" cap="rnd">
              <a:solidFill>
                <a:schemeClr val="accent1"/>
              </a:solidFill>
              <a:round/>
            </a:ln>
            <a:effectLst/>
          </c:spPr>
          <c:marker>
            <c:symbol val="none"/>
          </c:marker>
          <c:cat>
            <c:strRef>
              <c:f>'W-GEZINSHULP'!$B$21:$G$21</c:f>
              <c:strCache>
                <c:ptCount val="6"/>
                <c:pt idx="0">
                  <c:v>2017</c:v>
                </c:pt>
                <c:pt idx="1">
                  <c:v>2018</c:v>
                </c:pt>
                <c:pt idx="2">
                  <c:v>2019</c:v>
                </c:pt>
                <c:pt idx="3">
                  <c:v>2020</c:v>
                </c:pt>
                <c:pt idx="4">
                  <c:v>2021</c:v>
                </c:pt>
                <c:pt idx="5">
                  <c:v>2022</c:v>
                </c:pt>
              </c:strCache>
            </c:strRef>
          </c:cat>
          <c:val>
            <c:numRef>
              <c:f>'W-GEZINSHULP'!$B$22:$G$22</c:f>
              <c:numCache>
                <c:formatCode>#,##0</c:formatCode>
                <c:ptCount val="6"/>
                <c:pt idx="0">
                  <c:v>48</c:v>
                </c:pt>
                <c:pt idx="1">
                  <c:v>110</c:v>
                </c:pt>
                <c:pt idx="2">
                  <c:v>113</c:v>
                </c:pt>
                <c:pt idx="3">
                  <c:v>116</c:v>
                </c:pt>
                <c:pt idx="4">
                  <c:v>132</c:v>
                </c:pt>
                <c:pt idx="5">
                  <c:v>144</c:v>
                </c:pt>
              </c:numCache>
            </c:numRef>
          </c:val>
          <c:smooth val="0"/>
          <c:extLst>
            <c:ext xmlns:c16="http://schemas.microsoft.com/office/drawing/2014/chart" uri="{C3380CC4-5D6E-409C-BE32-E72D297353CC}">
              <c16:uniqueId val="{00000000-B06C-45D5-A20B-1A5CCA04F5BB}"/>
            </c:ext>
          </c:extLst>
        </c:ser>
        <c:ser>
          <c:idx val="1"/>
          <c:order val="1"/>
          <c:tx>
            <c:strRef>
              <c:f>'W-GEZINSHULP'!$A$23</c:f>
              <c:strCache>
                <c:ptCount val="1"/>
                <c:pt idx="0">
                  <c:v>Aantal personen mantelzorgtoelage (jaar)</c:v>
                </c:pt>
              </c:strCache>
            </c:strRef>
          </c:tx>
          <c:spPr>
            <a:ln w="28575" cap="rnd">
              <a:solidFill>
                <a:schemeClr val="accent2"/>
              </a:solidFill>
              <a:round/>
            </a:ln>
            <a:effectLst/>
          </c:spPr>
          <c:marker>
            <c:symbol val="none"/>
          </c:marker>
          <c:cat>
            <c:strRef>
              <c:f>'W-GEZINSHULP'!$B$21:$G$21</c:f>
              <c:strCache>
                <c:ptCount val="6"/>
                <c:pt idx="0">
                  <c:v>2017</c:v>
                </c:pt>
                <c:pt idx="1">
                  <c:v>2018</c:v>
                </c:pt>
                <c:pt idx="2">
                  <c:v>2019</c:v>
                </c:pt>
                <c:pt idx="3">
                  <c:v>2020</c:v>
                </c:pt>
                <c:pt idx="4">
                  <c:v>2021</c:v>
                </c:pt>
                <c:pt idx="5">
                  <c:v>2022</c:v>
                </c:pt>
              </c:strCache>
            </c:strRef>
          </c:cat>
          <c:val>
            <c:numRef>
              <c:f>'W-GEZINSHULP'!$B$23:$G$23</c:f>
              <c:numCache>
                <c:formatCode>#,##0</c:formatCode>
                <c:ptCount val="6"/>
                <c:pt idx="0">
                  <c:v>61</c:v>
                </c:pt>
                <c:pt idx="1">
                  <c:v>120</c:v>
                </c:pt>
                <c:pt idx="2">
                  <c:v>147</c:v>
                </c:pt>
                <c:pt idx="3">
                  <c:v>138</c:v>
                </c:pt>
                <c:pt idx="4">
                  <c:v>152</c:v>
                </c:pt>
                <c:pt idx="5">
                  <c:v>172</c:v>
                </c:pt>
              </c:numCache>
            </c:numRef>
          </c:val>
          <c:smooth val="0"/>
          <c:extLst>
            <c:ext xmlns:c16="http://schemas.microsoft.com/office/drawing/2014/chart" uri="{C3380CC4-5D6E-409C-BE32-E72D297353CC}">
              <c16:uniqueId val="{00000001-B06C-45D5-A20B-1A5CCA04F5BB}"/>
            </c:ext>
          </c:extLst>
        </c:ser>
        <c:dLbls>
          <c:showLegendKey val="0"/>
          <c:showVal val="0"/>
          <c:showCatName val="0"/>
          <c:showSerName val="0"/>
          <c:showPercent val="0"/>
          <c:showBubbleSize val="0"/>
        </c:dLbls>
        <c:smooth val="0"/>
        <c:axId val="167764352"/>
        <c:axId val="167765888"/>
      </c:lineChart>
      <c:catAx>
        <c:axId val="16776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765888"/>
        <c:crosses val="autoZero"/>
        <c:auto val="1"/>
        <c:lblAlgn val="ctr"/>
        <c:lblOffset val="100"/>
        <c:noMultiLvlLbl val="0"/>
      </c:catAx>
      <c:valAx>
        <c:axId val="167765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7643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nl-B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barChart>
        <c:barDir val="col"/>
        <c:grouping val="clustered"/>
        <c:varyColors val="0"/>
        <c:ser>
          <c:idx val="0"/>
          <c:order val="0"/>
          <c:tx>
            <c:strRef>
              <c:f>'W-GEZINSHULP'!$A$4</c:f>
              <c:strCache>
                <c:ptCount val="1"/>
                <c:pt idx="0">
                  <c:v>Boodschappenhulp</c:v>
                </c:pt>
              </c:strCache>
            </c:strRef>
          </c:tx>
          <c:spPr>
            <a:solidFill>
              <a:schemeClr val="accent1"/>
            </a:solidFill>
            <a:ln>
              <a:noFill/>
            </a:ln>
            <a:effectLst/>
          </c:spPr>
          <c:invertIfNegative val="0"/>
          <c:cat>
            <c:strRef>
              <c:f>'W-GEZINSHULP'!$B$3:$G$3</c:f>
              <c:strCache>
                <c:ptCount val="6"/>
                <c:pt idx="0">
                  <c:v>2017</c:v>
                </c:pt>
                <c:pt idx="1">
                  <c:v>2018</c:v>
                </c:pt>
                <c:pt idx="2">
                  <c:v>2019</c:v>
                </c:pt>
                <c:pt idx="3">
                  <c:v>2020</c:v>
                </c:pt>
                <c:pt idx="4">
                  <c:v>2021</c:v>
                </c:pt>
                <c:pt idx="5">
                  <c:v>2022</c:v>
                </c:pt>
              </c:strCache>
            </c:strRef>
          </c:cat>
          <c:val>
            <c:numRef>
              <c:f>'W-GEZINSHULP'!$B$4:$G$4</c:f>
              <c:numCache>
                <c:formatCode>#,##0</c:formatCode>
                <c:ptCount val="6"/>
                <c:pt idx="0">
                  <c:v>64</c:v>
                </c:pt>
                <c:pt idx="1">
                  <c:v>134</c:v>
                </c:pt>
                <c:pt idx="2">
                  <c:v>164</c:v>
                </c:pt>
                <c:pt idx="3">
                  <c:v>203</c:v>
                </c:pt>
                <c:pt idx="4">
                  <c:v>219</c:v>
                </c:pt>
                <c:pt idx="5">
                  <c:v>190</c:v>
                </c:pt>
              </c:numCache>
            </c:numRef>
          </c:val>
          <c:extLst>
            <c:ext xmlns:c16="http://schemas.microsoft.com/office/drawing/2014/chart" uri="{C3380CC4-5D6E-409C-BE32-E72D297353CC}">
              <c16:uniqueId val="{00000000-8E91-4FFF-80E1-2344F0A61362}"/>
            </c:ext>
          </c:extLst>
        </c:ser>
        <c:dLbls>
          <c:showLegendKey val="0"/>
          <c:showVal val="0"/>
          <c:showCatName val="0"/>
          <c:showSerName val="0"/>
          <c:showPercent val="0"/>
          <c:showBubbleSize val="0"/>
        </c:dLbls>
        <c:gapWidth val="219"/>
        <c:overlap val="-27"/>
        <c:axId val="167794560"/>
        <c:axId val="167796096"/>
      </c:barChart>
      <c:catAx>
        <c:axId val="167794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796096"/>
        <c:crosses val="autoZero"/>
        <c:auto val="1"/>
        <c:lblAlgn val="ctr"/>
        <c:lblOffset val="100"/>
        <c:noMultiLvlLbl val="0"/>
      </c:catAx>
      <c:valAx>
        <c:axId val="167796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7945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nl-B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barChart>
        <c:barDir val="col"/>
        <c:grouping val="clustered"/>
        <c:varyColors val="0"/>
        <c:ser>
          <c:idx val="1"/>
          <c:order val="1"/>
          <c:tx>
            <c:strRef>
              <c:f>'W-GEZINSHULP'!$A$5</c:f>
              <c:strCache>
                <c:ptCount val="1"/>
                <c:pt idx="0">
                  <c:v>Vervoersdienst - aantal km</c:v>
                </c:pt>
              </c:strCache>
            </c:strRef>
          </c:tx>
          <c:spPr>
            <a:solidFill>
              <a:schemeClr val="accent2"/>
            </a:solidFill>
            <a:ln>
              <a:noFill/>
            </a:ln>
            <a:effectLst/>
          </c:spPr>
          <c:invertIfNegative val="0"/>
          <c:cat>
            <c:strRef>
              <c:f>'W-GEZINSHULP'!$B$3:$G$3</c:f>
              <c:strCache>
                <c:ptCount val="6"/>
                <c:pt idx="0">
                  <c:v>2017</c:v>
                </c:pt>
                <c:pt idx="1">
                  <c:v>2018</c:v>
                </c:pt>
                <c:pt idx="2">
                  <c:v>2019</c:v>
                </c:pt>
                <c:pt idx="3">
                  <c:v>2020</c:v>
                </c:pt>
                <c:pt idx="4">
                  <c:v>2021</c:v>
                </c:pt>
                <c:pt idx="5">
                  <c:v>2022</c:v>
                </c:pt>
              </c:strCache>
            </c:strRef>
          </c:cat>
          <c:val>
            <c:numRef>
              <c:f>'W-GEZINSHULP'!$B$5:$G$5</c:f>
              <c:numCache>
                <c:formatCode>#,##0</c:formatCode>
                <c:ptCount val="6"/>
                <c:pt idx="0">
                  <c:v>4188</c:v>
                </c:pt>
                <c:pt idx="1">
                  <c:v>5871</c:v>
                </c:pt>
                <c:pt idx="2">
                  <c:v>9120</c:v>
                </c:pt>
                <c:pt idx="3">
                  <c:v>5360</c:v>
                </c:pt>
                <c:pt idx="4">
                  <c:v>9794</c:v>
                </c:pt>
                <c:pt idx="5">
                  <c:v>10913</c:v>
                </c:pt>
              </c:numCache>
            </c:numRef>
          </c:val>
          <c:extLst>
            <c:ext xmlns:c16="http://schemas.microsoft.com/office/drawing/2014/chart" uri="{C3380CC4-5D6E-409C-BE32-E72D297353CC}">
              <c16:uniqueId val="{00000000-6BDD-4419-9CDC-590D2D8C654A}"/>
            </c:ext>
          </c:extLst>
        </c:ser>
        <c:dLbls>
          <c:showLegendKey val="0"/>
          <c:showVal val="0"/>
          <c:showCatName val="0"/>
          <c:showSerName val="0"/>
          <c:showPercent val="0"/>
          <c:showBubbleSize val="0"/>
        </c:dLbls>
        <c:gapWidth val="219"/>
        <c:overlap val="-27"/>
        <c:axId val="167911424"/>
        <c:axId val="167912960"/>
        <c:extLst>
          <c:ext xmlns:c15="http://schemas.microsoft.com/office/drawing/2012/chart" uri="{02D57815-91ED-43cb-92C2-25804820EDAC}">
            <c15:filteredBarSeries>
              <c15:ser>
                <c:idx val="0"/>
                <c:order val="0"/>
                <c:tx>
                  <c:strRef>
                    <c:extLst>
                      <c:ext uri="{02D57815-91ED-43cb-92C2-25804820EDAC}">
                        <c15:formulaRef>
                          <c15:sqref>'W-GEZINSHULP'!$A$4</c15:sqref>
                        </c15:formulaRef>
                      </c:ext>
                    </c:extLst>
                    <c:strCache>
                      <c:ptCount val="1"/>
                      <c:pt idx="0">
                        <c:v>Boodschappenhulp</c:v>
                      </c:pt>
                    </c:strCache>
                  </c:strRef>
                </c:tx>
                <c:spPr>
                  <a:solidFill>
                    <a:schemeClr val="accent1"/>
                  </a:solidFill>
                  <a:ln>
                    <a:noFill/>
                  </a:ln>
                  <a:effectLst/>
                </c:spPr>
                <c:invertIfNegative val="0"/>
                <c:cat>
                  <c:strRef>
                    <c:extLst>
                      <c:ext uri="{02D57815-91ED-43cb-92C2-25804820EDAC}">
                        <c15:formulaRef>
                          <c15:sqref>'W-GEZINSHULP'!$B$3:$G$3</c15:sqref>
                        </c15:formulaRef>
                      </c:ext>
                    </c:extLst>
                    <c:strCache>
                      <c:ptCount val="6"/>
                      <c:pt idx="0">
                        <c:v>2017</c:v>
                      </c:pt>
                      <c:pt idx="1">
                        <c:v>2018</c:v>
                      </c:pt>
                      <c:pt idx="2">
                        <c:v>2019</c:v>
                      </c:pt>
                      <c:pt idx="3">
                        <c:v>2020</c:v>
                      </c:pt>
                      <c:pt idx="4">
                        <c:v>2021</c:v>
                      </c:pt>
                      <c:pt idx="5">
                        <c:v>2022</c:v>
                      </c:pt>
                    </c:strCache>
                  </c:strRef>
                </c:cat>
                <c:val>
                  <c:numRef>
                    <c:extLst>
                      <c:ext uri="{02D57815-91ED-43cb-92C2-25804820EDAC}">
                        <c15:formulaRef>
                          <c15:sqref>'W-GEZINSHULP'!$B$4:$G$4</c15:sqref>
                        </c15:formulaRef>
                      </c:ext>
                    </c:extLst>
                    <c:numCache>
                      <c:formatCode>#,##0</c:formatCode>
                      <c:ptCount val="6"/>
                      <c:pt idx="0">
                        <c:v>64</c:v>
                      </c:pt>
                      <c:pt idx="1">
                        <c:v>134</c:v>
                      </c:pt>
                      <c:pt idx="2">
                        <c:v>164</c:v>
                      </c:pt>
                      <c:pt idx="3">
                        <c:v>203</c:v>
                      </c:pt>
                      <c:pt idx="4">
                        <c:v>219</c:v>
                      </c:pt>
                      <c:pt idx="5">
                        <c:v>190</c:v>
                      </c:pt>
                    </c:numCache>
                  </c:numRef>
                </c:val>
                <c:extLst>
                  <c:ext xmlns:c16="http://schemas.microsoft.com/office/drawing/2014/chart" uri="{C3380CC4-5D6E-409C-BE32-E72D297353CC}">
                    <c16:uniqueId val="{00000001-594E-4BD6-AB7A-2F7A352A30C2}"/>
                  </c:ext>
                </c:extLst>
              </c15:ser>
            </c15:filteredBarSeries>
          </c:ext>
        </c:extLst>
      </c:barChart>
      <c:catAx>
        <c:axId val="16791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912960"/>
        <c:crosses val="autoZero"/>
        <c:auto val="1"/>
        <c:lblAlgn val="ctr"/>
        <c:lblOffset val="100"/>
        <c:noMultiLvlLbl val="0"/>
      </c:catAx>
      <c:valAx>
        <c:axId val="1679129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1679114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nl-BE"/>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Bezette dagen opvang LOI</a:t>
            </a:r>
          </a:p>
        </c:rich>
      </c:tx>
      <c:layout>
        <c:manualLayout>
          <c:xMode val="edge"/>
          <c:yMode val="edge"/>
          <c:x val="0.28339190832853212"/>
          <c:y val="3.7037037037037035E-2"/>
        </c:manualLayout>
      </c:layout>
      <c:overlay val="0"/>
      <c:spPr>
        <a:noFill/>
        <a:ln w="25400">
          <a:noFill/>
        </a:ln>
      </c:spPr>
    </c:title>
    <c:autoTitleDeleted val="0"/>
    <c:view3D>
      <c:rotX val="5"/>
      <c:hPercent val="26"/>
      <c:rotY val="5"/>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manualLayout>
          <c:layoutTarget val="inner"/>
          <c:xMode val="edge"/>
          <c:yMode val="edge"/>
          <c:x val="6.2717841170605998E-2"/>
          <c:y val="0.191919822968694"/>
          <c:w val="0.74099967901567831"/>
          <c:h val="0.49831813683099496"/>
        </c:manualLayout>
      </c:layout>
      <c:bar3DChart>
        <c:barDir val="col"/>
        <c:grouping val="clustered"/>
        <c:varyColors val="0"/>
        <c:ser>
          <c:idx val="0"/>
          <c:order val="0"/>
          <c:tx>
            <c:strRef>
              <c:f>'W-SD'!$A$137</c:f>
              <c:strCache>
                <c:ptCount val="1"/>
                <c:pt idx="0">
                  <c:v>Aanwezigheidsdagen</c:v>
                </c:pt>
              </c:strCache>
            </c:strRef>
          </c:tx>
          <c:spPr>
            <a:solidFill>
              <a:srgbClr val="9999FF"/>
            </a:solidFill>
            <a:ln w="12700">
              <a:solidFill>
                <a:srgbClr val="000000"/>
              </a:solidFill>
              <a:prstDash val="solid"/>
            </a:ln>
          </c:spPr>
          <c:invertIfNegative val="0"/>
          <c:cat>
            <c:numRef>
              <c:f>'W-SD'!$B$128:$G$128</c:f>
              <c:numCache>
                <c:formatCode>General</c:formatCode>
                <c:ptCount val="6"/>
                <c:pt idx="0">
                  <c:v>2017</c:v>
                </c:pt>
                <c:pt idx="1">
                  <c:v>2018</c:v>
                </c:pt>
                <c:pt idx="2">
                  <c:v>2019</c:v>
                </c:pt>
                <c:pt idx="3">
                  <c:v>2020</c:v>
                </c:pt>
                <c:pt idx="4">
                  <c:v>2021</c:v>
                </c:pt>
                <c:pt idx="5">
                  <c:v>2022</c:v>
                </c:pt>
              </c:numCache>
            </c:numRef>
          </c:cat>
          <c:val>
            <c:numRef>
              <c:f>'W-SD'!$B$137:$G$137</c:f>
              <c:numCache>
                <c:formatCode>#,##0</c:formatCode>
                <c:ptCount val="6"/>
                <c:pt idx="0">
                  <c:v>8641</c:v>
                </c:pt>
                <c:pt idx="1">
                  <c:v>5173</c:v>
                </c:pt>
                <c:pt idx="2">
                  <c:v>5584</c:v>
                </c:pt>
                <c:pt idx="3">
                  <c:v>4152</c:v>
                </c:pt>
                <c:pt idx="4">
                  <c:v>3771</c:v>
                </c:pt>
                <c:pt idx="5">
                  <c:v>2794</c:v>
                </c:pt>
              </c:numCache>
            </c:numRef>
          </c:val>
          <c:extLst>
            <c:ext xmlns:c16="http://schemas.microsoft.com/office/drawing/2014/chart" uri="{C3380CC4-5D6E-409C-BE32-E72D297353CC}">
              <c16:uniqueId val="{00000000-54C7-4192-B395-8C8B649BC578}"/>
            </c:ext>
          </c:extLst>
        </c:ser>
        <c:ser>
          <c:idx val="1"/>
          <c:order val="1"/>
          <c:tx>
            <c:strRef>
              <c:f>'W-SD'!$A$138</c:f>
              <c:strCache>
                <c:ptCount val="1"/>
                <c:pt idx="0">
                  <c:v>Maximum aantal dagen</c:v>
                </c:pt>
              </c:strCache>
            </c:strRef>
          </c:tx>
          <c:spPr>
            <a:solidFill>
              <a:srgbClr val="993366"/>
            </a:solidFill>
            <a:ln w="12700">
              <a:solidFill>
                <a:srgbClr val="000000"/>
              </a:solidFill>
              <a:prstDash val="solid"/>
            </a:ln>
          </c:spPr>
          <c:invertIfNegative val="0"/>
          <c:cat>
            <c:numRef>
              <c:f>'W-SD'!$B$128:$G$128</c:f>
              <c:numCache>
                <c:formatCode>General</c:formatCode>
                <c:ptCount val="6"/>
                <c:pt idx="0">
                  <c:v>2017</c:v>
                </c:pt>
                <c:pt idx="1">
                  <c:v>2018</c:v>
                </c:pt>
                <c:pt idx="2">
                  <c:v>2019</c:v>
                </c:pt>
                <c:pt idx="3">
                  <c:v>2020</c:v>
                </c:pt>
                <c:pt idx="4">
                  <c:v>2021</c:v>
                </c:pt>
                <c:pt idx="5">
                  <c:v>2022</c:v>
                </c:pt>
              </c:numCache>
            </c:numRef>
          </c:cat>
          <c:val>
            <c:numRef>
              <c:f>'W-SD'!$B$138:$G$138</c:f>
              <c:numCache>
                <c:formatCode>#,##0</c:formatCode>
                <c:ptCount val="6"/>
                <c:pt idx="0">
                  <c:v>12321</c:v>
                </c:pt>
                <c:pt idx="1">
                  <c:v>11527</c:v>
                </c:pt>
                <c:pt idx="2">
                  <c:v>6052</c:v>
                </c:pt>
                <c:pt idx="3">
                  <c:v>6008</c:v>
                </c:pt>
                <c:pt idx="4">
                  <c:v>5871</c:v>
                </c:pt>
                <c:pt idx="5">
                  <c:v>4674</c:v>
                </c:pt>
              </c:numCache>
            </c:numRef>
          </c:val>
          <c:extLst>
            <c:ext xmlns:c16="http://schemas.microsoft.com/office/drawing/2014/chart" uri="{C3380CC4-5D6E-409C-BE32-E72D297353CC}">
              <c16:uniqueId val="{00000001-54C7-4192-B395-8C8B649BC578}"/>
            </c:ext>
          </c:extLst>
        </c:ser>
        <c:dLbls>
          <c:showLegendKey val="0"/>
          <c:showVal val="0"/>
          <c:showCatName val="0"/>
          <c:showSerName val="0"/>
          <c:showPercent val="0"/>
          <c:showBubbleSize val="0"/>
        </c:dLbls>
        <c:gapWidth val="150"/>
        <c:shape val="box"/>
        <c:axId val="164573184"/>
        <c:axId val="164574720"/>
        <c:axId val="0"/>
      </c:bar3DChart>
      <c:catAx>
        <c:axId val="164573184"/>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574720"/>
        <c:crosses val="autoZero"/>
        <c:auto val="1"/>
        <c:lblAlgn val="ctr"/>
        <c:lblOffset val="100"/>
        <c:tickLblSkip val="1"/>
        <c:tickMarkSkip val="1"/>
        <c:noMultiLvlLbl val="0"/>
      </c:catAx>
      <c:valAx>
        <c:axId val="1645747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573184"/>
        <c:crosses val="autoZero"/>
        <c:crossBetween val="between"/>
      </c:valAx>
      <c:spPr>
        <a:noFill/>
        <a:ln w="25400">
          <a:noFill/>
        </a:ln>
      </c:spPr>
    </c:plotArea>
    <c:legend>
      <c:legendPos val="r"/>
      <c:layout>
        <c:manualLayout>
          <c:xMode val="edge"/>
          <c:yMode val="edge"/>
          <c:x val="0.15389091607451508"/>
          <c:y val="0.78949975697482278"/>
          <c:w val="0.69047628192817356"/>
          <c:h val="0.13879003558718861"/>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Geholpen personen LOI</a:t>
            </a:r>
          </a:p>
        </c:rich>
      </c:tx>
      <c:layout>
        <c:manualLayout>
          <c:xMode val="edge"/>
          <c:yMode val="edge"/>
          <c:x val="0.30356672082656333"/>
          <c:y val="3.6912466233691592E-2"/>
        </c:manualLayout>
      </c:layout>
      <c:overlay val="0"/>
      <c:spPr>
        <a:noFill/>
        <a:ln w="25400">
          <a:noFill/>
        </a:ln>
      </c:spPr>
    </c:title>
    <c:autoTitleDeleted val="0"/>
    <c:plotArea>
      <c:layout>
        <c:manualLayout>
          <c:layoutTarget val="inner"/>
          <c:xMode val="edge"/>
          <c:yMode val="edge"/>
          <c:x val="8.2352941176470587E-2"/>
          <c:y val="0.19463119139181684"/>
          <c:w val="0.57176470588235295"/>
          <c:h val="0.66778632908571645"/>
        </c:manualLayout>
      </c:layout>
      <c:lineChart>
        <c:grouping val="standard"/>
        <c:varyColors val="0"/>
        <c:ser>
          <c:idx val="0"/>
          <c:order val="0"/>
          <c:tx>
            <c:strRef>
              <c:f>'W-SD'!$A$141</c:f>
              <c:strCache>
                <c:ptCount val="1"/>
                <c:pt idx="0">
                  <c:v>Aantal geholpen personen (jaar)</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'W-SD'!$B$128:$G$128</c:f>
              <c:numCache>
                <c:formatCode>General</c:formatCode>
                <c:ptCount val="6"/>
                <c:pt idx="0">
                  <c:v>2017</c:v>
                </c:pt>
                <c:pt idx="1">
                  <c:v>2018</c:v>
                </c:pt>
                <c:pt idx="2">
                  <c:v>2019</c:v>
                </c:pt>
                <c:pt idx="3">
                  <c:v>2020</c:v>
                </c:pt>
                <c:pt idx="4">
                  <c:v>2021</c:v>
                </c:pt>
                <c:pt idx="5">
                  <c:v>2022</c:v>
                </c:pt>
              </c:numCache>
            </c:numRef>
          </c:cat>
          <c:val>
            <c:numRef>
              <c:f>'W-SD'!$B$141:$G$141</c:f>
              <c:numCache>
                <c:formatCode>#,##0</c:formatCode>
                <c:ptCount val="6"/>
                <c:pt idx="0">
                  <c:v>64</c:v>
                </c:pt>
                <c:pt idx="1">
                  <c:v>38</c:v>
                </c:pt>
                <c:pt idx="2">
                  <c:v>43</c:v>
                </c:pt>
                <c:pt idx="3">
                  <c:v>26</c:v>
                </c:pt>
                <c:pt idx="4">
                  <c:v>18</c:v>
                </c:pt>
                <c:pt idx="5">
                  <c:v>21</c:v>
                </c:pt>
              </c:numCache>
            </c:numRef>
          </c:val>
          <c:smooth val="0"/>
          <c:extLst>
            <c:ext xmlns:c16="http://schemas.microsoft.com/office/drawing/2014/chart" uri="{C3380CC4-5D6E-409C-BE32-E72D297353CC}">
              <c16:uniqueId val="{00000000-B947-4D66-980E-43AE5ED294B1}"/>
            </c:ext>
          </c:extLst>
        </c:ser>
        <c:ser>
          <c:idx val="1"/>
          <c:order val="1"/>
          <c:tx>
            <c:strRef>
              <c:f>'W-SD'!$A$142</c:f>
              <c:strCache>
                <c:ptCount val="1"/>
                <c:pt idx="0">
                  <c:v>Aantal geholpen vrouwen</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'W-SD'!$B$128:$G$128</c:f>
              <c:numCache>
                <c:formatCode>General</c:formatCode>
                <c:ptCount val="6"/>
                <c:pt idx="0">
                  <c:v>2017</c:v>
                </c:pt>
                <c:pt idx="1">
                  <c:v>2018</c:v>
                </c:pt>
                <c:pt idx="2">
                  <c:v>2019</c:v>
                </c:pt>
                <c:pt idx="3">
                  <c:v>2020</c:v>
                </c:pt>
                <c:pt idx="4">
                  <c:v>2021</c:v>
                </c:pt>
                <c:pt idx="5">
                  <c:v>2022</c:v>
                </c:pt>
              </c:numCache>
            </c:numRef>
          </c:cat>
          <c:val>
            <c:numRef>
              <c:f>'W-SD'!$B$142:$G$142</c:f>
              <c:numCache>
                <c:formatCode>General</c:formatCode>
                <c:ptCount val="6"/>
                <c:pt idx="0">
                  <c:v>15</c:v>
                </c:pt>
                <c:pt idx="1">
                  <c:v>8</c:v>
                </c:pt>
                <c:pt idx="2">
                  <c:v>10</c:v>
                </c:pt>
                <c:pt idx="3">
                  <c:v>5</c:v>
                </c:pt>
                <c:pt idx="4">
                  <c:v>2</c:v>
                </c:pt>
                <c:pt idx="5">
                  <c:v>2</c:v>
                </c:pt>
              </c:numCache>
            </c:numRef>
          </c:val>
          <c:smooth val="0"/>
          <c:extLst>
            <c:ext xmlns:c16="http://schemas.microsoft.com/office/drawing/2014/chart" uri="{C3380CC4-5D6E-409C-BE32-E72D297353CC}">
              <c16:uniqueId val="{00000001-B947-4D66-980E-43AE5ED294B1}"/>
            </c:ext>
          </c:extLst>
        </c:ser>
        <c:ser>
          <c:idx val="2"/>
          <c:order val="2"/>
          <c:tx>
            <c:strRef>
              <c:f>'W-SD'!$A$143</c:f>
              <c:strCache>
                <c:ptCount val="1"/>
                <c:pt idx="0">
                  <c:v>Aantal geholpen mannen</c:v>
                </c:pt>
              </c:strCache>
            </c:strRef>
          </c:tx>
          <c:spPr>
            <a:ln w="12700">
              <a:solidFill>
                <a:srgbClr val="00B050"/>
              </a:solidFill>
              <a:prstDash val="solid"/>
            </a:ln>
          </c:spPr>
          <c:marker>
            <c:symbol val="triangle"/>
            <c:size val="5"/>
            <c:spPr>
              <a:solidFill>
                <a:srgbClr val="FFFF00"/>
              </a:solidFill>
              <a:ln>
                <a:solidFill>
                  <a:srgbClr val="00B050"/>
                </a:solidFill>
                <a:prstDash val="solid"/>
              </a:ln>
            </c:spPr>
          </c:marker>
          <c:cat>
            <c:numRef>
              <c:f>'W-SD'!$B$128:$G$128</c:f>
              <c:numCache>
                <c:formatCode>General</c:formatCode>
                <c:ptCount val="6"/>
                <c:pt idx="0">
                  <c:v>2017</c:v>
                </c:pt>
                <c:pt idx="1">
                  <c:v>2018</c:v>
                </c:pt>
                <c:pt idx="2">
                  <c:v>2019</c:v>
                </c:pt>
                <c:pt idx="3">
                  <c:v>2020</c:v>
                </c:pt>
                <c:pt idx="4">
                  <c:v>2021</c:v>
                </c:pt>
                <c:pt idx="5">
                  <c:v>2022</c:v>
                </c:pt>
              </c:numCache>
            </c:numRef>
          </c:cat>
          <c:val>
            <c:numRef>
              <c:f>'W-SD'!$B$143:$G$143</c:f>
              <c:numCache>
                <c:formatCode>General</c:formatCode>
                <c:ptCount val="6"/>
                <c:pt idx="0">
                  <c:v>49</c:v>
                </c:pt>
                <c:pt idx="1">
                  <c:v>30</c:v>
                </c:pt>
                <c:pt idx="2">
                  <c:v>33</c:v>
                </c:pt>
                <c:pt idx="3">
                  <c:v>21</c:v>
                </c:pt>
                <c:pt idx="4">
                  <c:v>16</c:v>
                </c:pt>
                <c:pt idx="5">
                  <c:v>19</c:v>
                </c:pt>
              </c:numCache>
            </c:numRef>
          </c:val>
          <c:smooth val="0"/>
          <c:extLst>
            <c:ext xmlns:c16="http://schemas.microsoft.com/office/drawing/2014/chart" uri="{C3380CC4-5D6E-409C-BE32-E72D297353CC}">
              <c16:uniqueId val="{00000002-B947-4D66-980E-43AE5ED294B1}"/>
            </c:ext>
          </c:extLst>
        </c:ser>
        <c:dLbls>
          <c:showLegendKey val="0"/>
          <c:showVal val="0"/>
          <c:showCatName val="0"/>
          <c:showSerName val="0"/>
          <c:showPercent val="0"/>
          <c:showBubbleSize val="0"/>
        </c:dLbls>
        <c:marker val="1"/>
        <c:smooth val="0"/>
        <c:axId val="164610048"/>
        <c:axId val="164611968"/>
      </c:lineChart>
      <c:catAx>
        <c:axId val="16461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611968"/>
        <c:crosses val="autoZero"/>
        <c:auto val="1"/>
        <c:lblAlgn val="ctr"/>
        <c:lblOffset val="100"/>
        <c:tickLblSkip val="1"/>
        <c:tickMarkSkip val="1"/>
        <c:noMultiLvlLbl val="0"/>
      </c:catAx>
      <c:valAx>
        <c:axId val="16461196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610048"/>
        <c:crosses val="autoZero"/>
        <c:crossBetween val="between"/>
      </c:valAx>
      <c:spPr>
        <a:solidFill>
          <a:srgbClr val="C0C0C0"/>
        </a:solidFill>
        <a:ln w="12700">
          <a:solidFill>
            <a:srgbClr val="808080"/>
          </a:solidFill>
          <a:prstDash val="solid"/>
        </a:ln>
      </c:spPr>
    </c:plotArea>
    <c:legend>
      <c:legendPos val="r"/>
      <c:layout>
        <c:manualLayout>
          <c:xMode val="edge"/>
          <c:yMode val="edge"/>
          <c:x val="0.68"/>
          <c:y val="0.43288658066677838"/>
          <c:w val="0.32"/>
          <c:h val="0.34701304672682343"/>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Reden vertrek LOI</a:t>
            </a:r>
          </a:p>
        </c:rich>
      </c:tx>
      <c:layout>
        <c:manualLayout>
          <c:xMode val="edge"/>
          <c:yMode val="edge"/>
          <c:x val="0.33096143228309699"/>
          <c:y val="3.666686108680859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4385327442133276"/>
          <c:y val="0.1535814134344318"/>
          <c:w val="0.49596953520744724"/>
          <c:h val="0.5692606202002527"/>
        </c:manualLayout>
      </c:layout>
      <c:pie3DChart>
        <c:varyColors val="1"/>
        <c:ser>
          <c:idx val="0"/>
          <c:order val="0"/>
          <c:spPr>
            <a:ln w="12700">
              <a:solidFill>
                <a:srgbClr val="000000"/>
              </a:solidFill>
              <a:prstDash val="solid"/>
            </a:ln>
          </c:spPr>
          <c:dPt>
            <c:idx val="0"/>
            <c:bubble3D val="0"/>
            <c:spPr>
              <a:solidFill>
                <a:schemeClr val="accent3">
                  <a:lumMod val="60000"/>
                  <a:lumOff val="40000"/>
                </a:schemeClr>
              </a:solidFill>
              <a:ln w="12700">
                <a:solidFill>
                  <a:srgbClr val="000000"/>
                </a:solidFill>
                <a:prstDash val="solid"/>
              </a:ln>
            </c:spPr>
            <c:extLst>
              <c:ext xmlns:c16="http://schemas.microsoft.com/office/drawing/2014/chart" uri="{C3380CC4-5D6E-409C-BE32-E72D297353CC}">
                <c16:uniqueId val="{00000001-E8EB-4FCE-96FE-71CD607BC125}"/>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3-E8EB-4FCE-96FE-71CD607BC125}"/>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5-E8EB-4FCE-96FE-71CD607BC125}"/>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7-E8EB-4FCE-96FE-71CD607BC125}"/>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9-E8EB-4FCE-96FE-71CD607BC125}"/>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B-E8EB-4FCE-96FE-71CD607BC125}"/>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D-E8EB-4FCE-96FE-71CD607BC125}"/>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F-E8EB-4FCE-96FE-71CD607BC125}"/>
              </c:ext>
            </c:extLst>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'W-SD'!$H$146:$H$148</c:f>
              <c:strCache>
                <c:ptCount val="3"/>
                <c:pt idx="0">
                  <c:v>Erkend</c:v>
                </c:pt>
                <c:pt idx="1">
                  <c:v>Subsidiaire bescherming</c:v>
                </c:pt>
                <c:pt idx="2">
                  <c:v>Terugkeerplaats</c:v>
                </c:pt>
              </c:strCache>
            </c:strRef>
          </c:cat>
          <c:val>
            <c:numRef>
              <c:f>'W-SD'!$I$146:$I$148</c:f>
              <c:numCache>
                <c:formatCode>General</c:formatCode>
                <c:ptCount val="3"/>
                <c:pt idx="0">
                  <c:v>8</c:v>
                </c:pt>
                <c:pt idx="1">
                  <c:v>1</c:v>
                </c:pt>
                <c:pt idx="2">
                  <c:v>5</c:v>
                </c:pt>
              </c:numCache>
            </c:numRef>
          </c:val>
          <c:extLst>
            <c:ext xmlns:c16="http://schemas.microsoft.com/office/drawing/2014/chart" uri="{C3380CC4-5D6E-409C-BE32-E72D297353CC}">
              <c16:uniqueId val="{00000010-E8EB-4FCE-96FE-71CD607BC125}"/>
            </c:ext>
          </c:extLst>
        </c:ser>
        <c:dLbls>
          <c:showLegendKey val="0"/>
          <c:showVal val="0"/>
          <c:showCatName val="0"/>
          <c:showSerName val="0"/>
          <c:showPercent val="0"/>
          <c:showBubbleSize val="0"/>
          <c:showLeaderLines val="1"/>
        </c:dLbls>
      </c:pie3DChart>
      <c:spPr>
        <a:noFill/>
        <a:ln w="25400">
          <a:noFill/>
        </a:ln>
      </c:spPr>
    </c:plotArea>
    <c:legend>
      <c:legendPos val="b"/>
      <c:layout>
        <c:manualLayout>
          <c:xMode val="edge"/>
          <c:yMode val="edge"/>
          <c:x val="2.8345237333138235E-3"/>
          <c:y val="0.73472330043251632"/>
          <c:w val="0.98503930911075133"/>
          <c:h val="0.23710768548297656"/>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960" b="0" i="0" u="none" strike="noStrike" baseline="0">
                <a:solidFill>
                  <a:srgbClr val="000000"/>
                </a:solidFill>
                <a:latin typeface="Calibri"/>
                <a:ea typeface="Calibri"/>
                <a:cs typeface="Calibri"/>
              </a:defRPr>
            </a:pPr>
            <a:r>
              <a:rPr lang="nl-BE"/>
              <a:t>Aantal dossiers leefloon
+ onderscheid per geslacht</a:t>
            </a:r>
          </a:p>
        </c:rich>
      </c:tx>
      <c:layout>
        <c:manualLayout>
          <c:xMode val="edge"/>
          <c:yMode val="edge"/>
          <c:x val="0.29452066693102213"/>
          <c:y val="3.4700074713583877E-2"/>
        </c:manualLayout>
      </c:layout>
      <c:overlay val="0"/>
      <c:spPr>
        <a:noFill/>
        <a:ln w="25400">
          <a:noFill/>
        </a:ln>
      </c:spPr>
    </c:title>
    <c:autoTitleDeleted val="0"/>
    <c:plotArea>
      <c:layout>
        <c:manualLayout>
          <c:layoutTarget val="inner"/>
          <c:xMode val="edge"/>
          <c:yMode val="edge"/>
          <c:x val="8.1967306845665208E-2"/>
          <c:y val="0.2113564668769716"/>
          <c:w val="0.88524691393318433"/>
          <c:h val="0.57728706624605675"/>
        </c:manualLayout>
      </c:layout>
      <c:barChart>
        <c:barDir val="col"/>
        <c:grouping val="clustered"/>
        <c:varyColors val="0"/>
        <c:ser>
          <c:idx val="0"/>
          <c:order val="0"/>
          <c:tx>
            <c:strRef>
              <c:f>'W-SD'!$A$7</c:f>
              <c:strCache>
                <c:ptCount val="1"/>
                <c:pt idx="0">
                  <c:v>Mannen</c:v>
                </c:pt>
              </c:strCache>
            </c:strRef>
          </c:tx>
          <c:spPr>
            <a:ln w="12700">
              <a:solidFill>
                <a:srgbClr val="000080"/>
              </a:solidFill>
              <a:prstDash val="solid"/>
            </a:ln>
          </c:spPr>
          <c:invertIfNegative val="0"/>
          <c:cat>
            <c:numRef>
              <c:f>'W-SD'!$B$3:$G$3</c:f>
              <c:numCache>
                <c:formatCode>General</c:formatCode>
                <c:ptCount val="6"/>
                <c:pt idx="0">
                  <c:v>2017</c:v>
                </c:pt>
                <c:pt idx="1">
                  <c:v>2018</c:v>
                </c:pt>
                <c:pt idx="2">
                  <c:v>2019</c:v>
                </c:pt>
                <c:pt idx="3">
                  <c:v>2020</c:v>
                </c:pt>
                <c:pt idx="4">
                  <c:v>2021</c:v>
                </c:pt>
                <c:pt idx="5">
                  <c:v>2022</c:v>
                </c:pt>
              </c:numCache>
            </c:numRef>
          </c:cat>
          <c:val>
            <c:numRef>
              <c:f>'W-SD'!$B$7:$G$7</c:f>
              <c:numCache>
                <c:formatCode>#,##0</c:formatCode>
                <c:ptCount val="6"/>
                <c:pt idx="0">
                  <c:v>67</c:v>
                </c:pt>
                <c:pt idx="1">
                  <c:v>91</c:v>
                </c:pt>
                <c:pt idx="2">
                  <c:v>74</c:v>
                </c:pt>
                <c:pt idx="3">
                  <c:v>59</c:v>
                </c:pt>
                <c:pt idx="4">
                  <c:v>48</c:v>
                </c:pt>
                <c:pt idx="5">
                  <c:v>32</c:v>
                </c:pt>
              </c:numCache>
            </c:numRef>
          </c:val>
          <c:extLst>
            <c:ext xmlns:c16="http://schemas.microsoft.com/office/drawing/2014/chart" uri="{C3380CC4-5D6E-409C-BE32-E72D297353CC}">
              <c16:uniqueId val="{00000000-B9E8-4683-A05F-DD536DCEACE9}"/>
            </c:ext>
          </c:extLst>
        </c:ser>
        <c:ser>
          <c:idx val="1"/>
          <c:order val="1"/>
          <c:tx>
            <c:strRef>
              <c:f>'W-SD'!$A$8</c:f>
              <c:strCache>
                <c:ptCount val="1"/>
                <c:pt idx="0">
                  <c:v>Vrouwen</c:v>
                </c:pt>
              </c:strCache>
            </c:strRef>
          </c:tx>
          <c:spPr>
            <a:ln w="12700">
              <a:solidFill>
                <a:srgbClr val="FF00FF"/>
              </a:solidFill>
              <a:prstDash val="solid"/>
            </a:ln>
          </c:spPr>
          <c:invertIfNegative val="0"/>
          <c:cat>
            <c:numRef>
              <c:f>'W-SD'!$B$3:$G$3</c:f>
              <c:numCache>
                <c:formatCode>General</c:formatCode>
                <c:ptCount val="6"/>
                <c:pt idx="0">
                  <c:v>2017</c:v>
                </c:pt>
                <c:pt idx="1">
                  <c:v>2018</c:v>
                </c:pt>
                <c:pt idx="2">
                  <c:v>2019</c:v>
                </c:pt>
                <c:pt idx="3">
                  <c:v>2020</c:v>
                </c:pt>
                <c:pt idx="4">
                  <c:v>2021</c:v>
                </c:pt>
                <c:pt idx="5">
                  <c:v>2022</c:v>
                </c:pt>
              </c:numCache>
            </c:numRef>
          </c:cat>
          <c:val>
            <c:numRef>
              <c:f>'W-SD'!$B$8:$G$8</c:f>
              <c:numCache>
                <c:formatCode>#,##0</c:formatCode>
                <c:ptCount val="6"/>
                <c:pt idx="0">
                  <c:v>43</c:v>
                </c:pt>
                <c:pt idx="1">
                  <c:v>67</c:v>
                </c:pt>
                <c:pt idx="2">
                  <c:v>61</c:v>
                </c:pt>
                <c:pt idx="3">
                  <c:v>54</c:v>
                </c:pt>
                <c:pt idx="4">
                  <c:v>63</c:v>
                </c:pt>
                <c:pt idx="5">
                  <c:v>60</c:v>
                </c:pt>
              </c:numCache>
            </c:numRef>
          </c:val>
          <c:extLst>
            <c:ext xmlns:c16="http://schemas.microsoft.com/office/drawing/2014/chart" uri="{C3380CC4-5D6E-409C-BE32-E72D297353CC}">
              <c16:uniqueId val="{00000001-B9E8-4683-A05F-DD536DCEACE9}"/>
            </c:ext>
          </c:extLst>
        </c:ser>
        <c:dLbls>
          <c:showLegendKey val="0"/>
          <c:showVal val="0"/>
          <c:showCatName val="0"/>
          <c:showSerName val="0"/>
          <c:showPercent val="0"/>
          <c:showBubbleSize val="0"/>
        </c:dLbls>
        <c:gapWidth val="150"/>
        <c:axId val="164794368"/>
        <c:axId val="164795904"/>
      </c:barChart>
      <c:catAx>
        <c:axId val="1647943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795904"/>
        <c:crosses val="autoZero"/>
        <c:auto val="1"/>
        <c:lblAlgn val="ctr"/>
        <c:lblOffset val="100"/>
        <c:noMultiLvlLbl val="0"/>
      </c:catAx>
      <c:valAx>
        <c:axId val="164795904"/>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4794368"/>
        <c:crosses val="autoZero"/>
        <c:crossBetween val="between"/>
      </c:valAx>
      <c:spPr>
        <a:solidFill>
          <a:srgbClr val="C0C0C0"/>
        </a:solidFill>
        <a:ln w="12700">
          <a:solidFill>
            <a:srgbClr val="808080"/>
          </a:solidFill>
          <a:prstDash val="solid"/>
        </a:ln>
      </c:spPr>
    </c:plotArea>
    <c:legend>
      <c:legendPos val="r"/>
      <c:layout>
        <c:manualLayout>
          <c:xMode val="edge"/>
          <c:yMode val="edge"/>
          <c:x val="0.11878413104121147"/>
          <c:y val="0.87888884473929885"/>
          <c:w val="0.80093663684709571"/>
          <c:h val="9.3333367356870575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96583545417976E-2"/>
          <c:y val="6.1202185792349727E-2"/>
          <c:w val="0.89939584824624197"/>
          <c:h val="0.6233829248002476"/>
        </c:manualLayout>
      </c:layout>
      <c:barChart>
        <c:barDir val="col"/>
        <c:grouping val="clustered"/>
        <c:varyColors val="0"/>
        <c:ser>
          <c:idx val="0"/>
          <c:order val="0"/>
          <c:tx>
            <c:strRef>
              <c:f>'W-SD'!$A$34</c:f>
              <c:strCache>
                <c:ptCount val="1"/>
                <c:pt idx="0">
                  <c:v>Aantal dossiers aanvullende financiële steun (jaar)</c:v>
                </c:pt>
              </c:strCache>
            </c:strRef>
          </c:tx>
          <c:spPr>
            <a:solidFill>
              <a:srgbClr val="2C637C"/>
            </a:solidFill>
            <a:ln w="12700">
              <a:solidFill>
                <a:srgbClr val="000080"/>
              </a:solidFill>
              <a:prstDash val="solid"/>
            </a:ln>
          </c:spPr>
          <c:invertIfNegative val="0"/>
          <c:cat>
            <c:numRef>
              <c:f>'W-SD'!$B$32:$G$32</c:f>
              <c:numCache>
                <c:formatCode>General</c:formatCode>
                <c:ptCount val="6"/>
                <c:pt idx="0">
                  <c:v>2017</c:v>
                </c:pt>
                <c:pt idx="1">
                  <c:v>2018</c:v>
                </c:pt>
                <c:pt idx="2">
                  <c:v>2019</c:v>
                </c:pt>
                <c:pt idx="3">
                  <c:v>2020</c:v>
                </c:pt>
                <c:pt idx="4">
                  <c:v>2021</c:v>
                </c:pt>
                <c:pt idx="5">
                  <c:v>2022</c:v>
                </c:pt>
              </c:numCache>
            </c:numRef>
          </c:cat>
          <c:val>
            <c:numRef>
              <c:f>'W-SD'!$B$34:$G$34</c:f>
              <c:numCache>
                <c:formatCode>#,##0</c:formatCode>
                <c:ptCount val="6"/>
                <c:pt idx="0">
                  <c:v>14</c:v>
                </c:pt>
                <c:pt idx="1">
                  <c:v>55</c:v>
                </c:pt>
                <c:pt idx="2">
                  <c:v>44</c:v>
                </c:pt>
                <c:pt idx="3">
                  <c:v>37</c:v>
                </c:pt>
                <c:pt idx="4">
                  <c:v>43</c:v>
                </c:pt>
                <c:pt idx="5">
                  <c:v>130</c:v>
                </c:pt>
              </c:numCache>
            </c:numRef>
          </c:val>
          <c:extLst>
            <c:ext xmlns:c16="http://schemas.microsoft.com/office/drawing/2014/chart" uri="{C3380CC4-5D6E-409C-BE32-E72D297353CC}">
              <c16:uniqueId val="{00000000-57A6-4A6D-9C35-F7BF89769545}"/>
            </c:ext>
          </c:extLst>
        </c:ser>
        <c:ser>
          <c:idx val="3"/>
          <c:order val="1"/>
          <c:tx>
            <c:strRef>
              <c:f>'W-SD'!$A$35</c:f>
              <c:strCache>
                <c:ptCount val="1"/>
                <c:pt idx="0">
                  <c:v>Aantal dossiers gas- en elktriciteitsfonds (jaar)</c:v>
                </c:pt>
              </c:strCache>
            </c:strRef>
          </c:tx>
          <c:spPr>
            <a:solidFill>
              <a:srgbClr val="FFFF00"/>
            </a:solidFill>
            <a:ln w="12700">
              <a:solidFill>
                <a:srgbClr val="00FFFF"/>
              </a:solidFill>
              <a:prstDash val="solid"/>
            </a:ln>
          </c:spPr>
          <c:invertIfNegative val="0"/>
          <c:cat>
            <c:numRef>
              <c:f>'W-SD'!$B$32:$G$32</c:f>
              <c:numCache>
                <c:formatCode>General</c:formatCode>
                <c:ptCount val="6"/>
                <c:pt idx="0">
                  <c:v>2017</c:v>
                </c:pt>
                <c:pt idx="1">
                  <c:v>2018</c:v>
                </c:pt>
                <c:pt idx="2">
                  <c:v>2019</c:v>
                </c:pt>
                <c:pt idx="3">
                  <c:v>2020</c:v>
                </c:pt>
                <c:pt idx="4">
                  <c:v>2021</c:v>
                </c:pt>
                <c:pt idx="5">
                  <c:v>2022</c:v>
                </c:pt>
              </c:numCache>
            </c:numRef>
          </c:cat>
          <c:val>
            <c:numRef>
              <c:f>'W-SD'!$B$35:$G$35</c:f>
              <c:numCache>
                <c:formatCode>#,##0</c:formatCode>
                <c:ptCount val="6"/>
                <c:pt idx="0">
                  <c:v>21</c:v>
                </c:pt>
                <c:pt idx="1">
                  <c:v>43</c:v>
                </c:pt>
                <c:pt idx="2">
                  <c:v>21</c:v>
                </c:pt>
                <c:pt idx="3">
                  <c:v>12</c:v>
                </c:pt>
                <c:pt idx="4">
                  <c:v>12</c:v>
                </c:pt>
                <c:pt idx="5">
                  <c:v>27</c:v>
                </c:pt>
              </c:numCache>
            </c:numRef>
          </c:val>
          <c:extLst>
            <c:ext xmlns:c16="http://schemas.microsoft.com/office/drawing/2014/chart" uri="{C3380CC4-5D6E-409C-BE32-E72D297353CC}">
              <c16:uniqueId val="{00000001-57A6-4A6D-9C35-F7BF89769545}"/>
            </c:ext>
          </c:extLst>
        </c:ser>
        <c:ser>
          <c:idx val="4"/>
          <c:order val="2"/>
          <c:tx>
            <c:strRef>
              <c:f>'W-SD'!$A$36</c:f>
              <c:strCache>
                <c:ptCount val="1"/>
                <c:pt idx="0">
                  <c:v>Aantal dossiers stookoliepremie (jaar)</c:v>
                </c:pt>
              </c:strCache>
            </c:strRef>
          </c:tx>
          <c:spPr>
            <a:solidFill>
              <a:srgbClr val="9AB8AA"/>
            </a:solidFill>
            <a:ln w="12700">
              <a:solidFill>
                <a:srgbClr val="800080"/>
              </a:solidFill>
              <a:prstDash val="solid"/>
            </a:ln>
          </c:spPr>
          <c:invertIfNegative val="0"/>
          <c:cat>
            <c:numRef>
              <c:f>'W-SD'!$B$32:$G$32</c:f>
              <c:numCache>
                <c:formatCode>General</c:formatCode>
                <c:ptCount val="6"/>
                <c:pt idx="0">
                  <c:v>2017</c:v>
                </c:pt>
                <c:pt idx="1">
                  <c:v>2018</c:v>
                </c:pt>
                <c:pt idx="2">
                  <c:v>2019</c:v>
                </c:pt>
                <c:pt idx="3">
                  <c:v>2020</c:v>
                </c:pt>
                <c:pt idx="4">
                  <c:v>2021</c:v>
                </c:pt>
                <c:pt idx="5">
                  <c:v>2022</c:v>
                </c:pt>
              </c:numCache>
            </c:numRef>
          </c:cat>
          <c:val>
            <c:numRef>
              <c:f>'W-SD'!$B$36:$G$36</c:f>
              <c:numCache>
                <c:formatCode>#,##0</c:formatCode>
                <c:ptCount val="6"/>
                <c:pt idx="0">
                  <c:v>34</c:v>
                </c:pt>
                <c:pt idx="1">
                  <c:v>36</c:v>
                </c:pt>
                <c:pt idx="2">
                  <c:v>30</c:v>
                </c:pt>
                <c:pt idx="3">
                  <c:v>30</c:v>
                </c:pt>
                <c:pt idx="4">
                  <c:v>24</c:v>
                </c:pt>
                <c:pt idx="5">
                  <c:v>24</c:v>
                </c:pt>
              </c:numCache>
            </c:numRef>
          </c:val>
          <c:extLst>
            <c:ext xmlns:c16="http://schemas.microsoft.com/office/drawing/2014/chart" uri="{C3380CC4-5D6E-409C-BE32-E72D297353CC}">
              <c16:uniqueId val="{00000002-57A6-4A6D-9C35-F7BF89769545}"/>
            </c:ext>
          </c:extLst>
        </c:ser>
        <c:ser>
          <c:idx val="2"/>
          <c:order val="3"/>
          <c:tx>
            <c:strRef>
              <c:f>'W-SD'!$A$37</c:f>
              <c:strCache>
                <c:ptCount val="1"/>
                <c:pt idx="0">
                  <c:v>Aantal dossiers begeleid zelfstandig wonen (jaar)</c:v>
                </c:pt>
              </c:strCache>
            </c:strRef>
          </c:tx>
          <c:spPr>
            <a:solidFill>
              <a:srgbClr val="E6BB04"/>
            </a:solidFill>
          </c:spPr>
          <c:invertIfNegative val="0"/>
          <c:cat>
            <c:numRef>
              <c:f>'W-SD'!$B$32:$G$32</c:f>
              <c:numCache>
                <c:formatCode>General</c:formatCode>
                <c:ptCount val="6"/>
                <c:pt idx="0">
                  <c:v>2017</c:v>
                </c:pt>
                <c:pt idx="1">
                  <c:v>2018</c:v>
                </c:pt>
                <c:pt idx="2">
                  <c:v>2019</c:v>
                </c:pt>
                <c:pt idx="3">
                  <c:v>2020</c:v>
                </c:pt>
                <c:pt idx="4">
                  <c:v>2021</c:v>
                </c:pt>
                <c:pt idx="5">
                  <c:v>2022</c:v>
                </c:pt>
              </c:numCache>
            </c:numRef>
          </c:cat>
          <c:val>
            <c:numRef>
              <c:f>'W-SD'!$B$37:$G$37</c:f>
              <c:numCache>
                <c:formatCode>#,##0</c:formatCode>
                <c:ptCount val="6"/>
                <c:pt idx="0">
                  <c:v>6</c:v>
                </c:pt>
                <c:pt idx="1">
                  <c:v>3</c:v>
                </c:pt>
                <c:pt idx="2">
                  <c:v>3</c:v>
                </c:pt>
                <c:pt idx="3">
                  <c:v>4</c:v>
                </c:pt>
                <c:pt idx="4">
                  <c:v>4</c:v>
                </c:pt>
                <c:pt idx="5">
                  <c:v>3</c:v>
                </c:pt>
              </c:numCache>
            </c:numRef>
          </c:val>
          <c:extLst>
            <c:ext xmlns:c16="http://schemas.microsoft.com/office/drawing/2014/chart" uri="{C3380CC4-5D6E-409C-BE32-E72D297353CC}">
              <c16:uniqueId val="{00000003-57A6-4A6D-9C35-F7BF89769545}"/>
            </c:ext>
          </c:extLst>
        </c:ser>
        <c:ser>
          <c:idx val="5"/>
          <c:order val="4"/>
          <c:tx>
            <c:strRef>
              <c:f>'W-SD'!$A$38</c:f>
              <c:strCache>
                <c:ptCount val="1"/>
                <c:pt idx="0">
                  <c:v>Mantelzorgtoelage</c:v>
                </c:pt>
              </c:strCache>
            </c:strRef>
          </c:tx>
          <c:invertIfNegative val="0"/>
          <c:cat>
            <c:numRef>
              <c:f>'W-SD'!$B$32:$G$32</c:f>
              <c:numCache>
                <c:formatCode>General</c:formatCode>
                <c:ptCount val="6"/>
                <c:pt idx="0">
                  <c:v>2017</c:v>
                </c:pt>
                <c:pt idx="1">
                  <c:v>2018</c:v>
                </c:pt>
                <c:pt idx="2">
                  <c:v>2019</c:v>
                </c:pt>
                <c:pt idx="3">
                  <c:v>2020</c:v>
                </c:pt>
                <c:pt idx="4">
                  <c:v>2021</c:v>
                </c:pt>
                <c:pt idx="5">
                  <c:v>2022</c:v>
                </c:pt>
              </c:numCache>
            </c:numRef>
          </c:cat>
          <c:val>
            <c:numRef>
              <c:f>'W-SD'!$B$38:$G$38</c:f>
              <c:numCache>
                <c:formatCode>#,##0</c:formatCode>
                <c:ptCount val="6"/>
                <c:pt idx="0">
                  <c:v>61</c:v>
                </c:pt>
                <c:pt idx="1">
                  <c:v>120</c:v>
                </c:pt>
                <c:pt idx="2">
                  <c:v>147</c:v>
                </c:pt>
                <c:pt idx="3">
                  <c:v>138</c:v>
                </c:pt>
                <c:pt idx="4">
                  <c:v>152</c:v>
                </c:pt>
                <c:pt idx="5">
                  <c:v>172</c:v>
                </c:pt>
              </c:numCache>
            </c:numRef>
          </c:val>
          <c:extLst xmlns:c15="http://schemas.microsoft.com/office/drawing/2012/chart">
            <c:ext xmlns:c16="http://schemas.microsoft.com/office/drawing/2014/chart" uri="{C3380CC4-5D6E-409C-BE32-E72D297353CC}">
              <c16:uniqueId val="{00000004-57A6-4A6D-9C35-F7BF89769545}"/>
            </c:ext>
          </c:extLst>
        </c:ser>
        <c:ser>
          <c:idx val="1"/>
          <c:order val="5"/>
          <c:tx>
            <c:strRef>
              <c:f>'W-SD'!$A$39</c:f>
              <c:strCache>
                <c:ptCount val="1"/>
                <c:pt idx="0">
                  <c:v>Incontinentiepremie </c:v>
                </c:pt>
              </c:strCache>
            </c:strRef>
          </c:tx>
          <c:invertIfNegative val="0"/>
          <c:cat>
            <c:numRef>
              <c:f>'W-SD'!$B$32:$G$32</c:f>
              <c:numCache>
                <c:formatCode>General</c:formatCode>
                <c:ptCount val="6"/>
                <c:pt idx="0">
                  <c:v>2017</c:v>
                </c:pt>
                <c:pt idx="1">
                  <c:v>2018</c:v>
                </c:pt>
                <c:pt idx="2">
                  <c:v>2019</c:v>
                </c:pt>
                <c:pt idx="3">
                  <c:v>2020</c:v>
                </c:pt>
                <c:pt idx="4">
                  <c:v>2021</c:v>
                </c:pt>
                <c:pt idx="5">
                  <c:v>2022</c:v>
                </c:pt>
              </c:numCache>
            </c:numRef>
          </c:cat>
          <c:val>
            <c:numRef>
              <c:f>'W-SD'!$B$39:$G$39</c:f>
              <c:numCache>
                <c:formatCode>#,##0</c:formatCode>
                <c:ptCount val="6"/>
                <c:pt idx="4">
                  <c:v>55</c:v>
                </c:pt>
                <c:pt idx="5">
                  <c:v>84</c:v>
                </c:pt>
              </c:numCache>
            </c:numRef>
          </c:val>
          <c:extLst>
            <c:ext xmlns:c16="http://schemas.microsoft.com/office/drawing/2014/chart" uri="{C3380CC4-5D6E-409C-BE32-E72D297353CC}">
              <c16:uniqueId val="{0000002F-2ECF-4B65-A024-A4C3C369D509}"/>
            </c:ext>
          </c:extLst>
        </c:ser>
        <c:ser>
          <c:idx val="6"/>
          <c:order val="6"/>
          <c:tx>
            <c:strRef>
              <c:f>'W-SD'!$A$40</c:f>
              <c:strCache>
                <c:ptCount val="1"/>
                <c:pt idx="0">
                  <c:v>Individueel verminderd tarief kinderopvang </c:v>
                </c:pt>
              </c:strCache>
            </c:strRef>
          </c:tx>
          <c:invertIfNegative val="0"/>
          <c:cat>
            <c:numRef>
              <c:f>'W-SD'!$B$32:$G$32</c:f>
              <c:numCache>
                <c:formatCode>General</c:formatCode>
                <c:ptCount val="6"/>
                <c:pt idx="0">
                  <c:v>2017</c:v>
                </c:pt>
                <c:pt idx="1">
                  <c:v>2018</c:v>
                </c:pt>
                <c:pt idx="2">
                  <c:v>2019</c:v>
                </c:pt>
                <c:pt idx="3">
                  <c:v>2020</c:v>
                </c:pt>
                <c:pt idx="4">
                  <c:v>2021</c:v>
                </c:pt>
                <c:pt idx="5">
                  <c:v>2022</c:v>
                </c:pt>
              </c:numCache>
            </c:numRef>
          </c:cat>
          <c:val>
            <c:numRef>
              <c:f>'W-SD'!$B$40:$G$40</c:f>
              <c:numCache>
                <c:formatCode>#,##0</c:formatCode>
                <c:ptCount val="6"/>
                <c:pt idx="4">
                  <c:v>0</c:v>
                </c:pt>
                <c:pt idx="5">
                  <c:v>1</c:v>
                </c:pt>
              </c:numCache>
            </c:numRef>
          </c:val>
          <c:extLst>
            <c:ext xmlns:c16="http://schemas.microsoft.com/office/drawing/2014/chart" uri="{C3380CC4-5D6E-409C-BE32-E72D297353CC}">
              <c16:uniqueId val="{00000030-2ECF-4B65-A024-A4C3C369D509}"/>
            </c:ext>
          </c:extLst>
        </c:ser>
        <c:ser>
          <c:idx val="7"/>
          <c:order val="7"/>
          <c:tx>
            <c:strRef>
              <c:f>'W-SD'!$A$41</c:f>
              <c:strCache>
                <c:ptCount val="1"/>
                <c:pt idx="0">
                  <c:v>Eerste leeftijdsmelk en Tweede leeftijdsmelk</c:v>
                </c:pt>
              </c:strCache>
            </c:strRef>
          </c:tx>
          <c:invertIfNegative val="0"/>
          <c:cat>
            <c:numRef>
              <c:f>'W-SD'!$B$32:$G$32</c:f>
              <c:numCache>
                <c:formatCode>General</c:formatCode>
                <c:ptCount val="6"/>
                <c:pt idx="0">
                  <c:v>2017</c:v>
                </c:pt>
                <c:pt idx="1">
                  <c:v>2018</c:v>
                </c:pt>
                <c:pt idx="2">
                  <c:v>2019</c:v>
                </c:pt>
                <c:pt idx="3">
                  <c:v>2020</c:v>
                </c:pt>
                <c:pt idx="4">
                  <c:v>2021</c:v>
                </c:pt>
                <c:pt idx="5">
                  <c:v>2022</c:v>
                </c:pt>
              </c:numCache>
            </c:numRef>
          </c:cat>
          <c:val>
            <c:numRef>
              <c:f>'W-SD'!$B$41:$G$41</c:f>
              <c:numCache>
                <c:formatCode>#,##0</c:formatCode>
                <c:ptCount val="6"/>
                <c:pt idx="4">
                  <c:v>3</c:v>
                </c:pt>
                <c:pt idx="5">
                  <c:v>0</c:v>
                </c:pt>
              </c:numCache>
            </c:numRef>
          </c:val>
          <c:extLst>
            <c:ext xmlns:c16="http://schemas.microsoft.com/office/drawing/2014/chart" uri="{C3380CC4-5D6E-409C-BE32-E72D297353CC}">
              <c16:uniqueId val="{00000031-2ECF-4B65-A024-A4C3C369D509}"/>
            </c:ext>
          </c:extLst>
        </c:ser>
        <c:ser>
          <c:idx val="10"/>
          <c:order val="10"/>
          <c:tx>
            <c:strRef>
              <c:f>'W-SD'!$A$44</c:f>
              <c:strCache>
                <c:ptCount val="1"/>
                <c:pt idx="0">
                  <c:v>Aantal referentieadressen </c:v>
                </c:pt>
              </c:strCache>
            </c:strRef>
          </c:tx>
          <c:invertIfNegative val="0"/>
          <c:cat>
            <c:numRef>
              <c:f>'W-SD'!$B$32:$G$32</c:f>
              <c:numCache>
                <c:formatCode>General</c:formatCode>
                <c:ptCount val="6"/>
                <c:pt idx="0">
                  <c:v>2017</c:v>
                </c:pt>
                <c:pt idx="1">
                  <c:v>2018</c:v>
                </c:pt>
                <c:pt idx="2">
                  <c:v>2019</c:v>
                </c:pt>
                <c:pt idx="3">
                  <c:v>2020</c:v>
                </c:pt>
                <c:pt idx="4">
                  <c:v>2021</c:v>
                </c:pt>
                <c:pt idx="5">
                  <c:v>2022</c:v>
                </c:pt>
              </c:numCache>
            </c:numRef>
          </c:cat>
          <c:val>
            <c:numRef>
              <c:f>'W-SD'!$B$44:$G$44</c:f>
              <c:numCache>
                <c:formatCode>#,##0</c:formatCode>
                <c:ptCount val="6"/>
                <c:pt idx="4">
                  <c:v>5</c:v>
                </c:pt>
                <c:pt idx="5">
                  <c:v>11</c:v>
                </c:pt>
              </c:numCache>
            </c:numRef>
          </c:val>
          <c:extLst>
            <c:ext xmlns:c16="http://schemas.microsoft.com/office/drawing/2014/chart" uri="{C3380CC4-5D6E-409C-BE32-E72D297353CC}">
              <c16:uniqueId val="{00000034-2ECF-4B65-A024-A4C3C369D509}"/>
            </c:ext>
          </c:extLst>
        </c:ser>
        <c:ser>
          <c:idx val="11"/>
          <c:order val="11"/>
          <c:tx>
            <c:strRef>
              <c:f>'W-SD'!$A$45</c:f>
              <c:strCache>
                <c:ptCount val="1"/>
                <c:pt idx="0">
                  <c:v>Aantal bemiddeling uithuiszettingen</c:v>
                </c:pt>
              </c:strCache>
            </c:strRef>
          </c:tx>
          <c:invertIfNegative val="0"/>
          <c:cat>
            <c:numRef>
              <c:f>'W-SD'!$B$32:$G$32</c:f>
              <c:numCache>
                <c:formatCode>General</c:formatCode>
                <c:ptCount val="6"/>
                <c:pt idx="0">
                  <c:v>2017</c:v>
                </c:pt>
                <c:pt idx="1">
                  <c:v>2018</c:v>
                </c:pt>
                <c:pt idx="2">
                  <c:v>2019</c:v>
                </c:pt>
                <c:pt idx="3">
                  <c:v>2020</c:v>
                </c:pt>
                <c:pt idx="4">
                  <c:v>2021</c:v>
                </c:pt>
                <c:pt idx="5">
                  <c:v>2022</c:v>
                </c:pt>
              </c:numCache>
            </c:numRef>
          </c:cat>
          <c:val>
            <c:numRef>
              <c:f>'W-SD'!$B$45:$G$45</c:f>
              <c:numCache>
                <c:formatCode>#,##0</c:formatCode>
                <c:ptCount val="6"/>
                <c:pt idx="4">
                  <c:v>13</c:v>
                </c:pt>
                <c:pt idx="5">
                  <c:v>12</c:v>
                </c:pt>
              </c:numCache>
            </c:numRef>
          </c:val>
          <c:extLst>
            <c:ext xmlns:c16="http://schemas.microsoft.com/office/drawing/2014/chart" uri="{C3380CC4-5D6E-409C-BE32-E72D297353CC}">
              <c16:uniqueId val="{00000035-2ECF-4B65-A024-A4C3C369D509}"/>
            </c:ext>
          </c:extLst>
        </c:ser>
        <c:ser>
          <c:idx val="12"/>
          <c:order val="12"/>
          <c:tx>
            <c:strRef>
              <c:f>'W-SD'!$A$46</c:f>
              <c:strCache>
                <c:ptCount val="1"/>
                <c:pt idx="0">
                  <c:v>Aantal toegekende installatiepremies </c:v>
                </c:pt>
              </c:strCache>
            </c:strRef>
          </c:tx>
          <c:invertIfNegative val="0"/>
          <c:cat>
            <c:numRef>
              <c:f>'W-SD'!$B$32:$G$32</c:f>
              <c:numCache>
                <c:formatCode>General</c:formatCode>
                <c:ptCount val="6"/>
                <c:pt idx="0">
                  <c:v>2017</c:v>
                </c:pt>
                <c:pt idx="1">
                  <c:v>2018</c:v>
                </c:pt>
                <c:pt idx="2">
                  <c:v>2019</c:v>
                </c:pt>
                <c:pt idx="3">
                  <c:v>2020</c:v>
                </c:pt>
                <c:pt idx="4">
                  <c:v>2021</c:v>
                </c:pt>
                <c:pt idx="5">
                  <c:v>2022</c:v>
                </c:pt>
              </c:numCache>
            </c:numRef>
          </c:cat>
          <c:val>
            <c:numRef>
              <c:f>'W-SD'!$B$46:$G$46</c:f>
              <c:numCache>
                <c:formatCode>#,##0</c:formatCode>
                <c:ptCount val="6"/>
                <c:pt idx="4">
                  <c:v>6</c:v>
                </c:pt>
                <c:pt idx="5">
                  <c:v>9</c:v>
                </c:pt>
              </c:numCache>
            </c:numRef>
          </c:val>
          <c:extLst>
            <c:ext xmlns:c16="http://schemas.microsoft.com/office/drawing/2014/chart" uri="{C3380CC4-5D6E-409C-BE32-E72D297353CC}">
              <c16:uniqueId val="{00000036-2ECF-4B65-A024-A4C3C369D509}"/>
            </c:ext>
          </c:extLst>
        </c:ser>
        <c:ser>
          <c:idx val="13"/>
          <c:order val="13"/>
          <c:tx>
            <c:strRef>
              <c:f>'W-SD'!$A$47</c:f>
              <c:strCache>
                <c:ptCount val="1"/>
                <c:pt idx="0">
                  <c:v>Aantal tussenkost Fonds Bestrijding Uithuiszetting (FBU)</c:v>
                </c:pt>
              </c:strCache>
            </c:strRef>
          </c:tx>
          <c:invertIfNegative val="0"/>
          <c:cat>
            <c:numRef>
              <c:f>'W-SD'!$B$32:$G$32</c:f>
              <c:numCache>
                <c:formatCode>General</c:formatCode>
                <c:ptCount val="6"/>
                <c:pt idx="0">
                  <c:v>2017</c:v>
                </c:pt>
                <c:pt idx="1">
                  <c:v>2018</c:v>
                </c:pt>
                <c:pt idx="2">
                  <c:v>2019</c:v>
                </c:pt>
                <c:pt idx="3">
                  <c:v>2020</c:v>
                </c:pt>
                <c:pt idx="4">
                  <c:v>2021</c:v>
                </c:pt>
                <c:pt idx="5">
                  <c:v>2022</c:v>
                </c:pt>
              </c:numCache>
            </c:numRef>
          </c:cat>
          <c:val>
            <c:numRef>
              <c:f>'W-SD'!$B$47:$G$47</c:f>
              <c:numCache>
                <c:formatCode>#,##0</c:formatCode>
                <c:ptCount val="6"/>
                <c:pt idx="4">
                  <c:v>1</c:v>
                </c:pt>
                <c:pt idx="5">
                  <c:v>6</c:v>
                </c:pt>
              </c:numCache>
            </c:numRef>
          </c:val>
          <c:extLst>
            <c:ext xmlns:c16="http://schemas.microsoft.com/office/drawing/2014/chart" uri="{C3380CC4-5D6E-409C-BE32-E72D297353CC}">
              <c16:uniqueId val="{00000037-2ECF-4B65-A024-A4C3C369D509}"/>
            </c:ext>
          </c:extLst>
        </c:ser>
        <c:ser>
          <c:idx val="16"/>
          <c:order val="16"/>
          <c:tx>
            <c:strRef>
              <c:f>'W-SD'!$A$50</c:f>
              <c:strCache>
                <c:ptCount val="1"/>
                <c:pt idx="0">
                  <c:v>Aantal dossiers tussenkomst WZC (jaar)</c:v>
                </c:pt>
              </c:strCache>
            </c:strRef>
          </c:tx>
          <c:invertIfNegative val="0"/>
          <c:cat>
            <c:numRef>
              <c:f>'W-SD'!$B$32:$G$32</c:f>
              <c:numCache>
                <c:formatCode>General</c:formatCode>
                <c:ptCount val="6"/>
                <c:pt idx="0">
                  <c:v>2017</c:v>
                </c:pt>
                <c:pt idx="1">
                  <c:v>2018</c:v>
                </c:pt>
                <c:pt idx="2">
                  <c:v>2019</c:v>
                </c:pt>
                <c:pt idx="3">
                  <c:v>2020</c:v>
                </c:pt>
                <c:pt idx="4">
                  <c:v>2021</c:v>
                </c:pt>
                <c:pt idx="5">
                  <c:v>2022</c:v>
                </c:pt>
              </c:numCache>
            </c:numRef>
          </c:cat>
          <c:val>
            <c:numRef>
              <c:f>'W-SD'!$B$50:$G$50</c:f>
              <c:numCache>
                <c:formatCode>#,##0</c:formatCode>
                <c:ptCount val="6"/>
                <c:pt idx="0">
                  <c:v>7</c:v>
                </c:pt>
                <c:pt idx="1">
                  <c:v>11</c:v>
                </c:pt>
                <c:pt idx="2">
                  <c:v>11</c:v>
                </c:pt>
                <c:pt idx="3">
                  <c:v>9</c:v>
                </c:pt>
                <c:pt idx="4">
                  <c:v>8</c:v>
                </c:pt>
                <c:pt idx="5">
                  <c:v>8</c:v>
                </c:pt>
              </c:numCache>
            </c:numRef>
          </c:val>
          <c:extLst>
            <c:ext xmlns:c16="http://schemas.microsoft.com/office/drawing/2014/chart" uri="{C3380CC4-5D6E-409C-BE32-E72D297353CC}">
              <c16:uniqueId val="{0000003A-2ECF-4B65-A024-A4C3C369D509}"/>
            </c:ext>
          </c:extLst>
        </c:ser>
        <c:dLbls>
          <c:showLegendKey val="0"/>
          <c:showVal val="0"/>
          <c:showCatName val="0"/>
          <c:showSerName val="0"/>
          <c:showPercent val="0"/>
          <c:showBubbleSize val="0"/>
        </c:dLbls>
        <c:gapWidth val="150"/>
        <c:axId val="165966976"/>
        <c:axId val="165968512"/>
        <c:extLst>
          <c:ext xmlns:c15="http://schemas.microsoft.com/office/drawing/2012/chart" uri="{02D57815-91ED-43cb-92C2-25804820EDAC}">
            <c15:filteredBarSeries>
              <c15:ser>
                <c:idx val="8"/>
                <c:order val="8"/>
                <c:tx>
                  <c:strRef>
                    <c:extLst>
                      <c:ext uri="{02D57815-91ED-43cb-92C2-25804820EDAC}">
                        <c15:formulaRef>
                          <c15:sqref>'W-SD'!$A$42</c15:sqref>
                        </c15:formulaRef>
                      </c:ext>
                    </c:extLst>
                    <c:strCache>
                      <c:ptCount val="1"/>
                    </c:strCache>
                  </c:strRef>
                </c:tx>
                <c:invertIfNegative val="0"/>
                <c:cat>
                  <c:numRef>
                    <c:extLst>
                      <c:ext uri="{02D57815-91ED-43cb-92C2-25804820EDAC}">
                        <c15:formulaRef>
                          <c15:sqref>'W-SD'!$B$32:$G$32</c15:sqref>
                        </c15:formulaRef>
                      </c:ext>
                    </c:extLst>
                    <c:numCache>
                      <c:formatCode>General</c:formatCode>
                      <c:ptCount val="6"/>
                      <c:pt idx="0">
                        <c:v>2017</c:v>
                      </c:pt>
                      <c:pt idx="1">
                        <c:v>2018</c:v>
                      </c:pt>
                      <c:pt idx="2">
                        <c:v>2019</c:v>
                      </c:pt>
                      <c:pt idx="3">
                        <c:v>2020</c:v>
                      </c:pt>
                      <c:pt idx="4">
                        <c:v>2021</c:v>
                      </c:pt>
                      <c:pt idx="5">
                        <c:v>2022</c:v>
                      </c:pt>
                    </c:numCache>
                  </c:numRef>
                </c:cat>
                <c:val>
                  <c:numRef>
                    <c:extLst>
                      <c:ext uri="{02D57815-91ED-43cb-92C2-25804820EDAC}">
                        <c15:formulaRef>
                          <c15:sqref>'W-SD'!$B$42:$G$42</c15:sqref>
                        </c15:formulaRef>
                      </c:ext>
                    </c:extLst>
                    <c:numCache>
                      <c:formatCode>#,##0</c:formatCode>
                      <c:ptCount val="6"/>
                    </c:numCache>
                  </c:numRef>
                </c:val>
                <c:extLst>
                  <c:ext xmlns:c16="http://schemas.microsoft.com/office/drawing/2014/chart" uri="{C3380CC4-5D6E-409C-BE32-E72D297353CC}">
                    <c16:uniqueId val="{00000032-2ECF-4B65-A024-A4C3C369D50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'W-SD'!$A$43</c15:sqref>
                        </c15:formulaRef>
                      </c:ext>
                    </c:extLst>
                    <c:strCache>
                      <c:ptCount val="1"/>
                      <c:pt idx="0">
                        <c:v>Huisvesting</c:v>
                      </c:pt>
                    </c:strCache>
                  </c:strRef>
                </c:tx>
                <c:invertIfNegative val="0"/>
                <c:cat>
                  <c:numRef>
                    <c:extLst xmlns:c15="http://schemas.microsoft.com/office/drawing/2012/chart">
                      <c:ext xmlns:c15="http://schemas.microsoft.com/office/drawing/2012/chart" uri="{02D57815-91ED-43cb-92C2-25804820EDAC}">
                        <c15:formulaRef>
                          <c15:sqref>'W-SD'!$B$32:$G$32</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'W-SD'!$B$43:$G$43</c15:sqref>
                        </c15:formulaRef>
                      </c:ext>
                    </c:extLst>
                    <c:numCache>
                      <c:formatCode>#,##0</c:formatCode>
                      <c:ptCount val="6"/>
                    </c:numCache>
                  </c:numRef>
                </c:val>
                <c:extLst xmlns:c15="http://schemas.microsoft.com/office/drawing/2012/chart">
                  <c:ext xmlns:c16="http://schemas.microsoft.com/office/drawing/2014/chart" uri="{C3380CC4-5D6E-409C-BE32-E72D297353CC}">
                    <c16:uniqueId val="{00000033-2ECF-4B65-A024-A4C3C369D50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'W-SD'!$A$48</c15:sqref>
                        </c15:formulaRef>
                      </c:ext>
                    </c:extLst>
                    <c:strCache>
                      <c:ptCount val="1"/>
                    </c:strCache>
                  </c:strRef>
                </c:tx>
                <c:invertIfNegative val="0"/>
                <c:cat>
                  <c:numRef>
                    <c:extLst xmlns:c15="http://schemas.microsoft.com/office/drawing/2012/chart">
                      <c:ext xmlns:c15="http://schemas.microsoft.com/office/drawing/2012/chart" uri="{02D57815-91ED-43cb-92C2-25804820EDAC}">
                        <c15:formulaRef>
                          <c15:sqref>'W-SD'!$B$32:$G$32</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'W-SD'!$B$48:$G$48</c15:sqref>
                        </c15:formulaRef>
                      </c:ext>
                    </c:extLst>
                    <c:numCache>
                      <c:formatCode>#,##0</c:formatCode>
                      <c:ptCount val="6"/>
                    </c:numCache>
                  </c:numRef>
                </c:val>
                <c:extLst xmlns:c15="http://schemas.microsoft.com/office/drawing/2012/chart">
                  <c:ext xmlns:c16="http://schemas.microsoft.com/office/drawing/2014/chart" uri="{C3380CC4-5D6E-409C-BE32-E72D297353CC}">
                    <c16:uniqueId val="{00000038-2ECF-4B65-A024-A4C3C369D50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'W-SD'!$A$49</c15:sqref>
                        </c15:formulaRef>
                      </c:ext>
                    </c:extLst>
                    <c:strCache>
                      <c:ptCount val="1"/>
                      <c:pt idx="0">
                        <c:v>Tussenkomsten Woon- en Zorgcentra</c:v>
                      </c:pt>
                    </c:strCache>
                  </c:strRef>
                </c:tx>
                <c:invertIfNegative val="0"/>
                <c:cat>
                  <c:numRef>
                    <c:extLst xmlns:c15="http://schemas.microsoft.com/office/drawing/2012/chart">
                      <c:ext xmlns:c15="http://schemas.microsoft.com/office/drawing/2012/chart" uri="{02D57815-91ED-43cb-92C2-25804820EDAC}">
                        <c15:formulaRef>
                          <c15:sqref>'W-SD'!$B$32:$G$32</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'W-SD'!$B$49:$G$49</c15:sqref>
                        </c15:formulaRef>
                      </c:ext>
                    </c:extLst>
                    <c:numCache>
                      <c:formatCode>#,##0</c:formatCode>
                      <c:ptCount val="6"/>
                    </c:numCache>
                  </c:numRef>
                </c:val>
                <c:extLst xmlns:c15="http://schemas.microsoft.com/office/drawing/2012/chart">
                  <c:ext xmlns:c16="http://schemas.microsoft.com/office/drawing/2014/chart" uri="{C3380CC4-5D6E-409C-BE32-E72D297353CC}">
                    <c16:uniqueId val="{00000039-2ECF-4B65-A024-A4C3C369D509}"/>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'W-SD'!$A$51</c15:sqref>
                        </c15:formulaRef>
                      </c:ext>
                    </c:extLst>
                    <c:strCache>
                      <c:ptCount val="1"/>
                      <c:pt idx="0">
                        <c:v>Aantal dossiers Ter Linden (31/12)</c:v>
                      </c:pt>
                    </c:strCache>
                  </c:strRef>
                </c:tx>
                <c:invertIfNegative val="0"/>
                <c:cat>
                  <c:numRef>
                    <c:extLst xmlns:c15="http://schemas.microsoft.com/office/drawing/2012/chart">
                      <c:ext xmlns:c15="http://schemas.microsoft.com/office/drawing/2012/chart" uri="{02D57815-91ED-43cb-92C2-25804820EDAC}">
                        <c15:formulaRef>
                          <c15:sqref>'W-SD'!$B$32:$G$32</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'W-SD'!$B$51:$G$51</c15:sqref>
                        </c15:formulaRef>
                      </c:ext>
                    </c:extLst>
                    <c:numCache>
                      <c:formatCode>#,##0</c:formatCode>
                      <c:ptCount val="6"/>
                      <c:pt idx="0">
                        <c:v>4</c:v>
                      </c:pt>
                      <c:pt idx="1">
                        <c:v>7</c:v>
                      </c:pt>
                      <c:pt idx="2">
                        <c:v>6</c:v>
                      </c:pt>
                      <c:pt idx="3">
                        <c:v>6</c:v>
                      </c:pt>
                      <c:pt idx="4">
                        <c:v>3</c:v>
                      </c:pt>
                      <c:pt idx="5">
                        <c:v>6</c:v>
                      </c:pt>
                    </c:numCache>
                  </c:numRef>
                </c:val>
                <c:extLst xmlns:c15="http://schemas.microsoft.com/office/drawing/2012/chart">
                  <c:ext xmlns:c16="http://schemas.microsoft.com/office/drawing/2014/chart" uri="{C3380CC4-5D6E-409C-BE32-E72D297353CC}">
                    <c16:uniqueId val="{0000003B-2ECF-4B65-A024-A4C3C369D509}"/>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'W-SD'!$A$52</c15:sqref>
                        </c15:formulaRef>
                      </c:ext>
                    </c:extLst>
                    <c:strCache>
                      <c:ptCount val="1"/>
                      <c:pt idx="0">
                        <c:v>Aantal dossiers Ter Linden (jaar)</c:v>
                      </c:pt>
                    </c:strCache>
                  </c:strRef>
                </c:tx>
                <c:invertIfNegative val="0"/>
                <c:cat>
                  <c:numRef>
                    <c:extLst xmlns:c15="http://schemas.microsoft.com/office/drawing/2012/chart">
                      <c:ext xmlns:c15="http://schemas.microsoft.com/office/drawing/2012/chart" uri="{02D57815-91ED-43cb-92C2-25804820EDAC}">
                        <c15:formulaRef>
                          <c15:sqref>'W-SD'!$B$32:$G$32</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'W-SD'!$B$52:$G$52</c15:sqref>
                        </c15:formulaRef>
                      </c:ext>
                    </c:extLst>
                    <c:numCache>
                      <c:formatCode>#,##0</c:formatCode>
                      <c:ptCount val="6"/>
                      <c:pt idx="0">
                        <c:v>5</c:v>
                      </c:pt>
                      <c:pt idx="1">
                        <c:v>9</c:v>
                      </c:pt>
                      <c:pt idx="2">
                        <c:v>7</c:v>
                      </c:pt>
                      <c:pt idx="3">
                        <c:v>6</c:v>
                      </c:pt>
                      <c:pt idx="4">
                        <c:v>6</c:v>
                      </c:pt>
                      <c:pt idx="5">
                        <c:v>6</c:v>
                      </c:pt>
                    </c:numCache>
                  </c:numRef>
                </c:val>
                <c:extLst xmlns:c15="http://schemas.microsoft.com/office/drawing/2012/chart">
                  <c:ext xmlns:c16="http://schemas.microsoft.com/office/drawing/2014/chart" uri="{C3380CC4-5D6E-409C-BE32-E72D297353CC}">
                    <c16:uniqueId val="{0000003C-2ECF-4B65-A024-A4C3C369D509}"/>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'W-SD'!$A$53</c15:sqref>
                        </c15:formulaRef>
                      </c:ext>
                    </c:extLst>
                    <c:strCache>
                      <c:ptCount val="1"/>
                      <c:pt idx="0">
                        <c:v>Aantal dossiers andere WZC (31/12)</c:v>
                      </c:pt>
                    </c:strCache>
                  </c:strRef>
                </c:tx>
                <c:invertIfNegative val="0"/>
                <c:cat>
                  <c:numRef>
                    <c:extLst xmlns:c15="http://schemas.microsoft.com/office/drawing/2012/chart">
                      <c:ext xmlns:c15="http://schemas.microsoft.com/office/drawing/2012/chart" uri="{02D57815-91ED-43cb-92C2-25804820EDAC}">
                        <c15:formulaRef>
                          <c15:sqref>'W-SD'!$B$32:$G$32</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'W-SD'!$B$53:$G$53</c15:sqref>
                        </c15:formulaRef>
                      </c:ext>
                    </c:extLst>
                    <c:numCache>
                      <c:formatCode>#,##0</c:formatCode>
                      <c:ptCount val="6"/>
                      <c:pt idx="0">
                        <c:v>1</c:v>
                      </c:pt>
                      <c:pt idx="1">
                        <c:v>2</c:v>
                      </c:pt>
                      <c:pt idx="2">
                        <c:v>3</c:v>
                      </c:pt>
                      <c:pt idx="3">
                        <c:v>2</c:v>
                      </c:pt>
                      <c:pt idx="4">
                        <c:v>2</c:v>
                      </c:pt>
                      <c:pt idx="5">
                        <c:v>2</c:v>
                      </c:pt>
                    </c:numCache>
                  </c:numRef>
                </c:val>
                <c:extLst xmlns:c15="http://schemas.microsoft.com/office/drawing/2012/chart">
                  <c:ext xmlns:c16="http://schemas.microsoft.com/office/drawing/2014/chart" uri="{C3380CC4-5D6E-409C-BE32-E72D297353CC}">
                    <c16:uniqueId val="{0000003D-2ECF-4B65-A024-A4C3C369D509}"/>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'W-SD'!$A$54</c15:sqref>
                        </c15:formulaRef>
                      </c:ext>
                    </c:extLst>
                    <c:strCache>
                      <c:ptCount val="1"/>
                      <c:pt idx="0">
                        <c:v>Aantal dossiers andere WZC (jaar)</c:v>
                      </c:pt>
                    </c:strCache>
                  </c:strRef>
                </c:tx>
                <c:invertIfNegative val="0"/>
                <c:cat>
                  <c:numRef>
                    <c:extLst xmlns:c15="http://schemas.microsoft.com/office/drawing/2012/chart">
                      <c:ext xmlns:c15="http://schemas.microsoft.com/office/drawing/2012/chart" uri="{02D57815-91ED-43cb-92C2-25804820EDAC}">
                        <c15:formulaRef>
                          <c15:sqref>'W-SD'!$B$32:$G$32</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'W-SD'!$B$54:$G$54</c15:sqref>
                        </c15:formulaRef>
                      </c:ext>
                    </c:extLst>
                    <c:numCache>
                      <c:formatCode>#,##0</c:formatCode>
                      <c:ptCount val="6"/>
                      <c:pt idx="0">
                        <c:v>2</c:v>
                      </c:pt>
                      <c:pt idx="1">
                        <c:v>2</c:v>
                      </c:pt>
                      <c:pt idx="2">
                        <c:v>4</c:v>
                      </c:pt>
                      <c:pt idx="3">
                        <c:v>3</c:v>
                      </c:pt>
                      <c:pt idx="4">
                        <c:v>2</c:v>
                      </c:pt>
                      <c:pt idx="5">
                        <c:v>2</c:v>
                      </c:pt>
                    </c:numCache>
                  </c:numRef>
                </c:val>
                <c:extLst xmlns:c15="http://schemas.microsoft.com/office/drawing/2012/chart">
                  <c:ext xmlns:c16="http://schemas.microsoft.com/office/drawing/2014/chart" uri="{C3380CC4-5D6E-409C-BE32-E72D297353CC}">
                    <c16:uniqueId val="{0000003E-2ECF-4B65-A024-A4C3C369D509}"/>
                  </c:ext>
                </c:extLst>
              </c15:ser>
            </c15:filteredBarSeries>
          </c:ext>
        </c:extLst>
      </c:barChart>
      <c:catAx>
        <c:axId val="1659669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5968512"/>
        <c:crosses val="autoZero"/>
        <c:auto val="1"/>
        <c:lblAlgn val="ctr"/>
        <c:lblOffset val="100"/>
        <c:noMultiLvlLbl val="0"/>
      </c:catAx>
      <c:valAx>
        <c:axId val="165968512"/>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5966976"/>
        <c:crosses val="autoZero"/>
        <c:crossBetween val="between"/>
      </c:valAx>
      <c:spPr>
        <a:solidFill>
          <a:srgbClr val="C0C0C0"/>
        </a:soli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Individuele vs. Groepen vs. Schoolgroepen</a:t>
            </a:r>
          </a:p>
        </c:rich>
      </c:tx>
      <c:overlay val="0"/>
    </c:title>
    <c:autoTitleDeleted val="0"/>
    <c:plotArea>
      <c:layout/>
      <c:barChart>
        <c:barDir val="col"/>
        <c:grouping val="percentStacked"/>
        <c:varyColors val="0"/>
        <c:ser>
          <c:idx val="0"/>
          <c:order val="0"/>
          <c:tx>
            <c:v>Individueel</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108</c:v>
              </c:pt>
              <c:pt idx="1">
                <c:v>168</c:v>
              </c:pt>
              <c:pt idx="2">
                <c:v>205</c:v>
              </c:pt>
              <c:pt idx="3">
                <c:v>564</c:v>
              </c:pt>
              <c:pt idx="4">
                <c:v>406</c:v>
              </c:pt>
              <c:pt idx="5">
                <c:v>413</c:v>
              </c:pt>
              <c:pt idx="6">
                <c:v>534</c:v>
              </c:pt>
              <c:pt idx="7">
                <c:v>792</c:v>
              </c:pt>
              <c:pt idx="8">
                <c:v>501</c:v>
              </c:pt>
              <c:pt idx="9">
                <c:v>417</c:v>
              </c:pt>
              <c:pt idx="10">
                <c:v>393</c:v>
              </c:pt>
              <c:pt idx="11">
                <c:v>208</c:v>
              </c:pt>
            </c:numLit>
          </c:val>
          <c:extLst>
            <c:ext xmlns:c16="http://schemas.microsoft.com/office/drawing/2014/chart" uri="{C3380CC4-5D6E-409C-BE32-E72D297353CC}">
              <c16:uniqueId val="{00000000-5D87-448B-B328-A65F7F751C83}"/>
            </c:ext>
          </c:extLst>
        </c:ser>
        <c:ser>
          <c:idx val="1"/>
          <c:order val="1"/>
          <c:tx>
            <c:v>Groepen</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57</c:v>
              </c:pt>
              <c:pt idx="1">
                <c:v>0</c:v>
              </c:pt>
              <c:pt idx="2">
                <c:v>23</c:v>
              </c:pt>
              <c:pt idx="3">
                <c:v>117</c:v>
              </c:pt>
              <c:pt idx="4">
                <c:v>202</c:v>
              </c:pt>
              <c:pt idx="5">
                <c:v>223</c:v>
              </c:pt>
              <c:pt idx="6">
                <c:v>34</c:v>
              </c:pt>
              <c:pt idx="7">
                <c:v>32</c:v>
              </c:pt>
              <c:pt idx="8">
                <c:v>58</c:v>
              </c:pt>
              <c:pt idx="9">
                <c:v>177</c:v>
              </c:pt>
              <c:pt idx="10">
                <c:v>0</c:v>
              </c:pt>
              <c:pt idx="11">
                <c:v>0</c:v>
              </c:pt>
            </c:numLit>
          </c:val>
          <c:extLst>
            <c:ext xmlns:c16="http://schemas.microsoft.com/office/drawing/2014/chart" uri="{C3380CC4-5D6E-409C-BE32-E72D297353CC}">
              <c16:uniqueId val="{00000001-5D87-448B-B328-A65F7F751C83}"/>
            </c:ext>
          </c:extLst>
        </c:ser>
        <c:ser>
          <c:idx val="2"/>
          <c:order val="2"/>
          <c:tx>
            <c:v>Schoolgroepen</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0</c:v>
              </c:pt>
              <c:pt idx="1">
                <c:v>8</c:v>
              </c:pt>
              <c:pt idx="2">
                <c:v>21</c:v>
              </c:pt>
              <c:pt idx="3">
                <c:v>146</c:v>
              </c:pt>
              <c:pt idx="4">
                <c:v>11</c:v>
              </c:pt>
              <c:pt idx="5">
                <c:v>19</c:v>
              </c:pt>
              <c:pt idx="6">
                <c:v>0</c:v>
              </c:pt>
              <c:pt idx="7">
                <c:v>0</c:v>
              </c:pt>
              <c:pt idx="8">
                <c:v>22</c:v>
              </c:pt>
              <c:pt idx="9">
                <c:v>2</c:v>
              </c:pt>
              <c:pt idx="10">
                <c:v>4</c:v>
              </c:pt>
              <c:pt idx="11">
                <c:v>1</c:v>
              </c:pt>
            </c:numLit>
          </c:val>
          <c:extLst>
            <c:ext xmlns:c16="http://schemas.microsoft.com/office/drawing/2014/chart" uri="{C3380CC4-5D6E-409C-BE32-E72D297353CC}">
              <c16:uniqueId val="{00000002-5D87-448B-B328-A65F7F751C83}"/>
            </c:ext>
          </c:extLst>
        </c:ser>
        <c:dLbls>
          <c:showLegendKey val="0"/>
          <c:showVal val="0"/>
          <c:showCatName val="0"/>
          <c:showSerName val="0"/>
          <c:showPercent val="0"/>
          <c:showBubbleSize val="0"/>
        </c:dLbls>
        <c:gapWidth val="55"/>
        <c:overlap val="100"/>
        <c:axId val="677263064"/>
        <c:axId val="1"/>
      </c:barChart>
      <c:catAx>
        <c:axId val="677263064"/>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63064"/>
        <c:crosses val="autoZero"/>
        <c:crossBetween val="between"/>
      </c:valAx>
    </c:plotArea>
    <c:legend>
      <c:legendPos val="r"/>
      <c:layout>
        <c:manualLayout>
          <c:xMode val="edge"/>
          <c:yMode val="edge"/>
          <c:x val="0.77178423236514526"/>
          <c:y val="0.49635113129107034"/>
          <c:w val="0.2136929460580913"/>
          <c:h val="0.26277410579152061"/>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4117647058823528E-2"/>
          <c:y val="8.5910941228190874E-2"/>
          <c:w val="0.87294117647058822"/>
          <c:h val="0.65743315288713911"/>
        </c:manualLayout>
      </c:layout>
      <c:lineChart>
        <c:grouping val="standard"/>
        <c:varyColors val="0"/>
        <c:ser>
          <c:idx val="0"/>
          <c:order val="0"/>
          <c:tx>
            <c:strRef>
              <c:f>'W-SD'!$A$100</c:f>
              <c:strCache>
                <c:ptCount val="1"/>
                <c:pt idx="0">
                  <c:v>Aantal dossiers schuldhulpverlening (jaar)</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'W-SD'!$B$98:$G$98</c:f>
              <c:numCache>
                <c:formatCode>General</c:formatCode>
                <c:ptCount val="6"/>
                <c:pt idx="0">
                  <c:v>2017</c:v>
                </c:pt>
                <c:pt idx="1">
                  <c:v>2018</c:v>
                </c:pt>
                <c:pt idx="2">
                  <c:v>2019</c:v>
                </c:pt>
                <c:pt idx="3">
                  <c:v>2020</c:v>
                </c:pt>
                <c:pt idx="4">
                  <c:v>2021</c:v>
                </c:pt>
                <c:pt idx="5">
                  <c:v>2022</c:v>
                </c:pt>
              </c:numCache>
            </c:numRef>
          </c:cat>
          <c:val>
            <c:numRef>
              <c:f>'W-SD'!$B$100:$G$100</c:f>
              <c:numCache>
                <c:formatCode>#,##0</c:formatCode>
                <c:ptCount val="6"/>
                <c:pt idx="0">
                  <c:v>139</c:v>
                </c:pt>
                <c:pt idx="1">
                  <c:v>169</c:v>
                </c:pt>
                <c:pt idx="2">
                  <c:v>94</c:v>
                </c:pt>
                <c:pt idx="3">
                  <c:v>72</c:v>
                </c:pt>
                <c:pt idx="4">
                  <c:v>68</c:v>
                </c:pt>
                <c:pt idx="5">
                  <c:v>84</c:v>
                </c:pt>
              </c:numCache>
            </c:numRef>
          </c:val>
          <c:smooth val="0"/>
          <c:extLst>
            <c:ext xmlns:c16="http://schemas.microsoft.com/office/drawing/2014/chart" uri="{C3380CC4-5D6E-409C-BE32-E72D297353CC}">
              <c16:uniqueId val="{00000000-CC02-420D-AF10-6A8386C63B6B}"/>
            </c:ext>
          </c:extLst>
        </c:ser>
        <c:ser>
          <c:idx val="3"/>
          <c:order val="2"/>
          <c:tx>
            <c:strRef>
              <c:f>'W-SD'!$A$102</c:f>
              <c:strCache>
                <c:ptCount val="1"/>
                <c:pt idx="0">
                  <c:v>Aantal dossiers TWE (jaar)</c:v>
                </c:pt>
              </c:strCache>
            </c:strRef>
          </c:tx>
          <c:spPr>
            <a:ln w="12700">
              <a:solidFill>
                <a:srgbClr val="FFFF00"/>
              </a:solidFill>
              <a:prstDash val="solid"/>
            </a:ln>
          </c:spPr>
          <c:marker>
            <c:symbol val="x"/>
            <c:size val="5"/>
            <c:spPr>
              <a:solidFill>
                <a:srgbClr val="FFFF00"/>
              </a:solidFill>
              <a:ln>
                <a:solidFill>
                  <a:srgbClr val="FFFF00"/>
                </a:solidFill>
                <a:prstDash val="solid"/>
              </a:ln>
            </c:spPr>
          </c:marker>
          <c:cat>
            <c:numRef>
              <c:f>'W-SD'!$B$98:$G$98</c:f>
              <c:numCache>
                <c:formatCode>General</c:formatCode>
                <c:ptCount val="6"/>
                <c:pt idx="0">
                  <c:v>2017</c:v>
                </c:pt>
                <c:pt idx="1">
                  <c:v>2018</c:v>
                </c:pt>
                <c:pt idx="2">
                  <c:v>2019</c:v>
                </c:pt>
                <c:pt idx="3">
                  <c:v>2020</c:v>
                </c:pt>
                <c:pt idx="4">
                  <c:v>2021</c:v>
                </c:pt>
                <c:pt idx="5">
                  <c:v>2022</c:v>
                </c:pt>
              </c:numCache>
            </c:numRef>
          </c:cat>
          <c:val>
            <c:numRef>
              <c:f>'W-SD'!$B$102:$G$102</c:f>
              <c:numCache>
                <c:formatCode>#,##0</c:formatCode>
                <c:ptCount val="6"/>
                <c:pt idx="0">
                  <c:v>4</c:v>
                </c:pt>
                <c:pt idx="1">
                  <c:v>14</c:v>
                </c:pt>
                <c:pt idx="2">
                  <c:v>26</c:v>
                </c:pt>
                <c:pt idx="3">
                  <c:v>21</c:v>
                </c:pt>
                <c:pt idx="4">
                  <c:v>10</c:v>
                </c:pt>
                <c:pt idx="5">
                  <c:v>16</c:v>
                </c:pt>
              </c:numCache>
            </c:numRef>
          </c:val>
          <c:smooth val="0"/>
          <c:extLst>
            <c:ext xmlns:c16="http://schemas.microsoft.com/office/drawing/2014/chart" uri="{C3380CC4-5D6E-409C-BE32-E72D297353CC}">
              <c16:uniqueId val="{00000002-CC02-420D-AF10-6A8386C63B6B}"/>
            </c:ext>
          </c:extLst>
        </c:ser>
        <c:ser>
          <c:idx val="8"/>
          <c:order val="8"/>
          <c:tx>
            <c:strRef>
              <c:f>'W-SD'!$A$107</c:f>
              <c:strCache>
                <c:ptCount val="1"/>
                <c:pt idx="0">
                  <c:v>Aantal dossiers LAC (jaar)</c:v>
                </c:pt>
              </c:strCache>
            </c:strRef>
          </c:tx>
          <c:spPr>
            <a:ln>
              <a:solidFill>
                <a:srgbClr val="C00000"/>
              </a:solidFill>
            </a:ln>
          </c:spPr>
          <c:marker>
            <c:spPr>
              <a:solidFill>
                <a:srgbClr val="C00000"/>
              </a:solidFill>
              <a:ln>
                <a:solidFill>
                  <a:srgbClr val="C00000"/>
                </a:solidFill>
              </a:ln>
            </c:spPr>
          </c:marker>
          <c:cat>
            <c:numRef>
              <c:f>'W-SD'!$B$98:$G$98</c:f>
              <c:numCache>
                <c:formatCode>General</c:formatCode>
                <c:ptCount val="6"/>
                <c:pt idx="0">
                  <c:v>2017</c:v>
                </c:pt>
                <c:pt idx="1">
                  <c:v>2018</c:v>
                </c:pt>
                <c:pt idx="2">
                  <c:v>2019</c:v>
                </c:pt>
                <c:pt idx="3">
                  <c:v>2020</c:v>
                </c:pt>
                <c:pt idx="4">
                  <c:v>2021</c:v>
                </c:pt>
                <c:pt idx="5">
                  <c:v>2022</c:v>
                </c:pt>
              </c:numCache>
            </c:numRef>
          </c:cat>
          <c:val>
            <c:numRef>
              <c:f>'W-SD'!$B$107:$G$107</c:f>
              <c:numCache>
                <c:formatCode>#,##0</c:formatCode>
                <c:ptCount val="6"/>
                <c:pt idx="0">
                  <c:v>139</c:v>
                </c:pt>
                <c:pt idx="1">
                  <c:v>138</c:v>
                </c:pt>
                <c:pt idx="2">
                  <c:v>170</c:v>
                </c:pt>
                <c:pt idx="3">
                  <c:v>115</c:v>
                </c:pt>
                <c:pt idx="4">
                  <c:v>161</c:v>
                </c:pt>
                <c:pt idx="5">
                  <c:v>179</c:v>
                </c:pt>
              </c:numCache>
            </c:numRef>
          </c:val>
          <c:smooth val="0"/>
          <c:extLst>
            <c:ext xmlns:c16="http://schemas.microsoft.com/office/drawing/2014/chart" uri="{C3380CC4-5D6E-409C-BE32-E72D297353CC}">
              <c16:uniqueId val="{00000005-8568-4037-B355-821A34007F18}"/>
            </c:ext>
          </c:extLst>
        </c:ser>
        <c:dLbls>
          <c:showLegendKey val="0"/>
          <c:showVal val="0"/>
          <c:showCatName val="0"/>
          <c:showSerName val="0"/>
          <c:showPercent val="0"/>
          <c:showBubbleSize val="0"/>
        </c:dLbls>
        <c:marker val="1"/>
        <c:smooth val="0"/>
        <c:axId val="166339328"/>
        <c:axId val="166341248"/>
        <c:extLst>
          <c:ext xmlns:c15="http://schemas.microsoft.com/office/drawing/2012/chart" uri="{02D57815-91ED-43cb-92C2-25804820EDAC}">
            <c15:filteredLineSeries>
              <c15:ser>
                <c:idx val="1"/>
                <c:order val="1"/>
                <c:tx>
                  <c:strRef>
                    <c:extLst>
                      <c:ext uri="{02D57815-91ED-43cb-92C2-25804820EDAC}">
                        <c15:formulaRef>
                          <c15:sqref>'W-SD'!$A$101</c15:sqref>
                        </c15:formulaRef>
                      </c:ext>
                    </c:extLst>
                    <c:strCache>
                      <c:ptCount val="1"/>
                      <c:pt idx="0">
                        <c:v>Aantal dossiers collectieve schuldenregeling</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extLst>
                      <c:ext uri="{02D57815-91ED-43cb-92C2-25804820EDAC}">
                        <c15:formulaRef>
                          <c15:sqref>'W-SD'!$B$98:$G$98</c15:sqref>
                        </c15:formulaRef>
                      </c:ext>
                    </c:extLst>
                    <c:numCache>
                      <c:formatCode>General</c:formatCode>
                      <c:ptCount val="6"/>
                      <c:pt idx="0">
                        <c:v>2017</c:v>
                      </c:pt>
                      <c:pt idx="1">
                        <c:v>2018</c:v>
                      </c:pt>
                      <c:pt idx="2">
                        <c:v>2019</c:v>
                      </c:pt>
                      <c:pt idx="3">
                        <c:v>2020</c:v>
                      </c:pt>
                      <c:pt idx="4">
                        <c:v>2021</c:v>
                      </c:pt>
                      <c:pt idx="5">
                        <c:v>2022</c:v>
                      </c:pt>
                    </c:numCache>
                  </c:numRef>
                </c:cat>
                <c:val>
                  <c:numRef>
                    <c:extLst>
                      <c:ext uri="{02D57815-91ED-43cb-92C2-25804820EDAC}">
                        <c15:formulaRef>
                          <c15:sqref>'W-SD'!$B$101:$G$101</c15:sqref>
                        </c15:formulaRef>
                      </c:ext>
                    </c:extLst>
                    <c:numCache>
                      <c:formatCode>#,##0</c:formatCode>
                      <c:ptCount val="6"/>
                      <c:pt idx="0">
                        <c:v>4</c:v>
                      </c:pt>
                      <c:pt idx="1">
                        <c:v>3</c:v>
                      </c:pt>
                      <c:pt idx="2">
                        <c:v>1</c:v>
                      </c:pt>
                      <c:pt idx="3">
                        <c:v>1</c:v>
                      </c:pt>
                      <c:pt idx="4">
                        <c:v>1</c:v>
                      </c:pt>
                      <c:pt idx="5">
                        <c:v>0</c:v>
                      </c:pt>
                    </c:numCache>
                  </c:numRef>
                </c:val>
                <c:smooth val="0"/>
                <c:extLst>
                  <c:ext xmlns:c16="http://schemas.microsoft.com/office/drawing/2014/chart" uri="{C3380CC4-5D6E-409C-BE32-E72D297353CC}">
                    <c16:uniqueId val="{00000001-CC02-420D-AF10-6A8386C63B6B}"/>
                  </c:ext>
                </c:extLst>
              </c15:ser>
            </c15:filteredLineSeries>
            <c15:filteredLineSeries>
              <c15:ser>
                <c:idx val="2"/>
                <c:order val="3"/>
                <c:tx>
                  <c:strRef>
                    <c:extLst xmlns:c15="http://schemas.microsoft.com/office/drawing/2012/chart">
                      <c:ext xmlns:c15="http://schemas.microsoft.com/office/drawing/2012/chart" uri="{02D57815-91ED-43cb-92C2-25804820EDAC}">
                        <c15:formulaRef>
                          <c15:sqref>'W-SD'!#REF!</c15:sqref>
                        </c15:formulaRef>
                      </c:ext>
                    </c:extLst>
                    <c:strCache>
                      <c:ptCount val="1"/>
                      <c:pt idx="0">
                        <c:v>#REF!</c:v>
                      </c:pt>
                    </c:strCache>
                  </c:strRef>
                </c:tx>
                <c:cat>
                  <c:numRef>
                    <c:extLst xmlns:c15="http://schemas.microsoft.com/office/drawing/2012/chart">
                      <c:ext xmlns:c15="http://schemas.microsoft.com/office/drawing/2012/chart" uri="{02D57815-91ED-43cb-92C2-25804820EDAC}">
                        <c15:formulaRef>
                          <c15:sqref>'W-SD'!$B$98:$G$98</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'W-SD'!#REF!</c15:sqref>
                        </c15:formulaRef>
                      </c:ext>
                    </c:extLst>
                    <c:numCache>
                      <c:formatCode>General</c:formatCode>
                      <c:ptCount val="1"/>
                      <c:pt idx="0">
                        <c:v>1</c:v>
                      </c:pt>
                    </c:numCache>
                  </c:numRef>
                </c:val>
                <c:smooth val="0"/>
                <c:extLst xmlns:c15="http://schemas.microsoft.com/office/drawing/2012/chart">
                  <c:ext xmlns:c16="http://schemas.microsoft.com/office/drawing/2014/chart" uri="{C3380CC4-5D6E-409C-BE32-E72D297353CC}">
                    <c16:uniqueId val="{00000000-8568-4037-B355-821A34007F18}"/>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'W-SD'!$A$103</c15:sqref>
                        </c15:formulaRef>
                      </c:ext>
                    </c:extLst>
                    <c:strCache>
                      <c:ptCount val="1"/>
                      <c:pt idx="0">
                        <c:v>Aantal dossiers TWE (31/12)</c:v>
                      </c:pt>
                    </c:strCache>
                  </c:strRef>
                </c:tx>
                <c:cat>
                  <c:numRef>
                    <c:extLst xmlns:c15="http://schemas.microsoft.com/office/drawing/2012/chart">
                      <c:ext xmlns:c15="http://schemas.microsoft.com/office/drawing/2012/chart" uri="{02D57815-91ED-43cb-92C2-25804820EDAC}">
                        <c15:formulaRef>
                          <c15:sqref>'W-SD'!$B$98:$G$98</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'W-SD'!$B$103:$G$103</c15:sqref>
                        </c15:formulaRef>
                      </c:ext>
                    </c:extLst>
                    <c:numCache>
                      <c:formatCode>#,##0</c:formatCode>
                      <c:ptCount val="6"/>
                      <c:pt idx="0">
                        <c:v>0</c:v>
                      </c:pt>
                      <c:pt idx="1">
                        <c:v>14</c:v>
                      </c:pt>
                      <c:pt idx="2">
                        <c:v>14</c:v>
                      </c:pt>
                      <c:pt idx="3">
                        <c:v>10</c:v>
                      </c:pt>
                      <c:pt idx="4">
                        <c:v>6</c:v>
                      </c:pt>
                      <c:pt idx="5">
                        <c:v>6</c:v>
                      </c:pt>
                    </c:numCache>
                  </c:numRef>
                </c:val>
                <c:smooth val="0"/>
                <c:extLst xmlns:c15="http://schemas.microsoft.com/office/drawing/2012/chart">
                  <c:ext xmlns:c16="http://schemas.microsoft.com/office/drawing/2014/chart" uri="{C3380CC4-5D6E-409C-BE32-E72D297353CC}">
                    <c16:uniqueId val="{00000001-8568-4037-B355-821A34007F18}"/>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'W-SD'!$A$104</c15:sqref>
                        </c15:formulaRef>
                      </c:ext>
                    </c:extLst>
                    <c:strCache>
                      <c:ptCount val="1"/>
                      <c:pt idx="0">
                        <c:v>Aantal actieve budgetmeters</c:v>
                      </c:pt>
                    </c:strCache>
                  </c:strRef>
                </c:tx>
                <c:cat>
                  <c:numRef>
                    <c:extLst xmlns:c15="http://schemas.microsoft.com/office/drawing/2012/chart">
                      <c:ext xmlns:c15="http://schemas.microsoft.com/office/drawing/2012/chart" uri="{02D57815-91ED-43cb-92C2-25804820EDAC}">
                        <c15:formulaRef>
                          <c15:sqref>'W-SD'!$B$98:$G$98</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'W-SD'!$B$104:$G$104</c15:sqref>
                        </c15:formulaRef>
                      </c:ext>
                    </c:extLst>
                    <c:numCache>
                      <c:formatCode>#,##0</c:formatCode>
                      <c:ptCount val="6"/>
                      <c:pt idx="0">
                        <c:v>84</c:v>
                      </c:pt>
                      <c:pt idx="1">
                        <c:v>84</c:v>
                      </c:pt>
                      <c:pt idx="2">
                        <c:v>85</c:v>
                      </c:pt>
                      <c:pt idx="3">
                        <c:v>85</c:v>
                      </c:pt>
                      <c:pt idx="4">
                        <c:v>87</c:v>
                      </c:pt>
                      <c:pt idx="5">
                        <c:v>127</c:v>
                      </c:pt>
                    </c:numCache>
                  </c:numRef>
                </c:val>
                <c:smooth val="0"/>
                <c:extLst xmlns:c15="http://schemas.microsoft.com/office/drawing/2012/chart">
                  <c:ext xmlns:c16="http://schemas.microsoft.com/office/drawing/2014/chart" uri="{C3380CC4-5D6E-409C-BE32-E72D297353CC}">
                    <c16:uniqueId val="{00000002-8568-4037-B355-821A34007F18}"/>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'W-SD'!$A$105</c15:sqref>
                        </c15:formulaRef>
                      </c:ext>
                    </c:extLst>
                    <c:strCache>
                      <c:ptCount val="1"/>
                    </c:strCache>
                  </c:strRef>
                </c:tx>
                <c:cat>
                  <c:numRef>
                    <c:extLst xmlns:c15="http://schemas.microsoft.com/office/drawing/2012/chart">
                      <c:ext xmlns:c15="http://schemas.microsoft.com/office/drawing/2012/chart" uri="{02D57815-91ED-43cb-92C2-25804820EDAC}">
                        <c15:formulaRef>
                          <c15:sqref>'W-SD'!$B$98:$G$98</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'W-SD'!$B$105:$G$105</c15:sqref>
                        </c15:formulaRef>
                      </c:ext>
                    </c:extLst>
                    <c:numCache>
                      <c:formatCode>#,##0</c:formatCode>
                      <c:ptCount val="6"/>
                    </c:numCache>
                  </c:numRef>
                </c:val>
                <c:smooth val="0"/>
                <c:extLst xmlns:c15="http://schemas.microsoft.com/office/drawing/2012/chart">
                  <c:ext xmlns:c16="http://schemas.microsoft.com/office/drawing/2014/chart" uri="{C3380CC4-5D6E-409C-BE32-E72D297353CC}">
                    <c16:uniqueId val="{00000003-8568-4037-B355-821A34007F18}"/>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'W-SD'!$A$106</c15:sqref>
                        </c15:formulaRef>
                      </c:ext>
                    </c:extLst>
                    <c:strCache>
                      <c:ptCount val="1"/>
                      <c:pt idx="0">
                        <c:v>Lokale adviescommissie (LAC)</c:v>
                      </c:pt>
                    </c:strCache>
                  </c:strRef>
                </c:tx>
                <c:cat>
                  <c:numRef>
                    <c:extLst xmlns:c15="http://schemas.microsoft.com/office/drawing/2012/chart">
                      <c:ext xmlns:c15="http://schemas.microsoft.com/office/drawing/2012/chart" uri="{02D57815-91ED-43cb-92C2-25804820EDAC}">
                        <c15:formulaRef>
                          <c15:sqref>'W-SD'!$B$98:$G$98</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'W-SD'!$B$106:$G$106</c15:sqref>
                        </c15:formulaRef>
                      </c:ext>
                    </c:extLst>
                    <c:numCache>
                      <c:formatCode>#,##0</c:formatCode>
                      <c:ptCount val="6"/>
                    </c:numCache>
                  </c:numRef>
                </c:val>
                <c:smooth val="0"/>
                <c:extLst xmlns:c15="http://schemas.microsoft.com/office/drawing/2012/chart">
                  <c:ext xmlns:c16="http://schemas.microsoft.com/office/drawing/2014/chart" uri="{C3380CC4-5D6E-409C-BE32-E72D297353CC}">
                    <c16:uniqueId val="{00000004-8568-4037-B355-821A34007F18}"/>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'W-SD'!$A$108</c15:sqref>
                        </c15:formulaRef>
                      </c:ext>
                    </c:extLst>
                    <c:strCache>
                      <c:ptCount val="1"/>
                      <c:pt idx="0">
                        <c:v>Aantal behandelde dossiers Fluvius</c:v>
                      </c:pt>
                    </c:strCache>
                  </c:strRef>
                </c:tx>
                <c:cat>
                  <c:numRef>
                    <c:extLst xmlns:c15="http://schemas.microsoft.com/office/drawing/2012/chart">
                      <c:ext xmlns:c15="http://schemas.microsoft.com/office/drawing/2012/chart" uri="{02D57815-91ED-43cb-92C2-25804820EDAC}">
                        <c15:formulaRef>
                          <c15:sqref>'W-SD'!$B$98:$G$98</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'W-SD'!$B$108:$G$108</c15:sqref>
                        </c15:formulaRef>
                      </c:ext>
                    </c:extLst>
                    <c:numCache>
                      <c:formatCode>#,##0</c:formatCode>
                      <c:ptCount val="6"/>
                      <c:pt idx="0">
                        <c:v>66</c:v>
                      </c:pt>
                      <c:pt idx="1">
                        <c:v>61</c:v>
                      </c:pt>
                      <c:pt idx="2">
                        <c:v>51</c:v>
                      </c:pt>
                      <c:pt idx="3">
                        <c:v>38</c:v>
                      </c:pt>
                      <c:pt idx="4">
                        <c:v>47</c:v>
                      </c:pt>
                      <c:pt idx="5">
                        <c:v>60</c:v>
                      </c:pt>
                    </c:numCache>
                  </c:numRef>
                </c:val>
                <c:smooth val="0"/>
                <c:extLst xmlns:c15="http://schemas.microsoft.com/office/drawing/2012/chart">
                  <c:ext xmlns:c16="http://schemas.microsoft.com/office/drawing/2014/chart" uri="{C3380CC4-5D6E-409C-BE32-E72D297353CC}">
                    <c16:uniqueId val="{00000000-8FA3-430F-94D1-BCAD007C3EF1}"/>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'W-SD'!$A$109</c15:sqref>
                        </c15:formulaRef>
                      </c:ext>
                    </c:extLst>
                    <c:strCache>
                      <c:ptCount val="1"/>
                      <c:pt idx="0">
                        <c:v>Aantal behandelde dossiers IWVA</c:v>
                      </c:pt>
                    </c:strCache>
                  </c:strRef>
                </c:tx>
                <c:cat>
                  <c:numRef>
                    <c:extLst xmlns:c15="http://schemas.microsoft.com/office/drawing/2012/chart">
                      <c:ext xmlns:c15="http://schemas.microsoft.com/office/drawing/2012/chart" uri="{02D57815-91ED-43cb-92C2-25804820EDAC}">
                        <c15:formulaRef>
                          <c15:sqref>'W-SD'!$B$98:$G$98</c15:sqref>
                        </c15:formulaRef>
                      </c:ext>
                    </c:extLst>
                    <c:numCache>
                      <c:formatCode>General</c:formatCode>
                      <c:ptCount val="6"/>
                      <c:pt idx="0">
                        <c:v>2017</c:v>
                      </c:pt>
                      <c:pt idx="1">
                        <c:v>2018</c:v>
                      </c:pt>
                      <c:pt idx="2">
                        <c:v>2019</c:v>
                      </c:pt>
                      <c:pt idx="3">
                        <c:v>2020</c:v>
                      </c:pt>
                      <c:pt idx="4">
                        <c:v>2021</c:v>
                      </c:pt>
                      <c:pt idx="5">
                        <c:v>2022</c:v>
                      </c:pt>
                    </c:numCache>
                  </c:numRef>
                </c:cat>
                <c:val>
                  <c:numRef>
                    <c:extLst xmlns:c15="http://schemas.microsoft.com/office/drawing/2012/chart">
                      <c:ext xmlns:c15="http://schemas.microsoft.com/office/drawing/2012/chart" uri="{02D57815-91ED-43cb-92C2-25804820EDAC}">
                        <c15:formulaRef>
                          <c15:sqref>'W-SD'!$B$109:$G$109</c15:sqref>
                        </c15:formulaRef>
                      </c:ext>
                    </c:extLst>
                    <c:numCache>
                      <c:formatCode>#,##0</c:formatCode>
                      <c:ptCount val="6"/>
                      <c:pt idx="0">
                        <c:v>73</c:v>
                      </c:pt>
                      <c:pt idx="1">
                        <c:v>77</c:v>
                      </c:pt>
                      <c:pt idx="2">
                        <c:v>119</c:v>
                      </c:pt>
                      <c:pt idx="3">
                        <c:v>77</c:v>
                      </c:pt>
                      <c:pt idx="4">
                        <c:v>114</c:v>
                      </c:pt>
                      <c:pt idx="5">
                        <c:v>119</c:v>
                      </c:pt>
                    </c:numCache>
                  </c:numRef>
                </c:val>
                <c:smooth val="0"/>
                <c:extLst xmlns:c15="http://schemas.microsoft.com/office/drawing/2012/chart">
                  <c:ext xmlns:c16="http://schemas.microsoft.com/office/drawing/2014/chart" uri="{C3380CC4-5D6E-409C-BE32-E72D297353CC}">
                    <c16:uniqueId val="{00000001-8FA3-430F-94D1-BCAD007C3EF1}"/>
                  </c:ext>
                </c:extLst>
              </c15:ser>
            </c15:filteredLineSeries>
          </c:ext>
        </c:extLst>
      </c:lineChart>
      <c:catAx>
        <c:axId val="166339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341248"/>
        <c:crosses val="autoZero"/>
        <c:auto val="1"/>
        <c:lblAlgn val="ctr"/>
        <c:lblOffset val="100"/>
        <c:tickLblSkip val="1"/>
        <c:tickMarkSkip val="1"/>
        <c:noMultiLvlLbl val="0"/>
      </c:catAx>
      <c:valAx>
        <c:axId val="1663412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339328"/>
        <c:crosses val="autoZero"/>
        <c:crossBetween val="between"/>
      </c:valAx>
      <c:spPr>
        <a:solidFill>
          <a:srgbClr val="C0C0C0"/>
        </a:solidFill>
        <a:ln w="12700">
          <a:solidFill>
            <a:srgbClr val="2C637C"/>
          </a:solidFill>
          <a:prstDash val="solid"/>
        </a:ln>
      </c:spPr>
    </c:plotArea>
    <c:legend>
      <c:legendPos val="r"/>
      <c:layout>
        <c:manualLayout>
          <c:xMode val="edge"/>
          <c:yMode val="edge"/>
          <c:x val="4.2352941176470586E-2"/>
          <c:y val="0.86102280183727031"/>
          <c:w val="0.92564806448374282"/>
          <c:h val="0.13897719816272963"/>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Asielzoekers</a:t>
            </a:r>
          </a:p>
        </c:rich>
      </c:tx>
      <c:layout>
        <c:manualLayout>
          <c:xMode val="edge"/>
          <c:yMode val="edge"/>
          <c:x val="0.3938990390888864"/>
          <c:y val="4.6929902992895116E-2"/>
        </c:manualLayout>
      </c:layout>
      <c:overlay val="0"/>
      <c:spPr>
        <a:noFill/>
        <a:ln w="25400">
          <a:noFill/>
        </a:ln>
      </c:spPr>
    </c:title>
    <c:autoTitleDeleted val="0"/>
    <c:plotArea>
      <c:layout>
        <c:manualLayout>
          <c:layoutTarget val="inner"/>
          <c:xMode val="edge"/>
          <c:yMode val="edge"/>
          <c:x val="8.1018701666263529E-2"/>
          <c:y val="0.19256756756756757"/>
          <c:w val="0.55787163147341456"/>
          <c:h val="0.66891891891891897"/>
        </c:manualLayout>
      </c:layout>
      <c:lineChart>
        <c:grouping val="standard"/>
        <c:varyColors val="0"/>
        <c:ser>
          <c:idx val="0"/>
          <c:order val="0"/>
          <c:tx>
            <c:strRef>
              <c:f>'W-SD'!$A$130</c:f>
              <c:strCache>
                <c:ptCount val="1"/>
                <c:pt idx="0">
                  <c:v>Aantal dossiers equivalent leefloon (jaar)</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numRef>
              <c:f>'W-SD'!$B$128:$G$128</c:f>
              <c:numCache>
                <c:formatCode>General</c:formatCode>
                <c:ptCount val="6"/>
                <c:pt idx="0">
                  <c:v>2017</c:v>
                </c:pt>
                <c:pt idx="1">
                  <c:v>2018</c:v>
                </c:pt>
                <c:pt idx="2">
                  <c:v>2019</c:v>
                </c:pt>
                <c:pt idx="3">
                  <c:v>2020</c:v>
                </c:pt>
                <c:pt idx="4">
                  <c:v>2021</c:v>
                </c:pt>
                <c:pt idx="5">
                  <c:v>2022</c:v>
                </c:pt>
              </c:numCache>
            </c:numRef>
          </c:cat>
          <c:val>
            <c:numRef>
              <c:f>'W-SD'!$B$130:$G$130</c:f>
              <c:numCache>
                <c:formatCode>#,##0</c:formatCode>
                <c:ptCount val="6"/>
                <c:pt idx="0">
                  <c:v>4</c:v>
                </c:pt>
                <c:pt idx="1">
                  <c:v>6</c:v>
                </c:pt>
                <c:pt idx="2">
                  <c:v>4</c:v>
                </c:pt>
                <c:pt idx="3">
                  <c:v>2</c:v>
                </c:pt>
                <c:pt idx="4">
                  <c:v>1</c:v>
                </c:pt>
                <c:pt idx="5">
                  <c:v>43</c:v>
                </c:pt>
              </c:numCache>
            </c:numRef>
          </c:val>
          <c:smooth val="0"/>
          <c:extLst>
            <c:ext xmlns:c16="http://schemas.microsoft.com/office/drawing/2014/chart" uri="{C3380CC4-5D6E-409C-BE32-E72D297353CC}">
              <c16:uniqueId val="{00000000-78C1-4F3F-BA5C-16C19C33D0CF}"/>
            </c:ext>
          </c:extLst>
        </c:ser>
        <c:ser>
          <c:idx val="1"/>
          <c:order val="1"/>
          <c:tx>
            <c:strRef>
              <c:f>'W-SD'!$A$132</c:f>
              <c:strCache>
                <c:ptCount val="1"/>
                <c:pt idx="0">
                  <c:v>Aantal dossiers equivalent leefloon (31/12)</c:v>
                </c:pt>
              </c:strCache>
            </c:strRef>
          </c:tx>
          <c:spPr>
            <a:ln w="12700">
              <a:solidFill>
                <a:srgbClr val="FF00FF"/>
              </a:solidFill>
              <a:prstDash val="solid"/>
            </a:ln>
          </c:spPr>
          <c:marker>
            <c:symbol val="square"/>
            <c:size val="5"/>
            <c:spPr>
              <a:solidFill>
                <a:srgbClr val="FF00FF"/>
              </a:solidFill>
              <a:ln>
                <a:solidFill>
                  <a:srgbClr val="FF00FF"/>
                </a:solidFill>
                <a:prstDash val="solid"/>
              </a:ln>
            </c:spPr>
          </c:marker>
          <c:cat>
            <c:numRef>
              <c:f>'W-SD'!$B$128:$G$128</c:f>
              <c:numCache>
                <c:formatCode>General</c:formatCode>
                <c:ptCount val="6"/>
                <c:pt idx="0">
                  <c:v>2017</c:v>
                </c:pt>
                <c:pt idx="1">
                  <c:v>2018</c:v>
                </c:pt>
                <c:pt idx="2">
                  <c:v>2019</c:v>
                </c:pt>
                <c:pt idx="3">
                  <c:v>2020</c:v>
                </c:pt>
                <c:pt idx="4">
                  <c:v>2021</c:v>
                </c:pt>
                <c:pt idx="5">
                  <c:v>2022</c:v>
                </c:pt>
              </c:numCache>
            </c:numRef>
          </c:cat>
          <c:val>
            <c:numRef>
              <c:f>'W-SD'!$B$132:$G$132</c:f>
              <c:numCache>
                <c:formatCode>#,##0</c:formatCode>
                <c:ptCount val="6"/>
                <c:pt idx="0">
                  <c:v>3</c:v>
                </c:pt>
                <c:pt idx="1">
                  <c:v>2</c:v>
                </c:pt>
                <c:pt idx="2">
                  <c:v>2</c:v>
                </c:pt>
                <c:pt idx="3">
                  <c:v>1</c:v>
                </c:pt>
                <c:pt idx="4">
                  <c:v>1</c:v>
                </c:pt>
                <c:pt idx="5">
                  <c:v>30</c:v>
                </c:pt>
              </c:numCache>
            </c:numRef>
          </c:val>
          <c:smooth val="0"/>
          <c:extLst xmlns:c15="http://schemas.microsoft.com/office/drawing/2012/chart">
            <c:ext xmlns:c16="http://schemas.microsoft.com/office/drawing/2014/chart" uri="{C3380CC4-5D6E-409C-BE32-E72D297353CC}">
              <c16:uniqueId val="{00000001-78C1-4F3F-BA5C-16C19C33D0CF}"/>
            </c:ext>
          </c:extLst>
        </c:ser>
        <c:dLbls>
          <c:showLegendKey val="0"/>
          <c:showVal val="0"/>
          <c:showCatName val="0"/>
          <c:showSerName val="0"/>
          <c:showPercent val="0"/>
          <c:showBubbleSize val="0"/>
        </c:dLbls>
        <c:marker val="1"/>
        <c:smooth val="0"/>
        <c:axId val="166381440"/>
        <c:axId val="166391808"/>
        <c:extLst/>
      </c:lineChart>
      <c:catAx>
        <c:axId val="166381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391808"/>
        <c:crosses val="autoZero"/>
        <c:auto val="1"/>
        <c:lblAlgn val="ctr"/>
        <c:lblOffset val="100"/>
        <c:tickLblSkip val="1"/>
        <c:tickMarkSkip val="1"/>
        <c:noMultiLvlLbl val="0"/>
      </c:catAx>
      <c:valAx>
        <c:axId val="16639180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381440"/>
        <c:crosses val="autoZero"/>
        <c:crossBetween val="between"/>
      </c:valAx>
      <c:spPr>
        <a:solidFill>
          <a:srgbClr val="C0C0C0"/>
        </a:solidFill>
        <a:ln w="12700">
          <a:solidFill>
            <a:srgbClr val="808080"/>
          </a:solidFill>
          <a:prstDash val="solid"/>
        </a:ln>
      </c:spPr>
    </c:plotArea>
    <c:legend>
      <c:legendPos val="r"/>
      <c:layout>
        <c:manualLayout>
          <c:xMode val="edge"/>
          <c:yMode val="edge"/>
          <c:x val="0.66435202311120511"/>
          <c:y val="0.22542720621460774"/>
          <c:w val="0.33564790128984778"/>
          <c:h val="0.60865622566409971"/>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826187717265352E-2"/>
          <c:y val="7.8688524590163941E-2"/>
          <c:w val="0.57105133431925059"/>
          <c:h val="0.79016393442622945"/>
        </c:manualLayout>
      </c:layout>
      <c:barChart>
        <c:barDir val="col"/>
        <c:grouping val="clustered"/>
        <c:varyColors val="0"/>
        <c:ser>
          <c:idx val="0"/>
          <c:order val="0"/>
          <c:tx>
            <c:strRef>
              <c:f>'W-SD'!$A$82</c:f>
              <c:strCache>
                <c:ptCount val="1"/>
                <c:pt idx="0">
                  <c:v>Aantal dossiers voorschotten (jaar)</c:v>
                </c:pt>
              </c:strCache>
            </c:strRef>
          </c:tx>
          <c:spPr>
            <a:ln w="12700">
              <a:solidFill>
                <a:srgbClr val="000080"/>
              </a:solidFill>
              <a:prstDash val="solid"/>
            </a:ln>
          </c:spPr>
          <c:invertIfNegative val="0"/>
          <c:cat>
            <c:numRef>
              <c:f>'W-SD'!$B$81:$G$81</c:f>
              <c:numCache>
                <c:formatCode>General</c:formatCode>
                <c:ptCount val="6"/>
                <c:pt idx="0">
                  <c:v>2017</c:v>
                </c:pt>
                <c:pt idx="1">
                  <c:v>2018</c:v>
                </c:pt>
                <c:pt idx="2">
                  <c:v>2019</c:v>
                </c:pt>
                <c:pt idx="3">
                  <c:v>2020</c:v>
                </c:pt>
                <c:pt idx="4">
                  <c:v>2021</c:v>
                </c:pt>
                <c:pt idx="5">
                  <c:v>2022</c:v>
                </c:pt>
              </c:numCache>
            </c:numRef>
          </c:cat>
          <c:val>
            <c:numRef>
              <c:f>'W-SD'!$B$82:$G$82</c:f>
              <c:numCache>
                <c:formatCode>#,##0</c:formatCode>
                <c:ptCount val="6"/>
                <c:pt idx="0">
                  <c:v>109</c:v>
                </c:pt>
                <c:pt idx="1">
                  <c:v>74</c:v>
                </c:pt>
                <c:pt idx="2">
                  <c:v>64</c:v>
                </c:pt>
                <c:pt idx="3">
                  <c:v>39</c:v>
                </c:pt>
                <c:pt idx="4">
                  <c:v>47</c:v>
                </c:pt>
                <c:pt idx="5">
                  <c:v>84</c:v>
                </c:pt>
              </c:numCache>
            </c:numRef>
          </c:val>
          <c:extLst>
            <c:ext xmlns:c16="http://schemas.microsoft.com/office/drawing/2014/chart" uri="{C3380CC4-5D6E-409C-BE32-E72D297353CC}">
              <c16:uniqueId val="{00000000-73E4-4CC5-9B9D-B0F31C17AB52}"/>
            </c:ext>
          </c:extLst>
        </c:ser>
        <c:ser>
          <c:idx val="1"/>
          <c:order val="1"/>
          <c:tx>
            <c:strRef>
              <c:f>'W-SD'!$A$83</c:f>
              <c:strCache>
                <c:ptCount val="1"/>
                <c:pt idx="0">
                  <c:v>Aantal verleende voorschotten huurwaarborgen (jaar)</c:v>
                </c:pt>
              </c:strCache>
            </c:strRef>
          </c:tx>
          <c:spPr>
            <a:ln w="12700">
              <a:solidFill>
                <a:srgbClr val="FF00FF"/>
              </a:solidFill>
              <a:prstDash val="solid"/>
            </a:ln>
          </c:spPr>
          <c:invertIfNegative val="0"/>
          <c:cat>
            <c:numRef>
              <c:f>'W-SD'!$B$81:$G$81</c:f>
              <c:numCache>
                <c:formatCode>General</c:formatCode>
                <c:ptCount val="6"/>
                <c:pt idx="0">
                  <c:v>2017</c:v>
                </c:pt>
                <c:pt idx="1">
                  <c:v>2018</c:v>
                </c:pt>
                <c:pt idx="2">
                  <c:v>2019</c:v>
                </c:pt>
                <c:pt idx="3">
                  <c:v>2020</c:v>
                </c:pt>
                <c:pt idx="4">
                  <c:v>2021</c:v>
                </c:pt>
                <c:pt idx="5">
                  <c:v>2022</c:v>
                </c:pt>
              </c:numCache>
            </c:numRef>
          </c:cat>
          <c:val>
            <c:numRef>
              <c:f>'W-SD'!$B$83:$G$83</c:f>
              <c:numCache>
                <c:formatCode>#,##0</c:formatCode>
                <c:ptCount val="6"/>
                <c:pt idx="0">
                  <c:v>32</c:v>
                </c:pt>
                <c:pt idx="1">
                  <c:v>30</c:v>
                </c:pt>
                <c:pt idx="2">
                  <c:v>9</c:v>
                </c:pt>
                <c:pt idx="3">
                  <c:v>16</c:v>
                </c:pt>
                <c:pt idx="4">
                  <c:v>9</c:v>
                </c:pt>
                <c:pt idx="5">
                  <c:v>0</c:v>
                </c:pt>
              </c:numCache>
            </c:numRef>
          </c:val>
          <c:extLst>
            <c:ext xmlns:c16="http://schemas.microsoft.com/office/drawing/2014/chart" uri="{C3380CC4-5D6E-409C-BE32-E72D297353CC}">
              <c16:uniqueId val="{00000001-73E4-4CC5-9B9D-B0F31C17AB52}"/>
            </c:ext>
          </c:extLst>
        </c:ser>
        <c:dLbls>
          <c:showLegendKey val="0"/>
          <c:showVal val="0"/>
          <c:showCatName val="0"/>
          <c:showSerName val="0"/>
          <c:showPercent val="0"/>
          <c:showBubbleSize val="0"/>
        </c:dLbls>
        <c:gapWidth val="150"/>
        <c:axId val="166413824"/>
        <c:axId val="166415360"/>
      </c:barChart>
      <c:catAx>
        <c:axId val="16641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415360"/>
        <c:crosses val="autoZero"/>
        <c:auto val="1"/>
        <c:lblAlgn val="ctr"/>
        <c:lblOffset val="100"/>
        <c:noMultiLvlLbl val="0"/>
      </c:catAx>
      <c:valAx>
        <c:axId val="16641536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413824"/>
        <c:crosses val="autoZero"/>
        <c:crossBetween val="between"/>
      </c:valAx>
      <c:spPr>
        <a:solidFill>
          <a:srgbClr val="C0C0C0"/>
        </a:solidFill>
        <a:ln w="12700">
          <a:solidFill>
            <a:srgbClr val="808080"/>
          </a:solidFill>
          <a:prstDash val="solid"/>
        </a:ln>
      </c:spPr>
    </c:plotArea>
    <c:legend>
      <c:legendPos val="r"/>
      <c:layout>
        <c:manualLayout>
          <c:xMode val="edge"/>
          <c:yMode val="edge"/>
          <c:x val="0.64870864945981976"/>
          <c:y val="0.3172312503490255"/>
          <c:w val="0.26614694255029536"/>
          <c:h val="0.33716870497570783"/>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Aantal dossiers leefloon
per leeftijdscategorie</a:t>
            </a:r>
          </a:p>
        </c:rich>
      </c:tx>
      <c:layout>
        <c:manualLayout>
          <c:xMode val="edge"/>
          <c:yMode val="edge"/>
          <c:x val="0.31850141683109284"/>
          <c:y val="3.47002624671916E-2"/>
        </c:manualLayout>
      </c:layout>
      <c:overlay val="0"/>
      <c:spPr>
        <a:noFill/>
        <a:ln w="25400">
          <a:noFill/>
        </a:ln>
      </c:spPr>
    </c:title>
    <c:autoTitleDeleted val="0"/>
    <c:plotArea>
      <c:layout>
        <c:manualLayout>
          <c:layoutTarget val="inner"/>
          <c:xMode val="edge"/>
          <c:yMode val="edge"/>
          <c:x val="8.1967306845665208E-2"/>
          <c:y val="0.2113564668769716"/>
          <c:w val="0.68814546007835975"/>
          <c:h val="0.57728706624605675"/>
        </c:manualLayout>
      </c:layout>
      <c:barChart>
        <c:barDir val="col"/>
        <c:grouping val="clustered"/>
        <c:varyColors val="0"/>
        <c:ser>
          <c:idx val="0"/>
          <c:order val="0"/>
          <c:tx>
            <c:strRef>
              <c:f>'W-SD'!$A$10</c:f>
              <c:strCache>
                <c:ptCount val="1"/>
                <c:pt idx="0">
                  <c:v>- 26 jaar</c:v>
                </c:pt>
              </c:strCache>
            </c:strRef>
          </c:tx>
          <c:spPr>
            <a:ln w="12700">
              <a:solidFill>
                <a:srgbClr val="000080"/>
              </a:solidFill>
              <a:prstDash val="solid"/>
            </a:ln>
          </c:spPr>
          <c:invertIfNegative val="0"/>
          <c:cat>
            <c:numRef>
              <c:f>'W-SD'!$B$3:$G$3</c:f>
              <c:numCache>
                <c:formatCode>General</c:formatCode>
                <c:ptCount val="6"/>
                <c:pt idx="0">
                  <c:v>2017</c:v>
                </c:pt>
                <c:pt idx="1">
                  <c:v>2018</c:v>
                </c:pt>
                <c:pt idx="2">
                  <c:v>2019</c:v>
                </c:pt>
                <c:pt idx="3">
                  <c:v>2020</c:v>
                </c:pt>
                <c:pt idx="4">
                  <c:v>2021</c:v>
                </c:pt>
                <c:pt idx="5">
                  <c:v>2022</c:v>
                </c:pt>
              </c:numCache>
            </c:numRef>
          </c:cat>
          <c:val>
            <c:numRef>
              <c:f>'W-SD'!$B$10:$G$10</c:f>
              <c:numCache>
                <c:formatCode>#,##0</c:formatCode>
                <c:ptCount val="6"/>
                <c:pt idx="0">
                  <c:v>48</c:v>
                </c:pt>
                <c:pt idx="1">
                  <c:v>64</c:v>
                </c:pt>
                <c:pt idx="2">
                  <c:v>42</c:v>
                </c:pt>
                <c:pt idx="3">
                  <c:v>32</c:v>
                </c:pt>
                <c:pt idx="4">
                  <c:v>41</c:v>
                </c:pt>
                <c:pt idx="5">
                  <c:v>20</c:v>
                </c:pt>
              </c:numCache>
            </c:numRef>
          </c:val>
          <c:extLst>
            <c:ext xmlns:c16="http://schemas.microsoft.com/office/drawing/2014/chart" uri="{C3380CC4-5D6E-409C-BE32-E72D297353CC}">
              <c16:uniqueId val="{00000000-4CF8-4A3B-A2E3-C36E239C5712}"/>
            </c:ext>
          </c:extLst>
        </c:ser>
        <c:ser>
          <c:idx val="1"/>
          <c:order val="1"/>
          <c:tx>
            <c:strRef>
              <c:f>'W-SD'!$A$11</c:f>
              <c:strCache>
                <c:ptCount val="1"/>
                <c:pt idx="0">
                  <c:v>26 - 65 jaar</c:v>
                </c:pt>
              </c:strCache>
            </c:strRef>
          </c:tx>
          <c:spPr>
            <a:ln w="12700">
              <a:solidFill>
                <a:srgbClr val="FF00FF"/>
              </a:solidFill>
              <a:prstDash val="solid"/>
            </a:ln>
          </c:spPr>
          <c:invertIfNegative val="0"/>
          <c:cat>
            <c:numRef>
              <c:f>'W-SD'!$B$3:$G$3</c:f>
              <c:numCache>
                <c:formatCode>General</c:formatCode>
                <c:ptCount val="6"/>
                <c:pt idx="0">
                  <c:v>2017</c:v>
                </c:pt>
                <c:pt idx="1">
                  <c:v>2018</c:v>
                </c:pt>
                <c:pt idx="2">
                  <c:v>2019</c:v>
                </c:pt>
                <c:pt idx="3">
                  <c:v>2020</c:v>
                </c:pt>
                <c:pt idx="4">
                  <c:v>2021</c:v>
                </c:pt>
                <c:pt idx="5">
                  <c:v>2022</c:v>
                </c:pt>
              </c:numCache>
            </c:numRef>
          </c:cat>
          <c:val>
            <c:numRef>
              <c:f>'W-SD'!$B$11:$G$11</c:f>
              <c:numCache>
                <c:formatCode>#,##0</c:formatCode>
                <c:ptCount val="6"/>
                <c:pt idx="0">
                  <c:v>61</c:v>
                </c:pt>
                <c:pt idx="1">
                  <c:v>90</c:v>
                </c:pt>
                <c:pt idx="2">
                  <c:v>87</c:v>
                </c:pt>
                <c:pt idx="3">
                  <c:v>78</c:v>
                </c:pt>
                <c:pt idx="4">
                  <c:v>69</c:v>
                </c:pt>
                <c:pt idx="5">
                  <c:v>65</c:v>
                </c:pt>
              </c:numCache>
            </c:numRef>
          </c:val>
          <c:extLst>
            <c:ext xmlns:c16="http://schemas.microsoft.com/office/drawing/2014/chart" uri="{C3380CC4-5D6E-409C-BE32-E72D297353CC}">
              <c16:uniqueId val="{00000001-4CF8-4A3B-A2E3-C36E239C5712}"/>
            </c:ext>
          </c:extLst>
        </c:ser>
        <c:ser>
          <c:idx val="3"/>
          <c:order val="2"/>
          <c:tx>
            <c:strRef>
              <c:f>'W-SD'!$A$12</c:f>
              <c:strCache>
                <c:ptCount val="1"/>
                <c:pt idx="0">
                  <c:v>+ 65 jaar</c:v>
                </c:pt>
              </c:strCache>
            </c:strRef>
          </c:tx>
          <c:invertIfNegative val="0"/>
          <c:cat>
            <c:numRef>
              <c:f>'W-SD'!$B$3:$G$3</c:f>
              <c:numCache>
                <c:formatCode>General</c:formatCode>
                <c:ptCount val="6"/>
                <c:pt idx="0">
                  <c:v>2017</c:v>
                </c:pt>
                <c:pt idx="1">
                  <c:v>2018</c:v>
                </c:pt>
                <c:pt idx="2">
                  <c:v>2019</c:v>
                </c:pt>
                <c:pt idx="3">
                  <c:v>2020</c:v>
                </c:pt>
                <c:pt idx="4">
                  <c:v>2021</c:v>
                </c:pt>
                <c:pt idx="5">
                  <c:v>2022</c:v>
                </c:pt>
              </c:numCache>
            </c:numRef>
          </c:cat>
          <c:val>
            <c:numRef>
              <c:f>'W-SD'!$B$12:$G$12</c:f>
              <c:numCache>
                <c:formatCode>#,##0</c:formatCode>
                <c:ptCount val="6"/>
                <c:pt idx="0">
                  <c:v>1</c:v>
                </c:pt>
                <c:pt idx="1">
                  <c:v>4</c:v>
                </c:pt>
                <c:pt idx="2">
                  <c:v>6</c:v>
                </c:pt>
                <c:pt idx="3">
                  <c:v>3</c:v>
                </c:pt>
                <c:pt idx="4">
                  <c:v>1</c:v>
                </c:pt>
                <c:pt idx="5">
                  <c:v>7</c:v>
                </c:pt>
              </c:numCache>
            </c:numRef>
          </c:val>
          <c:extLst>
            <c:ext xmlns:c16="http://schemas.microsoft.com/office/drawing/2014/chart" uri="{C3380CC4-5D6E-409C-BE32-E72D297353CC}">
              <c16:uniqueId val="{00000002-4CF8-4A3B-A2E3-C36E239C5712}"/>
            </c:ext>
          </c:extLst>
        </c:ser>
        <c:dLbls>
          <c:showLegendKey val="0"/>
          <c:showVal val="0"/>
          <c:showCatName val="0"/>
          <c:showSerName val="0"/>
          <c:showPercent val="0"/>
          <c:showBubbleSize val="0"/>
        </c:dLbls>
        <c:gapWidth val="150"/>
        <c:axId val="166446592"/>
        <c:axId val="166448128"/>
      </c:barChart>
      <c:catAx>
        <c:axId val="1664465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448128"/>
        <c:crosses val="autoZero"/>
        <c:auto val="1"/>
        <c:lblAlgn val="ctr"/>
        <c:lblOffset val="100"/>
        <c:noMultiLvlLbl val="0"/>
      </c:catAx>
      <c:valAx>
        <c:axId val="16644812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6446592"/>
        <c:crosses val="autoZero"/>
        <c:crossBetween val="between"/>
      </c:valAx>
      <c:spPr>
        <a:solidFill>
          <a:srgbClr val="C0C0C0"/>
        </a:solidFill>
        <a:ln w="12700">
          <a:solidFill>
            <a:srgbClr val="808080"/>
          </a:solidFill>
          <a:prstDash val="solid"/>
        </a:ln>
      </c:spPr>
    </c:plotArea>
    <c:legend>
      <c:legendPos val="r"/>
      <c:layout>
        <c:manualLayout>
          <c:xMode val="edge"/>
          <c:yMode val="edge"/>
          <c:x val="0.78048517478007906"/>
          <c:y val="0.40677077799909145"/>
          <c:w val="0.20525417025683401"/>
          <c:h val="0.2951217379901210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60" b="0" i="0" u="none" strike="noStrike" kern="1200" baseline="0">
                <a:solidFill>
                  <a:srgbClr val="000000"/>
                </a:solidFill>
                <a:latin typeface="Calibri"/>
                <a:ea typeface="Calibri"/>
                <a:cs typeface="Calibri"/>
              </a:defRPr>
            </a:pPr>
            <a:r>
              <a:rPr lang="nl-BE"/>
              <a:t>Nationaliteiten LOI</a:t>
            </a:r>
          </a:p>
        </c:rich>
      </c:tx>
      <c:layout>
        <c:manualLayout>
          <c:xMode val="edge"/>
          <c:yMode val="edge"/>
          <c:x val="0.4483163994744559"/>
          <c:y val="3.6912566780216302E-2"/>
        </c:manualLayout>
      </c:layout>
      <c:overlay val="0"/>
      <c:spPr>
        <a:noFill/>
        <a:ln w="25400">
          <a:noFill/>
        </a:ln>
        <a:effectLst/>
      </c:spPr>
      <c:txPr>
        <a:bodyPr rot="0" spcFirstLastPara="1" vertOverflow="ellipsis" vert="horz" wrap="square" anchor="ctr" anchorCtr="1"/>
        <a:lstStyle/>
        <a:p>
          <a:pPr>
            <a:defRPr sz="960" b="0" i="0" u="none" strike="noStrike" kern="1200" baseline="0">
              <a:solidFill>
                <a:srgbClr val="000000"/>
              </a:solidFill>
              <a:latin typeface="Calibri"/>
              <a:ea typeface="Calibri"/>
              <a:cs typeface="Calibri"/>
            </a:defRPr>
          </a:pPr>
          <a:endParaRPr lang="nl-BE"/>
        </a:p>
      </c:txPr>
    </c:title>
    <c:autoTitleDeleted val="0"/>
    <c:view3D>
      <c:rotX val="15"/>
      <c:rotY val="0"/>
      <c:rAngAx val="0"/>
      <c:perspective val="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32636506238778307"/>
          <c:y val="0.28187965649849339"/>
          <c:w val="0.34843245094781111"/>
          <c:h val="0.3993295133728656"/>
        </c:manualLayout>
      </c:layout>
      <c:pie3DChart>
        <c:varyColors val="1"/>
        <c:ser>
          <c:idx val="0"/>
          <c:order val="0"/>
          <c:dPt>
            <c:idx val="0"/>
            <c:bubble3D val="0"/>
            <c:spPr>
              <a:solidFill>
                <a:schemeClr val="accent1"/>
              </a:solidFill>
              <a:ln>
                <a:noFill/>
              </a:ln>
              <a:effectLst/>
              <a:sp3d/>
            </c:spPr>
            <c:extLst>
              <c:ext xmlns:c16="http://schemas.microsoft.com/office/drawing/2014/chart" uri="{C3380CC4-5D6E-409C-BE32-E72D297353CC}">
                <c16:uniqueId val="{00000001-6846-4CDE-934E-0AE179E92514}"/>
              </c:ext>
            </c:extLst>
          </c:dPt>
          <c:dPt>
            <c:idx val="1"/>
            <c:bubble3D val="0"/>
            <c:spPr>
              <a:solidFill>
                <a:schemeClr val="accent2"/>
              </a:solidFill>
              <a:ln>
                <a:noFill/>
              </a:ln>
              <a:effectLst/>
              <a:sp3d/>
            </c:spPr>
            <c:extLst>
              <c:ext xmlns:c16="http://schemas.microsoft.com/office/drawing/2014/chart" uri="{C3380CC4-5D6E-409C-BE32-E72D297353CC}">
                <c16:uniqueId val="{00000003-6846-4CDE-934E-0AE179E92514}"/>
              </c:ext>
            </c:extLst>
          </c:dPt>
          <c:dPt>
            <c:idx val="2"/>
            <c:bubble3D val="0"/>
            <c:spPr>
              <a:solidFill>
                <a:schemeClr val="accent3"/>
              </a:solidFill>
              <a:ln>
                <a:noFill/>
              </a:ln>
              <a:effectLst/>
              <a:sp3d/>
            </c:spPr>
            <c:extLst>
              <c:ext xmlns:c16="http://schemas.microsoft.com/office/drawing/2014/chart" uri="{C3380CC4-5D6E-409C-BE32-E72D297353CC}">
                <c16:uniqueId val="{00000005-6846-4CDE-934E-0AE179E92514}"/>
              </c:ext>
            </c:extLst>
          </c:dPt>
          <c:dPt>
            <c:idx val="3"/>
            <c:bubble3D val="0"/>
            <c:spPr>
              <a:solidFill>
                <a:schemeClr val="accent4"/>
              </a:solidFill>
              <a:ln>
                <a:noFill/>
              </a:ln>
              <a:effectLst/>
              <a:sp3d/>
            </c:spPr>
            <c:extLst>
              <c:ext xmlns:c16="http://schemas.microsoft.com/office/drawing/2014/chart" uri="{C3380CC4-5D6E-409C-BE32-E72D297353CC}">
                <c16:uniqueId val="{00000007-6846-4CDE-934E-0AE179E92514}"/>
              </c:ext>
            </c:extLst>
          </c:dPt>
          <c:dPt>
            <c:idx val="4"/>
            <c:bubble3D val="0"/>
            <c:spPr>
              <a:solidFill>
                <a:schemeClr val="accent5"/>
              </a:solidFill>
              <a:ln>
                <a:noFill/>
              </a:ln>
              <a:effectLst/>
              <a:sp3d/>
            </c:spPr>
            <c:extLst>
              <c:ext xmlns:c16="http://schemas.microsoft.com/office/drawing/2014/chart" uri="{C3380CC4-5D6E-409C-BE32-E72D297353CC}">
                <c16:uniqueId val="{00000009-6846-4CDE-934E-0AE179E92514}"/>
              </c:ext>
            </c:extLst>
          </c:dPt>
          <c:dPt>
            <c:idx val="5"/>
            <c:bubble3D val="0"/>
            <c:spPr>
              <a:solidFill>
                <a:schemeClr val="accent6"/>
              </a:solidFill>
              <a:ln>
                <a:noFill/>
              </a:ln>
              <a:effectLst/>
              <a:sp3d/>
            </c:spPr>
            <c:extLst>
              <c:ext xmlns:c16="http://schemas.microsoft.com/office/drawing/2014/chart" uri="{C3380CC4-5D6E-409C-BE32-E72D297353CC}">
                <c16:uniqueId val="{0000000B-6846-4CDE-934E-0AE179E92514}"/>
              </c:ext>
            </c:extLst>
          </c:dPt>
          <c:dPt>
            <c:idx val="6"/>
            <c:bubble3D val="0"/>
            <c:spPr>
              <a:solidFill>
                <a:schemeClr val="accent1">
                  <a:lumMod val="60000"/>
                </a:schemeClr>
              </a:solidFill>
              <a:ln>
                <a:noFill/>
              </a:ln>
              <a:effectLst/>
              <a:sp3d/>
            </c:spPr>
            <c:extLst>
              <c:ext xmlns:c16="http://schemas.microsoft.com/office/drawing/2014/chart" uri="{C3380CC4-5D6E-409C-BE32-E72D297353CC}">
                <c16:uniqueId val="{0000000D-6846-4CDE-934E-0AE179E92514}"/>
              </c:ext>
            </c:extLst>
          </c:dPt>
          <c:dPt>
            <c:idx val="7"/>
            <c:bubble3D val="0"/>
            <c:spPr>
              <a:solidFill>
                <a:schemeClr val="accent2">
                  <a:lumMod val="60000"/>
                </a:schemeClr>
              </a:solidFill>
              <a:ln>
                <a:noFill/>
              </a:ln>
              <a:effectLst/>
              <a:sp3d/>
            </c:spPr>
            <c:extLst>
              <c:ext xmlns:c16="http://schemas.microsoft.com/office/drawing/2014/chart" uri="{C3380CC4-5D6E-409C-BE32-E72D297353CC}">
                <c16:uniqueId val="{0000000F-6846-4CDE-934E-0AE179E92514}"/>
              </c:ext>
            </c:extLst>
          </c:dPt>
          <c:dPt>
            <c:idx val="8"/>
            <c:bubble3D val="0"/>
            <c:spPr>
              <a:solidFill>
                <a:schemeClr val="accent3">
                  <a:lumMod val="60000"/>
                </a:schemeClr>
              </a:solidFill>
              <a:ln>
                <a:noFill/>
              </a:ln>
              <a:effectLst/>
              <a:sp3d/>
            </c:spPr>
            <c:extLst>
              <c:ext xmlns:c16="http://schemas.microsoft.com/office/drawing/2014/chart" uri="{C3380CC4-5D6E-409C-BE32-E72D297353CC}">
                <c16:uniqueId val="{00000011-6846-4CDE-934E-0AE179E92514}"/>
              </c:ext>
            </c:extLst>
          </c:dPt>
          <c:dPt>
            <c:idx val="9"/>
            <c:bubble3D val="0"/>
            <c:spPr>
              <a:solidFill>
                <a:schemeClr val="accent4">
                  <a:lumMod val="60000"/>
                </a:schemeClr>
              </a:solidFill>
              <a:ln>
                <a:noFill/>
              </a:ln>
              <a:effectLst/>
              <a:sp3d/>
            </c:spPr>
            <c:extLst>
              <c:ext xmlns:c16="http://schemas.microsoft.com/office/drawing/2014/chart" uri="{C3380CC4-5D6E-409C-BE32-E72D297353CC}">
                <c16:uniqueId val="{00000013-6846-4CDE-934E-0AE179E92514}"/>
              </c:ext>
            </c:extLst>
          </c:dPt>
          <c:dPt>
            <c:idx val="10"/>
            <c:bubble3D val="0"/>
            <c:spPr>
              <a:solidFill>
                <a:schemeClr val="accent5">
                  <a:lumMod val="60000"/>
                </a:schemeClr>
              </a:solidFill>
              <a:ln>
                <a:noFill/>
              </a:ln>
              <a:effectLst/>
              <a:sp3d/>
            </c:spPr>
            <c:extLst>
              <c:ext xmlns:c16="http://schemas.microsoft.com/office/drawing/2014/chart" uri="{C3380CC4-5D6E-409C-BE32-E72D297353CC}">
                <c16:uniqueId val="{00000015-6846-4CDE-934E-0AE179E92514}"/>
              </c:ext>
            </c:extLst>
          </c:dPt>
          <c:dPt>
            <c:idx val="11"/>
            <c:bubble3D val="0"/>
            <c:spPr>
              <a:solidFill>
                <a:schemeClr val="accent6">
                  <a:lumMod val="60000"/>
                </a:schemeClr>
              </a:solidFill>
              <a:ln>
                <a:noFill/>
              </a:ln>
              <a:effectLst/>
              <a:sp3d/>
            </c:spPr>
            <c:extLst>
              <c:ext xmlns:c16="http://schemas.microsoft.com/office/drawing/2014/chart" uri="{C3380CC4-5D6E-409C-BE32-E72D297353CC}">
                <c16:uniqueId val="{00000017-6846-4CDE-934E-0AE179E92514}"/>
              </c:ext>
            </c:extLst>
          </c:dPt>
          <c:dPt>
            <c:idx val="12"/>
            <c:bubble3D val="0"/>
            <c:spPr>
              <a:solidFill>
                <a:schemeClr val="accent1">
                  <a:lumMod val="80000"/>
                  <a:lumOff val="20000"/>
                </a:schemeClr>
              </a:solidFill>
              <a:ln>
                <a:noFill/>
              </a:ln>
              <a:effectLst/>
              <a:sp3d/>
            </c:spPr>
            <c:extLst>
              <c:ext xmlns:c16="http://schemas.microsoft.com/office/drawing/2014/chart" uri="{C3380CC4-5D6E-409C-BE32-E72D297353CC}">
                <c16:uniqueId val="{00000019-6846-4CDE-934E-0AE179E92514}"/>
              </c:ext>
            </c:extLst>
          </c:dPt>
          <c:dPt>
            <c:idx val="13"/>
            <c:bubble3D val="0"/>
            <c:spPr>
              <a:solidFill>
                <a:schemeClr val="accent2">
                  <a:lumMod val="80000"/>
                  <a:lumOff val="20000"/>
                </a:schemeClr>
              </a:solidFill>
              <a:ln>
                <a:noFill/>
              </a:ln>
              <a:effectLst/>
              <a:sp3d/>
            </c:spPr>
            <c:extLst>
              <c:ext xmlns:c16="http://schemas.microsoft.com/office/drawing/2014/chart" uri="{C3380CC4-5D6E-409C-BE32-E72D297353CC}">
                <c16:uniqueId val="{0000001B-6846-4CDE-934E-0AE179E92514}"/>
              </c:ext>
            </c:extLst>
          </c:dPt>
          <c:dPt>
            <c:idx val="14"/>
            <c:bubble3D val="0"/>
            <c:spPr>
              <a:solidFill>
                <a:schemeClr val="accent3">
                  <a:lumMod val="80000"/>
                  <a:lumOff val="20000"/>
                </a:schemeClr>
              </a:solidFill>
              <a:ln>
                <a:noFill/>
              </a:ln>
              <a:effectLst/>
              <a:sp3d/>
            </c:spPr>
            <c:extLst>
              <c:ext xmlns:c16="http://schemas.microsoft.com/office/drawing/2014/chart" uri="{C3380CC4-5D6E-409C-BE32-E72D297353CC}">
                <c16:uniqueId val="{0000001D-6846-4CDE-934E-0AE179E92514}"/>
              </c:ext>
            </c:extLst>
          </c:dPt>
          <c:dPt>
            <c:idx val="15"/>
            <c:bubble3D val="0"/>
            <c:spPr>
              <a:solidFill>
                <a:schemeClr val="accent4">
                  <a:lumMod val="80000"/>
                  <a:lumOff val="20000"/>
                </a:schemeClr>
              </a:solidFill>
              <a:ln>
                <a:noFill/>
              </a:ln>
              <a:effectLst/>
              <a:sp3d/>
            </c:spPr>
            <c:extLst>
              <c:ext xmlns:c16="http://schemas.microsoft.com/office/drawing/2014/chart" uri="{C3380CC4-5D6E-409C-BE32-E72D297353CC}">
                <c16:uniqueId val="{0000001F-6846-4CDE-934E-0AE179E92514}"/>
              </c:ext>
            </c:extLst>
          </c:dPt>
          <c:dPt>
            <c:idx val="16"/>
            <c:bubble3D val="0"/>
            <c:spPr>
              <a:solidFill>
                <a:schemeClr val="accent5">
                  <a:lumMod val="80000"/>
                  <a:lumOff val="20000"/>
                </a:schemeClr>
              </a:solidFill>
              <a:ln>
                <a:noFill/>
              </a:ln>
              <a:effectLst/>
              <a:sp3d/>
            </c:spPr>
            <c:extLst>
              <c:ext xmlns:c16="http://schemas.microsoft.com/office/drawing/2014/chart" uri="{C3380CC4-5D6E-409C-BE32-E72D297353CC}">
                <c16:uniqueId val="{00000021-6846-4CDE-934E-0AE179E92514}"/>
              </c:ext>
            </c:extLst>
          </c:dPt>
          <c:dPt>
            <c:idx val="17"/>
            <c:bubble3D val="0"/>
            <c:spPr>
              <a:solidFill>
                <a:schemeClr val="accent6">
                  <a:lumMod val="80000"/>
                  <a:lumOff val="20000"/>
                </a:schemeClr>
              </a:solidFill>
              <a:ln>
                <a:noFill/>
              </a:ln>
              <a:effectLst/>
              <a:sp3d/>
            </c:spPr>
            <c:extLst>
              <c:ext xmlns:c16="http://schemas.microsoft.com/office/drawing/2014/chart" uri="{C3380CC4-5D6E-409C-BE32-E72D297353CC}">
                <c16:uniqueId val="{00000023-6846-4CDE-934E-0AE179E92514}"/>
              </c:ext>
            </c:extLst>
          </c:dPt>
          <c:dLbls>
            <c:numFmt formatCode="0%" sourceLinked="0"/>
            <c:spPr>
              <a:noFill/>
              <a:ln w="25400">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leaderLines>
              <c:spPr>
                <a:ln w="9525" cap="flat" cmpd="sng" algn="ctr">
                  <a:solidFill>
                    <a:schemeClr val="tx1">
                      <a:shade val="95000"/>
                      <a:satMod val="105000"/>
                    </a:schemeClr>
                  </a:solidFill>
                  <a:prstDash val="solid"/>
                  <a:round/>
                </a:ln>
                <a:effectLst/>
              </c:spPr>
            </c:leaderLines>
            <c:extLst>
              <c:ext xmlns:c15="http://schemas.microsoft.com/office/drawing/2012/chart" uri="{CE6537A1-D6FC-4f65-9D91-7224C49458BB}"/>
            </c:extLst>
          </c:dLbls>
          <c:cat>
            <c:strRef>
              <c:f>'W-SD'!$G$173:$G$181</c:f>
              <c:strCache>
                <c:ptCount val="9"/>
                <c:pt idx="0">
                  <c:v>Afghanistan</c:v>
                </c:pt>
                <c:pt idx="1">
                  <c:v>Brazilië</c:v>
                </c:pt>
                <c:pt idx="2">
                  <c:v>Eritrea</c:v>
                </c:pt>
                <c:pt idx="3">
                  <c:v>Georgië</c:v>
                </c:pt>
                <c:pt idx="4">
                  <c:v>Macedonië</c:v>
                </c:pt>
                <c:pt idx="5">
                  <c:v>Palestina</c:v>
                </c:pt>
                <c:pt idx="6">
                  <c:v>Somalië</c:v>
                </c:pt>
                <c:pt idx="7">
                  <c:v>Syrië</c:v>
                </c:pt>
                <c:pt idx="8">
                  <c:v>Turkije</c:v>
                </c:pt>
              </c:strCache>
            </c:strRef>
          </c:cat>
          <c:val>
            <c:numRef>
              <c:f>'W-SD'!$H$173:$H$181</c:f>
              <c:numCache>
                <c:formatCode>General</c:formatCode>
                <c:ptCount val="9"/>
                <c:pt idx="0">
                  <c:v>1</c:v>
                </c:pt>
                <c:pt idx="1">
                  <c:v>1</c:v>
                </c:pt>
                <c:pt idx="2">
                  <c:v>6</c:v>
                </c:pt>
                <c:pt idx="3">
                  <c:v>1</c:v>
                </c:pt>
                <c:pt idx="4">
                  <c:v>1</c:v>
                </c:pt>
                <c:pt idx="5">
                  <c:v>2</c:v>
                </c:pt>
                <c:pt idx="6">
                  <c:v>6</c:v>
                </c:pt>
                <c:pt idx="7">
                  <c:v>2</c:v>
                </c:pt>
                <c:pt idx="8">
                  <c:v>1</c:v>
                </c:pt>
              </c:numCache>
            </c:numRef>
          </c:val>
          <c:extLst>
            <c:ext xmlns:c16="http://schemas.microsoft.com/office/drawing/2014/chart" uri="{C3380CC4-5D6E-409C-BE32-E72D297353CC}">
              <c16:uniqueId val="{00000024-6846-4CDE-934E-0AE179E92514}"/>
            </c:ext>
          </c:extLst>
        </c:ser>
        <c:dLbls>
          <c:showLegendKey val="0"/>
          <c:showVal val="0"/>
          <c:showCatName val="0"/>
          <c:showSerName val="0"/>
          <c:showPercent val="0"/>
          <c:showBubbleSize val="0"/>
          <c:showLeaderLines val="1"/>
        </c:dLbls>
      </c:pie3DChart>
      <c:spPr>
        <a:noFill/>
        <a:ln w="25400">
          <a:noFill/>
        </a:ln>
        <a:effectLst/>
      </c:spPr>
    </c:plotArea>
    <c:legend>
      <c:legendPos val="b"/>
      <c:layout>
        <c:manualLayout>
          <c:xMode val="edge"/>
          <c:yMode val="edge"/>
          <c:x val="5.6622190518868069E-3"/>
          <c:y val="0.75648256733865715"/>
          <c:w val="0.99022402687468936"/>
          <c:h val="0.21514863833510167"/>
        </c:manualLayout>
      </c:layout>
      <c:overlay val="0"/>
      <c:spPr>
        <a:solidFill>
          <a:srgbClr val="FFFFFF"/>
        </a:solidFill>
        <a:ln w="3175">
          <a:solidFill>
            <a:srgbClr val="000000"/>
          </a:solidFill>
          <a:prstDash val="solid"/>
        </a:ln>
        <a:effectLst/>
      </c:spPr>
      <c:txPr>
        <a:bodyPr rot="0" spcFirstLastPara="1" vertOverflow="ellipsis" vert="horz" wrap="square" anchor="ctr" anchorCtr="1"/>
        <a:lstStyle/>
        <a:p>
          <a:pPr>
            <a:defRPr sz="735" b="0" i="0" u="none" strike="noStrike" kern="1200"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cap="flat" cmpd="sng" algn="ctr">
      <a:solidFill>
        <a:srgbClr val="000000"/>
      </a:solidFill>
      <a:prstDash val="solid"/>
      <a:round/>
    </a:ln>
    <a:effectLst/>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10"/>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'8342'!#REF!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EF2-46DA-B8BE-D9253771A614}"/>
            </c:ext>
          </c:extLst>
        </c:ser>
        <c:ser>
          <c:idx val="1"/>
          <c:order val="1"/>
          <c:spPr>
            <a:solidFill>
              <a:srgbClr val="993366"/>
            </a:solidFill>
            <a:ln w="12700">
              <a:solidFill>
                <a:srgbClr val="000000"/>
              </a:solidFill>
              <a:prstDash val="solid"/>
            </a:ln>
          </c:spPr>
          <c:invertIfNegative val="0"/>
          <c:val>
            <c:numRef>
              <c:f>'8342'!#REF!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EF2-46DA-B8BE-D9253771A614}"/>
            </c:ext>
          </c:extLst>
        </c:ser>
        <c:dLbls>
          <c:showLegendKey val="0"/>
          <c:showVal val="0"/>
          <c:showCatName val="0"/>
          <c:showSerName val="0"/>
          <c:showPercent val="0"/>
          <c:showBubbleSize val="0"/>
        </c:dLbls>
        <c:gapWidth val="150"/>
        <c:shape val="box"/>
        <c:axId val="167956480"/>
        <c:axId val="167958016"/>
        <c:axId val="0"/>
      </c:bar3DChart>
      <c:catAx>
        <c:axId val="167956480"/>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958016"/>
        <c:crosses val="autoZero"/>
        <c:auto val="1"/>
        <c:lblAlgn val="ctr"/>
        <c:lblOffset val="100"/>
        <c:tickLblSkip val="1"/>
        <c:tickMarkSkip val="1"/>
        <c:noMultiLvlLbl val="0"/>
      </c:catAx>
      <c:valAx>
        <c:axId val="167958016"/>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7956480"/>
        <c:crosses val="autoZero"/>
        <c:crossBetween val="between"/>
      </c:valAx>
      <c:spPr>
        <a:noFill/>
        <a:ln w="25400">
          <a:noFill/>
        </a:ln>
      </c:spPr>
    </c:plotArea>
    <c:legend>
      <c:legendPos val="r"/>
      <c:layout>
        <c:manualLayout>
          <c:xMode val="edge"/>
          <c:yMode val="edge"/>
          <c:x val="0.29268292682926828"/>
          <c:y val="0"/>
          <c:w val="0.41463414634146339"/>
          <c:h val="0"/>
        </c:manualLayout>
      </c:layout>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C5CF-487D-A899-AA12508B3EEC}"/>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C5CF-487D-A899-AA12508B3EEC}"/>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C5CF-487D-A899-AA12508B3EEC}"/>
            </c:ext>
          </c:extLst>
        </c:ser>
        <c:dLbls>
          <c:showLegendKey val="0"/>
          <c:showVal val="0"/>
          <c:showCatName val="0"/>
          <c:showSerName val="0"/>
          <c:showPercent val="0"/>
          <c:showBubbleSize val="0"/>
        </c:dLbls>
        <c:marker val="1"/>
        <c:smooth val="0"/>
        <c:axId val="168136704"/>
        <c:axId val="168138624"/>
      </c:lineChart>
      <c:catAx>
        <c:axId val="1681367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8138624"/>
        <c:crosses val="autoZero"/>
        <c:auto val="1"/>
        <c:lblAlgn val="ctr"/>
        <c:lblOffset val="100"/>
        <c:tickLblSkip val="1"/>
        <c:tickMarkSkip val="1"/>
        <c:noMultiLvlLbl val="0"/>
      </c:catAx>
      <c:valAx>
        <c:axId val="1681386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8136704"/>
        <c:crosses val="autoZero"/>
        <c:crossBetween val="between"/>
      </c:valAx>
      <c:spPr>
        <a:solidFill>
          <a:srgbClr val="C0C0C0"/>
        </a:solidFill>
        <a:ln w="12700">
          <a:solidFill>
            <a:srgbClr val="808080"/>
          </a:solidFill>
          <a:prstDash val="solid"/>
        </a:ln>
      </c:spPr>
    </c:plotArea>
    <c:legend>
      <c:legendPos val="r"/>
      <c:layout>
        <c:manualLayout>
          <c:xMode val="edge"/>
          <c:yMode val="edge"/>
          <c:x val="0.80487804878048785"/>
          <c:y val="0"/>
          <c:w val="0.16376306620209058"/>
          <c:h val="0"/>
        </c:manualLayout>
      </c:layout>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7067-42B2-87AD-7DB4DE417AAD}"/>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'8342'!#REF!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7067-42B2-87AD-7DB4DE417AAD}"/>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0E3-4FA1-9509-B3150C028AA1}"/>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'8342'!#REF!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'8342'!#REF!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0E3-4FA1-9509-B3150C028AA1}"/>
            </c:ext>
          </c:extLst>
        </c:ser>
        <c:dLbls>
          <c:showLegendKey val="0"/>
          <c:showVal val="0"/>
          <c:showCatName val="0"/>
          <c:showSerName val="0"/>
          <c:showPercent val="0"/>
          <c:showBubbleSize val="0"/>
        </c:dLbls>
        <c:marker val="1"/>
        <c:smooth val="0"/>
        <c:axId val="185174656"/>
        <c:axId val="185185024"/>
      </c:lineChart>
      <c:catAx>
        <c:axId val="1851746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185024"/>
        <c:crosses val="autoZero"/>
        <c:auto val="1"/>
        <c:lblAlgn val="ctr"/>
        <c:lblOffset val="100"/>
        <c:tickLblSkip val="1"/>
        <c:tickMarkSkip val="1"/>
        <c:noMultiLvlLbl val="0"/>
      </c:catAx>
      <c:valAx>
        <c:axId val="185185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85174656"/>
        <c:crosses val="autoZero"/>
        <c:crossBetween val="between"/>
      </c:valAx>
      <c:spPr>
        <a:solidFill>
          <a:srgbClr val="C0C0C0"/>
        </a:solidFill>
        <a:ln w="12700">
          <a:solidFill>
            <a:srgbClr val="808080"/>
          </a:solidFill>
          <a:prstDash val="solid"/>
        </a:ln>
      </c:spPr>
    </c:plotArea>
    <c:legend>
      <c:legendPos val="r"/>
      <c:layout>
        <c:manualLayout>
          <c:xMode val="edge"/>
          <c:yMode val="edge"/>
          <c:x val="0.80487804878048785"/>
          <c:y val="0"/>
          <c:w val="0.16376306620209058"/>
          <c:h val="0"/>
        </c:manualLayout>
      </c:layout>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F069-4A0F-824B-D0E4D2AD1B9A}"/>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'8342'!#REF!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069-4A0F-824B-D0E4D2AD1B9A}"/>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Calibri"/>
                <a:ea typeface="Calibri"/>
                <a:cs typeface="Calibri"/>
              </a:defRPr>
            </a:pPr>
            <a:r>
              <a:rPr lang="nl-BE" sz="1800" b="1" i="0" u="none" strike="noStrike" baseline="0">
                <a:solidFill>
                  <a:srgbClr val="000000"/>
                </a:solidFill>
                <a:latin typeface="Calibri"/>
                <a:cs typeface="Calibri"/>
              </a:rPr>
              <a:t>Deelnemers</a:t>
            </a:r>
          </a:p>
          <a:p>
            <a:pPr>
              <a:defRPr sz="1000" b="0" i="0" u="none" strike="noStrike" baseline="0">
                <a:solidFill>
                  <a:srgbClr val="000000"/>
                </a:solidFill>
                <a:latin typeface="Calibri"/>
                <a:ea typeface="Calibri"/>
                <a:cs typeface="Calibri"/>
              </a:defRPr>
            </a:pPr>
            <a:r>
              <a:rPr lang="nl-BE" sz="1800" b="1" i="0" u="none" strike="noStrike" baseline="0">
                <a:solidFill>
                  <a:srgbClr val="000000"/>
                </a:solidFill>
                <a:latin typeface="Calibri"/>
                <a:cs typeface="Calibri"/>
              </a:rPr>
              <a:t>Vrij Vaderland</a:t>
            </a:r>
          </a:p>
        </c:rich>
      </c:tx>
      <c:overlay val="0"/>
    </c:title>
    <c:autoTitleDeleted val="0"/>
    <c:plotArea>
      <c:layout/>
      <c:lineChart>
        <c:grouping val="standard"/>
        <c:varyColors val="0"/>
        <c:ser>
          <c:idx val="1"/>
          <c:order val="0"/>
          <c:tx>
            <c:strRef>
              <c:f>'VT-VISIT VEURNE'!$A$60</c:f>
              <c:strCache>
                <c:ptCount val="1"/>
                <c:pt idx="0">
                  <c:v>Totaal</c:v>
                </c:pt>
              </c:strCache>
            </c:strRef>
          </c:tx>
          <c:marker>
            <c:symbol val="none"/>
          </c:marker>
          <c:dLbls>
            <c:dLbl>
              <c:idx val="0"/>
              <c:layout>
                <c:manualLayout>
                  <c:x val="-5.0424628450106132E-2"/>
                  <c:y val="7.7262693156732898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6F-4B19-B14E-7E4B937486EB}"/>
                </c:ext>
              </c:extLst>
            </c:dLbl>
            <c:dLbl>
              <c:idx val="1"/>
              <c:layout>
                <c:manualLayout>
                  <c:x val="-2.1231422505307854E-2"/>
                  <c:y val="6.6225165562913912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46F-4B19-B14E-7E4B937486EB}"/>
                </c:ext>
              </c:extLst>
            </c:dLbl>
            <c:dLbl>
              <c:idx val="2"/>
              <c:layout>
                <c:manualLayout>
                  <c:x val="-4.7770700636942678E-2"/>
                  <c:y val="6.0706401766004413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6F-4B19-B14E-7E4B937486EB}"/>
                </c:ext>
              </c:extLst>
            </c:dLbl>
            <c:dLbl>
              <c:idx val="3"/>
              <c:layout>
                <c:manualLayout>
                  <c:x val="-4.7770700636942678E-2"/>
                  <c:y val="6.6225165562913912E-2"/>
                </c:manualLayout>
              </c:layout>
              <c:spPr/>
              <c:txPr>
                <a:bodyPr/>
                <a:lstStyle/>
                <a:p>
                  <a:pPr>
                    <a:defRPr sz="1000" b="0" i="0" u="none" strike="noStrike" baseline="0">
                      <a:solidFill>
                        <a:srgbClr val="000000"/>
                      </a:solidFill>
                      <a:latin typeface="Calibri"/>
                      <a:ea typeface="Calibri"/>
                      <a:cs typeface="Calibri"/>
                    </a:defRPr>
                  </a:pPr>
                  <a:endParaRPr lang="nl-BE"/>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46F-4B19-B14E-7E4B937486EB}"/>
                </c:ext>
              </c:extLst>
            </c:dLbl>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'VT-VISIT VEURNE'!$B$46:$E$46</c:f>
              <c:numCache>
                <c:formatCode>General</c:formatCode>
                <c:ptCount val="4"/>
                <c:pt idx="0">
                  <c:v>2014</c:v>
                </c:pt>
                <c:pt idx="1">
                  <c:v>2015</c:v>
                </c:pt>
                <c:pt idx="2">
                  <c:v>2016</c:v>
                </c:pt>
                <c:pt idx="3">
                  <c:v>2017</c:v>
                </c:pt>
              </c:numCache>
            </c:numRef>
          </c:cat>
          <c:val>
            <c:numRef>
              <c:f>'VT-VISIT VEURNE'!$B$60:$E$60</c:f>
              <c:numCache>
                <c:formatCode>General</c:formatCode>
                <c:ptCount val="4"/>
                <c:pt idx="0">
                  <c:v>10530</c:v>
                </c:pt>
                <c:pt idx="1">
                  <c:v>6235</c:v>
                </c:pt>
                <c:pt idx="2">
                  <c:v>5866</c:v>
                </c:pt>
                <c:pt idx="3">
                  <c:v>5031</c:v>
                </c:pt>
              </c:numCache>
            </c:numRef>
          </c:val>
          <c:smooth val="0"/>
          <c:extLst>
            <c:ext xmlns:c16="http://schemas.microsoft.com/office/drawing/2014/chart" uri="{C3380CC4-5D6E-409C-BE32-E72D297353CC}">
              <c16:uniqueId val="{00000004-A46F-4B19-B14E-7E4B937486EB}"/>
            </c:ext>
          </c:extLst>
        </c:ser>
        <c:dLbls>
          <c:showLegendKey val="0"/>
          <c:showVal val="0"/>
          <c:showCatName val="0"/>
          <c:showSerName val="0"/>
          <c:showPercent val="0"/>
          <c:showBubbleSize val="0"/>
        </c:dLbls>
        <c:smooth val="0"/>
        <c:axId val="677279136"/>
        <c:axId val="1"/>
      </c:lineChart>
      <c:catAx>
        <c:axId val="677279136"/>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79136"/>
        <c:crosses val="autoZero"/>
        <c:crossBetween val="between"/>
      </c:valAx>
    </c:plotArea>
    <c:legend>
      <c:legendPos val="r"/>
      <c:layout>
        <c:manualLayout>
          <c:xMode val="edge"/>
          <c:yMode val="edge"/>
          <c:x val="0.83378016085790885"/>
          <c:y val="0.59839610410144517"/>
          <c:w val="0.15013404825737264"/>
          <c:h val="9.6385963802717467E-2"/>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163E-4785-B238-746187291B6D}"/>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'8342'!#REF!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'8342'!#REF!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163E-4785-B238-746187291B6D}"/>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Aantal dagschotels</a:t>
            </a:r>
          </a:p>
        </c:rich>
      </c:tx>
      <c:layout>
        <c:manualLayout>
          <c:xMode val="edge"/>
          <c:yMode val="edge"/>
          <c:x val="0.34464949940099576"/>
          <c:y val="3.7174890010946718E-2"/>
        </c:manualLayout>
      </c:layout>
      <c:overlay val="0"/>
      <c:spPr>
        <a:noFill/>
        <a:ln w="25400">
          <a:noFill/>
        </a:ln>
      </c:spPr>
    </c:title>
    <c:autoTitleDeleted val="0"/>
    <c:plotArea>
      <c:layout>
        <c:manualLayout>
          <c:layoutTarget val="inner"/>
          <c:xMode val="edge"/>
          <c:yMode val="edge"/>
          <c:x val="0.10736853142324365"/>
          <c:y val="0.19702602230483271"/>
          <c:w val="0.83789559816570536"/>
          <c:h val="0.58364312267657992"/>
        </c:manualLayout>
      </c:layout>
      <c:barChart>
        <c:barDir val="col"/>
        <c:grouping val="clustered"/>
        <c:varyColors val="0"/>
        <c:ser>
          <c:idx val="0"/>
          <c:order val="0"/>
          <c:tx>
            <c:strRef>
              <c:f>'W-ZB'!$A$4</c:f>
              <c:strCache>
                <c:ptCount val="1"/>
                <c:pt idx="0">
                  <c:v>Aantal dagschotels</c:v>
                </c:pt>
              </c:strCache>
            </c:strRef>
          </c:tx>
          <c:spPr>
            <a:solidFill>
              <a:srgbClr val="9999FF"/>
            </a:solidFill>
            <a:ln w="12700">
              <a:solidFill>
                <a:srgbClr val="000000"/>
              </a:solidFill>
              <a:prstDash val="solid"/>
            </a:ln>
          </c:spPr>
          <c:invertIfNegative val="0"/>
          <c:cat>
            <c:strRef>
              <c:f>'W-ZB'!$B$3:$G$3</c:f>
              <c:strCache>
                <c:ptCount val="6"/>
                <c:pt idx="0">
                  <c:v>2017</c:v>
                </c:pt>
                <c:pt idx="1">
                  <c:v>2018</c:v>
                </c:pt>
                <c:pt idx="2">
                  <c:v>2019</c:v>
                </c:pt>
                <c:pt idx="3">
                  <c:v>2020</c:v>
                </c:pt>
                <c:pt idx="4">
                  <c:v>2021</c:v>
                </c:pt>
                <c:pt idx="5">
                  <c:v>2022</c:v>
                </c:pt>
              </c:strCache>
            </c:strRef>
          </c:cat>
          <c:val>
            <c:numRef>
              <c:f>'W-ZB'!$B$4:$G$4</c:f>
              <c:numCache>
                <c:formatCode>#,##0</c:formatCode>
                <c:ptCount val="6"/>
                <c:pt idx="0">
                  <c:v>16108</c:v>
                </c:pt>
                <c:pt idx="1">
                  <c:v>18632</c:v>
                </c:pt>
                <c:pt idx="2">
                  <c:v>20240</c:v>
                </c:pt>
                <c:pt idx="3">
                  <c:v>7111</c:v>
                </c:pt>
                <c:pt idx="4">
                  <c:v>11728</c:v>
                </c:pt>
                <c:pt idx="5">
                  <c:v>15831</c:v>
                </c:pt>
              </c:numCache>
            </c:numRef>
          </c:val>
          <c:extLst>
            <c:ext xmlns:c16="http://schemas.microsoft.com/office/drawing/2014/chart" uri="{C3380CC4-5D6E-409C-BE32-E72D297353CC}">
              <c16:uniqueId val="{00000000-F35B-40FE-A5C0-448185ADFCE5}"/>
            </c:ext>
          </c:extLst>
        </c:ser>
        <c:dLbls>
          <c:showLegendKey val="0"/>
          <c:showVal val="0"/>
          <c:showCatName val="0"/>
          <c:showSerName val="0"/>
          <c:showPercent val="0"/>
          <c:showBubbleSize val="0"/>
        </c:dLbls>
        <c:gapWidth val="150"/>
        <c:axId val="168274944"/>
        <c:axId val="168276736"/>
      </c:barChart>
      <c:catAx>
        <c:axId val="168274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8276736"/>
        <c:crosses val="autoZero"/>
        <c:auto val="1"/>
        <c:lblAlgn val="ctr"/>
        <c:lblOffset val="100"/>
        <c:noMultiLvlLbl val="0"/>
      </c:catAx>
      <c:valAx>
        <c:axId val="168276736"/>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Calibri"/>
                <a:ea typeface="Calibri"/>
                <a:cs typeface="Calibri"/>
              </a:defRPr>
            </a:pPr>
            <a:endParaRPr lang="nl-BE"/>
          </a:p>
        </c:txPr>
        <c:crossAx val="16827494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1899313501144165"/>
          <c:y val="0.19685039370078741"/>
          <c:w val="0.77432923884413729"/>
          <c:h val="0.6417322834645669"/>
        </c:manualLayout>
      </c:layout>
      <c:lineChart>
        <c:grouping val="standard"/>
        <c:varyColors val="0"/>
        <c:ser>
          <c:idx val="0"/>
          <c:order val="0"/>
          <c:tx>
            <c:strRef>
              <c:f>'W-ZB'!$A$30</c:f>
              <c:strCache>
                <c:ptCount val="1"/>
                <c:pt idx="0">
                  <c:v>Totaal verhuringen</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'W-ZB'!$B$24:$G$24</c:f>
              <c:strCache>
                <c:ptCount val="6"/>
                <c:pt idx="0">
                  <c:v>2017</c:v>
                </c:pt>
                <c:pt idx="1">
                  <c:v>2018</c:v>
                </c:pt>
                <c:pt idx="2">
                  <c:v>2019</c:v>
                </c:pt>
                <c:pt idx="3">
                  <c:v>2020</c:v>
                </c:pt>
                <c:pt idx="4">
                  <c:v>2021</c:v>
                </c:pt>
                <c:pt idx="5">
                  <c:v>2022</c:v>
                </c:pt>
              </c:strCache>
            </c:strRef>
          </c:cat>
          <c:val>
            <c:numRef>
              <c:f>'W-ZB'!$B$30:$G$30</c:f>
              <c:numCache>
                <c:formatCode>#,##0</c:formatCode>
                <c:ptCount val="6"/>
                <c:pt idx="0">
                  <c:v>11569.329999999998</c:v>
                </c:pt>
                <c:pt idx="1">
                  <c:v>12175.83</c:v>
                </c:pt>
                <c:pt idx="2">
                  <c:v>16645.86</c:v>
                </c:pt>
                <c:pt idx="3">
                  <c:v>2321</c:v>
                </c:pt>
                <c:pt idx="4">
                  <c:v>14744.61</c:v>
                </c:pt>
                <c:pt idx="5">
                  <c:v>20724</c:v>
                </c:pt>
              </c:numCache>
            </c:numRef>
          </c:val>
          <c:smooth val="0"/>
          <c:extLst>
            <c:ext xmlns:c16="http://schemas.microsoft.com/office/drawing/2014/chart" uri="{C3380CC4-5D6E-409C-BE32-E72D297353CC}">
              <c16:uniqueId val="{00000000-124C-45AC-83DA-8692611074D4}"/>
            </c:ext>
          </c:extLst>
        </c:ser>
        <c:dLbls>
          <c:showLegendKey val="0"/>
          <c:showVal val="0"/>
          <c:showCatName val="0"/>
          <c:showSerName val="0"/>
          <c:showPercent val="0"/>
          <c:showBubbleSize val="0"/>
        </c:dLbls>
        <c:marker val="1"/>
        <c:smooth val="0"/>
        <c:axId val="168300928"/>
        <c:axId val="168302848"/>
      </c:lineChart>
      <c:catAx>
        <c:axId val="1683009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8302848"/>
        <c:crosses val="autoZero"/>
        <c:auto val="1"/>
        <c:lblAlgn val="ctr"/>
        <c:lblOffset val="100"/>
        <c:tickLblSkip val="1"/>
        <c:tickMarkSkip val="1"/>
        <c:noMultiLvlLbl val="0"/>
      </c:catAx>
      <c:valAx>
        <c:axId val="168302848"/>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830092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'8351'!#REF!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F273-463B-975B-261A757353E8}"/>
            </c:ext>
          </c:extLst>
        </c:ser>
        <c:ser>
          <c:idx val="1"/>
          <c:order val="1"/>
          <c:spPr>
            <a:solidFill>
              <a:srgbClr val="993366"/>
            </a:solidFill>
            <a:ln w="12700">
              <a:solidFill>
                <a:srgbClr val="000000"/>
              </a:solidFill>
              <a:prstDash val="solid"/>
            </a:ln>
          </c:spPr>
          <c:invertIfNegative val="0"/>
          <c:val>
            <c:numRef>
              <c:f>'8351'!#REF!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F273-463B-975B-261A757353E8}"/>
            </c:ext>
          </c:extLst>
        </c:ser>
        <c:dLbls>
          <c:showLegendKey val="0"/>
          <c:showVal val="0"/>
          <c:showCatName val="0"/>
          <c:showSerName val="0"/>
          <c:showPercent val="0"/>
          <c:showBubbleSize val="0"/>
        </c:dLbls>
        <c:gapWidth val="150"/>
        <c:shape val="box"/>
        <c:axId val="166139392"/>
        <c:axId val="166140928"/>
        <c:axId val="0"/>
      </c:bar3DChart>
      <c:catAx>
        <c:axId val="16613939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140928"/>
        <c:crosses val="autoZero"/>
        <c:auto val="1"/>
        <c:lblAlgn val="ctr"/>
        <c:lblOffset val="100"/>
        <c:tickLblSkip val="1"/>
        <c:tickMarkSkip val="1"/>
        <c:noMultiLvlLbl val="0"/>
      </c:catAx>
      <c:valAx>
        <c:axId val="16614092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139392"/>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B793-4B87-957D-33FD6D221A29}"/>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B793-4B87-957D-33FD6D221A29}"/>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B793-4B87-957D-33FD6D221A29}"/>
            </c:ext>
          </c:extLst>
        </c:ser>
        <c:dLbls>
          <c:showLegendKey val="0"/>
          <c:showVal val="0"/>
          <c:showCatName val="0"/>
          <c:showSerName val="0"/>
          <c:showPercent val="0"/>
          <c:showBubbleSize val="0"/>
        </c:dLbls>
        <c:marker val="1"/>
        <c:smooth val="0"/>
        <c:axId val="166184448"/>
        <c:axId val="166186368"/>
      </c:lineChart>
      <c:catAx>
        <c:axId val="1661844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186368"/>
        <c:crosses val="autoZero"/>
        <c:auto val="1"/>
        <c:lblAlgn val="ctr"/>
        <c:lblOffset val="100"/>
        <c:tickLblSkip val="1"/>
        <c:tickMarkSkip val="1"/>
        <c:noMultiLvlLbl val="0"/>
      </c:catAx>
      <c:valAx>
        <c:axId val="166186368"/>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184448"/>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9013-418B-A203-D5379FB5AE7B}"/>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'8351'!#REF!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9013-418B-A203-D5379FB5AE7B}"/>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A728-4EED-BE32-648C36901635}"/>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'8351'!#REF!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'8351'!#REF!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728-4EED-BE32-648C36901635}"/>
            </c:ext>
          </c:extLst>
        </c:ser>
        <c:dLbls>
          <c:showLegendKey val="0"/>
          <c:showVal val="0"/>
          <c:showCatName val="0"/>
          <c:showSerName val="0"/>
          <c:showPercent val="0"/>
          <c:showBubbleSize val="0"/>
        </c:dLbls>
        <c:marker val="1"/>
        <c:smooth val="0"/>
        <c:axId val="166564224"/>
        <c:axId val="166566144"/>
      </c:lineChart>
      <c:catAx>
        <c:axId val="166564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566144"/>
        <c:crosses val="autoZero"/>
        <c:auto val="1"/>
        <c:lblAlgn val="ctr"/>
        <c:lblOffset val="100"/>
        <c:tickLblSkip val="1"/>
        <c:tickMarkSkip val="1"/>
        <c:noMultiLvlLbl val="0"/>
      </c:catAx>
      <c:valAx>
        <c:axId val="16656614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6564224"/>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8B18-401B-ABB9-F7CEB93849E9}"/>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'8351'!#REF!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8B18-401B-ABB9-F7CEB93849E9}"/>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695D-433E-A6D6-982A82E1EF42}"/>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'8351'!#REF!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'8351'!#REF!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695D-433E-A6D6-982A82E1EF42}"/>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Totale bezetting</a:t>
            </a:r>
          </a:p>
        </c:rich>
      </c:tx>
      <c:layout>
        <c:manualLayout>
          <c:xMode val="edge"/>
          <c:yMode val="edge"/>
          <c:x val="0.38205243168133396"/>
          <c:y val="4.1493676926747797E-2"/>
        </c:manualLayout>
      </c:layout>
      <c:overlay val="0"/>
      <c:spPr>
        <a:noFill/>
        <a:ln w="25400">
          <a:noFill/>
        </a:ln>
      </c:spPr>
    </c:title>
    <c:autoTitleDeleted val="0"/>
    <c:plotArea>
      <c:layout>
        <c:manualLayout>
          <c:layoutTarget val="inner"/>
          <c:xMode val="edge"/>
          <c:yMode val="edge"/>
          <c:x val="0.13333366720169071"/>
          <c:y val="0.23236561601565744"/>
          <c:w val="0.83077131102591906"/>
          <c:h val="0.59751158404026206"/>
        </c:manualLayout>
      </c:layout>
      <c:lineChart>
        <c:grouping val="standard"/>
        <c:varyColors val="0"/>
        <c:ser>
          <c:idx val="0"/>
          <c:order val="0"/>
          <c:tx>
            <c:strRef>
              <c:f>'W-ZW'!$A$10</c:f>
              <c:strCache>
                <c:ptCount val="1"/>
                <c:pt idx="0">
                  <c:v>Bezetting</c:v>
                </c:pt>
              </c:strCache>
            </c:strRef>
          </c:tx>
          <c:spPr>
            <a:ln w="12700">
              <a:solidFill>
                <a:srgbClr val="000080"/>
              </a:solidFill>
              <a:prstDash val="solid"/>
            </a:ln>
          </c:spPr>
          <c:marker>
            <c:symbol val="diamond"/>
            <c:size val="5"/>
            <c:spPr>
              <a:solidFill>
                <a:srgbClr val="000080"/>
              </a:solidFill>
              <a:ln>
                <a:solidFill>
                  <a:srgbClr val="000080"/>
                </a:solidFill>
                <a:prstDash val="solid"/>
              </a:ln>
            </c:spPr>
          </c:marker>
          <c:cat>
            <c:strRef>
              <c:f>'W-ZW'!$B$3:$G$3</c:f>
              <c:strCache>
                <c:ptCount val="6"/>
                <c:pt idx="0">
                  <c:v>2017</c:v>
                </c:pt>
                <c:pt idx="1">
                  <c:v>2018</c:v>
                </c:pt>
                <c:pt idx="2">
                  <c:v>2019</c:v>
                </c:pt>
                <c:pt idx="3">
                  <c:v>2020</c:v>
                </c:pt>
                <c:pt idx="4">
                  <c:v>2021</c:v>
                </c:pt>
                <c:pt idx="5">
                  <c:v>2022</c:v>
                </c:pt>
              </c:strCache>
            </c:strRef>
          </c:cat>
          <c:val>
            <c:numRef>
              <c:f>'W-ZW'!$B$10:$G$10</c:f>
              <c:numCache>
                <c:formatCode>#,##0</c:formatCode>
                <c:ptCount val="6"/>
                <c:pt idx="0">
                  <c:v>16133</c:v>
                </c:pt>
                <c:pt idx="1">
                  <c:v>16081</c:v>
                </c:pt>
                <c:pt idx="2">
                  <c:v>16408</c:v>
                </c:pt>
                <c:pt idx="3">
                  <c:v>16452</c:v>
                </c:pt>
                <c:pt idx="4">
                  <c:v>16221</c:v>
                </c:pt>
                <c:pt idx="5">
                  <c:v>16566</c:v>
                </c:pt>
              </c:numCache>
            </c:numRef>
          </c:val>
          <c:smooth val="0"/>
          <c:extLst>
            <c:ext xmlns:c16="http://schemas.microsoft.com/office/drawing/2014/chart" uri="{C3380CC4-5D6E-409C-BE32-E72D297353CC}">
              <c16:uniqueId val="{00000000-7517-4E28-BED6-42EF79F96BD5}"/>
            </c:ext>
          </c:extLst>
        </c:ser>
        <c:dLbls>
          <c:showLegendKey val="0"/>
          <c:showVal val="0"/>
          <c:showCatName val="0"/>
          <c:showSerName val="0"/>
          <c:showPercent val="0"/>
          <c:showBubbleSize val="0"/>
        </c:dLbls>
        <c:marker val="1"/>
        <c:smooth val="0"/>
        <c:axId val="167003648"/>
        <c:axId val="167005568"/>
      </c:lineChart>
      <c:catAx>
        <c:axId val="167003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005568"/>
        <c:crosses val="autoZero"/>
        <c:auto val="1"/>
        <c:lblAlgn val="ctr"/>
        <c:lblOffset val="100"/>
        <c:tickLblSkip val="1"/>
        <c:tickMarkSkip val="1"/>
        <c:noMultiLvlLbl val="0"/>
      </c:catAx>
      <c:valAx>
        <c:axId val="167005568"/>
        <c:scaling>
          <c:orientation val="minMax"/>
          <c:max val="17000"/>
          <c:min val="135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003648"/>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Algemene Cijfers</a:t>
            </a:r>
          </a:p>
        </c:rich>
      </c:tx>
      <c:overlay val="0"/>
    </c:title>
    <c:autoTitleDeleted val="0"/>
    <c:plotArea>
      <c:layout/>
      <c:barChart>
        <c:barDir val="col"/>
        <c:grouping val="stacked"/>
        <c:varyColors val="0"/>
        <c:ser>
          <c:idx val="0"/>
          <c:order val="0"/>
          <c:tx>
            <c:v>Volwassenen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65</c:v>
              </c:pt>
              <c:pt idx="1">
                <c:v>64</c:v>
              </c:pt>
              <c:pt idx="2">
                <c:v>56</c:v>
              </c:pt>
              <c:pt idx="3">
                <c:v>119</c:v>
              </c:pt>
              <c:pt idx="4">
                <c:v>135</c:v>
              </c:pt>
              <c:pt idx="5">
                <c:v>174</c:v>
              </c:pt>
              <c:pt idx="6">
                <c:v>198</c:v>
              </c:pt>
              <c:pt idx="7">
                <c:v>263</c:v>
              </c:pt>
              <c:pt idx="8">
                <c:v>241</c:v>
              </c:pt>
              <c:pt idx="9">
                <c:v>131</c:v>
              </c:pt>
              <c:pt idx="10">
                <c:v>86</c:v>
              </c:pt>
              <c:pt idx="11">
                <c:v>38</c:v>
              </c:pt>
            </c:numLit>
          </c:val>
          <c:extLst>
            <c:ext xmlns:c16="http://schemas.microsoft.com/office/drawing/2014/chart" uri="{C3380CC4-5D6E-409C-BE32-E72D297353CC}">
              <c16:uniqueId val="{00000000-2FF3-4DA6-93F5-891829C3211C}"/>
            </c:ext>
          </c:extLst>
        </c:ser>
        <c:ser>
          <c:idx val="1"/>
          <c:order val="1"/>
          <c:tx>
            <c:v>Senioren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53</c:v>
              </c:pt>
              <c:pt idx="1">
                <c:v>59</c:v>
              </c:pt>
              <c:pt idx="2">
                <c:v>110</c:v>
              </c:pt>
              <c:pt idx="3">
                <c:v>135</c:v>
              </c:pt>
              <c:pt idx="4">
                <c:v>137</c:v>
              </c:pt>
              <c:pt idx="5">
                <c:v>99</c:v>
              </c:pt>
              <c:pt idx="6">
                <c:v>123</c:v>
              </c:pt>
              <c:pt idx="7">
                <c:v>191</c:v>
              </c:pt>
              <c:pt idx="8">
                <c:v>182</c:v>
              </c:pt>
              <c:pt idx="9">
                <c:v>130</c:v>
              </c:pt>
              <c:pt idx="10">
                <c:v>65</c:v>
              </c:pt>
              <c:pt idx="11">
                <c:v>61</c:v>
              </c:pt>
            </c:numLit>
          </c:val>
          <c:extLst>
            <c:ext xmlns:c16="http://schemas.microsoft.com/office/drawing/2014/chart" uri="{C3380CC4-5D6E-409C-BE32-E72D297353CC}">
              <c16:uniqueId val="{00000001-2FF3-4DA6-93F5-891829C3211C}"/>
            </c:ext>
          </c:extLst>
        </c:ser>
        <c:ser>
          <c:idx val="2"/>
          <c:order val="2"/>
          <c:tx>
            <c:v>7 - 18 jaar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13</c:v>
              </c:pt>
              <c:pt idx="1">
                <c:v>3</c:v>
              </c:pt>
              <c:pt idx="2">
                <c:v>3</c:v>
              </c:pt>
              <c:pt idx="3">
                <c:v>29</c:v>
              </c:pt>
              <c:pt idx="4">
                <c:v>5</c:v>
              </c:pt>
              <c:pt idx="5">
                <c:v>6</c:v>
              </c:pt>
              <c:pt idx="6">
                <c:v>48</c:v>
              </c:pt>
              <c:pt idx="7">
                <c:v>98</c:v>
              </c:pt>
              <c:pt idx="8">
                <c:v>0</c:v>
              </c:pt>
              <c:pt idx="9">
                <c:v>17</c:v>
              </c:pt>
              <c:pt idx="10">
                <c:v>13</c:v>
              </c:pt>
              <c:pt idx="11">
                <c:v>18</c:v>
              </c:pt>
            </c:numLit>
          </c:val>
          <c:extLst>
            <c:ext xmlns:c16="http://schemas.microsoft.com/office/drawing/2014/chart" uri="{C3380CC4-5D6E-409C-BE32-E72D297353CC}">
              <c16:uniqueId val="{00000002-2FF3-4DA6-93F5-891829C3211C}"/>
            </c:ext>
          </c:extLst>
        </c:ser>
        <c:ser>
          <c:idx val="3"/>
          <c:order val="3"/>
          <c:tx>
            <c:v>&lt; 7 jaar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3-2FF3-4DA6-93F5-891829C3211C}"/>
            </c:ext>
          </c:extLst>
        </c:ser>
        <c:ser>
          <c:idx val="4"/>
          <c:order val="4"/>
          <c:tx>
            <c:v>reductietarief (ind)</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36</c:v>
              </c:pt>
              <c:pt idx="1">
                <c:v>16</c:v>
              </c:pt>
              <c:pt idx="2">
                <c:v>11</c:v>
              </c:pt>
              <c:pt idx="3">
                <c:v>76</c:v>
              </c:pt>
              <c:pt idx="4">
                <c:v>29</c:v>
              </c:pt>
              <c:pt idx="5">
                <c:v>66</c:v>
              </c:pt>
              <c:pt idx="6">
                <c:v>83</c:v>
              </c:pt>
              <c:pt idx="7">
                <c:v>129</c:v>
              </c:pt>
              <c:pt idx="8">
                <c:v>0</c:v>
              </c:pt>
              <c:pt idx="9">
                <c:v>65</c:v>
              </c:pt>
              <c:pt idx="10">
                <c:v>27</c:v>
              </c:pt>
              <c:pt idx="11">
                <c:v>31</c:v>
              </c:pt>
            </c:numLit>
          </c:val>
          <c:extLst>
            <c:ext xmlns:c16="http://schemas.microsoft.com/office/drawing/2014/chart" uri="{C3380CC4-5D6E-409C-BE32-E72D297353CC}">
              <c16:uniqueId val="{00000004-2FF3-4DA6-93F5-891829C3211C}"/>
            </c:ext>
          </c:extLst>
        </c:ser>
        <c:ser>
          <c:idx val="5"/>
          <c:order val="5"/>
          <c:tx>
            <c:v>Volwassenen (groep)</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128</c:v>
              </c:pt>
              <c:pt idx="1">
                <c:v>35</c:v>
              </c:pt>
              <c:pt idx="2">
                <c:v>52</c:v>
              </c:pt>
              <c:pt idx="3">
                <c:v>21</c:v>
              </c:pt>
              <c:pt idx="4">
                <c:v>11</c:v>
              </c:pt>
              <c:pt idx="5">
                <c:v>32</c:v>
              </c:pt>
              <c:pt idx="6">
                <c:v>92</c:v>
              </c:pt>
              <c:pt idx="7">
                <c:v>56</c:v>
              </c:pt>
              <c:pt idx="8">
                <c:v>0</c:v>
              </c:pt>
              <c:pt idx="9">
                <c:v>52</c:v>
              </c:pt>
              <c:pt idx="10">
                <c:v>18</c:v>
              </c:pt>
              <c:pt idx="11">
                <c:v>0</c:v>
              </c:pt>
            </c:numLit>
          </c:val>
          <c:extLst>
            <c:ext xmlns:c16="http://schemas.microsoft.com/office/drawing/2014/chart" uri="{C3380CC4-5D6E-409C-BE32-E72D297353CC}">
              <c16:uniqueId val="{00000005-2FF3-4DA6-93F5-891829C3211C}"/>
            </c:ext>
          </c:extLst>
        </c:ser>
        <c:ser>
          <c:idx val="6"/>
          <c:order val="6"/>
          <c:tx>
            <c:v>School (groep)</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0</c:v>
              </c:pt>
              <c:pt idx="1">
                <c:v>3</c:v>
              </c:pt>
              <c:pt idx="2">
                <c:v>66</c:v>
              </c:pt>
              <c:pt idx="3">
                <c:v>98</c:v>
              </c:pt>
              <c:pt idx="4">
                <c:v>4</c:v>
              </c:pt>
              <c:pt idx="5">
                <c:v>27</c:v>
              </c:pt>
              <c:pt idx="6">
                <c:v>9</c:v>
              </c:pt>
              <c:pt idx="7">
                <c:v>6</c:v>
              </c:pt>
              <c:pt idx="8">
                <c:v>0</c:v>
              </c:pt>
              <c:pt idx="9">
                <c:v>19</c:v>
              </c:pt>
              <c:pt idx="10">
                <c:v>36</c:v>
              </c:pt>
              <c:pt idx="11">
                <c:v>0</c:v>
              </c:pt>
            </c:numLit>
          </c:val>
          <c:extLst>
            <c:ext xmlns:c16="http://schemas.microsoft.com/office/drawing/2014/chart" uri="{C3380CC4-5D6E-409C-BE32-E72D297353CC}">
              <c16:uniqueId val="{00000006-2FF3-4DA6-93F5-891829C3211C}"/>
            </c:ext>
          </c:extLst>
        </c:ser>
        <c:ser>
          <c:idx val="7"/>
          <c:order val="7"/>
          <c:tx>
            <c:v>Gratis</c:v>
          </c:tx>
          <c:invertIfNegative val="0"/>
          <c:cat>
            <c:numLit>
              <c:formatCode>General</c:formatCode>
              <c:ptCount val="12"/>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numLit>
          </c:cat>
          <c:val>
            <c:numLit>
              <c:formatCode>General</c:formatCode>
              <c:ptCount val="12"/>
              <c:pt idx="0">
                <c:v>2</c:v>
              </c:pt>
              <c:pt idx="1">
                <c:v>7</c:v>
              </c:pt>
              <c:pt idx="2">
                <c:v>3</c:v>
              </c:pt>
              <c:pt idx="3">
                <c:v>6</c:v>
              </c:pt>
              <c:pt idx="4">
                <c:v>8</c:v>
              </c:pt>
              <c:pt idx="5">
                <c:v>112</c:v>
              </c:pt>
              <c:pt idx="6">
                <c:v>162</c:v>
              </c:pt>
              <c:pt idx="7">
                <c:v>198</c:v>
              </c:pt>
              <c:pt idx="8">
                <c:v>0</c:v>
              </c:pt>
              <c:pt idx="9">
                <c:v>20</c:v>
              </c:pt>
              <c:pt idx="10">
                <c:v>4</c:v>
              </c:pt>
              <c:pt idx="11">
                <c:v>7</c:v>
              </c:pt>
            </c:numLit>
          </c:val>
          <c:extLst>
            <c:ext xmlns:c16="http://schemas.microsoft.com/office/drawing/2014/chart" uri="{C3380CC4-5D6E-409C-BE32-E72D297353CC}">
              <c16:uniqueId val="{00000007-2FF3-4DA6-93F5-891829C3211C}"/>
            </c:ext>
          </c:extLst>
        </c:ser>
        <c:dLbls>
          <c:showLegendKey val="0"/>
          <c:showVal val="0"/>
          <c:showCatName val="0"/>
          <c:showSerName val="0"/>
          <c:showPercent val="0"/>
          <c:showBubbleSize val="0"/>
        </c:dLbls>
        <c:gapWidth val="55"/>
        <c:overlap val="100"/>
        <c:axId val="677281432"/>
        <c:axId val="1"/>
      </c:barChart>
      <c:catAx>
        <c:axId val="677281432"/>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81432"/>
        <c:crosses val="autoZero"/>
        <c:crossBetween val="between"/>
      </c:valAx>
    </c:plotArea>
    <c:legend>
      <c:legendPos val="r"/>
      <c:layout>
        <c:manualLayout>
          <c:xMode val="edge"/>
          <c:yMode val="edge"/>
          <c:x val="0.71285288134163949"/>
          <c:y val="0.26726789781907889"/>
          <c:w val="0.27309300192897568"/>
          <c:h val="0.57958115595910875"/>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Bezetting per paviljoen</a:t>
            </a:r>
          </a:p>
        </c:rich>
      </c:tx>
      <c:layout>
        <c:manualLayout>
          <c:xMode val="edge"/>
          <c:yMode val="edge"/>
          <c:x val="0.40926185596663434"/>
          <c:y val="3.6101114737083717E-2"/>
        </c:manualLayout>
      </c:layout>
      <c:overlay val="0"/>
      <c:spPr>
        <a:noFill/>
        <a:ln w="25400">
          <a:noFill/>
        </a:ln>
      </c:spPr>
    </c:title>
    <c:autoTitleDeleted val="0"/>
    <c:plotArea>
      <c:layout>
        <c:manualLayout>
          <c:layoutTarget val="inner"/>
          <c:xMode val="edge"/>
          <c:yMode val="edge"/>
          <c:x val="5.882356535975472E-2"/>
          <c:y val="0.22743722401924923"/>
          <c:w val="0.83809184566214934"/>
          <c:h val="0.62454983738619241"/>
        </c:manualLayout>
      </c:layout>
      <c:barChart>
        <c:barDir val="col"/>
        <c:grouping val="clustered"/>
        <c:varyColors val="0"/>
        <c:ser>
          <c:idx val="2"/>
          <c:order val="0"/>
          <c:tx>
            <c:strRef>
              <c:f>'W-ZW'!$B$12</c:f>
              <c:strCache>
                <c:ptCount val="1"/>
                <c:pt idx="0">
                  <c:v>2017</c:v>
                </c:pt>
              </c:strCache>
            </c:strRef>
          </c:tx>
          <c:spPr>
            <a:solidFill>
              <a:srgbClr val="FFFFCC"/>
            </a:solidFill>
            <a:ln w="12700">
              <a:noFill/>
              <a:prstDash val="solid"/>
            </a:ln>
          </c:spPr>
          <c:invertIfNegative val="0"/>
          <c:cat>
            <c:strRef>
              <c:f>'W-ZW'!$A$13:$A$18</c:f>
              <c:strCache>
                <c:ptCount val="6"/>
                <c:pt idx="0">
                  <c:v>Paviljoen 1</c:v>
                </c:pt>
                <c:pt idx="1">
                  <c:v>Paviljoen 2</c:v>
                </c:pt>
                <c:pt idx="2">
                  <c:v>Paviljoen 3</c:v>
                </c:pt>
                <c:pt idx="3">
                  <c:v>Paviljoen 4</c:v>
                </c:pt>
                <c:pt idx="4">
                  <c:v>Paviljoen 5 (TCK)</c:v>
                </c:pt>
                <c:pt idx="5">
                  <c:v>CB + CBAW</c:v>
                </c:pt>
              </c:strCache>
            </c:strRef>
          </c:cat>
          <c:val>
            <c:numRef>
              <c:f>'W-ZW'!$B$13:$B$18</c:f>
              <c:numCache>
                <c:formatCode>#,##0.00</c:formatCode>
                <c:ptCount val="6"/>
                <c:pt idx="0">
                  <c:v>9.9260273972602739</c:v>
                </c:pt>
                <c:pt idx="1">
                  <c:v>0</c:v>
                </c:pt>
                <c:pt idx="2">
                  <c:v>10.931506849315069</c:v>
                </c:pt>
                <c:pt idx="3">
                  <c:v>10.032876712328767</c:v>
                </c:pt>
                <c:pt idx="4">
                  <c:v>9.6520547945205486</c:v>
                </c:pt>
                <c:pt idx="5">
                  <c:v>3.6575342465753424</c:v>
                </c:pt>
              </c:numCache>
            </c:numRef>
          </c:val>
          <c:extLst>
            <c:ext xmlns:c16="http://schemas.microsoft.com/office/drawing/2014/chart" uri="{C3380CC4-5D6E-409C-BE32-E72D297353CC}">
              <c16:uniqueId val="{00000000-7BC8-4534-BD1C-9A93B741105E}"/>
            </c:ext>
          </c:extLst>
        </c:ser>
        <c:ser>
          <c:idx val="3"/>
          <c:order val="1"/>
          <c:tx>
            <c:strRef>
              <c:f>'W-ZW'!$C$12</c:f>
              <c:strCache>
                <c:ptCount val="1"/>
                <c:pt idx="0">
                  <c:v>2018</c:v>
                </c:pt>
              </c:strCache>
            </c:strRef>
          </c:tx>
          <c:spPr>
            <a:solidFill>
              <a:srgbClr val="CCFFFF"/>
            </a:solidFill>
            <a:ln w="12700">
              <a:noFill/>
              <a:prstDash val="solid"/>
            </a:ln>
          </c:spPr>
          <c:invertIfNegative val="0"/>
          <c:cat>
            <c:strRef>
              <c:f>'W-ZW'!$A$13:$A$18</c:f>
              <c:strCache>
                <c:ptCount val="6"/>
                <c:pt idx="0">
                  <c:v>Paviljoen 1</c:v>
                </c:pt>
                <c:pt idx="1">
                  <c:v>Paviljoen 2</c:v>
                </c:pt>
                <c:pt idx="2">
                  <c:v>Paviljoen 3</c:v>
                </c:pt>
                <c:pt idx="3">
                  <c:v>Paviljoen 4</c:v>
                </c:pt>
                <c:pt idx="4">
                  <c:v>Paviljoen 5 (TCK)</c:v>
                </c:pt>
                <c:pt idx="5">
                  <c:v>CB + CBAW</c:v>
                </c:pt>
              </c:strCache>
            </c:strRef>
          </c:cat>
          <c:val>
            <c:numRef>
              <c:f>'W-ZW'!$C$13:$C$18</c:f>
              <c:numCache>
                <c:formatCode>#,##0.00</c:formatCode>
                <c:ptCount val="6"/>
                <c:pt idx="0">
                  <c:v>10.158904109589042</c:v>
                </c:pt>
                <c:pt idx="1">
                  <c:v>0</c:v>
                </c:pt>
                <c:pt idx="2">
                  <c:v>10.997260273972604</c:v>
                </c:pt>
                <c:pt idx="3">
                  <c:v>11.035616438356165</c:v>
                </c:pt>
                <c:pt idx="4">
                  <c:v>9.2438356164383571</c:v>
                </c:pt>
                <c:pt idx="5">
                  <c:v>2.6219178082191781</c:v>
                </c:pt>
              </c:numCache>
            </c:numRef>
          </c:val>
          <c:extLst>
            <c:ext xmlns:c16="http://schemas.microsoft.com/office/drawing/2014/chart" uri="{C3380CC4-5D6E-409C-BE32-E72D297353CC}">
              <c16:uniqueId val="{00000001-7BC8-4534-BD1C-9A93B741105E}"/>
            </c:ext>
          </c:extLst>
        </c:ser>
        <c:ser>
          <c:idx val="0"/>
          <c:order val="2"/>
          <c:tx>
            <c:strRef>
              <c:f>'W-ZW'!$D$12</c:f>
              <c:strCache>
                <c:ptCount val="1"/>
                <c:pt idx="0">
                  <c:v>2019</c:v>
                </c:pt>
              </c:strCache>
            </c:strRef>
          </c:tx>
          <c:spPr>
            <a:solidFill>
              <a:srgbClr val="9999FF"/>
            </a:solidFill>
            <a:ln w="12700">
              <a:noFill/>
              <a:prstDash val="solid"/>
            </a:ln>
          </c:spPr>
          <c:invertIfNegative val="0"/>
          <c:cat>
            <c:strRef>
              <c:f>'W-ZW'!$A$13:$A$18</c:f>
              <c:strCache>
                <c:ptCount val="6"/>
                <c:pt idx="0">
                  <c:v>Paviljoen 1</c:v>
                </c:pt>
                <c:pt idx="1">
                  <c:v>Paviljoen 2</c:v>
                </c:pt>
                <c:pt idx="2">
                  <c:v>Paviljoen 3</c:v>
                </c:pt>
                <c:pt idx="3">
                  <c:v>Paviljoen 4</c:v>
                </c:pt>
                <c:pt idx="4">
                  <c:v>Paviljoen 5 (TCK)</c:v>
                </c:pt>
                <c:pt idx="5">
                  <c:v>CB + CBAW</c:v>
                </c:pt>
              </c:strCache>
            </c:strRef>
          </c:cat>
          <c:val>
            <c:numRef>
              <c:f>'W-ZW'!$D$13:$D$18</c:f>
              <c:numCache>
                <c:formatCode>#,##0.00</c:formatCode>
                <c:ptCount val="6"/>
                <c:pt idx="0">
                  <c:v>10.635616438356164</c:v>
                </c:pt>
                <c:pt idx="1">
                  <c:v>0</c:v>
                </c:pt>
                <c:pt idx="2">
                  <c:v>10.942465753424658</c:v>
                </c:pt>
                <c:pt idx="3">
                  <c:v>10.728767123287671</c:v>
                </c:pt>
                <c:pt idx="4">
                  <c:v>9.3123287671232884</c:v>
                </c:pt>
                <c:pt idx="5">
                  <c:v>3.3342465753424659</c:v>
                </c:pt>
              </c:numCache>
            </c:numRef>
          </c:val>
          <c:extLst>
            <c:ext xmlns:c16="http://schemas.microsoft.com/office/drawing/2014/chart" uri="{C3380CC4-5D6E-409C-BE32-E72D297353CC}">
              <c16:uniqueId val="{00000002-7BC8-4534-BD1C-9A93B741105E}"/>
            </c:ext>
          </c:extLst>
        </c:ser>
        <c:ser>
          <c:idx val="1"/>
          <c:order val="3"/>
          <c:tx>
            <c:strRef>
              <c:f>'W-ZW'!$E$12</c:f>
              <c:strCache>
                <c:ptCount val="1"/>
                <c:pt idx="0">
                  <c:v>2020</c:v>
                </c:pt>
              </c:strCache>
            </c:strRef>
          </c:tx>
          <c:invertIfNegative val="0"/>
          <c:cat>
            <c:strRef>
              <c:f>'W-ZW'!$A$13:$A$18</c:f>
              <c:strCache>
                <c:ptCount val="6"/>
                <c:pt idx="0">
                  <c:v>Paviljoen 1</c:v>
                </c:pt>
                <c:pt idx="1">
                  <c:v>Paviljoen 2</c:v>
                </c:pt>
                <c:pt idx="2">
                  <c:v>Paviljoen 3</c:v>
                </c:pt>
                <c:pt idx="3">
                  <c:v>Paviljoen 4</c:v>
                </c:pt>
                <c:pt idx="4">
                  <c:v>Paviljoen 5 (TCK)</c:v>
                </c:pt>
                <c:pt idx="5">
                  <c:v>CB + CBAW</c:v>
                </c:pt>
              </c:strCache>
            </c:strRef>
          </c:cat>
          <c:val>
            <c:numRef>
              <c:f>'W-ZW'!$E$13:$E$18</c:f>
              <c:numCache>
                <c:formatCode>#,##0.00</c:formatCode>
                <c:ptCount val="6"/>
                <c:pt idx="0">
                  <c:v>9.6557377049180335</c:v>
                </c:pt>
                <c:pt idx="1">
                  <c:v>0</c:v>
                </c:pt>
                <c:pt idx="2">
                  <c:v>10.62568306010929</c:v>
                </c:pt>
                <c:pt idx="3">
                  <c:v>10.510928961748634</c:v>
                </c:pt>
                <c:pt idx="4">
                  <c:v>10.046448087431694</c:v>
                </c:pt>
                <c:pt idx="5">
                  <c:v>4.1120218579234971</c:v>
                </c:pt>
              </c:numCache>
            </c:numRef>
          </c:val>
          <c:extLst>
            <c:ext xmlns:c16="http://schemas.microsoft.com/office/drawing/2014/chart" uri="{C3380CC4-5D6E-409C-BE32-E72D297353CC}">
              <c16:uniqueId val="{00000000-DD6C-4596-822D-548365000B3A}"/>
            </c:ext>
          </c:extLst>
        </c:ser>
        <c:ser>
          <c:idx val="4"/>
          <c:order val="4"/>
          <c:tx>
            <c:strRef>
              <c:f>'W-ZW'!$F$12</c:f>
              <c:strCache>
                <c:ptCount val="1"/>
                <c:pt idx="0">
                  <c:v>2021</c:v>
                </c:pt>
              </c:strCache>
            </c:strRef>
          </c:tx>
          <c:invertIfNegative val="0"/>
          <c:cat>
            <c:strRef>
              <c:f>'W-ZW'!$A$13:$A$18</c:f>
              <c:strCache>
                <c:ptCount val="6"/>
                <c:pt idx="0">
                  <c:v>Paviljoen 1</c:v>
                </c:pt>
                <c:pt idx="1">
                  <c:v>Paviljoen 2</c:v>
                </c:pt>
                <c:pt idx="2">
                  <c:v>Paviljoen 3</c:v>
                </c:pt>
                <c:pt idx="3">
                  <c:v>Paviljoen 4</c:v>
                </c:pt>
                <c:pt idx="4">
                  <c:v>Paviljoen 5 (TCK)</c:v>
                </c:pt>
                <c:pt idx="5">
                  <c:v>CB + CBAW</c:v>
                </c:pt>
              </c:strCache>
            </c:strRef>
          </c:cat>
          <c:val>
            <c:numRef>
              <c:f>'W-ZW'!$F$13:$F$18</c:f>
              <c:numCache>
                <c:formatCode>#,##0.00</c:formatCode>
                <c:ptCount val="6"/>
                <c:pt idx="0">
                  <c:v>9.5835616438356173</c:v>
                </c:pt>
                <c:pt idx="1">
                  <c:v>0</c:v>
                </c:pt>
                <c:pt idx="2">
                  <c:v>10.342465753424657</c:v>
                </c:pt>
                <c:pt idx="3">
                  <c:v>11.172602739726027</c:v>
                </c:pt>
                <c:pt idx="4">
                  <c:v>8.7972602739726025</c:v>
                </c:pt>
                <c:pt idx="5">
                  <c:v>4.5452054794520551</c:v>
                </c:pt>
              </c:numCache>
            </c:numRef>
          </c:val>
          <c:extLst>
            <c:ext xmlns:c16="http://schemas.microsoft.com/office/drawing/2014/chart" uri="{C3380CC4-5D6E-409C-BE32-E72D297353CC}">
              <c16:uniqueId val="{00000003-9A56-465B-8B80-439A7E9E121D}"/>
            </c:ext>
          </c:extLst>
        </c:ser>
        <c:ser>
          <c:idx val="5"/>
          <c:order val="5"/>
          <c:tx>
            <c:strRef>
              <c:f>'W-ZW'!$G$12</c:f>
              <c:strCache>
                <c:ptCount val="1"/>
                <c:pt idx="0">
                  <c:v>2022</c:v>
                </c:pt>
              </c:strCache>
            </c:strRef>
          </c:tx>
          <c:invertIfNegative val="0"/>
          <c:cat>
            <c:strRef>
              <c:f>'W-ZW'!$A$13:$A$18</c:f>
              <c:strCache>
                <c:ptCount val="6"/>
                <c:pt idx="0">
                  <c:v>Paviljoen 1</c:v>
                </c:pt>
                <c:pt idx="1">
                  <c:v>Paviljoen 2</c:v>
                </c:pt>
                <c:pt idx="2">
                  <c:v>Paviljoen 3</c:v>
                </c:pt>
                <c:pt idx="3">
                  <c:v>Paviljoen 4</c:v>
                </c:pt>
                <c:pt idx="4">
                  <c:v>Paviljoen 5 (TCK)</c:v>
                </c:pt>
                <c:pt idx="5">
                  <c:v>CB + CBAW</c:v>
                </c:pt>
              </c:strCache>
            </c:strRef>
          </c:cat>
          <c:val>
            <c:numRef>
              <c:f>'W-ZW'!$G$13:$G$18</c:f>
              <c:numCache>
                <c:formatCode>#,##0.00</c:formatCode>
                <c:ptCount val="6"/>
                <c:pt idx="0">
                  <c:v>10.358904109589041</c:v>
                </c:pt>
                <c:pt idx="1">
                  <c:v>0</c:v>
                </c:pt>
                <c:pt idx="2">
                  <c:v>11</c:v>
                </c:pt>
                <c:pt idx="3">
                  <c:v>11.101369863013698</c:v>
                </c:pt>
                <c:pt idx="4">
                  <c:v>9.0493150684931507</c:v>
                </c:pt>
                <c:pt idx="5">
                  <c:v>3.8767123287671232</c:v>
                </c:pt>
              </c:numCache>
            </c:numRef>
          </c:val>
          <c:extLst>
            <c:ext xmlns:c16="http://schemas.microsoft.com/office/drawing/2014/chart" uri="{C3380CC4-5D6E-409C-BE32-E72D297353CC}">
              <c16:uniqueId val="{00000000-4F57-4B91-8016-4E8401ED66B7}"/>
            </c:ext>
          </c:extLst>
        </c:ser>
        <c:dLbls>
          <c:showLegendKey val="0"/>
          <c:showVal val="0"/>
          <c:showCatName val="0"/>
          <c:showSerName val="0"/>
          <c:showPercent val="0"/>
          <c:showBubbleSize val="0"/>
        </c:dLbls>
        <c:gapWidth val="150"/>
        <c:axId val="167131008"/>
        <c:axId val="167132544"/>
      </c:barChart>
      <c:catAx>
        <c:axId val="167131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132544"/>
        <c:crosses val="autoZero"/>
        <c:auto val="1"/>
        <c:lblAlgn val="ctr"/>
        <c:lblOffset val="100"/>
        <c:tickLblSkip val="1"/>
        <c:tickMarkSkip val="1"/>
        <c:noMultiLvlLbl val="0"/>
      </c:catAx>
      <c:valAx>
        <c:axId val="167132544"/>
        <c:scaling>
          <c:orientation val="minMax"/>
        </c:scaling>
        <c:delete val="0"/>
        <c:axPos val="l"/>
        <c:majorGridlines>
          <c:spPr>
            <a:ln w="3175">
              <a:solidFill>
                <a:srgbClr val="000000"/>
              </a:solidFill>
              <a:prstDash val="solid"/>
            </a:ln>
          </c:spPr>
        </c:majorGridlines>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Calibri"/>
                <a:ea typeface="Calibri"/>
                <a:cs typeface="Calibri"/>
              </a:defRPr>
            </a:pPr>
            <a:endParaRPr lang="nl-BE"/>
          </a:p>
        </c:txPr>
        <c:crossAx val="167131008"/>
        <c:crosses val="autoZero"/>
        <c:crossBetween val="between"/>
      </c:valAx>
      <c:spPr>
        <a:solidFill>
          <a:srgbClr val="C0C0C0"/>
        </a:solidFill>
        <a:ln w="12700">
          <a:solidFill>
            <a:srgbClr val="808080"/>
          </a:solidFill>
          <a:prstDash val="solid"/>
        </a:ln>
      </c:spPr>
    </c:plotArea>
    <c:legend>
      <c:legendPos val="r"/>
      <c:layout>
        <c:manualLayout>
          <c:xMode val="edge"/>
          <c:yMode val="edge"/>
          <c:x val="0.9077672433802918"/>
          <c:y val="0.39923954372623577"/>
          <c:w val="5.5833598834827726E-2"/>
          <c:h val="0.47067816127727119"/>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Calibri"/>
              <a:ea typeface="Calibri"/>
              <a:cs typeface="Calibri"/>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60" b="0" i="0" u="none" strike="noStrike" baseline="0">
                <a:solidFill>
                  <a:srgbClr val="000000"/>
                </a:solidFill>
                <a:latin typeface="Calibri"/>
                <a:ea typeface="Calibri"/>
                <a:cs typeface="Calibri"/>
              </a:defRPr>
            </a:pPr>
            <a:r>
              <a:rPr lang="nl-BE"/>
              <a:t>Bezetting afgesloten jaar</a:t>
            </a:r>
          </a:p>
        </c:rich>
      </c:tx>
      <c:layout>
        <c:manualLayout>
          <c:xMode val="edge"/>
          <c:yMode val="edge"/>
          <c:x val="0.33004969616893126"/>
          <c:y val="4.1493676926747797E-2"/>
        </c:manualLayout>
      </c:layout>
      <c:overlay val="0"/>
      <c:spPr>
        <a:noFill/>
        <a:ln w="25400">
          <a:noFill/>
        </a:ln>
      </c:spPr>
    </c:title>
    <c:autoTitleDeleted val="0"/>
    <c:view3D>
      <c:rotX val="15"/>
      <c:rotY val="0"/>
      <c:rAngAx val="0"/>
      <c:perspective val="0"/>
    </c:view3D>
    <c:floor>
      <c:thickness val="0"/>
    </c:floor>
    <c:sideWall>
      <c:thickness val="0"/>
    </c:sideWall>
    <c:backWall>
      <c:thickness val="0"/>
    </c:backWall>
    <c:plotArea>
      <c:layout>
        <c:manualLayout>
          <c:layoutTarget val="inner"/>
          <c:xMode val="edge"/>
          <c:yMode val="edge"/>
          <c:x val="0.22413820059724326"/>
          <c:y val="0.32780149402208819"/>
          <c:w val="0.55172480147013725"/>
          <c:h val="0.36929535402488417"/>
        </c:manualLayout>
      </c:layout>
      <c:pie3DChart>
        <c:varyColors val="1"/>
        <c:ser>
          <c:idx val="0"/>
          <c:order val="0"/>
          <c:spPr>
            <a:solidFill>
              <a:srgbClr val="9999FF"/>
            </a:solidFill>
            <a:ln w="12700">
              <a:solidFill>
                <a:srgbClr val="000000"/>
              </a:solidFill>
              <a:prstDash val="solid"/>
            </a:ln>
          </c:spPr>
          <c:explosion val="6"/>
          <c:dPt>
            <c:idx val="0"/>
            <c:bubble3D val="0"/>
            <c:extLst>
              <c:ext xmlns:c16="http://schemas.microsoft.com/office/drawing/2014/chart" uri="{C3380CC4-5D6E-409C-BE32-E72D297353CC}">
                <c16:uniqueId val="{00000000-CF68-4844-AE64-5777ABBB6E79}"/>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CF68-4844-AE64-5777ABBB6E79}"/>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CF68-4844-AE64-5777ABBB6E79}"/>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CF68-4844-AE64-5777ABBB6E79}"/>
              </c:ext>
            </c:extLst>
          </c:dPt>
          <c:dPt>
            <c:idx val="4"/>
            <c:bubble3D val="0"/>
            <c:spPr>
              <a:solidFill>
                <a:srgbClr val="92D050"/>
              </a:solidFill>
              <a:ln w="12700">
                <a:solidFill>
                  <a:srgbClr val="000000"/>
                </a:solidFill>
                <a:prstDash val="solid"/>
              </a:ln>
            </c:spPr>
            <c:extLst>
              <c:ext xmlns:c16="http://schemas.microsoft.com/office/drawing/2014/chart" uri="{C3380CC4-5D6E-409C-BE32-E72D297353CC}">
                <c16:uniqueId val="{00000008-CF68-4844-AE64-5777ABBB6E79}"/>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CF68-4844-AE64-5777ABBB6E79}"/>
              </c:ext>
            </c:extLst>
          </c:dPt>
          <c:dLbls>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Calibri"/>
                    <a:ea typeface="Calibri"/>
                    <a:cs typeface="Calibri"/>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cat>
            <c:strRef>
              <c:f>'W-ZW'!$A$4:$A$9</c:f>
              <c:strCache>
                <c:ptCount val="6"/>
                <c:pt idx="0">
                  <c:v>Paviljoen 1</c:v>
                </c:pt>
                <c:pt idx="1">
                  <c:v>Paviljoen 2</c:v>
                </c:pt>
                <c:pt idx="2">
                  <c:v>Paviljoen 3</c:v>
                </c:pt>
                <c:pt idx="3">
                  <c:v>Paviljoen 4</c:v>
                </c:pt>
                <c:pt idx="4">
                  <c:v>Paviljoen 5 (TCK)</c:v>
                </c:pt>
                <c:pt idx="5">
                  <c:v>CB + CBAW</c:v>
                </c:pt>
              </c:strCache>
            </c:strRef>
          </c:cat>
          <c:val>
            <c:numRef>
              <c:f>'W-ZW'!$G$4:$G$9</c:f>
              <c:numCache>
                <c:formatCode>#,##0</c:formatCode>
                <c:ptCount val="6"/>
                <c:pt idx="0">
                  <c:v>3781</c:v>
                </c:pt>
                <c:pt idx="1">
                  <c:v>0</c:v>
                </c:pt>
                <c:pt idx="2">
                  <c:v>4015</c:v>
                </c:pt>
                <c:pt idx="3">
                  <c:v>4052</c:v>
                </c:pt>
                <c:pt idx="4">
                  <c:v>3303</c:v>
                </c:pt>
                <c:pt idx="5">
                  <c:v>1415</c:v>
                </c:pt>
              </c:numCache>
            </c:numRef>
          </c:val>
          <c:extLst>
            <c:ext xmlns:c16="http://schemas.microsoft.com/office/drawing/2014/chart" uri="{C3380CC4-5D6E-409C-BE32-E72D297353CC}">
              <c16:uniqueId val="{0000000B-CF68-4844-AE64-5777ABBB6E79}"/>
            </c:ext>
          </c:extLst>
        </c:ser>
        <c:dLbls>
          <c:showLegendKey val="0"/>
          <c:showVal val="0"/>
          <c:showCatName val="0"/>
          <c:showSerName val="0"/>
          <c:showPercent val="0"/>
          <c:showBubbleSize val="0"/>
          <c:showLeaderLines val="1"/>
        </c:dLbls>
      </c:pie3DChart>
      <c:spPr>
        <a:noFill/>
        <a:ln w="25400">
          <a:noFill/>
        </a:ln>
      </c:spPr>
    </c:plotArea>
    <c:legend>
      <c:legendPos val="b"/>
      <c:layout>
        <c:manualLayout>
          <c:xMode val="edge"/>
          <c:yMode val="edge"/>
          <c:x val="1.2315365341237108E-2"/>
          <c:y val="0.8069424958243856"/>
          <c:w val="0.82939595050618675"/>
          <c:h val="0.17133571939871153"/>
        </c:manualLayout>
      </c:layout>
      <c:overlay val="0"/>
      <c:spPr>
        <a:solidFill>
          <a:srgbClr val="FFFFFF"/>
        </a:solidFill>
        <a:ln w="3175">
          <a:solidFill>
            <a:srgbClr val="000000"/>
          </a:solidFill>
          <a:prstDash val="solid"/>
        </a:ln>
      </c:spPr>
      <c:txPr>
        <a:bodyPr/>
        <a:lstStyle/>
        <a:p>
          <a:pPr rtl="0">
            <a:defRPr sz="735" b="0" i="0" u="none" strike="noStrike" baseline="0">
              <a:solidFill>
                <a:srgbClr val="000000"/>
              </a:solidFill>
              <a:latin typeface="Calibri"/>
              <a:ea typeface="Calibri"/>
              <a:cs typeface="Calibri"/>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Calibri"/>
          <a:ea typeface="Calibri"/>
          <a:cs typeface="Calibri"/>
        </a:defRPr>
      </a:pPr>
      <a:endParaRPr lang="nl-BE"/>
    </a:p>
  </c:txPr>
  <c:printSettings>
    <c:headerFooter alignWithMargins="0"/>
    <c:pageMargins b="1" l="0.75" r="0.75" t="1" header="0.5" footer="0.5"/>
    <c:pageSetup paperSize="9"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Bezette dagen opvang LOI</a:t>
            </a:r>
          </a:p>
        </c:rich>
      </c:tx>
      <c:overlay val="0"/>
      <c:spPr>
        <a:noFill/>
        <a:ln w="25400">
          <a:noFill/>
        </a:ln>
      </c:spPr>
    </c:title>
    <c:autoTitleDeleted val="0"/>
    <c:view3D>
      <c:rotX val="15"/>
      <c:hPercent val="6"/>
      <c:rotY val="20"/>
      <c:depthPercent val="100"/>
      <c:rAngAx val="1"/>
    </c:view3D>
    <c:floor>
      <c:thickness val="0"/>
      <c:spPr>
        <a:solidFill>
          <a:srgbClr val="C0C0C0"/>
        </a:solidFill>
        <a:ln w="3175">
          <a:solidFill>
            <a:srgbClr val="000000"/>
          </a:solidFill>
          <a:prstDash val="solid"/>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spPr>
            <a:solidFill>
              <a:srgbClr val="9999FF"/>
            </a:solidFill>
            <a:ln w="12700">
              <a:solidFill>
                <a:srgbClr val="000000"/>
              </a:solidFill>
              <a:prstDash val="solid"/>
            </a:ln>
          </c:spPr>
          <c:invertIfNegative val="0"/>
          <c:val>
            <c:numRef>
              <c:f>'124'!#REF!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E279-4EED-952A-04FE9B42E43B}"/>
            </c:ext>
          </c:extLst>
        </c:ser>
        <c:ser>
          <c:idx val="1"/>
          <c:order val="1"/>
          <c:spPr>
            <a:solidFill>
              <a:srgbClr val="993366"/>
            </a:solidFill>
            <a:ln w="12700">
              <a:solidFill>
                <a:srgbClr val="000000"/>
              </a:solidFill>
              <a:prstDash val="solid"/>
            </a:ln>
          </c:spPr>
          <c:invertIfNegative val="0"/>
          <c:val>
            <c:numRef>
              <c:f>'124'!#REF!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E279-4EED-952A-04FE9B42E43B}"/>
            </c:ext>
          </c:extLst>
        </c:ser>
        <c:dLbls>
          <c:showLegendKey val="0"/>
          <c:showVal val="0"/>
          <c:showCatName val="0"/>
          <c:showSerName val="0"/>
          <c:showPercent val="0"/>
          <c:showBubbleSize val="0"/>
        </c:dLbls>
        <c:gapWidth val="150"/>
        <c:shape val="box"/>
        <c:axId val="165615488"/>
        <c:axId val="165617024"/>
        <c:axId val="0"/>
      </c:bar3DChart>
      <c:catAx>
        <c:axId val="165615488"/>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617024"/>
        <c:crosses val="autoZero"/>
        <c:auto val="1"/>
        <c:lblAlgn val="ctr"/>
        <c:lblOffset val="100"/>
        <c:tickLblSkip val="1"/>
        <c:tickMarkSkip val="1"/>
        <c:noMultiLvlLbl val="0"/>
      </c:catAx>
      <c:valAx>
        <c:axId val="165617024"/>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615488"/>
        <c:crosses val="autoZero"/>
        <c:crossBetween val="between"/>
      </c:valAx>
      <c:spPr>
        <a:noFill/>
        <a:ln w="25400">
          <a:noFill/>
        </a:ln>
      </c:spPr>
    </c:plotArea>
    <c:legend>
      <c:legendPos val="b"/>
      <c:overlay val="0"/>
      <c:spPr>
        <a:solidFill>
          <a:srgbClr val="FFFFFF"/>
        </a:solidFill>
        <a:ln w="3175">
          <a:solidFill>
            <a:srgbClr val="000000"/>
          </a:solidFill>
          <a:prstDash val="solid"/>
        </a:ln>
      </c:spPr>
      <c:txPr>
        <a:bodyPr/>
        <a:lstStyle/>
        <a:p>
          <a:pPr>
            <a:defRPr sz="71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Geholpen personen LOI</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010A-432A-9101-1736A169047D}"/>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010A-432A-9101-1736A169047D}"/>
            </c:ext>
          </c:extLst>
        </c:ser>
        <c:ser>
          <c:idx val="2"/>
          <c:order val="2"/>
          <c:spPr>
            <a:ln w="12700">
              <a:solidFill>
                <a:srgbClr val="FFFF00"/>
              </a:solidFill>
              <a:prstDash val="solid"/>
            </a:ln>
          </c:spPr>
          <c:marker>
            <c:symbol val="triangle"/>
            <c:size val="5"/>
            <c:spPr>
              <a:solidFill>
                <a:srgbClr val="FFFF00"/>
              </a:solidFill>
              <a:ln>
                <a:solidFill>
                  <a:srgbClr val="FFFF00"/>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2-010A-432A-9101-1736A169047D}"/>
            </c:ext>
          </c:extLst>
        </c:ser>
        <c:dLbls>
          <c:showLegendKey val="0"/>
          <c:showVal val="0"/>
          <c:showCatName val="0"/>
          <c:showSerName val="0"/>
          <c:showPercent val="0"/>
          <c:showBubbleSize val="0"/>
        </c:dLbls>
        <c:marker val="1"/>
        <c:smooth val="0"/>
        <c:axId val="165644160"/>
        <c:axId val="165670912"/>
      </c:lineChart>
      <c:catAx>
        <c:axId val="165644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670912"/>
        <c:crosses val="autoZero"/>
        <c:auto val="1"/>
        <c:lblAlgn val="ctr"/>
        <c:lblOffset val="100"/>
        <c:tickLblSkip val="1"/>
        <c:tickMarkSkip val="1"/>
        <c:noMultiLvlLbl val="0"/>
      </c:catAx>
      <c:valAx>
        <c:axId val="165670912"/>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64416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Nationaliteiten LOI</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3"/>
          <c:dPt>
            <c:idx val="0"/>
            <c:bubble3D val="0"/>
            <c:extLst>
              <c:ext xmlns:c16="http://schemas.microsoft.com/office/drawing/2014/chart" uri="{C3380CC4-5D6E-409C-BE32-E72D297353CC}">
                <c16:uniqueId val="{00000000-A3B6-40E5-A843-D2476BCA15F6}"/>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'124'!#REF!</c:f>
              <c:numCache>
                <c:formatCode>General</c:formatCode>
                <c:ptCount val="1"/>
                <c:pt idx="0">
                  <c:v>1</c:v>
                </c:pt>
              </c:numCache>
            </c:numRef>
          </c:val>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A3B6-40E5-A843-D2476BCA15F6}"/>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Personeel</a:t>
            </a:r>
          </a:p>
        </c:rich>
      </c:tx>
      <c:overlay val="0"/>
      <c:spPr>
        <a:noFill/>
        <a:ln w="25400">
          <a:noFill/>
        </a:ln>
      </c:spPr>
    </c:title>
    <c:autoTitleDeleted val="0"/>
    <c:plotArea>
      <c:layout/>
      <c:lineChart>
        <c:grouping val="standard"/>
        <c:varyColors val="0"/>
        <c:ser>
          <c:idx val="0"/>
          <c:order val="0"/>
          <c:spPr>
            <a:ln w="12700">
              <a:solidFill>
                <a:srgbClr val="000080"/>
              </a:solidFill>
              <a:prstDash val="solid"/>
            </a:ln>
          </c:spPr>
          <c:marker>
            <c:symbol val="diamond"/>
            <c:size val="5"/>
            <c:spPr>
              <a:solidFill>
                <a:srgbClr val="000080"/>
              </a:solidFill>
              <a:ln>
                <a:solidFill>
                  <a:srgbClr val="000080"/>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0-541A-4FD4-B497-00355BAABE1D}"/>
            </c:ext>
          </c:extLst>
        </c:ser>
        <c:ser>
          <c:idx val="1"/>
          <c:order val="1"/>
          <c:spPr>
            <a:ln w="12700">
              <a:solidFill>
                <a:srgbClr val="FF00FF"/>
              </a:solidFill>
              <a:prstDash val="solid"/>
            </a:ln>
          </c:spPr>
          <c:marker>
            <c:symbol val="square"/>
            <c:size val="5"/>
            <c:spPr>
              <a:solidFill>
                <a:srgbClr val="FF00FF"/>
              </a:solidFill>
              <a:ln>
                <a:solidFill>
                  <a:srgbClr val="FF00FF"/>
                </a:solidFill>
                <a:prstDash val="solid"/>
              </a:ln>
            </c:spPr>
          </c:marker>
          <c:val>
            <c:numRef>
              <c:f>'124'!#REF!</c:f>
              <c:numCache>
                <c:formatCode>General</c:formatCode>
                <c:ptCount val="1"/>
                <c:pt idx="0">
                  <c:v>1</c:v>
                </c:pt>
              </c:numCache>
            </c:numRef>
          </c:val>
          <c:smooth val="0"/>
          <c:extLst>
            <c:ext xmlns:c15="http://schemas.microsoft.com/office/drawing/2012/chart" uri="{02D57815-91ED-43cb-92C2-25804820EDAC}">
              <c15:filteredSeriesTitle>
                <c15:tx>
                  <c:strRef>
                    <c:extLst xmlns:c16="http://schemas.microsoft.com/office/drawing/2014/chart">
                      <c:ext uri="{02D57815-91ED-43cb-92C2-25804820EDAC}">
                        <c15:formulaRef>
                          <c15:sqref>'124'!#REF!</c15:sqref>
                        </c15:formulaRef>
                      </c:ext>
                    </c:extLst>
                    <c:strCache>
                      <c:ptCount val="1"/>
                      <c:pt idx="0">
                        <c:v>#VERW!</c:v>
                      </c:pt>
                    </c:strCache>
                  </c:strRef>
                </c15:tx>
              </c15:filteredSeriesTitle>
            </c:ext>
            <c:ext xmlns:c15="http://schemas.microsoft.com/office/drawing/2012/chart" uri="{02D57815-91ED-43cb-92C2-25804820EDAC}">
              <c15:filteredCategoryTitle>
                <c15:cat>
                  <c:numRef>
                    <c:extLs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541A-4FD4-B497-00355BAABE1D}"/>
            </c:ext>
          </c:extLst>
        </c:ser>
        <c:dLbls>
          <c:showLegendKey val="0"/>
          <c:showVal val="0"/>
          <c:showCatName val="0"/>
          <c:showSerName val="0"/>
          <c:showPercent val="0"/>
          <c:showBubbleSize val="0"/>
        </c:dLbls>
        <c:marker val="1"/>
        <c:smooth val="0"/>
        <c:axId val="165728640"/>
        <c:axId val="165730560"/>
      </c:lineChart>
      <c:catAx>
        <c:axId val="165728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730560"/>
        <c:crosses val="autoZero"/>
        <c:auto val="1"/>
        <c:lblAlgn val="ctr"/>
        <c:lblOffset val="100"/>
        <c:tickLblSkip val="1"/>
        <c:tickMarkSkip val="1"/>
        <c:noMultiLvlLbl val="0"/>
      </c:catAx>
      <c:valAx>
        <c:axId val="165730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75" b="0" i="0" u="none" strike="noStrike" baseline="0">
                <a:solidFill>
                  <a:srgbClr val="000000"/>
                </a:solidFill>
                <a:latin typeface="Garamond"/>
                <a:ea typeface="Garamond"/>
                <a:cs typeface="Garamond"/>
              </a:defRPr>
            </a:pPr>
            <a:endParaRPr lang="nl-BE"/>
          </a:p>
        </c:txPr>
        <c:crossAx val="165728640"/>
        <c:crosses val="autoZero"/>
        <c:crossBetween val="between"/>
      </c:valAx>
      <c:spPr>
        <a:solidFill>
          <a:srgbClr val="C0C0C0"/>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gap"/>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personeelsleden</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2556-4C46-82CF-6A8E02821F17}"/>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'124'!#REF!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2556-4C46-82CF-6A8E02821F17}"/>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0" i="0" u="none" strike="noStrike" baseline="0">
                <a:solidFill>
                  <a:srgbClr val="000000"/>
                </a:solidFill>
                <a:latin typeface="Garamond"/>
                <a:ea typeface="Garamond"/>
                <a:cs typeface="Garamond"/>
              </a:defRPr>
            </a:pPr>
            <a:r>
              <a:rPr lang="nl-BE"/>
              <a:t>Aantal VTE</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DBEB-4457-904D-E04C88BD91CC}"/>
              </c:ext>
            </c:extLst>
          </c:dPt>
          <c:dLbls>
            <c:numFmt formatCode="0%" sourceLinked="0"/>
            <c:spPr>
              <a:noFill/>
              <a:ln w="25400">
                <a:noFill/>
              </a:ln>
            </c:spPr>
            <c:txPr>
              <a:bodyPr wrap="square" lIns="38100" tIns="19050" rIns="38100" bIns="19050" anchor="ctr">
                <a:spAutoFit/>
              </a:bodyPr>
              <a:lstStyle/>
              <a:p>
                <a:pPr>
                  <a:defRPr sz="175" b="0" i="0" u="none" strike="noStrike" baseline="0">
                    <a:solidFill>
                      <a:srgbClr val="000000"/>
                    </a:solidFill>
                    <a:latin typeface="Garamond"/>
                    <a:ea typeface="Garamond"/>
                    <a:cs typeface="Garamond"/>
                  </a:defRPr>
                </a:pPr>
                <a:endParaRPr lang="nl-BE"/>
              </a:p>
            </c:txPr>
            <c:showLegendKey val="0"/>
            <c:showVal val="0"/>
            <c:showCatName val="0"/>
            <c:showSerName val="0"/>
            <c:showPercent val="1"/>
            <c:showBubbleSize val="0"/>
            <c:showLeaderLines val="1"/>
            <c:extLst>
              <c:ext xmlns:c15="http://schemas.microsoft.com/office/drawing/2012/chart" uri="{CE6537A1-D6FC-4f65-9D91-7224C49458BB}"/>
            </c:extLst>
          </c:dLbls>
          <c:val>
            <c:numRef>
              <c:f>'124'!#REF!</c:f>
              <c:numCache>
                <c:formatCode>General</c:formatCode>
                <c:ptCount val="1"/>
                <c:pt idx="0">
                  <c:v>1</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'124'!#REF!</c15:sqref>
                        </c15:formulaRef>
                      </c:ext>
                    </c:extLst>
                    <c:numCache>
                      <c:formatCode>General</c:formatCode>
                      <c:ptCount val="1"/>
                      <c:pt idx="0">
                        <c:v>1</c:v>
                      </c:pt>
                    </c:numCache>
                  </c:numRef>
                </c15:cat>
              </c15:filteredCategoryTitle>
            </c:ext>
            <c:ext xmlns:c16="http://schemas.microsoft.com/office/drawing/2014/chart" uri="{C3380CC4-5D6E-409C-BE32-E72D297353CC}">
              <c16:uniqueId val="{00000001-DBEB-4457-904D-E04C88BD91CC}"/>
            </c:ext>
          </c:extLst>
        </c:ser>
        <c:dLbls>
          <c:showLegendKey val="0"/>
          <c:showVal val="0"/>
          <c:showCatName val="0"/>
          <c:showSerName val="0"/>
          <c:showPercent val="0"/>
          <c:showBubbleSize val="0"/>
          <c:showLeaderLines val="1"/>
        </c:dLbls>
      </c:pie3DChart>
      <c:spPr>
        <a:noFill/>
        <a:ln w="25400">
          <a:noFill/>
        </a:ln>
      </c:spPr>
    </c:plotArea>
    <c:legend>
      <c:legendPos val="b"/>
      <c:overlay val="0"/>
      <c:spPr>
        <a:solidFill>
          <a:srgbClr val="FFFFFF"/>
        </a:solidFill>
        <a:ln w="3175">
          <a:solidFill>
            <a:srgbClr val="000000"/>
          </a:solidFill>
          <a:prstDash val="solid"/>
        </a:ln>
      </c:spPr>
      <c:txPr>
        <a:bodyPr/>
        <a:lstStyle/>
        <a:p>
          <a:pPr>
            <a:defRPr sz="145" b="0" i="0" u="none" strike="noStrike" baseline="0">
              <a:solidFill>
                <a:srgbClr val="000000"/>
              </a:solidFill>
              <a:latin typeface="Garamond"/>
              <a:ea typeface="Garamond"/>
              <a:cs typeface="Garamond"/>
            </a:defRPr>
          </a:pPr>
          <a:endParaRPr lang="nl-BE"/>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Garamond"/>
          <a:ea typeface="Garamond"/>
          <a:cs typeface="Garamond"/>
        </a:defRPr>
      </a:pPr>
      <a:endParaRPr lang="nl-BE"/>
    </a:p>
  </c:txPr>
  <c:printSettings>
    <c:headerFooter alignWithMargins="0"/>
    <c:pageMargins b="1" l="0.75" r="0.75"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l-BE"/>
              <a:t>Evolutie OV en APB</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cked"/>
        <c:varyColors val="0"/>
        <c:ser>
          <c:idx val="1"/>
          <c:order val="0"/>
          <c:tx>
            <c:strRef>
              <c:f>'F-Fisc.'!$D$5</c:f>
              <c:strCache>
                <c:ptCount val="1"/>
                <c:pt idx="0">
                  <c:v>APB </c:v>
                </c:pt>
              </c:strCache>
            </c:strRef>
          </c:tx>
          <c:spPr>
            <a:ln w="38100" cap="rnd">
              <a:solidFill>
                <a:srgbClr val="00B050"/>
              </a:solidFill>
              <a:round/>
            </a:ln>
            <a:effectLst/>
          </c:spPr>
          <c:marker>
            <c:symbol val="circle"/>
            <c:size val="5"/>
            <c:spPr>
              <a:solidFill>
                <a:schemeClr val="accent2"/>
              </a:solidFill>
              <a:ln w="9525">
                <a:solidFill>
                  <a:schemeClr val="accent2"/>
                </a:solidFill>
              </a:ln>
              <a:effectLst/>
            </c:spPr>
          </c:marker>
          <c:cat>
            <c:numRef>
              <c:extLst>
                <c:ext xmlns:c15="http://schemas.microsoft.com/office/drawing/2012/chart" uri="{02D57815-91ED-43cb-92C2-25804820EDAC}">
                  <c15:fullRef>
                    <c15:sqref>'F-Fisc.'!$A$6:$A$32</c15:sqref>
                  </c15:fullRef>
                </c:ext>
              </c:extLst>
              <c:f>'F-Fisc.'!$A$7:$A$32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extLst>
                <c:ext xmlns:c15="http://schemas.microsoft.com/office/drawing/2012/chart" uri="{02D57815-91ED-43cb-92C2-25804820EDAC}">
                  <c15:fullRef>
                    <c15:sqref>'F-Fisc.'!$D$6:$D$32</c15:sqref>
                  </c15:fullRef>
                </c:ext>
              </c:extLst>
              <c:f>'F-Fisc.'!$D$7:$D$32</c:f>
              <c:numCache>
                <c:formatCode>#,##0</c:formatCode>
                <c:ptCount val="26"/>
                <c:pt idx="0">
                  <c:v>1638026</c:v>
                </c:pt>
                <c:pt idx="1">
                  <c:v>1552343</c:v>
                </c:pt>
                <c:pt idx="2">
                  <c:v>1769282</c:v>
                </c:pt>
                <c:pt idx="3">
                  <c:v>1646938</c:v>
                </c:pt>
                <c:pt idx="4">
                  <c:v>2186401</c:v>
                </c:pt>
                <c:pt idx="5">
                  <c:v>1920067</c:v>
                </c:pt>
                <c:pt idx="6">
                  <c:v>2032720</c:v>
                </c:pt>
                <c:pt idx="7">
                  <c:v>2209833</c:v>
                </c:pt>
                <c:pt idx="8">
                  <c:v>2260028</c:v>
                </c:pt>
                <c:pt idx="9">
                  <c:v>2327825</c:v>
                </c:pt>
                <c:pt idx="10">
                  <c:v>2260240</c:v>
                </c:pt>
                <c:pt idx="11">
                  <c:v>2680847.94</c:v>
                </c:pt>
                <c:pt idx="12">
                  <c:v>2293653.83</c:v>
                </c:pt>
                <c:pt idx="13">
                  <c:v>2990148.96</c:v>
                </c:pt>
                <c:pt idx="14">
                  <c:v>2692882</c:v>
                </c:pt>
                <c:pt idx="15">
                  <c:v>2780229.89</c:v>
                </c:pt>
                <c:pt idx="16">
                  <c:v>2427533.06</c:v>
                </c:pt>
                <c:pt idx="17">
                  <c:v>2678341</c:v>
                </c:pt>
                <c:pt idx="18">
                  <c:v>2487675</c:v>
                </c:pt>
                <c:pt idx="19">
                  <c:v>2837247</c:v>
                </c:pt>
                <c:pt idx="20">
                  <c:v>3002302.34</c:v>
                </c:pt>
                <c:pt idx="21">
                  <c:v>2921710</c:v>
                </c:pt>
                <c:pt idx="22">
                  <c:v>2889318</c:v>
                </c:pt>
                <c:pt idx="23">
                  <c:v>2968651</c:v>
                </c:pt>
                <c:pt idx="24">
                  <c:v>3131697</c:v>
                </c:pt>
                <c:pt idx="25">
                  <c:v>3052501</c:v>
                </c:pt>
              </c:numCache>
            </c:numRef>
          </c:val>
          <c:smooth val="0"/>
          <c:extLst>
            <c:ext xmlns:c16="http://schemas.microsoft.com/office/drawing/2014/chart" uri="{C3380CC4-5D6E-409C-BE32-E72D297353CC}">
              <c16:uniqueId val="{00000001-F2CA-4CA6-9DB6-E9E25417F53F}"/>
            </c:ext>
          </c:extLst>
        </c:ser>
        <c:ser>
          <c:idx val="0"/>
          <c:order val="1"/>
          <c:tx>
            <c:strRef>
              <c:f>'F-Fisc.'!$B$5</c:f>
              <c:strCache>
                <c:ptCount val="1"/>
                <c:pt idx="0">
                  <c:v>OV</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extLst>
                <c:ext xmlns:c15="http://schemas.microsoft.com/office/drawing/2012/chart" uri="{02D57815-91ED-43cb-92C2-25804820EDAC}">
                  <c15:fullRef>
                    <c15:sqref>'F-Fisc.'!$A$6:$A$32</c15:sqref>
                  </c15:fullRef>
                </c:ext>
              </c:extLst>
              <c:f>'F-Fisc.'!$A$7:$A$32</c:f>
              <c:numCache>
                <c:formatCode>General</c:formatCode>
                <c:ptCount val="26"/>
                <c:pt idx="0">
                  <c:v>1996</c:v>
                </c:pt>
                <c:pt idx="1">
                  <c:v>1997</c:v>
                </c:pt>
                <c:pt idx="2">
                  <c:v>1998</c:v>
                </c:pt>
                <c:pt idx="3">
                  <c:v>1999</c:v>
                </c:pt>
                <c:pt idx="4">
                  <c:v>2000</c:v>
                </c:pt>
                <c:pt idx="5">
                  <c:v>2001</c:v>
                </c:pt>
                <c:pt idx="6">
                  <c:v>2002</c:v>
                </c:pt>
                <c:pt idx="7">
                  <c:v>2003</c:v>
                </c:pt>
                <c:pt idx="8">
                  <c:v>2004</c:v>
                </c:pt>
                <c:pt idx="9">
                  <c:v>2005</c:v>
                </c:pt>
                <c:pt idx="10">
                  <c:v>2006</c:v>
                </c:pt>
                <c:pt idx="11">
                  <c:v>2007</c:v>
                </c:pt>
                <c:pt idx="12">
                  <c:v>2008</c:v>
                </c:pt>
                <c:pt idx="13">
                  <c:v>2009</c:v>
                </c:pt>
                <c:pt idx="14">
                  <c:v>2010</c:v>
                </c:pt>
                <c:pt idx="15">
                  <c:v>2011</c:v>
                </c:pt>
                <c:pt idx="16">
                  <c:v>2012</c:v>
                </c:pt>
                <c:pt idx="17">
                  <c:v>2013</c:v>
                </c:pt>
                <c:pt idx="18">
                  <c:v>2014</c:v>
                </c:pt>
                <c:pt idx="19">
                  <c:v>2015</c:v>
                </c:pt>
                <c:pt idx="20">
                  <c:v>2016</c:v>
                </c:pt>
                <c:pt idx="21">
                  <c:v>2017</c:v>
                </c:pt>
                <c:pt idx="22">
                  <c:v>2018</c:v>
                </c:pt>
                <c:pt idx="23">
                  <c:v>2019</c:v>
                </c:pt>
                <c:pt idx="24">
                  <c:v>2020</c:v>
                </c:pt>
                <c:pt idx="25">
                  <c:v>2021</c:v>
                </c:pt>
              </c:numCache>
            </c:numRef>
          </c:cat>
          <c:val>
            <c:numRef>
              <c:extLst>
                <c:ext xmlns:c15="http://schemas.microsoft.com/office/drawing/2012/chart" uri="{02D57815-91ED-43cb-92C2-25804820EDAC}">
                  <c15:fullRef>
                    <c15:sqref>'F-Fisc.'!$B$6:$B$32</c15:sqref>
                  </c15:fullRef>
                </c:ext>
              </c:extLst>
              <c:f>'F-Fisc.'!$B$7:$B$32</c:f>
              <c:numCache>
                <c:formatCode>#,##0</c:formatCode>
                <c:ptCount val="26"/>
                <c:pt idx="0">
                  <c:v>3114993</c:v>
                </c:pt>
                <c:pt idx="1">
                  <c:v>3403420</c:v>
                </c:pt>
                <c:pt idx="2">
                  <c:v>3131271</c:v>
                </c:pt>
                <c:pt idx="3">
                  <c:v>3366235</c:v>
                </c:pt>
                <c:pt idx="4">
                  <c:v>3226526</c:v>
                </c:pt>
                <c:pt idx="5">
                  <c:v>3530858</c:v>
                </c:pt>
                <c:pt idx="6">
                  <c:v>4413102</c:v>
                </c:pt>
                <c:pt idx="7">
                  <c:v>4846231</c:v>
                </c:pt>
                <c:pt idx="8">
                  <c:v>4929197</c:v>
                </c:pt>
                <c:pt idx="9">
                  <c:v>5403962</c:v>
                </c:pt>
                <c:pt idx="10">
                  <c:v>5245843</c:v>
                </c:pt>
                <c:pt idx="11">
                  <c:v>5095788.0599999996</c:v>
                </c:pt>
                <c:pt idx="12">
                  <c:v>4758827.01</c:v>
                </c:pt>
                <c:pt idx="13">
                  <c:v>5329497.08</c:v>
                </c:pt>
                <c:pt idx="14">
                  <c:v>5298313</c:v>
                </c:pt>
                <c:pt idx="15">
                  <c:v>5347095.82</c:v>
                </c:pt>
                <c:pt idx="16">
                  <c:v>5859369.0599999996</c:v>
                </c:pt>
                <c:pt idx="17">
                  <c:v>6092015</c:v>
                </c:pt>
                <c:pt idx="18">
                  <c:v>6450908</c:v>
                </c:pt>
                <c:pt idx="19">
                  <c:v>6493132.1100000003</c:v>
                </c:pt>
                <c:pt idx="20">
                  <c:v>5923216</c:v>
                </c:pt>
                <c:pt idx="21">
                  <c:v>6456695</c:v>
                </c:pt>
                <c:pt idx="22">
                  <c:v>6492450</c:v>
                </c:pt>
                <c:pt idx="23">
                  <c:v>6714851</c:v>
                </c:pt>
                <c:pt idx="24">
                  <c:v>6697652.0099999998</c:v>
                </c:pt>
                <c:pt idx="25">
                  <c:v>6919245</c:v>
                </c:pt>
              </c:numCache>
            </c:numRef>
          </c:val>
          <c:smooth val="0"/>
          <c:extLst>
            <c:ext xmlns:c16="http://schemas.microsoft.com/office/drawing/2014/chart" uri="{C3380CC4-5D6E-409C-BE32-E72D297353CC}">
              <c16:uniqueId val="{00000003-F2CA-4CA6-9DB6-E9E25417F53F}"/>
            </c:ext>
          </c:extLst>
        </c:ser>
        <c:dLbls>
          <c:showLegendKey val="0"/>
          <c:showVal val="0"/>
          <c:showCatName val="0"/>
          <c:showSerName val="0"/>
          <c:showPercent val="0"/>
          <c:showBubbleSize val="0"/>
        </c:dLbls>
        <c:marker val="1"/>
        <c:smooth val="0"/>
        <c:axId val="701569896"/>
        <c:axId val="701563008"/>
      </c:lineChart>
      <c:catAx>
        <c:axId val="701569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701563008"/>
        <c:crosses val="autoZero"/>
        <c:auto val="1"/>
        <c:lblAlgn val="ctr"/>
        <c:lblOffset val="100"/>
        <c:noMultiLvlLbl val="0"/>
      </c:catAx>
      <c:valAx>
        <c:axId val="7015630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7015698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ndard"/>
        <c:varyColors val="0"/>
        <c:ser>
          <c:idx val="0"/>
          <c:order val="0"/>
          <c:tx>
            <c:strRef>
              <c:f>'F-Fisc.'!$S$5</c:f>
              <c:strCache>
                <c:ptCount val="1"/>
                <c:pt idx="0">
                  <c:v>APB </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'F-Fisc.'!$P$15:$P$36</c15:sqref>
                  </c15:fullRef>
                </c:ext>
              </c:extLst>
              <c:f>'F-Fisc.'!$P$20:$P$36</c:f>
              <c:numCache>
                <c:formatCode>General</c:formatCode>
                <c:ptCount val="17"/>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numCache>
            </c:numRef>
          </c:cat>
          <c:val>
            <c:numRef>
              <c:extLst>
                <c:ext xmlns:c15="http://schemas.microsoft.com/office/drawing/2012/chart" uri="{02D57815-91ED-43cb-92C2-25804820EDAC}">
                  <c15:fullRef>
                    <c15:sqref>'F-Fisc.'!$S$15:$S$36</c15:sqref>
                  </c15:fullRef>
                </c:ext>
              </c:extLst>
              <c:f>'F-Fisc.'!$S$20:$S$36</c:f>
              <c:numCache>
                <c:formatCode>#,##0</c:formatCode>
                <c:ptCount val="17"/>
                <c:pt idx="0">
                  <c:v>2537120</c:v>
                </c:pt>
                <c:pt idx="1">
                  <c:v>2567860</c:v>
                </c:pt>
                <c:pt idx="2">
                  <c:v>2521271</c:v>
                </c:pt>
                <c:pt idx="3">
                  <c:v>2444076</c:v>
                </c:pt>
                <c:pt idx="4">
                  <c:v>2708511</c:v>
                </c:pt>
                <c:pt idx="5">
                  <c:v>2487674</c:v>
                </c:pt>
                <c:pt idx="6">
                  <c:v>2837247</c:v>
                </c:pt>
                <c:pt idx="7">
                  <c:v>3002302</c:v>
                </c:pt>
                <c:pt idx="8">
                  <c:v>2843194</c:v>
                </c:pt>
                <c:pt idx="9">
                  <c:v>2889318</c:v>
                </c:pt>
                <c:pt idx="10">
                  <c:v>2847176</c:v>
                </c:pt>
                <c:pt idx="11">
                  <c:v>3148339</c:v>
                </c:pt>
                <c:pt idx="12">
                  <c:v>3059566</c:v>
                </c:pt>
                <c:pt idx="13">
                  <c:v>3302320</c:v>
                </c:pt>
                <c:pt idx="14">
                  <c:v>4142897</c:v>
                </c:pt>
                <c:pt idx="15">
                  <c:v>3837412</c:v>
                </c:pt>
                <c:pt idx="16">
                  <c:v>4034985</c:v>
                </c:pt>
              </c:numCache>
            </c:numRef>
          </c:val>
          <c:smooth val="0"/>
          <c:extLst>
            <c:ext xmlns:c16="http://schemas.microsoft.com/office/drawing/2014/chart" uri="{C3380CC4-5D6E-409C-BE32-E72D297353CC}">
              <c16:uniqueId val="{00000000-455B-4080-BCDB-B980D6542710}"/>
            </c:ext>
          </c:extLst>
        </c:ser>
        <c:dLbls>
          <c:showLegendKey val="0"/>
          <c:showVal val="0"/>
          <c:showCatName val="0"/>
          <c:showSerName val="0"/>
          <c:showPercent val="0"/>
          <c:showBubbleSize val="0"/>
        </c:dLbls>
        <c:smooth val="0"/>
        <c:axId val="609381512"/>
        <c:axId val="609378888"/>
      </c:lineChart>
      <c:catAx>
        <c:axId val="609381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609378888"/>
        <c:crosses val="autoZero"/>
        <c:auto val="1"/>
        <c:lblAlgn val="ctr"/>
        <c:lblOffset val="100"/>
        <c:noMultiLvlLbl val="0"/>
      </c:catAx>
      <c:valAx>
        <c:axId val="6093788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609381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Individuele vs. Groepen vs. Schoolgroepen</a:t>
            </a:r>
          </a:p>
        </c:rich>
      </c:tx>
      <c:overlay val="0"/>
    </c:title>
    <c:autoTitleDeleted val="0"/>
    <c:plotArea>
      <c:layout/>
      <c:barChart>
        <c:barDir val="col"/>
        <c:grouping val="percentStacked"/>
        <c:varyColors val="0"/>
        <c:ser>
          <c:idx val="0"/>
          <c:order val="0"/>
          <c:tx>
            <c:v>Individueel</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169</c:v>
              </c:pt>
              <c:pt idx="1">
                <c:v>149</c:v>
              </c:pt>
              <c:pt idx="2">
                <c:v>183</c:v>
              </c:pt>
              <c:pt idx="3">
                <c:v>365</c:v>
              </c:pt>
              <c:pt idx="4">
                <c:v>314</c:v>
              </c:pt>
              <c:pt idx="5">
                <c:v>457</c:v>
              </c:pt>
              <c:pt idx="6">
                <c:v>614</c:v>
              </c:pt>
              <c:pt idx="7">
                <c:v>879</c:v>
              </c:pt>
              <c:pt idx="8">
                <c:v>423</c:v>
              </c:pt>
              <c:pt idx="9">
                <c:v>363</c:v>
              </c:pt>
              <c:pt idx="10">
                <c:v>195</c:v>
              </c:pt>
              <c:pt idx="11">
                <c:v>155</c:v>
              </c:pt>
            </c:numLit>
          </c:val>
          <c:extLst>
            <c:ext xmlns:c16="http://schemas.microsoft.com/office/drawing/2014/chart" uri="{C3380CC4-5D6E-409C-BE32-E72D297353CC}">
              <c16:uniqueId val="{00000000-145F-4E0E-9847-C4112D047DEC}"/>
            </c:ext>
          </c:extLst>
        </c:ser>
        <c:ser>
          <c:idx val="1"/>
          <c:order val="1"/>
          <c:tx>
            <c:v>Groepen</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128</c:v>
              </c:pt>
              <c:pt idx="1">
                <c:v>35</c:v>
              </c:pt>
              <c:pt idx="2">
                <c:v>52</c:v>
              </c:pt>
              <c:pt idx="3">
                <c:v>21</c:v>
              </c:pt>
              <c:pt idx="4">
                <c:v>11</c:v>
              </c:pt>
              <c:pt idx="5">
                <c:v>32</c:v>
              </c:pt>
              <c:pt idx="6">
                <c:v>92</c:v>
              </c:pt>
              <c:pt idx="7">
                <c:v>56</c:v>
              </c:pt>
              <c:pt idx="8">
                <c:v>0</c:v>
              </c:pt>
              <c:pt idx="9">
                <c:v>52</c:v>
              </c:pt>
              <c:pt idx="10">
                <c:v>18</c:v>
              </c:pt>
              <c:pt idx="11">
                <c:v>0</c:v>
              </c:pt>
            </c:numLit>
          </c:val>
          <c:extLst>
            <c:ext xmlns:c16="http://schemas.microsoft.com/office/drawing/2014/chart" uri="{C3380CC4-5D6E-409C-BE32-E72D297353CC}">
              <c16:uniqueId val="{00000001-145F-4E0E-9847-C4112D047DEC}"/>
            </c:ext>
          </c:extLst>
        </c:ser>
        <c:ser>
          <c:idx val="2"/>
          <c:order val="2"/>
          <c:tx>
            <c:v>Schoolgroepen</c:v>
          </c:tx>
          <c:invertIfNegative val="0"/>
          <c:cat>
            <c:numLit>
              <c:formatCode>General</c:formatCode>
              <c:ptCount val="12"/>
              <c:pt idx="0">
                <c:v>42005</c:v>
              </c:pt>
              <c:pt idx="1">
                <c:v>42036</c:v>
              </c:pt>
              <c:pt idx="2">
                <c:v>42064</c:v>
              </c:pt>
              <c:pt idx="3">
                <c:v>42095</c:v>
              </c:pt>
              <c:pt idx="4">
                <c:v>42125</c:v>
              </c:pt>
              <c:pt idx="5">
                <c:v>42156</c:v>
              </c:pt>
              <c:pt idx="6">
                <c:v>42186</c:v>
              </c:pt>
              <c:pt idx="7">
                <c:v>42217</c:v>
              </c:pt>
              <c:pt idx="8">
                <c:v>42248</c:v>
              </c:pt>
              <c:pt idx="9">
                <c:v>42278</c:v>
              </c:pt>
              <c:pt idx="10">
                <c:v>42309</c:v>
              </c:pt>
              <c:pt idx="11">
                <c:v>42339</c:v>
              </c:pt>
            </c:numLit>
          </c:cat>
          <c:val>
            <c:numLit>
              <c:formatCode>General</c:formatCode>
              <c:ptCount val="12"/>
              <c:pt idx="0">
                <c:v>0</c:v>
              </c:pt>
              <c:pt idx="1">
                <c:v>3</c:v>
              </c:pt>
              <c:pt idx="2">
                <c:v>66</c:v>
              </c:pt>
              <c:pt idx="3">
                <c:v>98</c:v>
              </c:pt>
              <c:pt idx="4">
                <c:v>4</c:v>
              </c:pt>
              <c:pt idx="5">
                <c:v>27</c:v>
              </c:pt>
              <c:pt idx="6">
                <c:v>9</c:v>
              </c:pt>
              <c:pt idx="7">
                <c:v>6</c:v>
              </c:pt>
              <c:pt idx="8">
                <c:v>0</c:v>
              </c:pt>
              <c:pt idx="9">
                <c:v>19</c:v>
              </c:pt>
              <c:pt idx="10">
                <c:v>36</c:v>
              </c:pt>
              <c:pt idx="11">
                <c:v>0</c:v>
              </c:pt>
            </c:numLit>
          </c:val>
          <c:extLst>
            <c:ext xmlns:c16="http://schemas.microsoft.com/office/drawing/2014/chart" uri="{C3380CC4-5D6E-409C-BE32-E72D297353CC}">
              <c16:uniqueId val="{00000002-145F-4E0E-9847-C4112D047DEC}"/>
            </c:ext>
          </c:extLst>
        </c:ser>
        <c:dLbls>
          <c:showLegendKey val="0"/>
          <c:showVal val="0"/>
          <c:showCatName val="0"/>
          <c:showSerName val="0"/>
          <c:showPercent val="0"/>
          <c:showBubbleSize val="0"/>
        </c:dLbls>
        <c:gapWidth val="55"/>
        <c:overlap val="100"/>
        <c:axId val="677272248"/>
        <c:axId val="1"/>
      </c:barChart>
      <c:catAx>
        <c:axId val="677272248"/>
        <c:scaling>
          <c:orientation val="minMax"/>
        </c:scaling>
        <c:delete val="0"/>
        <c:axPos val="b"/>
        <c:numFmt formatCode="General" sourceLinked="1"/>
        <c:majorTickMark val="none"/>
        <c:minorTickMark val="none"/>
        <c:tickLblPos val="nextTo"/>
        <c:txPr>
          <a:bodyPr rot="-270000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72248"/>
        <c:crosses val="autoZero"/>
        <c:crossBetween val="between"/>
      </c:valAx>
    </c:plotArea>
    <c:legend>
      <c:legendPos val="r"/>
      <c:layout>
        <c:manualLayout>
          <c:xMode val="edge"/>
          <c:yMode val="edge"/>
          <c:x val="0.76087047814675335"/>
          <c:y val="0.48732453513733315"/>
          <c:w val="0.22391327171060138"/>
          <c:h val="0.20281719714613139"/>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manualLayout>
          <c:layoutTarget val="inner"/>
          <c:xMode val="edge"/>
          <c:yMode val="edge"/>
          <c:x val="0.1341920384951881"/>
          <c:y val="0.17171296296296298"/>
          <c:w val="0.81677668416447946"/>
          <c:h val="0.61498432487605714"/>
        </c:manualLayout>
      </c:layout>
      <c:lineChart>
        <c:grouping val="stacked"/>
        <c:varyColors val="0"/>
        <c:ser>
          <c:idx val="1"/>
          <c:order val="0"/>
          <c:tx>
            <c:strRef>
              <c:f>'F-Fisc.'!$Q$5</c:f>
              <c:strCache>
                <c:ptCount val="1"/>
                <c:pt idx="0">
                  <c:v>OV</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'F-Fisc.'!$P$20:$P$37</c:f>
              <c:numCache>
                <c:formatCode>General</c:formatCode>
                <c:ptCount val="18"/>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pt idx="13">
                  <c:v>2022</c:v>
                </c:pt>
                <c:pt idx="14">
                  <c:v>2023</c:v>
                </c:pt>
                <c:pt idx="15">
                  <c:v>2024</c:v>
                </c:pt>
                <c:pt idx="16">
                  <c:v>2025</c:v>
                </c:pt>
                <c:pt idx="17">
                  <c:v>2026</c:v>
                </c:pt>
              </c:numCache>
            </c:numRef>
          </c:cat>
          <c:val>
            <c:numRef>
              <c:f>'F-Fisc.'!$Q$20:$Q$37</c:f>
              <c:numCache>
                <c:formatCode>#,##0</c:formatCode>
                <c:ptCount val="18"/>
                <c:pt idx="0">
                  <c:v>5128236</c:v>
                </c:pt>
                <c:pt idx="1">
                  <c:v>5131705</c:v>
                </c:pt>
                <c:pt idx="2">
                  <c:v>5094270</c:v>
                </c:pt>
                <c:pt idx="3">
                  <c:v>5326874</c:v>
                </c:pt>
                <c:pt idx="4">
                  <c:v>5628394</c:v>
                </c:pt>
                <c:pt idx="5">
                  <c:v>6450907</c:v>
                </c:pt>
                <c:pt idx="6">
                  <c:v>6493132</c:v>
                </c:pt>
                <c:pt idx="7">
                  <c:v>5923216</c:v>
                </c:pt>
                <c:pt idx="8">
                  <c:v>6325916</c:v>
                </c:pt>
                <c:pt idx="9">
                  <c:v>6492450</c:v>
                </c:pt>
                <c:pt idx="10">
                  <c:v>6691873</c:v>
                </c:pt>
                <c:pt idx="11">
                  <c:v>6588247.1500000004</c:v>
                </c:pt>
                <c:pt idx="12">
                  <c:v>6639331</c:v>
                </c:pt>
                <c:pt idx="13">
                  <c:v>6984531</c:v>
                </c:pt>
                <c:pt idx="14">
                  <c:v>7663587</c:v>
                </c:pt>
                <c:pt idx="15">
                  <c:v>8021035.4004000006</c:v>
                </c:pt>
                <c:pt idx="16">
                  <c:v>8278129.8000000007</c:v>
                </c:pt>
                <c:pt idx="17">
                  <c:v>8534751.8237999994</c:v>
                </c:pt>
              </c:numCache>
            </c:numRef>
          </c:val>
          <c:smooth val="0"/>
          <c:extLst>
            <c:ext xmlns:c16="http://schemas.microsoft.com/office/drawing/2014/chart" uri="{C3380CC4-5D6E-409C-BE32-E72D297353CC}">
              <c16:uniqueId val="{00000001-3D17-454D-AB60-6A2B3724BFD8}"/>
            </c:ext>
          </c:extLst>
        </c:ser>
        <c:dLbls>
          <c:showLegendKey val="0"/>
          <c:showVal val="0"/>
          <c:showCatName val="0"/>
          <c:showSerName val="0"/>
          <c:showPercent val="0"/>
          <c:showBubbleSize val="0"/>
        </c:dLbls>
        <c:marker val="1"/>
        <c:smooth val="0"/>
        <c:axId val="598818416"/>
        <c:axId val="598823336"/>
      </c:lineChart>
      <c:catAx>
        <c:axId val="598818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98823336"/>
        <c:crosses val="autoZero"/>
        <c:auto val="1"/>
        <c:lblAlgn val="ctr"/>
        <c:lblOffset val="100"/>
        <c:noMultiLvlLbl val="0"/>
      </c:catAx>
      <c:valAx>
        <c:axId val="598823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98818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4"/>
    </mc:Choice>
    <mc:Fallback>
      <c:style val="4"/>
    </mc:Fallback>
  </mc:AlternateContent>
  <c:chart>
    <c:title>
      <c:overlay val="0"/>
    </c:title>
    <c:autoTitleDeleted val="0"/>
    <c:plotArea>
      <c:layout/>
      <c:lineChart>
        <c:grouping val="standard"/>
        <c:varyColors val="0"/>
        <c:ser>
          <c:idx val="1"/>
          <c:order val="0"/>
          <c:tx>
            <c:strRef>
              <c:f>'F-Fonds'!$B$5</c:f>
              <c:strCache>
                <c:ptCount val="1"/>
                <c:pt idx="0">
                  <c:v>Fonds</c:v>
                </c:pt>
              </c:strCache>
            </c:strRef>
          </c:tx>
          <c:marker>
            <c:symbol val="none"/>
          </c:marker>
          <c:cat>
            <c:numRef>
              <c:f>'F-Fonds'!$A$6:$A$29</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numCache>
            </c:numRef>
          </c:cat>
          <c:val>
            <c:numRef>
              <c:f>'F-Fonds'!$B$6:$B$29</c:f>
              <c:numCache>
                <c:formatCode>#,##0</c:formatCode>
                <c:ptCount val="24"/>
                <c:pt idx="0">
                  <c:v>1128114</c:v>
                </c:pt>
                <c:pt idx="1">
                  <c:v>1145958</c:v>
                </c:pt>
                <c:pt idx="2">
                  <c:v>1197540</c:v>
                </c:pt>
                <c:pt idx="3">
                  <c:v>1214789</c:v>
                </c:pt>
                <c:pt idx="4">
                  <c:v>1242050</c:v>
                </c:pt>
                <c:pt idx="5">
                  <c:v>1281849</c:v>
                </c:pt>
                <c:pt idx="6">
                  <c:v>1335330</c:v>
                </c:pt>
                <c:pt idx="7">
                  <c:v>1404505</c:v>
                </c:pt>
                <c:pt idx="8">
                  <c:v>2262484</c:v>
                </c:pt>
                <c:pt idx="9">
                  <c:v>2409561</c:v>
                </c:pt>
                <c:pt idx="10">
                  <c:v>2430749</c:v>
                </c:pt>
                <c:pt idx="11">
                  <c:v>2541584.64</c:v>
                </c:pt>
                <c:pt idx="12">
                  <c:v>2617193.92</c:v>
                </c:pt>
                <c:pt idx="13">
                  <c:v>2662632.7200000002</c:v>
                </c:pt>
                <c:pt idx="14">
                  <c:v>2803821.44</c:v>
                </c:pt>
                <c:pt idx="15">
                  <c:v>2808437</c:v>
                </c:pt>
                <c:pt idx="16">
                  <c:v>2922964.2</c:v>
                </c:pt>
                <c:pt idx="17">
                  <c:v>2933799.04</c:v>
                </c:pt>
                <c:pt idx="18">
                  <c:v>3014824</c:v>
                </c:pt>
                <c:pt idx="19">
                  <c:v>3151226</c:v>
                </c:pt>
                <c:pt idx="20">
                  <c:v>3320519.2</c:v>
                </c:pt>
                <c:pt idx="21">
                  <c:v>3446532</c:v>
                </c:pt>
                <c:pt idx="22">
                  <c:v>3544725.96</c:v>
                </c:pt>
              </c:numCache>
            </c:numRef>
          </c:val>
          <c:smooth val="0"/>
          <c:extLst>
            <c:ext xmlns:c16="http://schemas.microsoft.com/office/drawing/2014/chart" uri="{C3380CC4-5D6E-409C-BE32-E72D297353CC}">
              <c16:uniqueId val="{00000000-C424-489A-99E7-F4DCC6BC7F17}"/>
            </c:ext>
          </c:extLst>
        </c:ser>
        <c:dLbls>
          <c:showLegendKey val="0"/>
          <c:showVal val="0"/>
          <c:showCatName val="0"/>
          <c:showSerName val="0"/>
          <c:showPercent val="0"/>
          <c:showBubbleSize val="0"/>
        </c:dLbls>
        <c:smooth val="0"/>
        <c:axId val="117253632"/>
        <c:axId val="117255168"/>
      </c:lineChart>
      <c:catAx>
        <c:axId val="117253632"/>
        <c:scaling>
          <c:orientation val="minMax"/>
        </c:scaling>
        <c:delete val="0"/>
        <c:axPos val="b"/>
        <c:numFmt formatCode="General" sourceLinked="1"/>
        <c:majorTickMark val="none"/>
        <c:minorTickMark val="none"/>
        <c:tickLblPos val="nextTo"/>
        <c:crossAx val="117255168"/>
        <c:crosses val="autoZero"/>
        <c:auto val="1"/>
        <c:lblAlgn val="ctr"/>
        <c:lblOffset val="100"/>
        <c:noMultiLvlLbl val="0"/>
      </c:catAx>
      <c:valAx>
        <c:axId val="117255168"/>
        <c:scaling>
          <c:orientation val="minMax"/>
        </c:scaling>
        <c:delete val="0"/>
        <c:axPos val="l"/>
        <c:majorGridlines/>
        <c:title>
          <c:overlay val="0"/>
        </c:title>
        <c:numFmt formatCode="#,##0" sourceLinked="1"/>
        <c:majorTickMark val="none"/>
        <c:minorTickMark val="none"/>
        <c:tickLblPos val="nextTo"/>
        <c:crossAx val="117253632"/>
        <c:crosses val="autoZero"/>
        <c:crossBetween val="between"/>
      </c:valAx>
    </c:plotArea>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'F-KI'!$A$5</c:f>
              <c:strCache>
                <c:ptCount val="1"/>
                <c:pt idx="0">
                  <c:v>Bebouwde percelen</c:v>
                </c:pt>
              </c:strCache>
            </c:strRef>
          </c:tx>
          <c:spPr>
            <a:ln w="28575" cap="rnd" cmpd="sng" algn="ctr">
              <a:solidFill>
                <a:schemeClr val="accent1">
                  <a:shade val="95000"/>
                  <a:satMod val="105000"/>
                </a:schemeClr>
              </a:solidFill>
              <a:prstDash val="solid"/>
              <a:round/>
            </a:ln>
            <a:effectLst/>
          </c:spPr>
          <c:marker>
            <c:symbol val="none"/>
          </c:marker>
          <c:dLbls>
            <c:dLbl>
              <c:idx val="28"/>
              <c:layout>
                <c:manualLayout>
                  <c:x val="-1.0593353006889875E-16"/>
                  <c:y val="-2.007168458781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562-43A3-91D0-397933E221CC}"/>
                </c:ext>
              </c:extLst>
            </c:dLbl>
            <c:spPr>
              <a:solidFill>
                <a:schemeClr val="tx2">
                  <a:lumMod val="60000"/>
                  <a:lumOff val="40000"/>
                </a:schemeClr>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'F-KI'!$B$4:$AE$4</c:f>
              <c:numCache>
                <c:formatCode>General</c:formatCode>
                <c:ptCount val="20"/>
                <c:pt idx="0">
                  <c:v>1992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'F-KI'!$B$5:$AE$5</c:f>
              <c:numCache>
                <c:formatCode>#,##0</c:formatCode>
                <c:ptCount val="20"/>
                <c:pt idx="0">
                  <c:v>4984467.2396312337</c:v>
                </c:pt>
                <c:pt idx="1">
                  <c:v>6686332</c:v>
                </c:pt>
                <c:pt idx="2">
                  <c:v>6750257</c:v>
                </c:pt>
                <c:pt idx="3">
                  <c:v>6832974</c:v>
                </c:pt>
                <c:pt idx="4">
                  <c:v>6982350</c:v>
                </c:pt>
                <c:pt idx="5">
                  <c:v>7109450</c:v>
                </c:pt>
                <c:pt idx="6">
                  <c:v>7234803</c:v>
                </c:pt>
                <c:pt idx="7">
                  <c:v>7335701</c:v>
                </c:pt>
                <c:pt idx="8">
                  <c:v>7470230</c:v>
                </c:pt>
                <c:pt idx="9">
                  <c:v>7534614</c:v>
                </c:pt>
                <c:pt idx="10">
                  <c:v>7699074</c:v>
                </c:pt>
                <c:pt idx="11">
                  <c:v>7788528</c:v>
                </c:pt>
                <c:pt idx="12">
                  <c:v>7951650</c:v>
                </c:pt>
                <c:pt idx="13">
                  <c:v>8139612</c:v>
                </c:pt>
                <c:pt idx="14">
                  <c:v>8265417</c:v>
                </c:pt>
                <c:pt idx="15">
                  <c:v>8376818</c:v>
                </c:pt>
                <c:pt idx="16">
                  <c:v>8547309</c:v>
                </c:pt>
                <c:pt idx="17">
                  <c:v>8591946</c:v>
                </c:pt>
                <c:pt idx="18">
                  <c:v>8794281</c:v>
                </c:pt>
                <c:pt idx="19">
                  <c:v>8978820</c:v>
                </c:pt>
              </c:numCache>
            </c:numRef>
          </c:val>
          <c:smooth val="0"/>
          <c:extLst>
            <c:ext xmlns:c16="http://schemas.microsoft.com/office/drawing/2014/chart" uri="{C3380CC4-5D6E-409C-BE32-E72D297353CC}">
              <c16:uniqueId val="{00000000-E410-4BFB-B1F0-9A9C463899AB}"/>
            </c:ext>
          </c:extLst>
        </c:ser>
        <c:ser>
          <c:idx val="10"/>
          <c:order val="1"/>
          <c:tx>
            <c:strRef>
              <c:f>'F-KI'!$A$16</c:f>
              <c:strCache>
                <c:ptCount val="1"/>
                <c:pt idx="0">
                  <c:v>Werkelijk belastbaar</c:v>
                </c:pt>
              </c:strCache>
            </c:strRef>
          </c:tx>
          <c:spPr>
            <a:ln w="28575" cap="rnd" cmpd="sng" algn="ctr">
              <a:solidFill>
                <a:srgbClr val="FF0000"/>
              </a:solidFill>
              <a:prstDash val="solid"/>
              <a:round/>
            </a:ln>
            <a:effectLst/>
          </c:spPr>
          <c:marker>
            <c:symbol val="none"/>
          </c:marker>
          <c:dLbls>
            <c:dLbl>
              <c:idx val="28"/>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562-43A3-91D0-397933E221CC}"/>
                </c:ext>
              </c:extLst>
            </c:dLbl>
            <c:spPr>
              <a:solidFill>
                <a:srgbClr val="FF0000"/>
              </a:solid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numRef>
              <c:f>'F-KI'!$B$4:$AE$4</c:f>
              <c:numCache>
                <c:formatCode>General</c:formatCode>
                <c:ptCount val="20"/>
                <c:pt idx="0">
                  <c:v>1992</c:v>
                </c:pt>
                <c:pt idx="1">
                  <c:v>2003</c:v>
                </c:pt>
                <c:pt idx="2">
                  <c:v>2004</c:v>
                </c:pt>
                <c:pt idx="3">
                  <c:v>2005</c:v>
                </c:pt>
                <c:pt idx="4">
                  <c:v>2006</c:v>
                </c:pt>
                <c:pt idx="5">
                  <c:v>2007</c:v>
                </c:pt>
                <c:pt idx="6">
                  <c:v>2008</c:v>
                </c:pt>
                <c:pt idx="7">
                  <c:v>2009</c:v>
                </c:pt>
                <c:pt idx="8">
                  <c:v>2010</c:v>
                </c:pt>
                <c:pt idx="9">
                  <c:v>2011</c:v>
                </c:pt>
                <c:pt idx="10">
                  <c:v>2012</c:v>
                </c:pt>
                <c:pt idx="11">
                  <c:v>2013</c:v>
                </c:pt>
                <c:pt idx="12">
                  <c:v>2014</c:v>
                </c:pt>
                <c:pt idx="13">
                  <c:v>2015</c:v>
                </c:pt>
                <c:pt idx="14">
                  <c:v>2016</c:v>
                </c:pt>
                <c:pt idx="15">
                  <c:v>2017</c:v>
                </c:pt>
                <c:pt idx="16">
                  <c:v>2018</c:v>
                </c:pt>
                <c:pt idx="17">
                  <c:v>2019</c:v>
                </c:pt>
                <c:pt idx="18">
                  <c:v>2020</c:v>
                </c:pt>
                <c:pt idx="19">
                  <c:v>2021</c:v>
                </c:pt>
              </c:numCache>
            </c:numRef>
          </c:cat>
          <c:val>
            <c:numRef>
              <c:f>'F-KI'!$B$16:$AE$16</c:f>
              <c:numCache>
                <c:formatCode>#,##0</c:formatCode>
                <c:ptCount val="20"/>
                <c:pt idx="0">
                  <c:v>5835706.0875212876</c:v>
                </c:pt>
                <c:pt idx="1">
                  <c:v>8524386</c:v>
                </c:pt>
                <c:pt idx="2">
                  <c:v>8552159</c:v>
                </c:pt>
                <c:pt idx="3">
                  <c:v>8406921</c:v>
                </c:pt>
                <c:pt idx="4">
                  <c:v>8471917</c:v>
                </c:pt>
                <c:pt idx="5">
                  <c:v>8067142</c:v>
                </c:pt>
                <c:pt idx="6">
                  <c:v>7947509</c:v>
                </c:pt>
                <c:pt idx="7">
                  <c:v>8044997</c:v>
                </c:pt>
                <c:pt idx="8">
                  <c:v>8167586</c:v>
                </c:pt>
                <c:pt idx="9">
                  <c:v>8169165</c:v>
                </c:pt>
                <c:pt idx="10">
                  <c:v>8137967</c:v>
                </c:pt>
                <c:pt idx="11">
                  <c:v>7965823</c:v>
                </c:pt>
                <c:pt idx="12">
                  <c:v>8080039</c:v>
                </c:pt>
                <c:pt idx="13">
                  <c:v>8254107</c:v>
                </c:pt>
                <c:pt idx="14">
                  <c:v>8376426</c:v>
                </c:pt>
                <c:pt idx="15">
                  <c:v>8288451</c:v>
                </c:pt>
                <c:pt idx="16">
                  <c:v>8434103</c:v>
                </c:pt>
                <c:pt idx="17">
                  <c:v>8439950</c:v>
                </c:pt>
                <c:pt idx="18">
                  <c:v>8624846</c:v>
                </c:pt>
                <c:pt idx="19">
                  <c:v>8805941</c:v>
                </c:pt>
              </c:numCache>
            </c:numRef>
          </c:val>
          <c:smooth val="0"/>
          <c:extLst>
            <c:ext xmlns:c16="http://schemas.microsoft.com/office/drawing/2014/chart" uri="{C3380CC4-5D6E-409C-BE32-E72D297353CC}">
              <c16:uniqueId val="{00000002-E410-4BFB-B1F0-9A9C463899AB}"/>
            </c:ext>
          </c:extLst>
        </c:ser>
        <c:dLbls>
          <c:showLegendKey val="0"/>
          <c:showVal val="0"/>
          <c:showCatName val="0"/>
          <c:showSerName val="0"/>
          <c:showPercent val="0"/>
          <c:showBubbleSize val="0"/>
        </c:dLbls>
        <c:smooth val="0"/>
        <c:axId val="117751808"/>
        <c:axId val="117753344"/>
      </c:lineChart>
      <c:catAx>
        <c:axId val="11775180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BE"/>
          </a:p>
        </c:txPr>
        <c:crossAx val="117753344"/>
        <c:crosses val="autoZero"/>
        <c:auto val="1"/>
        <c:lblAlgn val="ctr"/>
        <c:lblOffset val="100"/>
        <c:noMultiLvlLbl val="0"/>
      </c:catAx>
      <c:valAx>
        <c:axId val="117753344"/>
        <c:scaling>
          <c:orientation val="minMax"/>
          <c:max val="10000000"/>
          <c:min val="3000000"/>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BE"/>
          </a:p>
        </c:txPr>
        <c:crossAx val="117751808"/>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nl-BE"/>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lineChart>
        <c:grouping val="stacked"/>
        <c:varyColors val="0"/>
        <c:ser>
          <c:idx val="0"/>
          <c:order val="0"/>
          <c:tx>
            <c:strRef>
              <c:f>'F-KI'!$A$5</c:f>
              <c:strCache>
                <c:ptCount val="1"/>
                <c:pt idx="0">
                  <c:v>Bebouwde percelen</c:v>
                </c:pt>
              </c:strCache>
            </c:strRef>
          </c:tx>
          <c:spPr>
            <a:ln w="28575" cap="rnd">
              <a:solidFill>
                <a:schemeClr val="accent1"/>
              </a:solidFill>
              <a:round/>
            </a:ln>
            <a:effectLst/>
          </c:spPr>
          <c:marker>
            <c:symbol val="none"/>
          </c:marker>
          <c:cat>
            <c:numRef>
              <c:extLst>
                <c:ext xmlns:c15="http://schemas.microsoft.com/office/drawing/2012/chart" uri="{02D57815-91ED-43cb-92C2-25804820EDAC}">
                  <c15:fullRef>
                    <c15:sqref>'F-KI'!$B$4:$AE$4</c15:sqref>
                  </c15:fullRef>
                </c:ext>
              </c:extLst>
              <c:f>'F-KI'!$C$4:$AE$4</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extLst>
                <c:ext xmlns:c15="http://schemas.microsoft.com/office/drawing/2012/chart" uri="{02D57815-91ED-43cb-92C2-25804820EDAC}">
                  <c15:fullRef>
                    <c15:sqref>'F-KI'!$B$5:$AE$5</c15:sqref>
                  </c15:fullRef>
                </c:ext>
              </c:extLst>
              <c:f>'F-KI'!$C$5:$AE$5</c:f>
              <c:numCache>
                <c:formatCode>#,##0</c:formatCode>
                <c:ptCount val="19"/>
                <c:pt idx="0">
                  <c:v>6686332</c:v>
                </c:pt>
                <c:pt idx="1">
                  <c:v>6750257</c:v>
                </c:pt>
                <c:pt idx="2">
                  <c:v>6832974</c:v>
                </c:pt>
                <c:pt idx="3">
                  <c:v>6982350</c:v>
                </c:pt>
                <c:pt idx="4">
                  <c:v>7109450</c:v>
                </c:pt>
                <c:pt idx="5">
                  <c:v>7234803</c:v>
                </c:pt>
                <c:pt idx="6">
                  <c:v>7335701</c:v>
                </c:pt>
                <c:pt idx="7">
                  <c:v>7470230</c:v>
                </c:pt>
                <c:pt idx="8">
                  <c:v>7534614</c:v>
                </c:pt>
                <c:pt idx="9">
                  <c:v>7699074</c:v>
                </c:pt>
                <c:pt idx="10">
                  <c:v>7788528</c:v>
                </c:pt>
                <c:pt idx="11">
                  <c:v>7951650</c:v>
                </c:pt>
                <c:pt idx="12">
                  <c:v>8139612</c:v>
                </c:pt>
                <c:pt idx="13">
                  <c:v>8265417</c:v>
                </c:pt>
                <c:pt idx="14">
                  <c:v>8376818</c:v>
                </c:pt>
                <c:pt idx="15">
                  <c:v>8547309</c:v>
                </c:pt>
                <c:pt idx="16">
                  <c:v>8591946</c:v>
                </c:pt>
                <c:pt idx="17">
                  <c:v>8794281</c:v>
                </c:pt>
                <c:pt idx="18">
                  <c:v>8978820</c:v>
                </c:pt>
              </c:numCache>
            </c:numRef>
          </c:val>
          <c:smooth val="0"/>
          <c:extLst>
            <c:ext xmlns:c16="http://schemas.microsoft.com/office/drawing/2014/chart" uri="{C3380CC4-5D6E-409C-BE32-E72D297353CC}">
              <c16:uniqueId val="{00000000-652F-4670-AE4B-7967EC360C16}"/>
            </c:ext>
          </c:extLst>
        </c:ser>
        <c:ser>
          <c:idx val="1"/>
          <c:order val="1"/>
          <c:tx>
            <c:strRef>
              <c:f>'F-KI'!$A$16</c:f>
              <c:strCache>
                <c:ptCount val="1"/>
                <c:pt idx="0">
                  <c:v>Werkelijk belastbaar</c:v>
                </c:pt>
              </c:strCache>
            </c:strRef>
          </c:tx>
          <c:spPr>
            <a:ln w="28575" cap="rnd">
              <a:solidFill>
                <a:schemeClr val="accent2"/>
              </a:solidFill>
              <a:round/>
            </a:ln>
            <a:effectLst/>
          </c:spPr>
          <c:marker>
            <c:symbol val="none"/>
          </c:marker>
          <c:cat>
            <c:numRef>
              <c:extLst>
                <c:ext xmlns:c15="http://schemas.microsoft.com/office/drawing/2012/chart" uri="{02D57815-91ED-43cb-92C2-25804820EDAC}">
                  <c15:fullRef>
                    <c15:sqref>'F-KI'!$B$4:$AE$4</c15:sqref>
                  </c15:fullRef>
                </c:ext>
              </c:extLst>
              <c:f>'F-KI'!$C$4:$AE$4</c:f>
              <c:numCache>
                <c:formatCode>General</c:formatCode>
                <c:ptCount val="19"/>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pt idx="18">
                  <c:v>2021</c:v>
                </c:pt>
              </c:numCache>
            </c:numRef>
          </c:cat>
          <c:val>
            <c:numRef>
              <c:extLst>
                <c:ext xmlns:c15="http://schemas.microsoft.com/office/drawing/2012/chart" uri="{02D57815-91ED-43cb-92C2-25804820EDAC}">
                  <c15:fullRef>
                    <c15:sqref>'F-KI'!$B$16:$AE$16</c15:sqref>
                  </c15:fullRef>
                </c:ext>
              </c:extLst>
              <c:f>'F-KI'!$C$16:$AE$16</c:f>
              <c:numCache>
                <c:formatCode>#,##0</c:formatCode>
                <c:ptCount val="19"/>
                <c:pt idx="0">
                  <c:v>8524386</c:v>
                </c:pt>
                <c:pt idx="1">
                  <c:v>8552159</c:v>
                </c:pt>
                <c:pt idx="2">
                  <c:v>8406921</c:v>
                </c:pt>
                <c:pt idx="3">
                  <c:v>8471917</c:v>
                </c:pt>
                <c:pt idx="4">
                  <c:v>8067142</c:v>
                </c:pt>
                <c:pt idx="5">
                  <c:v>7947509</c:v>
                </c:pt>
                <c:pt idx="6">
                  <c:v>8044997</c:v>
                </c:pt>
                <c:pt idx="7">
                  <c:v>8167586</c:v>
                </c:pt>
                <c:pt idx="8">
                  <c:v>8169165</c:v>
                </c:pt>
                <c:pt idx="9">
                  <c:v>8137967</c:v>
                </c:pt>
                <c:pt idx="10">
                  <c:v>7965823</c:v>
                </c:pt>
                <c:pt idx="11">
                  <c:v>8080039</c:v>
                </c:pt>
                <c:pt idx="12">
                  <c:v>8254107</c:v>
                </c:pt>
                <c:pt idx="13">
                  <c:v>8376426</c:v>
                </c:pt>
                <c:pt idx="14">
                  <c:v>8288451</c:v>
                </c:pt>
                <c:pt idx="15">
                  <c:v>8434103</c:v>
                </c:pt>
                <c:pt idx="16">
                  <c:v>8439950</c:v>
                </c:pt>
                <c:pt idx="17">
                  <c:v>8624846</c:v>
                </c:pt>
                <c:pt idx="18">
                  <c:v>8805941</c:v>
                </c:pt>
              </c:numCache>
            </c:numRef>
          </c:val>
          <c:smooth val="0"/>
          <c:extLst>
            <c:ext xmlns:c16="http://schemas.microsoft.com/office/drawing/2014/chart" uri="{C3380CC4-5D6E-409C-BE32-E72D297353CC}">
              <c16:uniqueId val="{00000001-652F-4670-AE4B-7967EC360C16}"/>
            </c:ext>
          </c:extLst>
        </c:ser>
        <c:dLbls>
          <c:showLegendKey val="0"/>
          <c:showVal val="0"/>
          <c:showCatName val="0"/>
          <c:showSerName val="0"/>
          <c:showPercent val="0"/>
          <c:showBubbleSize val="0"/>
        </c:dLbls>
        <c:smooth val="0"/>
        <c:axId val="747438352"/>
        <c:axId val="747435728"/>
      </c:lineChart>
      <c:catAx>
        <c:axId val="747438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747435728"/>
        <c:crosses val="autoZero"/>
        <c:auto val="1"/>
        <c:lblAlgn val="ctr"/>
        <c:lblOffset val="100"/>
        <c:noMultiLvlLbl val="0"/>
      </c:catAx>
      <c:valAx>
        <c:axId val="7474357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7474383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barChart>
        <c:barDir val="col"/>
        <c:grouping val="clustered"/>
        <c:varyColors val="0"/>
        <c:ser>
          <c:idx val="0"/>
          <c:order val="0"/>
          <c:tx>
            <c:strRef>
              <c:f>'F-Kohier'!$B$117</c:f>
              <c:strCache>
                <c:ptCount val="1"/>
                <c:pt idx="0">
                  <c:v>Code</c:v>
                </c:pt>
              </c:strCache>
            </c:strRef>
          </c:tx>
          <c:spPr>
            <a:solidFill>
              <a:schemeClr val="accent1"/>
            </a:solidFill>
            <a:ln>
              <a:noFill/>
            </a:ln>
            <a:effectLst/>
          </c:spPr>
          <c:invertIfNegative val="0"/>
          <c:cat>
            <c:multiLvlStrRef>
              <c:f>'F-Kohier'!$A$118:$A$149</c:f>
            </c:multiLvlStrRef>
          </c:cat>
          <c:val>
            <c:numRef>
              <c:f>'F-Kohier'!$B$118:$B$149</c:f>
            </c:numRef>
          </c:val>
          <c:extLst>
            <c:ext xmlns:c16="http://schemas.microsoft.com/office/drawing/2014/chart" uri="{C3380CC4-5D6E-409C-BE32-E72D297353CC}">
              <c16:uniqueId val="{00000000-5EFD-4B19-99B1-54DBD5B14A19}"/>
            </c:ext>
          </c:extLst>
        </c:ser>
        <c:ser>
          <c:idx val="1"/>
          <c:order val="1"/>
          <c:tx>
            <c:strRef>
              <c:f>'F-Kohier'!$C$117</c:f>
              <c:strCache>
                <c:ptCount val="1"/>
                <c:pt idx="0">
                  <c:v>Planning</c:v>
                </c:pt>
              </c:strCache>
            </c:strRef>
          </c:tx>
          <c:spPr>
            <a:solidFill>
              <a:schemeClr val="accent2"/>
            </a:solidFill>
            <a:ln>
              <a:noFill/>
            </a:ln>
            <a:effectLst/>
          </c:spPr>
          <c:invertIfNegative val="0"/>
          <c:cat>
            <c:multiLvlStrRef>
              <c:f>'F-Kohier'!$A$118:$A$149</c:f>
            </c:multiLvlStrRef>
          </c:cat>
          <c:val>
            <c:numRef>
              <c:f>'F-Kohier'!$C$118:$C$149</c:f>
            </c:numRef>
          </c:val>
          <c:extLst>
            <c:ext xmlns:c16="http://schemas.microsoft.com/office/drawing/2014/chart" uri="{C3380CC4-5D6E-409C-BE32-E72D297353CC}">
              <c16:uniqueId val="{00000001-5EFD-4B19-99B1-54DBD5B14A19}"/>
            </c:ext>
          </c:extLst>
        </c:ser>
        <c:ser>
          <c:idx val="2"/>
          <c:order val="2"/>
          <c:tx>
            <c:strRef>
              <c:f>'F-Kohier'!$D$117</c:f>
              <c:strCache>
                <c:ptCount val="1"/>
                <c:pt idx="0">
                  <c:v>Kohier</c:v>
                </c:pt>
              </c:strCache>
            </c:strRef>
          </c:tx>
          <c:spPr>
            <a:solidFill>
              <a:schemeClr val="accent3"/>
            </a:solidFill>
            <a:ln>
              <a:noFill/>
            </a:ln>
            <a:effectLst/>
          </c:spPr>
          <c:invertIfNegative val="0"/>
          <c:cat>
            <c:multiLvlStrRef>
              <c:f>'F-Kohier'!$A$118:$A$149</c:f>
            </c:multiLvlStrRef>
          </c:cat>
          <c:val>
            <c:numRef>
              <c:f>'F-Kohier'!$D$118:$D$149</c:f>
            </c:numRef>
          </c:val>
          <c:extLst>
            <c:ext xmlns:c16="http://schemas.microsoft.com/office/drawing/2014/chart" uri="{C3380CC4-5D6E-409C-BE32-E72D297353CC}">
              <c16:uniqueId val="{00000002-5EFD-4B19-99B1-54DBD5B14A19}"/>
            </c:ext>
          </c:extLst>
        </c:ser>
        <c:ser>
          <c:idx val="3"/>
          <c:order val="3"/>
          <c:tx>
            <c:strRef>
              <c:f>'F-Kohier'!$E$117</c:f>
              <c:strCache>
                <c:ptCount val="1"/>
                <c:pt idx="0">
                  <c:v>Aanslagbilj.</c:v>
                </c:pt>
              </c:strCache>
            </c:strRef>
          </c:tx>
          <c:spPr>
            <a:solidFill>
              <a:schemeClr val="accent4"/>
            </a:solidFill>
            <a:ln>
              <a:noFill/>
            </a:ln>
            <a:effectLst/>
          </c:spPr>
          <c:invertIfNegative val="0"/>
          <c:cat>
            <c:multiLvlStrRef>
              <c:f>'F-Kohier'!$A$118:$A$149</c:f>
            </c:multiLvlStrRef>
          </c:cat>
          <c:val>
            <c:numRef>
              <c:f>'F-Kohier'!$E$118:$E$149</c:f>
            </c:numRef>
          </c:val>
          <c:extLst>
            <c:ext xmlns:c16="http://schemas.microsoft.com/office/drawing/2014/chart" uri="{C3380CC4-5D6E-409C-BE32-E72D297353CC}">
              <c16:uniqueId val="{00000003-5EFD-4B19-99B1-54DBD5B14A19}"/>
            </c:ext>
          </c:extLst>
        </c:ser>
        <c:ser>
          <c:idx val="4"/>
          <c:order val="4"/>
          <c:tx>
            <c:strRef>
              <c:f>'F-Kohier'!$F$117</c:f>
              <c:strCache>
                <c:ptCount val="1"/>
                <c:pt idx="0">
                  <c:v>Aanman.</c:v>
                </c:pt>
              </c:strCache>
            </c:strRef>
          </c:tx>
          <c:spPr>
            <a:solidFill>
              <a:schemeClr val="accent5"/>
            </a:solidFill>
            <a:ln>
              <a:noFill/>
            </a:ln>
            <a:effectLst/>
          </c:spPr>
          <c:invertIfNegative val="0"/>
          <c:cat>
            <c:multiLvlStrRef>
              <c:f>'F-Kohier'!$A$118:$A$149</c:f>
            </c:multiLvlStrRef>
          </c:cat>
          <c:val>
            <c:numRef>
              <c:f>'F-Kohier'!$F$118:$F$149</c:f>
            </c:numRef>
          </c:val>
          <c:extLst>
            <c:ext xmlns:c16="http://schemas.microsoft.com/office/drawing/2014/chart" uri="{C3380CC4-5D6E-409C-BE32-E72D297353CC}">
              <c16:uniqueId val="{00000004-5EFD-4B19-99B1-54DBD5B14A19}"/>
            </c:ext>
          </c:extLst>
        </c:ser>
        <c:ser>
          <c:idx val="5"/>
          <c:order val="5"/>
          <c:tx>
            <c:strRef>
              <c:f>'F-Kohier'!$G$117</c:f>
              <c:strCache>
                <c:ptCount val="1"/>
                <c:pt idx="0">
                  <c:v>Waarsch.</c:v>
                </c:pt>
              </c:strCache>
            </c:strRef>
          </c:tx>
          <c:spPr>
            <a:solidFill>
              <a:schemeClr val="accent6"/>
            </a:solidFill>
            <a:ln>
              <a:noFill/>
            </a:ln>
            <a:effectLst/>
          </c:spPr>
          <c:invertIfNegative val="0"/>
          <c:cat>
            <c:multiLvlStrRef>
              <c:f>'F-Kohier'!$A$118:$A$149</c:f>
            </c:multiLvlStrRef>
          </c:cat>
          <c:val>
            <c:numRef>
              <c:f>'F-Kohier'!$G$118:$G$149</c:f>
            </c:numRef>
          </c:val>
          <c:extLst>
            <c:ext xmlns:c16="http://schemas.microsoft.com/office/drawing/2014/chart" uri="{C3380CC4-5D6E-409C-BE32-E72D297353CC}">
              <c16:uniqueId val="{00000005-5EFD-4B19-99B1-54DBD5B14A19}"/>
            </c:ext>
          </c:extLst>
        </c:ser>
        <c:ser>
          <c:idx val="6"/>
          <c:order val="6"/>
          <c:tx>
            <c:strRef>
              <c:f>'F-Kohier'!$H$117</c:f>
              <c:strCache>
                <c:ptCount val="1"/>
                <c:pt idx="0">
                  <c:v>Aanget.</c:v>
                </c:pt>
              </c:strCache>
            </c:strRef>
          </c:tx>
          <c:spPr>
            <a:solidFill>
              <a:schemeClr val="accent1">
                <a:lumMod val="60000"/>
              </a:schemeClr>
            </a:solidFill>
            <a:ln>
              <a:noFill/>
            </a:ln>
            <a:effectLst/>
          </c:spPr>
          <c:invertIfNegative val="0"/>
          <c:cat>
            <c:multiLvlStrRef>
              <c:f>'F-Kohier'!$A$118:$A$149</c:f>
            </c:multiLvlStrRef>
          </c:cat>
          <c:val>
            <c:numRef>
              <c:f>'F-Kohier'!$H$118:$H$149</c:f>
            </c:numRef>
          </c:val>
          <c:extLst>
            <c:ext xmlns:c16="http://schemas.microsoft.com/office/drawing/2014/chart" uri="{C3380CC4-5D6E-409C-BE32-E72D297353CC}">
              <c16:uniqueId val="{00000006-5EFD-4B19-99B1-54DBD5B14A19}"/>
            </c:ext>
          </c:extLst>
        </c:ser>
        <c:ser>
          <c:idx val="7"/>
          <c:order val="7"/>
          <c:tx>
            <c:strRef>
              <c:f>'F-Kohier'!$I$117</c:f>
              <c:strCache>
                <c:ptCount val="1"/>
                <c:pt idx="0">
                  <c:v>Deurw.</c:v>
                </c:pt>
              </c:strCache>
            </c:strRef>
          </c:tx>
          <c:spPr>
            <a:solidFill>
              <a:schemeClr val="accent2">
                <a:lumMod val="60000"/>
              </a:schemeClr>
            </a:solidFill>
            <a:ln>
              <a:noFill/>
            </a:ln>
            <a:effectLst/>
          </c:spPr>
          <c:invertIfNegative val="0"/>
          <c:cat>
            <c:multiLvlStrRef>
              <c:f>'F-Kohier'!$A$118:$A$149</c:f>
            </c:multiLvlStrRef>
          </c:cat>
          <c:val>
            <c:numRef>
              <c:f>'F-Kohier'!$I$118:$I$149</c:f>
            </c:numRef>
          </c:val>
          <c:extLst>
            <c:ext xmlns:c16="http://schemas.microsoft.com/office/drawing/2014/chart" uri="{C3380CC4-5D6E-409C-BE32-E72D297353CC}">
              <c16:uniqueId val="{00000007-5EFD-4B19-99B1-54DBD5B14A19}"/>
            </c:ext>
          </c:extLst>
        </c:ser>
        <c:ser>
          <c:idx val="8"/>
          <c:order val="8"/>
          <c:tx>
            <c:strRef>
              <c:f>'F-Kohier'!$J$117</c:f>
              <c:strCache>
                <c:ptCount val="1"/>
                <c:pt idx="0">
                  <c:v>Kohier</c:v>
                </c:pt>
              </c:strCache>
            </c:strRef>
          </c:tx>
          <c:spPr>
            <a:solidFill>
              <a:schemeClr val="accent3">
                <a:lumMod val="60000"/>
              </a:schemeClr>
            </a:solidFill>
            <a:ln>
              <a:noFill/>
            </a:ln>
            <a:effectLst/>
          </c:spPr>
          <c:invertIfNegative val="0"/>
          <c:cat>
            <c:multiLvlStrRef>
              <c:f>'F-Kohier'!$A$118:$A$149</c:f>
            </c:multiLvlStrRef>
          </c:cat>
          <c:val>
            <c:numRef>
              <c:f>'F-Kohier'!$J$118:$J$149</c:f>
            </c:numRef>
          </c:val>
          <c:extLst>
            <c:ext xmlns:c16="http://schemas.microsoft.com/office/drawing/2014/chart" uri="{C3380CC4-5D6E-409C-BE32-E72D297353CC}">
              <c16:uniqueId val="{00000008-5EFD-4B19-99B1-54DBD5B14A19}"/>
            </c:ext>
          </c:extLst>
        </c:ser>
        <c:dLbls>
          <c:showLegendKey val="0"/>
          <c:showVal val="0"/>
          <c:showCatName val="0"/>
          <c:showSerName val="0"/>
          <c:showPercent val="0"/>
          <c:showBubbleSize val="0"/>
        </c:dLbls>
        <c:gapWidth val="219"/>
        <c:overlap val="-27"/>
        <c:axId val="526779768"/>
        <c:axId val="526780096"/>
      </c:barChart>
      <c:catAx>
        <c:axId val="526779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26780096"/>
        <c:crosses val="autoZero"/>
        <c:auto val="1"/>
        <c:lblAlgn val="ctr"/>
        <c:lblOffset val="100"/>
        <c:noMultiLvlLbl val="0"/>
      </c:catAx>
      <c:valAx>
        <c:axId val="526780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crossAx val="526779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1"/>
          <c:order val="0"/>
          <c:tx>
            <c:strRef>
              <c:f>F.dotatie!$B$3</c:f>
              <c:strCache>
                <c:ptCount val="1"/>
                <c:pt idx="0">
                  <c:v>OCMW</c:v>
                </c:pt>
              </c:strCache>
            </c:strRef>
          </c:tx>
          <c:marker>
            <c:symbol val="none"/>
          </c:marker>
          <c:cat>
            <c:numRef>
              <c:f>F.dotatie!$A$4:$A$32</c:f>
              <c:numCache>
                <c:formatCode>General</c:formatCode>
                <c:ptCount val="29"/>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pt idx="24">
                  <c:v>2019</c:v>
                </c:pt>
                <c:pt idx="25">
                  <c:v>2020</c:v>
                </c:pt>
                <c:pt idx="26">
                  <c:v>2021</c:v>
                </c:pt>
                <c:pt idx="27">
                  <c:v>2022</c:v>
                </c:pt>
                <c:pt idx="28">
                  <c:v>2023</c:v>
                </c:pt>
              </c:numCache>
            </c:numRef>
          </c:cat>
          <c:val>
            <c:numRef>
              <c:f>F.dotatie!$B$4:$B$32</c:f>
              <c:numCache>
                <c:formatCode>#,##0</c:formatCode>
                <c:ptCount val="29"/>
                <c:pt idx="0">
                  <c:v>765890</c:v>
                </c:pt>
                <c:pt idx="1">
                  <c:v>903590</c:v>
                </c:pt>
                <c:pt idx="2">
                  <c:v>1059957</c:v>
                </c:pt>
                <c:pt idx="3">
                  <c:v>1181824</c:v>
                </c:pt>
                <c:pt idx="4">
                  <c:v>1184371</c:v>
                </c:pt>
                <c:pt idx="5">
                  <c:v>1281372</c:v>
                </c:pt>
                <c:pt idx="6">
                  <c:v>1244897</c:v>
                </c:pt>
                <c:pt idx="7">
                  <c:v>1349621</c:v>
                </c:pt>
                <c:pt idx="8">
                  <c:v>1390964</c:v>
                </c:pt>
                <c:pt idx="9">
                  <c:v>1422274</c:v>
                </c:pt>
                <c:pt idx="10">
                  <c:v>1479104</c:v>
                </c:pt>
                <c:pt idx="11">
                  <c:v>1558269</c:v>
                </c:pt>
                <c:pt idx="12">
                  <c:v>1595742</c:v>
                </c:pt>
                <c:pt idx="13">
                  <c:v>1643614</c:v>
                </c:pt>
                <c:pt idx="14">
                  <c:v>1692922</c:v>
                </c:pt>
                <c:pt idx="15">
                  <c:v>1555047</c:v>
                </c:pt>
                <c:pt idx="16">
                  <c:v>1734601</c:v>
                </c:pt>
                <c:pt idx="17">
                  <c:v>1850543</c:v>
                </c:pt>
                <c:pt idx="18">
                  <c:v>1905400</c:v>
                </c:pt>
                <c:pt idx="19">
                  <c:v>1943508</c:v>
                </c:pt>
                <c:pt idx="20">
                  <c:v>1104289</c:v>
                </c:pt>
                <c:pt idx="21">
                  <c:v>1250000</c:v>
                </c:pt>
                <c:pt idx="22">
                  <c:v>1500000</c:v>
                </c:pt>
                <c:pt idx="23">
                  <c:v>1650000</c:v>
                </c:pt>
                <c:pt idx="24">
                  <c:v>1650000</c:v>
                </c:pt>
                <c:pt idx="25">
                  <c:v>1887000</c:v>
                </c:pt>
                <c:pt idx="26">
                  <c:v>1924740</c:v>
                </c:pt>
                <c:pt idx="27">
                  <c:v>1963234.8</c:v>
                </c:pt>
                <c:pt idx="28">
                  <c:v>2002499.496</c:v>
                </c:pt>
              </c:numCache>
            </c:numRef>
          </c:val>
          <c:smooth val="0"/>
          <c:extLst>
            <c:ext xmlns:c16="http://schemas.microsoft.com/office/drawing/2014/chart" uri="{C3380CC4-5D6E-409C-BE32-E72D297353CC}">
              <c16:uniqueId val="{00000000-6DBB-46F9-93EA-0F3DCFF1EABB}"/>
            </c:ext>
          </c:extLst>
        </c:ser>
        <c:dLbls>
          <c:showLegendKey val="0"/>
          <c:showVal val="0"/>
          <c:showCatName val="0"/>
          <c:showSerName val="0"/>
          <c:showPercent val="0"/>
          <c:showBubbleSize val="0"/>
        </c:dLbls>
        <c:smooth val="0"/>
        <c:axId val="128792448"/>
        <c:axId val="128793984"/>
      </c:lineChart>
      <c:catAx>
        <c:axId val="128792448"/>
        <c:scaling>
          <c:orientation val="minMax"/>
        </c:scaling>
        <c:delete val="0"/>
        <c:axPos val="b"/>
        <c:numFmt formatCode="General" sourceLinked="1"/>
        <c:majorTickMark val="out"/>
        <c:minorTickMark val="none"/>
        <c:tickLblPos val="nextTo"/>
        <c:crossAx val="128793984"/>
        <c:crosses val="autoZero"/>
        <c:auto val="1"/>
        <c:lblAlgn val="ctr"/>
        <c:lblOffset val="100"/>
        <c:noMultiLvlLbl val="0"/>
      </c:catAx>
      <c:valAx>
        <c:axId val="128793984"/>
        <c:scaling>
          <c:orientation val="minMax"/>
        </c:scaling>
        <c:delete val="0"/>
        <c:axPos val="l"/>
        <c:majorGridlines/>
        <c:numFmt formatCode="#,##0" sourceLinked="1"/>
        <c:majorTickMark val="out"/>
        <c:minorTickMark val="none"/>
        <c:tickLblPos val="nextTo"/>
        <c:crossAx val="1287924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'F-Taartjes'!$B$5</c:f>
              <c:strCache>
                <c:ptCount val="1"/>
                <c:pt idx="0">
                  <c:v>STAD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33A-4B44-B839-81716B9623E1}"/>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33A-4B44-B839-81716B9623E1}"/>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33A-4B44-B839-81716B9623E1}"/>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33A-4B44-B839-81716B9623E1}"/>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733A-4B44-B839-81716B9623E1}"/>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733A-4B44-B839-81716B9623E1}"/>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'F-Taartjes'!$A$6:$A$11</c:f>
              <c:strCache>
                <c:ptCount val="6"/>
                <c:pt idx="0">
                  <c:v>Goed&amp;diensten</c:v>
                </c:pt>
                <c:pt idx="1">
                  <c:v>Personeel</c:v>
                </c:pt>
                <c:pt idx="2">
                  <c:v>Kosten sociale dienst</c:v>
                </c:pt>
                <c:pt idx="3">
                  <c:v>Werkingssubsidies</c:v>
                </c:pt>
                <c:pt idx="4">
                  <c:v>Andere</c:v>
                </c:pt>
                <c:pt idx="5">
                  <c:v>Financieel</c:v>
                </c:pt>
              </c:strCache>
            </c:strRef>
          </c:cat>
          <c:val>
            <c:numRef>
              <c:f>'F-Taartjes'!$B$6:$B$11</c:f>
              <c:numCache>
                <c:formatCode>#,##0</c:formatCode>
                <c:ptCount val="6"/>
                <c:pt idx="0">
                  <c:v>5060880</c:v>
                </c:pt>
                <c:pt idx="1">
                  <c:v>9847715</c:v>
                </c:pt>
                <c:pt idx="2">
                  <c:v>0</c:v>
                </c:pt>
                <c:pt idx="3">
                  <c:v>2895770</c:v>
                </c:pt>
                <c:pt idx="4">
                  <c:v>730791</c:v>
                </c:pt>
                <c:pt idx="5">
                  <c:v>290266</c:v>
                </c:pt>
              </c:numCache>
            </c:numRef>
          </c:val>
          <c:extLst>
            <c:ext xmlns:c16="http://schemas.microsoft.com/office/drawing/2014/chart" uri="{C3380CC4-5D6E-409C-BE32-E72D297353CC}">
              <c16:uniqueId val="{0000000C-733A-4B44-B839-81716B9623E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'F-Taartjes'!$C$5</c:f>
              <c:strCache>
                <c:ptCount val="1"/>
                <c:pt idx="0">
                  <c:v>OCMW</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ED7-4563-901D-2DBD3FB766C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ED7-4563-901D-2DBD3FB766C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ED7-4563-901D-2DBD3FB766C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ED7-4563-901D-2DBD3FB766C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ED7-4563-901D-2DBD3FB766C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ED7-4563-901D-2DBD3FB766C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'F-Taartjes'!$A$6:$A$11</c:f>
              <c:strCache>
                <c:ptCount val="6"/>
                <c:pt idx="0">
                  <c:v>Goed&amp;diensten</c:v>
                </c:pt>
                <c:pt idx="1">
                  <c:v>Personeel</c:v>
                </c:pt>
                <c:pt idx="2">
                  <c:v>Kosten sociale dienst</c:v>
                </c:pt>
                <c:pt idx="3">
                  <c:v>Werkingssubsidies</c:v>
                </c:pt>
                <c:pt idx="4">
                  <c:v>Andere</c:v>
                </c:pt>
                <c:pt idx="5">
                  <c:v>Financieel</c:v>
                </c:pt>
              </c:strCache>
            </c:strRef>
          </c:cat>
          <c:val>
            <c:numRef>
              <c:f>'F-Taartjes'!$C$6:$C$11</c:f>
              <c:numCache>
                <c:formatCode>#,##0</c:formatCode>
                <c:ptCount val="6"/>
                <c:pt idx="0">
                  <c:v>3253663</c:v>
                </c:pt>
                <c:pt idx="1">
                  <c:v>14034415</c:v>
                </c:pt>
                <c:pt idx="2">
                  <c:v>955471</c:v>
                </c:pt>
                <c:pt idx="3">
                  <c:v>61524</c:v>
                </c:pt>
                <c:pt idx="4">
                  <c:v>99829</c:v>
                </c:pt>
                <c:pt idx="5">
                  <c:v>3234</c:v>
                </c:pt>
              </c:numCache>
            </c:numRef>
          </c:val>
          <c:extLst>
            <c:ext xmlns:c16="http://schemas.microsoft.com/office/drawing/2014/chart" uri="{C3380CC4-5D6E-409C-BE32-E72D297353CC}">
              <c16:uniqueId val="{0000000C-6ED7-4563-901D-2DBD3FB766CC}"/>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'F-Taartjes'!$D$5</c:f>
              <c:strCache>
                <c:ptCount val="1"/>
                <c:pt idx="0">
                  <c:v>AGB</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2C9F-4E82-8AB1-A66DD923DE5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2C9F-4E82-8AB1-A66DD923DE5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2C9F-4E82-8AB1-A66DD923DE5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2C9F-4E82-8AB1-A66DD923DE58}"/>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2C9F-4E82-8AB1-A66DD923DE58}"/>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2C9F-4E82-8AB1-A66DD923DE58}"/>
              </c:ext>
            </c:extLst>
          </c:dPt>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C9F-4E82-8AB1-A66DD923DE58}"/>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C9F-4E82-8AB1-A66DD923DE5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0"/>
            <c:showCatName val="0"/>
            <c:showSerName val="0"/>
            <c:showPercent val="0"/>
            <c:showBubbleSize val="0"/>
            <c:extLst>
              <c:ext xmlns:c15="http://schemas.microsoft.com/office/drawing/2012/chart" uri="{CE6537A1-D6FC-4f65-9D91-7224C49458BB}"/>
            </c:extLst>
          </c:dLbls>
          <c:cat>
            <c:strRef>
              <c:f>'F-Taartjes'!$A$6:$A$11</c:f>
              <c:strCache>
                <c:ptCount val="6"/>
                <c:pt idx="0">
                  <c:v>Goed&amp;diensten</c:v>
                </c:pt>
                <c:pt idx="1">
                  <c:v>Personeel</c:v>
                </c:pt>
                <c:pt idx="2">
                  <c:v>Kosten sociale dienst</c:v>
                </c:pt>
                <c:pt idx="3">
                  <c:v>Werkingssubsidies</c:v>
                </c:pt>
                <c:pt idx="4">
                  <c:v>Andere</c:v>
                </c:pt>
                <c:pt idx="5">
                  <c:v>Financieel</c:v>
                </c:pt>
              </c:strCache>
            </c:strRef>
          </c:cat>
          <c:val>
            <c:numRef>
              <c:f>'F-Taartjes'!$D$6:$D$11</c:f>
              <c:numCache>
                <c:formatCode>General</c:formatCode>
                <c:ptCount val="6"/>
                <c:pt idx="0" formatCode="#,##0">
                  <c:v>462663</c:v>
                </c:pt>
                <c:pt idx="1">
                  <c:v>0</c:v>
                </c:pt>
                <c:pt idx="2">
                  <c:v>0</c:v>
                </c:pt>
                <c:pt idx="3">
                  <c:v>0</c:v>
                </c:pt>
                <c:pt idx="4" formatCode="#,##0">
                  <c:v>21352</c:v>
                </c:pt>
                <c:pt idx="5">
                  <c:v>656</c:v>
                </c:pt>
              </c:numCache>
            </c:numRef>
          </c:val>
          <c:extLst>
            <c:ext xmlns:c16="http://schemas.microsoft.com/office/drawing/2014/chart" uri="{C3380CC4-5D6E-409C-BE32-E72D297353CC}">
              <c16:uniqueId val="{0000000C-2C9F-4E82-8AB1-A66DD923DE58}"/>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'F-Taartjes'!$O$5</c:f>
              <c:strCache>
                <c:ptCount val="1"/>
                <c:pt idx="0">
                  <c:v>STAD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8A4-49B3-B0FF-40D3DF54924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8A4-49B3-B0FF-40D3DF54924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8A4-49B3-B0FF-40D3DF54924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8A4-49B3-B0FF-40D3DF54924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8A4-49B3-B0FF-40D3DF54924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8A4-49B3-B0FF-40D3DF5492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'F-Taartjes'!$N$6:$N$11</c:f>
              <c:strCache>
                <c:ptCount val="6"/>
                <c:pt idx="0">
                  <c:v>Ontvangsten werking</c:v>
                </c:pt>
                <c:pt idx="1">
                  <c:v>Fiscale ontvangsten </c:v>
                </c:pt>
                <c:pt idx="2">
                  <c:v>Werkingssubsidies</c:v>
                </c:pt>
                <c:pt idx="3">
                  <c:v>Recup kosten SD</c:v>
                </c:pt>
                <c:pt idx="4">
                  <c:v>Andere </c:v>
                </c:pt>
                <c:pt idx="5">
                  <c:v>Financieel</c:v>
                </c:pt>
              </c:strCache>
            </c:strRef>
          </c:cat>
          <c:val>
            <c:numRef>
              <c:f>'F-Taartjes'!$O$6:$O$11</c:f>
              <c:numCache>
                <c:formatCode>#,##0</c:formatCode>
                <c:ptCount val="6"/>
                <c:pt idx="0">
                  <c:v>883508</c:v>
                </c:pt>
                <c:pt idx="1">
                  <c:v>12400585</c:v>
                </c:pt>
                <c:pt idx="2">
                  <c:v>10028242</c:v>
                </c:pt>
                <c:pt idx="4">
                  <c:v>154729</c:v>
                </c:pt>
                <c:pt idx="5">
                  <c:v>1496510</c:v>
                </c:pt>
              </c:numCache>
            </c:numRef>
          </c:val>
          <c:extLst>
            <c:ext xmlns:c16="http://schemas.microsoft.com/office/drawing/2014/chart" uri="{C3380CC4-5D6E-409C-BE32-E72D297353CC}">
              <c16:uniqueId val="{0000000C-68A4-49B3-B0FF-40D3DF549249}"/>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nl-BE"/>
              <a:t>Algemene Cijfers</a:t>
            </a:r>
          </a:p>
        </c:rich>
      </c:tx>
      <c:overlay val="0"/>
    </c:title>
    <c:autoTitleDeleted val="0"/>
    <c:plotArea>
      <c:layout/>
      <c:barChart>
        <c:barDir val="col"/>
        <c:grouping val="stacked"/>
        <c:varyColors val="0"/>
        <c:ser>
          <c:idx val="0"/>
          <c:order val="0"/>
          <c:tx>
            <c:v>Volwassenen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52</c:v>
              </c:pt>
              <c:pt idx="1">
                <c:v>69</c:v>
              </c:pt>
              <c:pt idx="2">
                <c:v>127</c:v>
              </c:pt>
              <c:pt idx="3">
                <c:v>160</c:v>
              </c:pt>
              <c:pt idx="4">
                <c:v>124</c:v>
              </c:pt>
              <c:pt idx="5">
                <c:v>136</c:v>
              </c:pt>
              <c:pt idx="6">
                <c:v>224</c:v>
              </c:pt>
              <c:pt idx="7">
                <c:v>243</c:v>
              </c:pt>
              <c:pt idx="8">
                <c:v>127</c:v>
              </c:pt>
              <c:pt idx="9">
                <c:v>86</c:v>
              </c:pt>
              <c:pt idx="10">
                <c:v>121</c:v>
              </c:pt>
              <c:pt idx="11">
                <c:v>55</c:v>
              </c:pt>
            </c:numLit>
          </c:val>
          <c:extLst>
            <c:ext xmlns:c16="http://schemas.microsoft.com/office/drawing/2014/chart" uri="{C3380CC4-5D6E-409C-BE32-E72D297353CC}">
              <c16:uniqueId val="{00000000-1B68-4505-9EB2-62B1D4AE244A}"/>
            </c:ext>
          </c:extLst>
        </c:ser>
        <c:ser>
          <c:idx val="1"/>
          <c:order val="1"/>
          <c:tx>
            <c:v>Senioren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36</c:v>
              </c:pt>
              <c:pt idx="1">
                <c:v>40</c:v>
              </c:pt>
              <c:pt idx="2">
                <c:v>96</c:v>
              </c:pt>
              <c:pt idx="3">
                <c:v>136</c:v>
              </c:pt>
              <c:pt idx="4">
                <c:v>144</c:v>
              </c:pt>
              <c:pt idx="5">
                <c:v>188</c:v>
              </c:pt>
              <c:pt idx="6">
                <c:v>151</c:v>
              </c:pt>
              <c:pt idx="7">
                <c:v>204</c:v>
              </c:pt>
              <c:pt idx="8">
                <c:v>193</c:v>
              </c:pt>
              <c:pt idx="9">
                <c:v>169</c:v>
              </c:pt>
              <c:pt idx="10">
                <c:v>125</c:v>
              </c:pt>
              <c:pt idx="11">
                <c:v>52</c:v>
              </c:pt>
            </c:numLit>
          </c:val>
          <c:extLst>
            <c:ext xmlns:c16="http://schemas.microsoft.com/office/drawing/2014/chart" uri="{C3380CC4-5D6E-409C-BE32-E72D297353CC}">
              <c16:uniqueId val="{00000001-1B68-4505-9EB2-62B1D4AE244A}"/>
            </c:ext>
          </c:extLst>
        </c:ser>
        <c:ser>
          <c:idx val="2"/>
          <c:order val="2"/>
          <c:tx>
            <c:v>7 - 18 jaar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5</c:v>
              </c:pt>
              <c:pt idx="1">
                <c:v>16</c:v>
              </c:pt>
              <c:pt idx="2">
                <c:v>5</c:v>
              </c:pt>
              <c:pt idx="3">
                <c:v>36</c:v>
              </c:pt>
              <c:pt idx="4">
                <c:v>25</c:v>
              </c:pt>
              <c:pt idx="5">
                <c:v>4</c:v>
              </c:pt>
              <c:pt idx="6">
                <c:v>70</c:v>
              </c:pt>
              <c:pt idx="7">
                <c:v>84</c:v>
              </c:pt>
              <c:pt idx="8">
                <c:v>17</c:v>
              </c:pt>
              <c:pt idx="9">
                <c:v>18</c:v>
              </c:pt>
              <c:pt idx="10">
                <c:v>13</c:v>
              </c:pt>
              <c:pt idx="11">
                <c:v>12</c:v>
              </c:pt>
            </c:numLit>
          </c:val>
          <c:extLst>
            <c:ext xmlns:c16="http://schemas.microsoft.com/office/drawing/2014/chart" uri="{C3380CC4-5D6E-409C-BE32-E72D297353CC}">
              <c16:uniqueId val="{00000002-1B68-4505-9EB2-62B1D4AE244A}"/>
            </c:ext>
          </c:extLst>
        </c:ser>
        <c:ser>
          <c:idx val="3"/>
          <c:order val="3"/>
          <c:tx>
            <c:v>&lt; 7 jaar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val>
          <c:extLst>
            <c:ext xmlns:c16="http://schemas.microsoft.com/office/drawing/2014/chart" uri="{C3380CC4-5D6E-409C-BE32-E72D297353CC}">
              <c16:uniqueId val="{00000003-1B68-4505-9EB2-62B1D4AE244A}"/>
            </c:ext>
          </c:extLst>
        </c:ser>
        <c:ser>
          <c:idx val="4"/>
          <c:order val="4"/>
          <c:tx>
            <c:v>reductietarief (ind)</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18</c:v>
              </c:pt>
              <c:pt idx="1">
                <c:v>22</c:v>
              </c:pt>
              <c:pt idx="2">
                <c:v>35</c:v>
              </c:pt>
              <c:pt idx="3">
                <c:v>50</c:v>
              </c:pt>
              <c:pt idx="4">
                <c:v>68</c:v>
              </c:pt>
              <c:pt idx="5">
                <c:v>37</c:v>
              </c:pt>
              <c:pt idx="6">
                <c:v>79</c:v>
              </c:pt>
              <c:pt idx="7">
                <c:v>111</c:v>
              </c:pt>
              <c:pt idx="8">
                <c:v>51</c:v>
              </c:pt>
              <c:pt idx="9">
                <c:v>50</c:v>
              </c:pt>
              <c:pt idx="10">
                <c:v>45</c:v>
              </c:pt>
              <c:pt idx="11">
                <c:v>35</c:v>
              </c:pt>
            </c:numLit>
          </c:val>
          <c:extLst>
            <c:ext xmlns:c16="http://schemas.microsoft.com/office/drawing/2014/chart" uri="{C3380CC4-5D6E-409C-BE32-E72D297353CC}">
              <c16:uniqueId val="{00000004-1B68-4505-9EB2-62B1D4AE244A}"/>
            </c:ext>
          </c:extLst>
        </c:ser>
        <c:ser>
          <c:idx val="5"/>
          <c:order val="5"/>
          <c:tx>
            <c:v>Volwassenen (groep)</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0</c:v>
              </c:pt>
              <c:pt idx="1">
                <c:v>0</c:v>
              </c:pt>
              <c:pt idx="2">
                <c:v>9</c:v>
              </c:pt>
              <c:pt idx="3">
                <c:v>20</c:v>
              </c:pt>
              <c:pt idx="4">
                <c:v>68</c:v>
              </c:pt>
              <c:pt idx="5">
                <c:v>0</c:v>
              </c:pt>
              <c:pt idx="6">
                <c:v>51</c:v>
              </c:pt>
              <c:pt idx="7">
                <c:v>57</c:v>
              </c:pt>
              <c:pt idx="8">
                <c:v>55</c:v>
              </c:pt>
              <c:pt idx="9">
                <c:v>21</c:v>
              </c:pt>
              <c:pt idx="10">
                <c:v>68</c:v>
              </c:pt>
              <c:pt idx="11">
                <c:v>10</c:v>
              </c:pt>
            </c:numLit>
          </c:val>
          <c:extLst>
            <c:ext xmlns:c16="http://schemas.microsoft.com/office/drawing/2014/chart" uri="{C3380CC4-5D6E-409C-BE32-E72D297353CC}">
              <c16:uniqueId val="{00000005-1B68-4505-9EB2-62B1D4AE244A}"/>
            </c:ext>
          </c:extLst>
        </c:ser>
        <c:ser>
          <c:idx val="6"/>
          <c:order val="6"/>
          <c:tx>
            <c:v>School (groep)</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3</c:v>
              </c:pt>
              <c:pt idx="1">
                <c:v>0</c:v>
              </c:pt>
              <c:pt idx="2">
                <c:v>167</c:v>
              </c:pt>
              <c:pt idx="3">
                <c:v>15</c:v>
              </c:pt>
              <c:pt idx="4">
                <c:v>0</c:v>
              </c:pt>
              <c:pt idx="5">
                <c:v>0</c:v>
              </c:pt>
              <c:pt idx="6">
                <c:v>2</c:v>
              </c:pt>
              <c:pt idx="7">
                <c:v>5</c:v>
              </c:pt>
              <c:pt idx="8">
                <c:v>3</c:v>
              </c:pt>
              <c:pt idx="9">
                <c:v>50</c:v>
              </c:pt>
              <c:pt idx="10">
                <c:v>50</c:v>
              </c:pt>
              <c:pt idx="11">
                <c:v>3</c:v>
              </c:pt>
            </c:numLit>
          </c:val>
          <c:extLst>
            <c:ext xmlns:c16="http://schemas.microsoft.com/office/drawing/2014/chart" uri="{C3380CC4-5D6E-409C-BE32-E72D297353CC}">
              <c16:uniqueId val="{00000006-1B68-4505-9EB2-62B1D4AE244A}"/>
            </c:ext>
          </c:extLst>
        </c:ser>
        <c:ser>
          <c:idx val="7"/>
          <c:order val="7"/>
          <c:tx>
            <c:v>Gratis</c:v>
          </c:tx>
          <c:invertIfNegative val="0"/>
          <c:cat>
            <c:numLit>
              <c:formatCode>General</c:formatCode>
              <c:ptCount val="12"/>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numLit>
          </c:cat>
          <c:val>
            <c:numLit>
              <c:formatCode>General</c:formatCode>
              <c:ptCount val="12"/>
              <c:pt idx="0">
                <c:v>6</c:v>
              </c:pt>
              <c:pt idx="1">
                <c:v>2</c:v>
              </c:pt>
              <c:pt idx="2">
                <c:v>11</c:v>
              </c:pt>
              <c:pt idx="3">
                <c:v>5</c:v>
              </c:pt>
              <c:pt idx="4">
                <c:v>22</c:v>
              </c:pt>
              <c:pt idx="5">
                <c:v>1</c:v>
              </c:pt>
              <c:pt idx="6">
                <c:v>7</c:v>
              </c:pt>
              <c:pt idx="7">
                <c:v>14</c:v>
              </c:pt>
              <c:pt idx="8">
                <c:v>6</c:v>
              </c:pt>
              <c:pt idx="9">
                <c:v>6</c:v>
              </c:pt>
              <c:pt idx="10">
                <c:v>15</c:v>
              </c:pt>
              <c:pt idx="11">
                <c:v>0</c:v>
              </c:pt>
            </c:numLit>
          </c:val>
          <c:extLst>
            <c:ext xmlns:c16="http://schemas.microsoft.com/office/drawing/2014/chart" uri="{C3380CC4-5D6E-409C-BE32-E72D297353CC}">
              <c16:uniqueId val="{00000007-1B68-4505-9EB2-62B1D4AE244A}"/>
            </c:ext>
          </c:extLst>
        </c:ser>
        <c:dLbls>
          <c:showLegendKey val="0"/>
          <c:showVal val="0"/>
          <c:showCatName val="0"/>
          <c:showSerName val="0"/>
          <c:showPercent val="0"/>
          <c:showBubbleSize val="0"/>
        </c:dLbls>
        <c:gapWidth val="55"/>
        <c:overlap val="100"/>
        <c:axId val="677283400"/>
        <c:axId val="1"/>
      </c:barChart>
      <c:catAx>
        <c:axId val="677283400"/>
        <c:scaling>
          <c:orientation val="minMax"/>
        </c:scaling>
        <c:delete val="0"/>
        <c:axPos val="b"/>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1"/>
        <c:crosses val="autoZero"/>
        <c:auto val="1"/>
        <c:lblAlgn val="ctr"/>
        <c:lblOffset val="100"/>
        <c:noMultiLvlLbl val="0"/>
      </c:catAx>
      <c:valAx>
        <c:axId val="1"/>
        <c:scaling>
          <c:orientation val="minMax"/>
        </c:scaling>
        <c:delete val="0"/>
        <c:axPos val="l"/>
        <c:majorGridlines/>
        <c:numFmt formatCode="General"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nl-BE"/>
          </a:p>
        </c:txPr>
        <c:crossAx val="677283400"/>
        <c:crosses val="autoZero"/>
        <c:crossBetween val="between"/>
      </c:valAx>
    </c:plotArea>
    <c:legend>
      <c:legendPos val="r"/>
      <c:layout>
        <c:manualLayout>
          <c:xMode val="edge"/>
          <c:yMode val="edge"/>
          <c:x val="0.79743223965763199"/>
          <c:y val="0.30769256820564922"/>
          <c:w val="0.19400855920114124"/>
          <c:h val="0.47890870961229098"/>
        </c:manualLayout>
      </c:layout>
      <c:overlay val="0"/>
      <c:txPr>
        <a:bodyPr/>
        <a:lstStyle/>
        <a:p>
          <a:pPr>
            <a:defRPr sz="920" b="0" i="0" u="none" strike="noStrike" baseline="0">
              <a:solidFill>
                <a:srgbClr val="000000"/>
              </a:solidFill>
              <a:latin typeface="Calibri"/>
              <a:ea typeface="Calibri"/>
              <a:cs typeface="Calibri"/>
            </a:defRPr>
          </a:pPr>
          <a:endParaRPr lang="nl-BE"/>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nl-BE"/>
    </a:p>
  </c:txPr>
  <c:printSettings>
    <c:headerFooter/>
    <c:pageMargins b="0.75000000000000233" l="0.70000000000000062" r="0.70000000000000062" t="0.75000000000000233"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'F-Taartjes'!$P$5</c:f>
              <c:strCache>
                <c:ptCount val="1"/>
                <c:pt idx="0">
                  <c:v>OCMW</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495-4DB9-A434-7CF2A8148EA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495-4DB9-A434-7CF2A8148EA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495-4DB9-A434-7CF2A8148EA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495-4DB9-A434-7CF2A8148EA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6495-4DB9-A434-7CF2A8148EA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495-4DB9-A434-7CF2A8148EA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'F-Taartjes'!$N$6:$N$11</c:f>
              <c:strCache>
                <c:ptCount val="6"/>
                <c:pt idx="0">
                  <c:v>Ontvangsten werking</c:v>
                </c:pt>
                <c:pt idx="1">
                  <c:v>Fiscale ontvangsten </c:v>
                </c:pt>
                <c:pt idx="2">
                  <c:v>Werkingssubsidies</c:v>
                </c:pt>
                <c:pt idx="3">
                  <c:v>Recup kosten SD</c:v>
                </c:pt>
                <c:pt idx="4">
                  <c:v>Andere </c:v>
                </c:pt>
                <c:pt idx="5">
                  <c:v>Financieel</c:v>
                </c:pt>
              </c:strCache>
            </c:strRef>
          </c:cat>
          <c:val>
            <c:numRef>
              <c:f>'F-Taartjes'!$P$6:$P$11</c:f>
              <c:numCache>
                <c:formatCode>#,##0</c:formatCode>
                <c:ptCount val="6"/>
                <c:pt idx="0">
                  <c:v>9814285</c:v>
                </c:pt>
                <c:pt idx="1">
                  <c:v>0</c:v>
                </c:pt>
                <c:pt idx="2">
                  <c:v>7472188</c:v>
                </c:pt>
                <c:pt idx="3">
                  <c:v>52698</c:v>
                </c:pt>
                <c:pt idx="4">
                  <c:v>377784</c:v>
                </c:pt>
                <c:pt idx="5">
                  <c:v>322539</c:v>
                </c:pt>
              </c:numCache>
            </c:numRef>
          </c:val>
          <c:extLst>
            <c:ext xmlns:c16="http://schemas.microsoft.com/office/drawing/2014/chart" uri="{C3380CC4-5D6E-409C-BE32-E72D297353CC}">
              <c16:uniqueId val="{0000000C-6495-4DB9-A434-7CF2A8148EAF}"/>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'F-Taartjes'!$Q$5</c:f>
              <c:strCache>
                <c:ptCount val="1"/>
                <c:pt idx="0">
                  <c:v>AGB</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4C7-440A-B915-1C339EB620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4C7-440A-B915-1C339EB620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4C7-440A-B915-1C339EB6204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4C7-440A-B915-1C339EB62044}"/>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4C7-440A-B915-1C339EB62044}"/>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4C7-440A-B915-1C339EB62044}"/>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'F-Taartjes'!$N$6:$N$11</c:f>
              <c:strCache>
                <c:ptCount val="6"/>
                <c:pt idx="0">
                  <c:v>Ontvangsten werking</c:v>
                </c:pt>
                <c:pt idx="1">
                  <c:v>Fiscale ontvangsten </c:v>
                </c:pt>
                <c:pt idx="2">
                  <c:v>Werkingssubsidies</c:v>
                </c:pt>
                <c:pt idx="3">
                  <c:v>Recup kosten SD</c:v>
                </c:pt>
                <c:pt idx="4">
                  <c:v>Andere </c:v>
                </c:pt>
                <c:pt idx="5">
                  <c:v>Financieel</c:v>
                </c:pt>
              </c:strCache>
            </c:strRef>
          </c:cat>
          <c:val>
            <c:numRef>
              <c:f>'F-Taartjes'!$Q$6:$Q$11</c:f>
              <c:numCache>
                <c:formatCode>General</c:formatCode>
                <c:ptCount val="6"/>
                <c:pt idx="0" formatCode="#,##0">
                  <c:v>183795</c:v>
                </c:pt>
                <c:pt idx="4" formatCode="#,##0">
                  <c:v>1241</c:v>
                </c:pt>
                <c:pt idx="5">
                  <c:v>9565</c:v>
                </c:pt>
              </c:numCache>
            </c:numRef>
          </c:val>
          <c:extLst>
            <c:ext xmlns:c16="http://schemas.microsoft.com/office/drawing/2014/chart" uri="{C3380CC4-5D6E-409C-BE32-E72D297353CC}">
              <c16:uniqueId val="{0000000C-14C7-440A-B915-1C339EB6204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'F-Taartjes'!$B$36</c:f>
              <c:strCache>
                <c:ptCount val="1"/>
                <c:pt idx="0">
                  <c:v>STAD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C99A-48A9-B602-D0A75E9E2970}"/>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C99A-48A9-B602-D0A75E9E2970}"/>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C99A-48A9-B602-D0A75E9E297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C99A-48A9-B602-D0A75E9E2970}"/>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C99A-48A9-B602-D0A75E9E2970}"/>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C99A-48A9-B602-D0A75E9E2970}"/>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'F-Taartjes'!$A$37:$A$42</c:f>
              <c:strCache>
                <c:ptCount val="6"/>
                <c:pt idx="0">
                  <c:v>Goed&amp;diensten</c:v>
                </c:pt>
                <c:pt idx="1">
                  <c:v>Personeel</c:v>
                </c:pt>
                <c:pt idx="2">
                  <c:v>Kosten sociale dienst</c:v>
                </c:pt>
                <c:pt idx="3">
                  <c:v>Werkingssubsidies</c:v>
                </c:pt>
                <c:pt idx="4">
                  <c:v>Andere</c:v>
                </c:pt>
                <c:pt idx="5">
                  <c:v>Financieel</c:v>
                </c:pt>
              </c:strCache>
            </c:strRef>
          </c:cat>
          <c:val>
            <c:numRef>
              <c:f>'F-Taartjes'!$B$37:$B$42</c:f>
              <c:numCache>
                <c:formatCode>#,##0</c:formatCode>
                <c:ptCount val="6"/>
                <c:pt idx="0">
                  <c:v>4432826</c:v>
                </c:pt>
                <c:pt idx="1">
                  <c:v>9864429</c:v>
                </c:pt>
                <c:pt idx="2">
                  <c:v>0</c:v>
                </c:pt>
                <c:pt idx="3">
                  <c:v>2955806</c:v>
                </c:pt>
                <c:pt idx="4">
                  <c:v>704690</c:v>
                </c:pt>
                <c:pt idx="5">
                  <c:v>315072</c:v>
                </c:pt>
              </c:numCache>
            </c:numRef>
          </c:val>
          <c:extLst>
            <c:ext xmlns:c16="http://schemas.microsoft.com/office/drawing/2014/chart" uri="{C3380CC4-5D6E-409C-BE32-E72D297353CC}">
              <c16:uniqueId val="{00000000-A13F-4B62-A5CE-885C8255345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'F-Taartjes'!$C$36</c:f>
              <c:strCache>
                <c:ptCount val="1"/>
                <c:pt idx="0">
                  <c:v>OCMW</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DC7-466C-A794-4CC12156F21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DC7-466C-A794-4CC12156F21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DC7-466C-A794-4CC12156F21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DC7-466C-A794-4CC12156F21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4DC7-466C-A794-4CC12156F21F}"/>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4DC7-466C-A794-4CC12156F21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'F-Taartjes'!$A$37:$A$42</c:f>
              <c:strCache>
                <c:ptCount val="6"/>
                <c:pt idx="0">
                  <c:v>Goed&amp;diensten</c:v>
                </c:pt>
                <c:pt idx="1">
                  <c:v>Personeel</c:v>
                </c:pt>
                <c:pt idx="2">
                  <c:v>Kosten sociale dienst</c:v>
                </c:pt>
                <c:pt idx="3">
                  <c:v>Werkingssubsidies</c:v>
                </c:pt>
                <c:pt idx="4">
                  <c:v>Andere</c:v>
                </c:pt>
                <c:pt idx="5">
                  <c:v>Financieel</c:v>
                </c:pt>
              </c:strCache>
            </c:strRef>
          </c:cat>
          <c:val>
            <c:numRef>
              <c:f>'F-Taartjes'!$C$37:$C$42</c:f>
              <c:numCache>
                <c:formatCode>#,##0</c:formatCode>
                <c:ptCount val="6"/>
                <c:pt idx="0">
                  <c:v>2684025</c:v>
                </c:pt>
                <c:pt idx="1">
                  <c:v>12626010</c:v>
                </c:pt>
                <c:pt idx="2">
                  <c:v>710711</c:v>
                </c:pt>
                <c:pt idx="3">
                  <c:v>26683</c:v>
                </c:pt>
                <c:pt idx="4">
                  <c:v>79125</c:v>
                </c:pt>
                <c:pt idx="5">
                  <c:v>1657</c:v>
                </c:pt>
              </c:numCache>
            </c:numRef>
          </c:val>
          <c:extLst>
            <c:ext xmlns:c16="http://schemas.microsoft.com/office/drawing/2014/chart" uri="{C3380CC4-5D6E-409C-BE32-E72D297353CC}">
              <c16:uniqueId val="{00000000-C258-4A53-B17E-3D3A63421C83}"/>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'F-Taartjes'!$D$36</c:f>
              <c:strCache>
                <c:ptCount val="1"/>
                <c:pt idx="0">
                  <c:v>AGB</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499-4A1B-BDDB-FF1F5EB6402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C22-4316-A54B-645A3F098B3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499-4A1B-BDDB-FF1F5EB6402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499-4A1B-BDDB-FF1F5EB6402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6C22-4316-A54B-645A3F098B32}"/>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1-6C22-4316-A54B-645A3F098B32}"/>
              </c:ext>
            </c:extLst>
          </c:dPt>
          <c:dLbls>
            <c:dLbl>
              <c:idx val="1"/>
              <c:layout>
                <c:manualLayout>
                  <c:x val="-0.17937896224510397"/>
                  <c:y val="-8.48489938757655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22-4316-A54B-645A3F098B32}"/>
                </c:ext>
              </c:extLst>
            </c:dLbl>
            <c:dLbl>
              <c:idx val="4"/>
              <c:layout>
                <c:manualLayout>
                  <c:x val="-9.1941045830809615E-2"/>
                  <c:y val="-6.0319300087489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22-4316-A54B-645A3F098B32}"/>
                </c:ext>
              </c:extLst>
            </c:dLbl>
            <c:dLbl>
              <c:idx val="5"/>
              <c:layout>
                <c:manualLayout>
                  <c:x val="0.12623395921663638"/>
                  <c:y val="-8.165459317585301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C22-4316-A54B-645A3F098B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'F-Taartjes'!$A$37:$A$42</c:f>
              <c:strCache>
                <c:ptCount val="6"/>
                <c:pt idx="0">
                  <c:v>Goed&amp;diensten</c:v>
                </c:pt>
                <c:pt idx="1">
                  <c:v>Personeel</c:v>
                </c:pt>
                <c:pt idx="2">
                  <c:v>Kosten sociale dienst</c:v>
                </c:pt>
                <c:pt idx="3">
                  <c:v>Werkingssubsidies</c:v>
                </c:pt>
                <c:pt idx="4">
                  <c:v>Andere</c:v>
                </c:pt>
                <c:pt idx="5">
                  <c:v>Financieel</c:v>
                </c:pt>
              </c:strCache>
            </c:strRef>
          </c:cat>
          <c:val>
            <c:numRef>
              <c:f>'F-Taartjes'!$D$37:$D$42</c:f>
              <c:numCache>
                <c:formatCode>General</c:formatCode>
                <c:ptCount val="6"/>
                <c:pt idx="0" formatCode="#,##0">
                  <c:v>381198</c:v>
                </c:pt>
                <c:pt idx="1">
                  <c:v>0</c:v>
                </c:pt>
                <c:pt idx="2">
                  <c:v>0</c:v>
                </c:pt>
                <c:pt idx="3">
                  <c:v>0</c:v>
                </c:pt>
                <c:pt idx="4" formatCode="#,##0">
                  <c:v>19048</c:v>
                </c:pt>
                <c:pt idx="5">
                  <c:v>167</c:v>
                </c:pt>
              </c:numCache>
            </c:numRef>
          </c:val>
          <c:extLst>
            <c:ext xmlns:c16="http://schemas.microsoft.com/office/drawing/2014/chart" uri="{C3380CC4-5D6E-409C-BE32-E72D297353CC}">
              <c16:uniqueId val="{00000000-6C22-4316-A54B-645A3F098B32}"/>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'F-Taartjes'!$O$36</c:f>
              <c:strCache>
                <c:ptCount val="1"/>
                <c:pt idx="0">
                  <c:v>STAD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6F8-4F93-B91F-B258FB515C2F}"/>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6F8-4F93-B91F-B258FB515C2F}"/>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6F8-4F93-B91F-B258FB515C2F}"/>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6F8-4F93-B91F-B258FB515C2F}"/>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1-F851-410D-9C84-56B87BF2873E}"/>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66F8-4F93-B91F-B258FB515C2F}"/>
              </c:ext>
            </c:extLst>
          </c:dPt>
          <c:dLbls>
            <c:dLbl>
              <c:idx val="4"/>
              <c:layout>
                <c:manualLayout>
                  <c:x val="-0.13267989938757654"/>
                  <c:y val="4.3949766695829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851-410D-9C84-56B87BF2873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'F-Taartjes'!$N$37:$N$42</c:f>
              <c:strCache>
                <c:ptCount val="6"/>
                <c:pt idx="0">
                  <c:v>Ontvangsten werking</c:v>
                </c:pt>
                <c:pt idx="1">
                  <c:v>Fiscale ontvangsten </c:v>
                </c:pt>
                <c:pt idx="2">
                  <c:v>Werkingssubsidies</c:v>
                </c:pt>
                <c:pt idx="3">
                  <c:v>Recup kosten SD</c:v>
                </c:pt>
                <c:pt idx="4">
                  <c:v>Andere </c:v>
                </c:pt>
                <c:pt idx="5">
                  <c:v>Financieel</c:v>
                </c:pt>
              </c:strCache>
            </c:strRef>
          </c:cat>
          <c:val>
            <c:numRef>
              <c:f>'F-Taartjes'!$O$37:$O$42</c:f>
              <c:numCache>
                <c:formatCode>#,##0</c:formatCode>
                <c:ptCount val="6"/>
                <c:pt idx="0">
                  <c:v>956544</c:v>
                </c:pt>
                <c:pt idx="1">
                  <c:v>11829950</c:v>
                </c:pt>
                <c:pt idx="2">
                  <c:v>10359260</c:v>
                </c:pt>
                <c:pt idx="4">
                  <c:v>192771</c:v>
                </c:pt>
                <c:pt idx="5">
                  <c:v>960760</c:v>
                </c:pt>
              </c:numCache>
            </c:numRef>
          </c:val>
          <c:extLst>
            <c:ext xmlns:c16="http://schemas.microsoft.com/office/drawing/2014/chart" uri="{C3380CC4-5D6E-409C-BE32-E72D297353CC}">
              <c16:uniqueId val="{00000000-F851-410D-9C84-56B87BF2873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'F-Taartjes'!$P$36</c:f>
              <c:strCache>
                <c:ptCount val="1"/>
                <c:pt idx="0">
                  <c:v>OCMW</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197-46D0-898F-E7ABDF010DD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3197-46D0-898F-E7ABDF010DD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3197-46D0-898F-E7ABDF010DDD}"/>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3197-46D0-898F-E7ABDF010DD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3197-46D0-898F-E7ABDF010DD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3197-46D0-898F-E7ABDF010DDD}"/>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'F-Taartjes'!$N$37:$N$42</c:f>
              <c:strCache>
                <c:ptCount val="6"/>
                <c:pt idx="0">
                  <c:v>Ontvangsten werking</c:v>
                </c:pt>
                <c:pt idx="1">
                  <c:v>Fiscale ontvangsten </c:v>
                </c:pt>
                <c:pt idx="2">
                  <c:v>Werkingssubsidies</c:v>
                </c:pt>
                <c:pt idx="3">
                  <c:v>Recup kosten SD</c:v>
                </c:pt>
                <c:pt idx="4">
                  <c:v>Andere </c:v>
                </c:pt>
                <c:pt idx="5">
                  <c:v>Financieel</c:v>
                </c:pt>
              </c:strCache>
            </c:strRef>
          </c:cat>
          <c:val>
            <c:numRef>
              <c:f>'F-Taartjes'!$P$37:$P$42</c:f>
              <c:numCache>
                <c:formatCode>General</c:formatCode>
                <c:ptCount val="6"/>
                <c:pt idx="0" formatCode="#,##0">
                  <c:v>8074781</c:v>
                </c:pt>
                <c:pt idx="1">
                  <c:v>0</c:v>
                </c:pt>
                <c:pt idx="2" formatCode="#,##0">
                  <c:v>6883103</c:v>
                </c:pt>
                <c:pt idx="3" formatCode="#,##0">
                  <c:v>38942</c:v>
                </c:pt>
                <c:pt idx="4" formatCode="#,##0">
                  <c:v>379187</c:v>
                </c:pt>
                <c:pt idx="5" formatCode="#,##0">
                  <c:v>0</c:v>
                </c:pt>
              </c:numCache>
            </c:numRef>
          </c:val>
          <c:extLst>
            <c:ext xmlns:c16="http://schemas.microsoft.com/office/drawing/2014/chart" uri="{C3380CC4-5D6E-409C-BE32-E72D297353CC}">
              <c16:uniqueId val="{00000000-4373-46A7-BA82-6710444BA566}"/>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'F-Taartjes'!$Q$36</c:f>
              <c:strCache>
                <c:ptCount val="1"/>
                <c:pt idx="0">
                  <c:v>AGB</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4CE-421A-A300-5BD3C1A46A0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CE-421A-A300-5BD3C1A46A0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4-D68B-4E2E-9B3B-C7ECE608151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D68B-4E2E-9B3B-C7ECE6081515}"/>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2-D68B-4E2E-9B3B-C7ECE6081515}"/>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1-D68B-4E2E-9B3B-C7ECE6081515}"/>
              </c:ext>
            </c:extLst>
          </c:dPt>
          <c:dLbls>
            <c:dLbl>
              <c:idx val="2"/>
              <c:layout>
                <c:manualLayout>
                  <c:x val="-0.15587174634912701"/>
                  <c:y val="-7.11773804804223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68B-4E2E-9B3B-C7ECE6081515}"/>
                </c:ext>
              </c:extLst>
            </c:dLbl>
            <c:dLbl>
              <c:idx val="3"/>
              <c:layout>
                <c:manualLayout>
                  <c:x val="7.6685612345275406E-2"/>
                  <c:y val="-6.4228765595728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8B-4E2E-9B3B-C7ECE6081515}"/>
                </c:ext>
              </c:extLst>
            </c:dLbl>
            <c:dLbl>
              <c:idx val="4"/>
              <c:layout>
                <c:manualLayout>
                  <c:x val="-0.22583279475019843"/>
                  <c:y val="-1.70833258600418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8B-4E2E-9B3B-C7ECE6081515}"/>
                </c:ext>
              </c:extLst>
            </c:dLbl>
            <c:dLbl>
              <c:idx val="5"/>
              <c:layout>
                <c:manualLayout>
                  <c:x val="0.25506860506367512"/>
                  <c:y val="-2.10047938330192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8B-4E2E-9B3B-C7ECE608151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'F-Taartjes'!$N$37:$N$42</c:f>
              <c:strCache>
                <c:ptCount val="6"/>
                <c:pt idx="0">
                  <c:v>Ontvangsten werking</c:v>
                </c:pt>
                <c:pt idx="1">
                  <c:v>Fiscale ontvangsten </c:v>
                </c:pt>
                <c:pt idx="2">
                  <c:v>Werkingssubsidies</c:v>
                </c:pt>
                <c:pt idx="3">
                  <c:v>Recup kosten SD</c:v>
                </c:pt>
                <c:pt idx="4">
                  <c:v>Andere </c:v>
                </c:pt>
                <c:pt idx="5">
                  <c:v>Financieel</c:v>
                </c:pt>
              </c:strCache>
            </c:strRef>
          </c:cat>
          <c:val>
            <c:numRef>
              <c:f>'F-Taartjes'!$Q$37:$Q$42</c:f>
              <c:numCache>
                <c:formatCode>General</c:formatCode>
                <c:ptCount val="6"/>
                <c:pt idx="0" formatCode="#,##0">
                  <c:v>249275</c:v>
                </c:pt>
                <c:pt idx="2" formatCode="#,##0">
                  <c:v>1120</c:v>
                </c:pt>
                <c:pt idx="3">
                  <c:v>0</c:v>
                </c:pt>
                <c:pt idx="4">
                  <c:v>531</c:v>
                </c:pt>
                <c:pt idx="5" formatCode="#,##0">
                  <c:v>0</c:v>
                </c:pt>
              </c:numCache>
            </c:numRef>
          </c:val>
          <c:extLst>
            <c:ext xmlns:c16="http://schemas.microsoft.com/office/drawing/2014/chart" uri="{C3380CC4-5D6E-409C-BE32-E72D297353CC}">
              <c16:uniqueId val="{00000000-D68B-4E2E-9B3B-C7ECE608151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'F-Taartjes'!$B$70</c:f>
              <c:strCache>
                <c:ptCount val="1"/>
                <c:pt idx="0">
                  <c:v>STAD</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448-4A22-ABC3-4B293B1F179C}"/>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448-4A22-ABC3-4B293B1F179C}"/>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448-4A22-ABC3-4B293B1F179C}"/>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448-4A22-ABC3-4B293B1F179C}"/>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448-4A22-ABC3-4B293B1F179C}"/>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448-4A22-ABC3-4B293B1F179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'F-Taartjes'!$A$71:$A$76</c:f>
              <c:strCache>
                <c:ptCount val="6"/>
                <c:pt idx="0">
                  <c:v>Goed&amp;diensten</c:v>
                </c:pt>
                <c:pt idx="1">
                  <c:v>Personeel</c:v>
                </c:pt>
                <c:pt idx="2">
                  <c:v>Kosten sociale dienst</c:v>
                </c:pt>
                <c:pt idx="3">
                  <c:v>Werkingssubsidies</c:v>
                </c:pt>
                <c:pt idx="4">
                  <c:v>Andere</c:v>
                </c:pt>
                <c:pt idx="5">
                  <c:v>Financieel</c:v>
                </c:pt>
              </c:strCache>
            </c:strRef>
          </c:cat>
          <c:val>
            <c:numRef>
              <c:f>'F-Taartjes'!$B$71:$B$76</c:f>
              <c:numCache>
                <c:formatCode>#,##0</c:formatCode>
                <c:ptCount val="6"/>
                <c:pt idx="0">
                  <c:v>3098900</c:v>
                </c:pt>
                <c:pt idx="1">
                  <c:v>9328932</c:v>
                </c:pt>
                <c:pt idx="2">
                  <c:v>0</c:v>
                </c:pt>
                <c:pt idx="3">
                  <c:v>2938873</c:v>
                </c:pt>
                <c:pt idx="4">
                  <c:v>719193</c:v>
                </c:pt>
                <c:pt idx="5">
                  <c:v>358126</c:v>
                </c:pt>
              </c:numCache>
            </c:numRef>
          </c:val>
          <c:extLst>
            <c:ext xmlns:c16="http://schemas.microsoft.com/office/drawing/2014/chart" uri="{C3380CC4-5D6E-409C-BE32-E72D297353CC}">
              <c16:uniqueId val="{00000000-81E7-401D-93F8-88CF80DA9C5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l-BE"/>
        </a:p>
      </c:txPr>
    </c:title>
    <c:autoTitleDeleted val="0"/>
    <c:plotArea>
      <c:layout/>
      <c:pieChart>
        <c:varyColors val="1"/>
        <c:ser>
          <c:idx val="0"/>
          <c:order val="0"/>
          <c:tx>
            <c:strRef>
              <c:f>'F-Taartjes'!$C$70</c:f>
              <c:strCache>
                <c:ptCount val="1"/>
                <c:pt idx="0">
                  <c:v>OCMW</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CBC-47E1-8E18-B12433E0924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CBC-47E1-8E18-B12433E0924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CBC-47E1-8E18-B12433E09249}"/>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CBC-47E1-8E18-B12433E0924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CBC-47E1-8E18-B12433E0924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CBC-47E1-8E18-B12433E0924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nl-BE"/>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'F-Taartjes'!$A$71:$A$76</c:f>
              <c:strCache>
                <c:ptCount val="6"/>
                <c:pt idx="0">
                  <c:v>Goed&amp;diensten</c:v>
                </c:pt>
                <c:pt idx="1">
                  <c:v>Personeel</c:v>
                </c:pt>
                <c:pt idx="2">
                  <c:v>Kosten sociale dienst</c:v>
                </c:pt>
                <c:pt idx="3">
                  <c:v>Werkingssubsidies</c:v>
                </c:pt>
                <c:pt idx="4">
                  <c:v>Andere</c:v>
                </c:pt>
                <c:pt idx="5">
                  <c:v>Financieel</c:v>
                </c:pt>
              </c:strCache>
            </c:strRef>
          </c:cat>
          <c:val>
            <c:numRef>
              <c:f>'F-Taartjes'!$C$71:$C$76</c:f>
              <c:numCache>
                <c:formatCode>#,##0</c:formatCode>
                <c:ptCount val="6"/>
                <c:pt idx="0">
                  <c:v>2391767</c:v>
                </c:pt>
                <c:pt idx="1">
                  <c:v>13025192</c:v>
                </c:pt>
                <c:pt idx="2">
                  <c:v>690788</c:v>
                </c:pt>
                <c:pt idx="3">
                  <c:v>34022</c:v>
                </c:pt>
                <c:pt idx="4">
                  <c:v>73413</c:v>
                </c:pt>
                <c:pt idx="5">
                  <c:v>994</c:v>
                </c:pt>
              </c:numCache>
            </c:numRef>
          </c:val>
          <c:extLst>
            <c:ext xmlns:c16="http://schemas.microsoft.com/office/drawing/2014/chart" uri="{C3380CC4-5D6E-409C-BE32-E72D297353CC}">
              <c16:uniqueId val="{00000000-123F-4106-8B13-6FA0948E17A1}"/>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l-B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l-B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9525" cap="rnd">
        <a:solidFill>
          <a:schemeClr val="phClr"/>
        </a:solidFill>
        <a:round/>
      </a:ln>
    </cs:spPr>
  </cs:dataPointLine>
  <cs:dataPointMarker>
    <cs:lnRef idx="0">
      <cs:styleClr val="auto"/>
    </cs:lnRef>
    <cs:fillRef idx="3">
      <cs:styleClr val="auto"/>
    </cs:fillRef>
    <cs:effectRef idx="2"/>
    <cs:fontRef idx="minor">
      <a:schemeClr val="tx2"/>
    </cs:fontRef>
    <cs:spPr>
      <a:ln w="9525">
        <a:solidFill>
          <a:schemeClr val="phClr"/>
        </a:solidFill>
        <a:round/>
      </a:ln>
    </cs:spPr>
  </cs:dataPointMarker>
  <cs:dataPointMarkerLayout symbol="circle" size="5"/>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9525" cap="rnd">
        <a:solidFill>
          <a:schemeClr val="phClr"/>
        </a:solidFill>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spPr>
      <a:ln>
        <a:solidFill>
          <a:schemeClr val="tx2">
            <a:lumMod val="40000"/>
            <a:lumOff val="60000"/>
          </a:schemeClr>
        </a:solidFill>
      </a:ln>
    </cs:spPr>
    <cs:defRPr sz="900" kern="1200"/>
  </cs:valueAxis>
  <cs:wall>
    <cs:lnRef idx="0"/>
    <cs:fillRef idx="0"/>
    <cs:effectRef idx="0"/>
    <cs:fontRef idx="minor">
      <a:schemeClr val="tx2"/>
    </cs:fontRef>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1" Type="http://schemas.openxmlformats.org/officeDocument/2006/relationships/drawing" Target="../drawings/drawing23.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200-000000000000}">
  <sheetPr/>
  <sheetViews>
    <sheetView zoomScale="122"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6.xml"/><Relationship Id="rId7" Type="http://schemas.openxmlformats.org/officeDocument/2006/relationships/chart" Target="../charts/chart10.xml"/><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chart" Target="../charts/chart9.xml"/><Relationship Id="rId5" Type="http://schemas.openxmlformats.org/officeDocument/2006/relationships/chart" Target="../charts/chart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 Type="http://schemas.openxmlformats.org/officeDocument/2006/relationships/chart" Target="../charts/chart16.xml"/><Relationship Id="rId16" Type="http://schemas.openxmlformats.org/officeDocument/2006/relationships/chart" Target="../charts/chart30.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chart" Target="../charts/chart2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9.xml"/><Relationship Id="rId13" Type="http://schemas.openxmlformats.org/officeDocument/2006/relationships/chart" Target="../charts/chart44.xml"/><Relationship Id="rId3" Type="http://schemas.openxmlformats.org/officeDocument/2006/relationships/chart" Target="../charts/chart34.xml"/><Relationship Id="rId7" Type="http://schemas.openxmlformats.org/officeDocument/2006/relationships/chart" Target="../charts/chart38.xml"/><Relationship Id="rId12" Type="http://schemas.openxmlformats.org/officeDocument/2006/relationships/chart" Target="../charts/chart43.xml"/><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11" Type="http://schemas.openxmlformats.org/officeDocument/2006/relationships/chart" Target="../charts/chart42.xml"/><Relationship Id="rId5" Type="http://schemas.openxmlformats.org/officeDocument/2006/relationships/chart" Target="../charts/chart36.xml"/><Relationship Id="rId10" Type="http://schemas.openxmlformats.org/officeDocument/2006/relationships/chart" Target="../charts/chart41.xml"/><Relationship Id="rId4" Type="http://schemas.openxmlformats.org/officeDocument/2006/relationships/chart" Target="../charts/chart35.xml"/><Relationship Id="rId9" Type="http://schemas.openxmlformats.org/officeDocument/2006/relationships/chart" Target="../charts/chart40.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52.xml"/><Relationship Id="rId3" Type="http://schemas.openxmlformats.org/officeDocument/2006/relationships/chart" Target="../charts/chart47.xml"/><Relationship Id="rId7" Type="http://schemas.openxmlformats.org/officeDocument/2006/relationships/chart" Target="../charts/chart51.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10" Type="http://schemas.openxmlformats.org/officeDocument/2006/relationships/chart" Target="../charts/chart54.xml"/><Relationship Id="rId4" Type="http://schemas.openxmlformats.org/officeDocument/2006/relationships/chart" Target="../charts/chart48.xml"/><Relationship Id="rId9" Type="http://schemas.openxmlformats.org/officeDocument/2006/relationships/chart" Target="../charts/chart53.xml"/></Relationships>
</file>

<file path=xl/drawings/_rels/drawing17.xml.rels><?xml version="1.0" encoding="UTF-8" standalone="yes"?>
<Relationships xmlns="http://schemas.openxmlformats.org/package/2006/relationships"><Relationship Id="rId8" Type="http://schemas.openxmlformats.org/officeDocument/2006/relationships/chart" Target="../charts/chart62.xml"/><Relationship Id="rId3" Type="http://schemas.openxmlformats.org/officeDocument/2006/relationships/chart" Target="../charts/chart57.xml"/><Relationship Id="rId7" Type="http://schemas.openxmlformats.org/officeDocument/2006/relationships/chart" Target="../charts/chart61.xml"/><Relationship Id="rId2" Type="http://schemas.openxmlformats.org/officeDocument/2006/relationships/chart" Target="../charts/chart56.xml"/><Relationship Id="rId1" Type="http://schemas.openxmlformats.org/officeDocument/2006/relationships/chart" Target="../charts/chart55.xml"/><Relationship Id="rId6" Type="http://schemas.openxmlformats.org/officeDocument/2006/relationships/chart" Target="../charts/chart60.xml"/><Relationship Id="rId5" Type="http://schemas.openxmlformats.org/officeDocument/2006/relationships/chart" Target="../charts/chart59.xml"/><Relationship Id="rId4" Type="http://schemas.openxmlformats.org/officeDocument/2006/relationships/chart" Target="../charts/chart58.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 Id="rId9" Type="http://schemas.openxmlformats.org/officeDocument/2006/relationships/chart" Target="../charts/chart7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6" Type="http://schemas.openxmlformats.org/officeDocument/2006/relationships/chart" Target="../charts/chart77.xml"/><Relationship Id="rId5" Type="http://schemas.openxmlformats.org/officeDocument/2006/relationships/chart" Target="../charts/chart76.xml"/><Relationship Id="rId4" Type="http://schemas.openxmlformats.org/officeDocument/2006/relationships/chart" Target="../charts/chart75.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80.xml"/><Relationship Id="rId2" Type="http://schemas.openxmlformats.org/officeDocument/2006/relationships/chart" Target="../charts/chart79.xml"/><Relationship Id="rId1" Type="http://schemas.openxmlformats.org/officeDocument/2006/relationships/chart" Target="../charts/chart78.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25.xml.rels><?xml version="1.0" encoding="UTF-8" standalone="yes"?>
<Relationships xmlns="http://schemas.openxmlformats.org/package/2006/relationships"><Relationship Id="rId8" Type="http://schemas.openxmlformats.org/officeDocument/2006/relationships/chart" Target="../charts/chart93.xml"/><Relationship Id="rId13" Type="http://schemas.openxmlformats.org/officeDocument/2006/relationships/chart" Target="../charts/chart98.xml"/><Relationship Id="rId18" Type="http://schemas.openxmlformats.org/officeDocument/2006/relationships/chart" Target="../charts/chart103.xml"/><Relationship Id="rId3" Type="http://schemas.openxmlformats.org/officeDocument/2006/relationships/chart" Target="../charts/chart88.xml"/><Relationship Id="rId7" Type="http://schemas.openxmlformats.org/officeDocument/2006/relationships/chart" Target="../charts/chart92.xml"/><Relationship Id="rId12" Type="http://schemas.openxmlformats.org/officeDocument/2006/relationships/chart" Target="../charts/chart97.xml"/><Relationship Id="rId17" Type="http://schemas.openxmlformats.org/officeDocument/2006/relationships/chart" Target="../charts/chart102.xml"/><Relationship Id="rId2" Type="http://schemas.openxmlformats.org/officeDocument/2006/relationships/chart" Target="../charts/chart87.xml"/><Relationship Id="rId16" Type="http://schemas.openxmlformats.org/officeDocument/2006/relationships/chart" Target="../charts/chart101.xml"/><Relationship Id="rId1" Type="http://schemas.openxmlformats.org/officeDocument/2006/relationships/chart" Target="../charts/chart86.xml"/><Relationship Id="rId6" Type="http://schemas.openxmlformats.org/officeDocument/2006/relationships/chart" Target="../charts/chart91.xml"/><Relationship Id="rId11" Type="http://schemas.openxmlformats.org/officeDocument/2006/relationships/chart" Target="../charts/chart96.xml"/><Relationship Id="rId5" Type="http://schemas.openxmlformats.org/officeDocument/2006/relationships/chart" Target="../charts/chart90.xml"/><Relationship Id="rId15" Type="http://schemas.openxmlformats.org/officeDocument/2006/relationships/chart" Target="../charts/chart100.xml"/><Relationship Id="rId10" Type="http://schemas.openxmlformats.org/officeDocument/2006/relationships/chart" Target="../charts/chart95.xml"/><Relationship Id="rId4" Type="http://schemas.openxmlformats.org/officeDocument/2006/relationships/chart" Target="../charts/chart89.xml"/><Relationship Id="rId9" Type="http://schemas.openxmlformats.org/officeDocument/2006/relationships/chart" Target="../charts/chart94.xml"/><Relationship Id="rId14" Type="http://schemas.openxmlformats.org/officeDocument/2006/relationships/chart" Target="../charts/chart99.xml"/></Relationships>
</file>

<file path=xl/drawings/_rels/drawing26.xml.rels><?xml version="1.0" encoding="UTF-8" standalone="yes"?>
<Relationships xmlns="http://schemas.openxmlformats.org/package/2006/relationships"><Relationship Id="rId8" Type="http://schemas.openxmlformats.org/officeDocument/2006/relationships/chart" Target="../charts/chart111.xml"/><Relationship Id="rId3" Type="http://schemas.openxmlformats.org/officeDocument/2006/relationships/chart" Target="../charts/chart106.xml"/><Relationship Id="rId7" Type="http://schemas.openxmlformats.org/officeDocument/2006/relationships/chart" Target="../charts/chart110.xml"/><Relationship Id="rId2" Type="http://schemas.openxmlformats.org/officeDocument/2006/relationships/chart" Target="../charts/chart105.xml"/><Relationship Id="rId1" Type="http://schemas.openxmlformats.org/officeDocument/2006/relationships/chart" Target="../charts/chart104.xml"/><Relationship Id="rId6" Type="http://schemas.openxmlformats.org/officeDocument/2006/relationships/chart" Target="../charts/chart109.xml"/><Relationship Id="rId5" Type="http://schemas.openxmlformats.org/officeDocument/2006/relationships/chart" Target="../charts/chart108.xml"/><Relationship Id="rId4" Type="http://schemas.openxmlformats.org/officeDocument/2006/relationships/chart" Target="../charts/chart107.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3.xml"/><Relationship Id="rId1" Type="http://schemas.openxmlformats.org/officeDocument/2006/relationships/chart" Target="../charts/chart112.xml"/></Relationships>
</file>

<file path=xl/drawings/_rels/drawing2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120.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1.xml"/></Relationships>
</file>

<file path=xl/drawings/_rels/drawing35.xml.rels><?xml version="1.0" encoding="UTF-8" standalone="yes"?>
<Relationships xmlns="http://schemas.openxmlformats.org/package/2006/relationships"><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2</xdr:col>
      <xdr:colOff>19050</xdr:colOff>
      <xdr:row>2</xdr:row>
      <xdr:rowOff>104775</xdr:rowOff>
    </xdr:from>
    <xdr:to>
      <xdr:col>2</xdr:col>
      <xdr:colOff>790575</xdr:colOff>
      <xdr:row>2</xdr:row>
      <xdr:rowOff>394039</xdr:rowOff>
    </xdr:to>
    <xdr:pic>
      <xdr:nvPicPr>
        <xdr:cNvPr id="6" name="Afbeelding 5">
          <a:extLst>
            <a:ext uri="{FF2B5EF4-FFF2-40B4-BE49-F238E27FC236}">
              <a16:creationId xmlns:a16="http://schemas.microsoft.com/office/drawing/2014/main" id="{4185F3CD-5456-4E10-93F1-456584F2CC6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0" y="485775"/>
          <a:ext cx="771525" cy="28926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19</xdr:col>
      <xdr:colOff>466725</xdr:colOff>
      <xdr:row>2</xdr:row>
      <xdr:rowOff>9525</xdr:rowOff>
    </xdr:from>
    <xdr:to>
      <xdr:col>27</xdr:col>
      <xdr:colOff>66675</xdr:colOff>
      <xdr:row>22</xdr:row>
      <xdr:rowOff>0</xdr:rowOff>
    </xdr:to>
    <xdr:graphicFrame macro="">
      <xdr:nvGraphicFramePr>
        <xdr:cNvPr id="2" name="Grafiek 1">
          <a:extLst>
            <a:ext uri="{FF2B5EF4-FFF2-40B4-BE49-F238E27FC236}">
              <a16:creationId xmlns:a16="http://schemas.microsoft.com/office/drawing/2014/main" id="{5CB8D263-A4C2-4B39-B1B6-4465DF3A6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absolute">
    <xdr:from>
      <xdr:col>4</xdr:col>
      <xdr:colOff>571500</xdr:colOff>
      <xdr:row>112</xdr:row>
      <xdr:rowOff>19050</xdr:rowOff>
    </xdr:from>
    <xdr:to>
      <xdr:col>6</xdr:col>
      <xdr:colOff>1857375</xdr:colOff>
      <xdr:row>127</xdr:row>
      <xdr:rowOff>133350</xdr:rowOff>
    </xdr:to>
    <xdr:graphicFrame macro="">
      <xdr:nvGraphicFramePr>
        <xdr:cNvPr id="2" name="Grafiek 3">
          <a:extLst>
            <a:ext uri="{FF2B5EF4-FFF2-40B4-BE49-F238E27FC236}">
              <a16:creationId xmlns:a16="http://schemas.microsoft.com/office/drawing/2014/main" id="{8EE4A9DE-173A-4135-8D02-76EE1D942B46}"/>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2486025</xdr:colOff>
      <xdr:row>111</xdr:row>
      <xdr:rowOff>142875</xdr:rowOff>
    </xdr:from>
    <xdr:to>
      <xdr:col>12</xdr:col>
      <xdr:colOff>533400</xdr:colOff>
      <xdr:row>128</xdr:row>
      <xdr:rowOff>0</xdr:rowOff>
    </xdr:to>
    <xdr:graphicFrame macro="">
      <xdr:nvGraphicFramePr>
        <xdr:cNvPr id="3" name="Grafiek 4">
          <a:extLst>
            <a:ext uri="{FF2B5EF4-FFF2-40B4-BE49-F238E27FC236}">
              <a16:creationId xmlns:a16="http://schemas.microsoft.com/office/drawing/2014/main" id="{B753C59B-F08E-417C-B1CF-36BBADEEF6F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704850</xdr:colOff>
      <xdr:row>44</xdr:row>
      <xdr:rowOff>66675</xdr:rowOff>
    </xdr:from>
    <xdr:to>
      <xdr:col>10</xdr:col>
      <xdr:colOff>1371600</xdr:colOff>
      <xdr:row>61</xdr:row>
      <xdr:rowOff>95250</xdr:rowOff>
    </xdr:to>
    <xdr:graphicFrame macro="">
      <xdr:nvGraphicFramePr>
        <xdr:cNvPr id="4" name="Grafiek 2">
          <a:extLst>
            <a:ext uri="{FF2B5EF4-FFF2-40B4-BE49-F238E27FC236}">
              <a16:creationId xmlns:a16="http://schemas.microsoft.com/office/drawing/2014/main" id="{CD9D0839-C6E8-41DD-99B7-6A152C2894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6</xdr:col>
      <xdr:colOff>1866900</xdr:colOff>
      <xdr:row>145</xdr:row>
      <xdr:rowOff>123825</xdr:rowOff>
    </xdr:from>
    <xdr:to>
      <xdr:col>12</xdr:col>
      <xdr:colOff>66675</xdr:colOff>
      <xdr:row>165</xdr:row>
      <xdr:rowOff>57150</xdr:rowOff>
    </xdr:to>
    <xdr:graphicFrame macro="">
      <xdr:nvGraphicFramePr>
        <xdr:cNvPr id="5" name="Grafiek 5">
          <a:extLst>
            <a:ext uri="{FF2B5EF4-FFF2-40B4-BE49-F238E27FC236}">
              <a16:creationId xmlns:a16="http://schemas.microsoft.com/office/drawing/2014/main" id="{C16B81EC-21AA-48B1-8688-46389A05FA4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4</xdr:col>
      <xdr:colOff>342900</xdr:colOff>
      <xdr:row>145</xdr:row>
      <xdr:rowOff>114300</xdr:rowOff>
    </xdr:from>
    <xdr:to>
      <xdr:col>6</xdr:col>
      <xdr:colOff>1657350</xdr:colOff>
      <xdr:row>166</xdr:row>
      <xdr:rowOff>95250</xdr:rowOff>
    </xdr:to>
    <xdr:graphicFrame macro="">
      <xdr:nvGraphicFramePr>
        <xdr:cNvPr id="6" name="Grafiek 6">
          <a:extLst>
            <a:ext uri="{FF2B5EF4-FFF2-40B4-BE49-F238E27FC236}">
              <a16:creationId xmlns:a16="http://schemas.microsoft.com/office/drawing/2014/main" id="{0E38BE20-E918-4C1C-A8EB-D391B48734D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6</xdr:col>
      <xdr:colOff>2419350</xdr:colOff>
      <xdr:row>185</xdr:row>
      <xdr:rowOff>85726</xdr:rowOff>
    </xdr:from>
    <xdr:to>
      <xdr:col>12</xdr:col>
      <xdr:colOff>57150</xdr:colOff>
      <xdr:row>203</xdr:row>
      <xdr:rowOff>66676</xdr:rowOff>
    </xdr:to>
    <xdr:graphicFrame macro="">
      <xdr:nvGraphicFramePr>
        <xdr:cNvPr id="7" name="Grafiek 6">
          <a:extLst>
            <a:ext uri="{FF2B5EF4-FFF2-40B4-BE49-F238E27FC236}">
              <a16:creationId xmlns:a16="http://schemas.microsoft.com/office/drawing/2014/main" id="{2EB322AE-52DA-497F-9D65-0B8BD9FAF7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4</xdr:col>
      <xdr:colOff>704850</xdr:colOff>
      <xdr:row>185</xdr:row>
      <xdr:rowOff>142876</xdr:rowOff>
    </xdr:from>
    <xdr:to>
      <xdr:col>6</xdr:col>
      <xdr:colOff>2114550</xdr:colOff>
      <xdr:row>203</xdr:row>
      <xdr:rowOff>133350</xdr:rowOff>
    </xdr:to>
    <xdr:graphicFrame macro="">
      <xdr:nvGraphicFramePr>
        <xdr:cNvPr id="8" name="Grafiek 7">
          <a:extLst>
            <a:ext uri="{FF2B5EF4-FFF2-40B4-BE49-F238E27FC236}">
              <a16:creationId xmlns:a16="http://schemas.microsoft.com/office/drawing/2014/main" id="{F34C82D1-EF66-4799-B2BF-01A2FA6A29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6</xdr:col>
      <xdr:colOff>1790700</xdr:colOff>
      <xdr:row>399</xdr:row>
      <xdr:rowOff>47625</xdr:rowOff>
    </xdr:from>
    <xdr:to>
      <xdr:col>11</xdr:col>
      <xdr:colOff>180975</xdr:colOff>
      <xdr:row>416</xdr:row>
      <xdr:rowOff>104775</xdr:rowOff>
    </xdr:to>
    <xdr:graphicFrame macro="">
      <xdr:nvGraphicFramePr>
        <xdr:cNvPr id="9" name="Grafiek 14">
          <a:extLst>
            <a:ext uri="{FF2B5EF4-FFF2-40B4-BE49-F238E27FC236}">
              <a16:creationId xmlns:a16="http://schemas.microsoft.com/office/drawing/2014/main" id="{3EECB879-C65E-44AB-A03E-862B764E0E6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absolute">
    <xdr:from>
      <xdr:col>4</xdr:col>
      <xdr:colOff>390525</xdr:colOff>
      <xdr:row>399</xdr:row>
      <xdr:rowOff>19050</xdr:rowOff>
    </xdr:from>
    <xdr:to>
      <xdr:col>6</xdr:col>
      <xdr:colOff>1447801</xdr:colOff>
      <xdr:row>417</xdr:row>
      <xdr:rowOff>19050</xdr:rowOff>
    </xdr:to>
    <xdr:graphicFrame macro="">
      <xdr:nvGraphicFramePr>
        <xdr:cNvPr id="10" name="Grafiek 13">
          <a:extLst>
            <a:ext uri="{FF2B5EF4-FFF2-40B4-BE49-F238E27FC236}">
              <a16:creationId xmlns:a16="http://schemas.microsoft.com/office/drawing/2014/main" id="{45E5AD71-FC03-49D7-B4F0-445AC037E943}"/>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1019175</xdr:colOff>
      <xdr:row>794</xdr:row>
      <xdr:rowOff>66675</xdr:rowOff>
    </xdr:from>
    <xdr:to>
      <xdr:col>7</xdr:col>
      <xdr:colOff>28575</xdr:colOff>
      <xdr:row>810</xdr:row>
      <xdr:rowOff>19050</xdr:rowOff>
    </xdr:to>
    <xdr:graphicFrame macro="">
      <xdr:nvGraphicFramePr>
        <xdr:cNvPr id="11" name="Grafiek 10">
          <a:extLst>
            <a:ext uri="{FF2B5EF4-FFF2-40B4-BE49-F238E27FC236}">
              <a16:creationId xmlns:a16="http://schemas.microsoft.com/office/drawing/2014/main" id="{37E05831-9616-456A-8CCD-B4AF4756E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12</xdr:col>
      <xdr:colOff>9525</xdr:colOff>
      <xdr:row>35</xdr:row>
      <xdr:rowOff>142875</xdr:rowOff>
    </xdr:from>
    <xdr:to>
      <xdr:col>19</xdr:col>
      <xdr:colOff>361949</xdr:colOff>
      <xdr:row>51</xdr:row>
      <xdr:rowOff>82613</xdr:rowOff>
    </xdr:to>
    <xdr:pic>
      <xdr:nvPicPr>
        <xdr:cNvPr id="7" name="Afbeelding 6">
          <a:extLst>
            <a:ext uri="{FF2B5EF4-FFF2-40B4-BE49-F238E27FC236}">
              <a16:creationId xmlns:a16="http://schemas.microsoft.com/office/drawing/2014/main" id="{BBAA0FDB-C4EB-47F6-94EF-83D0BE3AAE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62950" y="6496050"/>
          <a:ext cx="5200649" cy="25305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19051</xdr:colOff>
      <xdr:row>54</xdr:row>
      <xdr:rowOff>133351</xdr:rowOff>
    </xdr:from>
    <xdr:to>
      <xdr:col>20</xdr:col>
      <xdr:colOff>64984</xdr:colOff>
      <xdr:row>72</xdr:row>
      <xdr:rowOff>95251</xdr:rowOff>
    </xdr:to>
    <xdr:pic>
      <xdr:nvPicPr>
        <xdr:cNvPr id="10" name="Afbeelding 9">
          <a:extLst>
            <a:ext uri="{FF2B5EF4-FFF2-40B4-BE49-F238E27FC236}">
              <a16:creationId xmlns:a16="http://schemas.microsoft.com/office/drawing/2014/main" id="{7ADFF9B0-2954-461B-B70E-90E83B77B6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72476" y="9563101"/>
          <a:ext cx="5503758" cy="2876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16535</xdr:colOff>
      <xdr:row>36</xdr:row>
      <xdr:rowOff>0</xdr:rowOff>
    </xdr:from>
    <xdr:to>
      <xdr:col>29</xdr:col>
      <xdr:colOff>304799</xdr:colOff>
      <xdr:row>51</xdr:row>
      <xdr:rowOff>66673</xdr:rowOff>
    </xdr:to>
    <xdr:pic>
      <xdr:nvPicPr>
        <xdr:cNvPr id="6" name="Afbeelding 5">
          <a:extLst>
            <a:ext uri="{FF2B5EF4-FFF2-40B4-BE49-F238E27FC236}">
              <a16:creationId xmlns:a16="http://schemas.microsoft.com/office/drawing/2014/main" id="{5C6AE31D-8AD5-4977-AF51-468FFE67693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494535" y="3343275"/>
          <a:ext cx="5165064" cy="24955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21</xdr:col>
      <xdr:colOff>0</xdr:colOff>
      <xdr:row>54</xdr:row>
      <xdr:rowOff>129918</xdr:rowOff>
    </xdr:from>
    <xdr:to>
      <xdr:col>30</xdr:col>
      <xdr:colOff>9525</xdr:colOff>
      <xdr:row>72</xdr:row>
      <xdr:rowOff>51287</xdr:rowOff>
    </xdr:to>
    <xdr:pic>
      <xdr:nvPicPr>
        <xdr:cNvPr id="11" name="Afbeelding 10">
          <a:extLst>
            <a:ext uri="{FF2B5EF4-FFF2-40B4-BE49-F238E27FC236}">
              <a16:creationId xmlns:a16="http://schemas.microsoft.com/office/drawing/2014/main" id="{161BC757-B560-4F9C-BEE7-DED4E9A9A4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478000" y="6387843"/>
          <a:ext cx="5495925" cy="2836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1000124</xdr:colOff>
      <xdr:row>10</xdr:row>
      <xdr:rowOff>42861</xdr:rowOff>
    </xdr:from>
    <xdr:to>
      <xdr:col>9</xdr:col>
      <xdr:colOff>600074</xdr:colOff>
      <xdr:row>24</xdr:row>
      <xdr:rowOff>161924</xdr:rowOff>
    </xdr:to>
    <xdr:graphicFrame macro="">
      <xdr:nvGraphicFramePr>
        <xdr:cNvPr id="2" name="Grafiek 1">
          <a:extLst>
            <a:ext uri="{FF2B5EF4-FFF2-40B4-BE49-F238E27FC236}">
              <a16:creationId xmlns:a16="http://schemas.microsoft.com/office/drawing/2014/main" id="{3A251BF9-0778-4642-9999-1CD8EADD5B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27</xdr:row>
      <xdr:rowOff>0</xdr:rowOff>
    </xdr:from>
    <xdr:to>
      <xdr:col>1</xdr:col>
      <xdr:colOff>0</xdr:colOff>
      <xdr:row>27</xdr:row>
      <xdr:rowOff>0</xdr:rowOff>
    </xdr:to>
    <xdr:graphicFrame macro="">
      <xdr:nvGraphicFramePr>
        <xdr:cNvPr id="2" name="Grafiek 1">
          <a:extLst>
            <a:ext uri="{FF2B5EF4-FFF2-40B4-BE49-F238E27FC236}">
              <a16:creationId xmlns:a16="http://schemas.microsoft.com/office/drawing/2014/main" id="{B03577A4-5418-46D5-B3BE-034DF968E5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1</xdr:col>
      <xdr:colOff>0</xdr:colOff>
      <xdr:row>27</xdr:row>
      <xdr:rowOff>0</xdr:rowOff>
    </xdr:to>
    <xdr:graphicFrame macro="">
      <xdr:nvGraphicFramePr>
        <xdr:cNvPr id="3" name="Grafiek 2">
          <a:extLst>
            <a:ext uri="{FF2B5EF4-FFF2-40B4-BE49-F238E27FC236}">
              <a16:creationId xmlns:a16="http://schemas.microsoft.com/office/drawing/2014/main" id="{5207CCEB-BC27-4F26-80D8-BC4A7EE9E8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0</xdr:rowOff>
    </xdr:from>
    <xdr:to>
      <xdr:col>1</xdr:col>
      <xdr:colOff>0</xdr:colOff>
      <xdr:row>27</xdr:row>
      <xdr:rowOff>0</xdr:rowOff>
    </xdr:to>
    <xdr:graphicFrame macro="">
      <xdr:nvGraphicFramePr>
        <xdr:cNvPr id="4" name="Grafiek 3">
          <a:extLst>
            <a:ext uri="{FF2B5EF4-FFF2-40B4-BE49-F238E27FC236}">
              <a16:creationId xmlns:a16="http://schemas.microsoft.com/office/drawing/2014/main" id="{3B2FF927-B84A-43F4-A80B-07FDAE5B34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27</xdr:row>
      <xdr:rowOff>0</xdr:rowOff>
    </xdr:from>
    <xdr:to>
      <xdr:col>1</xdr:col>
      <xdr:colOff>0</xdr:colOff>
      <xdr:row>27</xdr:row>
      <xdr:rowOff>0</xdr:rowOff>
    </xdr:to>
    <xdr:graphicFrame macro="">
      <xdr:nvGraphicFramePr>
        <xdr:cNvPr id="5" name="Grafiek 4">
          <a:extLst>
            <a:ext uri="{FF2B5EF4-FFF2-40B4-BE49-F238E27FC236}">
              <a16:creationId xmlns:a16="http://schemas.microsoft.com/office/drawing/2014/main" id="{504A4C1A-CC32-40E3-A98A-F6ED4A6047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27</xdr:row>
      <xdr:rowOff>0</xdr:rowOff>
    </xdr:from>
    <xdr:to>
      <xdr:col>1</xdr:col>
      <xdr:colOff>0</xdr:colOff>
      <xdr:row>27</xdr:row>
      <xdr:rowOff>0</xdr:rowOff>
    </xdr:to>
    <xdr:graphicFrame macro="">
      <xdr:nvGraphicFramePr>
        <xdr:cNvPr id="6" name="Grafiek 5">
          <a:extLst>
            <a:ext uri="{FF2B5EF4-FFF2-40B4-BE49-F238E27FC236}">
              <a16:creationId xmlns:a16="http://schemas.microsoft.com/office/drawing/2014/main" id="{901A0D44-C19D-4152-ADD5-F27C670A3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27</xdr:row>
      <xdr:rowOff>0</xdr:rowOff>
    </xdr:from>
    <xdr:to>
      <xdr:col>1</xdr:col>
      <xdr:colOff>0</xdr:colOff>
      <xdr:row>27</xdr:row>
      <xdr:rowOff>0</xdr:rowOff>
    </xdr:to>
    <xdr:graphicFrame macro="">
      <xdr:nvGraphicFramePr>
        <xdr:cNvPr id="7" name="Grafiek 6">
          <a:extLst>
            <a:ext uri="{FF2B5EF4-FFF2-40B4-BE49-F238E27FC236}">
              <a16:creationId xmlns:a16="http://schemas.microsoft.com/office/drawing/2014/main" id="{EAE05D94-5DD3-47E8-898F-AA88756DEB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9525</xdr:colOff>
      <xdr:row>28</xdr:row>
      <xdr:rowOff>19050</xdr:rowOff>
    </xdr:from>
    <xdr:to>
      <xdr:col>1</xdr:col>
      <xdr:colOff>0</xdr:colOff>
      <xdr:row>43</xdr:row>
      <xdr:rowOff>0</xdr:rowOff>
    </xdr:to>
    <xdr:graphicFrame macro="">
      <xdr:nvGraphicFramePr>
        <xdr:cNvPr id="8" name="Grafiek 7">
          <a:extLst>
            <a:ext uri="{FF2B5EF4-FFF2-40B4-BE49-F238E27FC236}">
              <a16:creationId xmlns:a16="http://schemas.microsoft.com/office/drawing/2014/main" id="{346FF02D-8411-4987-9727-E2C35688EA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28</xdr:row>
      <xdr:rowOff>19050</xdr:rowOff>
    </xdr:from>
    <xdr:to>
      <xdr:col>3</xdr:col>
      <xdr:colOff>1171575</xdr:colOff>
      <xdr:row>43</xdr:row>
      <xdr:rowOff>0</xdr:rowOff>
    </xdr:to>
    <xdr:graphicFrame macro="">
      <xdr:nvGraphicFramePr>
        <xdr:cNvPr id="9" name="Grafiek 8">
          <a:extLst>
            <a:ext uri="{FF2B5EF4-FFF2-40B4-BE49-F238E27FC236}">
              <a16:creationId xmlns:a16="http://schemas.microsoft.com/office/drawing/2014/main" id="{F7CD4707-F324-4C02-B52F-0C1E5BF079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93</xdr:row>
      <xdr:rowOff>9525</xdr:rowOff>
    </xdr:from>
    <xdr:to>
      <xdr:col>0</xdr:col>
      <xdr:colOff>2686050</xdr:colOff>
      <xdr:row>108</xdr:row>
      <xdr:rowOff>123825</xdr:rowOff>
    </xdr:to>
    <xdr:graphicFrame macro="">
      <xdr:nvGraphicFramePr>
        <xdr:cNvPr id="10" name="Grafiek 12">
          <a:extLst>
            <a:ext uri="{FF2B5EF4-FFF2-40B4-BE49-F238E27FC236}">
              <a16:creationId xmlns:a16="http://schemas.microsoft.com/office/drawing/2014/main" id="{42431428-DE90-4CEF-B588-C0A020FD3A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28575</xdr:colOff>
      <xdr:row>93</xdr:row>
      <xdr:rowOff>19050</xdr:rowOff>
    </xdr:from>
    <xdr:to>
      <xdr:col>4</xdr:col>
      <xdr:colOff>28575</xdr:colOff>
      <xdr:row>108</xdr:row>
      <xdr:rowOff>133350</xdr:rowOff>
    </xdr:to>
    <xdr:graphicFrame macro="">
      <xdr:nvGraphicFramePr>
        <xdr:cNvPr id="11" name="Grafiek 13">
          <a:extLst>
            <a:ext uri="{FF2B5EF4-FFF2-40B4-BE49-F238E27FC236}">
              <a16:creationId xmlns:a16="http://schemas.microsoft.com/office/drawing/2014/main" id="{2306234E-DFE9-4A3A-983A-E045DE2739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19050</xdr:colOff>
      <xdr:row>44</xdr:row>
      <xdr:rowOff>28575</xdr:rowOff>
    </xdr:from>
    <xdr:to>
      <xdr:col>3</xdr:col>
      <xdr:colOff>904875</xdr:colOff>
      <xdr:row>58</xdr:row>
      <xdr:rowOff>152400</xdr:rowOff>
    </xdr:to>
    <xdr:graphicFrame macro="">
      <xdr:nvGraphicFramePr>
        <xdr:cNvPr id="12" name="Grafiek 16">
          <a:extLst>
            <a:ext uri="{FF2B5EF4-FFF2-40B4-BE49-F238E27FC236}">
              <a16:creationId xmlns:a16="http://schemas.microsoft.com/office/drawing/2014/main" id="{3975A138-9CEB-40AE-92DF-90D448031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110</xdr:row>
      <xdr:rowOff>19050</xdr:rowOff>
    </xdr:from>
    <xdr:to>
      <xdr:col>3</xdr:col>
      <xdr:colOff>876300</xdr:colOff>
      <xdr:row>126</xdr:row>
      <xdr:rowOff>142875</xdr:rowOff>
    </xdr:to>
    <xdr:graphicFrame macro="">
      <xdr:nvGraphicFramePr>
        <xdr:cNvPr id="13" name="Grafiek 17">
          <a:extLst>
            <a:ext uri="{FF2B5EF4-FFF2-40B4-BE49-F238E27FC236}">
              <a16:creationId xmlns:a16="http://schemas.microsoft.com/office/drawing/2014/main" id="{09AC4A69-5864-4F42-923E-A387EBA181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76199</xdr:colOff>
      <xdr:row>110</xdr:row>
      <xdr:rowOff>19050</xdr:rowOff>
    </xdr:from>
    <xdr:to>
      <xdr:col>7</xdr:col>
      <xdr:colOff>266699</xdr:colOff>
      <xdr:row>126</xdr:row>
      <xdr:rowOff>133350</xdr:rowOff>
    </xdr:to>
    <xdr:graphicFrame macro="">
      <xdr:nvGraphicFramePr>
        <xdr:cNvPr id="14" name="Grafiek 18">
          <a:extLst>
            <a:ext uri="{FF2B5EF4-FFF2-40B4-BE49-F238E27FC236}">
              <a16:creationId xmlns:a16="http://schemas.microsoft.com/office/drawing/2014/main" id="{99B43ECA-0471-4C40-AB50-6D0E7E2BEC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128</xdr:row>
      <xdr:rowOff>19050</xdr:rowOff>
    </xdr:from>
    <xdr:to>
      <xdr:col>0</xdr:col>
      <xdr:colOff>2695575</xdr:colOff>
      <xdr:row>143</xdr:row>
      <xdr:rowOff>104775</xdr:rowOff>
    </xdr:to>
    <xdr:graphicFrame macro="">
      <xdr:nvGraphicFramePr>
        <xdr:cNvPr id="15" name="Grafiek 19">
          <a:extLst>
            <a:ext uri="{FF2B5EF4-FFF2-40B4-BE49-F238E27FC236}">
              <a16:creationId xmlns:a16="http://schemas.microsoft.com/office/drawing/2014/main" id="{ADCB51EE-54A3-4906-9716-18D66BBAB0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19050</xdr:colOff>
      <xdr:row>128</xdr:row>
      <xdr:rowOff>19050</xdr:rowOff>
    </xdr:from>
    <xdr:to>
      <xdr:col>4</xdr:col>
      <xdr:colOff>19050</xdr:colOff>
      <xdr:row>143</xdr:row>
      <xdr:rowOff>114300</xdr:rowOff>
    </xdr:to>
    <xdr:graphicFrame macro="">
      <xdr:nvGraphicFramePr>
        <xdr:cNvPr id="16" name="Grafiek 20">
          <a:extLst>
            <a:ext uri="{FF2B5EF4-FFF2-40B4-BE49-F238E27FC236}">
              <a16:creationId xmlns:a16="http://schemas.microsoft.com/office/drawing/2014/main" id="{3304CEC2-937C-4270-A9F7-F06CA784D4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60</xdr:row>
      <xdr:rowOff>19051</xdr:rowOff>
    </xdr:from>
    <xdr:to>
      <xdr:col>3</xdr:col>
      <xdr:colOff>904875</xdr:colOff>
      <xdr:row>74</xdr:row>
      <xdr:rowOff>133351</xdr:rowOff>
    </xdr:to>
    <xdr:graphicFrame macro="">
      <xdr:nvGraphicFramePr>
        <xdr:cNvPr id="17" name="Grafiek 21">
          <a:extLst>
            <a:ext uri="{FF2B5EF4-FFF2-40B4-BE49-F238E27FC236}">
              <a16:creationId xmlns:a16="http://schemas.microsoft.com/office/drawing/2014/main" id="{762DD72E-DDC6-4345-ACAB-663AC891C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76</xdr:row>
      <xdr:rowOff>0</xdr:rowOff>
    </xdr:from>
    <xdr:to>
      <xdr:col>3</xdr:col>
      <xdr:colOff>895349</xdr:colOff>
      <xdr:row>91</xdr:row>
      <xdr:rowOff>123825</xdr:rowOff>
    </xdr:to>
    <xdr:graphicFrame macro="">
      <xdr:nvGraphicFramePr>
        <xdr:cNvPr id="18" name="Grafiek 22">
          <a:extLst>
            <a:ext uri="{FF2B5EF4-FFF2-40B4-BE49-F238E27FC236}">
              <a16:creationId xmlns:a16="http://schemas.microsoft.com/office/drawing/2014/main" id="{FA833629-A692-4CA6-BE86-02A6C008A2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30</xdr:row>
      <xdr:rowOff>0</xdr:rowOff>
    </xdr:from>
    <xdr:to>
      <xdr:col>1</xdr:col>
      <xdr:colOff>0</xdr:colOff>
      <xdr:row>30</xdr:row>
      <xdr:rowOff>0</xdr:rowOff>
    </xdr:to>
    <xdr:graphicFrame macro="">
      <xdr:nvGraphicFramePr>
        <xdr:cNvPr id="2" name="Grafiek 1">
          <a:extLst>
            <a:ext uri="{FF2B5EF4-FFF2-40B4-BE49-F238E27FC236}">
              <a16:creationId xmlns:a16="http://schemas.microsoft.com/office/drawing/2014/main" id="{C44E35CD-3038-425D-B2BC-2518E8B9A2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0</xdr:rowOff>
    </xdr:from>
    <xdr:to>
      <xdr:col>1</xdr:col>
      <xdr:colOff>0</xdr:colOff>
      <xdr:row>30</xdr:row>
      <xdr:rowOff>0</xdr:rowOff>
    </xdr:to>
    <xdr:graphicFrame macro="">
      <xdr:nvGraphicFramePr>
        <xdr:cNvPr id="3" name="Grafiek 2">
          <a:extLst>
            <a:ext uri="{FF2B5EF4-FFF2-40B4-BE49-F238E27FC236}">
              <a16:creationId xmlns:a16="http://schemas.microsoft.com/office/drawing/2014/main" id="{3266890B-940F-4826-B91B-F6A87A354E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30</xdr:row>
      <xdr:rowOff>0</xdr:rowOff>
    </xdr:from>
    <xdr:to>
      <xdr:col>1</xdr:col>
      <xdr:colOff>0</xdr:colOff>
      <xdr:row>30</xdr:row>
      <xdr:rowOff>0</xdr:rowOff>
    </xdr:to>
    <xdr:graphicFrame macro="">
      <xdr:nvGraphicFramePr>
        <xdr:cNvPr id="4" name="Grafiek 3">
          <a:extLst>
            <a:ext uri="{FF2B5EF4-FFF2-40B4-BE49-F238E27FC236}">
              <a16:creationId xmlns:a16="http://schemas.microsoft.com/office/drawing/2014/main" id="{10767499-5B76-418E-8028-4F85F74A37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30</xdr:row>
      <xdr:rowOff>0</xdr:rowOff>
    </xdr:from>
    <xdr:to>
      <xdr:col>1</xdr:col>
      <xdr:colOff>0</xdr:colOff>
      <xdr:row>30</xdr:row>
      <xdr:rowOff>0</xdr:rowOff>
    </xdr:to>
    <xdr:graphicFrame macro="">
      <xdr:nvGraphicFramePr>
        <xdr:cNvPr id="5" name="Grafiek 4">
          <a:extLst>
            <a:ext uri="{FF2B5EF4-FFF2-40B4-BE49-F238E27FC236}">
              <a16:creationId xmlns:a16="http://schemas.microsoft.com/office/drawing/2014/main" id="{EE73D492-5AE6-4266-A0AB-FE7D52BAB8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0</xdr:rowOff>
    </xdr:from>
    <xdr:to>
      <xdr:col>1</xdr:col>
      <xdr:colOff>0</xdr:colOff>
      <xdr:row>30</xdr:row>
      <xdr:rowOff>0</xdr:rowOff>
    </xdr:to>
    <xdr:graphicFrame macro="">
      <xdr:nvGraphicFramePr>
        <xdr:cNvPr id="6" name="Grafiek 5">
          <a:extLst>
            <a:ext uri="{FF2B5EF4-FFF2-40B4-BE49-F238E27FC236}">
              <a16:creationId xmlns:a16="http://schemas.microsoft.com/office/drawing/2014/main" id="{BABEBDD1-FDEF-4391-A832-FB922587D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30</xdr:row>
      <xdr:rowOff>0</xdr:rowOff>
    </xdr:from>
    <xdr:to>
      <xdr:col>1</xdr:col>
      <xdr:colOff>0</xdr:colOff>
      <xdr:row>30</xdr:row>
      <xdr:rowOff>0</xdr:rowOff>
    </xdr:to>
    <xdr:graphicFrame macro="">
      <xdr:nvGraphicFramePr>
        <xdr:cNvPr id="7" name="Grafiek 6">
          <a:extLst>
            <a:ext uri="{FF2B5EF4-FFF2-40B4-BE49-F238E27FC236}">
              <a16:creationId xmlns:a16="http://schemas.microsoft.com/office/drawing/2014/main" id="{69CA53A8-E935-452C-B32B-27FAD9D10B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19050</xdr:colOff>
      <xdr:row>47</xdr:row>
      <xdr:rowOff>0</xdr:rowOff>
    </xdr:from>
    <xdr:to>
      <xdr:col>1</xdr:col>
      <xdr:colOff>0</xdr:colOff>
      <xdr:row>57</xdr:row>
      <xdr:rowOff>161925</xdr:rowOff>
    </xdr:to>
    <xdr:graphicFrame macro="">
      <xdr:nvGraphicFramePr>
        <xdr:cNvPr id="8" name="Grafiek 9">
          <a:extLst>
            <a:ext uri="{FF2B5EF4-FFF2-40B4-BE49-F238E27FC236}">
              <a16:creationId xmlns:a16="http://schemas.microsoft.com/office/drawing/2014/main" id="{81291C44-0E0F-46CE-AF16-08B5AD2949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28575</xdr:colOff>
      <xdr:row>47</xdr:row>
      <xdr:rowOff>0</xdr:rowOff>
    </xdr:from>
    <xdr:to>
      <xdr:col>3</xdr:col>
      <xdr:colOff>1371600</xdr:colOff>
      <xdr:row>57</xdr:row>
      <xdr:rowOff>161925</xdr:rowOff>
    </xdr:to>
    <xdr:graphicFrame macro="">
      <xdr:nvGraphicFramePr>
        <xdr:cNvPr id="9" name="Grafiek 10">
          <a:extLst>
            <a:ext uri="{FF2B5EF4-FFF2-40B4-BE49-F238E27FC236}">
              <a16:creationId xmlns:a16="http://schemas.microsoft.com/office/drawing/2014/main" id="{742A6069-E634-43B8-8D29-C16F62C505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19050</xdr:colOff>
      <xdr:row>58</xdr:row>
      <xdr:rowOff>0</xdr:rowOff>
    </xdr:from>
    <xdr:to>
      <xdr:col>1</xdr:col>
      <xdr:colOff>0</xdr:colOff>
      <xdr:row>68</xdr:row>
      <xdr:rowOff>161925</xdr:rowOff>
    </xdr:to>
    <xdr:graphicFrame macro="">
      <xdr:nvGraphicFramePr>
        <xdr:cNvPr id="10" name="Grafiek 11">
          <a:extLst>
            <a:ext uri="{FF2B5EF4-FFF2-40B4-BE49-F238E27FC236}">
              <a16:creationId xmlns:a16="http://schemas.microsoft.com/office/drawing/2014/main" id="{61FDCA52-6CEB-4D5E-BB0E-29BAAA32D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74</xdr:row>
      <xdr:rowOff>76200</xdr:rowOff>
    </xdr:from>
    <xdr:to>
      <xdr:col>2</xdr:col>
      <xdr:colOff>190500</xdr:colOff>
      <xdr:row>85</xdr:row>
      <xdr:rowOff>76200</xdr:rowOff>
    </xdr:to>
    <xdr:graphicFrame macro="">
      <xdr:nvGraphicFramePr>
        <xdr:cNvPr id="11" name="Grafiek 15">
          <a:extLst>
            <a:ext uri="{FF2B5EF4-FFF2-40B4-BE49-F238E27FC236}">
              <a16:creationId xmlns:a16="http://schemas.microsoft.com/office/drawing/2014/main" id="{B54DC5B1-4182-4FB5-80DF-D5CB52C309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109537</xdr:colOff>
      <xdr:row>23</xdr:row>
      <xdr:rowOff>109537</xdr:rowOff>
    </xdr:from>
    <xdr:to>
      <xdr:col>2</xdr:col>
      <xdr:colOff>809625</xdr:colOff>
      <xdr:row>35</xdr:row>
      <xdr:rowOff>104775</xdr:rowOff>
    </xdr:to>
    <xdr:graphicFrame macro="">
      <xdr:nvGraphicFramePr>
        <xdr:cNvPr id="12" name="Grafiek 11">
          <a:extLst>
            <a:ext uri="{FF2B5EF4-FFF2-40B4-BE49-F238E27FC236}">
              <a16:creationId xmlns:a16="http://schemas.microsoft.com/office/drawing/2014/main" id="{FDE25234-4FA0-498D-9CEB-2222743BBB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5</xdr:row>
      <xdr:rowOff>76201</xdr:rowOff>
    </xdr:from>
    <xdr:to>
      <xdr:col>0</xdr:col>
      <xdr:colOff>2533650</xdr:colOff>
      <xdr:row>17</xdr:row>
      <xdr:rowOff>90487</xdr:rowOff>
    </xdr:to>
    <xdr:graphicFrame macro="">
      <xdr:nvGraphicFramePr>
        <xdr:cNvPr id="13" name="Grafiek 12">
          <a:extLst>
            <a:ext uri="{FF2B5EF4-FFF2-40B4-BE49-F238E27FC236}">
              <a16:creationId xmlns:a16="http://schemas.microsoft.com/office/drawing/2014/main" id="{A62AE999-6B99-47F1-98CE-EFC7E9A70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2581275</xdr:colOff>
      <xdr:row>5</xdr:row>
      <xdr:rowOff>85724</xdr:rowOff>
    </xdr:from>
    <xdr:to>
      <xdr:col>4</xdr:col>
      <xdr:colOff>0</xdr:colOff>
      <xdr:row>17</xdr:row>
      <xdr:rowOff>95249</xdr:rowOff>
    </xdr:to>
    <xdr:graphicFrame macro="">
      <xdr:nvGraphicFramePr>
        <xdr:cNvPr id="14" name="Grafiek 13">
          <a:extLst>
            <a:ext uri="{FF2B5EF4-FFF2-40B4-BE49-F238E27FC236}">
              <a16:creationId xmlns:a16="http://schemas.microsoft.com/office/drawing/2014/main" id="{E10442C8-4425-4AFD-A6FC-1E3A46646A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28576</xdr:colOff>
      <xdr:row>143</xdr:row>
      <xdr:rowOff>152400</xdr:rowOff>
    </xdr:from>
    <xdr:to>
      <xdr:col>2</xdr:col>
      <xdr:colOff>9526</xdr:colOff>
      <xdr:row>159</xdr:row>
      <xdr:rowOff>133350</xdr:rowOff>
    </xdr:to>
    <xdr:graphicFrame macro="">
      <xdr:nvGraphicFramePr>
        <xdr:cNvPr id="2" name="Grafiek 1">
          <a:extLst>
            <a:ext uri="{FF2B5EF4-FFF2-40B4-BE49-F238E27FC236}">
              <a16:creationId xmlns:a16="http://schemas.microsoft.com/office/drawing/2014/main" id="{35C49FA2-9884-42EB-A3DD-BE9E35E22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161</xdr:row>
      <xdr:rowOff>152400</xdr:rowOff>
    </xdr:from>
    <xdr:to>
      <xdr:col>0</xdr:col>
      <xdr:colOff>3048000</xdr:colOff>
      <xdr:row>178</xdr:row>
      <xdr:rowOff>9525</xdr:rowOff>
    </xdr:to>
    <xdr:graphicFrame macro="">
      <xdr:nvGraphicFramePr>
        <xdr:cNvPr id="3" name="Grafiek 2">
          <a:extLst>
            <a:ext uri="{FF2B5EF4-FFF2-40B4-BE49-F238E27FC236}">
              <a16:creationId xmlns:a16="http://schemas.microsoft.com/office/drawing/2014/main" id="{B5C2515B-FDCC-4373-99A4-A046F25824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95251</xdr:colOff>
      <xdr:row>143</xdr:row>
      <xdr:rowOff>142875</xdr:rowOff>
    </xdr:from>
    <xdr:to>
      <xdr:col>4</xdr:col>
      <xdr:colOff>904875</xdr:colOff>
      <xdr:row>159</xdr:row>
      <xdr:rowOff>123825</xdr:rowOff>
    </xdr:to>
    <xdr:graphicFrame macro="">
      <xdr:nvGraphicFramePr>
        <xdr:cNvPr id="5" name="Grafiek 10">
          <a:extLst>
            <a:ext uri="{FF2B5EF4-FFF2-40B4-BE49-F238E27FC236}">
              <a16:creationId xmlns:a16="http://schemas.microsoft.com/office/drawing/2014/main" id="{7259AC0B-CE82-431E-AF38-A576F2E6D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28576</xdr:colOff>
      <xdr:row>13</xdr:row>
      <xdr:rowOff>19051</xdr:rowOff>
    </xdr:from>
    <xdr:to>
      <xdr:col>0</xdr:col>
      <xdr:colOff>3038475</xdr:colOff>
      <xdr:row>29</xdr:row>
      <xdr:rowOff>57151</xdr:rowOff>
    </xdr:to>
    <xdr:graphicFrame macro="">
      <xdr:nvGraphicFramePr>
        <xdr:cNvPr id="6" name="Grafiek 12">
          <a:extLst>
            <a:ext uri="{FF2B5EF4-FFF2-40B4-BE49-F238E27FC236}">
              <a16:creationId xmlns:a16="http://schemas.microsoft.com/office/drawing/2014/main" id="{BFF67303-C359-43FD-A598-31F995872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55</xdr:row>
      <xdr:rowOff>9525</xdr:rowOff>
    </xdr:from>
    <xdr:to>
      <xdr:col>6</xdr:col>
      <xdr:colOff>9525</xdr:colOff>
      <xdr:row>79</xdr:row>
      <xdr:rowOff>0</xdr:rowOff>
    </xdr:to>
    <xdr:graphicFrame macro="">
      <xdr:nvGraphicFramePr>
        <xdr:cNvPr id="7" name="Grafiek 14">
          <a:extLst>
            <a:ext uri="{FF2B5EF4-FFF2-40B4-BE49-F238E27FC236}">
              <a16:creationId xmlns:a16="http://schemas.microsoft.com/office/drawing/2014/main" id="{AE6F432E-5248-4F0A-8DE9-BCB8154D30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28574</xdr:colOff>
      <xdr:row>110</xdr:row>
      <xdr:rowOff>47626</xdr:rowOff>
    </xdr:from>
    <xdr:to>
      <xdr:col>3</xdr:col>
      <xdr:colOff>19049</xdr:colOff>
      <xdr:row>125</xdr:row>
      <xdr:rowOff>57151</xdr:rowOff>
    </xdr:to>
    <xdr:graphicFrame macro="">
      <xdr:nvGraphicFramePr>
        <xdr:cNvPr id="8" name="Grafiek 15">
          <a:extLst>
            <a:ext uri="{FF2B5EF4-FFF2-40B4-BE49-F238E27FC236}">
              <a16:creationId xmlns:a16="http://schemas.microsoft.com/office/drawing/2014/main" id="{2A6C8EF7-DF79-4453-AF8B-FB7584F493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2609850</xdr:colOff>
      <xdr:row>162</xdr:row>
      <xdr:rowOff>0</xdr:rowOff>
    </xdr:from>
    <xdr:to>
      <xdr:col>4</xdr:col>
      <xdr:colOff>1009651</xdr:colOff>
      <xdr:row>178</xdr:row>
      <xdr:rowOff>9525</xdr:rowOff>
    </xdr:to>
    <xdr:graphicFrame macro="">
      <xdr:nvGraphicFramePr>
        <xdr:cNvPr id="9" name="Grafiek 19">
          <a:extLst>
            <a:ext uri="{FF2B5EF4-FFF2-40B4-BE49-F238E27FC236}">
              <a16:creationId xmlns:a16="http://schemas.microsoft.com/office/drawing/2014/main" id="{C68F3B78-A93E-4176-8BFD-19E740FA4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84</xdr:row>
      <xdr:rowOff>0</xdr:rowOff>
    </xdr:from>
    <xdr:to>
      <xdr:col>4</xdr:col>
      <xdr:colOff>1000125</xdr:colOff>
      <xdr:row>95</xdr:row>
      <xdr:rowOff>9525</xdr:rowOff>
    </xdr:to>
    <xdr:graphicFrame macro="">
      <xdr:nvGraphicFramePr>
        <xdr:cNvPr id="10" name="Grafiek 14">
          <a:extLst>
            <a:ext uri="{FF2B5EF4-FFF2-40B4-BE49-F238E27FC236}">
              <a16:creationId xmlns:a16="http://schemas.microsoft.com/office/drawing/2014/main" id="{3360BDD2-5AA6-496A-B5A2-589D81537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19050</xdr:colOff>
      <xdr:row>13</xdr:row>
      <xdr:rowOff>19050</xdr:rowOff>
    </xdr:from>
    <xdr:to>
      <xdr:col>3</xdr:col>
      <xdr:colOff>1038225</xdr:colOff>
      <xdr:row>29</xdr:row>
      <xdr:rowOff>66674</xdr:rowOff>
    </xdr:to>
    <xdr:graphicFrame macro="">
      <xdr:nvGraphicFramePr>
        <xdr:cNvPr id="11" name="Grafiek 12">
          <a:extLst>
            <a:ext uri="{FF2B5EF4-FFF2-40B4-BE49-F238E27FC236}">
              <a16:creationId xmlns:a16="http://schemas.microsoft.com/office/drawing/2014/main" id="{20A1FD2B-92D9-431D-ADA3-A5E9DDBE1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182</xdr:row>
      <xdr:rowOff>0</xdr:rowOff>
    </xdr:from>
    <xdr:to>
      <xdr:col>3</xdr:col>
      <xdr:colOff>133350</xdr:colOff>
      <xdr:row>198</xdr:row>
      <xdr:rowOff>66675</xdr:rowOff>
    </xdr:to>
    <xdr:graphicFrame macro="">
      <xdr:nvGraphicFramePr>
        <xdr:cNvPr id="12" name="Grafiek 11">
          <a:extLst>
            <a:ext uri="{FF2B5EF4-FFF2-40B4-BE49-F238E27FC236}">
              <a16:creationId xmlns:a16="http://schemas.microsoft.com/office/drawing/2014/main" id="{737A9D20-B34D-44F0-9449-61A9458C4D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49</xdr:row>
      <xdr:rowOff>0</xdr:rowOff>
    </xdr:from>
    <xdr:to>
      <xdr:col>1</xdr:col>
      <xdr:colOff>0</xdr:colOff>
      <xdr:row>49</xdr:row>
      <xdr:rowOff>0</xdr:rowOff>
    </xdr:to>
    <xdr:graphicFrame macro="">
      <xdr:nvGraphicFramePr>
        <xdr:cNvPr id="2" name="Grafiek 1">
          <a:extLst>
            <a:ext uri="{FF2B5EF4-FFF2-40B4-BE49-F238E27FC236}">
              <a16:creationId xmlns:a16="http://schemas.microsoft.com/office/drawing/2014/main" id="{15629CA0-4F6A-4548-B130-F3BC961CE1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3" name="Grafiek 2">
          <a:extLst>
            <a:ext uri="{FF2B5EF4-FFF2-40B4-BE49-F238E27FC236}">
              <a16:creationId xmlns:a16="http://schemas.microsoft.com/office/drawing/2014/main" id="{8BDBF0F7-4ABF-4769-BCB8-4F45FFB17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4" name="Grafiek 3">
          <a:extLst>
            <a:ext uri="{FF2B5EF4-FFF2-40B4-BE49-F238E27FC236}">
              <a16:creationId xmlns:a16="http://schemas.microsoft.com/office/drawing/2014/main" id="{E5DC0B19-854E-4427-81B7-BEB2D746C1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5" name="Grafiek 4">
          <a:extLst>
            <a:ext uri="{FF2B5EF4-FFF2-40B4-BE49-F238E27FC236}">
              <a16:creationId xmlns:a16="http://schemas.microsoft.com/office/drawing/2014/main" id="{06EFDC19-95BC-482F-A699-77E3B337A6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6" name="Grafiek 5">
          <a:extLst>
            <a:ext uri="{FF2B5EF4-FFF2-40B4-BE49-F238E27FC236}">
              <a16:creationId xmlns:a16="http://schemas.microsoft.com/office/drawing/2014/main" id="{8F578D1B-6DCB-40B8-9A85-7A4C28CDFE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49</xdr:row>
      <xdr:rowOff>0</xdr:rowOff>
    </xdr:from>
    <xdr:to>
      <xdr:col>1</xdr:col>
      <xdr:colOff>0</xdr:colOff>
      <xdr:row>49</xdr:row>
      <xdr:rowOff>0</xdr:rowOff>
    </xdr:to>
    <xdr:graphicFrame macro="">
      <xdr:nvGraphicFramePr>
        <xdr:cNvPr id="7" name="Grafiek 6">
          <a:extLst>
            <a:ext uri="{FF2B5EF4-FFF2-40B4-BE49-F238E27FC236}">
              <a16:creationId xmlns:a16="http://schemas.microsoft.com/office/drawing/2014/main" id="{3EE8081C-0538-4EB6-BA6F-C0F959719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4</xdr:row>
      <xdr:rowOff>158749</xdr:rowOff>
    </xdr:from>
    <xdr:to>
      <xdr:col>0</xdr:col>
      <xdr:colOff>2706158</xdr:colOff>
      <xdr:row>22</xdr:row>
      <xdr:rowOff>31748</xdr:rowOff>
    </xdr:to>
    <xdr:graphicFrame macro="">
      <xdr:nvGraphicFramePr>
        <xdr:cNvPr id="9" name="Grafiek 8">
          <a:extLst>
            <a:ext uri="{FF2B5EF4-FFF2-40B4-BE49-F238E27FC236}">
              <a16:creationId xmlns:a16="http://schemas.microsoft.com/office/drawing/2014/main" id="{93C0BB27-6A4A-4AAB-9E87-9301AE9E5D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20109</xdr:colOff>
      <xdr:row>30</xdr:row>
      <xdr:rowOff>104775</xdr:rowOff>
    </xdr:from>
    <xdr:to>
      <xdr:col>1</xdr:col>
      <xdr:colOff>10583</xdr:colOff>
      <xdr:row>46</xdr:row>
      <xdr:rowOff>116416</xdr:rowOff>
    </xdr:to>
    <xdr:graphicFrame macro="">
      <xdr:nvGraphicFramePr>
        <xdr:cNvPr id="10" name="Grafiek 10">
          <a:extLst>
            <a:ext uri="{FF2B5EF4-FFF2-40B4-BE49-F238E27FC236}">
              <a16:creationId xmlns:a16="http://schemas.microsoft.com/office/drawing/2014/main" id="{1B3B0C30-E130-4F31-A203-515F6A7938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54</xdr:row>
      <xdr:rowOff>0</xdr:rowOff>
    </xdr:from>
    <xdr:to>
      <xdr:col>1</xdr:col>
      <xdr:colOff>0</xdr:colOff>
      <xdr:row>54</xdr:row>
      <xdr:rowOff>0</xdr:rowOff>
    </xdr:to>
    <xdr:graphicFrame macro="">
      <xdr:nvGraphicFramePr>
        <xdr:cNvPr id="2" name="Grafiek 1">
          <a:extLst>
            <a:ext uri="{FF2B5EF4-FFF2-40B4-BE49-F238E27FC236}">
              <a16:creationId xmlns:a16="http://schemas.microsoft.com/office/drawing/2014/main" id="{58530D28-BB1B-44B7-AC99-BEB566B05D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54</xdr:row>
      <xdr:rowOff>0</xdr:rowOff>
    </xdr:from>
    <xdr:to>
      <xdr:col>1</xdr:col>
      <xdr:colOff>0</xdr:colOff>
      <xdr:row>54</xdr:row>
      <xdr:rowOff>0</xdr:rowOff>
    </xdr:to>
    <xdr:graphicFrame macro="">
      <xdr:nvGraphicFramePr>
        <xdr:cNvPr id="3" name="Grafiek 2">
          <a:extLst>
            <a:ext uri="{FF2B5EF4-FFF2-40B4-BE49-F238E27FC236}">
              <a16:creationId xmlns:a16="http://schemas.microsoft.com/office/drawing/2014/main" id="{676D89B3-FCBD-458E-93AB-A6D7B887EC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0</xdr:rowOff>
    </xdr:from>
    <xdr:to>
      <xdr:col>1</xdr:col>
      <xdr:colOff>0</xdr:colOff>
      <xdr:row>54</xdr:row>
      <xdr:rowOff>0</xdr:rowOff>
    </xdr:to>
    <xdr:graphicFrame macro="">
      <xdr:nvGraphicFramePr>
        <xdr:cNvPr id="4" name="Grafiek 3">
          <a:extLst>
            <a:ext uri="{FF2B5EF4-FFF2-40B4-BE49-F238E27FC236}">
              <a16:creationId xmlns:a16="http://schemas.microsoft.com/office/drawing/2014/main" id="{F5A6A4ED-230A-4DB3-92C8-FE7D363DD7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0</xdr:rowOff>
    </xdr:from>
    <xdr:to>
      <xdr:col>1</xdr:col>
      <xdr:colOff>0</xdr:colOff>
      <xdr:row>54</xdr:row>
      <xdr:rowOff>0</xdr:rowOff>
    </xdr:to>
    <xdr:graphicFrame macro="">
      <xdr:nvGraphicFramePr>
        <xdr:cNvPr id="5" name="Grafiek 4">
          <a:extLst>
            <a:ext uri="{FF2B5EF4-FFF2-40B4-BE49-F238E27FC236}">
              <a16:creationId xmlns:a16="http://schemas.microsoft.com/office/drawing/2014/main" id="{5C66D5ED-DD8E-411C-A9E4-5CF744B8B4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54</xdr:row>
      <xdr:rowOff>0</xdr:rowOff>
    </xdr:from>
    <xdr:to>
      <xdr:col>1</xdr:col>
      <xdr:colOff>0</xdr:colOff>
      <xdr:row>54</xdr:row>
      <xdr:rowOff>0</xdr:rowOff>
    </xdr:to>
    <xdr:graphicFrame macro="">
      <xdr:nvGraphicFramePr>
        <xdr:cNvPr id="6" name="Grafiek 5">
          <a:extLst>
            <a:ext uri="{FF2B5EF4-FFF2-40B4-BE49-F238E27FC236}">
              <a16:creationId xmlns:a16="http://schemas.microsoft.com/office/drawing/2014/main" id="{FD17CDD4-DEE2-4F4F-86AE-B8DC4A3BB0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54</xdr:row>
      <xdr:rowOff>0</xdr:rowOff>
    </xdr:from>
    <xdr:to>
      <xdr:col>1</xdr:col>
      <xdr:colOff>0</xdr:colOff>
      <xdr:row>54</xdr:row>
      <xdr:rowOff>0</xdr:rowOff>
    </xdr:to>
    <xdr:graphicFrame macro="">
      <xdr:nvGraphicFramePr>
        <xdr:cNvPr id="7" name="Grafiek 6">
          <a:extLst>
            <a:ext uri="{FF2B5EF4-FFF2-40B4-BE49-F238E27FC236}">
              <a16:creationId xmlns:a16="http://schemas.microsoft.com/office/drawing/2014/main" id="{1D1CBA13-35B5-4FEB-8844-63CC213D3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26</xdr:row>
      <xdr:rowOff>0</xdr:rowOff>
    </xdr:from>
    <xdr:to>
      <xdr:col>1</xdr:col>
      <xdr:colOff>1114424</xdr:colOff>
      <xdr:row>38</xdr:row>
      <xdr:rowOff>114300</xdr:rowOff>
    </xdr:to>
    <xdr:graphicFrame macro="">
      <xdr:nvGraphicFramePr>
        <xdr:cNvPr id="8" name="Grafiek 8">
          <a:extLst>
            <a:ext uri="{FF2B5EF4-FFF2-40B4-BE49-F238E27FC236}">
              <a16:creationId xmlns:a16="http://schemas.microsoft.com/office/drawing/2014/main" id="{9A4E5F97-FE8F-427E-9749-DF79FD130A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9525</xdr:colOff>
      <xdr:row>39</xdr:row>
      <xdr:rowOff>142875</xdr:rowOff>
    </xdr:from>
    <xdr:to>
      <xdr:col>4</xdr:col>
      <xdr:colOff>1076325</xdr:colOff>
      <xdr:row>53</xdr:row>
      <xdr:rowOff>285750</xdr:rowOff>
    </xdr:to>
    <xdr:graphicFrame macro="">
      <xdr:nvGraphicFramePr>
        <xdr:cNvPr id="9" name="Grafiek 9">
          <a:extLst>
            <a:ext uri="{FF2B5EF4-FFF2-40B4-BE49-F238E27FC236}">
              <a16:creationId xmlns:a16="http://schemas.microsoft.com/office/drawing/2014/main" id="{18683AE5-95B7-47E4-BDA4-EC9149D655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38099</xdr:colOff>
      <xdr:row>26</xdr:row>
      <xdr:rowOff>0</xdr:rowOff>
    </xdr:from>
    <xdr:to>
      <xdr:col>4</xdr:col>
      <xdr:colOff>1076324</xdr:colOff>
      <xdr:row>39</xdr:row>
      <xdr:rowOff>0</xdr:rowOff>
    </xdr:to>
    <xdr:graphicFrame macro="">
      <xdr:nvGraphicFramePr>
        <xdr:cNvPr id="10" name="Grafiek 10">
          <a:extLst>
            <a:ext uri="{FF2B5EF4-FFF2-40B4-BE49-F238E27FC236}">
              <a16:creationId xmlns:a16="http://schemas.microsoft.com/office/drawing/2014/main" id="{5F20ED9B-561F-468F-A9F3-2CBB7B4C5D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14</xdr:row>
      <xdr:rowOff>0</xdr:rowOff>
    </xdr:from>
    <xdr:to>
      <xdr:col>1</xdr:col>
      <xdr:colOff>0</xdr:colOff>
      <xdr:row>14</xdr:row>
      <xdr:rowOff>0</xdr:rowOff>
    </xdr:to>
    <xdr:graphicFrame macro="">
      <xdr:nvGraphicFramePr>
        <xdr:cNvPr id="2" name="Grafiek 1">
          <a:extLst>
            <a:ext uri="{FF2B5EF4-FFF2-40B4-BE49-F238E27FC236}">
              <a16:creationId xmlns:a16="http://schemas.microsoft.com/office/drawing/2014/main" id="{EFE4030C-E0BB-410B-A5CB-D0A90501C9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3" name="Grafiek 2">
          <a:extLst>
            <a:ext uri="{FF2B5EF4-FFF2-40B4-BE49-F238E27FC236}">
              <a16:creationId xmlns:a16="http://schemas.microsoft.com/office/drawing/2014/main" id="{9360122E-7DF9-4CAA-A8B2-AE662A985B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4" name="Grafiek 3">
          <a:extLst>
            <a:ext uri="{FF2B5EF4-FFF2-40B4-BE49-F238E27FC236}">
              <a16:creationId xmlns:a16="http://schemas.microsoft.com/office/drawing/2014/main" id="{6FACDDD2-06F2-485B-A03A-75771D7BF9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5" name="Grafiek 4">
          <a:extLst>
            <a:ext uri="{FF2B5EF4-FFF2-40B4-BE49-F238E27FC236}">
              <a16:creationId xmlns:a16="http://schemas.microsoft.com/office/drawing/2014/main" id="{045807E5-9298-49B7-8CAF-9D935B4845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6" name="Grafiek 5">
          <a:extLst>
            <a:ext uri="{FF2B5EF4-FFF2-40B4-BE49-F238E27FC236}">
              <a16:creationId xmlns:a16="http://schemas.microsoft.com/office/drawing/2014/main" id="{76849E51-CB9E-4163-825C-CC546558FA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14</xdr:row>
      <xdr:rowOff>0</xdr:rowOff>
    </xdr:from>
    <xdr:to>
      <xdr:col>1</xdr:col>
      <xdr:colOff>0</xdr:colOff>
      <xdr:row>14</xdr:row>
      <xdr:rowOff>0</xdr:rowOff>
    </xdr:to>
    <xdr:graphicFrame macro="">
      <xdr:nvGraphicFramePr>
        <xdr:cNvPr id="7" name="Grafiek 6">
          <a:extLst>
            <a:ext uri="{FF2B5EF4-FFF2-40B4-BE49-F238E27FC236}">
              <a16:creationId xmlns:a16="http://schemas.microsoft.com/office/drawing/2014/main" id="{71699080-738E-448C-8DD5-018505FE31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57150</xdr:colOff>
      <xdr:row>0</xdr:row>
      <xdr:rowOff>38100</xdr:rowOff>
    </xdr:from>
    <xdr:to>
      <xdr:col>0</xdr:col>
      <xdr:colOff>828675</xdr:colOff>
      <xdr:row>0</xdr:row>
      <xdr:rowOff>327364</xdr:rowOff>
    </xdr:to>
    <xdr:pic>
      <xdr:nvPicPr>
        <xdr:cNvPr id="5" name="Afbeelding 4">
          <a:extLst>
            <a:ext uri="{FF2B5EF4-FFF2-40B4-BE49-F238E27FC236}">
              <a16:creationId xmlns:a16="http://schemas.microsoft.com/office/drawing/2014/main" id="{DA8E7BE4-F8AE-4418-AA84-9859DFCF3C6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8100"/>
          <a:ext cx="771525" cy="289264"/>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24</xdr:col>
      <xdr:colOff>481011</xdr:colOff>
      <xdr:row>6</xdr:row>
      <xdr:rowOff>90487</xdr:rowOff>
    </xdr:from>
    <xdr:to>
      <xdr:col>35</xdr:col>
      <xdr:colOff>352424</xdr:colOff>
      <xdr:row>30</xdr:row>
      <xdr:rowOff>152400</xdr:rowOff>
    </xdr:to>
    <xdr:graphicFrame macro="">
      <xdr:nvGraphicFramePr>
        <xdr:cNvPr id="3" name="Grafiek 2">
          <a:extLst>
            <a:ext uri="{FF2B5EF4-FFF2-40B4-BE49-F238E27FC236}">
              <a16:creationId xmlns:a16="http://schemas.microsoft.com/office/drawing/2014/main" id="{1359076C-64C8-4542-966F-A3AB770FB5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42862</xdr:colOff>
      <xdr:row>32</xdr:row>
      <xdr:rowOff>14287</xdr:rowOff>
    </xdr:from>
    <xdr:to>
      <xdr:col>30</xdr:col>
      <xdr:colOff>347662</xdr:colOff>
      <xdr:row>45</xdr:row>
      <xdr:rowOff>4762</xdr:rowOff>
    </xdr:to>
    <xdr:graphicFrame macro="">
      <xdr:nvGraphicFramePr>
        <xdr:cNvPr id="4" name="Grafiek 3">
          <a:extLst>
            <a:ext uri="{FF2B5EF4-FFF2-40B4-BE49-F238E27FC236}">
              <a16:creationId xmlns:a16="http://schemas.microsoft.com/office/drawing/2014/main" id="{1A790FA7-A305-47D8-9462-D5B0D705F3E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476250</xdr:colOff>
      <xdr:row>0</xdr:row>
      <xdr:rowOff>0</xdr:rowOff>
    </xdr:from>
    <xdr:to>
      <xdr:col>29</xdr:col>
      <xdr:colOff>161925</xdr:colOff>
      <xdr:row>14</xdr:row>
      <xdr:rowOff>19050</xdr:rowOff>
    </xdr:to>
    <xdr:graphicFrame macro="">
      <xdr:nvGraphicFramePr>
        <xdr:cNvPr id="2" name="Grafiek 1">
          <a:extLst>
            <a:ext uri="{FF2B5EF4-FFF2-40B4-BE49-F238E27FC236}">
              <a16:creationId xmlns:a16="http://schemas.microsoft.com/office/drawing/2014/main" id="{2C41E176-A1BD-4C1B-A82C-DA24785EC4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13</xdr:col>
      <xdr:colOff>247650</xdr:colOff>
      <xdr:row>8</xdr:row>
      <xdr:rowOff>47625</xdr:rowOff>
    </xdr:from>
    <xdr:to>
      <xdr:col>14</xdr:col>
      <xdr:colOff>3571875</xdr:colOff>
      <xdr:row>23</xdr:row>
      <xdr:rowOff>57150</xdr:rowOff>
    </xdr:to>
    <xdr:graphicFrame macro="">
      <xdr:nvGraphicFramePr>
        <xdr:cNvPr id="3" name="Grafiek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171450</xdr:colOff>
      <xdr:row>23</xdr:row>
      <xdr:rowOff>28574</xdr:rowOff>
    </xdr:from>
    <xdr:to>
      <xdr:col>20</xdr:col>
      <xdr:colOff>171450</xdr:colOff>
      <xdr:row>46</xdr:row>
      <xdr:rowOff>66674</xdr:rowOff>
    </xdr:to>
    <xdr:graphicFrame macro="">
      <xdr:nvGraphicFramePr>
        <xdr:cNvPr id="3" name="Grafiek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566737</xdr:colOff>
      <xdr:row>30</xdr:row>
      <xdr:rowOff>161925</xdr:rowOff>
    </xdr:from>
    <xdr:to>
      <xdr:col>32</xdr:col>
      <xdr:colOff>161925</xdr:colOff>
      <xdr:row>48</xdr:row>
      <xdr:rowOff>14287</xdr:rowOff>
    </xdr:to>
    <xdr:graphicFrame macro="">
      <xdr:nvGraphicFramePr>
        <xdr:cNvPr id="2" name="Grafiek 1">
          <a:extLst>
            <a:ext uri="{FF2B5EF4-FFF2-40B4-BE49-F238E27FC236}">
              <a16:creationId xmlns:a16="http://schemas.microsoft.com/office/drawing/2014/main" id="{23A1176F-1F47-4C23-A6D6-3B9DCC6F7B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absoluteAnchor>
    <xdr:pos x="0" y="0"/>
    <xdr:ext cx="9290779" cy="6050717"/>
    <xdr:graphicFrame macro="">
      <xdr:nvGraphicFramePr>
        <xdr:cNvPr id="2" name="Grafiek 1">
          <a:extLst>
            <a:ext uri="{FF2B5EF4-FFF2-40B4-BE49-F238E27FC236}">
              <a16:creationId xmlns:a16="http://schemas.microsoft.com/office/drawing/2014/main" id="{00000000-0008-0000-2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twoCellAnchor>
    <xdr:from>
      <xdr:col>13</xdr:col>
      <xdr:colOff>371475</xdr:colOff>
      <xdr:row>2</xdr:row>
      <xdr:rowOff>28574</xdr:rowOff>
    </xdr:from>
    <xdr:to>
      <xdr:col>22</xdr:col>
      <xdr:colOff>9525</xdr:colOff>
      <xdr:row>19</xdr:row>
      <xdr:rowOff>95249</xdr:rowOff>
    </xdr:to>
    <xdr:graphicFrame macro="">
      <xdr:nvGraphicFramePr>
        <xdr:cNvPr id="2" name="Grafiek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xdr:col>
      <xdr:colOff>185736</xdr:colOff>
      <xdr:row>3</xdr:row>
      <xdr:rowOff>200024</xdr:rowOff>
    </xdr:from>
    <xdr:to>
      <xdr:col>11</xdr:col>
      <xdr:colOff>342899</xdr:colOff>
      <xdr:row>16</xdr:row>
      <xdr:rowOff>180974</xdr:rowOff>
    </xdr:to>
    <xdr:graphicFrame macro="">
      <xdr:nvGraphicFramePr>
        <xdr:cNvPr id="2" name="Grafiek 1">
          <a:extLst>
            <a:ext uri="{FF2B5EF4-FFF2-40B4-BE49-F238E27FC236}">
              <a16:creationId xmlns:a16="http://schemas.microsoft.com/office/drawing/2014/main" id="{0156FFBD-EE98-42FD-BF95-7AD76B909A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190500</xdr:colOff>
      <xdr:row>17</xdr:row>
      <xdr:rowOff>171451</xdr:rowOff>
    </xdr:from>
    <xdr:to>
      <xdr:col>11</xdr:col>
      <xdr:colOff>333375</xdr:colOff>
      <xdr:row>31</xdr:row>
      <xdr:rowOff>66675</xdr:rowOff>
    </xdr:to>
    <xdr:graphicFrame macro="">
      <xdr:nvGraphicFramePr>
        <xdr:cNvPr id="3" name="Grafiek 2">
          <a:extLst>
            <a:ext uri="{FF2B5EF4-FFF2-40B4-BE49-F238E27FC236}">
              <a16:creationId xmlns:a16="http://schemas.microsoft.com/office/drawing/2014/main" id="{3F61E59A-B979-4C15-94D3-BEC783996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266700</xdr:colOff>
      <xdr:row>12</xdr:row>
      <xdr:rowOff>57149</xdr:rowOff>
    </xdr:from>
    <xdr:to>
      <xdr:col>3</xdr:col>
      <xdr:colOff>657225</xdr:colOff>
      <xdr:row>29</xdr:row>
      <xdr:rowOff>28574</xdr:rowOff>
    </xdr:to>
    <xdr:graphicFrame macro="">
      <xdr:nvGraphicFramePr>
        <xdr:cNvPr id="4" name="Grafiek 3">
          <a:extLst>
            <a:ext uri="{FF2B5EF4-FFF2-40B4-BE49-F238E27FC236}">
              <a16:creationId xmlns:a16="http://schemas.microsoft.com/office/drawing/2014/main" id="{5C565B18-A3F1-4A0F-911D-28E7D4A9E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18</xdr:col>
      <xdr:colOff>33337</xdr:colOff>
      <xdr:row>3</xdr:row>
      <xdr:rowOff>185737</xdr:rowOff>
    </xdr:from>
    <xdr:to>
      <xdr:col>25</xdr:col>
      <xdr:colOff>338137</xdr:colOff>
      <xdr:row>16</xdr:row>
      <xdr:rowOff>157162</xdr:rowOff>
    </xdr:to>
    <xdr:graphicFrame macro="">
      <xdr:nvGraphicFramePr>
        <xdr:cNvPr id="5" name="Grafiek 4">
          <a:extLst>
            <a:ext uri="{FF2B5EF4-FFF2-40B4-BE49-F238E27FC236}">
              <a16:creationId xmlns:a16="http://schemas.microsoft.com/office/drawing/2014/main" id="{FEA77CC3-00B9-430A-BE72-5D22BB789E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17</xdr:col>
      <xdr:colOff>604837</xdr:colOff>
      <xdr:row>18</xdr:row>
      <xdr:rowOff>33337</xdr:rowOff>
    </xdr:from>
    <xdr:to>
      <xdr:col>25</xdr:col>
      <xdr:colOff>347662</xdr:colOff>
      <xdr:row>31</xdr:row>
      <xdr:rowOff>33337</xdr:rowOff>
    </xdr:to>
    <xdr:graphicFrame macro="">
      <xdr:nvGraphicFramePr>
        <xdr:cNvPr id="6" name="Grafiek 5">
          <a:extLst>
            <a:ext uri="{FF2B5EF4-FFF2-40B4-BE49-F238E27FC236}">
              <a16:creationId xmlns:a16="http://schemas.microsoft.com/office/drawing/2014/main" id="{6BEAFA23-30CC-4667-B1A7-C590EA0F8A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42861</xdr:colOff>
      <xdr:row>13</xdr:row>
      <xdr:rowOff>0</xdr:rowOff>
    </xdr:from>
    <xdr:to>
      <xdr:col>17</xdr:col>
      <xdr:colOff>495299</xdr:colOff>
      <xdr:row>30</xdr:row>
      <xdr:rowOff>85725</xdr:rowOff>
    </xdr:to>
    <xdr:graphicFrame macro="">
      <xdr:nvGraphicFramePr>
        <xdr:cNvPr id="7" name="Grafiek 6">
          <a:extLst>
            <a:ext uri="{FF2B5EF4-FFF2-40B4-BE49-F238E27FC236}">
              <a16:creationId xmlns:a16="http://schemas.microsoft.com/office/drawing/2014/main" id="{8AE92027-FD30-4740-8DF9-12E32A4CBB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233362</xdr:colOff>
      <xdr:row>34</xdr:row>
      <xdr:rowOff>61912</xdr:rowOff>
    </xdr:from>
    <xdr:to>
      <xdr:col>11</xdr:col>
      <xdr:colOff>323850</xdr:colOff>
      <xdr:row>46</xdr:row>
      <xdr:rowOff>76200</xdr:rowOff>
    </xdr:to>
    <xdr:graphicFrame macro="">
      <xdr:nvGraphicFramePr>
        <xdr:cNvPr id="9" name="Grafiek 8">
          <a:extLst>
            <a:ext uri="{FF2B5EF4-FFF2-40B4-BE49-F238E27FC236}">
              <a16:creationId xmlns:a16="http://schemas.microsoft.com/office/drawing/2014/main" id="{9D495E60-731A-4692-9504-D3427A6C49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233362</xdr:colOff>
      <xdr:row>48</xdr:row>
      <xdr:rowOff>19049</xdr:rowOff>
    </xdr:from>
    <xdr:to>
      <xdr:col>11</xdr:col>
      <xdr:colOff>142875</xdr:colOff>
      <xdr:row>61</xdr:row>
      <xdr:rowOff>185736</xdr:rowOff>
    </xdr:to>
    <xdr:graphicFrame macro="">
      <xdr:nvGraphicFramePr>
        <xdr:cNvPr id="10" name="Grafiek 9">
          <a:extLst>
            <a:ext uri="{FF2B5EF4-FFF2-40B4-BE49-F238E27FC236}">
              <a16:creationId xmlns:a16="http://schemas.microsoft.com/office/drawing/2014/main" id="{CE29EC73-B6D4-4E18-8194-DE82BFC22A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209550</xdr:colOff>
      <xdr:row>43</xdr:row>
      <xdr:rowOff>123825</xdr:rowOff>
    </xdr:from>
    <xdr:to>
      <xdr:col>3</xdr:col>
      <xdr:colOff>266700</xdr:colOff>
      <xdr:row>62</xdr:row>
      <xdr:rowOff>76200</xdr:rowOff>
    </xdr:to>
    <xdr:graphicFrame macro="">
      <xdr:nvGraphicFramePr>
        <xdr:cNvPr id="11" name="Grafiek 10">
          <a:extLst>
            <a:ext uri="{FF2B5EF4-FFF2-40B4-BE49-F238E27FC236}">
              <a16:creationId xmlns:a16="http://schemas.microsoft.com/office/drawing/2014/main" id="{5AB3B549-E370-401E-84CC-DD932D7EFC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223837</xdr:colOff>
      <xdr:row>34</xdr:row>
      <xdr:rowOff>185737</xdr:rowOff>
    </xdr:from>
    <xdr:to>
      <xdr:col>25</xdr:col>
      <xdr:colOff>38100</xdr:colOff>
      <xdr:row>49</xdr:row>
      <xdr:rowOff>19050</xdr:rowOff>
    </xdr:to>
    <xdr:graphicFrame macro="">
      <xdr:nvGraphicFramePr>
        <xdr:cNvPr id="14" name="Grafiek 13">
          <a:extLst>
            <a:ext uri="{FF2B5EF4-FFF2-40B4-BE49-F238E27FC236}">
              <a16:creationId xmlns:a16="http://schemas.microsoft.com/office/drawing/2014/main" id="{226523DC-98B9-45A0-AC2B-909E0F3DF2D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195262</xdr:colOff>
      <xdr:row>49</xdr:row>
      <xdr:rowOff>147637</xdr:rowOff>
    </xdr:from>
    <xdr:to>
      <xdr:col>23</xdr:col>
      <xdr:colOff>571500</xdr:colOff>
      <xdr:row>64</xdr:row>
      <xdr:rowOff>66675</xdr:rowOff>
    </xdr:to>
    <xdr:graphicFrame macro="">
      <xdr:nvGraphicFramePr>
        <xdr:cNvPr id="15" name="Grafiek 14">
          <a:extLst>
            <a:ext uri="{FF2B5EF4-FFF2-40B4-BE49-F238E27FC236}">
              <a16:creationId xmlns:a16="http://schemas.microsoft.com/office/drawing/2014/main" id="{1BDC892D-A54D-408B-81B7-76DBACD290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157161</xdr:colOff>
      <xdr:row>44</xdr:row>
      <xdr:rowOff>4762</xdr:rowOff>
    </xdr:from>
    <xdr:to>
      <xdr:col>17</xdr:col>
      <xdr:colOff>85724</xdr:colOff>
      <xdr:row>61</xdr:row>
      <xdr:rowOff>0</xdr:rowOff>
    </xdr:to>
    <xdr:graphicFrame macro="">
      <xdr:nvGraphicFramePr>
        <xdr:cNvPr id="16" name="Grafiek 15">
          <a:extLst>
            <a:ext uri="{FF2B5EF4-FFF2-40B4-BE49-F238E27FC236}">
              <a16:creationId xmlns:a16="http://schemas.microsoft.com/office/drawing/2014/main" id="{90E2D391-CFB5-4726-AB62-BD8DC225E6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171450</xdr:colOff>
      <xdr:row>67</xdr:row>
      <xdr:rowOff>185737</xdr:rowOff>
    </xdr:from>
    <xdr:to>
      <xdr:col>11</xdr:col>
      <xdr:colOff>219075</xdr:colOff>
      <xdr:row>81</xdr:row>
      <xdr:rowOff>152400</xdr:rowOff>
    </xdr:to>
    <xdr:graphicFrame macro="">
      <xdr:nvGraphicFramePr>
        <xdr:cNvPr id="8" name="Grafiek 7">
          <a:extLst>
            <a:ext uri="{FF2B5EF4-FFF2-40B4-BE49-F238E27FC236}">
              <a16:creationId xmlns:a16="http://schemas.microsoft.com/office/drawing/2014/main" id="{3BC79B65-C7F8-41E6-9C92-C26AB5EA20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171450</xdr:colOff>
      <xdr:row>82</xdr:row>
      <xdr:rowOff>161925</xdr:rowOff>
    </xdr:from>
    <xdr:to>
      <xdr:col>11</xdr:col>
      <xdr:colOff>180975</xdr:colOff>
      <xdr:row>96</xdr:row>
      <xdr:rowOff>147637</xdr:rowOff>
    </xdr:to>
    <xdr:graphicFrame macro="">
      <xdr:nvGraphicFramePr>
        <xdr:cNvPr id="12" name="Grafiek 11">
          <a:extLst>
            <a:ext uri="{FF2B5EF4-FFF2-40B4-BE49-F238E27FC236}">
              <a16:creationId xmlns:a16="http://schemas.microsoft.com/office/drawing/2014/main" id="{E727F7E1-C690-4422-A406-B4F28F77F8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257175</xdr:colOff>
      <xdr:row>77</xdr:row>
      <xdr:rowOff>166686</xdr:rowOff>
    </xdr:from>
    <xdr:to>
      <xdr:col>3</xdr:col>
      <xdr:colOff>600075</xdr:colOff>
      <xdr:row>96</xdr:row>
      <xdr:rowOff>114299</xdr:rowOff>
    </xdr:to>
    <xdr:graphicFrame macro="">
      <xdr:nvGraphicFramePr>
        <xdr:cNvPr id="13" name="Grafiek 12">
          <a:extLst>
            <a:ext uri="{FF2B5EF4-FFF2-40B4-BE49-F238E27FC236}">
              <a16:creationId xmlns:a16="http://schemas.microsoft.com/office/drawing/2014/main" id="{3D05D21C-F05F-4D65-B07A-6269990783F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18</xdr:col>
      <xdr:colOff>19050</xdr:colOff>
      <xdr:row>67</xdr:row>
      <xdr:rowOff>4762</xdr:rowOff>
    </xdr:from>
    <xdr:to>
      <xdr:col>25</xdr:col>
      <xdr:colOff>323850</xdr:colOff>
      <xdr:row>81</xdr:row>
      <xdr:rowOff>80962</xdr:rowOff>
    </xdr:to>
    <xdr:graphicFrame macro="">
      <xdr:nvGraphicFramePr>
        <xdr:cNvPr id="17" name="Grafiek 16">
          <a:extLst>
            <a:ext uri="{FF2B5EF4-FFF2-40B4-BE49-F238E27FC236}">
              <a16:creationId xmlns:a16="http://schemas.microsoft.com/office/drawing/2014/main" id="{83992D33-03D5-4E4F-A96A-3E8970206BC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18</xdr:col>
      <xdr:colOff>0</xdr:colOff>
      <xdr:row>82</xdr:row>
      <xdr:rowOff>52387</xdr:rowOff>
    </xdr:from>
    <xdr:to>
      <xdr:col>25</xdr:col>
      <xdr:colOff>304800</xdr:colOff>
      <xdr:row>96</xdr:row>
      <xdr:rowOff>128587</xdr:rowOff>
    </xdr:to>
    <xdr:graphicFrame macro="">
      <xdr:nvGraphicFramePr>
        <xdr:cNvPr id="18" name="Grafiek 17">
          <a:extLst>
            <a:ext uri="{FF2B5EF4-FFF2-40B4-BE49-F238E27FC236}">
              <a16:creationId xmlns:a16="http://schemas.microsoft.com/office/drawing/2014/main" id="{8754904B-F1EB-4756-AE9B-39394F612EA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285750</xdr:colOff>
      <xdr:row>79</xdr:row>
      <xdr:rowOff>38100</xdr:rowOff>
    </xdr:from>
    <xdr:to>
      <xdr:col>17</xdr:col>
      <xdr:colOff>257175</xdr:colOff>
      <xdr:row>96</xdr:row>
      <xdr:rowOff>123824</xdr:rowOff>
    </xdr:to>
    <xdr:graphicFrame macro="">
      <xdr:nvGraphicFramePr>
        <xdr:cNvPr id="19" name="Grafiek 18">
          <a:extLst>
            <a:ext uri="{FF2B5EF4-FFF2-40B4-BE49-F238E27FC236}">
              <a16:creationId xmlns:a16="http://schemas.microsoft.com/office/drawing/2014/main" id="{E681DF98-C41B-4EA7-939D-A666A7C309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9</xdr:col>
      <xdr:colOff>590550</xdr:colOff>
      <xdr:row>2</xdr:row>
      <xdr:rowOff>176212</xdr:rowOff>
    </xdr:from>
    <xdr:to>
      <xdr:col>19</xdr:col>
      <xdr:colOff>352426</xdr:colOff>
      <xdr:row>16</xdr:row>
      <xdr:rowOff>104775</xdr:rowOff>
    </xdr:to>
    <xdr:graphicFrame macro="">
      <xdr:nvGraphicFramePr>
        <xdr:cNvPr id="2" name="Grafiek 1">
          <a:extLst>
            <a:ext uri="{FF2B5EF4-FFF2-40B4-BE49-F238E27FC236}">
              <a16:creationId xmlns:a16="http://schemas.microsoft.com/office/drawing/2014/main" id="{480202C3-A8E1-4D27-93DC-0D52EC4FFF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600074</xdr:colOff>
      <xdr:row>22</xdr:row>
      <xdr:rowOff>42861</xdr:rowOff>
    </xdr:from>
    <xdr:to>
      <xdr:col>19</xdr:col>
      <xdr:colOff>581025</xdr:colOff>
      <xdr:row>43</xdr:row>
      <xdr:rowOff>57150</xdr:rowOff>
    </xdr:to>
    <xdr:graphicFrame macro="">
      <xdr:nvGraphicFramePr>
        <xdr:cNvPr id="3" name="Grafiek 2">
          <a:extLst>
            <a:ext uri="{FF2B5EF4-FFF2-40B4-BE49-F238E27FC236}">
              <a16:creationId xmlns:a16="http://schemas.microsoft.com/office/drawing/2014/main" id="{AF424C4E-83A4-4EAB-B29E-963DDC7FC1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600075</xdr:colOff>
      <xdr:row>45</xdr:row>
      <xdr:rowOff>138111</xdr:rowOff>
    </xdr:from>
    <xdr:to>
      <xdr:col>20</xdr:col>
      <xdr:colOff>247651</xdr:colOff>
      <xdr:row>58</xdr:row>
      <xdr:rowOff>19050</xdr:rowOff>
    </xdr:to>
    <xdr:graphicFrame macro="">
      <xdr:nvGraphicFramePr>
        <xdr:cNvPr id="4" name="Grafiek 3">
          <a:extLst>
            <a:ext uri="{FF2B5EF4-FFF2-40B4-BE49-F238E27FC236}">
              <a16:creationId xmlns:a16="http://schemas.microsoft.com/office/drawing/2014/main" id="{68E5625D-1D81-4582-A3FF-DAD8D654A7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28574</xdr:colOff>
      <xdr:row>63</xdr:row>
      <xdr:rowOff>166686</xdr:rowOff>
    </xdr:from>
    <xdr:to>
      <xdr:col>21</xdr:col>
      <xdr:colOff>190499</xdr:colOff>
      <xdr:row>81</xdr:row>
      <xdr:rowOff>57149</xdr:rowOff>
    </xdr:to>
    <xdr:graphicFrame macro="">
      <xdr:nvGraphicFramePr>
        <xdr:cNvPr id="5" name="Grafiek 4">
          <a:extLst>
            <a:ext uri="{FF2B5EF4-FFF2-40B4-BE49-F238E27FC236}">
              <a16:creationId xmlns:a16="http://schemas.microsoft.com/office/drawing/2014/main" id="{1BD30DA1-61DC-46E4-84A5-BFFA95315C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552450</xdr:colOff>
      <xdr:row>123</xdr:row>
      <xdr:rowOff>33337</xdr:rowOff>
    </xdr:from>
    <xdr:to>
      <xdr:col>17</xdr:col>
      <xdr:colOff>390525</xdr:colOff>
      <xdr:row>137</xdr:row>
      <xdr:rowOff>109537</xdr:rowOff>
    </xdr:to>
    <xdr:graphicFrame macro="">
      <xdr:nvGraphicFramePr>
        <xdr:cNvPr id="6" name="Grafiek 5">
          <a:extLst>
            <a:ext uri="{FF2B5EF4-FFF2-40B4-BE49-F238E27FC236}">
              <a16:creationId xmlns:a16="http://schemas.microsoft.com/office/drawing/2014/main" id="{663843A1-277C-4493-8AE9-69D8883BAC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581025</xdr:colOff>
      <xdr:row>99</xdr:row>
      <xdr:rowOff>61911</xdr:rowOff>
    </xdr:from>
    <xdr:to>
      <xdr:col>20</xdr:col>
      <xdr:colOff>66675</xdr:colOff>
      <xdr:row>121</xdr:row>
      <xdr:rowOff>47624</xdr:rowOff>
    </xdr:to>
    <xdr:graphicFrame macro="">
      <xdr:nvGraphicFramePr>
        <xdr:cNvPr id="7" name="Grafiek 6">
          <a:extLst>
            <a:ext uri="{FF2B5EF4-FFF2-40B4-BE49-F238E27FC236}">
              <a16:creationId xmlns:a16="http://schemas.microsoft.com/office/drawing/2014/main" id="{F8391FD3-6460-4EA9-8F41-B61412172F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504825</xdr:colOff>
      <xdr:row>82</xdr:row>
      <xdr:rowOff>61912</xdr:rowOff>
    </xdr:from>
    <xdr:to>
      <xdr:col>17</xdr:col>
      <xdr:colOff>285750</xdr:colOff>
      <xdr:row>97</xdr:row>
      <xdr:rowOff>138112</xdr:rowOff>
    </xdr:to>
    <xdr:graphicFrame macro="">
      <xdr:nvGraphicFramePr>
        <xdr:cNvPr id="8" name="Grafiek 7">
          <a:extLst>
            <a:ext uri="{FF2B5EF4-FFF2-40B4-BE49-F238E27FC236}">
              <a16:creationId xmlns:a16="http://schemas.microsoft.com/office/drawing/2014/main" id="{803E0411-CE65-4D45-A514-6F296AFEBE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504825</xdr:colOff>
      <xdr:row>2</xdr:row>
      <xdr:rowOff>185737</xdr:rowOff>
    </xdr:from>
    <xdr:to>
      <xdr:col>27</xdr:col>
      <xdr:colOff>200025</xdr:colOff>
      <xdr:row>17</xdr:row>
      <xdr:rowOff>71437</xdr:rowOff>
    </xdr:to>
    <xdr:graphicFrame macro="">
      <xdr:nvGraphicFramePr>
        <xdr:cNvPr id="9" name="Grafiek 8">
          <a:extLst>
            <a:ext uri="{FF2B5EF4-FFF2-40B4-BE49-F238E27FC236}">
              <a16:creationId xmlns:a16="http://schemas.microsoft.com/office/drawing/2014/main" id="{F0328D58-920B-44FD-BEBC-D6BD65BF69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533400</xdr:colOff>
      <xdr:row>29</xdr:row>
      <xdr:rowOff>147637</xdr:rowOff>
    </xdr:from>
    <xdr:to>
      <xdr:col>19</xdr:col>
      <xdr:colOff>228600</xdr:colOff>
      <xdr:row>45</xdr:row>
      <xdr:rowOff>33337</xdr:rowOff>
    </xdr:to>
    <xdr:graphicFrame macro="">
      <xdr:nvGraphicFramePr>
        <xdr:cNvPr id="2" name="Grafiek 1">
          <a:extLst>
            <a:ext uri="{FF2B5EF4-FFF2-40B4-BE49-F238E27FC236}">
              <a16:creationId xmlns:a16="http://schemas.microsoft.com/office/drawing/2014/main" id="{BC128C02-CCD9-413D-A29F-22E2448DD4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600075</xdr:colOff>
      <xdr:row>16</xdr:row>
      <xdr:rowOff>161925</xdr:rowOff>
    </xdr:from>
    <xdr:to>
      <xdr:col>19</xdr:col>
      <xdr:colOff>295275</xdr:colOff>
      <xdr:row>29</xdr:row>
      <xdr:rowOff>47625</xdr:rowOff>
    </xdr:to>
    <xdr:graphicFrame macro="">
      <xdr:nvGraphicFramePr>
        <xdr:cNvPr id="3" name="Grafiek 2">
          <a:extLst>
            <a:ext uri="{FF2B5EF4-FFF2-40B4-BE49-F238E27FC236}">
              <a16:creationId xmlns:a16="http://schemas.microsoft.com/office/drawing/2014/main" id="{048450F5-1299-42C4-A60D-6E425228DF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20</xdr:col>
      <xdr:colOff>542925</xdr:colOff>
      <xdr:row>331</xdr:row>
      <xdr:rowOff>0</xdr:rowOff>
    </xdr:from>
    <xdr:to>
      <xdr:col>27</xdr:col>
      <xdr:colOff>247650</xdr:colOff>
      <xdr:row>350</xdr:row>
      <xdr:rowOff>28575</xdr:rowOff>
    </xdr:to>
    <xdr:pic>
      <xdr:nvPicPr>
        <xdr:cNvPr id="5" name="Afbeelding 2">
          <a:extLst>
            <a:ext uri="{FF2B5EF4-FFF2-40B4-BE49-F238E27FC236}">
              <a16:creationId xmlns:a16="http://schemas.microsoft.com/office/drawing/2014/main" id="{814B86AB-5433-4D22-8693-89FCB6B6868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12106" t="50220" r="41060" b="2893"/>
        <a:stretch>
          <a:fillRect/>
        </a:stretch>
      </xdr:blipFill>
      <xdr:spPr bwMode="auto">
        <a:xfrm>
          <a:off x="21659850" y="66808350"/>
          <a:ext cx="634365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57150</xdr:colOff>
      <xdr:row>331</xdr:row>
      <xdr:rowOff>0</xdr:rowOff>
    </xdr:from>
    <xdr:to>
      <xdr:col>27</xdr:col>
      <xdr:colOff>314325</xdr:colOff>
      <xdr:row>348</xdr:row>
      <xdr:rowOff>19050</xdr:rowOff>
    </xdr:to>
    <xdr:pic>
      <xdr:nvPicPr>
        <xdr:cNvPr id="6" name="Afbeelding 1">
          <a:extLst>
            <a:ext uri="{FF2B5EF4-FFF2-40B4-BE49-F238E27FC236}">
              <a16:creationId xmlns:a16="http://schemas.microsoft.com/office/drawing/2014/main" id="{005B18E3-7A27-4E9D-9400-DCEED7F263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54704" t="57355" r="1656" b="3531"/>
        <a:stretch>
          <a:fillRect/>
        </a:stretch>
      </xdr:blipFill>
      <xdr:spPr bwMode="auto">
        <a:xfrm>
          <a:off x="21755100" y="70408800"/>
          <a:ext cx="6315075" cy="3095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200025</xdr:colOff>
      <xdr:row>3</xdr:row>
      <xdr:rowOff>4762</xdr:rowOff>
    </xdr:from>
    <xdr:to>
      <xdr:col>1</xdr:col>
      <xdr:colOff>371475</xdr:colOff>
      <xdr:row>18</xdr:row>
      <xdr:rowOff>23812</xdr:rowOff>
    </xdr:to>
    <xdr:graphicFrame macro="">
      <xdr:nvGraphicFramePr>
        <xdr:cNvPr id="3" name="Grafiek 2">
          <a:extLst>
            <a:ext uri="{FF2B5EF4-FFF2-40B4-BE49-F238E27FC236}">
              <a16:creationId xmlns:a16="http://schemas.microsoft.com/office/drawing/2014/main" id="{2BD04582-CBD6-4EF0-BA9A-C41E6718F4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85725</xdr:colOff>
      <xdr:row>1</xdr:row>
      <xdr:rowOff>133350</xdr:rowOff>
    </xdr:from>
    <xdr:to>
      <xdr:col>1</xdr:col>
      <xdr:colOff>247650</xdr:colOff>
      <xdr:row>1</xdr:row>
      <xdr:rowOff>422614</xdr:rowOff>
    </xdr:to>
    <xdr:pic>
      <xdr:nvPicPr>
        <xdr:cNvPr id="4" name="Afbeelding 3">
          <a:extLst>
            <a:ext uri="{FF2B5EF4-FFF2-40B4-BE49-F238E27FC236}">
              <a16:creationId xmlns:a16="http://schemas.microsoft.com/office/drawing/2014/main" id="{D571D547-B007-4CF0-955E-1EC09D09E0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23850"/>
          <a:ext cx="771525" cy="28926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200025</xdr:colOff>
      <xdr:row>3</xdr:row>
      <xdr:rowOff>4762</xdr:rowOff>
    </xdr:from>
    <xdr:to>
      <xdr:col>1</xdr:col>
      <xdr:colOff>371475</xdr:colOff>
      <xdr:row>18</xdr:row>
      <xdr:rowOff>23812</xdr:rowOff>
    </xdr:to>
    <xdr:graphicFrame macro="">
      <xdr:nvGraphicFramePr>
        <xdr:cNvPr id="2" name="Grafiek 1">
          <a:extLst>
            <a:ext uri="{FF2B5EF4-FFF2-40B4-BE49-F238E27FC236}">
              <a16:creationId xmlns:a16="http://schemas.microsoft.com/office/drawing/2014/main" id="{5EE37E42-C366-40B8-81D1-5409D67A4B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xdr:row>
      <xdr:rowOff>14287</xdr:rowOff>
    </xdr:from>
    <xdr:to>
      <xdr:col>9</xdr:col>
      <xdr:colOff>419100</xdr:colOff>
      <xdr:row>19</xdr:row>
      <xdr:rowOff>4762</xdr:rowOff>
    </xdr:to>
    <xdr:graphicFrame macro="">
      <xdr:nvGraphicFramePr>
        <xdr:cNvPr id="2" name="Grafiek 1">
          <a:extLst>
            <a:ext uri="{FF2B5EF4-FFF2-40B4-BE49-F238E27FC236}">
              <a16:creationId xmlns:a16="http://schemas.microsoft.com/office/drawing/2014/main" id="{52EC0CF4-9352-4B79-A3FB-219C2F0DAE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25</xdr:row>
      <xdr:rowOff>180975</xdr:rowOff>
    </xdr:from>
    <xdr:to>
      <xdr:col>6</xdr:col>
      <xdr:colOff>752474</xdr:colOff>
      <xdr:row>39</xdr:row>
      <xdr:rowOff>133350</xdr:rowOff>
    </xdr:to>
    <xdr:graphicFrame macro="">
      <xdr:nvGraphicFramePr>
        <xdr:cNvPr id="2" name="Grafiek 6">
          <a:extLst>
            <a:ext uri="{FF2B5EF4-FFF2-40B4-BE49-F238E27FC236}">
              <a16:creationId xmlns:a16="http://schemas.microsoft.com/office/drawing/2014/main" id="{A377EEDE-46E1-4853-AE1A-D96A6BA750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10</xdr:row>
      <xdr:rowOff>0</xdr:rowOff>
    </xdr:from>
    <xdr:to>
      <xdr:col>6</xdr:col>
      <xdr:colOff>762000</xdr:colOff>
      <xdr:row>25</xdr:row>
      <xdr:rowOff>9525</xdr:rowOff>
    </xdr:to>
    <xdr:graphicFrame macro="">
      <xdr:nvGraphicFramePr>
        <xdr:cNvPr id="3" name="Grafiek 10">
          <a:extLst>
            <a:ext uri="{FF2B5EF4-FFF2-40B4-BE49-F238E27FC236}">
              <a16:creationId xmlns:a16="http://schemas.microsoft.com/office/drawing/2014/main" id="{5AD24696-9FC3-4378-9C25-84E729BA16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40</xdr:row>
      <xdr:rowOff>9525</xdr:rowOff>
    </xdr:from>
    <xdr:to>
      <xdr:col>7</xdr:col>
      <xdr:colOff>0</xdr:colOff>
      <xdr:row>59</xdr:row>
      <xdr:rowOff>0</xdr:rowOff>
    </xdr:to>
    <xdr:graphicFrame macro="">
      <xdr:nvGraphicFramePr>
        <xdr:cNvPr id="4" name="Grafiek 14">
          <a:extLst>
            <a:ext uri="{FF2B5EF4-FFF2-40B4-BE49-F238E27FC236}">
              <a16:creationId xmlns:a16="http://schemas.microsoft.com/office/drawing/2014/main" id="{0BC28546-A2B6-494C-B330-1EAFDD3B7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16</xdr:col>
      <xdr:colOff>266700</xdr:colOff>
      <xdr:row>2</xdr:row>
      <xdr:rowOff>0</xdr:rowOff>
    </xdr:from>
    <xdr:to>
      <xdr:col>26</xdr:col>
      <xdr:colOff>361950</xdr:colOff>
      <xdr:row>22</xdr:row>
      <xdr:rowOff>152400</xdr:rowOff>
    </xdr:to>
    <xdr:graphicFrame macro="">
      <xdr:nvGraphicFramePr>
        <xdr:cNvPr id="2" name="Grafiek 1">
          <a:extLst>
            <a:ext uri="{FF2B5EF4-FFF2-40B4-BE49-F238E27FC236}">
              <a16:creationId xmlns:a16="http://schemas.microsoft.com/office/drawing/2014/main" id="{C2A74A0A-F69E-4A1B-873F-C9998FE7C6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17</xdr:col>
      <xdr:colOff>285750</xdr:colOff>
      <xdr:row>2</xdr:row>
      <xdr:rowOff>0</xdr:rowOff>
    </xdr:from>
    <xdr:to>
      <xdr:col>26</xdr:col>
      <xdr:colOff>361950</xdr:colOff>
      <xdr:row>22</xdr:row>
      <xdr:rowOff>152400</xdr:rowOff>
    </xdr:to>
    <xdr:graphicFrame macro="">
      <xdr:nvGraphicFramePr>
        <xdr:cNvPr id="2" name="Grafiek 1">
          <a:extLst>
            <a:ext uri="{FF2B5EF4-FFF2-40B4-BE49-F238E27FC236}">
              <a16:creationId xmlns:a16="http://schemas.microsoft.com/office/drawing/2014/main" id="{D00191AA-3A43-4145-A7AF-F95896908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504825</xdr:colOff>
      <xdr:row>121</xdr:row>
      <xdr:rowOff>133350</xdr:rowOff>
    </xdr:from>
    <xdr:to>
      <xdr:col>11</xdr:col>
      <xdr:colOff>168288</xdr:colOff>
      <xdr:row>147</xdr:row>
      <xdr:rowOff>151605</xdr:rowOff>
    </xdr:to>
    <xdr:pic>
      <xdr:nvPicPr>
        <xdr:cNvPr id="2" name="Afbeelding 1">
          <a:extLst>
            <a:ext uri="{FF2B5EF4-FFF2-40B4-BE49-F238E27FC236}">
              <a16:creationId xmlns:a16="http://schemas.microsoft.com/office/drawing/2014/main" id="{41870AFD-5EBD-4776-B783-B9FD2A33371D}"/>
            </a:ext>
          </a:extLst>
        </xdr:cNvPr>
        <xdr:cNvPicPr>
          <a:picLocks noChangeAspect="1"/>
        </xdr:cNvPicPr>
      </xdr:nvPicPr>
      <xdr:blipFill>
        <a:blip xmlns:r="http://schemas.openxmlformats.org/officeDocument/2006/relationships" r:embed="rId1"/>
        <a:stretch>
          <a:fillRect/>
        </a:stretch>
      </xdr:blipFill>
      <xdr:spPr>
        <a:xfrm>
          <a:off x="3524250" y="21945600"/>
          <a:ext cx="5149863" cy="49712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152400</xdr:colOff>
      <xdr:row>1</xdr:row>
      <xdr:rowOff>142875</xdr:rowOff>
    </xdr:from>
    <xdr:to>
      <xdr:col>1</xdr:col>
      <xdr:colOff>314325</xdr:colOff>
      <xdr:row>1</xdr:row>
      <xdr:rowOff>432139</xdr:rowOff>
    </xdr:to>
    <xdr:pic>
      <xdr:nvPicPr>
        <xdr:cNvPr id="4" name="Afbeelding 3">
          <a:extLst>
            <a:ext uri="{FF2B5EF4-FFF2-40B4-BE49-F238E27FC236}">
              <a16:creationId xmlns:a16="http://schemas.microsoft.com/office/drawing/2014/main" id="{C245F895-CCAF-413C-9B05-B2812425EC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333375"/>
          <a:ext cx="771525" cy="2892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85725</xdr:colOff>
      <xdr:row>1</xdr:row>
      <xdr:rowOff>123825</xdr:rowOff>
    </xdr:from>
    <xdr:to>
      <xdr:col>1</xdr:col>
      <xdr:colOff>66675</xdr:colOff>
      <xdr:row>1</xdr:row>
      <xdr:rowOff>413089</xdr:rowOff>
    </xdr:to>
    <xdr:pic>
      <xdr:nvPicPr>
        <xdr:cNvPr id="4" name="Afbeelding 3">
          <a:extLst>
            <a:ext uri="{FF2B5EF4-FFF2-40B4-BE49-F238E27FC236}">
              <a16:creationId xmlns:a16="http://schemas.microsoft.com/office/drawing/2014/main" id="{4520F928-C6AC-45C3-8224-DFC3D932C59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314325"/>
          <a:ext cx="771525" cy="28926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xdr:row>
      <xdr:rowOff>123825</xdr:rowOff>
    </xdr:from>
    <xdr:to>
      <xdr:col>2</xdr:col>
      <xdr:colOff>0</xdr:colOff>
      <xdr:row>1</xdr:row>
      <xdr:rowOff>413089</xdr:rowOff>
    </xdr:to>
    <xdr:pic>
      <xdr:nvPicPr>
        <xdr:cNvPr id="8" name="Afbeelding 7">
          <a:extLst>
            <a:ext uri="{FF2B5EF4-FFF2-40B4-BE49-F238E27FC236}">
              <a16:creationId xmlns:a16="http://schemas.microsoft.com/office/drawing/2014/main" id="{FA7CDD90-9D0F-4AB5-AB7E-8E1F0FF695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14325"/>
          <a:ext cx="771525" cy="2892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323850</xdr:colOff>
      <xdr:row>1</xdr:row>
      <xdr:rowOff>161925</xdr:rowOff>
    </xdr:from>
    <xdr:to>
      <xdr:col>1</xdr:col>
      <xdr:colOff>415616</xdr:colOff>
      <xdr:row>1</xdr:row>
      <xdr:rowOff>428624</xdr:rowOff>
    </xdr:to>
    <xdr:pic>
      <xdr:nvPicPr>
        <xdr:cNvPr id="3" name="Afbeelding 2">
          <a:extLst>
            <a:ext uri="{FF2B5EF4-FFF2-40B4-BE49-F238E27FC236}">
              <a16:creationId xmlns:a16="http://schemas.microsoft.com/office/drawing/2014/main" id="{41FF5260-7880-44FB-87DF-5CE9ACFD1AA2}"/>
            </a:ext>
          </a:extLst>
        </xdr:cNvPr>
        <xdr:cNvPicPr>
          <a:picLocks noChangeAspect="1"/>
        </xdr:cNvPicPr>
      </xdr:nvPicPr>
      <xdr:blipFill>
        <a:blip xmlns:r="http://schemas.openxmlformats.org/officeDocument/2006/relationships" r:embed="rId1"/>
        <a:stretch>
          <a:fillRect/>
        </a:stretch>
      </xdr:blipFill>
      <xdr:spPr>
        <a:xfrm>
          <a:off x="323850" y="352425"/>
          <a:ext cx="701366" cy="2666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333375</xdr:colOff>
      <xdr:row>3</xdr:row>
      <xdr:rowOff>95250</xdr:rowOff>
    </xdr:from>
    <xdr:to>
      <xdr:col>35</xdr:col>
      <xdr:colOff>323850</xdr:colOff>
      <xdr:row>25</xdr:row>
      <xdr:rowOff>104775</xdr:rowOff>
    </xdr:to>
    <xdr:graphicFrame macro="">
      <xdr:nvGraphicFramePr>
        <xdr:cNvPr id="4" name="Grafiek 1">
          <a:extLst>
            <a:ext uri="{FF2B5EF4-FFF2-40B4-BE49-F238E27FC236}">
              <a16:creationId xmlns:a16="http://schemas.microsoft.com/office/drawing/2014/main" id="{FD7D77AB-67EF-4503-8E2E-D3AF600E2E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17</xdr:col>
      <xdr:colOff>38100</xdr:colOff>
      <xdr:row>7</xdr:row>
      <xdr:rowOff>19050</xdr:rowOff>
    </xdr:from>
    <xdr:to>
      <xdr:col>27</xdr:col>
      <xdr:colOff>171450</xdr:colOff>
      <xdr:row>34</xdr:row>
      <xdr:rowOff>38100</xdr:rowOff>
    </xdr:to>
    <xdr:graphicFrame macro="">
      <xdr:nvGraphicFramePr>
        <xdr:cNvPr id="3" name="Grafiek 4">
          <a:extLst>
            <a:ext uri="{FF2B5EF4-FFF2-40B4-BE49-F238E27FC236}">
              <a16:creationId xmlns:a16="http://schemas.microsoft.com/office/drawing/2014/main" id="{C50E7A40-7D6D-4EC3-8691-6E4B54F50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irgit.craeye\AppData\Local\Microsoft\Windows\INetCache\Content.Outlook\34M7PUAQ\2022%20Kopie%20van%20Dashboard%20boordtabellen%20S+O+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ORDTABELLEN"/>
      <sheetName val="INDELING"/>
      <sheetName val="WELZIJN"/>
      <sheetName val="BURGER"/>
      <sheetName val="VRIJE TIJD"/>
      <sheetName val="FINANCIËN"/>
      <sheetName val="PERSONEEL"/>
      <sheetName val="B-Burgerzaken"/>
      <sheetName val="B-milieu"/>
      <sheetName val="B-wonen"/>
      <sheetName val="B-Mobiliteit"/>
      <sheetName val="B-onderwijs&amp;opvang"/>
      <sheetName val="VT-BIB"/>
      <sheetName val="VT-FEEST"/>
      <sheetName val="VT-JEUGD"/>
      <sheetName val="VT-VISIT VEURNE"/>
      <sheetName val="VT-SPORT"/>
      <sheetName val="VT-ZWEMBAD"/>
      <sheetName val="W-WZC TL"/>
      <sheetName val="W-GEZINSHULP"/>
      <sheetName val="W-SD"/>
      <sheetName val="W-ZB"/>
      <sheetName val="W-ZW"/>
      <sheetName val="W-PP"/>
      <sheetName val="F-Belast."/>
      <sheetName val="F-Belast. (2)"/>
      <sheetName val="F-Bel. regl."/>
      <sheetName val="F-Beleg. div."/>
      <sheetName val="F-Fisc."/>
      <sheetName val="F-Fonds"/>
      <sheetName val="F-Gem fonds ber"/>
      <sheetName val="F-GSV"/>
      <sheetName val="F-KI"/>
      <sheetName val="F-KF"/>
      <sheetName val="Grafiek1"/>
      <sheetName val="F-Kohier"/>
      <sheetName val="F.retr bz"/>
      <sheetName val="F.dotatie"/>
      <sheetName val="F-Afval"/>
      <sheetName val="F- BIB"/>
      <sheetName val="F-BKO"/>
      <sheetName val="F-Cult &amp; Arch"/>
      <sheetName val="F-Dorpshuizen"/>
      <sheetName val="F-Groendienst"/>
      <sheetName val="F-SAMWD"/>
      <sheetName val="F-School"/>
      <sheetName val="F-Sport"/>
      <sheetName val="F-Toerisme"/>
      <sheetName val="F- inv subs"/>
      <sheetName val="F-Pers&amp;Werk sub"/>
      <sheetName val="F-subsidies"/>
      <sheetName val="F-Werkingskr"/>
      <sheetName val="F-Werkingskr evolutie"/>
      <sheetName val="F-verz voertuigen"/>
      <sheetName val="F- verz alle risico"/>
      <sheetName val="F-verz brand"/>
      <sheetName val="F-evolutie schuld stad &amp; agb"/>
      <sheetName val="F-schuld stad oud"/>
      <sheetName val="F-leningen"/>
      <sheetName val="F-eco groepen"/>
      <sheetName val="F-energie"/>
      <sheetName val="F-fact ontv"/>
      <sheetName val="F- ontv vs uitg"/>
      <sheetName val="F-matrix ontv"/>
      <sheetName val="F- fin. overb."/>
      <sheetName val="F-AFM"/>
      <sheetName val="F-eigen aandeel inv"/>
      <sheetName val="F-processen fin"/>
      <sheetName val="F-DEXIA"/>
      <sheetName val="F-RIZIVBEWONERS"/>
      <sheetName val="P-pers alg OCMW"/>
      <sheetName val="P-tewerkstelling"/>
      <sheetName val="P-hospitalisatie"/>
      <sheetName val="P-Resp bijdrage"/>
      <sheetName val="P-Soc zek bijdr"/>
      <sheetName val="P-TM1 pers"/>
      <sheetName val="Blad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800">
          <cell r="A800" t="str">
            <v xml:space="preserve">April - mei </v>
          </cell>
          <cell r="B800">
            <v>4717</v>
          </cell>
        </row>
        <row r="801">
          <cell r="A801" t="str">
            <v>Juni</v>
          </cell>
          <cell r="B801">
            <v>1310</v>
          </cell>
        </row>
        <row r="802">
          <cell r="A802" t="str">
            <v>Juli</v>
          </cell>
          <cell r="B802">
            <v>3130</v>
          </cell>
        </row>
        <row r="803">
          <cell r="A803" t="str">
            <v xml:space="preserve">Augustus </v>
          </cell>
          <cell r="B803">
            <v>3512</v>
          </cell>
        </row>
        <row r="804">
          <cell r="A804" t="str">
            <v xml:space="preserve">september </v>
          </cell>
          <cell r="B804">
            <v>1728</v>
          </cell>
        </row>
        <row r="805">
          <cell r="A805" t="str">
            <v xml:space="preserve">oktober </v>
          </cell>
          <cell r="B805">
            <v>2138</v>
          </cell>
        </row>
        <row r="806">
          <cell r="A806" t="str">
            <v xml:space="preserve">November </v>
          </cell>
          <cell r="B806">
            <v>1564</v>
          </cell>
        </row>
        <row r="807">
          <cell r="A807" t="str">
            <v>December</v>
          </cell>
          <cell r="B807">
            <v>1272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0.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8" Type="http://schemas.openxmlformats.org/officeDocument/2006/relationships/hyperlink" Target="..\..\06_0_Financien\6_2_Boekhouding&amp;Jaarrekening\Exploitatie\Belastingen&amp;retributies\Algemeen\Retributies%20BKO%20en%20sport.xls" TargetMode="External"/><Relationship Id="rId13" Type="http://schemas.openxmlformats.org/officeDocument/2006/relationships/printerSettings" Target="../printerSettings/printerSettings24.bin"/><Relationship Id="rId3" Type="http://schemas.openxmlformats.org/officeDocument/2006/relationships/hyperlink" Target="file:///C:\Users\Pascal.Tahon\AppData\Roaming\06_0_Financien\6_2_Boekhouding&amp;Jaarrekening\Exploitatie\Belastingen&amp;retributies\Algemeen\151026grreglementfeestelijkhedendef.pdf" TargetMode="External"/><Relationship Id="rId7" Type="http://schemas.openxmlformats.org/officeDocument/2006/relationships/hyperlink" Target="file:///C:\Users\Pascal.Tahon\AppData\Roaming\06_0_Financien\6_2_Boekhouding&amp;Jaarrekening\Exploitatie\Belastingen&amp;retributies\Opcentiemen%20onroerende%20voorheffing\reglementen\Onroerende%20voorheffing%202021%20uittreksel%20ondertekend.pdf" TargetMode="External"/><Relationship Id="rId12" Type="http://schemas.openxmlformats.org/officeDocument/2006/relationships/hyperlink" Target="..\..\06_0_Financien\6_2_Boekhouding&amp;Jaarrekening\Exploitatie\Belastingen&amp;retributies\Algemeen\Retributies%20BKO%20en%20sport.xls" TargetMode="External"/><Relationship Id="rId2" Type="http://schemas.openxmlformats.org/officeDocument/2006/relationships/hyperlink" Target="file:///C:\Users\Pascal.Tahon\AppData\Roaming\06_0_Financien\6_2_Boekhouding&amp;Jaarrekening\Exploitatie\Belastingen&amp;retributies\Algemeen\hervaststelling-gebruikersreglement-ontmoetingscentra---gecoordineerde-versie-gebruikersreglement-ontmoetingscentra-180423-29247.pdf" TargetMode="External"/><Relationship Id="rId1" Type="http://schemas.openxmlformats.org/officeDocument/2006/relationships/hyperlink" Target="file:///C:\Users\Pascal.Tahon\AppData\Roaming\06_0_Financien\6_2_Boekhouding&amp;Jaarrekening\Exploitatie\Belastingen&amp;retributies\Algemeen\Retributies%20BKO%20en%20sport.xls" TargetMode="External"/><Relationship Id="rId6" Type="http://schemas.openxmlformats.org/officeDocument/2006/relationships/hyperlink" Target="..\..\06_0_Financien\6_2_Boekhouding&amp;Jaarrekening\Exploitatie\Belastingen&amp;retributies\Algemeen\Retributies%20BKO%20en%20sport.xls" TargetMode="External"/><Relationship Id="rId11" Type="http://schemas.openxmlformats.org/officeDocument/2006/relationships/hyperlink" Target="..\..\06_0_Financien\6_2_Boekhouding&amp;Jaarrekening\Exploitatie\Belastingen&amp;retributies\Algemeen\Retributies%20BKO%20en%20sport.xls" TargetMode="External"/><Relationship Id="rId5" Type="http://schemas.openxmlformats.org/officeDocument/2006/relationships/hyperlink" Target="file:///C:\Users\Pascal.Tahon\AppData\Roaming\06_0_Financien\6_2_Boekhouding&amp;Jaarrekening\Exploitatie\Belastingen&amp;retributies\Algemeen\Retributies%20BKO%20en%20sport.xls" TargetMode="External"/><Relationship Id="rId10" Type="http://schemas.openxmlformats.org/officeDocument/2006/relationships/hyperlink" Target="file:///C:\Users\Pascal.Tahon\AppData\Roaming\06_0_Financien\6_2_Boekhouding&amp;Jaarrekening\Exploitatie\Belastingen&amp;retributies\Algemeen\Retributies%20BKO%20en%20sport.xls" TargetMode="External"/><Relationship Id="rId4" Type="http://schemas.openxmlformats.org/officeDocument/2006/relationships/hyperlink" Target="file:///C:\Users\Pascal.Tahon\AppData\Roaming\06_0_Financien\6_2_Boekhouding&amp;Jaarrekening\Exploitatie\Belastingen&amp;retributies\Algemeen\aanpassing-reglement-feestelijkheden-gemeenteraad-25-april-2016.pdf" TargetMode="External"/><Relationship Id="rId9" Type="http://schemas.openxmlformats.org/officeDocument/2006/relationships/hyperlink" Target="../../06_0_Financien/6_2_Boekhouding&amp;Jaarrekening/Exploitatie/Belastingen&amp;retributies/Algemeen/Retributies%20BKO%20en%20sport.xls" TargetMode="External"/></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6.bin"/><Relationship Id="rId1" Type="http://schemas.openxmlformats.org/officeDocument/2006/relationships/hyperlink" Target="http://www.veurne.be/"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31.xml.rels><?xml version="1.0" encoding="UTF-8" standalone="yes"?>
<Relationships xmlns="http://schemas.openxmlformats.org/package/2006/relationships"><Relationship Id="rId3" Type="http://schemas.openxmlformats.org/officeDocument/2006/relationships/hyperlink" Target="file:///C:\Users\Pascal.Tahon\AppData\Roaming\06_0_Financien\6_2_Boekhouding&amp;Jaarrekening\Investeringen\Facturen%20Plattelandsfonds\Moeresteenweg%202014.pdf" TargetMode="External"/><Relationship Id="rId2" Type="http://schemas.openxmlformats.org/officeDocument/2006/relationships/hyperlink" Target="file:///C:\Users\Pascal.Tahon\AppData\Roaming\06_0_Financien\6_2_Boekhouding&amp;Jaarrekening\Investeringen\Facturen%20Plattelandsfonds\St%20Rijkers%20-%20Zomerweg.pdf" TargetMode="External"/><Relationship Id="rId1" Type="http://schemas.openxmlformats.org/officeDocument/2006/relationships/hyperlink" Target="file:///C:\Users\Pascal.Tahon\AppData\Roaming\06_0_Financien\6_2_Boekhouding&amp;Jaarrekening\Investeringen\Facturen%20Plattelandsfonds\Oerenstraat.pdf" TargetMode="External"/><Relationship Id="rId6" Type="http://schemas.openxmlformats.org/officeDocument/2006/relationships/drawing" Target="../drawings/drawing21.xml"/><Relationship Id="rId5" Type="http://schemas.openxmlformats.org/officeDocument/2006/relationships/printerSettings" Target="../printerSettings/printerSettings27.bin"/><Relationship Id="rId4" Type="http://schemas.openxmlformats.org/officeDocument/2006/relationships/hyperlink" Target="file:///C:\Users\Pascal.Tahon\AppData\Roaming\06_0_Financien\6_2_Boekhouding&amp;Jaarrekening\Investeringen\Facturen%20Plattelandsfonds\Elzentap%20faze%202.pdf"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30.bin"/><Relationship Id="rId4" Type="http://schemas.openxmlformats.org/officeDocument/2006/relationships/comments" Target="../comments9.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6.xml"/><Relationship Id="rId1" Type="http://schemas.openxmlformats.org/officeDocument/2006/relationships/printerSettings" Target="../printerSettings/printerSettings37.bin"/><Relationship Id="rId4" Type="http://schemas.openxmlformats.org/officeDocument/2006/relationships/comments" Target="../comments13.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s://provincies.incijfers.be/jive?workspace_guid=ff593898-a5fa-41de-bddc-ebf303c20587&amp;mtm_campaign=pinc-nieuwsbrief-mei-2021&amp;mtm_kwd=afval-algemeen&amp;mtm_source=pinc-nieuwsbrief&amp;mtm_medium=e-mail&amp;mtm_content=cijfervdmaand" TargetMode="Externa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8" Type="http://schemas.openxmlformats.org/officeDocument/2006/relationships/hyperlink" Target="../../06_0_Financien/6_2_Boekhouding&amp;Jaarrekening/project/overheidsopdrachten%203P/investeringstoelagen/2021%20toelagen%20&amp;%20premies/Vlaamse%20Regering%20-%20kopenhagenplan%20fietsinfrastructuur%20-%20subsidie%20verdeling.pdf" TargetMode="External"/><Relationship Id="rId13" Type="http://schemas.openxmlformats.org/officeDocument/2006/relationships/hyperlink" Target="../../06_0_Financien/6_2_Boekhouding&amp;Jaarrekening/project/overheidsopdrachten%203P/investeringstoelagen/2022%20toelagen%20&amp;%20premies/toekenning%20klimaatsubsidies%20-%20WZC%20Ter%20Linden.pdf" TargetMode="External"/><Relationship Id="rId18" Type="http://schemas.openxmlformats.org/officeDocument/2006/relationships/hyperlink" Target="../../06_0_Financien/6_2_Boekhouding&amp;Jaarrekening/Investeringen/Projectsubsidies/Besluit%20investeringstoelage%20pui%20Stadhuis.pdf" TargetMode="External"/><Relationship Id="rId3" Type="http://schemas.openxmlformats.org/officeDocument/2006/relationships/hyperlink" Target="../../06_0_Financien/6_2_Boekhouding&amp;Jaarrekening/project/overheidsopdrachten%203P/investeringstoelagen/2021%20toelagen%20&amp;%20premies/Onroerend%20Erfgoed%20-%20Dorpskom%20Houtem%20-%20kerkhoek%20en%20omgeving%20-%20ministrieel%20besluit.pdf" TargetMode="External"/><Relationship Id="rId21" Type="http://schemas.openxmlformats.org/officeDocument/2006/relationships/hyperlink" Target="../../06_0_Financien/6_2_Boekhouding&amp;Jaarrekening/Investeringen/Projectsubsidies/ondergrondse%20afvalcontainer%20Kaaiplaats.pdf" TargetMode="External"/><Relationship Id="rId7" Type="http://schemas.openxmlformats.org/officeDocument/2006/relationships/hyperlink" Target="../../06_0_Financien/6_2_Boekhouding&amp;Jaarrekening/project/overheidsopdrachten%203P/investeringstoelagen/2021%20toelagen%20&amp;%20premies/Vlaamse%20Regering%20-%20kopenhagenplan%20fietsinfrastructuur.pdf" TargetMode="External"/><Relationship Id="rId12" Type="http://schemas.openxmlformats.org/officeDocument/2006/relationships/hyperlink" Target="../../06_0_Financien/6_2_Boekhouding&amp;Jaarrekening/project/overheidsopdrachten%203P/investeringstoelagen/2022%20toelagen%20&amp;%20premies/toekenning%20klimaatsubsidies%20-%20WZC%20Ter%20Linden.pdf" TargetMode="External"/><Relationship Id="rId17" Type="http://schemas.openxmlformats.org/officeDocument/2006/relationships/hyperlink" Target="../../06_0_Financien/6_2_Boekhouding&amp;Jaarrekening/project/overheidsopdrachten%203P/investeringstoelagen/2022%20toelagen%20&amp;%20premies/OVAM%20-%20aanvraag%20toelage%20ondergrondse%20container.pdf" TargetMode="External"/><Relationship Id="rId25" Type="http://schemas.openxmlformats.org/officeDocument/2006/relationships/comments" Target="../comments17.xml"/><Relationship Id="rId2" Type="http://schemas.openxmlformats.org/officeDocument/2006/relationships/hyperlink" Target="../../06_0_Financien/6_2_Boekhouding&amp;Jaarrekening/project/overheidsopdrachten%203P/investeringstoelagen/2021%20toelagen%20&amp;%20premies/Onroerend%20Erfgoed%20-%20renovatie%20exterieur%20en%20intereur%20Huis%20Claus%20-%20ministrieel%20besluit.pdf" TargetMode="External"/><Relationship Id="rId16" Type="http://schemas.openxmlformats.org/officeDocument/2006/relationships/hyperlink" Target="../../06_0_Financien/6_2_Boekhouding&amp;Jaarrekening/project/overheidsopdrachten%203P/investeringstoelagen/2022%20toelagen%20&amp;%20premies/OVAM%20-%20uitbetaling%201&#176;%20schijf%20ondergrondse%20containers.pdf" TargetMode="External"/><Relationship Id="rId20" Type="http://schemas.openxmlformats.org/officeDocument/2006/relationships/hyperlink" Target="../../06_0_Financien/6_2_Boekhouding&amp;Jaarrekening/project/overheidsopdrachten%203P/2022/2022%20toelagen/Agentschap%20Onroerend%20Erfgoed%20-%20kennisgeving%20premie%20Kerk%20Vinkem.pdf" TargetMode="External"/><Relationship Id="rId1" Type="http://schemas.openxmlformats.org/officeDocument/2006/relationships/hyperlink" Target="..\..\06_0_Financien\6_2_Boekhouding&amp;Jaarrekening\project\overheidsopdrachten%203P\investeringstoelagen\2021%20toelagen%20&amp;%20premies\Interreg%20-%20aanvraag%20toelage%20Transmobil.pdf" TargetMode="External"/><Relationship Id="rId6" Type="http://schemas.openxmlformats.org/officeDocument/2006/relationships/hyperlink" Target="../../06_0_Financien/6_2_Boekhouding&amp;Jaarrekening/project/overheidsopdrachten%203P/investeringstoelagen/2021%20toelagen%20&amp;%20premies/Agentschap%20Natuur%20en%20Bos%20-%20vergroening%20en%20ontharding%20Statieplaats.pdf" TargetMode="External"/><Relationship Id="rId11" Type="http://schemas.openxmlformats.org/officeDocument/2006/relationships/hyperlink" Target="../../06_0_Financien/6_2_Boekhouding&amp;Jaarrekening/project/overheidsopdrachten%203P/investeringstoelagen/2022%20toelagen%20&amp;%20premies/Buitenschil%20JOC%20Vinkem%20-%20toekenning%20premie%20en%20toelating%20werken.pdf" TargetMode="External"/><Relationship Id="rId24" Type="http://schemas.openxmlformats.org/officeDocument/2006/relationships/vmlDrawing" Target="../drawings/vmlDrawing17.vml"/><Relationship Id="rId5" Type="http://schemas.openxmlformats.org/officeDocument/2006/relationships/hyperlink" Target="../../06_0_Financien/6_2_Boekhouding&amp;Jaarrekening/project/overheidsopdrachten%203P/investeringstoelagen/2021%20toelagen%20&amp;%20premies/Vlaamse%20Regering%20-%20beleidskader%20leefkwaliteit.pdf" TargetMode="External"/><Relationship Id="rId15" Type="http://schemas.openxmlformats.org/officeDocument/2006/relationships/hyperlink" Target="../../06_0_Financien/6_2_Boekhouding&amp;Jaarrekening/project/overheidsopdrachten%203P/investeringstoelagen/2022%20toelagen%20&amp;%20premies/toekenning%20klimaatsubsidies%20-%20WZC%20Ter%20Linden.pdf" TargetMode="External"/><Relationship Id="rId23" Type="http://schemas.openxmlformats.org/officeDocument/2006/relationships/printerSettings" Target="../printerSettings/printerSettings49.bin"/><Relationship Id="rId10" Type="http://schemas.openxmlformats.org/officeDocument/2006/relationships/hyperlink" Target="../../06_0_Financien/6_2_Boekhouding&amp;Jaarrekening/project/overheidsopdrachten%203P/investeringstoelagen/2022%20toelagen%20&amp;%20premies/Buitenschil%20JOC%20Vinkem%20-%20ministrieel%20besluit.pdf" TargetMode="External"/><Relationship Id="rId19" Type="http://schemas.openxmlformats.org/officeDocument/2006/relationships/hyperlink" Target="../../06_0_Financien/6_2_Boekhouding&amp;Jaarrekening/project/overheidsopdrachten%203P/2022/2022%20toelagen/Agentschap%20Onroerend%20Erfgoed%20-%20toekenning%20premie%20Kerk%20Vinkem.pdf" TargetMode="External"/><Relationship Id="rId4" Type="http://schemas.openxmlformats.org/officeDocument/2006/relationships/hyperlink" Target="../../06_0_Financien/6_2_Boekhouding&amp;Jaarrekening/project/overheidsopdrachten%203P/investeringstoelagen/2021%20toelagen%20&amp;%20premies/Provincie%20-%20autokampeerterrein.pdf" TargetMode="External"/><Relationship Id="rId9" Type="http://schemas.openxmlformats.org/officeDocument/2006/relationships/hyperlink" Target="..\..\06_0_Financien\6_2_Boekhouding&amp;Jaarrekening\project\overheidsopdrachten%203P\investeringstoelagen\2021%20toelagen%20&amp;%20premies\lokaal%20energie-%20en%20klimaatproject.pdf" TargetMode="External"/><Relationship Id="rId14" Type="http://schemas.openxmlformats.org/officeDocument/2006/relationships/hyperlink" Target="../../06_0_Financien/6_2_Boekhouding&amp;Jaarrekening/project/overheidsopdrachten%203P/investeringstoelagen/2022%20toelagen%20&amp;%20premies/toekenning%20klimaatsubsidies%20-%20WZC%20Ter%20Linden.pdf" TargetMode="External"/><Relationship Id="rId22" Type="http://schemas.openxmlformats.org/officeDocument/2006/relationships/hyperlink" Target="../../06_0_Financien/6_2_Boekhouding&amp;Jaarrekening/Investeringen/Projectsubsidies/2022/Onze-Lieve-Vrouw%20Hemelvaart%20kerk%20Wulveringem%20-%20glasramen%20-%20toekenning%20premie%20-%20Agentschap%20Roerend%20Erfgoed.pdf" TargetMode="External"/></Relationships>
</file>

<file path=xl/worksheets/_rels/sheet5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8.xml"/><Relationship Id="rId1" Type="http://schemas.openxmlformats.org/officeDocument/2006/relationships/printerSettings" Target="../printerSettings/printerSettings52.bin"/><Relationship Id="rId4" Type="http://schemas.openxmlformats.org/officeDocument/2006/relationships/comments" Target="../comments20.xml"/></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file:///C:\Users\Pascal.Tahon\AppData\Roaming\Microsoft\Excel\boordtabellen%20financi&#235;n.xl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57.bin"/></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9.xml"/><Relationship Id="rId1" Type="http://schemas.openxmlformats.org/officeDocument/2006/relationships/printerSettings" Target="../printerSettings/printerSettings58.bin"/><Relationship Id="rId4" Type="http://schemas.openxmlformats.org/officeDocument/2006/relationships/comments" Target="../comments22.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30.xml"/><Relationship Id="rId1" Type="http://schemas.openxmlformats.org/officeDocument/2006/relationships/printerSettings" Target="../printerSettings/printerSettings59.bin"/><Relationship Id="rId4" Type="http://schemas.openxmlformats.org/officeDocument/2006/relationships/comments" Target="../comments23.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61.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7.xml.rels><?xml version="1.0" encoding="UTF-8" standalone="yes"?>
<Relationships xmlns="http://schemas.openxmlformats.org/package/2006/relationships"><Relationship Id="rId2" Type="http://schemas.openxmlformats.org/officeDocument/2006/relationships/printerSettings" Target="../printerSettings/printerSettings63.bin"/><Relationship Id="rId1" Type="http://schemas.openxmlformats.org/officeDocument/2006/relationships/hyperlink" Target="file:///C:\Users\Pascal.Tahon\AppData\Veurne\06_0_Financien\6_2_Boekhouding&amp;Jaarrekening\Exploitatie\Algemene%20kostenopvolging\overzicht%20energieverbruik.xls" TargetMode="External"/></Relationships>
</file>

<file path=xl/worksheets/_rels/sheet68.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64.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3.xml"/><Relationship Id="rId1" Type="http://schemas.openxmlformats.org/officeDocument/2006/relationships/printerSettings" Target="../printerSettings/printerSettings75.bin"/><Relationship Id="rId4" Type="http://schemas.openxmlformats.org/officeDocument/2006/relationships/comments" Target="../comments26.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4.xml"/><Relationship Id="rId1" Type="http://schemas.openxmlformats.org/officeDocument/2006/relationships/printerSettings" Target="../printerSettings/printerSettings76.bin"/><Relationship Id="rId4" Type="http://schemas.openxmlformats.org/officeDocument/2006/relationships/comments" Target="../comments27.xml"/></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drawing" Target="../drawings/drawing35.xml"/></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5DC384"/>
  </sheetPr>
  <dimension ref="B3:I21"/>
  <sheetViews>
    <sheetView zoomScaleNormal="100" workbookViewId="0">
      <selection activeCell="E13" sqref="E13"/>
    </sheetView>
  </sheetViews>
  <sheetFormatPr defaultColWidth="9.140625" defaultRowHeight="15"/>
  <cols>
    <col min="1" max="2" width="9.140625" style="4033"/>
    <col min="3" max="3" width="31.42578125" style="4033" customWidth="1"/>
    <col min="4" max="4" width="9.140625" style="4033"/>
    <col min="5" max="5" width="32.85546875" style="4033" customWidth="1"/>
    <col min="6" max="16384" width="9.140625" style="4033"/>
  </cols>
  <sheetData>
    <row r="3" spans="2:9" ht="33.75">
      <c r="C3" s="4739" t="s">
        <v>0</v>
      </c>
      <c r="D3" s="4739"/>
      <c r="E3" s="4739"/>
    </row>
    <row r="4" spans="2:9" ht="26.25">
      <c r="C4" s="4051"/>
    </row>
    <row r="6" spans="2:9">
      <c r="C6" s="4052"/>
      <c r="D6" s="4053"/>
      <c r="E6" s="4053"/>
      <c r="F6" s="4053"/>
      <c r="G6" s="4053"/>
      <c r="H6" s="4053"/>
      <c r="I6" s="4053"/>
    </row>
    <row r="7" spans="2:9" ht="27" customHeight="1">
      <c r="B7" s="4054"/>
      <c r="C7" s="3158" t="s">
        <v>66</v>
      </c>
      <c r="D7" s="4039"/>
      <c r="E7" s="3158" t="s">
        <v>67</v>
      </c>
      <c r="F7" s="4039"/>
      <c r="G7" s="4053"/>
      <c r="H7" s="4053"/>
      <c r="I7" s="4053"/>
    </row>
    <row r="8" spans="2:9" ht="18.75">
      <c r="C8" s="4039"/>
      <c r="D8" s="4039"/>
      <c r="E8" s="4039"/>
      <c r="F8" s="4039"/>
      <c r="G8" s="4053"/>
      <c r="H8" s="4053"/>
      <c r="I8" s="4053"/>
    </row>
    <row r="9" spans="2:9" ht="18.75">
      <c r="C9" s="4039"/>
      <c r="D9" s="4039"/>
      <c r="E9" s="4039"/>
      <c r="F9" s="4039"/>
      <c r="G9" s="4053"/>
      <c r="H9" s="4053"/>
      <c r="I9" s="4053"/>
    </row>
    <row r="10" spans="2:9" ht="27" customHeight="1">
      <c r="C10" s="3158" t="s">
        <v>68</v>
      </c>
      <c r="D10" s="4039"/>
      <c r="E10" s="3158" t="s">
        <v>70</v>
      </c>
      <c r="F10" s="4039"/>
      <c r="G10" s="4053"/>
      <c r="H10" s="4053"/>
      <c r="I10" s="4053"/>
    </row>
    <row r="11" spans="2:9" ht="14.25" customHeight="1">
      <c r="C11" s="4039"/>
      <c r="D11" s="4039"/>
      <c r="E11" s="4039"/>
      <c r="F11" s="4039"/>
      <c r="G11" s="4053"/>
      <c r="H11" s="4053"/>
      <c r="I11" s="4053"/>
    </row>
    <row r="12" spans="2:9" ht="18.75">
      <c r="C12" s="4039"/>
      <c r="D12" s="4039"/>
      <c r="E12" s="4039"/>
      <c r="F12" s="4039"/>
      <c r="G12" s="4053"/>
      <c r="H12" s="4053"/>
      <c r="I12" s="4053"/>
    </row>
    <row r="13" spans="2:9" ht="27" customHeight="1">
      <c r="C13" s="3158" t="s">
        <v>78</v>
      </c>
      <c r="D13" s="4039"/>
      <c r="E13" s="4056" t="s">
        <v>7148</v>
      </c>
      <c r="F13" s="4039"/>
      <c r="G13" s="4053"/>
      <c r="H13" s="4053"/>
      <c r="I13" s="4053"/>
    </row>
    <row r="14" spans="2:9" ht="18.75">
      <c r="C14" s="4039"/>
      <c r="D14" s="4039"/>
      <c r="E14" s="4039"/>
      <c r="F14" s="4039"/>
      <c r="G14" s="4053"/>
      <c r="H14" s="4053"/>
      <c r="I14" s="4053"/>
    </row>
    <row r="15" spans="2:9">
      <c r="C15" s="4053"/>
      <c r="D15" s="4053"/>
      <c r="E15" s="4053"/>
      <c r="F15" s="4053"/>
      <c r="G15" s="4053"/>
      <c r="H15" s="4053"/>
      <c r="I15" s="4053"/>
    </row>
    <row r="16" spans="2:9" ht="28.5" customHeight="1">
      <c r="C16" s="3158" t="s">
        <v>3015</v>
      </c>
      <c r="D16" s="4053"/>
      <c r="E16" s="4053"/>
      <c r="F16" s="4053"/>
      <c r="G16" s="4053"/>
      <c r="H16" s="4053"/>
      <c r="I16" s="4053"/>
    </row>
    <row r="21" spans="5:5">
      <c r="E21" s="4055"/>
    </row>
  </sheetData>
  <mergeCells count="1">
    <mergeCell ref="C3:E3"/>
  </mergeCells>
  <hyperlinks>
    <hyperlink ref="C7" location="WELZIJN!A1" display="Welzijn" xr:uid="{00000000-0004-0000-0000-000000000000}"/>
    <hyperlink ref="E7" location="BURGER!A1" display="Burger" xr:uid="{00000000-0004-0000-0000-000001000000}"/>
    <hyperlink ref="C13" location="PERSONEEL!A1" display="Personeel" xr:uid="{00000000-0004-0000-0000-000002000000}"/>
    <hyperlink ref="C10" location="'VRIJE TIJD'!A1" display="VRIJE TIJD" xr:uid="{00000000-0004-0000-0000-000003000000}"/>
    <hyperlink ref="E10" location="FINANCIËN!A1" display="FINANCIËN" xr:uid="{00000000-0004-0000-0000-000004000000}"/>
    <hyperlink ref="E13" location="INDELING!A1" display="Overzicht" xr:uid="{00000000-0004-0000-0000-000005000000}"/>
    <hyperlink ref="C16" location="ICT!A1" display="ICT" xr:uid="{00000000-0004-0000-0000-000006000000}"/>
  </hyperlink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2C637C"/>
  </sheetPr>
  <dimension ref="A1:R45"/>
  <sheetViews>
    <sheetView topLeftCell="A7" workbookViewId="0">
      <selection sqref="A1:L1"/>
    </sheetView>
  </sheetViews>
  <sheetFormatPr defaultRowHeight="10.5"/>
  <cols>
    <col min="1" max="1" width="38" style="1364" bestFit="1" customWidth="1"/>
    <col min="2" max="2" width="13.28515625" style="1425" customWidth="1"/>
    <col min="3" max="3" width="13.85546875" style="1425" bestFit="1" customWidth="1"/>
    <col min="4" max="6" width="7" style="1425" bestFit="1" customWidth="1"/>
    <col min="7" max="9" width="6.7109375" style="1425" bestFit="1" customWidth="1"/>
    <col min="10" max="10" width="7" style="1425" bestFit="1" customWidth="1"/>
    <col min="11" max="11" width="7" style="1364" bestFit="1" customWidth="1"/>
    <col min="12" max="256" width="9.140625" style="1364"/>
    <col min="257" max="257" width="38" style="1364" bestFit="1" customWidth="1"/>
    <col min="258" max="258" width="14.28515625" style="1364" customWidth="1"/>
    <col min="259" max="259" width="13.85546875" style="1364" bestFit="1" customWidth="1"/>
    <col min="260" max="262" width="7" style="1364" bestFit="1" customWidth="1"/>
    <col min="263" max="265" width="6.7109375" style="1364" bestFit="1" customWidth="1"/>
    <col min="266" max="267" width="7" style="1364" bestFit="1" customWidth="1"/>
    <col min="268" max="512" width="9.140625" style="1364"/>
    <col min="513" max="513" width="38" style="1364" bestFit="1" customWidth="1"/>
    <col min="514" max="514" width="14.28515625" style="1364" customWidth="1"/>
    <col min="515" max="515" width="13.85546875" style="1364" bestFit="1" customWidth="1"/>
    <col min="516" max="518" width="7" style="1364" bestFit="1" customWidth="1"/>
    <col min="519" max="521" width="6.7109375" style="1364" bestFit="1" customWidth="1"/>
    <col min="522" max="523" width="7" style="1364" bestFit="1" customWidth="1"/>
    <col min="524" max="768" width="9.140625" style="1364"/>
    <col min="769" max="769" width="38" style="1364" bestFit="1" customWidth="1"/>
    <col min="770" max="770" width="14.28515625" style="1364" customWidth="1"/>
    <col min="771" max="771" width="13.85546875" style="1364" bestFit="1" customWidth="1"/>
    <col min="772" max="774" width="7" style="1364" bestFit="1" customWidth="1"/>
    <col min="775" max="777" width="6.7109375" style="1364" bestFit="1" customWidth="1"/>
    <col min="778" max="779" width="7" style="1364" bestFit="1" customWidth="1"/>
    <col min="780" max="1024" width="9.140625" style="1364"/>
    <col min="1025" max="1025" width="38" style="1364" bestFit="1" customWidth="1"/>
    <col min="1026" max="1026" width="14.28515625" style="1364" customWidth="1"/>
    <col min="1027" max="1027" width="13.85546875" style="1364" bestFit="1" customWidth="1"/>
    <col min="1028" max="1030" width="7" style="1364" bestFit="1" customWidth="1"/>
    <col min="1031" max="1033" width="6.7109375" style="1364" bestFit="1" customWidth="1"/>
    <col min="1034" max="1035" width="7" style="1364" bestFit="1" customWidth="1"/>
    <col min="1036" max="1280" width="9.140625" style="1364"/>
    <col min="1281" max="1281" width="38" style="1364" bestFit="1" customWidth="1"/>
    <col min="1282" max="1282" width="14.28515625" style="1364" customWidth="1"/>
    <col min="1283" max="1283" width="13.85546875" style="1364" bestFit="1" customWidth="1"/>
    <col min="1284" max="1286" width="7" style="1364" bestFit="1" customWidth="1"/>
    <col min="1287" max="1289" width="6.7109375" style="1364" bestFit="1" customWidth="1"/>
    <col min="1290" max="1291" width="7" style="1364" bestFit="1" customWidth="1"/>
    <col min="1292" max="1536" width="9.140625" style="1364"/>
    <col min="1537" max="1537" width="38" style="1364" bestFit="1" customWidth="1"/>
    <col min="1538" max="1538" width="14.28515625" style="1364" customWidth="1"/>
    <col min="1539" max="1539" width="13.85546875" style="1364" bestFit="1" customWidth="1"/>
    <col min="1540" max="1542" width="7" style="1364" bestFit="1" customWidth="1"/>
    <col min="1543" max="1545" width="6.7109375" style="1364" bestFit="1" customWidth="1"/>
    <col min="1546" max="1547" width="7" style="1364" bestFit="1" customWidth="1"/>
    <col min="1548" max="1792" width="9.140625" style="1364"/>
    <col min="1793" max="1793" width="38" style="1364" bestFit="1" customWidth="1"/>
    <col min="1794" max="1794" width="14.28515625" style="1364" customWidth="1"/>
    <col min="1795" max="1795" width="13.85546875" style="1364" bestFit="1" customWidth="1"/>
    <col min="1796" max="1798" width="7" style="1364" bestFit="1" customWidth="1"/>
    <col min="1799" max="1801" width="6.7109375" style="1364" bestFit="1" customWidth="1"/>
    <col min="1802" max="1803" width="7" style="1364" bestFit="1" customWidth="1"/>
    <col min="1804" max="2048" width="9.140625" style="1364"/>
    <col min="2049" max="2049" width="38" style="1364" bestFit="1" customWidth="1"/>
    <col min="2050" max="2050" width="14.28515625" style="1364" customWidth="1"/>
    <col min="2051" max="2051" width="13.85546875" style="1364" bestFit="1" customWidth="1"/>
    <col min="2052" max="2054" width="7" style="1364" bestFit="1" customWidth="1"/>
    <col min="2055" max="2057" width="6.7109375" style="1364" bestFit="1" customWidth="1"/>
    <col min="2058" max="2059" width="7" style="1364" bestFit="1" customWidth="1"/>
    <col min="2060" max="2304" width="9.140625" style="1364"/>
    <col min="2305" max="2305" width="38" style="1364" bestFit="1" customWidth="1"/>
    <col min="2306" max="2306" width="14.28515625" style="1364" customWidth="1"/>
    <col min="2307" max="2307" width="13.85546875" style="1364" bestFit="1" customWidth="1"/>
    <col min="2308" max="2310" width="7" style="1364" bestFit="1" customWidth="1"/>
    <col min="2311" max="2313" width="6.7109375" style="1364" bestFit="1" customWidth="1"/>
    <col min="2314" max="2315" width="7" style="1364" bestFit="1" customWidth="1"/>
    <col min="2316" max="2560" width="9.140625" style="1364"/>
    <col min="2561" max="2561" width="38" style="1364" bestFit="1" customWidth="1"/>
    <col min="2562" max="2562" width="14.28515625" style="1364" customWidth="1"/>
    <col min="2563" max="2563" width="13.85546875" style="1364" bestFit="1" customWidth="1"/>
    <col min="2564" max="2566" width="7" style="1364" bestFit="1" customWidth="1"/>
    <col min="2567" max="2569" width="6.7109375" style="1364" bestFit="1" customWidth="1"/>
    <col min="2570" max="2571" width="7" style="1364" bestFit="1" customWidth="1"/>
    <col min="2572" max="2816" width="9.140625" style="1364"/>
    <col min="2817" max="2817" width="38" style="1364" bestFit="1" customWidth="1"/>
    <col min="2818" max="2818" width="14.28515625" style="1364" customWidth="1"/>
    <col min="2819" max="2819" width="13.85546875" style="1364" bestFit="1" customWidth="1"/>
    <col min="2820" max="2822" width="7" style="1364" bestFit="1" customWidth="1"/>
    <col min="2823" max="2825" width="6.7109375" style="1364" bestFit="1" customWidth="1"/>
    <col min="2826" max="2827" width="7" style="1364" bestFit="1" customWidth="1"/>
    <col min="2828" max="3072" width="9.140625" style="1364"/>
    <col min="3073" max="3073" width="38" style="1364" bestFit="1" customWidth="1"/>
    <col min="3074" max="3074" width="14.28515625" style="1364" customWidth="1"/>
    <col min="3075" max="3075" width="13.85546875" style="1364" bestFit="1" customWidth="1"/>
    <col min="3076" max="3078" width="7" style="1364" bestFit="1" customWidth="1"/>
    <col min="3079" max="3081" width="6.7109375" style="1364" bestFit="1" customWidth="1"/>
    <col min="3082" max="3083" width="7" style="1364" bestFit="1" customWidth="1"/>
    <col min="3084" max="3328" width="9.140625" style="1364"/>
    <col min="3329" max="3329" width="38" style="1364" bestFit="1" customWidth="1"/>
    <col min="3330" max="3330" width="14.28515625" style="1364" customWidth="1"/>
    <col min="3331" max="3331" width="13.85546875" style="1364" bestFit="1" customWidth="1"/>
    <col min="3332" max="3334" width="7" style="1364" bestFit="1" customWidth="1"/>
    <col min="3335" max="3337" width="6.7109375" style="1364" bestFit="1" customWidth="1"/>
    <col min="3338" max="3339" width="7" style="1364" bestFit="1" customWidth="1"/>
    <col min="3340" max="3584" width="9.140625" style="1364"/>
    <col min="3585" max="3585" width="38" style="1364" bestFit="1" customWidth="1"/>
    <col min="3586" max="3586" width="14.28515625" style="1364" customWidth="1"/>
    <col min="3587" max="3587" width="13.85546875" style="1364" bestFit="1" customWidth="1"/>
    <col min="3588" max="3590" width="7" style="1364" bestFit="1" customWidth="1"/>
    <col min="3591" max="3593" width="6.7109375" style="1364" bestFit="1" customWidth="1"/>
    <col min="3594" max="3595" width="7" style="1364" bestFit="1" customWidth="1"/>
    <col min="3596" max="3840" width="9.140625" style="1364"/>
    <col min="3841" max="3841" width="38" style="1364" bestFit="1" customWidth="1"/>
    <col min="3842" max="3842" width="14.28515625" style="1364" customWidth="1"/>
    <col min="3843" max="3843" width="13.85546875" style="1364" bestFit="1" customWidth="1"/>
    <col min="3844" max="3846" width="7" style="1364" bestFit="1" customWidth="1"/>
    <col min="3847" max="3849" width="6.7109375" style="1364" bestFit="1" customWidth="1"/>
    <col min="3850" max="3851" width="7" style="1364" bestFit="1" customWidth="1"/>
    <col min="3852" max="4096" width="9.140625" style="1364"/>
    <col min="4097" max="4097" width="38" style="1364" bestFit="1" customWidth="1"/>
    <col min="4098" max="4098" width="14.28515625" style="1364" customWidth="1"/>
    <col min="4099" max="4099" width="13.85546875" style="1364" bestFit="1" customWidth="1"/>
    <col min="4100" max="4102" width="7" style="1364" bestFit="1" customWidth="1"/>
    <col min="4103" max="4105" width="6.7109375" style="1364" bestFit="1" customWidth="1"/>
    <col min="4106" max="4107" width="7" style="1364" bestFit="1" customWidth="1"/>
    <col min="4108" max="4352" width="9.140625" style="1364"/>
    <col min="4353" max="4353" width="38" style="1364" bestFit="1" customWidth="1"/>
    <col min="4354" max="4354" width="14.28515625" style="1364" customWidth="1"/>
    <col min="4355" max="4355" width="13.85546875" style="1364" bestFit="1" customWidth="1"/>
    <col min="4356" max="4358" width="7" style="1364" bestFit="1" customWidth="1"/>
    <col min="4359" max="4361" width="6.7109375" style="1364" bestFit="1" customWidth="1"/>
    <col min="4362" max="4363" width="7" style="1364" bestFit="1" customWidth="1"/>
    <col min="4364" max="4608" width="9.140625" style="1364"/>
    <col min="4609" max="4609" width="38" style="1364" bestFit="1" customWidth="1"/>
    <col min="4610" max="4610" width="14.28515625" style="1364" customWidth="1"/>
    <col min="4611" max="4611" width="13.85546875" style="1364" bestFit="1" customWidth="1"/>
    <col min="4612" max="4614" width="7" style="1364" bestFit="1" customWidth="1"/>
    <col min="4615" max="4617" width="6.7109375" style="1364" bestFit="1" customWidth="1"/>
    <col min="4618" max="4619" width="7" style="1364" bestFit="1" customWidth="1"/>
    <col min="4620" max="4864" width="9.140625" style="1364"/>
    <col min="4865" max="4865" width="38" style="1364" bestFit="1" customWidth="1"/>
    <col min="4866" max="4866" width="14.28515625" style="1364" customWidth="1"/>
    <col min="4867" max="4867" width="13.85546875" style="1364" bestFit="1" customWidth="1"/>
    <col min="4868" max="4870" width="7" style="1364" bestFit="1" customWidth="1"/>
    <col min="4871" max="4873" width="6.7109375" style="1364" bestFit="1" customWidth="1"/>
    <col min="4874" max="4875" width="7" style="1364" bestFit="1" customWidth="1"/>
    <col min="4876" max="5120" width="9.140625" style="1364"/>
    <col min="5121" max="5121" width="38" style="1364" bestFit="1" customWidth="1"/>
    <col min="5122" max="5122" width="14.28515625" style="1364" customWidth="1"/>
    <col min="5123" max="5123" width="13.85546875" style="1364" bestFit="1" customWidth="1"/>
    <col min="5124" max="5126" width="7" style="1364" bestFit="1" customWidth="1"/>
    <col min="5127" max="5129" width="6.7109375" style="1364" bestFit="1" customWidth="1"/>
    <col min="5130" max="5131" width="7" style="1364" bestFit="1" customWidth="1"/>
    <col min="5132" max="5376" width="9.140625" style="1364"/>
    <col min="5377" max="5377" width="38" style="1364" bestFit="1" customWidth="1"/>
    <col min="5378" max="5378" width="14.28515625" style="1364" customWidth="1"/>
    <col min="5379" max="5379" width="13.85546875" style="1364" bestFit="1" customWidth="1"/>
    <col min="5380" max="5382" width="7" style="1364" bestFit="1" customWidth="1"/>
    <col min="5383" max="5385" width="6.7109375" style="1364" bestFit="1" customWidth="1"/>
    <col min="5386" max="5387" width="7" style="1364" bestFit="1" customWidth="1"/>
    <col min="5388" max="5632" width="9.140625" style="1364"/>
    <col min="5633" max="5633" width="38" style="1364" bestFit="1" customWidth="1"/>
    <col min="5634" max="5634" width="14.28515625" style="1364" customWidth="1"/>
    <col min="5635" max="5635" width="13.85546875" style="1364" bestFit="1" customWidth="1"/>
    <col min="5636" max="5638" width="7" style="1364" bestFit="1" customWidth="1"/>
    <col min="5639" max="5641" width="6.7109375" style="1364" bestFit="1" customWidth="1"/>
    <col min="5642" max="5643" width="7" style="1364" bestFit="1" customWidth="1"/>
    <col min="5644" max="5888" width="9.140625" style="1364"/>
    <col min="5889" max="5889" width="38" style="1364" bestFit="1" customWidth="1"/>
    <col min="5890" max="5890" width="14.28515625" style="1364" customWidth="1"/>
    <col min="5891" max="5891" width="13.85546875" style="1364" bestFit="1" customWidth="1"/>
    <col min="5892" max="5894" width="7" style="1364" bestFit="1" customWidth="1"/>
    <col min="5895" max="5897" width="6.7109375" style="1364" bestFit="1" customWidth="1"/>
    <col min="5898" max="5899" width="7" style="1364" bestFit="1" customWidth="1"/>
    <col min="5900" max="6144" width="9.140625" style="1364"/>
    <col min="6145" max="6145" width="38" style="1364" bestFit="1" customWidth="1"/>
    <col min="6146" max="6146" width="14.28515625" style="1364" customWidth="1"/>
    <col min="6147" max="6147" width="13.85546875" style="1364" bestFit="1" customWidth="1"/>
    <col min="6148" max="6150" width="7" style="1364" bestFit="1" customWidth="1"/>
    <col min="6151" max="6153" width="6.7109375" style="1364" bestFit="1" customWidth="1"/>
    <col min="6154" max="6155" width="7" style="1364" bestFit="1" customWidth="1"/>
    <col min="6156" max="6400" width="9.140625" style="1364"/>
    <col min="6401" max="6401" width="38" style="1364" bestFit="1" customWidth="1"/>
    <col min="6402" max="6402" width="14.28515625" style="1364" customWidth="1"/>
    <col min="6403" max="6403" width="13.85546875" style="1364" bestFit="1" customWidth="1"/>
    <col min="6404" max="6406" width="7" style="1364" bestFit="1" customWidth="1"/>
    <col min="6407" max="6409" width="6.7109375" style="1364" bestFit="1" customWidth="1"/>
    <col min="6410" max="6411" width="7" style="1364" bestFit="1" customWidth="1"/>
    <col min="6412" max="6656" width="9.140625" style="1364"/>
    <col min="6657" max="6657" width="38" style="1364" bestFit="1" customWidth="1"/>
    <col min="6658" max="6658" width="14.28515625" style="1364" customWidth="1"/>
    <col min="6659" max="6659" width="13.85546875" style="1364" bestFit="1" customWidth="1"/>
    <col min="6660" max="6662" width="7" style="1364" bestFit="1" customWidth="1"/>
    <col min="6663" max="6665" width="6.7109375" style="1364" bestFit="1" customWidth="1"/>
    <col min="6666" max="6667" width="7" style="1364" bestFit="1" customWidth="1"/>
    <col min="6668" max="6912" width="9.140625" style="1364"/>
    <col min="6913" max="6913" width="38" style="1364" bestFit="1" customWidth="1"/>
    <col min="6914" max="6914" width="14.28515625" style="1364" customWidth="1"/>
    <col min="6915" max="6915" width="13.85546875" style="1364" bestFit="1" customWidth="1"/>
    <col min="6916" max="6918" width="7" style="1364" bestFit="1" customWidth="1"/>
    <col min="6919" max="6921" width="6.7109375" style="1364" bestFit="1" customWidth="1"/>
    <col min="6922" max="6923" width="7" style="1364" bestFit="1" customWidth="1"/>
    <col min="6924" max="7168" width="9.140625" style="1364"/>
    <col min="7169" max="7169" width="38" style="1364" bestFit="1" customWidth="1"/>
    <col min="7170" max="7170" width="14.28515625" style="1364" customWidth="1"/>
    <col min="7171" max="7171" width="13.85546875" style="1364" bestFit="1" customWidth="1"/>
    <col min="7172" max="7174" width="7" style="1364" bestFit="1" customWidth="1"/>
    <col min="7175" max="7177" width="6.7109375" style="1364" bestFit="1" customWidth="1"/>
    <col min="7178" max="7179" width="7" style="1364" bestFit="1" customWidth="1"/>
    <col min="7180" max="7424" width="9.140625" style="1364"/>
    <col min="7425" max="7425" width="38" style="1364" bestFit="1" customWidth="1"/>
    <col min="7426" max="7426" width="14.28515625" style="1364" customWidth="1"/>
    <col min="7427" max="7427" width="13.85546875" style="1364" bestFit="1" customWidth="1"/>
    <col min="7428" max="7430" width="7" style="1364" bestFit="1" customWidth="1"/>
    <col min="7431" max="7433" width="6.7109375" style="1364" bestFit="1" customWidth="1"/>
    <col min="7434" max="7435" width="7" style="1364" bestFit="1" customWidth="1"/>
    <col min="7436" max="7680" width="9.140625" style="1364"/>
    <col min="7681" max="7681" width="38" style="1364" bestFit="1" customWidth="1"/>
    <col min="7682" max="7682" width="14.28515625" style="1364" customWidth="1"/>
    <col min="7683" max="7683" width="13.85546875" style="1364" bestFit="1" customWidth="1"/>
    <col min="7684" max="7686" width="7" style="1364" bestFit="1" customWidth="1"/>
    <col min="7687" max="7689" width="6.7109375" style="1364" bestFit="1" customWidth="1"/>
    <col min="7690" max="7691" width="7" style="1364" bestFit="1" customWidth="1"/>
    <col min="7692" max="7936" width="9.140625" style="1364"/>
    <col min="7937" max="7937" width="38" style="1364" bestFit="1" customWidth="1"/>
    <col min="7938" max="7938" width="14.28515625" style="1364" customWidth="1"/>
    <col min="7939" max="7939" width="13.85546875" style="1364" bestFit="1" customWidth="1"/>
    <col min="7940" max="7942" width="7" style="1364" bestFit="1" customWidth="1"/>
    <col min="7943" max="7945" width="6.7109375" style="1364" bestFit="1" customWidth="1"/>
    <col min="7946" max="7947" width="7" style="1364" bestFit="1" customWidth="1"/>
    <col min="7948" max="8192" width="9.140625" style="1364"/>
    <col min="8193" max="8193" width="38" style="1364" bestFit="1" customWidth="1"/>
    <col min="8194" max="8194" width="14.28515625" style="1364" customWidth="1"/>
    <col min="8195" max="8195" width="13.85546875" style="1364" bestFit="1" customWidth="1"/>
    <col min="8196" max="8198" width="7" style="1364" bestFit="1" customWidth="1"/>
    <col min="8199" max="8201" width="6.7109375" style="1364" bestFit="1" customWidth="1"/>
    <col min="8202" max="8203" width="7" style="1364" bestFit="1" customWidth="1"/>
    <col min="8204" max="8448" width="9.140625" style="1364"/>
    <col min="8449" max="8449" width="38" style="1364" bestFit="1" customWidth="1"/>
    <col min="8450" max="8450" width="14.28515625" style="1364" customWidth="1"/>
    <col min="8451" max="8451" width="13.85546875" style="1364" bestFit="1" customWidth="1"/>
    <col min="8452" max="8454" width="7" style="1364" bestFit="1" customWidth="1"/>
    <col min="8455" max="8457" width="6.7109375" style="1364" bestFit="1" customWidth="1"/>
    <col min="8458" max="8459" width="7" style="1364" bestFit="1" customWidth="1"/>
    <col min="8460" max="8704" width="9.140625" style="1364"/>
    <col min="8705" max="8705" width="38" style="1364" bestFit="1" customWidth="1"/>
    <col min="8706" max="8706" width="14.28515625" style="1364" customWidth="1"/>
    <col min="8707" max="8707" width="13.85546875" style="1364" bestFit="1" customWidth="1"/>
    <col min="8708" max="8710" width="7" style="1364" bestFit="1" customWidth="1"/>
    <col min="8711" max="8713" width="6.7109375" style="1364" bestFit="1" customWidth="1"/>
    <col min="8714" max="8715" width="7" style="1364" bestFit="1" customWidth="1"/>
    <col min="8716" max="8960" width="9.140625" style="1364"/>
    <col min="8961" max="8961" width="38" style="1364" bestFit="1" customWidth="1"/>
    <col min="8962" max="8962" width="14.28515625" style="1364" customWidth="1"/>
    <col min="8963" max="8963" width="13.85546875" style="1364" bestFit="1" customWidth="1"/>
    <col min="8964" max="8966" width="7" style="1364" bestFit="1" customWidth="1"/>
    <col min="8967" max="8969" width="6.7109375" style="1364" bestFit="1" customWidth="1"/>
    <col min="8970" max="8971" width="7" style="1364" bestFit="1" customWidth="1"/>
    <col min="8972" max="9216" width="9.140625" style="1364"/>
    <col min="9217" max="9217" width="38" style="1364" bestFit="1" customWidth="1"/>
    <col min="9218" max="9218" width="14.28515625" style="1364" customWidth="1"/>
    <col min="9219" max="9219" width="13.85546875" style="1364" bestFit="1" customWidth="1"/>
    <col min="9220" max="9222" width="7" style="1364" bestFit="1" customWidth="1"/>
    <col min="9223" max="9225" width="6.7109375" style="1364" bestFit="1" customWidth="1"/>
    <col min="9226" max="9227" width="7" style="1364" bestFit="1" customWidth="1"/>
    <col min="9228" max="9472" width="9.140625" style="1364"/>
    <col min="9473" max="9473" width="38" style="1364" bestFit="1" customWidth="1"/>
    <col min="9474" max="9474" width="14.28515625" style="1364" customWidth="1"/>
    <col min="9475" max="9475" width="13.85546875" style="1364" bestFit="1" customWidth="1"/>
    <col min="9476" max="9478" width="7" style="1364" bestFit="1" customWidth="1"/>
    <col min="9479" max="9481" width="6.7109375" style="1364" bestFit="1" customWidth="1"/>
    <col min="9482" max="9483" width="7" style="1364" bestFit="1" customWidth="1"/>
    <col min="9484" max="9728" width="9.140625" style="1364"/>
    <col min="9729" max="9729" width="38" style="1364" bestFit="1" customWidth="1"/>
    <col min="9730" max="9730" width="14.28515625" style="1364" customWidth="1"/>
    <col min="9731" max="9731" width="13.85546875" style="1364" bestFit="1" customWidth="1"/>
    <col min="9732" max="9734" width="7" style="1364" bestFit="1" customWidth="1"/>
    <col min="9735" max="9737" width="6.7109375" style="1364" bestFit="1" customWidth="1"/>
    <col min="9738" max="9739" width="7" style="1364" bestFit="1" customWidth="1"/>
    <col min="9740" max="9984" width="9.140625" style="1364"/>
    <col min="9985" max="9985" width="38" style="1364" bestFit="1" customWidth="1"/>
    <col min="9986" max="9986" width="14.28515625" style="1364" customWidth="1"/>
    <col min="9987" max="9987" width="13.85546875" style="1364" bestFit="1" customWidth="1"/>
    <col min="9988" max="9990" width="7" style="1364" bestFit="1" customWidth="1"/>
    <col min="9991" max="9993" width="6.7109375" style="1364" bestFit="1" customWidth="1"/>
    <col min="9994" max="9995" width="7" style="1364" bestFit="1" customWidth="1"/>
    <col min="9996" max="10240" width="9.140625" style="1364"/>
    <col min="10241" max="10241" width="38" style="1364" bestFit="1" customWidth="1"/>
    <col min="10242" max="10242" width="14.28515625" style="1364" customWidth="1"/>
    <col min="10243" max="10243" width="13.85546875" style="1364" bestFit="1" customWidth="1"/>
    <col min="10244" max="10246" width="7" style="1364" bestFit="1" customWidth="1"/>
    <col min="10247" max="10249" width="6.7109375" style="1364" bestFit="1" customWidth="1"/>
    <col min="10250" max="10251" width="7" style="1364" bestFit="1" customWidth="1"/>
    <col min="10252" max="10496" width="9.140625" style="1364"/>
    <col min="10497" max="10497" width="38" style="1364" bestFit="1" customWidth="1"/>
    <col min="10498" max="10498" width="14.28515625" style="1364" customWidth="1"/>
    <col min="10499" max="10499" width="13.85546875" style="1364" bestFit="1" customWidth="1"/>
    <col min="10500" max="10502" width="7" style="1364" bestFit="1" customWidth="1"/>
    <col min="10503" max="10505" width="6.7109375" style="1364" bestFit="1" customWidth="1"/>
    <col min="10506" max="10507" width="7" style="1364" bestFit="1" customWidth="1"/>
    <col min="10508" max="10752" width="9.140625" style="1364"/>
    <col min="10753" max="10753" width="38" style="1364" bestFit="1" customWidth="1"/>
    <col min="10754" max="10754" width="14.28515625" style="1364" customWidth="1"/>
    <col min="10755" max="10755" width="13.85546875" style="1364" bestFit="1" customWidth="1"/>
    <col min="10756" max="10758" width="7" style="1364" bestFit="1" customWidth="1"/>
    <col min="10759" max="10761" width="6.7109375" style="1364" bestFit="1" customWidth="1"/>
    <col min="10762" max="10763" width="7" style="1364" bestFit="1" customWidth="1"/>
    <col min="10764" max="11008" width="9.140625" style="1364"/>
    <col min="11009" max="11009" width="38" style="1364" bestFit="1" customWidth="1"/>
    <col min="11010" max="11010" width="14.28515625" style="1364" customWidth="1"/>
    <col min="11011" max="11011" width="13.85546875" style="1364" bestFit="1" customWidth="1"/>
    <col min="11012" max="11014" width="7" style="1364" bestFit="1" customWidth="1"/>
    <col min="11015" max="11017" width="6.7109375" style="1364" bestFit="1" customWidth="1"/>
    <col min="11018" max="11019" width="7" style="1364" bestFit="1" customWidth="1"/>
    <col min="11020" max="11264" width="9.140625" style="1364"/>
    <col min="11265" max="11265" width="38" style="1364" bestFit="1" customWidth="1"/>
    <col min="11266" max="11266" width="14.28515625" style="1364" customWidth="1"/>
    <col min="11267" max="11267" width="13.85546875" style="1364" bestFit="1" customWidth="1"/>
    <col min="11268" max="11270" width="7" style="1364" bestFit="1" customWidth="1"/>
    <col min="11271" max="11273" width="6.7109375" style="1364" bestFit="1" customWidth="1"/>
    <col min="11274" max="11275" width="7" style="1364" bestFit="1" customWidth="1"/>
    <col min="11276" max="11520" width="9.140625" style="1364"/>
    <col min="11521" max="11521" width="38" style="1364" bestFit="1" customWidth="1"/>
    <col min="11522" max="11522" width="14.28515625" style="1364" customWidth="1"/>
    <col min="11523" max="11523" width="13.85546875" style="1364" bestFit="1" customWidth="1"/>
    <col min="11524" max="11526" width="7" style="1364" bestFit="1" customWidth="1"/>
    <col min="11527" max="11529" width="6.7109375" style="1364" bestFit="1" customWidth="1"/>
    <col min="11530" max="11531" width="7" style="1364" bestFit="1" customWidth="1"/>
    <col min="11532" max="11776" width="9.140625" style="1364"/>
    <col min="11777" max="11777" width="38" style="1364" bestFit="1" customWidth="1"/>
    <col min="11778" max="11778" width="14.28515625" style="1364" customWidth="1"/>
    <col min="11779" max="11779" width="13.85546875" style="1364" bestFit="1" customWidth="1"/>
    <col min="11780" max="11782" width="7" style="1364" bestFit="1" customWidth="1"/>
    <col min="11783" max="11785" width="6.7109375" style="1364" bestFit="1" customWidth="1"/>
    <col min="11786" max="11787" width="7" style="1364" bestFit="1" customWidth="1"/>
    <col min="11788" max="12032" width="9.140625" style="1364"/>
    <col min="12033" max="12033" width="38" style="1364" bestFit="1" customWidth="1"/>
    <col min="12034" max="12034" width="14.28515625" style="1364" customWidth="1"/>
    <col min="12035" max="12035" width="13.85546875" style="1364" bestFit="1" customWidth="1"/>
    <col min="12036" max="12038" width="7" style="1364" bestFit="1" customWidth="1"/>
    <col min="12039" max="12041" width="6.7109375" style="1364" bestFit="1" customWidth="1"/>
    <col min="12042" max="12043" width="7" style="1364" bestFit="1" customWidth="1"/>
    <col min="12044" max="12288" width="9.140625" style="1364"/>
    <col min="12289" max="12289" width="38" style="1364" bestFit="1" customWidth="1"/>
    <col min="12290" max="12290" width="14.28515625" style="1364" customWidth="1"/>
    <col min="12291" max="12291" width="13.85546875" style="1364" bestFit="1" customWidth="1"/>
    <col min="12292" max="12294" width="7" style="1364" bestFit="1" customWidth="1"/>
    <col min="12295" max="12297" width="6.7109375" style="1364" bestFit="1" customWidth="1"/>
    <col min="12298" max="12299" width="7" style="1364" bestFit="1" customWidth="1"/>
    <col min="12300" max="12544" width="9.140625" style="1364"/>
    <col min="12545" max="12545" width="38" style="1364" bestFit="1" customWidth="1"/>
    <col min="12546" max="12546" width="14.28515625" style="1364" customWidth="1"/>
    <col min="12547" max="12547" width="13.85546875" style="1364" bestFit="1" customWidth="1"/>
    <col min="12548" max="12550" width="7" style="1364" bestFit="1" customWidth="1"/>
    <col min="12551" max="12553" width="6.7109375" style="1364" bestFit="1" customWidth="1"/>
    <col min="12554" max="12555" width="7" style="1364" bestFit="1" customWidth="1"/>
    <col min="12556" max="12800" width="9.140625" style="1364"/>
    <col min="12801" max="12801" width="38" style="1364" bestFit="1" customWidth="1"/>
    <col min="12802" max="12802" width="14.28515625" style="1364" customWidth="1"/>
    <col min="12803" max="12803" width="13.85546875" style="1364" bestFit="1" customWidth="1"/>
    <col min="12804" max="12806" width="7" style="1364" bestFit="1" customWidth="1"/>
    <col min="12807" max="12809" width="6.7109375" style="1364" bestFit="1" customWidth="1"/>
    <col min="12810" max="12811" width="7" style="1364" bestFit="1" customWidth="1"/>
    <col min="12812" max="13056" width="9.140625" style="1364"/>
    <col min="13057" max="13057" width="38" style="1364" bestFit="1" customWidth="1"/>
    <col min="13058" max="13058" width="14.28515625" style="1364" customWidth="1"/>
    <col min="13059" max="13059" width="13.85546875" style="1364" bestFit="1" customWidth="1"/>
    <col min="13060" max="13062" width="7" style="1364" bestFit="1" customWidth="1"/>
    <col min="13063" max="13065" width="6.7109375" style="1364" bestFit="1" customWidth="1"/>
    <col min="13066" max="13067" width="7" style="1364" bestFit="1" customWidth="1"/>
    <col min="13068" max="13312" width="9.140625" style="1364"/>
    <col min="13313" max="13313" width="38" style="1364" bestFit="1" customWidth="1"/>
    <col min="13314" max="13314" width="14.28515625" style="1364" customWidth="1"/>
    <col min="13315" max="13315" width="13.85546875" style="1364" bestFit="1" customWidth="1"/>
    <col min="13316" max="13318" width="7" style="1364" bestFit="1" customWidth="1"/>
    <col min="13319" max="13321" width="6.7109375" style="1364" bestFit="1" customWidth="1"/>
    <col min="13322" max="13323" width="7" style="1364" bestFit="1" customWidth="1"/>
    <col min="13324" max="13568" width="9.140625" style="1364"/>
    <col min="13569" max="13569" width="38" style="1364" bestFit="1" customWidth="1"/>
    <col min="13570" max="13570" width="14.28515625" style="1364" customWidth="1"/>
    <col min="13571" max="13571" width="13.85546875" style="1364" bestFit="1" customWidth="1"/>
    <col min="13572" max="13574" width="7" style="1364" bestFit="1" customWidth="1"/>
    <col min="13575" max="13577" width="6.7109375" style="1364" bestFit="1" customWidth="1"/>
    <col min="13578" max="13579" width="7" style="1364" bestFit="1" customWidth="1"/>
    <col min="13580" max="13824" width="9.140625" style="1364"/>
    <col min="13825" max="13825" width="38" style="1364" bestFit="1" customWidth="1"/>
    <col min="13826" max="13826" width="14.28515625" style="1364" customWidth="1"/>
    <col min="13827" max="13827" width="13.85546875" style="1364" bestFit="1" customWidth="1"/>
    <col min="13828" max="13830" width="7" style="1364" bestFit="1" customWidth="1"/>
    <col min="13831" max="13833" width="6.7109375" style="1364" bestFit="1" customWidth="1"/>
    <col min="13834" max="13835" width="7" style="1364" bestFit="1" customWidth="1"/>
    <col min="13836" max="14080" width="9.140625" style="1364"/>
    <col min="14081" max="14081" width="38" style="1364" bestFit="1" customWidth="1"/>
    <col min="14082" max="14082" width="14.28515625" style="1364" customWidth="1"/>
    <col min="14083" max="14083" width="13.85546875" style="1364" bestFit="1" customWidth="1"/>
    <col min="14084" max="14086" width="7" style="1364" bestFit="1" customWidth="1"/>
    <col min="14087" max="14089" width="6.7109375" style="1364" bestFit="1" customWidth="1"/>
    <col min="14090" max="14091" width="7" style="1364" bestFit="1" customWidth="1"/>
    <col min="14092" max="14336" width="9.140625" style="1364"/>
    <col min="14337" max="14337" width="38" style="1364" bestFit="1" customWidth="1"/>
    <col min="14338" max="14338" width="14.28515625" style="1364" customWidth="1"/>
    <col min="14339" max="14339" width="13.85546875" style="1364" bestFit="1" customWidth="1"/>
    <col min="14340" max="14342" width="7" style="1364" bestFit="1" customWidth="1"/>
    <col min="14343" max="14345" width="6.7109375" style="1364" bestFit="1" customWidth="1"/>
    <col min="14346" max="14347" width="7" style="1364" bestFit="1" customWidth="1"/>
    <col min="14348" max="14592" width="9.140625" style="1364"/>
    <col min="14593" max="14593" width="38" style="1364" bestFit="1" customWidth="1"/>
    <col min="14594" max="14594" width="14.28515625" style="1364" customWidth="1"/>
    <col min="14595" max="14595" width="13.85546875" style="1364" bestFit="1" customWidth="1"/>
    <col min="14596" max="14598" width="7" style="1364" bestFit="1" customWidth="1"/>
    <col min="14599" max="14601" width="6.7109375" style="1364" bestFit="1" customWidth="1"/>
    <col min="14602" max="14603" width="7" style="1364" bestFit="1" customWidth="1"/>
    <col min="14604" max="14848" width="9.140625" style="1364"/>
    <col min="14849" max="14849" width="38" style="1364" bestFit="1" customWidth="1"/>
    <col min="14850" max="14850" width="14.28515625" style="1364" customWidth="1"/>
    <col min="14851" max="14851" width="13.85546875" style="1364" bestFit="1" customWidth="1"/>
    <col min="14852" max="14854" width="7" style="1364" bestFit="1" customWidth="1"/>
    <col min="14855" max="14857" width="6.7109375" style="1364" bestFit="1" customWidth="1"/>
    <col min="14858" max="14859" width="7" style="1364" bestFit="1" customWidth="1"/>
    <col min="14860" max="15104" width="9.140625" style="1364"/>
    <col min="15105" max="15105" width="38" style="1364" bestFit="1" customWidth="1"/>
    <col min="15106" max="15106" width="14.28515625" style="1364" customWidth="1"/>
    <col min="15107" max="15107" width="13.85546875" style="1364" bestFit="1" customWidth="1"/>
    <col min="15108" max="15110" width="7" style="1364" bestFit="1" customWidth="1"/>
    <col min="15111" max="15113" width="6.7109375" style="1364" bestFit="1" customWidth="1"/>
    <col min="15114" max="15115" width="7" style="1364" bestFit="1" customWidth="1"/>
    <col min="15116" max="15360" width="9.140625" style="1364"/>
    <col min="15361" max="15361" width="38" style="1364" bestFit="1" customWidth="1"/>
    <col min="15362" max="15362" width="14.28515625" style="1364" customWidth="1"/>
    <col min="15363" max="15363" width="13.85546875" style="1364" bestFit="1" customWidth="1"/>
    <col min="15364" max="15366" width="7" style="1364" bestFit="1" customWidth="1"/>
    <col min="15367" max="15369" width="6.7109375" style="1364" bestFit="1" customWidth="1"/>
    <col min="15370" max="15371" width="7" style="1364" bestFit="1" customWidth="1"/>
    <col min="15372" max="15616" width="9.140625" style="1364"/>
    <col min="15617" max="15617" width="38" style="1364" bestFit="1" customWidth="1"/>
    <col min="15618" max="15618" width="14.28515625" style="1364" customWidth="1"/>
    <col min="15619" max="15619" width="13.85546875" style="1364" bestFit="1" customWidth="1"/>
    <col min="15620" max="15622" width="7" style="1364" bestFit="1" customWidth="1"/>
    <col min="15623" max="15625" width="6.7109375" style="1364" bestFit="1" customWidth="1"/>
    <col min="15626" max="15627" width="7" style="1364" bestFit="1" customWidth="1"/>
    <col min="15628" max="15872" width="9.140625" style="1364"/>
    <col min="15873" max="15873" width="38" style="1364" bestFit="1" customWidth="1"/>
    <col min="15874" max="15874" width="14.28515625" style="1364" customWidth="1"/>
    <col min="15875" max="15875" width="13.85546875" style="1364" bestFit="1" customWidth="1"/>
    <col min="15876" max="15878" width="7" style="1364" bestFit="1" customWidth="1"/>
    <col min="15879" max="15881" width="6.7109375" style="1364" bestFit="1" customWidth="1"/>
    <col min="15882" max="15883" width="7" style="1364" bestFit="1" customWidth="1"/>
    <col min="15884" max="16128" width="9.140625" style="1364"/>
    <col min="16129" max="16129" width="38" style="1364" bestFit="1" customWidth="1"/>
    <col min="16130" max="16130" width="14.28515625" style="1364" customWidth="1"/>
    <col min="16131" max="16131" width="13.85546875" style="1364" bestFit="1" customWidth="1"/>
    <col min="16132" max="16134" width="7" style="1364" bestFit="1" customWidth="1"/>
    <col min="16135" max="16137" width="6.7109375" style="1364" bestFit="1" customWidth="1"/>
    <col min="16138" max="16139" width="7" style="1364" bestFit="1" customWidth="1"/>
    <col min="16140" max="16384" width="9.140625" style="1364"/>
  </cols>
  <sheetData>
    <row r="1" spans="1:17" ht="21">
      <c r="A1" s="4757" t="s">
        <v>2802</v>
      </c>
      <c r="B1" s="4758"/>
      <c r="C1" s="4758"/>
      <c r="D1" s="4758"/>
      <c r="E1" s="4758"/>
      <c r="F1" s="4758"/>
      <c r="G1" s="4758"/>
      <c r="H1" s="4758"/>
      <c r="I1" s="4758"/>
      <c r="J1" s="4758"/>
      <c r="K1" s="4758"/>
      <c r="L1" s="4758"/>
    </row>
    <row r="2" spans="1:17" ht="15">
      <c r="A2" s="1362"/>
    </row>
    <row r="3" spans="1:17" s="1368" customFormat="1" ht="69" customHeight="1">
      <c r="A3" s="3775" t="s">
        <v>7332</v>
      </c>
      <c r="B3" s="3774" t="s">
        <v>7331</v>
      </c>
      <c r="C3" s="1421"/>
      <c r="D3" s="1432"/>
      <c r="E3" s="1433"/>
    </row>
    <row r="4" spans="1:17" ht="11.25" thickBot="1">
      <c r="A4" s="1435"/>
    </row>
    <row r="5" spans="1:17" s="1381" customFormat="1" ht="15.75" customHeight="1">
      <c r="A5" s="1950" t="s">
        <v>6796</v>
      </c>
      <c r="B5" s="1935">
        <v>2006</v>
      </c>
      <c r="C5" s="1935">
        <v>2007</v>
      </c>
      <c r="D5" s="1935">
        <v>2008</v>
      </c>
      <c r="E5" s="1932">
        <v>2009</v>
      </c>
      <c r="F5" s="1932">
        <v>2010</v>
      </c>
      <c r="G5" s="1932">
        <v>2011</v>
      </c>
      <c r="H5" s="1932">
        <v>2012</v>
      </c>
      <c r="I5" s="1932">
        <v>2013</v>
      </c>
      <c r="J5" s="1932">
        <v>2014</v>
      </c>
      <c r="K5" s="1932">
        <v>2015</v>
      </c>
      <c r="L5" s="1932">
        <v>2016</v>
      </c>
      <c r="M5" s="1932">
        <v>2017</v>
      </c>
      <c r="N5" s="1932">
        <v>2018</v>
      </c>
      <c r="O5" s="1932">
        <v>2019</v>
      </c>
      <c r="P5" s="1932">
        <v>2020</v>
      </c>
      <c r="Q5" s="1933">
        <v>2021</v>
      </c>
    </row>
    <row r="6" spans="1:17" s="1423" customFormat="1" ht="15.75" customHeight="1">
      <c r="A6" s="1436" t="s">
        <v>6797</v>
      </c>
      <c r="B6" s="1437">
        <v>187</v>
      </c>
      <c r="C6" s="1437">
        <v>187</v>
      </c>
      <c r="D6" s="1438">
        <v>189.5</v>
      </c>
      <c r="E6" s="1439">
        <v>188.22</v>
      </c>
      <c r="F6" s="1439">
        <v>195.5</v>
      </c>
      <c r="G6" s="1439">
        <v>229</v>
      </c>
      <c r="H6" s="1439">
        <v>239.34</v>
      </c>
      <c r="I6" s="1440">
        <v>244</v>
      </c>
      <c r="J6" s="1441">
        <v>277.36</v>
      </c>
      <c r="K6" s="1441">
        <v>276.68</v>
      </c>
      <c r="L6" s="1442">
        <v>299.86</v>
      </c>
      <c r="M6" s="1442">
        <v>317.22000000000003</v>
      </c>
      <c r="N6" s="1423">
        <v>356.94</v>
      </c>
      <c r="O6" s="1423">
        <v>386.96</v>
      </c>
      <c r="P6" s="1423">
        <v>496</v>
      </c>
      <c r="Q6" s="1443">
        <v>645.98</v>
      </c>
    </row>
    <row r="7" spans="1:17" s="1381" customFormat="1">
      <c r="A7" s="1389" t="s">
        <v>6798</v>
      </c>
      <c r="B7" s="1444">
        <v>1076</v>
      </c>
      <c r="C7" s="1444">
        <v>1123</v>
      </c>
      <c r="D7" s="1444">
        <v>1116</v>
      </c>
      <c r="E7" s="1444">
        <v>1138</v>
      </c>
      <c r="F7" s="1439">
        <v>1145</v>
      </c>
      <c r="G7" s="1437">
        <v>1185</v>
      </c>
      <c r="H7" s="1437">
        <v>1232</v>
      </c>
      <c r="I7" s="1437">
        <v>1302</v>
      </c>
      <c r="J7" s="1442">
        <v>1615.646</v>
      </c>
      <c r="K7" s="1442">
        <v>1656.039</v>
      </c>
      <c r="L7" s="1442">
        <v>1720.4870000000001</v>
      </c>
      <c r="M7" s="1381">
        <v>1686.78</v>
      </c>
      <c r="N7" s="1381">
        <v>1718.1</v>
      </c>
      <c r="O7" s="1381">
        <v>1418.4</v>
      </c>
      <c r="P7" s="1381">
        <v>1508</v>
      </c>
      <c r="Q7" s="1445">
        <v>1211.5</v>
      </c>
    </row>
    <row r="8" spans="1:17" s="1368" customFormat="1">
      <c r="A8" s="1389" t="s">
        <v>6799</v>
      </c>
      <c r="B8" s="1440">
        <v>40</v>
      </c>
      <c r="C8" s="1440">
        <v>41</v>
      </c>
      <c r="D8" s="1440">
        <v>38</v>
      </c>
      <c r="E8" s="1440">
        <v>48.02</v>
      </c>
      <c r="F8" s="1440">
        <v>94.5</v>
      </c>
      <c r="G8" s="1438">
        <v>96</v>
      </c>
      <c r="H8" s="1438">
        <v>101.8</v>
      </c>
      <c r="I8" s="1438">
        <v>120.1</v>
      </c>
      <c r="J8" s="1442">
        <v>173.99100000000001</v>
      </c>
      <c r="K8" s="1442">
        <v>133.45099999999999</v>
      </c>
      <c r="L8" s="1446">
        <v>68.915000000000006</v>
      </c>
      <c r="Q8" s="1369"/>
    </row>
    <row r="9" spans="1:17" s="1368" customFormat="1">
      <c r="A9" s="1389" t="s">
        <v>6800</v>
      </c>
      <c r="B9" s="1440"/>
      <c r="C9" s="1440"/>
      <c r="D9" s="1440"/>
      <c r="E9" s="1440"/>
      <c r="F9" s="1440"/>
      <c r="G9" s="1438"/>
      <c r="H9" s="1438"/>
      <c r="I9" s="1438"/>
      <c r="J9" s="1442"/>
      <c r="K9" s="1442"/>
      <c r="L9" s="1446"/>
      <c r="M9" s="1368">
        <v>33.299999999999997</v>
      </c>
      <c r="N9" s="1368">
        <v>40.46</v>
      </c>
      <c r="O9" s="1368">
        <v>33.07</v>
      </c>
      <c r="P9" s="1368">
        <v>35.26</v>
      </c>
      <c r="Q9" s="1369">
        <v>40.98</v>
      </c>
    </row>
    <row r="10" spans="1:17" s="1381" customFormat="1">
      <c r="A10" s="1389" t="s">
        <v>6801</v>
      </c>
      <c r="B10" s="1444">
        <v>451</v>
      </c>
      <c r="C10" s="1444">
        <v>483.46</v>
      </c>
      <c r="D10" s="1444">
        <v>496.9</v>
      </c>
      <c r="E10" s="1447">
        <v>499.7</v>
      </c>
      <c r="F10" s="1447">
        <v>554.46</v>
      </c>
      <c r="G10" s="1444">
        <v>312.66000000000003</v>
      </c>
      <c r="H10" s="1444">
        <v>223.66</v>
      </c>
      <c r="I10" s="1444">
        <v>219.36</v>
      </c>
      <c r="J10" s="1446">
        <v>221.43</v>
      </c>
      <c r="K10" s="1446">
        <v>206.39</v>
      </c>
      <c r="L10" s="1446">
        <v>241.32</v>
      </c>
      <c r="M10" s="1381">
        <v>215.96</v>
      </c>
      <c r="N10" s="1381">
        <v>221</v>
      </c>
      <c r="O10" s="1381">
        <v>235.36</v>
      </c>
      <c r="P10" s="1381">
        <v>220.34</v>
      </c>
      <c r="Q10" s="1445">
        <v>209.8</v>
      </c>
    </row>
    <row r="11" spans="1:17" s="1381" customFormat="1">
      <c r="A11" s="1389" t="s">
        <v>6802</v>
      </c>
      <c r="B11" s="1444"/>
      <c r="C11" s="1444">
        <v>41.18</v>
      </c>
      <c r="D11" s="1437">
        <v>39.340000000000003</v>
      </c>
      <c r="E11" s="1439">
        <v>40.58</v>
      </c>
      <c r="F11" s="1439">
        <v>38.895000000000003</v>
      </c>
      <c r="G11" s="1437">
        <v>35.619999999999997</v>
      </c>
      <c r="H11" s="1437">
        <v>34.619999999999997</v>
      </c>
      <c r="I11" s="1437">
        <v>35.46</v>
      </c>
      <c r="J11" s="1446">
        <v>31.68</v>
      </c>
      <c r="K11" s="1446">
        <v>25.8</v>
      </c>
      <c r="L11" s="1446">
        <v>27.6</v>
      </c>
      <c r="M11" s="1446">
        <v>28.66</v>
      </c>
      <c r="P11" s="1381">
        <v>23</v>
      </c>
      <c r="Q11" s="1445">
        <v>33.6</v>
      </c>
    </row>
    <row r="12" spans="1:17" ht="11.25" thickBot="1">
      <c r="A12" s="3604" t="s">
        <v>6803</v>
      </c>
      <c r="B12" s="3605">
        <v>1754</v>
      </c>
      <c r="C12" s="3605">
        <f t="shared" ref="C12:I12" si="0">SUM(C6:C11)</f>
        <v>1875.64</v>
      </c>
      <c r="D12" s="3605">
        <f t="shared" si="0"/>
        <v>1879.74</v>
      </c>
      <c r="E12" s="3605">
        <f t="shared" si="0"/>
        <v>1914.52</v>
      </c>
      <c r="F12" s="3605">
        <f t="shared" si="0"/>
        <v>2028.355</v>
      </c>
      <c r="G12" s="3605">
        <f t="shared" si="0"/>
        <v>1858.28</v>
      </c>
      <c r="H12" s="3605">
        <f t="shared" si="0"/>
        <v>1831.4199999999998</v>
      </c>
      <c r="I12" s="3606">
        <f t="shared" si="0"/>
        <v>1920.92</v>
      </c>
      <c r="J12" s="3606">
        <v>2067</v>
      </c>
      <c r="K12" s="3606">
        <v>2066.17</v>
      </c>
      <c r="L12" s="3606">
        <v>2089.2600000000002</v>
      </c>
      <c r="M12" s="3606">
        <f>SUM(M6:M11)</f>
        <v>2281.9199999999996</v>
      </c>
      <c r="N12" s="3606">
        <v>2097.04</v>
      </c>
      <c r="O12" s="3606">
        <f>SUM(O6:O11)</f>
        <v>2073.79</v>
      </c>
      <c r="P12" s="3606">
        <f>SUM(P6:P11)</f>
        <v>2282.6</v>
      </c>
      <c r="Q12" s="3607">
        <f>SUM(Q6:Q11)</f>
        <v>2141.86</v>
      </c>
    </row>
    <row r="16" spans="1:17" ht="11.25" thickBot="1"/>
    <row r="17" spans="1:18" ht="15.75" thickBot="1">
      <c r="A17" s="1929" t="s">
        <v>14</v>
      </c>
      <c r="B17" s="1938">
        <v>2006</v>
      </c>
      <c r="C17" s="1938">
        <v>2007</v>
      </c>
      <c r="D17" s="1939">
        <v>2008</v>
      </c>
      <c r="E17" s="1939">
        <v>2009</v>
      </c>
      <c r="F17" s="1939">
        <v>2010</v>
      </c>
      <c r="G17" s="1939">
        <v>2011</v>
      </c>
      <c r="H17" s="1939">
        <v>2012</v>
      </c>
      <c r="I17" s="1939">
        <v>2013</v>
      </c>
      <c r="J17" s="1939">
        <v>2014</v>
      </c>
      <c r="K17" s="1939">
        <v>2015</v>
      </c>
      <c r="L17" s="1939">
        <v>2016</v>
      </c>
      <c r="M17" s="1939">
        <v>2017</v>
      </c>
      <c r="N17" s="1940">
        <v>2018</v>
      </c>
    </row>
    <row r="18" spans="1:18" ht="15">
      <c r="A18" s="1448" t="s">
        <v>6804</v>
      </c>
      <c r="B18" s="1368">
        <v>16</v>
      </c>
      <c r="C18" s="1368">
        <v>18</v>
      </c>
      <c r="D18" s="1382">
        <v>30</v>
      </c>
      <c r="E18" s="1382">
        <v>34</v>
      </c>
      <c r="F18" s="1383">
        <v>25</v>
      </c>
      <c r="G18" s="1382">
        <v>23</v>
      </c>
      <c r="H18" s="1382">
        <v>25</v>
      </c>
      <c r="I18" s="1382">
        <v>25</v>
      </c>
      <c r="J18" s="1382">
        <v>30</v>
      </c>
      <c r="K18" s="1368">
        <v>19</v>
      </c>
      <c r="L18" s="570">
        <v>34</v>
      </c>
      <c r="M18" s="1368">
        <v>19</v>
      </c>
      <c r="N18" s="1449" t="s">
        <v>6805</v>
      </c>
    </row>
    <row r="19" spans="1:18" ht="15">
      <c r="A19" s="1448" t="s">
        <v>6806</v>
      </c>
      <c r="B19" s="1368">
        <v>44</v>
      </c>
      <c r="C19" s="1368">
        <v>22</v>
      </c>
      <c r="D19" s="1382">
        <v>18</v>
      </c>
      <c r="E19" s="1382">
        <v>15</v>
      </c>
      <c r="F19" s="1383">
        <v>30</v>
      </c>
      <c r="G19" s="1382">
        <v>36</v>
      </c>
      <c r="H19" s="1382">
        <v>22</v>
      </c>
      <c r="I19" s="1382">
        <v>11</v>
      </c>
      <c r="J19" s="1382">
        <v>11</v>
      </c>
      <c r="K19" s="1368">
        <v>13</v>
      </c>
      <c r="L19" s="570">
        <v>16</v>
      </c>
      <c r="M19" s="1368">
        <v>8</v>
      </c>
      <c r="N19" s="1449" t="s">
        <v>6805</v>
      </c>
    </row>
    <row r="20" spans="1:18" ht="15.75" thickBot="1">
      <c r="A20" s="1450" t="s">
        <v>6807</v>
      </c>
      <c r="B20" s="1392">
        <v>54</v>
      </c>
      <c r="C20" s="1392">
        <v>14</v>
      </c>
      <c r="D20" s="1451">
        <v>16</v>
      </c>
      <c r="E20" s="1451">
        <v>21</v>
      </c>
      <c r="F20" s="1391">
        <v>23</v>
      </c>
      <c r="G20" s="1451">
        <v>29</v>
      </c>
      <c r="H20" s="1451">
        <v>29</v>
      </c>
      <c r="I20" s="1451">
        <v>31</v>
      </c>
      <c r="J20" s="1451">
        <v>33</v>
      </c>
      <c r="K20" s="1392">
        <v>20</v>
      </c>
      <c r="L20" s="592">
        <v>21</v>
      </c>
      <c r="M20" s="1392">
        <v>31</v>
      </c>
      <c r="N20" s="1452" t="s">
        <v>6805</v>
      </c>
    </row>
    <row r="21" spans="1:18">
      <c r="A21" s="1453"/>
      <c r="B21" s="1368"/>
      <c r="C21" s="1368"/>
      <c r="D21" s="1382"/>
      <c r="N21" s="1368"/>
    </row>
    <row r="22" spans="1:18">
      <c r="A22" s="1453"/>
      <c r="B22" s="1368"/>
      <c r="C22" s="1368"/>
      <c r="D22" s="1382"/>
    </row>
    <row r="23" spans="1:18" ht="11.25" thickBot="1"/>
    <row r="24" spans="1:18" ht="15.75" thickBot="1">
      <c r="A24" s="1941" t="s">
        <v>22</v>
      </c>
      <c r="B24" s="1938">
        <v>2006</v>
      </c>
      <c r="C24" s="1938">
        <v>2007</v>
      </c>
      <c r="D24" s="1939">
        <v>2008</v>
      </c>
      <c r="E24" s="1939">
        <v>2009</v>
      </c>
      <c r="F24" s="1939">
        <v>2010</v>
      </c>
      <c r="G24" s="1939">
        <v>2011</v>
      </c>
      <c r="H24" s="1939">
        <v>2012</v>
      </c>
      <c r="I24" s="1939">
        <v>2013</v>
      </c>
      <c r="J24" s="1939">
        <v>2014</v>
      </c>
      <c r="K24" s="1939">
        <v>2015</v>
      </c>
      <c r="L24" s="1939">
        <v>2016</v>
      </c>
      <c r="M24" s="1939">
        <v>2017</v>
      </c>
      <c r="N24" s="3588">
        <v>2018</v>
      </c>
    </row>
    <row r="25" spans="1:18">
      <c r="A25" s="1358" t="s">
        <v>6808</v>
      </c>
      <c r="B25" s="1368">
        <v>1</v>
      </c>
      <c r="C25" s="1368">
        <v>7</v>
      </c>
      <c r="D25" s="1382">
        <v>5</v>
      </c>
      <c r="E25" s="1382">
        <v>16</v>
      </c>
      <c r="F25" s="1383">
        <v>9</v>
      </c>
      <c r="G25" s="1382">
        <v>12</v>
      </c>
      <c r="H25" s="1382">
        <v>41</v>
      </c>
      <c r="I25" s="1382">
        <v>56</v>
      </c>
      <c r="J25" s="1382">
        <v>27</v>
      </c>
      <c r="K25" s="1368">
        <v>15</v>
      </c>
      <c r="L25" s="1368">
        <v>7</v>
      </c>
      <c r="M25" s="1368" t="s">
        <v>6809</v>
      </c>
      <c r="N25" s="1367"/>
    </row>
    <row r="26" spans="1:18">
      <c r="A26" s="1358" t="s">
        <v>6810</v>
      </c>
      <c r="B26" s="1368">
        <v>0</v>
      </c>
      <c r="C26" s="1368">
        <v>0</v>
      </c>
      <c r="D26" s="1382">
        <v>0</v>
      </c>
      <c r="E26" s="1382">
        <v>3</v>
      </c>
      <c r="F26" s="1383">
        <v>1</v>
      </c>
      <c r="G26" s="1382">
        <v>4</v>
      </c>
      <c r="H26" s="1382">
        <v>3</v>
      </c>
      <c r="I26" s="1382">
        <v>2</v>
      </c>
      <c r="J26" s="1382">
        <v>1</v>
      </c>
      <c r="K26" s="1368">
        <v>0</v>
      </c>
      <c r="L26" s="1368" t="s">
        <v>6809</v>
      </c>
      <c r="M26" s="1368" t="s">
        <v>6809</v>
      </c>
      <c r="N26" s="1367"/>
    </row>
    <row r="27" spans="1:18">
      <c r="A27" s="1358" t="s">
        <v>6811</v>
      </c>
      <c r="B27" s="1368">
        <v>0</v>
      </c>
      <c r="C27" s="1368">
        <v>6</v>
      </c>
      <c r="D27" s="1382">
        <v>23</v>
      </c>
      <c r="E27" s="1382">
        <v>134</v>
      </c>
      <c r="F27" s="1383">
        <v>45</v>
      </c>
      <c r="G27" s="1382">
        <v>116</v>
      </c>
      <c r="H27" s="1382">
        <v>55</v>
      </c>
      <c r="I27" s="1382">
        <v>15</v>
      </c>
      <c r="J27" s="1382">
        <v>4</v>
      </c>
      <c r="K27" s="1368">
        <v>0</v>
      </c>
      <c r="L27" s="1368" t="s">
        <v>6809</v>
      </c>
      <c r="M27" s="1368" t="s">
        <v>6809</v>
      </c>
      <c r="N27" s="1367"/>
    </row>
    <row r="28" spans="1:18">
      <c r="A28" s="1358" t="s">
        <v>6812</v>
      </c>
      <c r="B28" s="1368"/>
      <c r="C28" s="1454">
        <v>40</v>
      </c>
      <c r="D28" s="1382">
        <v>18</v>
      </c>
      <c r="E28" s="1382">
        <v>17</v>
      </c>
      <c r="F28" s="1383">
        <v>31</v>
      </c>
      <c r="G28" s="1382">
        <v>20</v>
      </c>
      <c r="H28" s="1382">
        <v>18</v>
      </c>
      <c r="I28" s="1382">
        <v>16</v>
      </c>
      <c r="J28" s="1382"/>
      <c r="K28" s="1368"/>
      <c r="L28" s="1368"/>
      <c r="M28" s="1368"/>
      <c r="N28" s="1367"/>
    </row>
    <row r="29" spans="1:18" ht="15">
      <c r="A29" s="1358" t="s">
        <v>6813</v>
      </c>
      <c r="B29" s="1368"/>
      <c r="C29" s="1378"/>
      <c r="D29" s="1382"/>
      <c r="E29" s="1382"/>
      <c r="F29" s="1383"/>
      <c r="G29" s="1382"/>
      <c r="H29" s="1382"/>
      <c r="I29" s="1382"/>
      <c r="J29" s="1382"/>
      <c r="K29" s="1368"/>
      <c r="L29" s="1368"/>
      <c r="M29" s="1368"/>
      <c r="N29" s="1367"/>
      <c r="R29" s="3758"/>
    </row>
    <row r="30" spans="1:18" ht="15">
      <c r="A30" s="1448" t="s">
        <v>6814</v>
      </c>
      <c r="B30" s="1368">
        <v>9</v>
      </c>
      <c r="C30" s="1454">
        <v>10</v>
      </c>
      <c r="D30" s="1382">
        <v>7</v>
      </c>
      <c r="E30" s="1382">
        <v>8</v>
      </c>
      <c r="F30" s="1384">
        <v>5</v>
      </c>
      <c r="G30" s="1382">
        <v>13</v>
      </c>
      <c r="H30" s="1382">
        <v>10</v>
      </c>
      <c r="I30" s="1382">
        <v>9</v>
      </c>
      <c r="J30" s="1382"/>
      <c r="K30" s="1368"/>
      <c r="L30" s="1368"/>
      <c r="M30" s="1368"/>
      <c r="N30" s="1367"/>
      <c r="R30" s="3758"/>
    </row>
    <row r="31" spans="1:18">
      <c r="A31" s="1448" t="s">
        <v>6815</v>
      </c>
      <c r="B31" s="1368">
        <v>34</v>
      </c>
      <c r="C31" s="1454">
        <v>26</v>
      </c>
      <c r="D31" s="1382">
        <v>25</v>
      </c>
      <c r="E31" s="1382">
        <v>23</v>
      </c>
      <c r="F31" s="1384">
        <v>21</v>
      </c>
      <c r="G31" s="1382">
        <v>25</v>
      </c>
      <c r="H31" s="1382">
        <v>39</v>
      </c>
      <c r="I31" s="1382">
        <v>37</v>
      </c>
      <c r="J31" s="1382"/>
      <c r="K31" s="1368"/>
      <c r="L31" s="1368"/>
      <c r="M31" s="1368"/>
      <c r="N31" s="1367"/>
      <c r="R31" s="4233"/>
    </row>
    <row r="32" spans="1:18">
      <c r="A32" s="1448" t="s">
        <v>6816</v>
      </c>
      <c r="B32" s="1368">
        <v>4</v>
      </c>
      <c r="C32" s="1454">
        <v>1</v>
      </c>
      <c r="D32" s="1382">
        <v>2</v>
      </c>
      <c r="E32" s="1382">
        <v>1</v>
      </c>
      <c r="F32" s="1384">
        <v>1</v>
      </c>
      <c r="G32" s="1382">
        <v>1</v>
      </c>
      <c r="H32" s="1382">
        <v>2</v>
      </c>
      <c r="I32" s="1382">
        <v>2</v>
      </c>
      <c r="J32" s="1382"/>
      <c r="K32" s="1368"/>
      <c r="L32" s="1368"/>
      <c r="M32" s="1368"/>
      <c r="N32" s="1367"/>
      <c r="R32" s="4233"/>
    </row>
    <row r="33" spans="1:18">
      <c r="A33" s="1358" t="s">
        <v>6817</v>
      </c>
      <c r="B33" s="1368"/>
      <c r="C33" s="1455"/>
      <c r="D33" s="1382"/>
      <c r="E33" s="1382"/>
      <c r="F33" s="1383"/>
      <c r="G33" s="1382"/>
      <c r="H33" s="1382"/>
      <c r="I33" s="1382"/>
      <c r="J33" s="1382"/>
      <c r="K33" s="1368"/>
      <c r="L33" s="1368"/>
      <c r="M33" s="1368"/>
      <c r="N33" s="1367"/>
      <c r="R33" s="4233"/>
    </row>
    <row r="34" spans="1:18" ht="15">
      <c r="A34" s="1448" t="s">
        <v>6818</v>
      </c>
      <c r="B34" s="1368">
        <v>138</v>
      </c>
      <c r="C34" s="1454">
        <v>139</v>
      </c>
      <c r="D34" s="1382">
        <v>212</v>
      </c>
      <c r="E34" s="1382">
        <v>44</v>
      </c>
      <c r="F34" s="1383">
        <v>94</v>
      </c>
      <c r="G34" s="1382">
        <v>3650</v>
      </c>
      <c r="H34" s="1382">
        <v>3842</v>
      </c>
      <c r="I34" s="1382">
        <v>2640</v>
      </c>
      <c r="J34" s="1382"/>
      <c r="K34" s="1368"/>
      <c r="L34" s="1368"/>
      <c r="M34" s="1368"/>
      <c r="N34" s="1367"/>
      <c r="R34" s="3758"/>
    </row>
    <row r="35" spans="1:18" ht="15">
      <c r="A35" s="1448" t="s">
        <v>6819</v>
      </c>
      <c r="B35" s="1368">
        <v>0</v>
      </c>
      <c r="C35" s="1454">
        <v>98</v>
      </c>
      <c r="D35" s="1382">
        <v>32</v>
      </c>
      <c r="E35" s="1382">
        <v>36</v>
      </c>
      <c r="F35" s="1383">
        <v>17</v>
      </c>
      <c r="G35" s="1382">
        <v>20</v>
      </c>
      <c r="H35" s="1382">
        <v>107</v>
      </c>
      <c r="I35" s="1382">
        <v>37</v>
      </c>
      <c r="J35" s="1382"/>
      <c r="K35" s="1368"/>
      <c r="L35" s="1368"/>
      <c r="M35" s="1368"/>
      <c r="N35" s="1367"/>
      <c r="R35" s="3758"/>
    </row>
    <row r="36" spans="1:18">
      <c r="A36" s="1448" t="s">
        <v>6820</v>
      </c>
      <c r="B36" s="1368">
        <v>40</v>
      </c>
      <c r="C36" s="1454">
        <v>53</v>
      </c>
      <c r="D36" s="1382">
        <v>64</v>
      </c>
      <c r="E36" s="1382">
        <v>48</v>
      </c>
      <c r="F36" s="1383">
        <v>42</v>
      </c>
      <c r="G36" s="1382">
        <v>24</v>
      </c>
      <c r="H36" s="1382">
        <v>57</v>
      </c>
      <c r="I36" s="1382">
        <v>17</v>
      </c>
      <c r="J36" s="1382"/>
      <c r="K36" s="1368"/>
      <c r="L36" s="1368"/>
      <c r="M36" s="1368"/>
      <c r="N36" s="1367"/>
    </row>
    <row r="37" spans="1:18">
      <c r="A37" s="1358" t="s">
        <v>2803</v>
      </c>
      <c r="B37" s="1368">
        <v>39</v>
      </c>
      <c r="C37" s="1368">
        <v>33</v>
      </c>
      <c r="D37" s="1382">
        <v>21</v>
      </c>
      <c r="E37" s="1382">
        <v>29</v>
      </c>
      <c r="F37" s="1383">
        <v>23</v>
      </c>
      <c r="G37" s="1382">
        <v>15</v>
      </c>
      <c r="H37" s="1382">
        <v>19</v>
      </c>
      <c r="I37" s="1382">
        <v>8</v>
      </c>
      <c r="J37" s="1382"/>
      <c r="K37" s="1368"/>
      <c r="L37" s="1368"/>
      <c r="M37" s="1368"/>
      <c r="N37" s="1367"/>
    </row>
    <row r="38" spans="1:18">
      <c r="A38" s="1358" t="s">
        <v>2808</v>
      </c>
      <c r="B38" s="1368">
        <v>15</v>
      </c>
      <c r="C38" s="1368">
        <v>5</v>
      </c>
      <c r="D38" s="1382">
        <v>2</v>
      </c>
      <c r="E38" s="1382">
        <v>6</v>
      </c>
      <c r="F38" s="1383">
        <v>8</v>
      </c>
      <c r="G38" s="1382">
        <v>10</v>
      </c>
      <c r="H38" s="1382">
        <v>14</v>
      </c>
      <c r="I38" s="1382">
        <v>11</v>
      </c>
      <c r="J38" s="1382"/>
      <c r="K38" s="1368"/>
      <c r="L38" s="1368"/>
      <c r="M38" s="1368"/>
      <c r="N38" s="1367"/>
    </row>
    <row r="39" spans="1:18">
      <c r="A39" s="1358" t="s">
        <v>6821</v>
      </c>
      <c r="B39" s="1368">
        <v>0</v>
      </c>
      <c r="C39" s="1368">
        <v>0</v>
      </c>
      <c r="D39" s="1382">
        <v>0</v>
      </c>
      <c r="E39" s="1382">
        <v>0</v>
      </c>
      <c r="F39" s="1383">
        <v>0</v>
      </c>
      <c r="G39" s="1382">
        <v>2</v>
      </c>
      <c r="H39" s="1382">
        <v>0</v>
      </c>
      <c r="I39" s="1382">
        <v>4</v>
      </c>
      <c r="J39" s="1382">
        <v>3</v>
      </c>
      <c r="K39" s="1368">
        <v>3</v>
      </c>
      <c r="L39" s="1368">
        <v>1</v>
      </c>
      <c r="M39" s="1368">
        <v>0</v>
      </c>
      <c r="N39" s="1367">
        <v>0</v>
      </c>
    </row>
    <row r="40" spans="1:18">
      <c r="A40" s="1358" t="s">
        <v>6822</v>
      </c>
      <c r="B40" s="1368">
        <v>0</v>
      </c>
      <c r="C40" s="1368">
        <v>47</v>
      </c>
      <c r="D40" s="1382">
        <v>33</v>
      </c>
      <c r="E40" s="1382">
        <v>34</v>
      </c>
      <c r="F40" s="1383">
        <v>66</v>
      </c>
      <c r="G40" s="1382">
        <v>61</v>
      </c>
      <c r="H40" s="1382">
        <v>60</v>
      </c>
      <c r="I40" s="1382">
        <v>69</v>
      </c>
      <c r="J40" s="1382">
        <v>57</v>
      </c>
      <c r="K40" s="1368">
        <v>57</v>
      </c>
      <c r="L40" s="1368">
        <v>55</v>
      </c>
      <c r="M40" s="1368">
        <v>48</v>
      </c>
      <c r="N40" s="1367">
        <v>67</v>
      </c>
    </row>
    <row r="41" spans="1:18">
      <c r="A41" s="1358" t="s">
        <v>6823</v>
      </c>
      <c r="B41" s="1368"/>
      <c r="C41" s="1368"/>
      <c r="D41" s="1382">
        <v>2</v>
      </c>
      <c r="E41" s="1382">
        <v>1</v>
      </c>
      <c r="F41" s="1383">
        <v>1</v>
      </c>
      <c r="G41" s="1382">
        <v>0</v>
      </c>
      <c r="H41" s="1382">
        <v>0</v>
      </c>
      <c r="I41" s="1382">
        <v>0</v>
      </c>
      <c r="J41" s="1382">
        <v>0</v>
      </c>
      <c r="K41" s="1368">
        <v>0</v>
      </c>
      <c r="L41" s="1368">
        <v>0</v>
      </c>
      <c r="M41" s="1368">
        <v>0</v>
      </c>
      <c r="N41" s="1367"/>
    </row>
    <row r="42" spans="1:18">
      <c r="A42" s="1358" t="s">
        <v>6824</v>
      </c>
      <c r="B42" s="1368">
        <v>7</v>
      </c>
      <c r="C42" s="1368">
        <v>6</v>
      </c>
      <c r="D42" s="1382">
        <v>6</v>
      </c>
      <c r="E42" s="1382">
        <v>4</v>
      </c>
      <c r="F42" s="1384">
        <v>6</v>
      </c>
      <c r="G42" s="1382">
        <v>3</v>
      </c>
      <c r="H42" s="1382">
        <v>0</v>
      </c>
      <c r="I42" s="1382">
        <v>4</v>
      </c>
      <c r="J42" s="1382"/>
      <c r="K42" s="1368"/>
      <c r="L42" s="1368"/>
      <c r="M42" s="1368"/>
      <c r="N42" s="1367"/>
    </row>
    <row r="43" spans="1:18">
      <c r="A43" s="1358" t="s">
        <v>6825</v>
      </c>
      <c r="B43" s="1368">
        <v>4</v>
      </c>
      <c r="C43" s="1368">
        <v>13</v>
      </c>
      <c r="D43" s="1382">
        <v>11</v>
      </c>
      <c r="E43" s="1382">
        <v>15</v>
      </c>
      <c r="F43" s="1384">
        <v>12</v>
      </c>
      <c r="G43" s="1382">
        <v>12</v>
      </c>
      <c r="H43" s="1382">
        <v>6</v>
      </c>
      <c r="I43" s="1382">
        <v>18</v>
      </c>
      <c r="J43" s="1382"/>
      <c r="K43" s="1368"/>
      <c r="L43" s="1368"/>
      <c r="M43" s="1368" t="s">
        <v>6809</v>
      </c>
      <c r="N43" s="1367"/>
    </row>
    <row r="44" spans="1:18" ht="11.25" thickBot="1">
      <c r="A44" s="1424" t="s">
        <v>6826</v>
      </c>
      <c r="B44" s="1392">
        <v>2</v>
      </c>
      <c r="C44" s="1392">
        <v>0</v>
      </c>
      <c r="D44" s="1451">
        <v>3</v>
      </c>
      <c r="E44" s="1451">
        <v>2</v>
      </c>
      <c r="F44" s="1456">
        <v>2</v>
      </c>
      <c r="G44" s="1451">
        <v>1</v>
      </c>
      <c r="H44" s="1451">
        <v>2</v>
      </c>
      <c r="I44" s="1451">
        <v>1</v>
      </c>
      <c r="J44" s="1451"/>
      <c r="K44" s="1392"/>
      <c r="L44" s="1392">
        <v>0</v>
      </c>
      <c r="M44" s="1392">
        <v>2</v>
      </c>
      <c r="N44" s="3589">
        <v>1</v>
      </c>
    </row>
    <row r="45" spans="1:18">
      <c r="A45" s="1430"/>
      <c r="B45" s="1368"/>
      <c r="C45" s="1368"/>
      <c r="D45" s="1382"/>
      <c r="E45" s="1382"/>
      <c r="F45" s="1384"/>
      <c r="G45" s="1382"/>
      <c r="H45" s="1382"/>
      <c r="I45" s="1382"/>
      <c r="J45" s="1382"/>
      <c r="K45" s="1368"/>
      <c r="L45" s="1368"/>
      <c r="M45" s="1368"/>
      <c r="N45" s="1368"/>
    </row>
  </sheetData>
  <mergeCells count="1">
    <mergeCell ref="A1:L1"/>
  </mergeCells>
  <hyperlinks>
    <hyperlink ref="A1" location="Globaal!A1" display="Milieu en natuur" xr:uid="{00000000-0004-0000-1700-000000000000}"/>
    <hyperlink ref="A1:F1" location="BURGER!A1" display="Milieu" xr:uid="{00000000-0004-0000-1700-000001000000}"/>
    <hyperlink ref="A1:L1" location="BURGER!A1" display="Milieu" xr:uid="{00000000-0004-0000-1700-000002000000}"/>
  </hyperlinks>
  <pageMargins left="0.7" right="0.7" top="0.75" bottom="0.75" header="0.3" footer="0.3"/>
  <pageSetup paperSize="9"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2C637C"/>
  </sheetPr>
  <dimension ref="A1:R244"/>
  <sheetViews>
    <sheetView topLeftCell="A139" zoomScaleNormal="100" workbookViewId="0">
      <selection activeCell="G149" sqref="G149"/>
    </sheetView>
  </sheetViews>
  <sheetFormatPr defaultColWidth="45.42578125" defaultRowHeight="12.75"/>
  <cols>
    <col min="1" max="1" width="76.7109375" style="2469" customWidth="1"/>
    <col min="2" max="2" width="10.7109375" style="2469" bestFit="1" customWidth="1"/>
    <col min="3" max="3" width="18.140625" style="2469" bestFit="1" customWidth="1"/>
    <col min="4" max="6" width="10.7109375" style="2469" bestFit="1" customWidth="1"/>
    <col min="7" max="7" width="6.85546875" style="2469" bestFit="1" customWidth="1"/>
    <col min="8" max="8" width="7.7109375" style="2469" bestFit="1" customWidth="1"/>
    <col min="9" max="9" width="8.28515625" style="2469" bestFit="1" customWidth="1"/>
    <col min="10" max="10" width="9.140625" style="2469" bestFit="1" customWidth="1"/>
    <col min="11" max="13" width="6.85546875" style="2469" bestFit="1" customWidth="1"/>
    <col min="14" max="14" width="17.42578125" style="2469" bestFit="1" customWidth="1"/>
    <col min="15" max="16" width="6.85546875" style="2469" bestFit="1" customWidth="1"/>
    <col min="17" max="256" width="45.42578125" style="2469"/>
    <col min="257" max="257" width="76.7109375" style="2469" customWidth="1"/>
    <col min="258" max="258" width="12.85546875" style="2469" customWidth="1"/>
    <col min="259" max="259" width="16.7109375" style="2469" customWidth="1"/>
    <col min="260" max="260" width="11.7109375" style="2469" customWidth="1"/>
    <col min="261" max="261" width="13.140625" style="2469" customWidth="1"/>
    <col min="262" max="262" width="12.140625" style="2469" customWidth="1"/>
    <col min="263" max="264" width="7.5703125" style="2469" bestFit="1" customWidth="1"/>
    <col min="265" max="265" width="8.140625" style="2469" bestFit="1" customWidth="1"/>
    <col min="266" max="267" width="9" style="2469" bestFit="1" customWidth="1"/>
    <col min="268" max="268" width="12.42578125" style="2469" customWidth="1"/>
    <col min="269" max="270" width="15.42578125" style="2469" customWidth="1"/>
    <col min="271" max="271" width="16.7109375" style="2469" customWidth="1"/>
    <col min="272" max="512" width="45.42578125" style="2469"/>
    <col min="513" max="513" width="76.7109375" style="2469" customWidth="1"/>
    <col min="514" max="514" width="12.85546875" style="2469" customWidth="1"/>
    <col min="515" max="515" width="16.7109375" style="2469" customWidth="1"/>
    <col min="516" max="516" width="11.7109375" style="2469" customWidth="1"/>
    <col min="517" max="517" width="13.140625" style="2469" customWidth="1"/>
    <col min="518" max="518" width="12.140625" style="2469" customWidth="1"/>
    <col min="519" max="520" width="7.5703125" style="2469" bestFit="1" customWidth="1"/>
    <col min="521" max="521" width="8.140625" style="2469" bestFit="1" customWidth="1"/>
    <col min="522" max="523" width="9" style="2469" bestFit="1" customWidth="1"/>
    <col min="524" max="524" width="12.42578125" style="2469" customWidth="1"/>
    <col min="525" max="526" width="15.42578125" style="2469" customWidth="1"/>
    <col min="527" max="527" width="16.7109375" style="2469" customWidth="1"/>
    <col min="528" max="768" width="45.42578125" style="2469"/>
    <col min="769" max="769" width="76.7109375" style="2469" customWidth="1"/>
    <col min="770" max="770" width="12.85546875" style="2469" customWidth="1"/>
    <col min="771" max="771" width="16.7109375" style="2469" customWidth="1"/>
    <col min="772" max="772" width="11.7109375" style="2469" customWidth="1"/>
    <col min="773" max="773" width="13.140625" style="2469" customWidth="1"/>
    <col min="774" max="774" width="12.140625" style="2469" customWidth="1"/>
    <col min="775" max="776" width="7.5703125" style="2469" bestFit="1" customWidth="1"/>
    <col min="777" max="777" width="8.140625" style="2469" bestFit="1" customWidth="1"/>
    <col min="778" max="779" width="9" style="2469" bestFit="1" customWidth="1"/>
    <col min="780" max="780" width="12.42578125" style="2469" customWidth="1"/>
    <col min="781" max="782" width="15.42578125" style="2469" customWidth="1"/>
    <col min="783" max="783" width="16.7109375" style="2469" customWidth="1"/>
    <col min="784" max="1024" width="45.42578125" style="2469"/>
    <col min="1025" max="1025" width="76.7109375" style="2469" customWidth="1"/>
    <col min="1026" max="1026" width="12.85546875" style="2469" customWidth="1"/>
    <col min="1027" max="1027" width="16.7109375" style="2469" customWidth="1"/>
    <col min="1028" max="1028" width="11.7109375" style="2469" customWidth="1"/>
    <col min="1029" max="1029" width="13.140625" style="2469" customWidth="1"/>
    <col min="1030" max="1030" width="12.140625" style="2469" customWidth="1"/>
    <col min="1031" max="1032" width="7.5703125" style="2469" bestFit="1" customWidth="1"/>
    <col min="1033" max="1033" width="8.140625" style="2469" bestFit="1" customWidth="1"/>
    <col min="1034" max="1035" width="9" style="2469" bestFit="1" customWidth="1"/>
    <col min="1036" max="1036" width="12.42578125" style="2469" customWidth="1"/>
    <col min="1037" max="1038" width="15.42578125" style="2469" customWidth="1"/>
    <col min="1039" max="1039" width="16.7109375" style="2469" customWidth="1"/>
    <col min="1040" max="1280" width="45.42578125" style="2469"/>
    <col min="1281" max="1281" width="76.7109375" style="2469" customWidth="1"/>
    <col min="1282" max="1282" width="12.85546875" style="2469" customWidth="1"/>
    <col min="1283" max="1283" width="16.7109375" style="2469" customWidth="1"/>
    <col min="1284" max="1284" width="11.7109375" style="2469" customWidth="1"/>
    <col min="1285" max="1285" width="13.140625" style="2469" customWidth="1"/>
    <col min="1286" max="1286" width="12.140625" style="2469" customWidth="1"/>
    <col min="1287" max="1288" width="7.5703125" style="2469" bestFit="1" customWidth="1"/>
    <col min="1289" max="1289" width="8.140625" style="2469" bestFit="1" customWidth="1"/>
    <col min="1290" max="1291" width="9" style="2469" bestFit="1" customWidth="1"/>
    <col min="1292" max="1292" width="12.42578125" style="2469" customWidth="1"/>
    <col min="1293" max="1294" width="15.42578125" style="2469" customWidth="1"/>
    <col min="1295" max="1295" width="16.7109375" style="2469" customWidth="1"/>
    <col min="1296" max="1536" width="45.42578125" style="2469"/>
    <col min="1537" max="1537" width="76.7109375" style="2469" customWidth="1"/>
    <col min="1538" max="1538" width="12.85546875" style="2469" customWidth="1"/>
    <col min="1539" max="1539" width="16.7109375" style="2469" customWidth="1"/>
    <col min="1540" max="1540" width="11.7109375" style="2469" customWidth="1"/>
    <col min="1541" max="1541" width="13.140625" style="2469" customWidth="1"/>
    <col min="1542" max="1542" width="12.140625" style="2469" customWidth="1"/>
    <col min="1543" max="1544" width="7.5703125" style="2469" bestFit="1" customWidth="1"/>
    <col min="1545" max="1545" width="8.140625" style="2469" bestFit="1" customWidth="1"/>
    <col min="1546" max="1547" width="9" style="2469" bestFit="1" customWidth="1"/>
    <col min="1548" max="1548" width="12.42578125" style="2469" customWidth="1"/>
    <col min="1549" max="1550" width="15.42578125" style="2469" customWidth="1"/>
    <col min="1551" max="1551" width="16.7109375" style="2469" customWidth="1"/>
    <col min="1552" max="1792" width="45.42578125" style="2469"/>
    <col min="1793" max="1793" width="76.7109375" style="2469" customWidth="1"/>
    <col min="1794" max="1794" width="12.85546875" style="2469" customWidth="1"/>
    <col min="1795" max="1795" width="16.7109375" style="2469" customWidth="1"/>
    <col min="1796" max="1796" width="11.7109375" style="2469" customWidth="1"/>
    <col min="1797" max="1797" width="13.140625" style="2469" customWidth="1"/>
    <col min="1798" max="1798" width="12.140625" style="2469" customWidth="1"/>
    <col min="1799" max="1800" width="7.5703125" style="2469" bestFit="1" customWidth="1"/>
    <col min="1801" max="1801" width="8.140625" style="2469" bestFit="1" customWidth="1"/>
    <col min="1802" max="1803" width="9" style="2469" bestFit="1" customWidth="1"/>
    <col min="1804" max="1804" width="12.42578125" style="2469" customWidth="1"/>
    <col min="1805" max="1806" width="15.42578125" style="2469" customWidth="1"/>
    <col min="1807" max="1807" width="16.7109375" style="2469" customWidth="1"/>
    <col min="1808" max="2048" width="45.42578125" style="2469"/>
    <col min="2049" max="2049" width="76.7109375" style="2469" customWidth="1"/>
    <col min="2050" max="2050" width="12.85546875" style="2469" customWidth="1"/>
    <col min="2051" max="2051" width="16.7109375" style="2469" customWidth="1"/>
    <col min="2052" max="2052" width="11.7109375" style="2469" customWidth="1"/>
    <col min="2053" max="2053" width="13.140625" style="2469" customWidth="1"/>
    <col min="2054" max="2054" width="12.140625" style="2469" customWidth="1"/>
    <col min="2055" max="2056" width="7.5703125" style="2469" bestFit="1" customWidth="1"/>
    <col min="2057" max="2057" width="8.140625" style="2469" bestFit="1" customWidth="1"/>
    <col min="2058" max="2059" width="9" style="2469" bestFit="1" customWidth="1"/>
    <col min="2060" max="2060" width="12.42578125" style="2469" customWidth="1"/>
    <col min="2061" max="2062" width="15.42578125" style="2469" customWidth="1"/>
    <col min="2063" max="2063" width="16.7109375" style="2469" customWidth="1"/>
    <col min="2064" max="2304" width="45.42578125" style="2469"/>
    <col min="2305" max="2305" width="76.7109375" style="2469" customWidth="1"/>
    <col min="2306" max="2306" width="12.85546875" style="2469" customWidth="1"/>
    <col min="2307" max="2307" width="16.7109375" style="2469" customWidth="1"/>
    <col min="2308" max="2308" width="11.7109375" style="2469" customWidth="1"/>
    <col min="2309" max="2309" width="13.140625" style="2469" customWidth="1"/>
    <col min="2310" max="2310" width="12.140625" style="2469" customWidth="1"/>
    <col min="2311" max="2312" width="7.5703125" style="2469" bestFit="1" customWidth="1"/>
    <col min="2313" max="2313" width="8.140625" style="2469" bestFit="1" customWidth="1"/>
    <col min="2314" max="2315" width="9" style="2469" bestFit="1" customWidth="1"/>
    <col min="2316" max="2316" width="12.42578125" style="2469" customWidth="1"/>
    <col min="2317" max="2318" width="15.42578125" style="2469" customWidth="1"/>
    <col min="2319" max="2319" width="16.7109375" style="2469" customWidth="1"/>
    <col min="2320" max="2560" width="45.42578125" style="2469"/>
    <col min="2561" max="2561" width="76.7109375" style="2469" customWidth="1"/>
    <col min="2562" max="2562" width="12.85546875" style="2469" customWidth="1"/>
    <col min="2563" max="2563" width="16.7109375" style="2469" customWidth="1"/>
    <col min="2564" max="2564" width="11.7109375" style="2469" customWidth="1"/>
    <col min="2565" max="2565" width="13.140625" style="2469" customWidth="1"/>
    <col min="2566" max="2566" width="12.140625" style="2469" customWidth="1"/>
    <col min="2567" max="2568" width="7.5703125" style="2469" bestFit="1" customWidth="1"/>
    <col min="2569" max="2569" width="8.140625" style="2469" bestFit="1" customWidth="1"/>
    <col min="2570" max="2571" width="9" style="2469" bestFit="1" customWidth="1"/>
    <col min="2572" max="2572" width="12.42578125" style="2469" customWidth="1"/>
    <col min="2573" max="2574" width="15.42578125" style="2469" customWidth="1"/>
    <col min="2575" max="2575" width="16.7109375" style="2469" customWidth="1"/>
    <col min="2576" max="2816" width="45.42578125" style="2469"/>
    <col min="2817" max="2817" width="76.7109375" style="2469" customWidth="1"/>
    <col min="2818" max="2818" width="12.85546875" style="2469" customWidth="1"/>
    <col min="2819" max="2819" width="16.7109375" style="2469" customWidth="1"/>
    <col min="2820" max="2820" width="11.7109375" style="2469" customWidth="1"/>
    <col min="2821" max="2821" width="13.140625" style="2469" customWidth="1"/>
    <col min="2822" max="2822" width="12.140625" style="2469" customWidth="1"/>
    <col min="2823" max="2824" width="7.5703125" style="2469" bestFit="1" customWidth="1"/>
    <col min="2825" max="2825" width="8.140625" style="2469" bestFit="1" customWidth="1"/>
    <col min="2826" max="2827" width="9" style="2469" bestFit="1" customWidth="1"/>
    <col min="2828" max="2828" width="12.42578125" style="2469" customWidth="1"/>
    <col min="2829" max="2830" width="15.42578125" style="2469" customWidth="1"/>
    <col min="2831" max="2831" width="16.7109375" style="2469" customWidth="1"/>
    <col min="2832" max="3072" width="45.42578125" style="2469"/>
    <col min="3073" max="3073" width="76.7109375" style="2469" customWidth="1"/>
    <col min="3074" max="3074" width="12.85546875" style="2469" customWidth="1"/>
    <col min="3075" max="3075" width="16.7109375" style="2469" customWidth="1"/>
    <col min="3076" max="3076" width="11.7109375" style="2469" customWidth="1"/>
    <col min="3077" max="3077" width="13.140625" style="2469" customWidth="1"/>
    <col min="3078" max="3078" width="12.140625" style="2469" customWidth="1"/>
    <col min="3079" max="3080" width="7.5703125" style="2469" bestFit="1" customWidth="1"/>
    <col min="3081" max="3081" width="8.140625" style="2469" bestFit="1" customWidth="1"/>
    <col min="3082" max="3083" width="9" style="2469" bestFit="1" customWidth="1"/>
    <col min="3084" max="3084" width="12.42578125" style="2469" customWidth="1"/>
    <col min="3085" max="3086" width="15.42578125" style="2469" customWidth="1"/>
    <col min="3087" max="3087" width="16.7109375" style="2469" customWidth="1"/>
    <col min="3088" max="3328" width="45.42578125" style="2469"/>
    <col min="3329" max="3329" width="76.7109375" style="2469" customWidth="1"/>
    <col min="3330" max="3330" width="12.85546875" style="2469" customWidth="1"/>
    <col min="3331" max="3331" width="16.7109375" style="2469" customWidth="1"/>
    <col min="3332" max="3332" width="11.7109375" style="2469" customWidth="1"/>
    <col min="3333" max="3333" width="13.140625" style="2469" customWidth="1"/>
    <col min="3334" max="3334" width="12.140625" style="2469" customWidth="1"/>
    <col min="3335" max="3336" width="7.5703125" style="2469" bestFit="1" customWidth="1"/>
    <col min="3337" max="3337" width="8.140625" style="2469" bestFit="1" customWidth="1"/>
    <col min="3338" max="3339" width="9" style="2469" bestFit="1" customWidth="1"/>
    <col min="3340" max="3340" width="12.42578125" style="2469" customWidth="1"/>
    <col min="3341" max="3342" width="15.42578125" style="2469" customWidth="1"/>
    <col min="3343" max="3343" width="16.7109375" style="2469" customWidth="1"/>
    <col min="3344" max="3584" width="45.42578125" style="2469"/>
    <col min="3585" max="3585" width="76.7109375" style="2469" customWidth="1"/>
    <col min="3586" max="3586" width="12.85546875" style="2469" customWidth="1"/>
    <col min="3587" max="3587" width="16.7109375" style="2469" customWidth="1"/>
    <col min="3588" max="3588" width="11.7109375" style="2469" customWidth="1"/>
    <col min="3589" max="3589" width="13.140625" style="2469" customWidth="1"/>
    <col min="3590" max="3590" width="12.140625" style="2469" customWidth="1"/>
    <col min="3591" max="3592" width="7.5703125" style="2469" bestFit="1" customWidth="1"/>
    <col min="3593" max="3593" width="8.140625" style="2469" bestFit="1" customWidth="1"/>
    <col min="3594" max="3595" width="9" style="2469" bestFit="1" customWidth="1"/>
    <col min="3596" max="3596" width="12.42578125" style="2469" customWidth="1"/>
    <col min="3597" max="3598" width="15.42578125" style="2469" customWidth="1"/>
    <col min="3599" max="3599" width="16.7109375" style="2469" customWidth="1"/>
    <col min="3600" max="3840" width="45.42578125" style="2469"/>
    <col min="3841" max="3841" width="76.7109375" style="2469" customWidth="1"/>
    <col min="3842" max="3842" width="12.85546875" style="2469" customWidth="1"/>
    <col min="3843" max="3843" width="16.7109375" style="2469" customWidth="1"/>
    <col min="3844" max="3844" width="11.7109375" style="2469" customWidth="1"/>
    <col min="3845" max="3845" width="13.140625" style="2469" customWidth="1"/>
    <col min="3846" max="3846" width="12.140625" style="2469" customWidth="1"/>
    <col min="3847" max="3848" width="7.5703125" style="2469" bestFit="1" customWidth="1"/>
    <col min="3849" max="3849" width="8.140625" style="2469" bestFit="1" customWidth="1"/>
    <col min="3850" max="3851" width="9" style="2469" bestFit="1" customWidth="1"/>
    <col min="3852" max="3852" width="12.42578125" style="2469" customWidth="1"/>
    <col min="3853" max="3854" width="15.42578125" style="2469" customWidth="1"/>
    <col min="3855" max="3855" width="16.7109375" style="2469" customWidth="1"/>
    <col min="3856" max="4096" width="45.42578125" style="2469"/>
    <col min="4097" max="4097" width="76.7109375" style="2469" customWidth="1"/>
    <col min="4098" max="4098" width="12.85546875" style="2469" customWidth="1"/>
    <col min="4099" max="4099" width="16.7109375" style="2469" customWidth="1"/>
    <col min="4100" max="4100" width="11.7109375" style="2469" customWidth="1"/>
    <col min="4101" max="4101" width="13.140625" style="2469" customWidth="1"/>
    <col min="4102" max="4102" width="12.140625" style="2469" customWidth="1"/>
    <col min="4103" max="4104" width="7.5703125" style="2469" bestFit="1" customWidth="1"/>
    <col min="4105" max="4105" width="8.140625" style="2469" bestFit="1" customWidth="1"/>
    <col min="4106" max="4107" width="9" style="2469" bestFit="1" customWidth="1"/>
    <col min="4108" max="4108" width="12.42578125" style="2469" customWidth="1"/>
    <col min="4109" max="4110" width="15.42578125" style="2469" customWidth="1"/>
    <col min="4111" max="4111" width="16.7109375" style="2469" customWidth="1"/>
    <col min="4112" max="4352" width="45.42578125" style="2469"/>
    <col min="4353" max="4353" width="76.7109375" style="2469" customWidth="1"/>
    <col min="4354" max="4354" width="12.85546875" style="2469" customWidth="1"/>
    <col min="4355" max="4355" width="16.7109375" style="2469" customWidth="1"/>
    <col min="4356" max="4356" width="11.7109375" style="2469" customWidth="1"/>
    <col min="4357" max="4357" width="13.140625" style="2469" customWidth="1"/>
    <col min="4358" max="4358" width="12.140625" style="2469" customWidth="1"/>
    <col min="4359" max="4360" width="7.5703125" style="2469" bestFit="1" customWidth="1"/>
    <col min="4361" max="4361" width="8.140625" style="2469" bestFit="1" customWidth="1"/>
    <col min="4362" max="4363" width="9" style="2469" bestFit="1" customWidth="1"/>
    <col min="4364" max="4364" width="12.42578125" style="2469" customWidth="1"/>
    <col min="4365" max="4366" width="15.42578125" style="2469" customWidth="1"/>
    <col min="4367" max="4367" width="16.7109375" style="2469" customWidth="1"/>
    <col min="4368" max="4608" width="45.42578125" style="2469"/>
    <col min="4609" max="4609" width="76.7109375" style="2469" customWidth="1"/>
    <col min="4610" max="4610" width="12.85546875" style="2469" customWidth="1"/>
    <col min="4611" max="4611" width="16.7109375" style="2469" customWidth="1"/>
    <col min="4612" max="4612" width="11.7109375" style="2469" customWidth="1"/>
    <col min="4613" max="4613" width="13.140625" style="2469" customWidth="1"/>
    <col min="4614" max="4614" width="12.140625" style="2469" customWidth="1"/>
    <col min="4615" max="4616" width="7.5703125" style="2469" bestFit="1" customWidth="1"/>
    <col min="4617" max="4617" width="8.140625" style="2469" bestFit="1" customWidth="1"/>
    <col min="4618" max="4619" width="9" style="2469" bestFit="1" customWidth="1"/>
    <col min="4620" max="4620" width="12.42578125" style="2469" customWidth="1"/>
    <col min="4621" max="4622" width="15.42578125" style="2469" customWidth="1"/>
    <col min="4623" max="4623" width="16.7109375" style="2469" customWidth="1"/>
    <col min="4624" max="4864" width="45.42578125" style="2469"/>
    <col min="4865" max="4865" width="76.7109375" style="2469" customWidth="1"/>
    <col min="4866" max="4866" width="12.85546875" style="2469" customWidth="1"/>
    <col min="4867" max="4867" width="16.7109375" style="2469" customWidth="1"/>
    <col min="4868" max="4868" width="11.7109375" style="2469" customWidth="1"/>
    <col min="4869" max="4869" width="13.140625" style="2469" customWidth="1"/>
    <col min="4870" max="4870" width="12.140625" style="2469" customWidth="1"/>
    <col min="4871" max="4872" width="7.5703125" style="2469" bestFit="1" customWidth="1"/>
    <col min="4873" max="4873" width="8.140625" style="2469" bestFit="1" customWidth="1"/>
    <col min="4874" max="4875" width="9" style="2469" bestFit="1" customWidth="1"/>
    <col min="4876" max="4876" width="12.42578125" style="2469" customWidth="1"/>
    <col min="4877" max="4878" width="15.42578125" style="2469" customWidth="1"/>
    <col min="4879" max="4879" width="16.7109375" style="2469" customWidth="1"/>
    <col min="4880" max="5120" width="45.42578125" style="2469"/>
    <col min="5121" max="5121" width="76.7109375" style="2469" customWidth="1"/>
    <col min="5122" max="5122" width="12.85546875" style="2469" customWidth="1"/>
    <col min="5123" max="5123" width="16.7109375" style="2469" customWidth="1"/>
    <col min="5124" max="5124" width="11.7109375" style="2469" customWidth="1"/>
    <col min="5125" max="5125" width="13.140625" style="2469" customWidth="1"/>
    <col min="5126" max="5126" width="12.140625" style="2469" customWidth="1"/>
    <col min="5127" max="5128" width="7.5703125" style="2469" bestFit="1" customWidth="1"/>
    <col min="5129" max="5129" width="8.140625" style="2469" bestFit="1" customWidth="1"/>
    <col min="5130" max="5131" width="9" style="2469" bestFit="1" customWidth="1"/>
    <col min="5132" max="5132" width="12.42578125" style="2469" customWidth="1"/>
    <col min="5133" max="5134" width="15.42578125" style="2469" customWidth="1"/>
    <col min="5135" max="5135" width="16.7109375" style="2469" customWidth="1"/>
    <col min="5136" max="5376" width="45.42578125" style="2469"/>
    <col min="5377" max="5377" width="76.7109375" style="2469" customWidth="1"/>
    <col min="5378" max="5378" width="12.85546875" style="2469" customWidth="1"/>
    <col min="5379" max="5379" width="16.7109375" style="2469" customWidth="1"/>
    <col min="5380" max="5380" width="11.7109375" style="2469" customWidth="1"/>
    <col min="5381" max="5381" width="13.140625" style="2469" customWidth="1"/>
    <col min="5382" max="5382" width="12.140625" style="2469" customWidth="1"/>
    <col min="5383" max="5384" width="7.5703125" style="2469" bestFit="1" customWidth="1"/>
    <col min="5385" max="5385" width="8.140625" style="2469" bestFit="1" customWidth="1"/>
    <col min="5386" max="5387" width="9" style="2469" bestFit="1" customWidth="1"/>
    <col min="5388" max="5388" width="12.42578125" style="2469" customWidth="1"/>
    <col min="5389" max="5390" width="15.42578125" style="2469" customWidth="1"/>
    <col min="5391" max="5391" width="16.7109375" style="2469" customWidth="1"/>
    <col min="5392" max="5632" width="45.42578125" style="2469"/>
    <col min="5633" max="5633" width="76.7109375" style="2469" customWidth="1"/>
    <col min="5634" max="5634" width="12.85546875" style="2469" customWidth="1"/>
    <col min="5635" max="5635" width="16.7109375" style="2469" customWidth="1"/>
    <col min="5636" max="5636" width="11.7109375" style="2469" customWidth="1"/>
    <col min="5637" max="5637" width="13.140625" style="2469" customWidth="1"/>
    <col min="5638" max="5638" width="12.140625" style="2469" customWidth="1"/>
    <col min="5639" max="5640" width="7.5703125" style="2469" bestFit="1" customWidth="1"/>
    <col min="5641" max="5641" width="8.140625" style="2469" bestFit="1" customWidth="1"/>
    <col min="5642" max="5643" width="9" style="2469" bestFit="1" customWidth="1"/>
    <col min="5644" max="5644" width="12.42578125" style="2469" customWidth="1"/>
    <col min="5645" max="5646" width="15.42578125" style="2469" customWidth="1"/>
    <col min="5647" max="5647" width="16.7109375" style="2469" customWidth="1"/>
    <col min="5648" max="5888" width="45.42578125" style="2469"/>
    <col min="5889" max="5889" width="76.7109375" style="2469" customWidth="1"/>
    <col min="5890" max="5890" width="12.85546875" style="2469" customWidth="1"/>
    <col min="5891" max="5891" width="16.7109375" style="2469" customWidth="1"/>
    <col min="5892" max="5892" width="11.7109375" style="2469" customWidth="1"/>
    <col min="5893" max="5893" width="13.140625" style="2469" customWidth="1"/>
    <col min="5894" max="5894" width="12.140625" style="2469" customWidth="1"/>
    <col min="5895" max="5896" width="7.5703125" style="2469" bestFit="1" customWidth="1"/>
    <col min="5897" max="5897" width="8.140625" style="2469" bestFit="1" customWidth="1"/>
    <col min="5898" max="5899" width="9" style="2469" bestFit="1" customWidth="1"/>
    <col min="5900" max="5900" width="12.42578125" style="2469" customWidth="1"/>
    <col min="5901" max="5902" width="15.42578125" style="2469" customWidth="1"/>
    <col min="5903" max="5903" width="16.7109375" style="2469" customWidth="1"/>
    <col min="5904" max="6144" width="45.42578125" style="2469"/>
    <col min="6145" max="6145" width="76.7109375" style="2469" customWidth="1"/>
    <col min="6146" max="6146" width="12.85546875" style="2469" customWidth="1"/>
    <col min="6147" max="6147" width="16.7109375" style="2469" customWidth="1"/>
    <col min="6148" max="6148" width="11.7109375" style="2469" customWidth="1"/>
    <col min="6149" max="6149" width="13.140625" style="2469" customWidth="1"/>
    <col min="6150" max="6150" width="12.140625" style="2469" customWidth="1"/>
    <col min="6151" max="6152" width="7.5703125" style="2469" bestFit="1" customWidth="1"/>
    <col min="6153" max="6153" width="8.140625" style="2469" bestFit="1" customWidth="1"/>
    <col min="6154" max="6155" width="9" style="2469" bestFit="1" customWidth="1"/>
    <col min="6156" max="6156" width="12.42578125" style="2469" customWidth="1"/>
    <col min="6157" max="6158" width="15.42578125" style="2469" customWidth="1"/>
    <col min="6159" max="6159" width="16.7109375" style="2469" customWidth="1"/>
    <col min="6160" max="6400" width="45.42578125" style="2469"/>
    <col min="6401" max="6401" width="76.7109375" style="2469" customWidth="1"/>
    <col min="6402" max="6402" width="12.85546875" style="2469" customWidth="1"/>
    <col min="6403" max="6403" width="16.7109375" style="2469" customWidth="1"/>
    <col min="6404" max="6404" width="11.7109375" style="2469" customWidth="1"/>
    <col min="6405" max="6405" width="13.140625" style="2469" customWidth="1"/>
    <col min="6406" max="6406" width="12.140625" style="2469" customWidth="1"/>
    <col min="6407" max="6408" width="7.5703125" style="2469" bestFit="1" customWidth="1"/>
    <col min="6409" max="6409" width="8.140625" style="2469" bestFit="1" customWidth="1"/>
    <col min="6410" max="6411" width="9" style="2469" bestFit="1" customWidth="1"/>
    <col min="6412" max="6412" width="12.42578125" style="2469" customWidth="1"/>
    <col min="6413" max="6414" width="15.42578125" style="2469" customWidth="1"/>
    <col min="6415" max="6415" width="16.7109375" style="2469" customWidth="1"/>
    <col min="6416" max="6656" width="45.42578125" style="2469"/>
    <col min="6657" max="6657" width="76.7109375" style="2469" customWidth="1"/>
    <col min="6658" max="6658" width="12.85546875" style="2469" customWidth="1"/>
    <col min="6659" max="6659" width="16.7109375" style="2469" customWidth="1"/>
    <col min="6660" max="6660" width="11.7109375" style="2469" customWidth="1"/>
    <col min="6661" max="6661" width="13.140625" style="2469" customWidth="1"/>
    <col min="6662" max="6662" width="12.140625" style="2469" customWidth="1"/>
    <col min="6663" max="6664" width="7.5703125" style="2469" bestFit="1" customWidth="1"/>
    <col min="6665" max="6665" width="8.140625" style="2469" bestFit="1" customWidth="1"/>
    <col min="6666" max="6667" width="9" style="2469" bestFit="1" customWidth="1"/>
    <col min="6668" max="6668" width="12.42578125" style="2469" customWidth="1"/>
    <col min="6669" max="6670" width="15.42578125" style="2469" customWidth="1"/>
    <col min="6671" max="6671" width="16.7109375" style="2469" customWidth="1"/>
    <col min="6672" max="6912" width="45.42578125" style="2469"/>
    <col min="6913" max="6913" width="76.7109375" style="2469" customWidth="1"/>
    <col min="6914" max="6914" width="12.85546875" style="2469" customWidth="1"/>
    <col min="6915" max="6915" width="16.7109375" style="2469" customWidth="1"/>
    <col min="6916" max="6916" width="11.7109375" style="2469" customWidth="1"/>
    <col min="6917" max="6917" width="13.140625" style="2469" customWidth="1"/>
    <col min="6918" max="6918" width="12.140625" style="2469" customWidth="1"/>
    <col min="6919" max="6920" width="7.5703125" style="2469" bestFit="1" customWidth="1"/>
    <col min="6921" max="6921" width="8.140625" style="2469" bestFit="1" customWidth="1"/>
    <col min="6922" max="6923" width="9" style="2469" bestFit="1" customWidth="1"/>
    <col min="6924" max="6924" width="12.42578125" style="2469" customWidth="1"/>
    <col min="6925" max="6926" width="15.42578125" style="2469" customWidth="1"/>
    <col min="6927" max="6927" width="16.7109375" style="2469" customWidth="1"/>
    <col min="6928" max="7168" width="45.42578125" style="2469"/>
    <col min="7169" max="7169" width="76.7109375" style="2469" customWidth="1"/>
    <col min="7170" max="7170" width="12.85546875" style="2469" customWidth="1"/>
    <col min="7171" max="7171" width="16.7109375" style="2469" customWidth="1"/>
    <col min="7172" max="7172" width="11.7109375" style="2469" customWidth="1"/>
    <col min="7173" max="7173" width="13.140625" style="2469" customWidth="1"/>
    <col min="7174" max="7174" width="12.140625" style="2469" customWidth="1"/>
    <col min="7175" max="7176" width="7.5703125" style="2469" bestFit="1" customWidth="1"/>
    <col min="7177" max="7177" width="8.140625" style="2469" bestFit="1" customWidth="1"/>
    <col min="7178" max="7179" width="9" style="2469" bestFit="1" customWidth="1"/>
    <col min="7180" max="7180" width="12.42578125" style="2469" customWidth="1"/>
    <col min="7181" max="7182" width="15.42578125" style="2469" customWidth="1"/>
    <col min="7183" max="7183" width="16.7109375" style="2469" customWidth="1"/>
    <col min="7184" max="7424" width="45.42578125" style="2469"/>
    <col min="7425" max="7425" width="76.7109375" style="2469" customWidth="1"/>
    <col min="7426" max="7426" width="12.85546875" style="2469" customWidth="1"/>
    <col min="7427" max="7427" width="16.7109375" style="2469" customWidth="1"/>
    <col min="7428" max="7428" width="11.7109375" style="2469" customWidth="1"/>
    <col min="7429" max="7429" width="13.140625" style="2469" customWidth="1"/>
    <col min="7430" max="7430" width="12.140625" style="2469" customWidth="1"/>
    <col min="7431" max="7432" width="7.5703125" style="2469" bestFit="1" customWidth="1"/>
    <col min="7433" max="7433" width="8.140625" style="2469" bestFit="1" customWidth="1"/>
    <col min="7434" max="7435" width="9" style="2469" bestFit="1" customWidth="1"/>
    <col min="7436" max="7436" width="12.42578125" style="2469" customWidth="1"/>
    <col min="7437" max="7438" width="15.42578125" style="2469" customWidth="1"/>
    <col min="7439" max="7439" width="16.7109375" style="2469" customWidth="1"/>
    <col min="7440" max="7680" width="45.42578125" style="2469"/>
    <col min="7681" max="7681" width="76.7109375" style="2469" customWidth="1"/>
    <col min="7682" max="7682" width="12.85546875" style="2469" customWidth="1"/>
    <col min="7683" max="7683" width="16.7109375" style="2469" customWidth="1"/>
    <col min="7684" max="7684" width="11.7109375" style="2469" customWidth="1"/>
    <col min="7685" max="7685" width="13.140625" style="2469" customWidth="1"/>
    <col min="7686" max="7686" width="12.140625" style="2469" customWidth="1"/>
    <col min="7687" max="7688" width="7.5703125" style="2469" bestFit="1" customWidth="1"/>
    <col min="7689" max="7689" width="8.140625" style="2469" bestFit="1" customWidth="1"/>
    <col min="7690" max="7691" width="9" style="2469" bestFit="1" customWidth="1"/>
    <col min="7692" max="7692" width="12.42578125" style="2469" customWidth="1"/>
    <col min="7693" max="7694" width="15.42578125" style="2469" customWidth="1"/>
    <col min="7695" max="7695" width="16.7109375" style="2469" customWidth="1"/>
    <col min="7696" max="7936" width="45.42578125" style="2469"/>
    <col min="7937" max="7937" width="76.7109375" style="2469" customWidth="1"/>
    <col min="7938" max="7938" width="12.85546875" style="2469" customWidth="1"/>
    <col min="7939" max="7939" width="16.7109375" style="2469" customWidth="1"/>
    <col min="7940" max="7940" width="11.7109375" style="2469" customWidth="1"/>
    <col min="7941" max="7941" width="13.140625" style="2469" customWidth="1"/>
    <col min="7942" max="7942" width="12.140625" style="2469" customWidth="1"/>
    <col min="7943" max="7944" width="7.5703125" style="2469" bestFit="1" customWidth="1"/>
    <col min="7945" max="7945" width="8.140625" style="2469" bestFit="1" customWidth="1"/>
    <col min="7946" max="7947" width="9" style="2469" bestFit="1" customWidth="1"/>
    <col min="7948" max="7948" width="12.42578125" style="2469" customWidth="1"/>
    <col min="7949" max="7950" width="15.42578125" style="2469" customWidth="1"/>
    <col min="7951" max="7951" width="16.7109375" style="2469" customWidth="1"/>
    <col min="7952" max="8192" width="45.42578125" style="2469"/>
    <col min="8193" max="8193" width="76.7109375" style="2469" customWidth="1"/>
    <col min="8194" max="8194" width="12.85546875" style="2469" customWidth="1"/>
    <col min="8195" max="8195" width="16.7109375" style="2469" customWidth="1"/>
    <col min="8196" max="8196" width="11.7109375" style="2469" customWidth="1"/>
    <col min="8197" max="8197" width="13.140625" style="2469" customWidth="1"/>
    <col min="8198" max="8198" width="12.140625" style="2469" customWidth="1"/>
    <col min="8199" max="8200" width="7.5703125" style="2469" bestFit="1" customWidth="1"/>
    <col min="8201" max="8201" width="8.140625" style="2469" bestFit="1" customWidth="1"/>
    <col min="8202" max="8203" width="9" style="2469" bestFit="1" customWidth="1"/>
    <col min="8204" max="8204" width="12.42578125" style="2469" customWidth="1"/>
    <col min="8205" max="8206" width="15.42578125" style="2469" customWidth="1"/>
    <col min="8207" max="8207" width="16.7109375" style="2469" customWidth="1"/>
    <col min="8208" max="8448" width="45.42578125" style="2469"/>
    <col min="8449" max="8449" width="76.7109375" style="2469" customWidth="1"/>
    <col min="8450" max="8450" width="12.85546875" style="2469" customWidth="1"/>
    <col min="8451" max="8451" width="16.7109375" style="2469" customWidth="1"/>
    <col min="8452" max="8452" width="11.7109375" style="2469" customWidth="1"/>
    <col min="8453" max="8453" width="13.140625" style="2469" customWidth="1"/>
    <col min="8454" max="8454" width="12.140625" style="2469" customWidth="1"/>
    <col min="8455" max="8456" width="7.5703125" style="2469" bestFit="1" customWidth="1"/>
    <col min="8457" max="8457" width="8.140625" style="2469" bestFit="1" customWidth="1"/>
    <col min="8458" max="8459" width="9" style="2469" bestFit="1" customWidth="1"/>
    <col min="8460" max="8460" width="12.42578125" style="2469" customWidth="1"/>
    <col min="8461" max="8462" width="15.42578125" style="2469" customWidth="1"/>
    <col min="8463" max="8463" width="16.7109375" style="2469" customWidth="1"/>
    <col min="8464" max="8704" width="45.42578125" style="2469"/>
    <col min="8705" max="8705" width="76.7109375" style="2469" customWidth="1"/>
    <col min="8706" max="8706" width="12.85546875" style="2469" customWidth="1"/>
    <col min="8707" max="8707" width="16.7109375" style="2469" customWidth="1"/>
    <col min="8708" max="8708" width="11.7109375" style="2469" customWidth="1"/>
    <col min="8709" max="8709" width="13.140625" style="2469" customWidth="1"/>
    <col min="8710" max="8710" width="12.140625" style="2469" customWidth="1"/>
    <col min="8711" max="8712" width="7.5703125" style="2469" bestFit="1" customWidth="1"/>
    <col min="8713" max="8713" width="8.140625" style="2469" bestFit="1" customWidth="1"/>
    <col min="8714" max="8715" width="9" style="2469" bestFit="1" customWidth="1"/>
    <col min="8716" max="8716" width="12.42578125" style="2469" customWidth="1"/>
    <col min="8717" max="8718" width="15.42578125" style="2469" customWidth="1"/>
    <col min="8719" max="8719" width="16.7109375" style="2469" customWidth="1"/>
    <col min="8720" max="8960" width="45.42578125" style="2469"/>
    <col min="8961" max="8961" width="76.7109375" style="2469" customWidth="1"/>
    <col min="8962" max="8962" width="12.85546875" style="2469" customWidth="1"/>
    <col min="8963" max="8963" width="16.7109375" style="2469" customWidth="1"/>
    <col min="8964" max="8964" width="11.7109375" style="2469" customWidth="1"/>
    <col min="8965" max="8965" width="13.140625" style="2469" customWidth="1"/>
    <col min="8966" max="8966" width="12.140625" style="2469" customWidth="1"/>
    <col min="8967" max="8968" width="7.5703125" style="2469" bestFit="1" customWidth="1"/>
    <col min="8969" max="8969" width="8.140625" style="2469" bestFit="1" customWidth="1"/>
    <col min="8970" max="8971" width="9" style="2469" bestFit="1" customWidth="1"/>
    <col min="8972" max="8972" width="12.42578125" style="2469" customWidth="1"/>
    <col min="8973" max="8974" width="15.42578125" style="2469" customWidth="1"/>
    <col min="8975" max="8975" width="16.7109375" style="2469" customWidth="1"/>
    <col min="8976" max="9216" width="45.42578125" style="2469"/>
    <col min="9217" max="9217" width="76.7109375" style="2469" customWidth="1"/>
    <col min="9218" max="9218" width="12.85546875" style="2469" customWidth="1"/>
    <col min="9219" max="9219" width="16.7109375" style="2469" customWidth="1"/>
    <col min="9220" max="9220" width="11.7109375" style="2469" customWidth="1"/>
    <col min="9221" max="9221" width="13.140625" style="2469" customWidth="1"/>
    <col min="9222" max="9222" width="12.140625" style="2469" customWidth="1"/>
    <col min="9223" max="9224" width="7.5703125" style="2469" bestFit="1" customWidth="1"/>
    <col min="9225" max="9225" width="8.140625" style="2469" bestFit="1" customWidth="1"/>
    <col min="9226" max="9227" width="9" style="2469" bestFit="1" customWidth="1"/>
    <col min="9228" max="9228" width="12.42578125" style="2469" customWidth="1"/>
    <col min="9229" max="9230" width="15.42578125" style="2469" customWidth="1"/>
    <col min="9231" max="9231" width="16.7109375" style="2469" customWidth="1"/>
    <col min="9232" max="9472" width="45.42578125" style="2469"/>
    <col min="9473" max="9473" width="76.7109375" style="2469" customWidth="1"/>
    <col min="9474" max="9474" width="12.85546875" style="2469" customWidth="1"/>
    <col min="9475" max="9475" width="16.7109375" style="2469" customWidth="1"/>
    <col min="9476" max="9476" width="11.7109375" style="2469" customWidth="1"/>
    <col min="9477" max="9477" width="13.140625" style="2469" customWidth="1"/>
    <col min="9478" max="9478" width="12.140625" style="2469" customWidth="1"/>
    <col min="9479" max="9480" width="7.5703125" style="2469" bestFit="1" customWidth="1"/>
    <col min="9481" max="9481" width="8.140625" style="2469" bestFit="1" customWidth="1"/>
    <col min="9482" max="9483" width="9" style="2469" bestFit="1" customWidth="1"/>
    <col min="9484" max="9484" width="12.42578125" style="2469" customWidth="1"/>
    <col min="9485" max="9486" width="15.42578125" style="2469" customWidth="1"/>
    <col min="9487" max="9487" width="16.7109375" style="2469" customWidth="1"/>
    <col min="9488" max="9728" width="45.42578125" style="2469"/>
    <col min="9729" max="9729" width="76.7109375" style="2469" customWidth="1"/>
    <col min="9730" max="9730" width="12.85546875" style="2469" customWidth="1"/>
    <col min="9731" max="9731" width="16.7109375" style="2469" customWidth="1"/>
    <col min="9732" max="9732" width="11.7109375" style="2469" customWidth="1"/>
    <col min="9733" max="9733" width="13.140625" style="2469" customWidth="1"/>
    <col min="9734" max="9734" width="12.140625" style="2469" customWidth="1"/>
    <col min="9735" max="9736" width="7.5703125" style="2469" bestFit="1" customWidth="1"/>
    <col min="9737" max="9737" width="8.140625" style="2469" bestFit="1" customWidth="1"/>
    <col min="9738" max="9739" width="9" style="2469" bestFit="1" customWidth="1"/>
    <col min="9740" max="9740" width="12.42578125" style="2469" customWidth="1"/>
    <col min="9741" max="9742" width="15.42578125" style="2469" customWidth="1"/>
    <col min="9743" max="9743" width="16.7109375" style="2469" customWidth="1"/>
    <col min="9744" max="9984" width="45.42578125" style="2469"/>
    <col min="9985" max="9985" width="76.7109375" style="2469" customWidth="1"/>
    <col min="9986" max="9986" width="12.85546875" style="2469" customWidth="1"/>
    <col min="9987" max="9987" width="16.7109375" style="2469" customWidth="1"/>
    <col min="9988" max="9988" width="11.7109375" style="2469" customWidth="1"/>
    <col min="9989" max="9989" width="13.140625" style="2469" customWidth="1"/>
    <col min="9990" max="9990" width="12.140625" style="2469" customWidth="1"/>
    <col min="9991" max="9992" width="7.5703125" style="2469" bestFit="1" customWidth="1"/>
    <col min="9993" max="9993" width="8.140625" style="2469" bestFit="1" customWidth="1"/>
    <col min="9994" max="9995" width="9" style="2469" bestFit="1" customWidth="1"/>
    <col min="9996" max="9996" width="12.42578125" style="2469" customWidth="1"/>
    <col min="9997" max="9998" width="15.42578125" style="2469" customWidth="1"/>
    <col min="9999" max="9999" width="16.7109375" style="2469" customWidth="1"/>
    <col min="10000" max="10240" width="45.42578125" style="2469"/>
    <col min="10241" max="10241" width="76.7109375" style="2469" customWidth="1"/>
    <col min="10242" max="10242" width="12.85546875" style="2469" customWidth="1"/>
    <col min="10243" max="10243" width="16.7109375" style="2469" customWidth="1"/>
    <col min="10244" max="10244" width="11.7109375" style="2469" customWidth="1"/>
    <col min="10245" max="10245" width="13.140625" style="2469" customWidth="1"/>
    <col min="10246" max="10246" width="12.140625" style="2469" customWidth="1"/>
    <col min="10247" max="10248" width="7.5703125" style="2469" bestFit="1" customWidth="1"/>
    <col min="10249" max="10249" width="8.140625" style="2469" bestFit="1" customWidth="1"/>
    <col min="10250" max="10251" width="9" style="2469" bestFit="1" customWidth="1"/>
    <col min="10252" max="10252" width="12.42578125" style="2469" customWidth="1"/>
    <col min="10253" max="10254" width="15.42578125" style="2469" customWidth="1"/>
    <col min="10255" max="10255" width="16.7109375" style="2469" customWidth="1"/>
    <col min="10256" max="10496" width="45.42578125" style="2469"/>
    <col min="10497" max="10497" width="76.7109375" style="2469" customWidth="1"/>
    <col min="10498" max="10498" width="12.85546875" style="2469" customWidth="1"/>
    <col min="10499" max="10499" width="16.7109375" style="2469" customWidth="1"/>
    <col min="10500" max="10500" width="11.7109375" style="2469" customWidth="1"/>
    <col min="10501" max="10501" width="13.140625" style="2469" customWidth="1"/>
    <col min="10502" max="10502" width="12.140625" style="2469" customWidth="1"/>
    <col min="10503" max="10504" width="7.5703125" style="2469" bestFit="1" customWidth="1"/>
    <col min="10505" max="10505" width="8.140625" style="2469" bestFit="1" customWidth="1"/>
    <col min="10506" max="10507" width="9" style="2469" bestFit="1" customWidth="1"/>
    <col min="10508" max="10508" width="12.42578125" style="2469" customWidth="1"/>
    <col min="10509" max="10510" width="15.42578125" style="2469" customWidth="1"/>
    <col min="10511" max="10511" width="16.7109375" style="2469" customWidth="1"/>
    <col min="10512" max="10752" width="45.42578125" style="2469"/>
    <col min="10753" max="10753" width="76.7109375" style="2469" customWidth="1"/>
    <col min="10754" max="10754" width="12.85546875" style="2469" customWidth="1"/>
    <col min="10755" max="10755" width="16.7109375" style="2469" customWidth="1"/>
    <col min="10756" max="10756" width="11.7109375" style="2469" customWidth="1"/>
    <col min="10757" max="10757" width="13.140625" style="2469" customWidth="1"/>
    <col min="10758" max="10758" width="12.140625" style="2469" customWidth="1"/>
    <col min="10759" max="10760" width="7.5703125" style="2469" bestFit="1" customWidth="1"/>
    <col min="10761" max="10761" width="8.140625" style="2469" bestFit="1" customWidth="1"/>
    <col min="10762" max="10763" width="9" style="2469" bestFit="1" customWidth="1"/>
    <col min="10764" max="10764" width="12.42578125" style="2469" customWidth="1"/>
    <col min="10765" max="10766" width="15.42578125" style="2469" customWidth="1"/>
    <col min="10767" max="10767" width="16.7109375" style="2469" customWidth="1"/>
    <col min="10768" max="11008" width="45.42578125" style="2469"/>
    <col min="11009" max="11009" width="76.7109375" style="2469" customWidth="1"/>
    <col min="11010" max="11010" width="12.85546875" style="2469" customWidth="1"/>
    <col min="11011" max="11011" width="16.7109375" style="2469" customWidth="1"/>
    <col min="11012" max="11012" width="11.7109375" style="2469" customWidth="1"/>
    <col min="11013" max="11013" width="13.140625" style="2469" customWidth="1"/>
    <col min="11014" max="11014" width="12.140625" style="2469" customWidth="1"/>
    <col min="11015" max="11016" width="7.5703125" style="2469" bestFit="1" customWidth="1"/>
    <col min="11017" max="11017" width="8.140625" style="2469" bestFit="1" customWidth="1"/>
    <col min="11018" max="11019" width="9" style="2469" bestFit="1" customWidth="1"/>
    <col min="11020" max="11020" width="12.42578125" style="2469" customWidth="1"/>
    <col min="11021" max="11022" width="15.42578125" style="2469" customWidth="1"/>
    <col min="11023" max="11023" width="16.7109375" style="2469" customWidth="1"/>
    <col min="11024" max="11264" width="45.42578125" style="2469"/>
    <col min="11265" max="11265" width="76.7109375" style="2469" customWidth="1"/>
    <col min="11266" max="11266" width="12.85546875" style="2469" customWidth="1"/>
    <col min="11267" max="11267" width="16.7109375" style="2469" customWidth="1"/>
    <col min="11268" max="11268" width="11.7109375" style="2469" customWidth="1"/>
    <col min="11269" max="11269" width="13.140625" style="2469" customWidth="1"/>
    <col min="11270" max="11270" width="12.140625" style="2469" customWidth="1"/>
    <col min="11271" max="11272" width="7.5703125" style="2469" bestFit="1" customWidth="1"/>
    <col min="11273" max="11273" width="8.140625" style="2469" bestFit="1" customWidth="1"/>
    <col min="11274" max="11275" width="9" style="2469" bestFit="1" customWidth="1"/>
    <col min="11276" max="11276" width="12.42578125" style="2469" customWidth="1"/>
    <col min="11277" max="11278" width="15.42578125" style="2469" customWidth="1"/>
    <col min="11279" max="11279" width="16.7109375" style="2469" customWidth="1"/>
    <col min="11280" max="11520" width="45.42578125" style="2469"/>
    <col min="11521" max="11521" width="76.7109375" style="2469" customWidth="1"/>
    <col min="11522" max="11522" width="12.85546875" style="2469" customWidth="1"/>
    <col min="11523" max="11523" width="16.7109375" style="2469" customWidth="1"/>
    <col min="11524" max="11524" width="11.7109375" style="2469" customWidth="1"/>
    <col min="11525" max="11525" width="13.140625" style="2469" customWidth="1"/>
    <col min="11526" max="11526" width="12.140625" style="2469" customWidth="1"/>
    <col min="11527" max="11528" width="7.5703125" style="2469" bestFit="1" customWidth="1"/>
    <col min="11529" max="11529" width="8.140625" style="2469" bestFit="1" customWidth="1"/>
    <col min="11530" max="11531" width="9" style="2469" bestFit="1" customWidth="1"/>
    <col min="11532" max="11532" width="12.42578125" style="2469" customWidth="1"/>
    <col min="11533" max="11534" width="15.42578125" style="2469" customWidth="1"/>
    <col min="11535" max="11535" width="16.7109375" style="2469" customWidth="1"/>
    <col min="11536" max="11776" width="45.42578125" style="2469"/>
    <col min="11777" max="11777" width="76.7109375" style="2469" customWidth="1"/>
    <col min="11778" max="11778" width="12.85546875" style="2469" customWidth="1"/>
    <col min="11779" max="11779" width="16.7109375" style="2469" customWidth="1"/>
    <col min="11780" max="11780" width="11.7109375" style="2469" customWidth="1"/>
    <col min="11781" max="11781" width="13.140625" style="2469" customWidth="1"/>
    <col min="11782" max="11782" width="12.140625" style="2469" customWidth="1"/>
    <col min="11783" max="11784" width="7.5703125" style="2469" bestFit="1" customWidth="1"/>
    <col min="11785" max="11785" width="8.140625" style="2469" bestFit="1" customWidth="1"/>
    <col min="11786" max="11787" width="9" style="2469" bestFit="1" customWidth="1"/>
    <col min="11788" max="11788" width="12.42578125" style="2469" customWidth="1"/>
    <col min="11789" max="11790" width="15.42578125" style="2469" customWidth="1"/>
    <col min="11791" max="11791" width="16.7109375" style="2469" customWidth="1"/>
    <col min="11792" max="12032" width="45.42578125" style="2469"/>
    <col min="12033" max="12033" width="76.7109375" style="2469" customWidth="1"/>
    <col min="12034" max="12034" width="12.85546875" style="2469" customWidth="1"/>
    <col min="12035" max="12035" width="16.7109375" style="2469" customWidth="1"/>
    <col min="12036" max="12036" width="11.7109375" style="2469" customWidth="1"/>
    <col min="12037" max="12037" width="13.140625" style="2469" customWidth="1"/>
    <col min="12038" max="12038" width="12.140625" style="2469" customWidth="1"/>
    <col min="12039" max="12040" width="7.5703125" style="2469" bestFit="1" customWidth="1"/>
    <col min="12041" max="12041" width="8.140625" style="2469" bestFit="1" customWidth="1"/>
    <col min="12042" max="12043" width="9" style="2469" bestFit="1" customWidth="1"/>
    <col min="12044" max="12044" width="12.42578125" style="2469" customWidth="1"/>
    <col min="12045" max="12046" width="15.42578125" style="2469" customWidth="1"/>
    <col min="12047" max="12047" width="16.7109375" style="2469" customWidth="1"/>
    <col min="12048" max="12288" width="45.42578125" style="2469"/>
    <col min="12289" max="12289" width="76.7109375" style="2469" customWidth="1"/>
    <col min="12290" max="12290" width="12.85546875" style="2469" customWidth="1"/>
    <col min="12291" max="12291" width="16.7109375" style="2469" customWidth="1"/>
    <col min="12292" max="12292" width="11.7109375" style="2469" customWidth="1"/>
    <col min="12293" max="12293" width="13.140625" style="2469" customWidth="1"/>
    <col min="12294" max="12294" width="12.140625" style="2469" customWidth="1"/>
    <col min="12295" max="12296" width="7.5703125" style="2469" bestFit="1" customWidth="1"/>
    <col min="12297" max="12297" width="8.140625" style="2469" bestFit="1" customWidth="1"/>
    <col min="12298" max="12299" width="9" style="2469" bestFit="1" customWidth="1"/>
    <col min="12300" max="12300" width="12.42578125" style="2469" customWidth="1"/>
    <col min="12301" max="12302" width="15.42578125" style="2469" customWidth="1"/>
    <col min="12303" max="12303" width="16.7109375" style="2469" customWidth="1"/>
    <col min="12304" max="12544" width="45.42578125" style="2469"/>
    <col min="12545" max="12545" width="76.7109375" style="2469" customWidth="1"/>
    <col min="12546" max="12546" width="12.85546875" style="2469" customWidth="1"/>
    <col min="12547" max="12547" width="16.7109375" style="2469" customWidth="1"/>
    <col min="12548" max="12548" width="11.7109375" style="2469" customWidth="1"/>
    <col min="12549" max="12549" width="13.140625" style="2469" customWidth="1"/>
    <col min="12550" max="12550" width="12.140625" style="2469" customWidth="1"/>
    <col min="12551" max="12552" width="7.5703125" style="2469" bestFit="1" customWidth="1"/>
    <col min="12553" max="12553" width="8.140625" style="2469" bestFit="1" customWidth="1"/>
    <col min="12554" max="12555" width="9" style="2469" bestFit="1" customWidth="1"/>
    <col min="12556" max="12556" width="12.42578125" style="2469" customWidth="1"/>
    <col min="12557" max="12558" width="15.42578125" style="2469" customWidth="1"/>
    <col min="12559" max="12559" width="16.7109375" style="2469" customWidth="1"/>
    <col min="12560" max="12800" width="45.42578125" style="2469"/>
    <col min="12801" max="12801" width="76.7109375" style="2469" customWidth="1"/>
    <col min="12802" max="12802" width="12.85546875" style="2469" customWidth="1"/>
    <col min="12803" max="12803" width="16.7109375" style="2469" customWidth="1"/>
    <col min="12804" max="12804" width="11.7109375" style="2469" customWidth="1"/>
    <col min="12805" max="12805" width="13.140625" style="2469" customWidth="1"/>
    <col min="12806" max="12806" width="12.140625" style="2469" customWidth="1"/>
    <col min="12807" max="12808" width="7.5703125" style="2469" bestFit="1" customWidth="1"/>
    <col min="12809" max="12809" width="8.140625" style="2469" bestFit="1" customWidth="1"/>
    <col min="12810" max="12811" width="9" style="2469" bestFit="1" customWidth="1"/>
    <col min="12812" max="12812" width="12.42578125" style="2469" customWidth="1"/>
    <col min="12813" max="12814" width="15.42578125" style="2469" customWidth="1"/>
    <col min="12815" max="12815" width="16.7109375" style="2469" customWidth="1"/>
    <col min="12816" max="13056" width="45.42578125" style="2469"/>
    <col min="13057" max="13057" width="76.7109375" style="2469" customWidth="1"/>
    <col min="13058" max="13058" width="12.85546875" style="2469" customWidth="1"/>
    <col min="13059" max="13059" width="16.7109375" style="2469" customWidth="1"/>
    <col min="13060" max="13060" width="11.7109375" style="2469" customWidth="1"/>
    <col min="13061" max="13061" width="13.140625" style="2469" customWidth="1"/>
    <col min="13062" max="13062" width="12.140625" style="2469" customWidth="1"/>
    <col min="13063" max="13064" width="7.5703125" style="2469" bestFit="1" customWidth="1"/>
    <col min="13065" max="13065" width="8.140625" style="2469" bestFit="1" customWidth="1"/>
    <col min="13066" max="13067" width="9" style="2469" bestFit="1" customWidth="1"/>
    <col min="13068" max="13068" width="12.42578125" style="2469" customWidth="1"/>
    <col min="13069" max="13070" width="15.42578125" style="2469" customWidth="1"/>
    <col min="13071" max="13071" width="16.7109375" style="2469" customWidth="1"/>
    <col min="13072" max="13312" width="45.42578125" style="2469"/>
    <col min="13313" max="13313" width="76.7109375" style="2469" customWidth="1"/>
    <col min="13314" max="13314" width="12.85546875" style="2469" customWidth="1"/>
    <col min="13315" max="13315" width="16.7109375" style="2469" customWidth="1"/>
    <col min="13316" max="13316" width="11.7109375" style="2469" customWidth="1"/>
    <col min="13317" max="13317" width="13.140625" style="2469" customWidth="1"/>
    <col min="13318" max="13318" width="12.140625" style="2469" customWidth="1"/>
    <col min="13319" max="13320" width="7.5703125" style="2469" bestFit="1" customWidth="1"/>
    <col min="13321" max="13321" width="8.140625" style="2469" bestFit="1" customWidth="1"/>
    <col min="13322" max="13323" width="9" style="2469" bestFit="1" customWidth="1"/>
    <col min="13324" max="13324" width="12.42578125" style="2469" customWidth="1"/>
    <col min="13325" max="13326" width="15.42578125" style="2469" customWidth="1"/>
    <col min="13327" max="13327" width="16.7109375" style="2469" customWidth="1"/>
    <col min="13328" max="13568" width="45.42578125" style="2469"/>
    <col min="13569" max="13569" width="76.7109375" style="2469" customWidth="1"/>
    <col min="13570" max="13570" width="12.85546875" style="2469" customWidth="1"/>
    <col min="13571" max="13571" width="16.7109375" style="2469" customWidth="1"/>
    <col min="13572" max="13572" width="11.7109375" style="2469" customWidth="1"/>
    <col min="13573" max="13573" width="13.140625" style="2469" customWidth="1"/>
    <col min="13574" max="13574" width="12.140625" style="2469" customWidth="1"/>
    <col min="13575" max="13576" width="7.5703125" style="2469" bestFit="1" customWidth="1"/>
    <col min="13577" max="13577" width="8.140625" style="2469" bestFit="1" customWidth="1"/>
    <col min="13578" max="13579" width="9" style="2469" bestFit="1" customWidth="1"/>
    <col min="13580" max="13580" width="12.42578125" style="2469" customWidth="1"/>
    <col min="13581" max="13582" width="15.42578125" style="2469" customWidth="1"/>
    <col min="13583" max="13583" width="16.7109375" style="2469" customWidth="1"/>
    <col min="13584" max="13824" width="45.42578125" style="2469"/>
    <col min="13825" max="13825" width="76.7109375" style="2469" customWidth="1"/>
    <col min="13826" max="13826" width="12.85546875" style="2469" customWidth="1"/>
    <col min="13827" max="13827" width="16.7109375" style="2469" customWidth="1"/>
    <col min="13828" max="13828" width="11.7109375" style="2469" customWidth="1"/>
    <col min="13829" max="13829" width="13.140625" style="2469" customWidth="1"/>
    <col min="13830" max="13830" width="12.140625" style="2469" customWidth="1"/>
    <col min="13831" max="13832" width="7.5703125" style="2469" bestFit="1" customWidth="1"/>
    <col min="13833" max="13833" width="8.140625" style="2469" bestFit="1" customWidth="1"/>
    <col min="13834" max="13835" width="9" style="2469" bestFit="1" customWidth="1"/>
    <col min="13836" max="13836" width="12.42578125" style="2469" customWidth="1"/>
    <col min="13837" max="13838" width="15.42578125" style="2469" customWidth="1"/>
    <col min="13839" max="13839" width="16.7109375" style="2469" customWidth="1"/>
    <col min="13840" max="14080" width="45.42578125" style="2469"/>
    <col min="14081" max="14081" width="76.7109375" style="2469" customWidth="1"/>
    <col min="14082" max="14082" width="12.85546875" style="2469" customWidth="1"/>
    <col min="14083" max="14083" width="16.7109375" style="2469" customWidth="1"/>
    <col min="14084" max="14084" width="11.7109375" style="2469" customWidth="1"/>
    <col min="14085" max="14085" width="13.140625" style="2469" customWidth="1"/>
    <col min="14086" max="14086" width="12.140625" style="2469" customWidth="1"/>
    <col min="14087" max="14088" width="7.5703125" style="2469" bestFit="1" customWidth="1"/>
    <col min="14089" max="14089" width="8.140625" style="2469" bestFit="1" customWidth="1"/>
    <col min="14090" max="14091" width="9" style="2469" bestFit="1" customWidth="1"/>
    <col min="14092" max="14092" width="12.42578125" style="2469" customWidth="1"/>
    <col min="14093" max="14094" width="15.42578125" style="2469" customWidth="1"/>
    <col min="14095" max="14095" width="16.7109375" style="2469" customWidth="1"/>
    <col min="14096" max="14336" width="45.42578125" style="2469"/>
    <col min="14337" max="14337" width="76.7109375" style="2469" customWidth="1"/>
    <col min="14338" max="14338" width="12.85546875" style="2469" customWidth="1"/>
    <col min="14339" max="14339" width="16.7109375" style="2469" customWidth="1"/>
    <col min="14340" max="14340" width="11.7109375" style="2469" customWidth="1"/>
    <col min="14341" max="14341" width="13.140625" style="2469" customWidth="1"/>
    <col min="14342" max="14342" width="12.140625" style="2469" customWidth="1"/>
    <col min="14343" max="14344" width="7.5703125" style="2469" bestFit="1" customWidth="1"/>
    <col min="14345" max="14345" width="8.140625" style="2469" bestFit="1" customWidth="1"/>
    <col min="14346" max="14347" width="9" style="2469" bestFit="1" customWidth="1"/>
    <col min="14348" max="14348" width="12.42578125" style="2469" customWidth="1"/>
    <col min="14349" max="14350" width="15.42578125" style="2469" customWidth="1"/>
    <col min="14351" max="14351" width="16.7109375" style="2469" customWidth="1"/>
    <col min="14352" max="14592" width="45.42578125" style="2469"/>
    <col min="14593" max="14593" width="76.7109375" style="2469" customWidth="1"/>
    <col min="14594" max="14594" width="12.85546875" style="2469" customWidth="1"/>
    <col min="14595" max="14595" width="16.7109375" style="2469" customWidth="1"/>
    <col min="14596" max="14596" width="11.7109375" style="2469" customWidth="1"/>
    <col min="14597" max="14597" width="13.140625" style="2469" customWidth="1"/>
    <col min="14598" max="14598" width="12.140625" style="2469" customWidth="1"/>
    <col min="14599" max="14600" width="7.5703125" style="2469" bestFit="1" customWidth="1"/>
    <col min="14601" max="14601" width="8.140625" style="2469" bestFit="1" customWidth="1"/>
    <col min="14602" max="14603" width="9" style="2469" bestFit="1" customWidth="1"/>
    <col min="14604" max="14604" width="12.42578125" style="2469" customWidth="1"/>
    <col min="14605" max="14606" width="15.42578125" style="2469" customWidth="1"/>
    <col min="14607" max="14607" width="16.7109375" style="2469" customWidth="1"/>
    <col min="14608" max="14848" width="45.42578125" style="2469"/>
    <col min="14849" max="14849" width="76.7109375" style="2469" customWidth="1"/>
    <col min="14850" max="14850" width="12.85546875" style="2469" customWidth="1"/>
    <col min="14851" max="14851" width="16.7109375" style="2469" customWidth="1"/>
    <col min="14852" max="14852" width="11.7109375" style="2469" customWidth="1"/>
    <col min="14853" max="14853" width="13.140625" style="2469" customWidth="1"/>
    <col min="14854" max="14854" width="12.140625" style="2469" customWidth="1"/>
    <col min="14855" max="14856" width="7.5703125" style="2469" bestFit="1" customWidth="1"/>
    <col min="14857" max="14857" width="8.140625" style="2469" bestFit="1" customWidth="1"/>
    <col min="14858" max="14859" width="9" style="2469" bestFit="1" customWidth="1"/>
    <col min="14860" max="14860" width="12.42578125" style="2469" customWidth="1"/>
    <col min="14861" max="14862" width="15.42578125" style="2469" customWidth="1"/>
    <col min="14863" max="14863" width="16.7109375" style="2469" customWidth="1"/>
    <col min="14864" max="15104" width="45.42578125" style="2469"/>
    <col min="15105" max="15105" width="76.7109375" style="2469" customWidth="1"/>
    <col min="15106" max="15106" width="12.85546875" style="2469" customWidth="1"/>
    <col min="15107" max="15107" width="16.7109375" style="2469" customWidth="1"/>
    <col min="15108" max="15108" width="11.7109375" style="2469" customWidth="1"/>
    <col min="15109" max="15109" width="13.140625" style="2469" customWidth="1"/>
    <col min="15110" max="15110" width="12.140625" style="2469" customWidth="1"/>
    <col min="15111" max="15112" width="7.5703125" style="2469" bestFit="1" customWidth="1"/>
    <col min="15113" max="15113" width="8.140625" style="2469" bestFit="1" customWidth="1"/>
    <col min="15114" max="15115" width="9" style="2469" bestFit="1" customWidth="1"/>
    <col min="15116" max="15116" width="12.42578125" style="2469" customWidth="1"/>
    <col min="15117" max="15118" width="15.42578125" style="2469" customWidth="1"/>
    <col min="15119" max="15119" width="16.7109375" style="2469" customWidth="1"/>
    <col min="15120" max="15360" width="45.42578125" style="2469"/>
    <col min="15361" max="15361" width="76.7109375" style="2469" customWidth="1"/>
    <col min="15362" max="15362" width="12.85546875" style="2469" customWidth="1"/>
    <col min="15363" max="15363" width="16.7109375" style="2469" customWidth="1"/>
    <col min="15364" max="15364" width="11.7109375" style="2469" customWidth="1"/>
    <col min="15365" max="15365" width="13.140625" style="2469" customWidth="1"/>
    <col min="15366" max="15366" width="12.140625" style="2469" customWidth="1"/>
    <col min="15367" max="15368" width="7.5703125" style="2469" bestFit="1" customWidth="1"/>
    <col min="15369" max="15369" width="8.140625" style="2469" bestFit="1" customWidth="1"/>
    <col min="15370" max="15371" width="9" style="2469" bestFit="1" customWidth="1"/>
    <col min="15372" max="15372" width="12.42578125" style="2469" customWidth="1"/>
    <col min="15373" max="15374" width="15.42578125" style="2469" customWidth="1"/>
    <col min="15375" max="15375" width="16.7109375" style="2469" customWidth="1"/>
    <col min="15376" max="15616" width="45.42578125" style="2469"/>
    <col min="15617" max="15617" width="76.7109375" style="2469" customWidth="1"/>
    <col min="15618" max="15618" width="12.85546875" style="2469" customWidth="1"/>
    <col min="15619" max="15619" width="16.7109375" style="2469" customWidth="1"/>
    <col min="15620" max="15620" width="11.7109375" style="2469" customWidth="1"/>
    <col min="15621" max="15621" width="13.140625" style="2469" customWidth="1"/>
    <col min="15622" max="15622" width="12.140625" style="2469" customWidth="1"/>
    <col min="15623" max="15624" width="7.5703125" style="2469" bestFit="1" customWidth="1"/>
    <col min="15625" max="15625" width="8.140625" style="2469" bestFit="1" customWidth="1"/>
    <col min="15626" max="15627" width="9" style="2469" bestFit="1" customWidth="1"/>
    <col min="15628" max="15628" width="12.42578125" style="2469" customWidth="1"/>
    <col min="15629" max="15630" width="15.42578125" style="2469" customWidth="1"/>
    <col min="15631" max="15631" width="16.7109375" style="2469" customWidth="1"/>
    <col min="15632" max="15872" width="45.42578125" style="2469"/>
    <col min="15873" max="15873" width="76.7109375" style="2469" customWidth="1"/>
    <col min="15874" max="15874" width="12.85546875" style="2469" customWidth="1"/>
    <col min="15875" max="15875" width="16.7109375" style="2469" customWidth="1"/>
    <col min="15876" max="15876" width="11.7109375" style="2469" customWidth="1"/>
    <col min="15877" max="15877" width="13.140625" style="2469" customWidth="1"/>
    <col min="15878" max="15878" width="12.140625" style="2469" customWidth="1"/>
    <col min="15879" max="15880" width="7.5703125" style="2469" bestFit="1" customWidth="1"/>
    <col min="15881" max="15881" width="8.140625" style="2469" bestFit="1" customWidth="1"/>
    <col min="15882" max="15883" width="9" style="2469" bestFit="1" customWidth="1"/>
    <col min="15884" max="15884" width="12.42578125" style="2469" customWidth="1"/>
    <col min="15885" max="15886" width="15.42578125" style="2469" customWidth="1"/>
    <col min="15887" max="15887" width="16.7109375" style="2469" customWidth="1"/>
    <col min="15888" max="16128" width="45.42578125" style="2469"/>
    <col min="16129" max="16129" width="76.7109375" style="2469" customWidth="1"/>
    <col min="16130" max="16130" width="12.85546875" style="2469" customWidth="1"/>
    <col min="16131" max="16131" width="16.7109375" style="2469" customWidth="1"/>
    <col min="16132" max="16132" width="11.7109375" style="2469" customWidth="1"/>
    <col min="16133" max="16133" width="13.140625" style="2469" customWidth="1"/>
    <col min="16134" max="16134" width="12.140625" style="2469" customWidth="1"/>
    <col min="16135" max="16136" width="7.5703125" style="2469" bestFit="1" customWidth="1"/>
    <col min="16137" max="16137" width="8.140625" style="2469" bestFit="1" customWidth="1"/>
    <col min="16138" max="16139" width="9" style="2469" bestFit="1" customWidth="1"/>
    <col min="16140" max="16140" width="12.42578125" style="2469" customWidth="1"/>
    <col min="16141" max="16142" width="15.42578125" style="2469" customWidth="1"/>
    <col min="16143" max="16143" width="16.7109375" style="2469" customWidth="1"/>
    <col min="16144" max="16384" width="45.42578125" style="2469"/>
  </cols>
  <sheetData>
    <row r="1" spans="1:16" ht="21">
      <c r="A1" s="4757" t="s">
        <v>6945</v>
      </c>
      <c r="B1" s="4758"/>
      <c r="C1" s="4758"/>
      <c r="D1" s="4758"/>
      <c r="E1" s="4758"/>
      <c r="F1" s="4758"/>
    </row>
    <row r="2" spans="1:16">
      <c r="A2" s="2681"/>
    </row>
    <row r="3" spans="1:16">
      <c r="A3" s="2682" t="s">
        <v>7127</v>
      </c>
    </row>
    <row r="5" spans="1:16">
      <c r="A5" s="2435"/>
      <c r="B5" s="2683">
        <v>2020</v>
      </c>
      <c r="C5" s="2683">
        <v>2019</v>
      </c>
      <c r="D5" s="2683">
        <v>2018</v>
      </c>
      <c r="E5" s="2683">
        <v>2017</v>
      </c>
      <c r="F5" s="2683">
        <v>2016</v>
      </c>
      <c r="G5" s="2683">
        <v>2015</v>
      </c>
      <c r="H5" s="2683">
        <v>2014</v>
      </c>
      <c r="I5" s="2683">
        <v>2013</v>
      </c>
      <c r="J5" s="2683">
        <v>2012</v>
      </c>
      <c r="K5" s="2683">
        <v>2011</v>
      </c>
      <c r="L5" s="2683">
        <v>2010</v>
      </c>
      <c r="M5" s="2683">
        <v>2009</v>
      </c>
      <c r="N5" s="2683">
        <v>2008</v>
      </c>
      <c r="O5" s="2683">
        <v>2007</v>
      </c>
      <c r="P5" s="2684">
        <v>2006</v>
      </c>
    </row>
    <row r="6" spans="1:16">
      <c r="A6" s="2699" t="s">
        <v>930</v>
      </c>
      <c r="B6" s="3624">
        <v>330</v>
      </c>
      <c r="C6" s="2314">
        <v>328</v>
      </c>
      <c r="D6" s="2314">
        <v>336</v>
      </c>
      <c r="E6" s="2314">
        <v>322</v>
      </c>
      <c r="F6" s="2314">
        <v>326</v>
      </c>
      <c r="G6" s="2314">
        <v>315</v>
      </c>
      <c r="H6" s="2314">
        <v>318</v>
      </c>
      <c r="I6" s="2314">
        <v>323</v>
      </c>
      <c r="J6" s="2314">
        <v>322</v>
      </c>
      <c r="K6" s="2314">
        <v>329</v>
      </c>
      <c r="L6" s="2314">
        <v>329</v>
      </c>
      <c r="M6" s="2314">
        <v>333</v>
      </c>
      <c r="N6" s="2314">
        <v>339</v>
      </c>
      <c r="O6" s="2314">
        <v>345</v>
      </c>
      <c r="P6" s="2686">
        <v>379</v>
      </c>
    </row>
    <row r="7" spans="1:16">
      <c r="A7" s="2699" t="s">
        <v>931</v>
      </c>
      <c r="B7" s="3624">
        <v>93</v>
      </c>
      <c r="C7" s="2314">
        <v>83</v>
      </c>
      <c r="D7" s="2314">
        <v>75</v>
      </c>
      <c r="E7" s="2314">
        <v>90</v>
      </c>
      <c r="F7" s="2314">
        <v>95</v>
      </c>
      <c r="G7" s="2314">
        <v>95</v>
      </c>
      <c r="H7" s="2314">
        <v>106</v>
      </c>
      <c r="I7" s="2314">
        <v>106</v>
      </c>
      <c r="J7" s="2314">
        <v>103</v>
      </c>
      <c r="K7" s="2314">
        <v>99</v>
      </c>
      <c r="L7" s="2314">
        <v>101</v>
      </c>
      <c r="M7" s="2314">
        <v>98</v>
      </c>
      <c r="N7" s="2314">
        <v>98</v>
      </c>
      <c r="O7" s="2314">
        <v>95</v>
      </c>
      <c r="P7" s="2686">
        <v>89</v>
      </c>
    </row>
    <row r="8" spans="1:16">
      <c r="A8" s="2699" t="s">
        <v>932</v>
      </c>
      <c r="B8" s="3624">
        <v>663</v>
      </c>
      <c r="C8" s="2314">
        <v>653</v>
      </c>
      <c r="D8" s="2314">
        <v>650</v>
      </c>
      <c r="E8" s="2314">
        <v>674</v>
      </c>
      <c r="F8" s="2314">
        <v>673</v>
      </c>
      <c r="G8" s="2314">
        <v>696</v>
      </c>
      <c r="H8" s="2314">
        <v>690</v>
      </c>
      <c r="I8" s="2314">
        <v>667</v>
      </c>
      <c r="J8" s="2314">
        <v>672</v>
      </c>
      <c r="K8" s="2314">
        <v>680</v>
      </c>
      <c r="L8" s="2314">
        <v>688</v>
      </c>
      <c r="M8" s="2314">
        <v>677</v>
      </c>
      <c r="N8" s="2314">
        <v>683</v>
      </c>
      <c r="O8" s="2314">
        <v>692</v>
      </c>
      <c r="P8" s="2686">
        <v>676</v>
      </c>
    </row>
    <row r="9" spans="1:16">
      <c r="A9" s="2699" t="s">
        <v>6361</v>
      </c>
      <c r="B9" s="3624">
        <v>122</v>
      </c>
      <c r="C9" s="2314">
        <v>120</v>
      </c>
      <c r="D9" s="2314">
        <v>118</v>
      </c>
      <c r="E9" s="2314">
        <v>115</v>
      </c>
      <c r="F9" s="2314">
        <v>108</v>
      </c>
      <c r="G9" s="2314">
        <v>110</v>
      </c>
      <c r="H9" s="2314">
        <v>106</v>
      </c>
      <c r="I9" s="2314">
        <v>113</v>
      </c>
      <c r="J9" s="2314">
        <v>112</v>
      </c>
      <c r="K9" s="2314">
        <v>117</v>
      </c>
      <c r="L9" s="2314">
        <v>124</v>
      </c>
      <c r="M9" s="2314">
        <v>118</v>
      </c>
      <c r="N9" s="2314">
        <v>125</v>
      </c>
      <c r="O9" s="2314">
        <v>126</v>
      </c>
      <c r="P9" s="2686">
        <v>126</v>
      </c>
    </row>
    <row r="10" spans="1:16">
      <c r="A10" s="2699" t="s">
        <v>6362</v>
      </c>
      <c r="B10" s="3624">
        <v>177</v>
      </c>
      <c r="C10" s="2314">
        <v>179</v>
      </c>
      <c r="D10" s="2314">
        <v>167</v>
      </c>
      <c r="E10" s="2314">
        <v>169</v>
      </c>
      <c r="F10" s="2314">
        <v>169</v>
      </c>
      <c r="G10" s="2314">
        <v>167</v>
      </c>
      <c r="H10" s="2314">
        <v>166</v>
      </c>
      <c r="I10" s="2314">
        <v>161</v>
      </c>
      <c r="J10" s="2314">
        <v>156</v>
      </c>
      <c r="K10" s="2314">
        <v>164</v>
      </c>
      <c r="L10" s="2314">
        <v>166</v>
      </c>
      <c r="M10" s="2314">
        <v>174</v>
      </c>
      <c r="N10" s="2314">
        <v>173</v>
      </c>
      <c r="O10" s="2314">
        <v>175</v>
      </c>
      <c r="P10" s="2686">
        <v>182</v>
      </c>
    </row>
    <row r="11" spans="1:16">
      <c r="A11" s="2699" t="s">
        <v>935</v>
      </c>
      <c r="B11" s="3624">
        <v>660</v>
      </c>
      <c r="C11" s="2314">
        <v>652</v>
      </c>
      <c r="D11" s="2314">
        <v>643</v>
      </c>
      <c r="E11" s="2314">
        <v>640</v>
      </c>
      <c r="F11" s="2314">
        <v>640</v>
      </c>
      <c r="G11" s="2314">
        <v>651</v>
      </c>
      <c r="H11" s="2314">
        <v>636</v>
      </c>
      <c r="I11" s="2314">
        <v>646</v>
      </c>
      <c r="J11" s="2314">
        <v>655</v>
      </c>
      <c r="K11" s="2314">
        <v>664</v>
      </c>
      <c r="L11" s="2314">
        <v>668</v>
      </c>
      <c r="M11" s="2314">
        <v>668</v>
      </c>
      <c r="N11" s="2314">
        <v>674</v>
      </c>
      <c r="O11" s="2314">
        <v>662</v>
      </c>
      <c r="P11" s="2686">
        <v>687</v>
      </c>
    </row>
    <row r="12" spans="1:16">
      <c r="A12" s="2699" t="s">
        <v>928</v>
      </c>
      <c r="B12" s="3624">
        <v>393</v>
      </c>
      <c r="C12" s="2314">
        <v>395</v>
      </c>
      <c r="D12" s="2314">
        <v>400</v>
      </c>
      <c r="E12" s="2314">
        <v>391</v>
      </c>
      <c r="F12" s="2314">
        <v>391</v>
      </c>
      <c r="G12" s="2314">
        <v>381</v>
      </c>
      <c r="H12" s="2314">
        <v>380</v>
      </c>
      <c r="I12" s="2314">
        <v>390</v>
      </c>
      <c r="J12" s="2314">
        <v>406</v>
      </c>
      <c r="K12" s="2314">
        <v>401</v>
      </c>
      <c r="L12" s="2314">
        <v>417</v>
      </c>
      <c r="M12" s="2314">
        <v>423</v>
      </c>
      <c r="N12" s="2314">
        <v>422</v>
      </c>
      <c r="O12" s="2314">
        <v>444</v>
      </c>
      <c r="P12" s="2686">
        <v>435</v>
      </c>
    </row>
    <row r="13" spans="1:16">
      <c r="A13" s="2699" t="s">
        <v>963</v>
      </c>
      <c r="B13" s="3624">
        <v>9081</v>
      </c>
      <c r="C13" s="2314">
        <v>9021</v>
      </c>
      <c r="D13" s="2314">
        <v>8851</v>
      </c>
      <c r="E13" s="2314">
        <v>8721</v>
      </c>
      <c r="F13" s="2314">
        <v>8645</v>
      </c>
      <c r="G13" s="2314">
        <v>8583</v>
      </c>
      <c r="H13" s="2314">
        <v>8444</v>
      </c>
      <c r="I13" s="2314">
        <v>8312</v>
      </c>
      <c r="J13" s="2314">
        <v>8251</v>
      </c>
      <c r="K13" s="2314">
        <v>8364</v>
      </c>
      <c r="L13" s="2314">
        <v>8350</v>
      </c>
      <c r="M13" s="2314">
        <v>8462</v>
      </c>
      <c r="N13" s="2314">
        <v>8512</v>
      </c>
      <c r="O13" s="2314">
        <v>8471</v>
      </c>
      <c r="P13" s="2686">
        <v>8529</v>
      </c>
    </row>
    <row r="14" spans="1:16">
      <c r="A14" s="2699" t="s">
        <v>934</v>
      </c>
      <c r="B14" s="3624">
        <v>314</v>
      </c>
      <c r="C14" s="2314">
        <v>311</v>
      </c>
      <c r="D14" s="2314">
        <v>301</v>
      </c>
      <c r="E14" s="2314">
        <v>296</v>
      </c>
      <c r="F14" s="2314">
        <v>300</v>
      </c>
      <c r="G14" s="2314">
        <v>310</v>
      </c>
      <c r="H14" s="2314">
        <v>309</v>
      </c>
      <c r="I14" s="2314">
        <v>315</v>
      </c>
      <c r="J14" s="2314">
        <v>316</v>
      </c>
      <c r="K14" s="2314">
        <v>325</v>
      </c>
      <c r="L14" s="2314">
        <v>335</v>
      </c>
      <c r="M14" s="2314">
        <v>341</v>
      </c>
      <c r="N14" s="2314">
        <v>352</v>
      </c>
      <c r="O14" s="2314">
        <v>365</v>
      </c>
      <c r="P14" s="2686">
        <v>363</v>
      </c>
    </row>
    <row r="15" spans="1:16">
      <c r="A15" s="2699" t="s">
        <v>6363</v>
      </c>
      <c r="B15" s="3624">
        <v>328</v>
      </c>
      <c r="C15" s="2314">
        <v>334</v>
      </c>
      <c r="D15" s="2314">
        <v>338</v>
      </c>
      <c r="E15" s="2314">
        <v>349</v>
      </c>
      <c r="F15" s="2314">
        <v>343</v>
      </c>
      <c r="G15" s="2314">
        <v>343</v>
      </c>
      <c r="H15" s="2314">
        <v>328</v>
      </c>
      <c r="I15" s="2314">
        <v>345</v>
      </c>
      <c r="J15" s="2314">
        <v>343</v>
      </c>
      <c r="K15" s="2314">
        <v>345</v>
      </c>
      <c r="L15" s="2314">
        <v>343</v>
      </c>
      <c r="M15" s="2314">
        <v>345</v>
      </c>
      <c r="N15" s="2314">
        <v>339</v>
      </c>
      <c r="O15" s="2314">
        <v>346</v>
      </c>
      <c r="P15" s="2686">
        <v>344</v>
      </c>
    </row>
    <row r="16" spans="1:16">
      <c r="A16" s="2699" t="s">
        <v>6364</v>
      </c>
      <c r="B16" s="3624">
        <v>15</v>
      </c>
      <c r="C16" s="2314">
        <v>16</v>
      </c>
      <c r="D16" s="2314">
        <v>22</v>
      </c>
      <c r="E16" s="2314">
        <v>29</v>
      </c>
      <c r="F16" s="2314">
        <v>24</v>
      </c>
      <c r="G16" s="2314">
        <v>22</v>
      </c>
      <c r="H16" s="2314">
        <v>19</v>
      </c>
      <c r="I16" s="2314">
        <v>20</v>
      </c>
      <c r="J16" s="2314">
        <v>23</v>
      </c>
      <c r="K16" s="2314">
        <v>21</v>
      </c>
      <c r="L16" s="2314">
        <v>21</v>
      </c>
      <c r="M16" s="2314">
        <v>21</v>
      </c>
      <c r="N16" s="2314">
        <v>20</v>
      </c>
      <c r="O16" s="2314">
        <v>17</v>
      </c>
      <c r="P16" s="2686">
        <v>17</v>
      </c>
    </row>
    <row r="17" spans="1:16" ht="14.25" customHeight="1">
      <c r="A17" s="2700" t="s">
        <v>8</v>
      </c>
      <c r="B17" s="2687" t="s">
        <v>7242</v>
      </c>
      <c r="C17" s="2687">
        <f t="shared" ref="C17:H17" si="0">SUM(C6:C16)</f>
        <v>12092</v>
      </c>
      <c r="D17" s="2687">
        <f t="shared" si="0"/>
        <v>11901</v>
      </c>
      <c r="E17" s="2687">
        <f t="shared" si="0"/>
        <v>11796</v>
      </c>
      <c r="F17" s="2687">
        <f t="shared" si="0"/>
        <v>11714</v>
      </c>
      <c r="G17" s="2687">
        <f t="shared" si="0"/>
        <v>11673</v>
      </c>
      <c r="H17" s="2687">
        <f t="shared" si="0"/>
        <v>11502</v>
      </c>
      <c r="I17" s="2687">
        <f>SUM(I6:I16)</f>
        <v>11398</v>
      </c>
      <c r="J17" s="2687">
        <f>SUM(J6:J16)</f>
        <v>11359</v>
      </c>
      <c r="K17" s="2687">
        <f>SUM(K6:K16)</f>
        <v>11509</v>
      </c>
      <c r="L17" s="2687">
        <f>L6+L7+L8+L9+L10+L11+L12+L13+L14+L15+L16</f>
        <v>11542</v>
      </c>
      <c r="M17" s="2687">
        <f>SUM(M6:M16)</f>
        <v>11660</v>
      </c>
      <c r="N17" s="2687">
        <f>SUM(N6:N16)</f>
        <v>11737</v>
      </c>
      <c r="O17" s="2687">
        <f>SUM(O6:O16)</f>
        <v>11738</v>
      </c>
      <c r="P17" s="2688">
        <f>SUM(P6:P16)</f>
        <v>11827</v>
      </c>
    </row>
    <row r="18" spans="1:16" ht="14.25" customHeight="1"/>
    <row r="19" spans="1:16">
      <c r="A19" s="2712" t="s">
        <v>7128</v>
      </c>
      <c r="B19" s="2685"/>
      <c r="C19" s="2685"/>
      <c r="D19" s="2685"/>
      <c r="E19" s="2685"/>
    </row>
    <row r="20" spans="1:16">
      <c r="A20" s="2457"/>
      <c r="B20" s="2685"/>
      <c r="C20" s="2685"/>
      <c r="D20" s="2685"/>
      <c r="E20" s="2685"/>
    </row>
    <row r="21" spans="1:16">
      <c r="A21" s="2703"/>
      <c r="B21" s="3412">
        <v>2018</v>
      </c>
      <c r="C21" s="4674">
        <v>2019</v>
      </c>
      <c r="D21" s="4243">
        <v>2020</v>
      </c>
      <c r="E21" s="4675">
        <v>2021</v>
      </c>
      <c r="F21" s="3371">
        <v>2022</v>
      </c>
    </row>
    <row r="22" spans="1:16">
      <c r="A22" s="2704" t="s">
        <v>6832</v>
      </c>
      <c r="B22" s="3279">
        <v>0</v>
      </c>
      <c r="C22" s="1355">
        <v>1</v>
      </c>
      <c r="D22" s="2685">
        <v>0</v>
      </c>
      <c r="E22" s="2711">
        <v>0</v>
      </c>
      <c r="F22" s="2464">
        <v>0</v>
      </c>
    </row>
    <row r="23" spans="1:16">
      <c r="A23" s="2705" t="s">
        <v>6833</v>
      </c>
      <c r="B23" s="3280">
        <v>289</v>
      </c>
      <c r="C23" s="1355">
        <v>284</v>
      </c>
      <c r="D23" s="2685">
        <v>316</v>
      </c>
      <c r="E23" s="2711">
        <v>321</v>
      </c>
      <c r="F23" s="2464">
        <v>323</v>
      </c>
    </row>
    <row r="24" spans="1:16">
      <c r="A24" s="2705" t="s">
        <v>6834</v>
      </c>
      <c r="B24" s="3280">
        <v>21</v>
      </c>
      <c r="C24" s="1355">
        <v>10</v>
      </c>
      <c r="D24" s="2685">
        <v>15</v>
      </c>
      <c r="E24" s="2711">
        <v>17</v>
      </c>
      <c r="F24" s="2464">
        <v>18</v>
      </c>
    </row>
    <row r="25" spans="1:16">
      <c r="A25" s="2705" t="s">
        <v>6835</v>
      </c>
      <c r="B25" s="3281">
        <v>145</v>
      </c>
      <c r="C25" s="1355">
        <v>167</v>
      </c>
      <c r="D25" s="2685">
        <v>203</v>
      </c>
      <c r="E25" s="2711">
        <v>167</v>
      </c>
      <c r="F25" s="2464">
        <v>165</v>
      </c>
    </row>
    <row r="26" spans="1:16">
      <c r="A26" s="2705" t="s">
        <v>6836</v>
      </c>
      <c r="B26" s="3280">
        <v>9</v>
      </c>
      <c r="C26" s="1355">
        <v>12</v>
      </c>
      <c r="D26" s="2685">
        <v>13</v>
      </c>
      <c r="E26" s="2711">
        <v>13</v>
      </c>
      <c r="F26" s="2464">
        <v>17</v>
      </c>
    </row>
    <row r="27" spans="1:16">
      <c r="A27" s="2705" t="s">
        <v>6837</v>
      </c>
      <c r="B27" s="3281">
        <v>15</v>
      </c>
      <c r="C27" s="1355">
        <v>29</v>
      </c>
      <c r="D27" s="2685">
        <v>36</v>
      </c>
      <c r="E27" s="2711">
        <v>36</v>
      </c>
      <c r="F27" s="2464">
        <v>38</v>
      </c>
    </row>
    <row r="28" spans="1:16">
      <c r="A28" s="2705" t="s">
        <v>6838</v>
      </c>
      <c r="B28" s="3281">
        <v>1</v>
      </c>
      <c r="C28" s="1355">
        <v>8</v>
      </c>
      <c r="D28" s="2685">
        <v>11</v>
      </c>
      <c r="E28" s="2711">
        <v>11</v>
      </c>
      <c r="F28" s="2464">
        <v>10</v>
      </c>
    </row>
    <row r="29" spans="1:16">
      <c r="A29" s="2705" t="s">
        <v>6839</v>
      </c>
      <c r="B29" s="3281">
        <v>0</v>
      </c>
      <c r="C29" s="1355">
        <v>0</v>
      </c>
      <c r="D29" s="2685">
        <v>0</v>
      </c>
      <c r="E29" s="2711">
        <v>0</v>
      </c>
      <c r="F29" s="2464">
        <v>0</v>
      </c>
    </row>
    <row r="30" spans="1:16">
      <c r="A30" s="2705" t="s">
        <v>6840</v>
      </c>
      <c r="B30" s="3280">
        <v>0</v>
      </c>
      <c r="C30" s="1355">
        <v>0</v>
      </c>
      <c r="D30" s="2685">
        <v>0</v>
      </c>
      <c r="E30" s="2711">
        <v>0</v>
      </c>
      <c r="F30" s="2464">
        <v>0</v>
      </c>
    </row>
    <row r="31" spans="1:16">
      <c r="A31" s="2705" t="s">
        <v>6841</v>
      </c>
      <c r="B31" s="3280">
        <v>95</v>
      </c>
      <c r="C31" s="1355">
        <v>92</v>
      </c>
      <c r="D31" s="2685">
        <v>109</v>
      </c>
      <c r="E31" s="2711">
        <v>100</v>
      </c>
      <c r="F31" s="2464">
        <v>79</v>
      </c>
    </row>
    <row r="32" spans="1:16">
      <c r="A32" s="2705" t="s">
        <v>6842</v>
      </c>
      <c r="B32" s="3280">
        <v>249</v>
      </c>
      <c r="C32" s="1355">
        <v>228</v>
      </c>
      <c r="D32" s="2685">
        <v>198</v>
      </c>
      <c r="E32" s="2711">
        <v>214</v>
      </c>
      <c r="F32" s="2464">
        <v>240</v>
      </c>
    </row>
    <row r="33" spans="1:6">
      <c r="A33" s="2705" t="s">
        <v>6843</v>
      </c>
      <c r="B33" s="3281">
        <v>26</v>
      </c>
      <c r="C33" s="1355">
        <v>36</v>
      </c>
      <c r="D33" s="2685">
        <v>46</v>
      </c>
      <c r="E33" s="2711">
        <v>52</v>
      </c>
      <c r="F33" s="2464">
        <v>20</v>
      </c>
    </row>
    <row r="34" spans="1:6">
      <c r="A34" s="2705" t="s">
        <v>6844</v>
      </c>
      <c r="B34" s="3280">
        <v>1</v>
      </c>
      <c r="C34" s="1355">
        <v>0</v>
      </c>
      <c r="D34" s="2685">
        <v>23</v>
      </c>
      <c r="E34" s="2711">
        <v>10</v>
      </c>
      <c r="F34" s="2464">
        <v>20</v>
      </c>
    </row>
    <row r="35" spans="1:6">
      <c r="A35" s="2705" t="s">
        <v>8418</v>
      </c>
      <c r="B35" s="3280"/>
      <c r="C35" s="2685"/>
      <c r="D35" s="2685"/>
      <c r="E35" s="2711"/>
      <c r="F35" s="2464">
        <v>274</v>
      </c>
    </row>
    <row r="36" spans="1:6">
      <c r="A36" s="2709" t="s">
        <v>6845</v>
      </c>
      <c r="B36" s="3282"/>
      <c r="C36" s="2710"/>
      <c r="D36" s="4242"/>
      <c r="E36" s="3277"/>
      <c r="F36" s="3276"/>
    </row>
    <row r="37" spans="1:6">
      <c r="A37" s="2706" t="s">
        <v>6846</v>
      </c>
      <c r="B37" s="3280">
        <v>9</v>
      </c>
      <c r="C37" s="2685"/>
      <c r="D37" s="2685"/>
      <c r="E37" s="2711"/>
    </row>
    <row r="38" spans="1:6">
      <c r="A38" s="2706" t="s">
        <v>6847</v>
      </c>
      <c r="B38" s="3280">
        <v>2</v>
      </c>
      <c r="C38" s="2685"/>
      <c r="D38" s="2685"/>
      <c r="E38" s="2711"/>
    </row>
    <row r="39" spans="1:6">
      <c r="A39" s="2706" t="s">
        <v>2431</v>
      </c>
      <c r="B39" s="3280">
        <v>72</v>
      </c>
      <c r="C39" s="2685"/>
      <c r="D39" s="2685"/>
      <c r="E39" s="2711"/>
    </row>
    <row r="40" spans="1:6">
      <c r="A40" s="2706" t="s">
        <v>6848</v>
      </c>
      <c r="B40" s="3280">
        <v>14</v>
      </c>
      <c r="C40" s="2685"/>
      <c r="D40" s="2685"/>
      <c r="E40" s="2711"/>
    </row>
    <row r="41" spans="1:6">
      <c r="A41" s="2706" t="s">
        <v>6849</v>
      </c>
      <c r="B41" s="3280">
        <v>1</v>
      </c>
      <c r="C41" s="2685"/>
      <c r="D41" s="2685"/>
      <c r="E41" s="2711"/>
    </row>
    <row r="42" spans="1:6">
      <c r="A42" s="2706" t="s">
        <v>6850</v>
      </c>
      <c r="B42" s="3280">
        <v>2</v>
      </c>
      <c r="C42" s="2685"/>
      <c r="D42" s="2685"/>
      <c r="E42" s="2711"/>
    </row>
    <row r="43" spans="1:6">
      <c r="A43" s="2706" t="s">
        <v>6851</v>
      </c>
      <c r="B43" s="3280">
        <v>31</v>
      </c>
      <c r="C43" s="2685"/>
      <c r="D43" s="2685"/>
      <c r="E43" s="2711"/>
    </row>
    <row r="44" spans="1:6">
      <c r="A44" s="2707" t="s">
        <v>6852</v>
      </c>
      <c r="B44" s="3283">
        <v>18</v>
      </c>
      <c r="C44" s="2685"/>
      <c r="D44" s="2685"/>
      <c r="E44" s="2711"/>
    </row>
    <row r="45" spans="1:6">
      <c r="A45" s="2707" t="s">
        <v>6853</v>
      </c>
      <c r="B45" s="3283">
        <v>10</v>
      </c>
      <c r="C45" s="2685"/>
      <c r="D45" s="2685"/>
      <c r="E45" s="2711"/>
    </row>
    <row r="46" spans="1:6">
      <c r="A46" s="2706" t="s">
        <v>6854</v>
      </c>
      <c r="B46" s="3280">
        <v>2</v>
      </c>
      <c r="C46" s="2685"/>
      <c r="D46" s="2685"/>
      <c r="E46" s="2711"/>
    </row>
    <row r="47" spans="1:6">
      <c r="A47" s="2707" t="s">
        <v>6855</v>
      </c>
      <c r="B47" s="3283">
        <v>2</v>
      </c>
      <c r="C47" s="2685"/>
      <c r="D47" s="2685"/>
      <c r="E47" s="2711"/>
    </row>
    <row r="48" spans="1:6">
      <c r="A48" s="2707" t="s">
        <v>6856</v>
      </c>
      <c r="B48" s="3283">
        <v>4</v>
      </c>
      <c r="C48" s="2685"/>
      <c r="D48" s="2685"/>
      <c r="E48" s="2711"/>
    </row>
    <row r="49" spans="1:14">
      <c r="A49" s="2707" t="s">
        <v>6857</v>
      </c>
      <c r="B49" s="3283">
        <v>6</v>
      </c>
      <c r="C49" s="2685"/>
      <c r="D49" s="2685"/>
      <c r="E49" s="2711"/>
    </row>
    <row r="50" spans="1:14">
      <c r="A50" s="2707" t="s">
        <v>6858</v>
      </c>
      <c r="B50" s="3283">
        <v>4</v>
      </c>
      <c r="C50" s="2685"/>
      <c r="D50" s="2685"/>
      <c r="E50" s="2711"/>
    </row>
    <row r="51" spans="1:14">
      <c r="A51" s="2707" t="s">
        <v>6859</v>
      </c>
      <c r="B51" s="3283">
        <v>38</v>
      </c>
      <c r="C51" s="2685"/>
      <c r="D51" s="2685"/>
      <c r="E51" s="2711"/>
    </row>
    <row r="52" spans="1:14">
      <c r="A52" s="2706" t="s">
        <v>6860</v>
      </c>
      <c r="B52" s="3280">
        <v>1</v>
      </c>
      <c r="C52" s="2685"/>
      <c r="D52" s="2685"/>
      <c r="E52" s="2711"/>
    </row>
    <row r="53" spans="1:14">
      <c r="A53" s="2707" t="s">
        <v>6861</v>
      </c>
      <c r="B53" s="3283">
        <v>1</v>
      </c>
      <c r="C53" s="2685"/>
      <c r="D53" s="2685"/>
      <c r="E53" s="2711"/>
    </row>
    <row r="54" spans="1:14">
      <c r="A54" s="2707" t="s">
        <v>6862</v>
      </c>
      <c r="B54" s="3283">
        <v>3</v>
      </c>
      <c r="C54" s="2685"/>
      <c r="D54" s="2685"/>
      <c r="E54" s="2711"/>
    </row>
    <row r="55" spans="1:14">
      <c r="A55" s="2707" t="s">
        <v>6863</v>
      </c>
      <c r="B55" s="3283">
        <v>1</v>
      </c>
      <c r="C55" s="2685"/>
      <c r="D55" s="2685"/>
      <c r="E55" s="2711"/>
    </row>
    <row r="56" spans="1:14">
      <c r="A56" s="2707" t="s">
        <v>6859</v>
      </c>
      <c r="B56" s="3283">
        <v>3</v>
      </c>
      <c r="C56" s="2685"/>
      <c r="D56" s="2685"/>
      <c r="E56" s="2711"/>
    </row>
    <row r="57" spans="1:14">
      <c r="A57" s="2706" t="s">
        <v>6864</v>
      </c>
      <c r="B57" s="3280">
        <v>13</v>
      </c>
      <c r="C57" s="2685"/>
      <c r="D57" s="2685"/>
      <c r="E57" s="2711"/>
    </row>
    <row r="58" spans="1:14">
      <c r="A58" s="2708" t="s">
        <v>6865</v>
      </c>
      <c r="B58" s="3284">
        <v>9</v>
      </c>
      <c r="C58" s="2701"/>
      <c r="D58" s="2701"/>
      <c r="E58" s="3278"/>
    </row>
    <row r="62" spans="1:14" s="2689" customFormat="1" ht="15">
      <c r="A62" s="2617" t="s">
        <v>6866</v>
      </c>
      <c r="B62" s="2390">
        <v>2006</v>
      </c>
      <c r="C62" s="2390">
        <v>2007</v>
      </c>
      <c r="D62" s="2390">
        <v>2008</v>
      </c>
      <c r="E62" s="2390">
        <v>2009</v>
      </c>
      <c r="F62" s="2390">
        <v>2010</v>
      </c>
      <c r="G62" s="2390">
        <v>2011</v>
      </c>
      <c r="H62" s="2390">
        <v>2012</v>
      </c>
      <c r="I62" s="2390">
        <v>2013</v>
      </c>
      <c r="J62" s="2390">
        <v>2014</v>
      </c>
      <c r="K62" s="2390">
        <v>2015</v>
      </c>
      <c r="L62" s="2390">
        <v>2016</v>
      </c>
      <c r="M62" s="2390">
        <v>2017</v>
      </c>
      <c r="N62" s="2391">
        <v>2018</v>
      </c>
    </row>
    <row r="63" spans="1:14" s="2689" customFormat="1">
      <c r="A63" s="2464" t="s">
        <v>6867</v>
      </c>
      <c r="B63" s="1355">
        <v>8</v>
      </c>
      <c r="C63" s="1355"/>
      <c r="D63" s="1355">
        <v>1</v>
      </c>
      <c r="E63" s="1355">
        <v>1</v>
      </c>
      <c r="F63" s="1355">
        <v>2</v>
      </c>
      <c r="G63" s="1355">
        <v>0</v>
      </c>
      <c r="H63" s="1355">
        <v>0</v>
      </c>
      <c r="I63" s="1355">
        <v>1</v>
      </c>
      <c r="J63" s="1355"/>
      <c r="K63" s="1355">
        <v>1</v>
      </c>
      <c r="L63" s="1355">
        <v>0</v>
      </c>
      <c r="M63" s="1355">
        <v>0</v>
      </c>
      <c r="N63" s="2713" t="s">
        <v>6868</v>
      </c>
    </row>
    <row r="64" spans="1:14" s="2689" customFormat="1">
      <c r="A64" s="2464" t="s">
        <v>6869</v>
      </c>
      <c r="B64" s="1355"/>
      <c r="C64" s="1355"/>
      <c r="D64" s="1355"/>
      <c r="E64" s="1355"/>
      <c r="F64" s="1355"/>
      <c r="G64" s="1355"/>
      <c r="H64" s="1355"/>
      <c r="I64" s="1355"/>
      <c r="J64" s="1355"/>
      <c r="K64" s="1355"/>
      <c r="L64" s="1355"/>
      <c r="M64" s="2690"/>
      <c r="N64" s="2713"/>
    </row>
    <row r="65" spans="1:14" s="2689" customFormat="1">
      <c r="A65" s="2716" t="s">
        <v>6870</v>
      </c>
      <c r="B65" s="1355">
        <v>225</v>
      </c>
      <c r="C65" s="1355"/>
      <c r="D65" s="1355">
        <v>214</v>
      </c>
      <c r="E65" s="1355">
        <v>228</v>
      </c>
      <c r="F65" s="1355">
        <v>233</v>
      </c>
      <c r="G65" s="1355">
        <v>161</v>
      </c>
      <c r="H65" s="1355">
        <v>156</v>
      </c>
      <c r="I65" s="1355">
        <v>203</v>
      </c>
      <c r="J65" s="1355"/>
      <c r="K65" s="1355">
        <v>190</v>
      </c>
      <c r="L65" s="1355">
        <v>194</v>
      </c>
      <c r="M65" s="1355">
        <f>114+5+4+56</f>
        <v>179</v>
      </c>
      <c r="N65" s="2713"/>
    </row>
    <row r="66" spans="1:14" s="2689" customFormat="1">
      <c r="A66" s="2716" t="s">
        <v>6871</v>
      </c>
      <c r="B66" s="1355">
        <v>35</v>
      </c>
      <c r="C66" s="1355"/>
      <c r="D66" s="1355">
        <v>20</v>
      </c>
      <c r="E66" s="1355">
        <v>22</v>
      </c>
      <c r="F66" s="1355">
        <v>29</v>
      </c>
      <c r="G66" s="1355">
        <v>18</v>
      </c>
      <c r="H66" s="1355">
        <v>21</v>
      </c>
      <c r="I66" s="1355">
        <v>13</v>
      </c>
      <c r="J66" s="1355"/>
      <c r="K66" s="1355">
        <v>5</v>
      </c>
      <c r="L66" s="1355">
        <v>10</v>
      </c>
      <c r="M66" s="2690">
        <v>12</v>
      </c>
      <c r="N66" s="2713"/>
    </row>
    <row r="67" spans="1:14" s="2689" customFormat="1">
      <c r="A67" s="2716" t="s">
        <v>6837</v>
      </c>
      <c r="B67" s="1355"/>
      <c r="C67" s="1355"/>
      <c r="D67" s="1355"/>
      <c r="E67" s="1355"/>
      <c r="F67" s="1355"/>
      <c r="G67" s="1355"/>
      <c r="H67" s="1355"/>
      <c r="I67" s="1355"/>
      <c r="J67" s="1355"/>
      <c r="K67" s="1355"/>
      <c r="L67" s="1355"/>
      <c r="M67" s="2690">
        <v>3</v>
      </c>
      <c r="N67" s="2713"/>
    </row>
    <row r="68" spans="1:14" s="2689" customFormat="1">
      <c r="A68" s="2464" t="s">
        <v>6872</v>
      </c>
      <c r="B68" s="1355">
        <v>21</v>
      </c>
      <c r="C68" s="1355">
        <v>21</v>
      </c>
      <c r="D68" s="1355">
        <v>23</v>
      </c>
      <c r="E68" s="1355">
        <v>24</v>
      </c>
      <c r="F68" s="1355">
        <v>22</v>
      </c>
      <c r="G68" s="1355">
        <v>4</v>
      </c>
      <c r="H68" s="1355">
        <v>14</v>
      </c>
      <c r="I68" s="1355">
        <v>14</v>
      </c>
      <c r="J68" s="1355"/>
      <c r="K68" s="1355">
        <v>7</v>
      </c>
      <c r="L68" s="1355">
        <v>13</v>
      </c>
      <c r="M68" s="2690">
        <v>9</v>
      </c>
      <c r="N68" s="2713"/>
    </row>
    <row r="69" spans="1:14" s="2689" customFormat="1">
      <c r="A69" s="2464" t="s">
        <v>6873</v>
      </c>
      <c r="B69" s="1355">
        <v>7</v>
      </c>
      <c r="C69" s="1355">
        <v>7</v>
      </c>
      <c r="D69" s="1355">
        <v>1</v>
      </c>
      <c r="E69" s="1355">
        <v>4</v>
      </c>
      <c r="F69" s="1355">
        <v>7</v>
      </c>
      <c r="G69" s="1355">
        <v>5</v>
      </c>
      <c r="H69" s="1355">
        <v>5</v>
      </c>
      <c r="I69" s="1355">
        <v>6</v>
      </c>
      <c r="J69" s="1355"/>
      <c r="K69" s="1355">
        <v>6</v>
      </c>
      <c r="L69" s="1355">
        <v>3</v>
      </c>
      <c r="M69" s="2690">
        <v>3</v>
      </c>
      <c r="N69" s="2713"/>
    </row>
    <row r="70" spans="1:14" s="2689" customFormat="1">
      <c r="A70" s="2464" t="s">
        <v>6874</v>
      </c>
      <c r="B70" s="1355">
        <v>1</v>
      </c>
      <c r="C70" s="1355"/>
      <c r="D70" s="1355">
        <v>12</v>
      </c>
      <c r="E70" s="1355">
        <v>3</v>
      </c>
      <c r="F70" s="1355">
        <v>0</v>
      </c>
      <c r="G70" s="1355">
        <v>1</v>
      </c>
      <c r="H70" s="1355">
        <v>0</v>
      </c>
      <c r="I70" s="1355">
        <v>0</v>
      </c>
      <c r="J70" s="1355"/>
      <c r="K70" s="1355">
        <v>0</v>
      </c>
      <c r="L70" s="1355">
        <v>0</v>
      </c>
      <c r="M70" s="2690">
        <v>0</v>
      </c>
      <c r="N70" s="2713"/>
    </row>
    <row r="71" spans="1:14" s="2689" customFormat="1">
      <c r="A71" s="2464" t="s">
        <v>6875</v>
      </c>
      <c r="B71" s="1355"/>
      <c r="C71" s="1355">
        <v>4</v>
      </c>
      <c r="D71" s="1355">
        <v>1</v>
      </c>
      <c r="E71" s="1355"/>
      <c r="F71" s="1355">
        <v>3</v>
      </c>
      <c r="G71" s="1355">
        <v>3</v>
      </c>
      <c r="H71" s="1355">
        <v>2</v>
      </c>
      <c r="I71" s="1355">
        <v>0</v>
      </c>
      <c r="J71" s="1355"/>
      <c r="K71" s="1355">
        <v>3</v>
      </c>
      <c r="L71" s="1355">
        <v>2</v>
      </c>
      <c r="M71" s="2690">
        <v>3</v>
      </c>
      <c r="N71" s="2713"/>
    </row>
    <row r="72" spans="1:14" s="2689" customFormat="1">
      <c r="A72" s="2464" t="s">
        <v>6876</v>
      </c>
      <c r="B72" s="1355">
        <v>1</v>
      </c>
      <c r="C72" s="1355">
        <v>1</v>
      </c>
      <c r="D72" s="1355">
        <v>6</v>
      </c>
      <c r="E72" s="1355"/>
      <c r="F72" s="1355">
        <v>4</v>
      </c>
      <c r="G72" s="1355">
        <v>4</v>
      </c>
      <c r="H72" s="1355">
        <v>0</v>
      </c>
      <c r="I72" s="1355">
        <v>0</v>
      </c>
      <c r="J72" s="1355"/>
      <c r="K72" s="1355">
        <v>1</v>
      </c>
      <c r="L72" s="1355">
        <v>1</v>
      </c>
      <c r="M72" s="2690">
        <v>3</v>
      </c>
      <c r="N72" s="2713"/>
    </row>
    <row r="73" spans="1:14" s="2689" customFormat="1">
      <c r="A73" s="2464" t="s">
        <v>6877</v>
      </c>
      <c r="B73" s="1355">
        <v>1</v>
      </c>
      <c r="C73" s="1355">
        <v>1</v>
      </c>
      <c r="D73" s="1355">
        <v>0</v>
      </c>
      <c r="E73" s="1355"/>
      <c r="F73" s="1355">
        <v>0</v>
      </c>
      <c r="G73" s="1355">
        <v>1</v>
      </c>
      <c r="H73" s="1355">
        <v>0</v>
      </c>
      <c r="I73" s="1355">
        <v>0</v>
      </c>
      <c r="J73" s="1355"/>
      <c r="K73" s="1355">
        <v>0</v>
      </c>
      <c r="L73" s="1355">
        <v>0</v>
      </c>
      <c r="M73" s="2690">
        <v>0</v>
      </c>
      <c r="N73" s="2713"/>
    </row>
    <row r="74" spans="1:14" s="2689" customFormat="1">
      <c r="A74" s="2464" t="s">
        <v>6878</v>
      </c>
      <c r="B74" s="1355"/>
      <c r="C74" s="1355"/>
      <c r="D74" s="1355"/>
      <c r="E74" s="1355">
        <v>1</v>
      </c>
      <c r="F74" s="1355">
        <v>0</v>
      </c>
      <c r="G74" s="1355">
        <v>0</v>
      </c>
      <c r="H74" s="1355">
        <v>0</v>
      </c>
      <c r="I74" s="1355">
        <v>0</v>
      </c>
      <c r="J74" s="1355"/>
      <c r="K74" s="1355">
        <v>0</v>
      </c>
      <c r="L74" s="1355">
        <v>0</v>
      </c>
      <c r="M74" s="2690">
        <v>1</v>
      </c>
      <c r="N74" s="2713"/>
    </row>
    <row r="75" spans="1:14" s="2689" customFormat="1">
      <c r="A75" s="2717" t="s">
        <v>8</v>
      </c>
      <c r="B75" s="2687">
        <f t="shared" ref="B75:I75" si="1">SUM(B63:B74)</f>
        <v>299</v>
      </c>
      <c r="C75" s="2687">
        <f t="shared" si="1"/>
        <v>34</v>
      </c>
      <c r="D75" s="2687">
        <f t="shared" si="1"/>
        <v>278</v>
      </c>
      <c r="E75" s="2687">
        <f t="shared" si="1"/>
        <v>283</v>
      </c>
      <c r="F75" s="2687">
        <f t="shared" si="1"/>
        <v>300</v>
      </c>
      <c r="G75" s="2687">
        <f t="shared" si="1"/>
        <v>197</v>
      </c>
      <c r="H75" s="2687">
        <f t="shared" si="1"/>
        <v>198</v>
      </c>
      <c r="I75" s="2687">
        <f t="shared" si="1"/>
        <v>237</v>
      </c>
      <c r="J75" s="2687"/>
      <c r="K75" s="2687">
        <f>SUM(K63:K74)</f>
        <v>213</v>
      </c>
      <c r="L75" s="2687">
        <f>SUM(L63:L74)</f>
        <v>223</v>
      </c>
      <c r="M75" s="2687">
        <v>213</v>
      </c>
      <c r="N75" s="2688"/>
    </row>
    <row r="76" spans="1:14" s="2689" customFormat="1">
      <c r="A76" s="2726"/>
      <c r="B76" s="2727"/>
      <c r="C76" s="2727"/>
      <c r="D76" s="2727"/>
      <c r="E76" s="2727"/>
      <c r="F76" s="2727"/>
      <c r="G76" s="2727"/>
      <c r="H76" s="2727"/>
      <c r="I76" s="2727"/>
      <c r="J76" s="2727"/>
      <c r="K76" s="2727"/>
      <c r="L76" s="2727"/>
      <c r="M76" s="2727"/>
      <c r="N76" s="2713"/>
    </row>
    <row r="77" spans="1:14">
      <c r="A77" s="2457"/>
      <c r="B77" s="2685"/>
      <c r="C77" s="2685"/>
      <c r="D77" s="2685"/>
      <c r="E77" s="2685"/>
      <c r="F77" s="2685"/>
      <c r="G77" s="2685"/>
      <c r="H77" s="2685"/>
      <c r="I77" s="2685"/>
      <c r="J77" s="2685"/>
      <c r="K77" s="2685"/>
      <c r="L77" s="2685"/>
      <c r="M77" s="2685"/>
      <c r="N77" s="2711"/>
    </row>
    <row r="78" spans="1:14" s="2351" customFormat="1" ht="15">
      <c r="A78" s="2422" t="s">
        <v>62</v>
      </c>
      <c r="B78" s="2423">
        <v>2006</v>
      </c>
      <c r="C78" s="2423">
        <v>2007</v>
      </c>
      <c r="D78" s="2423">
        <v>2008</v>
      </c>
      <c r="E78" s="2423">
        <v>2009</v>
      </c>
      <c r="F78" s="2423">
        <v>2010</v>
      </c>
      <c r="G78" s="2423">
        <v>2011</v>
      </c>
      <c r="H78" s="2423">
        <v>2012</v>
      </c>
      <c r="I78" s="2423">
        <v>2013</v>
      </c>
      <c r="J78" s="2423">
        <v>2014</v>
      </c>
      <c r="K78" s="2423">
        <v>2015</v>
      </c>
      <c r="L78" s="2423">
        <v>2016</v>
      </c>
      <c r="M78" s="2423">
        <v>2017</v>
      </c>
      <c r="N78" s="2424">
        <v>2018</v>
      </c>
    </row>
    <row r="79" spans="1:14" s="2689" customFormat="1">
      <c r="A79" s="2728" t="s">
        <v>6879</v>
      </c>
      <c r="B79" s="2723"/>
      <c r="C79" s="2723"/>
      <c r="D79" s="2723"/>
      <c r="E79" s="2723"/>
      <c r="F79" s="2723"/>
      <c r="G79" s="2723"/>
      <c r="H79" s="2723"/>
      <c r="I79" s="2723"/>
      <c r="J79" s="2723"/>
      <c r="K79" s="2723"/>
      <c r="L79" s="2723"/>
      <c r="M79" s="2723"/>
      <c r="N79" s="2729"/>
    </row>
    <row r="80" spans="1:14">
      <c r="A80" s="2730" t="s">
        <v>6880</v>
      </c>
      <c r="B80" s="2329">
        <v>18</v>
      </c>
      <c r="C80" s="2329">
        <v>20</v>
      </c>
      <c r="D80" s="2329">
        <v>17</v>
      </c>
      <c r="E80" s="2329">
        <v>10</v>
      </c>
      <c r="F80" s="2329">
        <v>23</v>
      </c>
      <c r="G80" s="2329">
        <v>15</v>
      </c>
      <c r="H80" s="1355">
        <v>24</v>
      </c>
      <c r="I80" s="1355">
        <v>24</v>
      </c>
      <c r="J80" s="1355"/>
      <c r="K80" s="1355">
        <v>16</v>
      </c>
      <c r="L80" s="1355">
        <v>12</v>
      </c>
      <c r="M80" s="1355">
        <v>19</v>
      </c>
      <c r="N80" s="2713" t="s">
        <v>6868</v>
      </c>
    </row>
    <row r="81" spans="1:14">
      <c r="A81" s="2730" t="s">
        <v>6881</v>
      </c>
      <c r="B81" s="2329">
        <v>5</v>
      </c>
      <c r="C81" s="2329">
        <v>6</v>
      </c>
      <c r="D81" s="2329">
        <v>7</v>
      </c>
      <c r="E81" s="2329">
        <v>4</v>
      </c>
      <c r="F81" s="2329">
        <v>8</v>
      </c>
      <c r="G81" s="2329">
        <v>5</v>
      </c>
      <c r="H81" s="1355">
        <v>7</v>
      </c>
      <c r="I81" s="1355">
        <v>7</v>
      </c>
      <c r="J81" s="1355"/>
      <c r="K81" s="1355">
        <v>6</v>
      </c>
      <c r="L81" s="1355">
        <v>5</v>
      </c>
      <c r="M81" s="1355">
        <v>3</v>
      </c>
      <c r="N81" s="2711"/>
    </row>
    <row r="82" spans="1:14">
      <c r="A82" s="2730" t="s">
        <v>6882</v>
      </c>
      <c r="B82" s="2329">
        <v>36</v>
      </c>
      <c r="C82" s="2329">
        <v>30</v>
      </c>
      <c r="D82" s="2329">
        <v>3</v>
      </c>
      <c r="E82" s="2329">
        <v>28</v>
      </c>
      <c r="F82" s="2329">
        <v>26</v>
      </c>
      <c r="G82" s="2329">
        <v>21</v>
      </c>
      <c r="H82" s="1355">
        <v>17</v>
      </c>
      <c r="I82" s="1355">
        <v>19</v>
      </c>
      <c r="J82" s="1355"/>
      <c r="K82" s="1355">
        <v>28</v>
      </c>
      <c r="L82" s="1355">
        <v>22</v>
      </c>
      <c r="M82" s="1355">
        <v>22</v>
      </c>
      <c r="N82" s="2711"/>
    </row>
    <row r="83" spans="1:14">
      <c r="A83" s="2730" t="s">
        <v>6883</v>
      </c>
      <c r="B83" s="2329">
        <v>6</v>
      </c>
      <c r="C83" s="2329">
        <v>6</v>
      </c>
      <c r="D83" s="2329">
        <v>5</v>
      </c>
      <c r="E83" s="2329">
        <v>6</v>
      </c>
      <c r="F83" s="2329">
        <v>5</v>
      </c>
      <c r="G83" s="2329">
        <v>3</v>
      </c>
      <c r="H83" s="1355">
        <v>2</v>
      </c>
      <c r="I83" s="1355">
        <v>13</v>
      </c>
      <c r="J83" s="1355"/>
      <c r="K83" s="1355">
        <v>2</v>
      </c>
      <c r="L83" s="1355">
        <v>3</v>
      </c>
      <c r="M83" s="1355">
        <v>5</v>
      </c>
      <c r="N83" s="2711"/>
    </row>
    <row r="84" spans="1:14">
      <c r="A84" s="2730" t="s">
        <v>6884</v>
      </c>
      <c r="B84" s="2329">
        <v>17</v>
      </c>
      <c r="C84" s="2329">
        <v>24</v>
      </c>
      <c r="D84" s="2329">
        <v>8</v>
      </c>
      <c r="E84" s="2329">
        <v>12</v>
      </c>
      <c r="F84" s="2329">
        <v>13</v>
      </c>
      <c r="G84" s="2329">
        <v>10</v>
      </c>
      <c r="H84" s="1355">
        <v>14</v>
      </c>
      <c r="I84" s="1355">
        <v>9</v>
      </c>
      <c r="J84" s="1355"/>
      <c r="K84" s="1355">
        <v>4</v>
      </c>
      <c r="L84" s="1355">
        <v>2</v>
      </c>
      <c r="M84" s="1355">
        <v>3</v>
      </c>
      <c r="N84" s="2711"/>
    </row>
    <row r="85" spans="1:14">
      <c r="A85" s="2730" t="s">
        <v>6885</v>
      </c>
      <c r="B85" s="2329"/>
      <c r="C85" s="2329">
        <v>1</v>
      </c>
      <c r="D85" s="2329">
        <v>1</v>
      </c>
      <c r="E85" s="2329">
        <v>3</v>
      </c>
      <c r="F85" s="2329">
        <v>0</v>
      </c>
      <c r="G85" s="2329">
        <v>1</v>
      </c>
      <c r="H85" s="1355">
        <v>0</v>
      </c>
      <c r="I85" s="1355">
        <v>0</v>
      </c>
      <c r="J85" s="1355"/>
      <c r="K85" s="1355">
        <v>0</v>
      </c>
      <c r="L85" s="1355">
        <v>1</v>
      </c>
      <c r="M85" s="1355">
        <v>2</v>
      </c>
      <c r="N85" s="2711"/>
    </row>
    <row r="86" spans="1:14">
      <c r="A86" s="2730" t="s">
        <v>6886</v>
      </c>
      <c r="B86" s="2329"/>
      <c r="C86" s="2329"/>
      <c r="D86" s="2329"/>
      <c r="E86" s="2329"/>
      <c r="F86" s="2329">
        <v>1</v>
      </c>
      <c r="G86" s="2329">
        <v>0</v>
      </c>
      <c r="H86" s="1355">
        <v>0</v>
      </c>
      <c r="I86" s="1355">
        <v>0</v>
      </c>
      <c r="J86" s="1355"/>
      <c r="K86" s="1355">
        <v>0</v>
      </c>
      <c r="L86" s="1355">
        <v>0</v>
      </c>
      <c r="M86" s="1355">
        <v>0</v>
      </c>
      <c r="N86" s="2711"/>
    </row>
    <row r="87" spans="1:14">
      <c r="A87" s="2730" t="s">
        <v>6887</v>
      </c>
      <c r="B87" s="2329"/>
      <c r="C87" s="2329"/>
      <c r="D87" s="2329"/>
      <c r="E87" s="2329"/>
      <c r="F87" s="2329">
        <v>1</v>
      </c>
      <c r="G87" s="2329">
        <v>2</v>
      </c>
      <c r="H87" s="1355">
        <v>2</v>
      </c>
      <c r="I87" s="1355">
        <v>4</v>
      </c>
      <c r="J87" s="1355"/>
      <c r="K87" s="1355">
        <v>2</v>
      </c>
      <c r="L87" s="1355">
        <v>4</v>
      </c>
      <c r="M87" s="1355">
        <v>6</v>
      </c>
      <c r="N87" s="2711"/>
    </row>
    <row r="88" spans="1:14">
      <c r="A88" s="2730" t="s">
        <v>6888</v>
      </c>
      <c r="B88" s="2329"/>
      <c r="C88" s="2329"/>
      <c r="D88" s="2329"/>
      <c r="E88" s="2329"/>
      <c r="F88" s="2329"/>
      <c r="G88" s="2329"/>
      <c r="H88" s="1355"/>
      <c r="I88" s="1355">
        <v>1</v>
      </c>
      <c r="J88" s="1355"/>
      <c r="K88" s="1355">
        <v>0</v>
      </c>
      <c r="L88" s="1355">
        <v>3</v>
      </c>
      <c r="M88" s="1355">
        <v>3</v>
      </c>
      <c r="N88" s="2711"/>
    </row>
    <row r="89" spans="1:14">
      <c r="A89" s="2730" t="s">
        <v>6889</v>
      </c>
      <c r="B89" s="2329"/>
      <c r="C89" s="2329">
        <v>1</v>
      </c>
      <c r="D89" s="2329">
        <v>0</v>
      </c>
      <c r="E89" s="2329">
        <v>1</v>
      </c>
      <c r="F89" s="2329">
        <v>2</v>
      </c>
      <c r="G89" s="2329">
        <v>2</v>
      </c>
      <c r="H89" s="1355">
        <v>0</v>
      </c>
      <c r="I89" s="1355">
        <v>1</v>
      </c>
      <c r="J89" s="1355"/>
      <c r="K89" s="1355">
        <v>0</v>
      </c>
      <c r="L89" s="1355">
        <v>0</v>
      </c>
      <c r="M89" s="1355">
        <v>0</v>
      </c>
      <c r="N89" s="2711"/>
    </row>
    <row r="90" spans="1:14">
      <c r="A90" s="2718" t="s">
        <v>8</v>
      </c>
      <c r="B90" s="2719">
        <f t="shared" ref="B90:I90" si="2">SUM(B80:B89)</f>
        <v>82</v>
      </c>
      <c r="C90" s="2719">
        <f t="shared" si="2"/>
        <v>88</v>
      </c>
      <c r="D90" s="2719">
        <f t="shared" si="2"/>
        <v>41</v>
      </c>
      <c r="E90" s="2719">
        <f t="shared" si="2"/>
        <v>64</v>
      </c>
      <c r="F90" s="2719">
        <f t="shared" si="2"/>
        <v>79</v>
      </c>
      <c r="G90" s="2719">
        <f t="shared" si="2"/>
        <v>59</v>
      </c>
      <c r="H90" s="2719">
        <f t="shared" si="2"/>
        <v>66</v>
      </c>
      <c r="I90" s="2719">
        <f t="shared" si="2"/>
        <v>78</v>
      </c>
      <c r="J90" s="2719"/>
      <c r="K90" s="2719">
        <f>SUM(K80:K89)</f>
        <v>58</v>
      </c>
      <c r="L90" s="2719">
        <f>SUM(L80:L89)</f>
        <v>52</v>
      </c>
      <c r="M90" s="2719">
        <f>SUM(M80:M89)</f>
        <v>63</v>
      </c>
      <c r="N90" s="2722"/>
    </row>
    <row r="91" spans="1:14">
      <c r="A91" s="2728" t="s">
        <v>6890</v>
      </c>
      <c r="B91" s="2724"/>
      <c r="C91" s="2724"/>
      <c r="D91" s="2724"/>
      <c r="E91" s="2724"/>
      <c r="F91" s="2724"/>
      <c r="G91" s="2724"/>
      <c r="H91" s="2724"/>
      <c r="I91" s="2724"/>
      <c r="J91" s="2724"/>
      <c r="K91" s="2724"/>
      <c r="L91" s="2724"/>
      <c r="M91" s="2723"/>
      <c r="N91" s="2731"/>
    </row>
    <row r="92" spans="1:14">
      <c r="A92" s="2730" t="s">
        <v>6891</v>
      </c>
      <c r="B92" s="2329">
        <v>65</v>
      </c>
      <c r="C92" s="2329">
        <v>65</v>
      </c>
      <c r="D92" s="2329">
        <v>58</v>
      </c>
      <c r="E92" s="2329">
        <v>35</v>
      </c>
      <c r="F92" s="2329">
        <v>31</v>
      </c>
      <c r="G92" s="2329">
        <v>33</v>
      </c>
      <c r="H92" s="1355">
        <v>35</v>
      </c>
      <c r="I92" s="1355">
        <v>54</v>
      </c>
      <c r="J92" s="1355"/>
      <c r="K92" s="1355">
        <v>48</v>
      </c>
      <c r="L92" s="1355">
        <v>57</v>
      </c>
      <c r="M92" s="1355">
        <v>31</v>
      </c>
      <c r="N92" s="2711"/>
    </row>
    <row r="93" spans="1:14">
      <c r="A93" s="2730" t="s">
        <v>6892</v>
      </c>
      <c r="B93" s="2329">
        <v>1</v>
      </c>
      <c r="C93" s="2329">
        <v>1</v>
      </c>
      <c r="D93" s="2329">
        <v>1</v>
      </c>
      <c r="E93" s="2329">
        <v>2</v>
      </c>
      <c r="F93" s="2329">
        <v>0</v>
      </c>
      <c r="G93" s="2329">
        <v>2</v>
      </c>
      <c r="H93" s="1355">
        <v>3</v>
      </c>
      <c r="I93" s="1355">
        <v>0</v>
      </c>
      <c r="J93" s="1355"/>
      <c r="K93" s="1355">
        <v>0</v>
      </c>
      <c r="L93" s="1355">
        <v>1</v>
      </c>
      <c r="M93" s="1355">
        <v>1</v>
      </c>
      <c r="N93" s="2711"/>
    </row>
    <row r="94" spans="1:14">
      <c r="A94" s="2730" t="s">
        <v>6882</v>
      </c>
      <c r="B94" s="2329">
        <v>6</v>
      </c>
      <c r="C94" s="2329">
        <v>6</v>
      </c>
      <c r="D94" s="2329">
        <v>9</v>
      </c>
      <c r="E94" s="2329">
        <v>3</v>
      </c>
      <c r="F94" s="2329">
        <v>6</v>
      </c>
      <c r="G94" s="2329">
        <v>0</v>
      </c>
      <c r="H94" s="1355">
        <v>1</v>
      </c>
      <c r="I94" s="1355">
        <v>5</v>
      </c>
      <c r="J94" s="1355"/>
      <c r="K94" s="1355">
        <v>1</v>
      </c>
      <c r="L94" s="1355">
        <v>2</v>
      </c>
      <c r="M94" s="1355">
        <v>1</v>
      </c>
      <c r="N94" s="2711"/>
    </row>
    <row r="95" spans="1:14">
      <c r="A95" s="2730" t="s">
        <v>6883</v>
      </c>
      <c r="B95" s="2329">
        <v>5</v>
      </c>
      <c r="C95" s="2329">
        <v>5</v>
      </c>
      <c r="D95" s="2329">
        <v>6</v>
      </c>
      <c r="E95" s="2329">
        <v>7</v>
      </c>
      <c r="F95" s="2329">
        <v>2</v>
      </c>
      <c r="G95" s="2329">
        <v>2</v>
      </c>
      <c r="H95" s="1355">
        <v>5</v>
      </c>
      <c r="I95" s="1355">
        <v>3</v>
      </c>
      <c r="J95" s="1355"/>
      <c r="K95" s="1355">
        <v>4</v>
      </c>
      <c r="L95" s="1355">
        <v>2</v>
      </c>
      <c r="M95" s="1355">
        <v>1</v>
      </c>
      <c r="N95" s="2711"/>
    </row>
    <row r="96" spans="1:14">
      <c r="A96" s="2730" t="s">
        <v>6885</v>
      </c>
      <c r="B96" s="2329">
        <v>11</v>
      </c>
      <c r="C96" s="2329">
        <v>11</v>
      </c>
      <c r="D96" s="2329">
        <v>6</v>
      </c>
      <c r="E96" s="2329">
        <v>6</v>
      </c>
      <c r="F96" s="2329">
        <v>1</v>
      </c>
      <c r="G96" s="2329">
        <v>2</v>
      </c>
      <c r="H96" s="1355">
        <v>3</v>
      </c>
      <c r="I96" s="1355">
        <v>4</v>
      </c>
      <c r="J96" s="1355"/>
      <c r="K96" s="1355">
        <v>6</v>
      </c>
      <c r="L96" s="1355">
        <v>5</v>
      </c>
      <c r="M96" s="1355">
        <v>2</v>
      </c>
      <c r="N96" s="2711"/>
    </row>
    <row r="97" spans="1:14">
      <c r="A97" s="2730" t="s">
        <v>6893</v>
      </c>
      <c r="B97" s="2329"/>
      <c r="C97" s="2329">
        <v>2</v>
      </c>
      <c r="D97" s="2329">
        <v>0</v>
      </c>
      <c r="E97" s="2329">
        <v>0</v>
      </c>
      <c r="F97" s="2329">
        <v>0</v>
      </c>
      <c r="G97" s="2329">
        <v>0</v>
      </c>
      <c r="H97" s="1355">
        <v>0</v>
      </c>
      <c r="I97" s="1355">
        <v>0</v>
      </c>
      <c r="J97" s="1355"/>
      <c r="K97" s="1355">
        <v>0</v>
      </c>
      <c r="L97" s="1355">
        <v>0</v>
      </c>
      <c r="M97" s="1355">
        <v>1</v>
      </c>
      <c r="N97" s="2711"/>
    </row>
    <row r="98" spans="1:14">
      <c r="A98" s="2730" t="s">
        <v>6884</v>
      </c>
      <c r="B98" s="2329">
        <v>2</v>
      </c>
      <c r="C98" s="2329">
        <v>2</v>
      </c>
      <c r="D98" s="2329">
        <v>8</v>
      </c>
      <c r="E98" s="2329">
        <v>5</v>
      </c>
      <c r="F98" s="2329">
        <v>3</v>
      </c>
      <c r="G98" s="2329">
        <v>4</v>
      </c>
      <c r="H98" s="1355">
        <v>2</v>
      </c>
      <c r="I98" s="1355">
        <v>5</v>
      </c>
      <c r="J98" s="1355"/>
      <c r="K98" s="1355">
        <v>4</v>
      </c>
      <c r="L98" s="1355">
        <v>1</v>
      </c>
      <c r="M98" s="1355">
        <v>2</v>
      </c>
      <c r="N98" s="2711"/>
    </row>
    <row r="99" spans="1:14">
      <c r="A99" s="2730" t="s">
        <v>6886</v>
      </c>
      <c r="B99" s="2329">
        <v>3</v>
      </c>
      <c r="C99" s="2329"/>
      <c r="D99" s="2329">
        <v>2</v>
      </c>
      <c r="E99" s="2329">
        <v>0</v>
      </c>
      <c r="F99" s="2329">
        <v>1</v>
      </c>
      <c r="G99" s="2329">
        <v>0</v>
      </c>
      <c r="H99" s="1355">
        <v>0</v>
      </c>
      <c r="I99" s="1355">
        <v>0</v>
      </c>
      <c r="J99" s="1355"/>
      <c r="K99" s="1355">
        <v>0</v>
      </c>
      <c r="L99" s="1355">
        <v>0</v>
      </c>
      <c r="M99" s="1355">
        <v>0</v>
      </c>
      <c r="N99" s="2711"/>
    </row>
    <row r="100" spans="1:14">
      <c r="A100" s="2730" t="s">
        <v>6894</v>
      </c>
      <c r="B100" s="2329">
        <v>4</v>
      </c>
      <c r="C100" s="2329">
        <v>1</v>
      </c>
      <c r="D100" s="2329">
        <v>0</v>
      </c>
      <c r="E100" s="2329">
        <v>0</v>
      </c>
      <c r="F100" s="2329">
        <v>0</v>
      </c>
      <c r="G100" s="2329">
        <v>1</v>
      </c>
      <c r="H100" s="1355">
        <v>0</v>
      </c>
      <c r="I100" s="1355">
        <v>1</v>
      </c>
      <c r="J100" s="1355"/>
      <c r="K100" s="1355">
        <v>1</v>
      </c>
      <c r="L100" s="1355">
        <v>1</v>
      </c>
      <c r="M100" s="1355">
        <v>2</v>
      </c>
      <c r="N100" s="2711"/>
    </row>
    <row r="101" spans="1:14">
      <c r="A101" s="2718" t="s">
        <v>8</v>
      </c>
      <c r="B101" s="2719">
        <f t="shared" ref="B101:I101" si="3">SUM(B92:B100)</f>
        <v>97</v>
      </c>
      <c r="C101" s="2719">
        <f t="shared" si="3"/>
        <v>93</v>
      </c>
      <c r="D101" s="2719">
        <f t="shared" si="3"/>
        <v>90</v>
      </c>
      <c r="E101" s="2719">
        <f t="shared" si="3"/>
        <v>58</v>
      </c>
      <c r="F101" s="2719">
        <f t="shared" si="3"/>
        <v>44</v>
      </c>
      <c r="G101" s="2719">
        <f t="shared" si="3"/>
        <v>44</v>
      </c>
      <c r="H101" s="2719">
        <f t="shared" si="3"/>
        <v>49</v>
      </c>
      <c r="I101" s="2719">
        <f t="shared" si="3"/>
        <v>72</v>
      </c>
      <c r="J101" s="2719"/>
      <c r="K101" s="2719">
        <f>SUM(K92:K100)</f>
        <v>64</v>
      </c>
      <c r="L101" s="2719">
        <f>SUM(L92:L100)</f>
        <v>69</v>
      </c>
      <c r="M101" s="2719">
        <f>SUM(M92:M100)</f>
        <v>41</v>
      </c>
      <c r="N101" s="2722"/>
    </row>
    <row r="102" spans="1:14">
      <c r="A102" s="2728" t="s">
        <v>6895</v>
      </c>
      <c r="B102" s="2724"/>
      <c r="C102" s="2724"/>
      <c r="D102" s="2724"/>
      <c r="E102" s="2724"/>
      <c r="F102" s="2724"/>
      <c r="G102" s="2724"/>
      <c r="H102" s="2724"/>
      <c r="I102" s="2724"/>
      <c r="J102" s="2724"/>
      <c r="K102" s="2724"/>
      <c r="L102" s="2724"/>
      <c r="M102" s="2723"/>
      <c r="N102" s="2731"/>
    </row>
    <row r="103" spans="1:14" s="2691" customFormat="1">
      <c r="A103" s="2730" t="s">
        <v>6891</v>
      </c>
      <c r="B103" s="2329">
        <v>1</v>
      </c>
      <c r="C103" s="2329">
        <v>1</v>
      </c>
      <c r="D103" s="2329">
        <v>2</v>
      </c>
      <c r="E103" s="2329">
        <v>2</v>
      </c>
      <c r="F103" s="2329">
        <v>1</v>
      </c>
      <c r="G103" s="2329">
        <v>3</v>
      </c>
      <c r="H103" s="1355">
        <v>2</v>
      </c>
      <c r="I103" s="1355">
        <v>2</v>
      </c>
      <c r="J103" s="1355"/>
      <c r="K103" s="1355">
        <v>0</v>
      </c>
      <c r="L103" s="1355">
        <v>1</v>
      </c>
      <c r="M103" s="1355">
        <v>3</v>
      </c>
      <c r="N103" s="2732"/>
    </row>
    <row r="104" spans="1:14" s="2691" customFormat="1">
      <c r="A104" s="2730" t="s">
        <v>6883</v>
      </c>
      <c r="B104" s="2329">
        <v>2</v>
      </c>
      <c r="C104" s="2329"/>
      <c r="D104" s="2329">
        <v>0</v>
      </c>
      <c r="E104" s="2329">
        <v>0</v>
      </c>
      <c r="F104" s="2329">
        <v>0</v>
      </c>
      <c r="G104" s="2329">
        <v>0</v>
      </c>
      <c r="H104" s="1355">
        <v>0</v>
      </c>
      <c r="I104" s="1355">
        <v>0</v>
      </c>
      <c r="J104" s="1355"/>
      <c r="K104" s="1355">
        <v>0</v>
      </c>
      <c r="L104" s="1355">
        <v>1</v>
      </c>
      <c r="M104" s="1355">
        <v>2</v>
      </c>
      <c r="N104" s="2732"/>
    </row>
    <row r="105" spans="1:14" s="2691" customFormat="1">
      <c r="A105" s="2730" t="s">
        <v>6884</v>
      </c>
      <c r="B105" s="2329"/>
      <c r="C105" s="2329">
        <v>1</v>
      </c>
      <c r="D105" s="2329">
        <v>0</v>
      </c>
      <c r="E105" s="2329">
        <v>1</v>
      </c>
      <c r="F105" s="2329">
        <v>0</v>
      </c>
      <c r="G105" s="2329">
        <v>0</v>
      </c>
      <c r="H105" s="1355">
        <v>0</v>
      </c>
      <c r="I105" s="1355">
        <v>0</v>
      </c>
      <c r="J105" s="1355"/>
      <c r="K105" s="1355">
        <v>0</v>
      </c>
      <c r="L105" s="1355">
        <v>0</v>
      </c>
      <c r="M105" s="1355">
        <v>1</v>
      </c>
      <c r="N105" s="2732"/>
    </row>
    <row r="106" spans="1:14" s="2691" customFormat="1">
      <c r="A106" s="2730" t="s">
        <v>6885</v>
      </c>
      <c r="B106" s="2329"/>
      <c r="C106" s="2329"/>
      <c r="D106" s="2329"/>
      <c r="E106" s="2329">
        <v>1</v>
      </c>
      <c r="F106" s="2329">
        <v>1</v>
      </c>
      <c r="G106" s="2329">
        <v>0</v>
      </c>
      <c r="H106" s="1355">
        <v>0</v>
      </c>
      <c r="I106" s="1355">
        <v>0</v>
      </c>
      <c r="J106" s="1355"/>
      <c r="K106" s="1355">
        <v>0</v>
      </c>
      <c r="L106" s="1355">
        <v>1</v>
      </c>
      <c r="M106" s="1355">
        <v>0</v>
      </c>
      <c r="N106" s="2732"/>
    </row>
    <row r="107" spans="1:14" s="2691" customFormat="1">
      <c r="A107" s="2730" t="s">
        <v>6882</v>
      </c>
      <c r="B107" s="2329"/>
      <c r="C107" s="2329"/>
      <c r="D107" s="2329"/>
      <c r="E107" s="2329">
        <v>1</v>
      </c>
      <c r="F107" s="2329">
        <v>0</v>
      </c>
      <c r="G107" s="2329">
        <v>1</v>
      </c>
      <c r="H107" s="1355">
        <v>0</v>
      </c>
      <c r="I107" s="1355">
        <v>0</v>
      </c>
      <c r="J107" s="1355"/>
      <c r="K107" s="1355">
        <v>1</v>
      </c>
      <c r="L107" s="1355">
        <v>0</v>
      </c>
      <c r="M107" s="1355">
        <v>6</v>
      </c>
      <c r="N107" s="2732"/>
    </row>
    <row r="108" spans="1:14" s="2691" customFormat="1">
      <c r="A108" s="2718" t="s">
        <v>8</v>
      </c>
      <c r="B108" s="2719">
        <f t="shared" ref="B108:I108" si="4">SUM(B103:B107)</f>
        <v>3</v>
      </c>
      <c r="C108" s="2719">
        <f t="shared" si="4"/>
        <v>2</v>
      </c>
      <c r="D108" s="2719">
        <f t="shared" si="4"/>
        <v>2</v>
      </c>
      <c r="E108" s="2719">
        <f t="shared" si="4"/>
        <v>5</v>
      </c>
      <c r="F108" s="2719">
        <f t="shared" si="4"/>
        <v>2</v>
      </c>
      <c r="G108" s="2719">
        <f t="shared" si="4"/>
        <v>4</v>
      </c>
      <c r="H108" s="2719">
        <f t="shared" si="4"/>
        <v>2</v>
      </c>
      <c r="I108" s="2719">
        <f t="shared" si="4"/>
        <v>2</v>
      </c>
      <c r="J108" s="2719"/>
      <c r="K108" s="2719">
        <f>SUM(K103:K107)</f>
        <v>1</v>
      </c>
      <c r="L108" s="2719">
        <f>SUM(L103:L107)</f>
        <v>3</v>
      </c>
      <c r="M108" s="2719">
        <f>SUM(M103:M107)</f>
        <v>12</v>
      </c>
      <c r="N108" s="2721"/>
    </row>
    <row r="109" spans="1:14" s="2691" customFormat="1">
      <c r="A109" s="2728" t="s">
        <v>6896</v>
      </c>
      <c r="B109" s="2725"/>
      <c r="C109" s="2725"/>
      <c r="D109" s="2725"/>
      <c r="E109" s="2725"/>
      <c r="F109" s="2725"/>
      <c r="G109" s="2725"/>
      <c r="H109" s="2725"/>
      <c r="I109" s="2725"/>
      <c r="J109" s="2725"/>
      <c r="K109" s="2725"/>
      <c r="L109" s="2724">
        <f>SUM(L103:L108)</f>
        <v>6</v>
      </c>
      <c r="M109" s="2723"/>
      <c r="N109" s="2733"/>
    </row>
    <row r="110" spans="1:14">
      <c r="A110" s="2730" t="s">
        <v>6897</v>
      </c>
      <c r="B110" s="2329">
        <v>13</v>
      </c>
      <c r="C110" s="2329">
        <v>5</v>
      </c>
      <c r="D110" s="2329">
        <v>5</v>
      </c>
      <c r="E110" s="2329">
        <v>5</v>
      </c>
      <c r="F110" s="2329">
        <v>6</v>
      </c>
      <c r="G110" s="2329">
        <v>2</v>
      </c>
      <c r="H110" s="1355">
        <v>3</v>
      </c>
      <c r="I110" s="1355">
        <v>6</v>
      </c>
      <c r="J110" s="1355"/>
      <c r="K110" s="1355">
        <v>9</v>
      </c>
      <c r="L110" s="1355">
        <v>11</v>
      </c>
      <c r="M110" s="1355"/>
      <c r="N110" s="2711"/>
    </row>
    <row r="111" spans="1:14">
      <c r="A111" s="2730" t="s">
        <v>6898</v>
      </c>
      <c r="B111" s="2329">
        <v>1</v>
      </c>
      <c r="C111" s="2329">
        <v>14</v>
      </c>
      <c r="D111" s="2329">
        <v>4</v>
      </c>
      <c r="E111" s="2329">
        <v>0</v>
      </c>
      <c r="F111" s="2329">
        <v>2</v>
      </c>
      <c r="G111" s="2329">
        <v>0</v>
      </c>
      <c r="H111" s="1355">
        <v>0</v>
      </c>
      <c r="I111" s="1355">
        <v>6</v>
      </c>
      <c r="J111" s="1355"/>
      <c r="K111" s="1355">
        <v>5</v>
      </c>
      <c r="L111" s="1355">
        <v>2</v>
      </c>
      <c r="M111" s="1355">
        <v>2</v>
      </c>
      <c r="N111" s="2711"/>
    </row>
    <row r="112" spans="1:14">
      <c r="A112" s="2730" t="s">
        <v>6899</v>
      </c>
      <c r="B112" s="2329">
        <v>1</v>
      </c>
      <c r="C112" s="2329"/>
      <c r="D112" s="2329">
        <v>0</v>
      </c>
      <c r="E112" s="2329">
        <v>0</v>
      </c>
      <c r="F112" s="2329"/>
      <c r="G112" s="2329">
        <v>0</v>
      </c>
      <c r="H112" s="1355">
        <v>0</v>
      </c>
      <c r="I112" s="1355">
        <v>0</v>
      </c>
      <c r="J112" s="1355"/>
      <c r="K112" s="1355">
        <v>0</v>
      </c>
      <c r="L112" s="1355">
        <v>0</v>
      </c>
      <c r="M112" s="1355">
        <v>1</v>
      </c>
      <c r="N112" s="2711"/>
    </row>
    <row r="113" spans="1:18">
      <c r="A113" s="2730" t="s">
        <v>6900</v>
      </c>
      <c r="B113" s="2329">
        <v>2</v>
      </c>
      <c r="C113" s="2329">
        <v>4</v>
      </c>
      <c r="D113" s="2329">
        <v>2</v>
      </c>
      <c r="E113" s="2329">
        <v>2</v>
      </c>
      <c r="F113" s="2329"/>
      <c r="G113" s="2329">
        <v>0</v>
      </c>
      <c r="H113" s="1355">
        <v>0</v>
      </c>
      <c r="I113" s="1355">
        <v>1</v>
      </c>
      <c r="J113" s="1355"/>
      <c r="K113" s="1355">
        <v>0</v>
      </c>
      <c r="L113" s="1355">
        <v>3</v>
      </c>
      <c r="M113" s="1355">
        <v>0</v>
      </c>
      <c r="N113" s="2711"/>
    </row>
    <row r="114" spans="1:18">
      <c r="A114" s="2730" t="s">
        <v>6901</v>
      </c>
      <c r="B114" s="2329">
        <v>1</v>
      </c>
      <c r="C114" s="2329"/>
      <c r="D114" s="2329">
        <v>2</v>
      </c>
      <c r="E114" s="2329">
        <v>0</v>
      </c>
      <c r="F114" s="2329"/>
      <c r="G114" s="2329">
        <v>0</v>
      </c>
      <c r="H114" s="1355">
        <v>0</v>
      </c>
      <c r="I114" s="1355">
        <v>2</v>
      </c>
      <c r="J114" s="1355"/>
      <c r="K114" s="1355">
        <v>4</v>
      </c>
      <c r="L114" s="1355">
        <v>3</v>
      </c>
      <c r="M114" s="1355">
        <v>4</v>
      </c>
      <c r="N114" s="2711"/>
    </row>
    <row r="115" spans="1:18">
      <c r="A115" s="2730" t="s">
        <v>6902</v>
      </c>
      <c r="B115" s="2329">
        <v>5</v>
      </c>
      <c r="C115" s="2329">
        <v>6</v>
      </c>
      <c r="D115" s="2329">
        <v>2</v>
      </c>
      <c r="E115" s="2329">
        <v>6</v>
      </c>
      <c r="F115" s="2329">
        <v>1</v>
      </c>
      <c r="G115" s="1355">
        <v>0</v>
      </c>
      <c r="H115" s="1355">
        <v>2</v>
      </c>
      <c r="I115" s="1355">
        <v>4</v>
      </c>
      <c r="J115" s="1355"/>
      <c r="K115" s="1355">
        <v>4</v>
      </c>
      <c r="L115" s="1355">
        <v>2</v>
      </c>
      <c r="M115" s="1355">
        <v>10</v>
      </c>
      <c r="N115" s="2711"/>
    </row>
    <row r="116" spans="1:18">
      <c r="A116" s="2730" t="s">
        <v>2549</v>
      </c>
      <c r="B116" s="2329">
        <v>19</v>
      </c>
      <c r="C116" s="2329">
        <v>20</v>
      </c>
      <c r="D116" s="2329">
        <v>37</v>
      </c>
      <c r="E116" s="2329">
        <v>36</v>
      </c>
      <c r="F116" s="2329">
        <v>92</v>
      </c>
      <c r="G116" s="1355">
        <v>50</v>
      </c>
      <c r="H116" s="1355">
        <v>32</v>
      </c>
      <c r="I116" s="1355">
        <v>32</v>
      </c>
      <c r="J116" s="1355"/>
      <c r="K116" s="1355">
        <v>41</v>
      </c>
      <c r="L116" s="1355">
        <v>32</v>
      </c>
      <c r="M116" s="1355">
        <v>16</v>
      </c>
      <c r="N116" s="2711"/>
    </row>
    <row r="117" spans="1:18">
      <c r="A117" s="2714" t="s">
        <v>6903</v>
      </c>
      <c r="B117" s="1355">
        <v>0</v>
      </c>
      <c r="C117" s="1355">
        <v>0</v>
      </c>
      <c r="D117" s="1355">
        <v>14</v>
      </c>
      <c r="E117" s="1355">
        <v>46</v>
      </c>
      <c r="F117" s="1355"/>
      <c r="G117" s="1355">
        <v>0</v>
      </c>
      <c r="H117" s="1355">
        <v>0</v>
      </c>
      <c r="I117" s="1355">
        <v>0</v>
      </c>
      <c r="J117" s="1355"/>
      <c r="K117" s="1355">
        <v>0</v>
      </c>
      <c r="L117" s="1355">
        <v>0</v>
      </c>
      <c r="M117" s="1355">
        <v>0</v>
      </c>
      <c r="N117" s="2711"/>
    </row>
    <row r="118" spans="1:18">
      <c r="A118" s="2714" t="s">
        <v>6904</v>
      </c>
      <c r="B118" s="1355"/>
      <c r="C118" s="1355"/>
      <c r="D118" s="1355"/>
      <c r="E118" s="1355">
        <v>2</v>
      </c>
      <c r="F118" s="1355">
        <v>3</v>
      </c>
      <c r="G118" s="1355">
        <v>4</v>
      </c>
      <c r="H118" s="1355">
        <v>2</v>
      </c>
      <c r="I118" s="1355">
        <v>0</v>
      </c>
      <c r="J118" s="1355"/>
      <c r="K118" s="1355">
        <v>3</v>
      </c>
      <c r="L118" s="1355">
        <v>2</v>
      </c>
      <c r="M118" s="1355">
        <v>3</v>
      </c>
      <c r="N118" s="2711"/>
    </row>
    <row r="119" spans="1:18">
      <c r="A119" s="2714" t="s">
        <v>6905</v>
      </c>
      <c r="B119" s="1355"/>
      <c r="C119" s="1355"/>
      <c r="D119" s="1355"/>
      <c r="E119" s="1355">
        <v>4</v>
      </c>
      <c r="F119" s="1355">
        <v>4</v>
      </c>
      <c r="G119" s="1355">
        <v>1</v>
      </c>
      <c r="H119" s="1355">
        <v>0</v>
      </c>
      <c r="I119" s="1355">
        <v>0</v>
      </c>
      <c r="J119" s="1355"/>
      <c r="K119" s="1355">
        <v>1</v>
      </c>
      <c r="L119" s="1355">
        <v>1</v>
      </c>
      <c r="M119" s="1355">
        <v>3</v>
      </c>
      <c r="N119" s="2711"/>
    </row>
    <row r="120" spans="1:18">
      <c r="A120" s="2718" t="s">
        <v>8</v>
      </c>
      <c r="B120" s="2719">
        <f t="shared" ref="B120:I120" si="5">SUM(B110:B119)</f>
        <v>42</v>
      </c>
      <c r="C120" s="2719">
        <f t="shared" si="5"/>
        <v>49</v>
      </c>
      <c r="D120" s="2719">
        <f t="shared" si="5"/>
        <v>66</v>
      </c>
      <c r="E120" s="2719">
        <f t="shared" si="5"/>
        <v>101</v>
      </c>
      <c r="F120" s="2719">
        <f t="shared" si="5"/>
        <v>108</v>
      </c>
      <c r="G120" s="2719">
        <f t="shared" si="5"/>
        <v>57</v>
      </c>
      <c r="H120" s="2719">
        <f t="shared" si="5"/>
        <v>39</v>
      </c>
      <c r="I120" s="2719">
        <f t="shared" si="5"/>
        <v>51</v>
      </c>
      <c r="J120" s="2719"/>
      <c r="K120" s="2719">
        <f>SUM(K110:K119)</f>
        <v>67</v>
      </c>
      <c r="L120" s="2719">
        <f>SUM(L110:L119)</f>
        <v>56</v>
      </c>
      <c r="M120" s="2719">
        <f>SUM(M111:M119)</f>
        <v>39</v>
      </c>
      <c r="N120" s="2720"/>
    </row>
    <row r="121" spans="1:18">
      <c r="A121" s="2715" t="s">
        <v>8</v>
      </c>
      <c r="B121" s="2687">
        <v>224</v>
      </c>
      <c r="C121" s="2687">
        <v>232</v>
      </c>
      <c r="D121" s="2687">
        <v>199</v>
      </c>
      <c r="E121" s="2687">
        <v>228</v>
      </c>
      <c r="F121" s="2687">
        <v>233</v>
      </c>
      <c r="G121" s="2687">
        <v>164</v>
      </c>
      <c r="H121" s="2687">
        <v>156</v>
      </c>
      <c r="I121" s="2687">
        <v>203</v>
      </c>
      <c r="J121" s="2687"/>
      <c r="K121" s="2687">
        <v>190</v>
      </c>
      <c r="L121" s="2687">
        <f>SUM(L90,L101,L108,L120)</f>
        <v>180</v>
      </c>
      <c r="M121" s="2687">
        <f>SUM(M90,M101,M108,M120)</f>
        <v>155</v>
      </c>
      <c r="N121" s="2688"/>
    </row>
    <row r="122" spans="1:18">
      <c r="A122" s="2685"/>
      <c r="B122" s="1355"/>
      <c r="C122" s="1355"/>
      <c r="D122" s="1355"/>
      <c r="E122" s="1355"/>
      <c r="F122" s="1355"/>
      <c r="G122" s="1355"/>
      <c r="H122" s="1355"/>
      <c r="I122" s="1355"/>
      <c r="J122" s="1355"/>
      <c r="K122" s="1355"/>
    </row>
    <row r="124" spans="1:18" s="2351" customFormat="1" ht="15">
      <c r="A124" s="2465" t="s">
        <v>12</v>
      </c>
      <c r="B124" s="2423">
        <v>2006</v>
      </c>
      <c r="C124" s="2423">
        <v>2007</v>
      </c>
      <c r="D124" s="2423">
        <v>2008</v>
      </c>
      <c r="E124" s="2423">
        <v>2009</v>
      </c>
      <c r="F124" s="2423">
        <v>2010</v>
      </c>
      <c r="G124" s="2423">
        <v>2011</v>
      </c>
      <c r="H124" s="2423">
        <v>2012</v>
      </c>
      <c r="I124" s="2423">
        <v>2013</v>
      </c>
      <c r="J124" s="2423">
        <v>2014</v>
      </c>
      <c r="K124" s="2423">
        <v>2015</v>
      </c>
      <c r="L124" s="2423">
        <v>2016</v>
      </c>
      <c r="M124" s="2423">
        <v>2017</v>
      </c>
      <c r="N124" s="2423">
        <v>2018</v>
      </c>
      <c r="O124" s="2423">
        <v>2019</v>
      </c>
      <c r="P124" s="4235">
        <v>2020</v>
      </c>
      <c r="Q124" s="4236">
        <v>2021</v>
      </c>
      <c r="R124" s="4675">
        <v>2022</v>
      </c>
    </row>
    <row r="125" spans="1:18">
      <c r="A125" s="2464" t="s">
        <v>6906</v>
      </c>
      <c r="B125" s="1355">
        <v>5</v>
      </c>
      <c r="C125" s="1355">
        <v>4</v>
      </c>
      <c r="D125" s="1355">
        <v>5</v>
      </c>
      <c r="E125" s="1355">
        <v>2</v>
      </c>
      <c r="F125" s="1355">
        <v>0</v>
      </c>
      <c r="G125" s="1355"/>
      <c r="H125" s="1355">
        <v>1</v>
      </c>
      <c r="I125" s="1355">
        <v>0</v>
      </c>
      <c r="J125" s="1355"/>
      <c r="K125" s="2692">
        <v>2</v>
      </c>
      <c r="L125" s="1355">
        <v>1</v>
      </c>
      <c r="M125" s="2693">
        <v>2</v>
      </c>
      <c r="N125" s="2693">
        <v>10</v>
      </c>
      <c r="O125" s="1355"/>
      <c r="P125" s="1355">
        <v>1</v>
      </c>
      <c r="Q125" s="2396">
        <v>1</v>
      </c>
      <c r="R125" s="2364">
        <v>1</v>
      </c>
    </row>
    <row r="126" spans="1:18">
      <c r="A126" s="2464" t="s">
        <v>6907</v>
      </c>
      <c r="B126" s="1355">
        <v>2</v>
      </c>
      <c r="C126" s="1355">
        <v>2</v>
      </c>
      <c r="D126" s="1355">
        <v>2</v>
      </c>
      <c r="E126" s="1355">
        <v>4</v>
      </c>
      <c r="F126" s="1355">
        <v>2</v>
      </c>
      <c r="G126" s="1355">
        <v>1</v>
      </c>
      <c r="H126" s="1355">
        <v>0</v>
      </c>
      <c r="I126" s="1355">
        <v>2</v>
      </c>
      <c r="J126" s="1355"/>
      <c r="K126" s="2692">
        <v>1</v>
      </c>
      <c r="L126" s="1355">
        <v>0</v>
      </c>
      <c r="M126" s="2693">
        <v>1</v>
      </c>
      <c r="N126" s="2693">
        <v>2</v>
      </c>
      <c r="O126" s="1355"/>
      <c r="P126" s="1355"/>
      <c r="Q126" s="2396">
        <v>2</v>
      </c>
      <c r="R126" s="2396">
        <v>1</v>
      </c>
    </row>
    <row r="127" spans="1:18">
      <c r="A127" s="2464" t="s">
        <v>6908</v>
      </c>
      <c r="B127" s="1355">
        <v>1</v>
      </c>
      <c r="C127" s="1355">
        <v>0</v>
      </c>
      <c r="D127" s="1355">
        <v>1</v>
      </c>
      <c r="E127" s="1355">
        <v>1</v>
      </c>
      <c r="F127" s="1355">
        <v>0</v>
      </c>
      <c r="G127" s="1355"/>
      <c r="H127" s="1355">
        <v>0</v>
      </c>
      <c r="I127" s="1355">
        <v>0</v>
      </c>
      <c r="J127" s="1355"/>
      <c r="K127" s="2692">
        <v>0</v>
      </c>
      <c r="L127" s="1355">
        <v>1</v>
      </c>
      <c r="M127" s="2693">
        <v>0</v>
      </c>
      <c r="N127" s="2693">
        <v>2</v>
      </c>
      <c r="O127" s="1355"/>
      <c r="P127" s="1355">
        <v>4</v>
      </c>
      <c r="Q127" s="2396">
        <v>2</v>
      </c>
      <c r="R127" s="2396">
        <v>1</v>
      </c>
    </row>
    <row r="128" spans="1:18">
      <c r="A128" s="2464" t="s">
        <v>6909</v>
      </c>
      <c r="B128" s="1355"/>
      <c r="C128" s="1355"/>
      <c r="D128" s="1355"/>
      <c r="E128" s="1355">
        <v>1</v>
      </c>
      <c r="F128" s="1355">
        <v>2</v>
      </c>
      <c r="G128" s="1355">
        <v>1</v>
      </c>
      <c r="H128" s="1355">
        <v>10</v>
      </c>
      <c r="I128" s="1355">
        <v>0</v>
      </c>
      <c r="J128" s="1355"/>
      <c r="K128" s="2692">
        <v>2</v>
      </c>
      <c r="L128" s="1355">
        <v>1</v>
      </c>
      <c r="M128" s="2693">
        <v>1</v>
      </c>
      <c r="N128" s="2693">
        <v>8</v>
      </c>
      <c r="O128" s="1355">
        <v>8</v>
      </c>
      <c r="P128" s="1355">
        <v>1</v>
      </c>
      <c r="Q128" s="2396">
        <v>2</v>
      </c>
      <c r="R128" s="2364">
        <v>4</v>
      </c>
    </row>
    <row r="129" spans="1:18">
      <c r="A129" s="2464" t="s">
        <v>6910</v>
      </c>
      <c r="B129" s="1355"/>
      <c r="C129" s="1355"/>
      <c r="D129" s="1355"/>
      <c r="E129" s="1355"/>
      <c r="F129" s="1355"/>
      <c r="G129" s="1355"/>
      <c r="H129" s="1355"/>
      <c r="I129" s="1355"/>
      <c r="J129" s="1355"/>
      <c r="K129" s="2692"/>
      <c r="L129" s="1355">
        <v>2</v>
      </c>
      <c r="M129" s="2693">
        <v>0</v>
      </c>
      <c r="N129" s="2693">
        <v>2</v>
      </c>
      <c r="O129" s="1355"/>
      <c r="P129" s="1355"/>
      <c r="Q129" s="2396">
        <v>0</v>
      </c>
      <c r="R129" s="2396"/>
    </row>
    <row r="130" spans="1:18">
      <c r="A130" s="2464" t="s">
        <v>6911</v>
      </c>
      <c r="B130" s="1355">
        <v>13</v>
      </c>
      <c r="C130" s="1355">
        <v>19</v>
      </c>
      <c r="D130" s="1355">
        <v>7</v>
      </c>
      <c r="E130" s="1355">
        <v>2</v>
      </c>
      <c r="F130" s="1355">
        <v>37</v>
      </c>
      <c r="G130" s="1355"/>
      <c r="H130" s="1355">
        <v>49</v>
      </c>
      <c r="I130" s="1355">
        <v>38</v>
      </c>
      <c r="J130" s="1355"/>
      <c r="K130" s="2692">
        <v>68</v>
      </c>
      <c r="L130" s="1355">
        <v>42</v>
      </c>
      <c r="M130" s="2693">
        <v>69</v>
      </c>
      <c r="N130" s="2693">
        <v>79</v>
      </c>
      <c r="O130" s="1355">
        <v>67</v>
      </c>
      <c r="P130" s="1355">
        <v>62</v>
      </c>
      <c r="Q130" s="2396"/>
      <c r="R130" s="2396">
        <v>71</v>
      </c>
    </row>
    <row r="131" spans="1:18">
      <c r="A131" s="2464" t="s">
        <v>6912</v>
      </c>
      <c r="B131" s="1355"/>
      <c r="C131" s="1355"/>
      <c r="D131" s="1355"/>
      <c r="E131" s="1355"/>
      <c r="F131" s="1355"/>
      <c r="G131" s="1355"/>
      <c r="H131" s="1355"/>
      <c r="I131" s="1355"/>
      <c r="J131" s="1355"/>
      <c r="K131" s="2692"/>
      <c r="L131" s="1355"/>
      <c r="M131" s="2693"/>
      <c r="N131" s="2693">
        <v>4</v>
      </c>
      <c r="O131" s="1355"/>
      <c r="P131" s="1355"/>
      <c r="Q131" s="2396">
        <v>3</v>
      </c>
      <c r="R131" s="2396"/>
    </row>
    <row r="132" spans="1:18">
      <c r="A132" s="2738" t="s">
        <v>6913</v>
      </c>
      <c r="B132" s="2426"/>
      <c r="C132" s="2426"/>
      <c r="D132" s="2426"/>
      <c r="E132" s="2426"/>
      <c r="F132" s="2426"/>
      <c r="G132" s="2426"/>
      <c r="H132" s="2426"/>
      <c r="I132" s="2426"/>
      <c r="J132" s="2426"/>
      <c r="K132" s="4244"/>
      <c r="L132" s="2426"/>
      <c r="M132" s="4245"/>
      <c r="N132" s="4245"/>
      <c r="O132" s="2426">
        <v>14</v>
      </c>
      <c r="P132" s="2426">
        <v>14</v>
      </c>
      <c r="Q132" s="2400">
        <v>19</v>
      </c>
      <c r="R132" s="4676">
        <v>14</v>
      </c>
    </row>
    <row r="133" spans="1:18">
      <c r="A133" s="2717" t="s">
        <v>8</v>
      </c>
      <c r="B133" s="2687">
        <f t="shared" ref="B133:I133" si="6">SUM(B125:B130)</f>
        <v>21</v>
      </c>
      <c r="C133" s="2687">
        <f t="shared" si="6"/>
        <v>25</v>
      </c>
      <c r="D133" s="2687">
        <f t="shared" si="6"/>
        <v>15</v>
      </c>
      <c r="E133" s="2687">
        <f t="shared" si="6"/>
        <v>10</v>
      </c>
      <c r="F133" s="2687">
        <f t="shared" si="6"/>
        <v>41</v>
      </c>
      <c r="G133" s="2687">
        <f t="shared" si="6"/>
        <v>2</v>
      </c>
      <c r="H133" s="2687">
        <f t="shared" si="6"/>
        <v>60</v>
      </c>
      <c r="I133" s="2687">
        <f t="shared" si="6"/>
        <v>40</v>
      </c>
      <c r="J133" s="2687"/>
      <c r="K133" s="2687">
        <f>SUM(K125:K130)</f>
        <v>73</v>
      </c>
      <c r="L133" s="2687">
        <v>47</v>
      </c>
      <c r="M133" s="2687">
        <v>73</v>
      </c>
      <c r="N133" s="2687">
        <f>SUM(N125:N131)</f>
        <v>107</v>
      </c>
      <c r="O133" s="2687">
        <f>SUM(O125:O132)</f>
        <v>89</v>
      </c>
      <c r="P133" s="2687">
        <f>SUM(P125:P132)</f>
        <v>82</v>
      </c>
      <c r="Q133" s="2688">
        <f>SUM(Q125:Q132)</f>
        <v>29</v>
      </c>
      <c r="R133" s="2688">
        <v>92</v>
      </c>
    </row>
    <row r="136" spans="1:18" ht="15">
      <c r="A136" s="2465" t="s">
        <v>12</v>
      </c>
      <c r="B136" s="2465">
        <v>2021</v>
      </c>
      <c r="C136" s="2423">
        <v>2022</v>
      </c>
    </row>
    <row r="137" spans="1:18" ht="15">
      <c r="A137" s="2464" t="s">
        <v>8023</v>
      </c>
      <c r="B137" s="4171">
        <v>3</v>
      </c>
      <c r="C137" s="4677">
        <v>5</v>
      </c>
    </row>
    <row r="138" spans="1:18" ht="15">
      <c r="A138" s="2464" t="s">
        <v>8024</v>
      </c>
      <c r="B138" s="4196">
        <v>3</v>
      </c>
      <c r="C138" s="4678">
        <v>0</v>
      </c>
    </row>
    <row r="139" spans="1:18" ht="15">
      <c r="A139" s="2464" t="s">
        <v>8025</v>
      </c>
      <c r="B139" s="4196">
        <v>0</v>
      </c>
      <c r="C139" s="4678">
        <v>1</v>
      </c>
    </row>
    <row r="140" spans="1:18" ht="15">
      <c r="A140" s="2464"/>
      <c r="B140" s="4196"/>
      <c r="C140" s="4678"/>
    </row>
    <row r="141" spans="1:18" ht="15">
      <c r="A141" s="2464" t="s">
        <v>8026</v>
      </c>
      <c r="B141" s="4196">
        <v>2</v>
      </c>
      <c r="C141" s="4678">
        <v>2</v>
      </c>
    </row>
    <row r="142" spans="1:18" ht="15">
      <c r="A142" s="2464" t="s">
        <v>8027</v>
      </c>
      <c r="B142" s="4196">
        <v>0</v>
      </c>
      <c r="C142" s="4678">
        <v>0</v>
      </c>
    </row>
    <row r="143" spans="1:18" ht="15">
      <c r="A143" s="2464" t="s">
        <v>8028</v>
      </c>
      <c r="B143" s="4196">
        <v>0</v>
      </c>
      <c r="C143" s="4678">
        <v>0</v>
      </c>
    </row>
    <row r="144" spans="1:18" ht="15">
      <c r="A144" s="2464"/>
      <c r="B144" s="4196"/>
      <c r="C144" s="4678"/>
    </row>
    <row r="145" spans="1:15" ht="15">
      <c r="A145" s="2464" t="s">
        <v>8029</v>
      </c>
      <c r="B145" s="4196">
        <v>22</v>
      </c>
      <c r="C145" s="4678">
        <v>24</v>
      </c>
    </row>
    <row r="146" spans="1:15" ht="15">
      <c r="A146" s="2464" t="s">
        <v>8030</v>
      </c>
      <c r="B146" s="4196">
        <v>7</v>
      </c>
      <c r="C146" s="4678">
        <v>3</v>
      </c>
    </row>
    <row r="147" spans="1:15" ht="15">
      <c r="A147" s="2464" t="s">
        <v>8031</v>
      </c>
      <c r="B147" s="4196">
        <v>1</v>
      </c>
      <c r="C147" s="4678">
        <v>2</v>
      </c>
    </row>
    <row r="148" spans="1:15" ht="15">
      <c r="A148" s="2464"/>
      <c r="B148" s="4196"/>
      <c r="C148" s="4678"/>
    </row>
    <row r="149" spans="1:15" ht="15">
      <c r="A149" s="2464" t="s">
        <v>8032</v>
      </c>
      <c r="B149" s="4196">
        <v>13</v>
      </c>
      <c r="C149" s="4678">
        <v>14</v>
      </c>
    </row>
    <row r="150" spans="1:15" ht="15">
      <c r="A150" s="2457"/>
      <c r="B150" s="4196"/>
      <c r="C150" s="4678"/>
    </row>
    <row r="151" spans="1:15" ht="15">
      <c r="A151" s="2457" t="s">
        <v>6911</v>
      </c>
      <c r="B151" s="4196">
        <v>52</v>
      </c>
      <c r="C151" s="4678">
        <v>71</v>
      </c>
    </row>
    <row r="152" spans="1:15" ht="15">
      <c r="A152" s="2457"/>
      <c r="B152" s="4196"/>
      <c r="C152" s="4678"/>
    </row>
    <row r="153" spans="1:15">
      <c r="A153" s="2717" t="s">
        <v>8</v>
      </c>
      <c r="B153" s="2717"/>
      <c r="C153" s="4679"/>
    </row>
    <row r="157" spans="1:15" ht="15">
      <c r="A157" s="2465" t="s">
        <v>10</v>
      </c>
      <c r="B157" s="2734"/>
      <c r="C157" s="2423">
        <v>2007</v>
      </c>
      <c r="D157" s="2423">
        <v>2008</v>
      </c>
      <c r="E157" s="2423">
        <v>2009</v>
      </c>
      <c r="F157" s="2423">
        <v>2010</v>
      </c>
      <c r="G157" s="2423">
        <v>2011</v>
      </c>
      <c r="H157" s="2423">
        <v>2012</v>
      </c>
      <c r="I157" s="2423">
        <v>2013</v>
      </c>
      <c r="J157" s="2423">
        <v>2014</v>
      </c>
      <c r="K157" s="2423">
        <v>2015</v>
      </c>
      <c r="L157" s="2423">
        <v>2017</v>
      </c>
      <c r="M157" s="2423">
        <v>2018</v>
      </c>
      <c r="N157" s="2423">
        <v>2019</v>
      </c>
      <c r="O157" s="2424">
        <v>2020</v>
      </c>
    </row>
    <row r="158" spans="1:15">
      <c r="A158" s="2739" t="s">
        <v>930</v>
      </c>
      <c r="B158" s="2314"/>
      <c r="C158" s="2314">
        <v>16</v>
      </c>
      <c r="D158" s="1355"/>
      <c r="E158" s="1355">
        <v>13</v>
      </c>
      <c r="F158" s="1355">
        <v>1</v>
      </c>
      <c r="G158" s="1355">
        <v>1</v>
      </c>
      <c r="H158" s="1355">
        <v>2</v>
      </c>
      <c r="I158" s="1355">
        <v>3</v>
      </c>
      <c r="J158" s="1355">
        <v>3</v>
      </c>
      <c r="K158" s="2692">
        <v>3</v>
      </c>
      <c r="L158" s="1355">
        <v>2</v>
      </c>
      <c r="M158" s="1355">
        <v>2</v>
      </c>
      <c r="N158" s="1355">
        <v>2</v>
      </c>
      <c r="O158" s="2396">
        <v>2</v>
      </c>
    </row>
    <row r="159" spans="1:15">
      <c r="A159" s="2739" t="s">
        <v>931</v>
      </c>
      <c r="B159" s="2314"/>
      <c r="C159" s="2314">
        <v>10</v>
      </c>
      <c r="D159" s="1355"/>
      <c r="E159" s="1355">
        <v>9</v>
      </c>
      <c r="F159" s="1355">
        <v>3</v>
      </c>
      <c r="G159" s="1355">
        <v>2</v>
      </c>
      <c r="H159" s="1355">
        <v>2</v>
      </c>
      <c r="I159" s="1355">
        <v>2</v>
      </c>
      <c r="J159" s="1355">
        <v>2</v>
      </c>
      <c r="K159" s="2692">
        <v>2</v>
      </c>
      <c r="L159" s="1355">
        <v>1</v>
      </c>
      <c r="M159" s="1355">
        <v>1</v>
      </c>
      <c r="N159" s="1355">
        <v>1</v>
      </c>
      <c r="O159" s="2396">
        <v>1</v>
      </c>
    </row>
    <row r="160" spans="1:15">
      <c r="A160" s="2739" t="s">
        <v>932</v>
      </c>
      <c r="B160" s="2314"/>
      <c r="C160" s="2314">
        <v>21</v>
      </c>
      <c r="D160" s="1355"/>
      <c r="E160" s="1355">
        <v>20</v>
      </c>
      <c r="F160" s="1355">
        <v>14</v>
      </c>
      <c r="G160" s="1355">
        <v>16</v>
      </c>
      <c r="H160" s="1355">
        <v>4</v>
      </c>
      <c r="I160" s="1355">
        <v>4</v>
      </c>
      <c r="J160" s="1355">
        <v>4</v>
      </c>
      <c r="K160" s="2692">
        <v>4</v>
      </c>
      <c r="L160" s="1355">
        <v>4</v>
      </c>
      <c r="M160" s="1355">
        <v>4</v>
      </c>
      <c r="N160" s="1355">
        <v>4</v>
      </c>
      <c r="O160" s="2396">
        <v>4</v>
      </c>
    </row>
    <row r="161" spans="1:15">
      <c r="A161" s="2739" t="s">
        <v>6362</v>
      </c>
      <c r="B161" s="2314"/>
      <c r="C161" s="2314">
        <v>4</v>
      </c>
      <c r="D161" s="1355"/>
      <c r="E161" s="1355">
        <v>0</v>
      </c>
      <c r="F161" s="1355">
        <v>3</v>
      </c>
      <c r="G161" s="1355">
        <v>4</v>
      </c>
      <c r="H161" s="1355">
        <v>3</v>
      </c>
      <c r="I161" s="1355">
        <v>1</v>
      </c>
      <c r="J161" s="1355">
        <v>1</v>
      </c>
      <c r="K161" s="2692">
        <v>1</v>
      </c>
      <c r="L161" s="1355">
        <v>0</v>
      </c>
      <c r="M161" s="1355">
        <v>0</v>
      </c>
      <c r="N161" s="1355">
        <v>0</v>
      </c>
      <c r="O161" s="2396">
        <v>0</v>
      </c>
    </row>
    <row r="162" spans="1:15">
      <c r="A162" s="2739" t="s">
        <v>935</v>
      </c>
      <c r="B162" s="2314"/>
      <c r="C162" s="2314">
        <v>36</v>
      </c>
      <c r="D162" s="1355"/>
      <c r="E162" s="1355">
        <v>34</v>
      </c>
      <c r="F162" s="1355">
        <v>8</v>
      </c>
      <c r="G162" s="1355">
        <v>8</v>
      </c>
      <c r="H162" s="1355">
        <v>10</v>
      </c>
      <c r="I162" s="1355">
        <v>8</v>
      </c>
      <c r="J162" s="1355">
        <v>8</v>
      </c>
      <c r="K162" s="2692">
        <v>8</v>
      </c>
      <c r="L162" s="1355">
        <v>5</v>
      </c>
      <c r="M162" s="1355">
        <v>5</v>
      </c>
      <c r="N162" s="1355">
        <v>5</v>
      </c>
      <c r="O162" s="2396">
        <v>5</v>
      </c>
    </row>
    <row r="163" spans="1:15">
      <c r="A163" s="2739" t="s">
        <v>928</v>
      </c>
      <c r="B163" s="2314"/>
      <c r="C163" s="2314">
        <v>21</v>
      </c>
      <c r="D163" s="1355"/>
      <c r="E163" s="1355">
        <v>18</v>
      </c>
      <c r="F163" s="1355">
        <v>5</v>
      </c>
      <c r="G163" s="1355">
        <v>5</v>
      </c>
      <c r="H163" s="1355">
        <v>2</v>
      </c>
      <c r="I163" s="1355">
        <v>1</v>
      </c>
      <c r="J163" s="1355">
        <v>1</v>
      </c>
      <c r="K163" s="2692">
        <v>1</v>
      </c>
      <c r="L163" s="1355">
        <v>1</v>
      </c>
      <c r="M163" s="1355">
        <v>1</v>
      </c>
      <c r="N163" s="1355">
        <v>1</v>
      </c>
      <c r="O163" s="2396">
        <v>1</v>
      </c>
    </row>
    <row r="164" spans="1:15">
      <c r="A164" s="2739" t="s">
        <v>963</v>
      </c>
      <c r="B164" s="2314"/>
      <c r="C164" s="2314">
        <v>175</v>
      </c>
      <c r="D164" s="1355"/>
      <c r="E164" s="1355">
        <v>126</v>
      </c>
      <c r="F164" s="1355">
        <v>55</v>
      </c>
      <c r="G164" s="1355">
        <v>34</v>
      </c>
      <c r="H164" s="1355">
        <v>35</v>
      </c>
      <c r="I164" s="1355">
        <v>36</v>
      </c>
      <c r="J164" s="1355">
        <v>36</v>
      </c>
      <c r="K164" s="2692">
        <v>36</v>
      </c>
      <c r="L164" s="1355">
        <v>22</v>
      </c>
      <c r="M164" s="1355">
        <v>22</v>
      </c>
      <c r="N164" s="1355">
        <v>22</v>
      </c>
      <c r="O164" s="2396">
        <v>22</v>
      </c>
    </row>
    <row r="165" spans="1:15">
      <c r="A165" s="2739" t="s">
        <v>934</v>
      </c>
      <c r="B165" s="2314"/>
      <c r="C165" s="2314">
        <v>24</v>
      </c>
      <c r="D165" s="1355"/>
      <c r="E165" s="1355">
        <v>20</v>
      </c>
      <c r="F165" s="1355">
        <v>2</v>
      </c>
      <c r="G165" s="1355">
        <v>2</v>
      </c>
      <c r="H165" s="1355">
        <v>1</v>
      </c>
      <c r="I165" s="1355">
        <v>2</v>
      </c>
      <c r="J165" s="1355">
        <v>2</v>
      </c>
      <c r="K165" s="2692">
        <v>2</v>
      </c>
      <c r="L165" s="1355">
        <v>12</v>
      </c>
      <c r="M165" s="1355">
        <v>12</v>
      </c>
      <c r="N165" s="1355">
        <v>1</v>
      </c>
      <c r="O165" s="2396">
        <v>1</v>
      </c>
    </row>
    <row r="166" spans="1:15">
      <c r="A166" s="2739" t="s">
        <v>6363</v>
      </c>
      <c r="B166" s="2314"/>
      <c r="C166" s="2314">
        <v>12</v>
      </c>
      <c r="D166" s="1355"/>
      <c r="E166" s="1355">
        <v>11</v>
      </c>
      <c r="F166" s="1355">
        <v>4</v>
      </c>
      <c r="G166" s="1355">
        <v>4</v>
      </c>
      <c r="H166" s="1355">
        <v>4</v>
      </c>
      <c r="I166" s="1355">
        <v>4</v>
      </c>
      <c r="J166" s="1355">
        <v>4</v>
      </c>
      <c r="K166" s="2692">
        <v>4</v>
      </c>
      <c r="L166" s="1355">
        <v>4</v>
      </c>
      <c r="M166" s="1355">
        <v>4</v>
      </c>
      <c r="N166" s="1355">
        <v>4</v>
      </c>
      <c r="O166" s="2396">
        <v>4</v>
      </c>
    </row>
    <row r="167" spans="1:15">
      <c r="A167" s="2739" t="s">
        <v>6914</v>
      </c>
      <c r="B167" s="2314"/>
      <c r="C167" s="2314">
        <v>33</v>
      </c>
      <c r="D167" s="1355"/>
      <c r="E167" s="1355">
        <v>21</v>
      </c>
      <c r="F167" s="1355">
        <v>11</v>
      </c>
      <c r="G167" s="1355">
        <v>71</v>
      </c>
      <c r="H167" s="1355">
        <v>63</v>
      </c>
      <c r="I167" s="1355">
        <v>16</v>
      </c>
      <c r="J167" s="1355">
        <v>16</v>
      </c>
      <c r="K167" s="2692">
        <v>16</v>
      </c>
      <c r="L167" s="1355">
        <v>29</v>
      </c>
      <c r="M167" s="1355">
        <v>29</v>
      </c>
      <c r="N167" s="1355">
        <v>29</v>
      </c>
      <c r="O167" s="2396">
        <v>29</v>
      </c>
    </row>
    <row r="168" spans="1:15">
      <c r="A168" s="2467" t="s">
        <v>8</v>
      </c>
      <c r="B168" s="2372"/>
      <c r="C168" s="2372">
        <v>352</v>
      </c>
      <c r="D168" s="2735"/>
      <c r="E168" s="2372">
        <f>SUM(E158:E167)</f>
        <v>272</v>
      </c>
      <c r="F168" s="2372">
        <v>106</v>
      </c>
      <c r="G168" s="2372">
        <f>SUM(G158:G167)</f>
        <v>147</v>
      </c>
      <c r="H168" s="2372">
        <f>H158+H159+H160+H161+H162+H163+H164+H165+H166+H167</f>
        <v>126</v>
      </c>
      <c r="I168" s="2372">
        <v>77</v>
      </c>
      <c r="J168" s="2372">
        <v>77</v>
      </c>
      <c r="K168" s="2372">
        <v>77</v>
      </c>
      <c r="L168" s="2372">
        <v>79</v>
      </c>
      <c r="M168" s="2372">
        <v>79</v>
      </c>
      <c r="N168" s="2372">
        <v>68</v>
      </c>
      <c r="O168" s="2373">
        <v>68</v>
      </c>
    </row>
    <row r="171" spans="1:15" ht="15">
      <c r="A171" s="2617" t="s">
        <v>6915</v>
      </c>
      <c r="B171" s="2390" t="s">
        <v>6916</v>
      </c>
      <c r="C171" s="2390" t="s">
        <v>6917</v>
      </c>
      <c r="D171" s="2390" t="s">
        <v>6918</v>
      </c>
      <c r="E171" s="2390" t="s">
        <v>6919</v>
      </c>
      <c r="F171" s="2391" t="s">
        <v>6920</v>
      </c>
    </row>
    <row r="172" spans="1:15">
      <c r="A172" s="2363" t="s">
        <v>6921</v>
      </c>
      <c r="B172" s="2694">
        <v>37879</v>
      </c>
      <c r="C172" s="2694">
        <v>38770</v>
      </c>
      <c r="D172" s="2694">
        <v>38894</v>
      </c>
      <c r="E172" s="2694">
        <v>39195</v>
      </c>
      <c r="F172" s="2736">
        <v>39275</v>
      </c>
    </row>
    <row r="173" spans="1:15">
      <c r="A173" s="2363" t="s">
        <v>6922</v>
      </c>
      <c r="B173" s="2694">
        <v>38649</v>
      </c>
      <c r="C173" s="2694">
        <v>39436</v>
      </c>
      <c r="D173" s="2694">
        <v>39503</v>
      </c>
      <c r="E173" s="2694">
        <v>39629</v>
      </c>
      <c r="F173" s="2736">
        <v>39702</v>
      </c>
    </row>
    <row r="174" spans="1:15">
      <c r="A174" s="2363" t="s">
        <v>6923</v>
      </c>
      <c r="B174" s="2694">
        <v>38649</v>
      </c>
      <c r="C174" s="2694">
        <v>39196</v>
      </c>
      <c r="D174" s="2694">
        <v>39503</v>
      </c>
      <c r="E174" s="2694">
        <v>39629</v>
      </c>
      <c r="F174" s="2736">
        <v>39702</v>
      </c>
    </row>
    <row r="175" spans="1:15">
      <c r="A175" s="2363" t="s">
        <v>6924</v>
      </c>
      <c r="B175" s="2694">
        <v>38698</v>
      </c>
      <c r="C175" s="2694">
        <v>39248</v>
      </c>
      <c r="D175" s="2694">
        <v>39503</v>
      </c>
      <c r="E175" s="2694">
        <v>39629</v>
      </c>
      <c r="F175" s="2736">
        <v>39702</v>
      </c>
    </row>
    <row r="176" spans="1:15">
      <c r="A176" s="2363" t="s">
        <v>6925</v>
      </c>
      <c r="B176" s="2694">
        <v>38719</v>
      </c>
      <c r="C176" s="2694">
        <v>39478</v>
      </c>
      <c r="D176" s="2694">
        <v>39503</v>
      </c>
      <c r="E176" s="2694">
        <v>39629</v>
      </c>
      <c r="F176" s="2736">
        <v>39681</v>
      </c>
    </row>
    <row r="177" spans="1:6">
      <c r="A177" s="2363" t="s">
        <v>6926</v>
      </c>
      <c r="B177" s="2694">
        <v>38992</v>
      </c>
      <c r="C177" s="2694">
        <v>39436</v>
      </c>
      <c r="D177" s="2694">
        <v>39629</v>
      </c>
      <c r="E177" s="2694">
        <v>39748</v>
      </c>
      <c r="F177" s="2736">
        <v>39821</v>
      </c>
    </row>
    <row r="178" spans="1:6">
      <c r="A178" s="2363" t="s">
        <v>6927</v>
      </c>
      <c r="B178" s="2694">
        <v>39350</v>
      </c>
      <c r="C178" s="2694">
        <v>39436</v>
      </c>
      <c r="D178" s="2694">
        <v>39503</v>
      </c>
      <c r="E178" s="2694">
        <v>39629</v>
      </c>
      <c r="F178" s="2736">
        <v>39681</v>
      </c>
    </row>
    <row r="179" spans="1:6">
      <c r="A179" s="2363" t="s">
        <v>6928</v>
      </c>
      <c r="B179" s="2694">
        <v>39350</v>
      </c>
      <c r="C179" s="2694" t="s">
        <v>6929</v>
      </c>
      <c r="D179" s="2694">
        <v>40994</v>
      </c>
      <c r="E179" s="2694">
        <v>41120</v>
      </c>
      <c r="F179" s="2736">
        <v>41235</v>
      </c>
    </row>
    <row r="180" spans="1:6">
      <c r="A180" s="2464" t="s">
        <v>6930</v>
      </c>
      <c r="B180" s="1355" t="s">
        <v>6931</v>
      </c>
      <c r="C180" s="2694">
        <v>41604</v>
      </c>
      <c r="D180" s="2694">
        <v>40843</v>
      </c>
      <c r="E180" s="2694">
        <v>42191</v>
      </c>
      <c r="F180" s="2736"/>
    </row>
    <row r="181" spans="1:6">
      <c r="A181" s="2464" t="s">
        <v>6932</v>
      </c>
      <c r="B181" s="1355" t="s">
        <v>6931</v>
      </c>
      <c r="C181" s="2694"/>
      <c r="D181" s="2694">
        <v>43165</v>
      </c>
      <c r="E181" s="2694">
        <v>43395</v>
      </c>
      <c r="F181" s="2736">
        <v>43451</v>
      </c>
    </row>
    <row r="182" spans="1:6">
      <c r="A182" s="2464" t="s">
        <v>6933</v>
      </c>
      <c r="B182" s="1355" t="s">
        <v>6934</v>
      </c>
      <c r="C182" s="2694"/>
      <c r="D182" s="2694">
        <v>40812</v>
      </c>
      <c r="E182" s="2694">
        <v>40994</v>
      </c>
      <c r="F182" s="2736">
        <v>41067</v>
      </c>
    </row>
    <row r="183" spans="1:6">
      <c r="A183" s="2464" t="s">
        <v>6935</v>
      </c>
      <c r="B183" s="1355" t="s">
        <v>6931</v>
      </c>
      <c r="C183" s="2694"/>
      <c r="D183" s="2694">
        <v>40840</v>
      </c>
      <c r="E183" s="2694">
        <v>40994</v>
      </c>
      <c r="F183" s="2736">
        <v>41060</v>
      </c>
    </row>
    <row r="184" spans="1:6">
      <c r="A184" s="2464" t="s">
        <v>6936</v>
      </c>
      <c r="B184" s="1355" t="s">
        <v>6937</v>
      </c>
      <c r="C184" s="2694"/>
      <c r="D184" s="2694">
        <v>40994</v>
      </c>
      <c r="E184" s="2694">
        <v>41144</v>
      </c>
      <c r="F184" s="2736">
        <v>41200</v>
      </c>
    </row>
    <row r="185" spans="1:6">
      <c r="A185" s="2464" t="s">
        <v>6938</v>
      </c>
      <c r="B185" s="1355" t="s">
        <v>6937</v>
      </c>
      <c r="C185" s="2694"/>
      <c r="D185" s="2694">
        <v>40994</v>
      </c>
      <c r="E185" s="2694">
        <v>41144</v>
      </c>
      <c r="F185" s="2736">
        <v>41200</v>
      </c>
    </row>
    <row r="186" spans="1:6">
      <c r="A186" s="2464" t="s">
        <v>6939</v>
      </c>
      <c r="B186" s="1355" t="s">
        <v>6931</v>
      </c>
      <c r="C186" s="2694">
        <v>42682</v>
      </c>
      <c r="D186" s="2694">
        <v>42849</v>
      </c>
      <c r="E186" s="2694">
        <v>43031</v>
      </c>
      <c r="F186" s="2737">
        <v>43066</v>
      </c>
    </row>
    <row r="187" spans="1:6">
      <c r="A187" s="2464" t="s">
        <v>6940</v>
      </c>
      <c r="B187" s="1355" t="s">
        <v>6931</v>
      </c>
      <c r="C187" s="1355"/>
      <c r="D187" s="1355"/>
      <c r="E187" s="1355"/>
      <c r="F187" s="2396"/>
    </row>
    <row r="188" spans="1:6">
      <c r="A188" s="2464" t="s">
        <v>6941</v>
      </c>
      <c r="B188" s="1355" t="s">
        <v>6942</v>
      </c>
      <c r="C188" s="1355"/>
      <c r="D188" s="1355"/>
      <c r="E188" s="1355"/>
      <c r="F188" s="2396"/>
    </row>
    <row r="189" spans="1:6">
      <c r="A189" s="2738" t="s">
        <v>6943</v>
      </c>
      <c r="B189" s="2426" t="s">
        <v>6931</v>
      </c>
      <c r="C189" s="2426" t="s">
        <v>6944</v>
      </c>
      <c r="D189" s="2426"/>
      <c r="E189" s="2426"/>
      <c r="F189" s="2400"/>
    </row>
    <row r="236" spans="1:5" s="2317" customFormat="1" ht="12" customHeight="1">
      <c r="A236" s="2695"/>
      <c r="B236" s="2695"/>
      <c r="C236" s="2695"/>
      <c r="D236" s="2696"/>
      <c r="E236" s="2697"/>
    </row>
    <row r="242" spans="1:5" s="2317" customFormat="1" ht="12" customHeight="1">
      <c r="A242" s="2695"/>
      <c r="B242" s="2695"/>
      <c r="C242" s="2695"/>
      <c r="D242" s="2696"/>
      <c r="E242" s="2698"/>
    </row>
    <row r="243" spans="1:5" s="2317" customFormat="1" ht="12" customHeight="1">
      <c r="A243" s="2695"/>
      <c r="B243" s="2695"/>
      <c r="C243" s="2695"/>
      <c r="D243" s="2696"/>
      <c r="E243" s="2698"/>
    </row>
    <row r="244" spans="1:5" s="2317" customFormat="1" ht="12" customHeight="1">
      <c r="A244" s="2695"/>
      <c r="B244" s="2695"/>
      <c r="C244" s="2695"/>
      <c r="D244" s="2696"/>
      <c r="E244" s="2698"/>
    </row>
  </sheetData>
  <mergeCells count="1">
    <mergeCell ref="A1:F1"/>
  </mergeCells>
  <hyperlinks>
    <hyperlink ref="A1" location="Inhoudstafel!A1" display="RO, mobiliteit en economie" xr:uid="{00000000-0004-0000-1800-000000000000}"/>
    <hyperlink ref="A1:F1" location="BURGER!A1" display="Wonen" xr:uid="{00000000-0004-0000-1800-000001000000}"/>
  </hyperlinks>
  <pageMargins left="0.7" right="0.7" top="0.75" bottom="0.75" header="0.3" footer="0.3"/>
  <pageSetup paperSize="9" orientation="landscape"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2C637C"/>
  </sheetPr>
  <dimension ref="A1:O110"/>
  <sheetViews>
    <sheetView topLeftCell="A16" workbookViewId="0">
      <selection activeCell="B53" sqref="B53:G56"/>
    </sheetView>
  </sheetViews>
  <sheetFormatPr defaultRowHeight="10.5"/>
  <cols>
    <col min="1" max="1" width="38" style="1364" bestFit="1" customWidth="1"/>
    <col min="2" max="2" width="14.28515625" style="1425" customWidth="1"/>
    <col min="3" max="3" width="13.85546875" style="1425" bestFit="1" customWidth="1"/>
    <col min="4" max="6" width="7" style="1425" bestFit="1" customWidth="1"/>
    <col min="7" max="9" width="6.7109375" style="1425" bestFit="1" customWidth="1"/>
    <col min="10" max="10" width="7" style="1425" bestFit="1" customWidth="1"/>
    <col min="11" max="11" width="7" style="1364" bestFit="1" customWidth="1"/>
    <col min="12" max="256" width="9.140625" style="1364"/>
    <col min="257" max="257" width="38" style="1364" bestFit="1" customWidth="1"/>
    <col min="258" max="258" width="14.28515625" style="1364" customWidth="1"/>
    <col min="259" max="259" width="13.85546875" style="1364" bestFit="1" customWidth="1"/>
    <col min="260" max="262" width="7" style="1364" bestFit="1" customWidth="1"/>
    <col min="263" max="265" width="6.7109375" style="1364" bestFit="1" customWidth="1"/>
    <col min="266" max="267" width="7" style="1364" bestFit="1" customWidth="1"/>
    <col min="268" max="512" width="9.140625" style="1364"/>
    <col min="513" max="513" width="38" style="1364" bestFit="1" customWidth="1"/>
    <col min="514" max="514" width="14.28515625" style="1364" customWidth="1"/>
    <col min="515" max="515" width="13.85546875" style="1364" bestFit="1" customWidth="1"/>
    <col min="516" max="518" width="7" style="1364" bestFit="1" customWidth="1"/>
    <col min="519" max="521" width="6.7109375" style="1364" bestFit="1" customWidth="1"/>
    <col min="522" max="523" width="7" style="1364" bestFit="1" customWidth="1"/>
    <col min="524" max="768" width="9.140625" style="1364"/>
    <col min="769" max="769" width="38" style="1364" bestFit="1" customWidth="1"/>
    <col min="770" max="770" width="14.28515625" style="1364" customWidth="1"/>
    <col min="771" max="771" width="13.85546875" style="1364" bestFit="1" customWidth="1"/>
    <col min="772" max="774" width="7" style="1364" bestFit="1" customWidth="1"/>
    <col min="775" max="777" width="6.7109375" style="1364" bestFit="1" customWidth="1"/>
    <col min="778" max="779" width="7" style="1364" bestFit="1" customWidth="1"/>
    <col min="780" max="1024" width="9.140625" style="1364"/>
    <col min="1025" max="1025" width="38" style="1364" bestFit="1" customWidth="1"/>
    <col min="1026" max="1026" width="14.28515625" style="1364" customWidth="1"/>
    <col min="1027" max="1027" width="13.85546875" style="1364" bestFit="1" customWidth="1"/>
    <col min="1028" max="1030" width="7" style="1364" bestFit="1" customWidth="1"/>
    <col min="1031" max="1033" width="6.7109375" style="1364" bestFit="1" customWidth="1"/>
    <col min="1034" max="1035" width="7" style="1364" bestFit="1" customWidth="1"/>
    <col min="1036" max="1280" width="9.140625" style="1364"/>
    <col min="1281" max="1281" width="38" style="1364" bestFit="1" customWidth="1"/>
    <col min="1282" max="1282" width="14.28515625" style="1364" customWidth="1"/>
    <col min="1283" max="1283" width="13.85546875" style="1364" bestFit="1" customWidth="1"/>
    <col min="1284" max="1286" width="7" style="1364" bestFit="1" customWidth="1"/>
    <col min="1287" max="1289" width="6.7109375" style="1364" bestFit="1" customWidth="1"/>
    <col min="1290" max="1291" width="7" style="1364" bestFit="1" customWidth="1"/>
    <col min="1292" max="1536" width="9.140625" style="1364"/>
    <col min="1537" max="1537" width="38" style="1364" bestFit="1" customWidth="1"/>
    <col min="1538" max="1538" width="14.28515625" style="1364" customWidth="1"/>
    <col min="1539" max="1539" width="13.85546875" style="1364" bestFit="1" customWidth="1"/>
    <col min="1540" max="1542" width="7" style="1364" bestFit="1" customWidth="1"/>
    <col min="1543" max="1545" width="6.7109375" style="1364" bestFit="1" customWidth="1"/>
    <col min="1546" max="1547" width="7" style="1364" bestFit="1" customWidth="1"/>
    <col min="1548" max="1792" width="9.140625" style="1364"/>
    <col min="1793" max="1793" width="38" style="1364" bestFit="1" customWidth="1"/>
    <col min="1794" max="1794" width="14.28515625" style="1364" customWidth="1"/>
    <col min="1795" max="1795" width="13.85546875" style="1364" bestFit="1" customWidth="1"/>
    <col min="1796" max="1798" width="7" style="1364" bestFit="1" customWidth="1"/>
    <col min="1799" max="1801" width="6.7109375" style="1364" bestFit="1" customWidth="1"/>
    <col min="1802" max="1803" width="7" style="1364" bestFit="1" customWidth="1"/>
    <col min="1804" max="2048" width="9.140625" style="1364"/>
    <col min="2049" max="2049" width="38" style="1364" bestFit="1" customWidth="1"/>
    <col min="2050" max="2050" width="14.28515625" style="1364" customWidth="1"/>
    <col min="2051" max="2051" width="13.85546875" style="1364" bestFit="1" customWidth="1"/>
    <col min="2052" max="2054" width="7" style="1364" bestFit="1" customWidth="1"/>
    <col min="2055" max="2057" width="6.7109375" style="1364" bestFit="1" customWidth="1"/>
    <col min="2058" max="2059" width="7" style="1364" bestFit="1" customWidth="1"/>
    <col min="2060" max="2304" width="9.140625" style="1364"/>
    <col min="2305" max="2305" width="38" style="1364" bestFit="1" customWidth="1"/>
    <col min="2306" max="2306" width="14.28515625" style="1364" customWidth="1"/>
    <col min="2307" max="2307" width="13.85546875" style="1364" bestFit="1" customWidth="1"/>
    <col min="2308" max="2310" width="7" style="1364" bestFit="1" customWidth="1"/>
    <col min="2311" max="2313" width="6.7109375" style="1364" bestFit="1" customWidth="1"/>
    <col min="2314" max="2315" width="7" style="1364" bestFit="1" customWidth="1"/>
    <col min="2316" max="2560" width="9.140625" style="1364"/>
    <col min="2561" max="2561" width="38" style="1364" bestFit="1" customWidth="1"/>
    <col min="2562" max="2562" width="14.28515625" style="1364" customWidth="1"/>
    <col min="2563" max="2563" width="13.85546875" style="1364" bestFit="1" customWidth="1"/>
    <col min="2564" max="2566" width="7" style="1364" bestFit="1" customWidth="1"/>
    <col min="2567" max="2569" width="6.7109375" style="1364" bestFit="1" customWidth="1"/>
    <col min="2570" max="2571" width="7" style="1364" bestFit="1" customWidth="1"/>
    <col min="2572" max="2816" width="9.140625" style="1364"/>
    <col min="2817" max="2817" width="38" style="1364" bestFit="1" customWidth="1"/>
    <col min="2818" max="2818" width="14.28515625" style="1364" customWidth="1"/>
    <col min="2819" max="2819" width="13.85546875" style="1364" bestFit="1" customWidth="1"/>
    <col min="2820" max="2822" width="7" style="1364" bestFit="1" customWidth="1"/>
    <col min="2823" max="2825" width="6.7109375" style="1364" bestFit="1" customWidth="1"/>
    <col min="2826" max="2827" width="7" style="1364" bestFit="1" customWidth="1"/>
    <col min="2828" max="3072" width="9.140625" style="1364"/>
    <col min="3073" max="3073" width="38" style="1364" bestFit="1" customWidth="1"/>
    <col min="3074" max="3074" width="14.28515625" style="1364" customWidth="1"/>
    <col min="3075" max="3075" width="13.85546875" style="1364" bestFit="1" customWidth="1"/>
    <col min="3076" max="3078" width="7" style="1364" bestFit="1" customWidth="1"/>
    <col min="3079" max="3081" width="6.7109375" style="1364" bestFit="1" customWidth="1"/>
    <col min="3082" max="3083" width="7" style="1364" bestFit="1" customWidth="1"/>
    <col min="3084" max="3328" width="9.140625" style="1364"/>
    <col min="3329" max="3329" width="38" style="1364" bestFit="1" customWidth="1"/>
    <col min="3330" max="3330" width="14.28515625" style="1364" customWidth="1"/>
    <col min="3331" max="3331" width="13.85546875" style="1364" bestFit="1" customWidth="1"/>
    <col min="3332" max="3334" width="7" style="1364" bestFit="1" customWidth="1"/>
    <col min="3335" max="3337" width="6.7109375" style="1364" bestFit="1" customWidth="1"/>
    <col min="3338" max="3339" width="7" style="1364" bestFit="1" customWidth="1"/>
    <col min="3340" max="3584" width="9.140625" style="1364"/>
    <col min="3585" max="3585" width="38" style="1364" bestFit="1" customWidth="1"/>
    <col min="3586" max="3586" width="14.28515625" style="1364" customWidth="1"/>
    <col min="3587" max="3587" width="13.85546875" style="1364" bestFit="1" customWidth="1"/>
    <col min="3588" max="3590" width="7" style="1364" bestFit="1" customWidth="1"/>
    <col min="3591" max="3593" width="6.7109375" style="1364" bestFit="1" customWidth="1"/>
    <col min="3594" max="3595" width="7" style="1364" bestFit="1" customWidth="1"/>
    <col min="3596" max="3840" width="9.140625" style="1364"/>
    <col min="3841" max="3841" width="38" style="1364" bestFit="1" customWidth="1"/>
    <col min="3842" max="3842" width="14.28515625" style="1364" customWidth="1"/>
    <col min="3843" max="3843" width="13.85546875" style="1364" bestFit="1" customWidth="1"/>
    <col min="3844" max="3846" width="7" style="1364" bestFit="1" customWidth="1"/>
    <col min="3847" max="3849" width="6.7109375" style="1364" bestFit="1" customWidth="1"/>
    <col min="3850" max="3851" width="7" style="1364" bestFit="1" customWidth="1"/>
    <col min="3852" max="4096" width="9.140625" style="1364"/>
    <col min="4097" max="4097" width="38" style="1364" bestFit="1" customWidth="1"/>
    <col min="4098" max="4098" width="14.28515625" style="1364" customWidth="1"/>
    <col min="4099" max="4099" width="13.85546875" style="1364" bestFit="1" customWidth="1"/>
    <col min="4100" max="4102" width="7" style="1364" bestFit="1" customWidth="1"/>
    <col min="4103" max="4105" width="6.7109375" style="1364" bestFit="1" customWidth="1"/>
    <col min="4106" max="4107" width="7" style="1364" bestFit="1" customWidth="1"/>
    <col min="4108" max="4352" width="9.140625" style="1364"/>
    <col min="4353" max="4353" width="38" style="1364" bestFit="1" customWidth="1"/>
    <col min="4354" max="4354" width="14.28515625" style="1364" customWidth="1"/>
    <col min="4355" max="4355" width="13.85546875" style="1364" bestFit="1" customWidth="1"/>
    <col min="4356" max="4358" width="7" style="1364" bestFit="1" customWidth="1"/>
    <col min="4359" max="4361" width="6.7109375" style="1364" bestFit="1" customWidth="1"/>
    <col min="4362" max="4363" width="7" style="1364" bestFit="1" customWidth="1"/>
    <col min="4364" max="4608" width="9.140625" style="1364"/>
    <col min="4609" max="4609" width="38" style="1364" bestFit="1" customWidth="1"/>
    <col min="4610" max="4610" width="14.28515625" style="1364" customWidth="1"/>
    <col min="4611" max="4611" width="13.85546875" style="1364" bestFit="1" customWidth="1"/>
    <col min="4612" max="4614" width="7" style="1364" bestFit="1" customWidth="1"/>
    <col min="4615" max="4617" width="6.7109375" style="1364" bestFit="1" customWidth="1"/>
    <col min="4618" max="4619" width="7" style="1364" bestFit="1" customWidth="1"/>
    <col min="4620" max="4864" width="9.140625" style="1364"/>
    <col min="4865" max="4865" width="38" style="1364" bestFit="1" customWidth="1"/>
    <col min="4866" max="4866" width="14.28515625" style="1364" customWidth="1"/>
    <col min="4867" max="4867" width="13.85546875" style="1364" bestFit="1" customWidth="1"/>
    <col min="4868" max="4870" width="7" style="1364" bestFit="1" customWidth="1"/>
    <col min="4871" max="4873" width="6.7109375" style="1364" bestFit="1" customWidth="1"/>
    <col min="4874" max="4875" width="7" style="1364" bestFit="1" customWidth="1"/>
    <col min="4876" max="5120" width="9.140625" style="1364"/>
    <col min="5121" max="5121" width="38" style="1364" bestFit="1" customWidth="1"/>
    <col min="5122" max="5122" width="14.28515625" style="1364" customWidth="1"/>
    <col min="5123" max="5123" width="13.85546875" style="1364" bestFit="1" customWidth="1"/>
    <col min="5124" max="5126" width="7" style="1364" bestFit="1" customWidth="1"/>
    <col min="5127" max="5129" width="6.7109375" style="1364" bestFit="1" customWidth="1"/>
    <col min="5130" max="5131" width="7" style="1364" bestFit="1" customWidth="1"/>
    <col min="5132" max="5376" width="9.140625" style="1364"/>
    <col min="5377" max="5377" width="38" style="1364" bestFit="1" customWidth="1"/>
    <col min="5378" max="5378" width="14.28515625" style="1364" customWidth="1"/>
    <col min="5379" max="5379" width="13.85546875" style="1364" bestFit="1" customWidth="1"/>
    <col min="5380" max="5382" width="7" style="1364" bestFit="1" customWidth="1"/>
    <col min="5383" max="5385" width="6.7109375" style="1364" bestFit="1" customWidth="1"/>
    <col min="5386" max="5387" width="7" style="1364" bestFit="1" customWidth="1"/>
    <col min="5388" max="5632" width="9.140625" style="1364"/>
    <col min="5633" max="5633" width="38" style="1364" bestFit="1" customWidth="1"/>
    <col min="5634" max="5634" width="14.28515625" style="1364" customWidth="1"/>
    <col min="5635" max="5635" width="13.85546875" style="1364" bestFit="1" customWidth="1"/>
    <col min="5636" max="5638" width="7" style="1364" bestFit="1" customWidth="1"/>
    <col min="5639" max="5641" width="6.7109375" style="1364" bestFit="1" customWidth="1"/>
    <col min="5642" max="5643" width="7" style="1364" bestFit="1" customWidth="1"/>
    <col min="5644" max="5888" width="9.140625" style="1364"/>
    <col min="5889" max="5889" width="38" style="1364" bestFit="1" customWidth="1"/>
    <col min="5890" max="5890" width="14.28515625" style="1364" customWidth="1"/>
    <col min="5891" max="5891" width="13.85546875" style="1364" bestFit="1" customWidth="1"/>
    <col min="5892" max="5894" width="7" style="1364" bestFit="1" customWidth="1"/>
    <col min="5895" max="5897" width="6.7109375" style="1364" bestFit="1" customWidth="1"/>
    <col min="5898" max="5899" width="7" style="1364" bestFit="1" customWidth="1"/>
    <col min="5900" max="6144" width="9.140625" style="1364"/>
    <col min="6145" max="6145" width="38" style="1364" bestFit="1" customWidth="1"/>
    <col min="6146" max="6146" width="14.28515625" style="1364" customWidth="1"/>
    <col min="6147" max="6147" width="13.85546875" style="1364" bestFit="1" customWidth="1"/>
    <col min="6148" max="6150" width="7" style="1364" bestFit="1" customWidth="1"/>
    <col min="6151" max="6153" width="6.7109375" style="1364" bestFit="1" customWidth="1"/>
    <col min="6154" max="6155" width="7" style="1364" bestFit="1" customWidth="1"/>
    <col min="6156" max="6400" width="9.140625" style="1364"/>
    <col min="6401" max="6401" width="38" style="1364" bestFit="1" customWidth="1"/>
    <col min="6402" max="6402" width="14.28515625" style="1364" customWidth="1"/>
    <col min="6403" max="6403" width="13.85546875" style="1364" bestFit="1" customWidth="1"/>
    <col min="6404" max="6406" width="7" style="1364" bestFit="1" customWidth="1"/>
    <col min="6407" max="6409" width="6.7109375" style="1364" bestFit="1" customWidth="1"/>
    <col min="6410" max="6411" width="7" style="1364" bestFit="1" customWidth="1"/>
    <col min="6412" max="6656" width="9.140625" style="1364"/>
    <col min="6657" max="6657" width="38" style="1364" bestFit="1" customWidth="1"/>
    <col min="6658" max="6658" width="14.28515625" style="1364" customWidth="1"/>
    <col min="6659" max="6659" width="13.85546875" style="1364" bestFit="1" customWidth="1"/>
    <col min="6660" max="6662" width="7" style="1364" bestFit="1" customWidth="1"/>
    <col min="6663" max="6665" width="6.7109375" style="1364" bestFit="1" customWidth="1"/>
    <col min="6666" max="6667" width="7" style="1364" bestFit="1" customWidth="1"/>
    <col min="6668" max="6912" width="9.140625" style="1364"/>
    <col min="6913" max="6913" width="38" style="1364" bestFit="1" customWidth="1"/>
    <col min="6914" max="6914" width="14.28515625" style="1364" customWidth="1"/>
    <col min="6915" max="6915" width="13.85546875" style="1364" bestFit="1" customWidth="1"/>
    <col min="6916" max="6918" width="7" style="1364" bestFit="1" customWidth="1"/>
    <col min="6919" max="6921" width="6.7109375" style="1364" bestFit="1" customWidth="1"/>
    <col min="6922" max="6923" width="7" style="1364" bestFit="1" customWidth="1"/>
    <col min="6924" max="7168" width="9.140625" style="1364"/>
    <col min="7169" max="7169" width="38" style="1364" bestFit="1" customWidth="1"/>
    <col min="7170" max="7170" width="14.28515625" style="1364" customWidth="1"/>
    <col min="7171" max="7171" width="13.85546875" style="1364" bestFit="1" customWidth="1"/>
    <col min="7172" max="7174" width="7" style="1364" bestFit="1" customWidth="1"/>
    <col min="7175" max="7177" width="6.7109375" style="1364" bestFit="1" customWidth="1"/>
    <col min="7178" max="7179" width="7" style="1364" bestFit="1" customWidth="1"/>
    <col min="7180" max="7424" width="9.140625" style="1364"/>
    <col min="7425" max="7425" width="38" style="1364" bestFit="1" customWidth="1"/>
    <col min="7426" max="7426" width="14.28515625" style="1364" customWidth="1"/>
    <col min="7427" max="7427" width="13.85546875" style="1364" bestFit="1" customWidth="1"/>
    <col min="7428" max="7430" width="7" style="1364" bestFit="1" customWidth="1"/>
    <col min="7431" max="7433" width="6.7109375" style="1364" bestFit="1" customWidth="1"/>
    <col min="7434" max="7435" width="7" style="1364" bestFit="1" customWidth="1"/>
    <col min="7436" max="7680" width="9.140625" style="1364"/>
    <col min="7681" max="7681" width="38" style="1364" bestFit="1" customWidth="1"/>
    <col min="7682" max="7682" width="14.28515625" style="1364" customWidth="1"/>
    <col min="7683" max="7683" width="13.85546875" style="1364" bestFit="1" customWidth="1"/>
    <col min="7684" max="7686" width="7" style="1364" bestFit="1" customWidth="1"/>
    <col min="7687" max="7689" width="6.7109375" style="1364" bestFit="1" customWidth="1"/>
    <col min="7690" max="7691" width="7" style="1364" bestFit="1" customWidth="1"/>
    <col min="7692" max="7936" width="9.140625" style="1364"/>
    <col min="7937" max="7937" width="38" style="1364" bestFit="1" customWidth="1"/>
    <col min="7938" max="7938" width="14.28515625" style="1364" customWidth="1"/>
    <col min="7939" max="7939" width="13.85546875" style="1364" bestFit="1" customWidth="1"/>
    <col min="7940" max="7942" width="7" style="1364" bestFit="1" customWidth="1"/>
    <col min="7943" max="7945" width="6.7109375" style="1364" bestFit="1" customWidth="1"/>
    <col min="7946" max="7947" width="7" style="1364" bestFit="1" customWidth="1"/>
    <col min="7948" max="8192" width="9.140625" style="1364"/>
    <col min="8193" max="8193" width="38" style="1364" bestFit="1" customWidth="1"/>
    <col min="8194" max="8194" width="14.28515625" style="1364" customWidth="1"/>
    <col min="8195" max="8195" width="13.85546875" style="1364" bestFit="1" customWidth="1"/>
    <col min="8196" max="8198" width="7" style="1364" bestFit="1" customWidth="1"/>
    <col min="8199" max="8201" width="6.7109375" style="1364" bestFit="1" customWidth="1"/>
    <col min="8202" max="8203" width="7" style="1364" bestFit="1" customWidth="1"/>
    <col min="8204" max="8448" width="9.140625" style="1364"/>
    <col min="8449" max="8449" width="38" style="1364" bestFit="1" customWidth="1"/>
    <col min="8450" max="8450" width="14.28515625" style="1364" customWidth="1"/>
    <col min="8451" max="8451" width="13.85546875" style="1364" bestFit="1" customWidth="1"/>
    <col min="8452" max="8454" width="7" style="1364" bestFit="1" customWidth="1"/>
    <col min="8455" max="8457" width="6.7109375" style="1364" bestFit="1" customWidth="1"/>
    <col min="8458" max="8459" width="7" style="1364" bestFit="1" customWidth="1"/>
    <col min="8460" max="8704" width="9.140625" style="1364"/>
    <col min="8705" max="8705" width="38" style="1364" bestFit="1" customWidth="1"/>
    <col min="8706" max="8706" width="14.28515625" style="1364" customWidth="1"/>
    <col min="8707" max="8707" width="13.85546875" style="1364" bestFit="1" customWidth="1"/>
    <col min="8708" max="8710" width="7" style="1364" bestFit="1" customWidth="1"/>
    <col min="8711" max="8713" width="6.7109375" style="1364" bestFit="1" customWidth="1"/>
    <col min="8714" max="8715" width="7" style="1364" bestFit="1" customWidth="1"/>
    <col min="8716" max="8960" width="9.140625" style="1364"/>
    <col min="8961" max="8961" width="38" style="1364" bestFit="1" customWidth="1"/>
    <col min="8962" max="8962" width="14.28515625" style="1364" customWidth="1"/>
    <col min="8963" max="8963" width="13.85546875" style="1364" bestFit="1" customWidth="1"/>
    <col min="8964" max="8966" width="7" style="1364" bestFit="1" customWidth="1"/>
    <col min="8967" max="8969" width="6.7109375" style="1364" bestFit="1" customWidth="1"/>
    <col min="8970" max="8971" width="7" style="1364" bestFit="1" customWidth="1"/>
    <col min="8972" max="9216" width="9.140625" style="1364"/>
    <col min="9217" max="9217" width="38" style="1364" bestFit="1" customWidth="1"/>
    <col min="9218" max="9218" width="14.28515625" style="1364" customWidth="1"/>
    <col min="9219" max="9219" width="13.85546875" style="1364" bestFit="1" customWidth="1"/>
    <col min="9220" max="9222" width="7" style="1364" bestFit="1" customWidth="1"/>
    <col min="9223" max="9225" width="6.7109375" style="1364" bestFit="1" customWidth="1"/>
    <col min="9226" max="9227" width="7" style="1364" bestFit="1" customWidth="1"/>
    <col min="9228" max="9472" width="9.140625" style="1364"/>
    <col min="9473" max="9473" width="38" style="1364" bestFit="1" customWidth="1"/>
    <col min="9474" max="9474" width="14.28515625" style="1364" customWidth="1"/>
    <col min="9475" max="9475" width="13.85546875" style="1364" bestFit="1" customWidth="1"/>
    <col min="9476" max="9478" width="7" style="1364" bestFit="1" customWidth="1"/>
    <col min="9479" max="9481" width="6.7109375" style="1364" bestFit="1" customWidth="1"/>
    <col min="9482" max="9483" width="7" style="1364" bestFit="1" customWidth="1"/>
    <col min="9484" max="9728" width="9.140625" style="1364"/>
    <col min="9729" max="9729" width="38" style="1364" bestFit="1" customWidth="1"/>
    <col min="9730" max="9730" width="14.28515625" style="1364" customWidth="1"/>
    <col min="9731" max="9731" width="13.85546875" style="1364" bestFit="1" customWidth="1"/>
    <col min="9732" max="9734" width="7" style="1364" bestFit="1" customWidth="1"/>
    <col min="9735" max="9737" width="6.7109375" style="1364" bestFit="1" customWidth="1"/>
    <col min="9738" max="9739" width="7" style="1364" bestFit="1" customWidth="1"/>
    <col min="9740" max="9984" width="9.140625" style="1364"/>
    <col min="9985" max="9985" width="38" style="1364" bestFit="1" customWidth="1"/>
    <col min="9986" max="9986" width="14.28515625" style="1364" customWidth="1"/>
    <col min="9987" max="9987" width="13.85546875" style="1364" bestFit="1" customWidth="1"/>
    <col min="9988" max="9990" width="7" style="1364" bestFit="1" customWidth="1"/>
    <col min="9991" max="9993" width="6.7109375" style="1364" bestFit="1" customWidth="1"/>
    <col min="9994" max="9995" width="7" style="1364" bestFit="1" customWidth="1"/>
    <col min="9996" max="10240" width="9.140625" style="1364"/>
    <col min="10241" max="10241" width="38" style="1364" bestFit="1" customWidth="1"/>
    <col min="10242" max="10242" width="14.28515625" style="1364" customWidth="1"/>
    <col min="10243" max="10243" width="13.85546875" style="1364" bestFit="1" customWidth="1"/>
    <col min="10244" max="10246" width="7" style="1364" bestFit="1" customWidth="1"/>
    <col min="10247" max="10249" width="6.7109375" style="1364" bestFit="1" customWidth="1"/>
    <col min="10250" max="10251" width="7" style="1364" bestFit="1" customWidth="1"/>
    <col min="10252" max="10496" width="9.140625" style="1364"/>
    <col min="10497" max="10497" width="38" style="1364" bestFit="1" customWidth="1"/>
    <col min="10498" max="10498" width="14.28515625" style="1364" customWidth="1"/>
    <col min="10499" max="10499" width="13.85546875" style="1364" bestFit="1" customWidth="1"/>
    <col min="10500" max="10502" width="7" style="1364" bestFit="1" customWidth="1"/>
    <col min="10503" max="10505" width="6.7109375" style="1364" bestFit="1" customWidth="1"/>
    <col min="10506" max="10507" width="7" style="1364" bestFit="1" customWidth="1"/>
    <col min="10508" max="10752" width="9.140625" style="1364"/>
    <col min="10753" max="10753" width="38" style="1364" bestFit="1" customWidth="1"/>
    <col min="10754" max="10754" width="14.28515625" style="1364" customWidth="1"/>
    <col min="10755" max="10755" width="13.85546875" style="1364" bestFit="1" customWidth="1"/>
    <col min="10756" max="10758" width="7" style="1364" bestFit="1" customWidth="1"/>
    <col min="10759" max="10761" width="6.7109375" style="1364" bestFit="1" customWidth="1"/>
    <col min="10762" max="10763" width="7" style="1364" bestFit="1" customWidth="1"/>
    <col min="10764" max="11008" width="9.140625" style="1364"/>
    <col min="11009" max="11009" width="38" style="1364" bestFit="1" customWidth="1"/>
    <col min="11010" max="11010" width="14.28515625" style="1364" customWidth="1"/>
    <col min="11011" max="11011" width="13.85546875" style="1364" bestFit="1" customWidth="1"/>
    <col min="11012" max="11014" width="7" style="1364" bestFit="1" customWidth="1"/>
    <col min="11015" max="11017" width="6.7109375" style="1364" bestFit="1" customWidth="1"/>
    <col min="11018" max="11019" width="7" style="1364" bestFit="1" customWidth="1"/>
    <col min="11020" max="11264" width="9.140625" style="1364"/>
    <col min="11265" max="11265" width="38" style="1364" bestFit="1" customWidth="1"/>
    <col min="11266" max="11266" width="14.28515625" style="1364" customWidth="1"/>
    <col min="11267" max="11267" width="13.85546875" style="1364" bestFit="1" customWidth="1"/>
    <col min="11268" max="11270" width="7" style="1364" bestFit="1" customWidth="1"/>
    <col min="11271" max="11273" width="6.7109375" style="1364" bestFit="1" customWidth="1"/>
    <col min="11274" max="11275" width="7" style="1364" bestFit="1" customWidth="1"/>
    <col min="11276" max="11520" width="9.140625" style="1364"/>
    <col min="11521" max="11521" width="38" style="1364" bestFit="1" customWidth="1"/>
    <col min="11522" max="11522" width="14.28515625" style="1364" customWidth="1"/>
    <col min="11523" max="11523" width="13.85546875" style="1364" bestFit="1" customWidth="1"/>
    <col min="11524" max="11526" width="7" style="1364" bestFit="1" customWidth="1"/>
    <col min="11527" max="11529" width="6.7109375" style="1364" bestFit="1" customWidth="1"/>
    <col min="11530" max="11531" width="7" style="1364" bestFit="1" customWidth="1"/>
    <col min="11532" max="11776" width="9.140625" style="1364"/>
    <col min="11777" max="11777" width="38" style="1364" bestFit="1" customWidth="1"/>
    <col min="11778" max="11778" width="14.28515625" style="1364" customWidth="1"/>
    <col min="11779" max="11779" width="13.85546875" style="1364" bestFit="1" customWidth="1"/>
    <col min="11780" max="11782" width="7" style="1364" bestFit="1" customWidth="1"/>
    <col min="11783" max="11785" width="6.7109375" style="1364" bestFit="1" customWidth="1"/>
    <col min="11786" max="11787" width="7" style="1364" bestFit="1" customWidth="1"/>
    <col min="11788" max="12032" width="9.140625" style="1364"/>
    <col min="12033" max="12033" width="38" style="1364" bestFit="1" customWidth="1"/>
    <col min="12034" max="12034" width="14.28515625" style="1364" customWidth="1"/>
    <col min="12035" max="12035" width="13.85546875" style="1364" bestFit="1" customWidth="1"/>
    <col min="12036" max="12038" width="7" style="1364" bestFit="1" customWidth="1"/>
    <col min="12039" max="12041" width="6.7109375" style="1364" bestFit="1" customWidth="1"/>
    <col min="12042" max="12043" width="7" style="1364" bestFit="1" customWidth="1"/>
    <col min="12044" max="12288" width="9.140625" style="1364"/>
    <col min="12289" max="12289" width="38" style="1364" bestFit="1" customWidth="1"/>
    <col min="12290" max="12290" width="14.28515625" style="1364" customWidth="1"/>
    <col min="12291" max="12291" width="13.85546875" style="1364" bestFit="1" customWidth="1"/>
    <col min="12292" max="12294" width="7" style="1364" bestFit="1" customWidth="1"/>
    <col min="12295" max="12297" width="6.7109375" style="1364" bestFit="1" customWidth="1"/>
    <col min="12298" max="12299" width="7" style="1364" bestFit="1" customWidth="1"/>
    <col min="12300" max="12544" width="9.140625" style="1364"/>
    <col min="12545" max="12545" width="38" style="1364" bestFit="1" customWidth="1"/>
    <col min="12546" max="12546" width="14.28515625" style="1364" customWidth="1"/>
    <col min="12547" max="12547" width="13.85546875" style="1364" bestFit="1" customWidth="1"/>
    <col min="12548" max="12550" width="7" style="1364" bestFit="1" customWidth="1"/>
    <col min="12551" max="12553" width="6.7109375" style="1364" bestFit="1" customWidth="1"/>
    <col min="12554" max="12555" width="7" style="1364" bestFit="1" customWidth="1"/>
    <col min="12556" max="12800" width="9.140625" style="1364"/>
    <col min="12801" max="12801" width="38" style="1364" bestFit="1" customWidth="1"/>
    <col min="12802" max="12802" width="14.28515625" style="1364" customWidth="1"/>
    <col min="12803" max="12803" width="13.85546875" style="1364" bestFit="1" customWidth="1"/>
    <col min="12804" max="12806" width="7" style="1364" bestFit="1" customWidth="1"/>
    <col min="12807" max="12809" width="6.7109375" style="1364" bestFit="1" customWidth="1"/>
    <col min="12810" max="12811" width="7" style="1364" bestFit="1" customWidth="1"/>
    <col min="12812" max="13056" width="9.140625" style="1364"/>
    <col min="13057" max="13057" width="38" style="1364" bestFit="1" customWidth="1"/>
    <col min="13058" max="13058" width="14.28515625" style="1364" customWidth="1"/>
    <col min="13059" max="13059" width="13.85546875" style="1364" bestFit="1" customWidth="1"/>
    <col min="13060" max="13062" width="7" style="1364" bestFit="1" customWidth="1"/>
    <col min="13063" max="13065" width="6.7109375" style="1364" bestFit="1" customWidth="1"/>
    <col min="13066" max="13067" width="7" style="1364" bestFit="1" customWidth="1"/>
    <col min="13068" max="13312" width="9.140625" style="1364"/>
    <col min="13313" max="13313" width="38" style="1364" bestFit="1" customWidth="1"/>
    <col min="13314" max="13314" width="14.28515625" style="1364" customWidth="1"/>
    <col min="13315" max="13315" width="13.85546875" style="1364" bestFit="1" customWidth="1"/>
    <col min="13316" max="13318" width="7" style="1364" bestFit="1" customWidth="1"/>
    <col min="13319" max="13321" width="6.7109375" style="1364" bestFit="1" customWidth="1"/>
    <col min="13322" max="13323" width="7" style="1364" bestFit="1" customWidth="1"/>
    <col min="13324" max="13568" width="9.140625" style="1364"/>
    <col min="13569" max="13569" width="38" style="1364" bestFit="1" customWidth="1"/>
    <col min="13570" max="13570" width="14.28515625" style="1364" customWidth="1"/>
    <col min="13571" max="13571" width="13.85546875" style="1364" bestFit="1" customWidth="1"/>
    <col min="13572" max="13574" width="7" style="1364" bestFit="1" customWidth="1"/>
    <col min="13575" max="13577" width="6.7109375" style="1364" bestFit="1" customWidth="1"/>
    <col min="13578" max="13579" width="7" style="1364" bestFit="1" customWidth="1"/>
    <col min="13580" max="13824" width="9.140625" style="1364"/>
    <col min="13825" max="13825" width="38" style="1364" bestFit="1" customWidth="1"/>
    <col min="13826" max="13826" width="14.28515625" style="1364" customWidth="1"/>
    <col min="13827" max="13827" width="13.85546875" style="1364" bestFit="1" customWidth="1"/>
    <col min="13828" max="13830" width="7" style="1364" bestFit="1" customWidth="1"/>
    <col min="13831" max="13833" width="6.7109375" style="1364" bestFit="1" customWidth="1"/>
    <col min="13834" max="13835" width="7" style="1364" bestFit="1" customWidth="1"/>
    <col min="13836" max="14080" width="9.140625" style="1364"/>
    <col min="14081" max="14081" width="38" style="1364" bestFit="1" customWidth="1"/>
    <col min="14082" max="14082" width="14.28515625" style="1364" customWidth="1"/>
    <col min="14083" max="14083" width="13.85546875" style="1364" bestFit="1" customWidth="1"/>
    <col min="14084" max="14086" width="7" style="1364" bestFit="1" customWidth="1"/>
    <col min="14087" max="14089" width="6.7109375" style="1364" bestFit="1" customWidth="1"/>
    <col min="14090" max="14091" width="7" style="1364" bestFit="1" customWidth="1"/>
    <col min="14092" max="14336" width="9.140625" style="1364"/>
    <col min="14337" max="14337" width="38" style="1364" bestFit="1" customWidth="1"/>
    <col min="14338" max="14338" width="14.28515625" style="1364" customWidth="1"/>
    <col min="14339" max="14339" width="13.85546875" style="1364" bestFit="1" customWidth="1"/>
    <col min="14340" max="14342" width="7" style="1364" bestFit="1" customWidth="1"/>
    <col min="14343" max="14345" width="6.7109375" style="1364" bestFit="1" customWidth="1"/>
    <col min="14346" max="14347" width="7" style="1364" bestFit="1" customWidth="1"/>
    <col min="14348" max="14592" width="9.140625" style="1364"/>
    <col min="14593" max="14593" width="38" style="1364" bestFit="1" customWidth="1"/>
    <col min="14594" max="14594" width="14.28515625" style="1364" customWidth="1"/>
    <col min="14595" max="14595" width="13.85546875" style="1364" bestFit="1" customWidth="1"/>
    <col min="14596" max="14598" width="7" style="1364" bestFit="1" customWidth="1"/>
    <col min="14599" max="14601" width="6.7109375" style="1364" bestFit="1" customWidth="1"/>
    <col min="14602" max="14603" width="7" style="1364" bestFit="1" customWidth="1"/>
    <col min="14604" max="14848" width="9.140625" style="1364"/>
    <col min="14849" max="14849" width="38" style="1364" bestFit="1" customWidth="1"/>
    <col min="14850" max="14850" width="14.28515625" style="1364" customWidth="1"/>
    <col min="14851" max="14851" width="13.85546875" style="1364" bestFit="1" customWidth="1"/>
    <col min="14852" max="14854" width="7" style="1364" bestFit="1" customWidth="1"/>
    <col min="14855" max="14857" width="6.7109375" style="1364" bestFit="1" customWidth="1"/>
    <col min="14858" max="14859" width="7" style="1364" bestFit="1" customWidth="1"/>
    <col min="14860" max="15104" width="9.140625" style="1364"/>
    <col min="15105" max="15105" width="38" style="1364" bestFit="1" customWidth="1"/>
    <col min="15106" max="15106" width="14.28515625" style="1364" customWidth="1"/>
    <col min="15107" max="15107" width="13.85546875" style="1364" bestFit="1" customWidth="1"/>
    <col min="15108" max="15110" width="7" style="1364" bestFit="1" customWidth="1"/>
    <col min="15111" max="15113" width="6.7109375" style="1364" bestFit="1" customWidth="1"/>
    <col min="15114" max="15115" width="7" style="1364" bestFit="1" customWidth="1"/>
    <col min="15116" max="15360" width="9.140625" style="1364"/>
    <col min="15361" max="15361" width="38" style="1364" bestFit="1" customWidth="1"/>
    <col min="15362" max="15362" width="14.28515625" style="1364" customWidth="1"/>
    <col min="15363" max="15363" width="13.85546875" style="1364" bestFit="1" customWidth="1"/>
    <col min="15364" max="15366" width="7" style="1364" bestFit="1" customWidth="1"/>
    <col min="15367" max="15369" width="6.7109375" style="1364" bestFit="1" customWidth="1"/>
    <col min="15370" max="15371" width="7" style="1364" bestFit="1" customWidth="1"/>
    <col min="15372" max="15616" width="9.140625" style="1364"/>
    <col min="15617" max="15617" width="38" style="1364" bestFit="1" customWidth="1"/>
    <col min="15618" max="15618" width="14.28515625" style="1364" customWidth="1"/>
    <col min="15619" max="15619" width="13.85546875" style="1364" bestFit="1" customWidth="1"/>
    <col min="15620" max="15622" width="7" style="1364" bestFit="1" customWidth="1"/>
    <col min="15623" max="15625" width="6.7109375" style="1364" bestFit="1" customWidth="1"/>
    <col min="15626" max="15627" width="7" style="1364" bestFit="1" customWidth="1"/>
    <col min="15628" max="15872" width="9.140625" style="1364"/>
    <col min="15873" max="15873" width="38" style="1364" bestFit="1" customWidth="1"/>
    <col min="15874" max="15874" width="14.28515625" style="1364" customWidth="1"/>
    <col min="15875" max="15875" width="13.85546875" style="1364" bestFit="1" customWidth="1"/>
    <col min="15876" max="15878" width="7" style="1364" bestFit="1" customWidth="1"/>
    <col min="15879" max="15881" width="6.7109375" style="1364" bestFit="1" customWidth="1"/>
    <col min="15882" max="15883" width="7" style="1364" bestFit="1" customWidth="1"/>
    <col min="15884" max="16128" width="9.140625" style="1364"/>
    <col min="16129" max="16129" width="38" style="1364" bestFit="1" customWidth="1"/>
    <col min="16130" max="16130" width="14.28515625" style="1364" customWidth="1"/>
    <col min="16131" max="16131" width="13.85546875" style="1364" bestFit="1" customWidth="1"/>
    <col min="16132" max="16134" width="7" style="1364" bestFit="1" customWidth="1"/>
    <col min="16135" max="16137" width="6.7109375" style="1364" bestFit="1" customWidth="1"/>
    <col min="16138" max="16139" width="7" style="1364" bestFit="1" customWidth="1"/>
    <col min="16140" max="16384" width="9.140625" style="1364"/>
  </cols>
  <sheetData>
    <row r="1" spans="1:15" ht="21">
      <c r="A1" s="4757" t="s">
        <v>3206</v>
      </c>
      <c r="B1" s="4758"/>
      <c r="C1" s="4758"/>
      <c r="D1" s="4758"/>
      <c r="E1" s="4758"/>
      <c r="F1" s="4758"/>
      <c r="G1" s="4758"/>
      <c r="H1" s="4758"/>
      <c r="I1" s="4758"/>
      <c r="J1" s="4758"/>
      <c r="K1" s="4758"/>
      <c r="L1" s="4758"/>
    </row>
    <row r="2" spans="1:15" ht="15">
      <c r="A2" s="1362"/>
    </row>
    <row r="3" spans="1:15" ht="11.25" thickBot="1"/>
    <row r="4" spans="1:15" s="1368" customFormat="1" ht="12" customHeight="1" thickBot="1">
      <c r="A4" s="1929" t="s">
        <v>13</v>
      </c>
      <c r="B4" s="1942"/>
      <c r="C4" s="1931">
        <v>2007</v>
      </c>
      <c r="D4" s="1931">
        <v>2008</v>
      </c>
      <c r="E4" s="1931">
        <v>2009</v>
      </c>
      <c r="F4" s="1931">
        <v>2010</v>
      </c>
      <c r="G4" s="1931">
        <v>2011</v>
      </c>
      <c r="H4" s="1931">
        <v>2012</v>
      </c>
      <c r="I4" s="1931">
        <v>2013</v>
      </c>
      <c r="J4" s="1931">
        <v>2014</v>
      </c>
      <c r="K4" s="1931">
        <v>2015</v>
      </c>
      <c r="L4" s="1931">
        <v>2016</v>
      </c>
      <c r="M4" s="1931">
        <v>2017</v>
      </c>
      <c r="N4" s="1931">
        <v>2018</v>
      </c>
      <c r="O4" s="1934">
        <v>2019</v>
      </c>
    </row>
    <row r="5" spans="1:15" s="1368" customFormat="1" ht="12" customHeight="1" thickBot="1">
      <c r="A5" s="1426" t="s">
        <v>8</v>
      </c>
      <c r="B5" s="1427"/>
      <c r="C5" s="1428">
        <v>107</v>
      </c>
      <c r="D5" s="1428">
        <v>112</v>
      </c>
      <c r="E5" s="1428">
        <v>127</v>
      </c>
      <c r="F5" s="1428">
        <v>104</v>
      </c>
      <c r="G5" s="1428">
        <v>118</v>
      </c>
      <c r="H5" s="1428">
        <v>124</v>
      </c>
      <c r="I5" s="1428">
        <v>146</v>
      </c>
      <c r="J5" s="1428">
        <v>188</v>
      </c>
      <c r="K5" s="1428">
        <v>227</v>
      </c>
      <c r="L5" s="1428">
        <v>279</v>
      </c>
      <c r="M5" s="1428">
        <v>233</v>
      </c>
      <c r="N5" s="1392" t="s">
        <v>6740</v>
      </c>
      <c r="O5" s="1948" t="s">
        <v>6741</v>
      </c>
    </row>
    <row r="6" spans="1:15" s="1419" customFormat="1" ht="12" customHeight="1">
      <c r="A6" s="1429"/>
      <c r="B6" s="1429"/>
      <c r="C6" s="1429"/>
      <c r="D6" s="1429"/>
      <c r="E6" s="1429"/>
    </row>
    <row r="7" spans="1:15" s="1368" customFormat="1" ht="12" customHeight="1" thickBot="1">
      <c r="D7" s="1430"/>
    </row>
    <row r="8" spans="1:15" s="1368" customFormat="1" ht="12" customHeight="1" thickBot="1">
      <c r="A8" s="1929" t="s">
        <v>21</v>
      </c>
      <c r="B8" s="1943">
        <v>2006</v>
      </c>
      <c r="C8" s="1943">
        <v>2007</v>
      </c>
      <c r="D8" s="1943">
        <v>2008</v>
      </c>
      <c r="E8" s="1943">
        <v>2009</v>
      </c>
      <c r="F8" s="1943">
        <v>2010</v>
      </c>
      <c r="G8" s="1943">
        <v>2011</v>
      </c>
      <c r="H8" s="1943">
        <v>2012</v>
      </c>
      <c r="I8" s="1943">
        <v>2013</v>
      </c>
      <c r="J8" s="1943">
        <v>2014</v>
      </c>
      <c r="K8" s="1943">
        <v>2015</v>
      </c>
      <c r="L8" s="1943">
        <v>2016</v>
      </c>
      <c r="M8" s="1943">
        <v>2017</v>
      </c>
      <c r="N8" s="1943">
        <v>2018</v>
      </c>
      <c r="O8" s="1944">
        <v>2019</v>
      </c>
    </row>
    <row r="9" spans="1:15" s="1368" customFormat="1" ht="12" customHeight="1">
      <c r="A9" s="1389" t="s">
        <v>6742</v>
      </c>
      <c r="B9" s="1431">
        <v>71</v>
      </c>
      <c r="C9" s="1431">
        <v>41</v>
      </c>
      <c r="D9" s="1431">
        <v>48</v>
      </c>
      <c r="E9" s="1431">
        <v>41</v>
      </c>
      <c r="F9" s="1431">
        <v>37</v>
      </c>
      <c r="G9" s="1431">
        <v>45</v>
      </c>
      <c r="H9" s="1431">
        <v>45</v>
      </c>
      <c r="I9" s="1431">
        <v>59</v>
      </c>
      <c r="J9" s="1431">
        <v>58</v>
      </c>
      <c r="K9" s="1431">
        <v>44</v>
      </c>
      <c r="L9" s="1431">
        <v>51</v>
      </c>
      <c r="M9" s="1431">
        <v>54</v>
      </c>
      <c r="N9" s="1368" t="s">
        <v>6740</v>
      </c>
      <c r="O9" s="1390" t="s">
        <v>6741</v>
      </c>
    </row>
    <row r="10" spans="1:15" s="1368" customFormat="1" ht="12" customHeight="1">
      <c r="A10" s="1389" t="s">
        <v>6743</v>
      </c>
      <c r="B10" s="1431">
        <v>17</v>
      </c>
      <c r="C10" s="1431">
        <v>13</v>
      </c>
      <c r="D10" s="1431">
        <v>20</v>
      </c>
      <c r="E10" s="1431">
        <v>9</v>
      </c>
      <c r="F10" s="1431">
        <v>13</v>
      </c>
      <c r="G10" s="1431">
        <v>12</v>
      </c>
      <c r="H10" s="1431">
        <v>26</v>
      </c>
      <c r="I10" s="1431">
        <v>19</v>
      </c>
      <c r="J10" s="1431">
        <v>29</v>
      </c>
      <c r="K10" s="1431">
        <v>19</v>
      </c>
      <c r="L10" s="1431">
        <v>20</v>
      </c>
      <c r="M10" s="1431">
        <v>8</v>
      </c>
      <c r="O10" s="1369"/>
    </row>
    <row r="11" spans="1:15" s="1368" customFormat="1" ht="12" customHeight="1">
      <c r="A11" s="1389" t="s">
        <v>6744</v>
      </c>
      <c r="B11" s="1431">
        <v>1</v>
      </c>
      <c r="C11" s="1431">
        <v>12</v>
      </c>
      <c r="D11" s="1431">
        <v>10</v>
      </c>
      <c r="E11" s="1431">
        <v>14</v>
      </c>
      <c r="F11" s="1431">
        <v>4</v>
      </c>
      <c r="G11" s="1431">
        <v>2</v>
      </c>
      <c r="H11" s="1431">
        <v>7</v>
      </c>
      <c r="I11" s="1431">
        <v>3</v>
      </c>
      <c r="J11" s="1431">
        <v>10</v>
      </c>
      <c r="K11" s="1431">
        <v>11</v>
      </c>
      <c r="L11" s="1431">
        <v>20</v>
      </c>
      <c r="M11" s="1431">
        <v>6</v>
      </c>
      <c r="O11" s="1369"/>
    </row>
    <row r="12" spans="1:15" s="1368" customFormat="1" ht="12" customHeight="1">
      <c r="A12" s="1389" t="s">
        <v>6745</v>
      </c>
      <c r="B12" s="1431">
        <v>3</v>
      </c>
      <c r="C12" s="1431"/>
      <c r="D12" s="1431">
        <v>2</v>
      </c>
      <c r="E12" s="1431">
        <v>4</v>
      </c>
      <c r="F12" s="1431">
        <v>2</v>
      </c>
      <c r="G12" s="1431">
        <v>3</v>
      </c>
      <c r="H12" s="1431">
        <v>1</v>
      </c>
      <c r="I12" s="1431"/>
      <c r="J12" s="1431">
        <v>3</v>
      </c>
      <c r="K12" s="1431"/>
      <c r="L12" s="1431"/>
      <c r="M12" s="1431"/>
      <c r="O12" s="1369"/>
    </row>
    <row r="13" spans="1:15" s="1368" customFormat="1" ht="12" customHeight="1">
      <c r="A13" s="1389" t="s">
        <v>6746</v>
      </c>
      <c r="B13" s="1431">
        <v>3</v>
      </c>
      <c r="C13" s="1431">
        <v>1</v>
      </c>
      <c r="D13" s="1431">
        <v>1</v>
      </c>
      <c r="E13" s="1431">
        <v>1</v>
      </c>
      <c r="F13" s="1431"/>
      <c r="G13" s="1431">
        <v>3</v>
      </c>
      <c r="H13" s="1431">
        <v>14</v>
      </c>
      <c r="I13" s="1431"/>
      <c r="J13" s="1431">
        <v>18</v>
      </c>
      <c r="K13" s="1431">
        <v>17</v>
      </c>
      <c r="L13" s="1431">
        <v>4</v>
      </c>
      <c r="M13" s="1431">
        <v>16</v>
      </c>
      <c r="O13" s="1369"/>
    </row>
    <row r="14" spans="1:15" s="1368" customFormat="1" ht="12" customHeight="1">
      <c r="A14" s="1389" t="s">
        <v>6747</v>
      </c>
      <c r="B14" s="1431">
        <v>2</v>
      </c>
      <c r="C14" s="1431">
        <v>4</v>
      </c>
      <c r="D14" s="1431">
        <v>10</v>
      </c>
      <c r="E14" s="1431">
        <v>1</v>
      </c>
      <c r="F14" s="1431">
        <v>10</v>
      </c>
      <c r="G14" s="1431"/>
      <c r="H14" s="1431">
        <v>28</v>
      </c>
      <c r="I14" s="1431">
        <v>25</v>
      </c>
      <c r="J14" s="1431"/>
      <c r="K14" s="1431">
        <v>2</v>
      </c>
      <c r="L14" s="1431">
        <v>58</v>
      </c>
      <c r="M14" s="1431">
        <v>7</v>
      </c>
      <c r="O14" s="1369"/>
    </row>
    <row r="15" spans="1:15" s="1368" customFormat="1" ht="12" customHeight="1">
      <c r="A15" s="1389" t="s">
        <v>6748</v>
      </c>
      <c r="B15" s="1431">
        <v>7</v>
      </c>
      <c r="C15" s="1431"/>
      <c r="D15" s="1431">
        <v>4</v>
      </c>
      <c r="E15" s="1431"/>
      <c r="F15" s="1431"/>
      <c r="G15" s="1431">
        <v>24</v>
      </c>
      <c r="H15" s="1431"/>
      <c r="I15" s="1431"/>
      <c r="J15" s="1431"/>
      <c r="K15" s="1431"/>
      <c r="L15" s="1431"/>
      <c r="M15" s="1431"/>
      <c r="O15" s="1369"/>
    </row>
    <row r="16" spans="1:15" s="1368" customFormat="1" ht="12" customHeight="1">
      <c r="A16" s="1389" t="s">
        <v>6749</v>
      </c>
      <c r="B16" s="1431">
        <v>4</v>
      </c>
      <c r="C16" s="1431">
        <v>4</v>
      </c>
      <c r="D16" s="1431">
        <v>1</v>
      </c>
      <c r="E16" s="1431"/>
      <c r="F16" s="1431">
        <v>4</v>
      </c>
      <c r="G16" s="1431"/>
      <c r="H16" s="1431">
        <v>8</v>
      </c>
      <c r="I16" s="1431">
        <v>8</v>
      </c>
      <c r="J16" s="1431"/>
      <c r="K16" s="1431">
        <v>16</v>
      </c>
      <c r="L16" s="1431">
        <v>7</v>
      </c>
      <c r="M16" s="1431">
        <v>11</v>
      </c>
      <c r="O16" s="1369"/>
    </row>
    <row r="17" spans="1:15" s="1368" customFormat="1" ht="12" customHeight="1">
      <c r="A17" s="1389" t="s">
        <v>6750</v>
      </c>
      <c r="B17" s="1431">
        <v>1</v>
      </c>
      <c r="C17" s="1431"/>
      <c r="D17" s="1431">
        <v>0</v>
      </c>
      <c r="E17" s="1431"/>
      <c r="F17" s="1431"/>
      <c r="G17" s="1431">
        <v>9</v>
      </c>
      <c r="H17" s="1431"/>
      <c r="I17" s="1431"/>
      <c r="J17" s="1431"/>
      <c r="K17" s="1431"/>
      <c r="L17" s="1431"/>
      <c r="M17" s="1431"/>
      <c r="O17" s="1369"/>
    </row>
    <row r="18" spans="1:15" s="1368" customFormat="1" ht="12" customHeight="1">
      <c r="A18" s="1389" t="s">
        <v>6751</v>
      </c>
      <c r="B18" s="1431">
        <v>1</v>
      </c>
      <c r="C18" s="1431">
        <v>2</v>
      </c>
      <c r="D18" s="1431">
        <v>3</v>
      </c>
      <c r="E18" s="1431"/>
      <c r="F18" s="1431"/>
      <c r="G18" s="1431"/>
      <c r="H18" s="1431"/>
      <c r="I18" s="1431"/>
      <c r="J18" s="1431"/>
      <c r="K18" s="1431"/>
      <c r="L18" s="1431"/>
      <c r="M18" s="1431"/>
      <c r="O18" s="1369"/>
    </row>
    <row r="19" spans="1:15" s="1368" customFormat="1" ht="12" customHeight="1">
      <c r="A19" s="1389" t="s">
        <v>6752</v>
      </c>
      <c r="B19" s="1431">
        <v>1</v>
      </c>
      <c r="C19" s="1431"/>
      <c r="D19" s="1431">
        <v>5</v>
      </c>
      <c r="E19" s="1431"/>
      <c r="F19" s="1431"/>
      <c r="G19" s="1431"/>
      <c r="H19" s="1431"/>
      <c r="I19" s="1431"/>
      <c r="J19" s="1431"/>
      <c r="K19" s="1431"/>
      <c r="L19" s="1431"/>
      <c r="M19" s="1431">
        <v>2</v>
      </c>
      <c r="O19" s="1369"/>
    </row>
    <row r="20" spans="1:15" s="1368" customFormat="1" ht="12" customHeight="1">
      <c r="A20" s="1389" t="s">
        <v>6753</v>
      </c>
      <c r="B20" s="1431"/>
      <c r="C20" s="1431">
        <v>3</v>
      </c>
      <c r="D20" s="1431">
        <v>0</v>
      </c>
      <c r="E20" s="1431"/>
      <c r="F20" s="1431"/>
      <c r="G20" s="1431"/>
      <c r="H20" s="1431">
        <v>2</v>
      </c>
      <c r="I20" s="1431"/>
      <c r="J20" s="1431"/>
      <c r="K20" s="1431"/>
      <c r="L20" s="1431"/>
      <c r="M20" s="1431"/>
      <c r="O20" s="1369"/>
    </row>
    <row r="21" spans="1:15" s="1368" customFormat="1" ht="12" customHeight="1">
      <c r="A21" s="1389" t="s">
        <v>6754</v>
      </c>
      <c r="B21" s="1431"/>
      <c r="C21" s="1431"/>
      <c r="D21" s="1431">
        <v>1</v>
      </c>
      <c r="E21" s="1431"/>
      <c r="F21" s="1431"/>
      <c r="G21" s="1431">
        <v>2</v>
      </c>
      <c r="H21" s="1431"/>
      <c r="I21" s="1431"/>
      <c r="J21" s="1431"/>
      <c r="K21" s="1431"/>
      <c r="L21" s="1431">
        <v>1</v>
      </c>
      <c r="M21" s="1431">
        <v>2</v>
      </c>
      <c r="O21" s="1369"/>
    </row>
    <row r="22" spans="1:15" s="1368" customFormat="1" ht="12" customHeight="1">
      <c r="A22" s="1389" t="s">
        <v>6755</v>
      </c>
      <c r="B22" s="1431"/>
      <c r="C22" s="1431"/>
      <c r="D22" s="1431">
        <v>1</v>
      </c>
      <c r="E22" s="1431">
        <v>1</v>
      </c>
      <c r="F22" s="1431"/>
      <c r="G22" s="1431">
        <v>1</v>
      </c>
      <c r="H22" s="1431"/>
      <c r="I22" s="1431"/>
      <c r="J22" s="1431"/>
      <c r="K22" s="1431"/>
      <c r="L22" s="1431"/>
      <c r="M22" s="1431"/>
      <c r="O22" s="1369"/>
    </row>
    <row r="23" spans="1:15" s="1368" customFormat="1" ht="12" customHeight="1">
      <c r="A23" s="1389" t="s">
        <v>6756</v>
      </c>
      <c r="B23" s="1431"/>
      <c r="C23" s="1431"/>
      <c r="D23" s="1431">
        <v>2</v>
      </c>
      <c r="E23" s="1431"/>
      <c r="F23" s="1431"/>
      <c r="G23" s="1431"/>
      <c r="H23" s="1431"/>
      <c r="I23" s="1431"/>
      <c r="J23" s="1431"/>
      <c r="K23" s="1431"/>
      <c r="L23" s="1431"/>
      <c r="M23" s="1431"/>
      <c r="O23" s="1369"/>
    </row>
    <row r="24" spans="1:15" s="1368" customFormat="1" ht="12" customHeight="1">
      <c r="A24" s="1389" t="s">
        <v>6757</v>
      </c>
      <c r="B24" s="1431"/>
      <c r="C24" s="1431"/>
      <c r="D24" s="1431">
        <v>1</v>
      </c>
      <c r="E24" s="1431"/>
      <c r="F24" s="1431"/>
      <c r="G24" s="1431"/>
      <c r="H24" s="1431"/>
      <c r="I24" s="1431"/>
      <c r="J24" s="1431"/>
      <c r="K24" s="1431"/>
      <c r="L24" s="1431"/>
      <c r="M24" s="1431"/>
      <c r="O24" s="1369"/>
    </row>
    <row r="25" spans="1:15" s="1368" customFormat="1" ht="12" customHeight="1">
      <c r="A25" s="1389" t="s">
        <v>6758</v>
      </c>
      <c r="B25" s="1431"/>
      <c r="C25" s="1431"/>
      <c r="D25" s="1431">
        <v>2</v>
      </c>
      <c r="E25" s="1431"/>
      <c r="F25" s="1431"/>
      <c r="G25" s="1431"/>
      <c r="H25" s="1431"/>
      <c r="I25" s="1431"/>
      <c r="J25" s="1431"/>
      <c r="K25" s="1431"/>
      <c r="L25" s="1431"/>
      <c r="M25" s="1431"/>
      <c r="O25" s="1369"/>
    </row>
    <row r="26" spans="1:15" s="1368" customFormat="1" ht="12" customHeight="1">
      <c r="A26" s="1389" t="s">
        <v>6759</v>
      </c>
      <c r="B26" s="1431"/>
      <c r="C26" s="1431"/>
      <c r="D26" s="1431">
        <v>1</v>
      </c>
      <c r="E26" s="1431"/>
      <c r="F26" s="1431"/>
      <c r="G26" s="1431"/>
      <c r="H26" s="1431"/>
      <c r="I26" s="1431"/>
      <c r="J26" s="1431"/>
      <c r="K26" s="1431"/>
      <c r="L26" s="1431"/>
      <c r="M26" s="1431"/>
      <c r="O26" s="1369"/>
    </row>
    <row r="27" spans="1:15" s="1368" customFormat="1" ht="12" customHeight="1">
      <c r="A27" s="1389" t="s">
        <v>6760</v>
      </c>
      <c r="B27" s="1431"/>
      <c r="C27" s="1431"/>
      <c r="D27" s="1431">
        <v>3</v>
      </c>
      <c r="E27" s="1431">
        <v>3</v>
      </c>
      <c r="F27" s="1431"/>
      <c r="G27" s="1431">
        <v>1</v>
      </c>
      <c r="H27" s="1431"/>
      <c r="I27" s="1431">
        <v>1</v>
      </c>
      <c r="J27" s="1431"/>
      <c r="K27" s="1431"/>
      <c r="L27" s="1431"/>
      <c r="M27" s="1431"/>
      <c r="O27" s="1369"/>
    </row>
    <row r="28" spans="1:15" s="1368" customFormat="1" ht="12" customHeight="1">
      <c r="A28" s="1389" t="s">
        <v>6761</v>
      </c>
      <c r="B28" s="1431"/>
      <c r="C28" s="1431"/>
      <c r="D28" s="1431">
        <v>4</v>
      </c>
      <c r="E28" s="1431">
        <v>4</v>
      </c>
      <c r="F28" s="1431"/>
      <c r="G28" s="1431"/>
      <c r="H28" s="1431"/>
      <c r="I28" s="1431"/>
      <c r="J28" s="1431"/>
      <c r="K28" s="1431"/>
      <c r="L28" s="1431"/>
      <c r="M28" s="1431"/>
      <c r="O28" s="1369"/>
    </row>
    <row r="29" spans="1:15" s="1368" customFormat="1" ht="12" customHeight="1">
      <c r="A29" s="1389" t="s">
        <v>6762</v>
      </c>
      <c r="B29" s="1431"/>
      <c r="C29" s="1431"/>
      <c r="D29" s="1431"/>
      <c r="E29" s="1431">
        <v>1</v>
      </c>
      <c r="F29" s="1431">
        <v>10</v>
      </c>
      <c r="G29" s="1431"/>
      <c r="H29" s="1431"/>
      <c r="I29" s="1431">
        <v>21</v>
      </c>
      <c r="J29" s="1431"/>
      <c r="K29" s="1431"/>
      <c r="L29" s="1431">
        <v>12</v>
      </c>
      <c r="M29" s="1431"/>
      <c r="O29" s="1369"/>
    </row>
    <row r="30" spans="1:15" s="1368" customFormat="1" ht="12" customHeight="1">
      <c r="A30" s="1389" t="s">
        <v>6763</v>
      </c>
      <c r="B30" s="1431"/>
      <c r="C30" s="1431"/>
      <c r="D30" s="1431"/>
      <c r="E30" s="1431"/>
      <c r="F30" s="1431">
        <v>1</v>
      </c>
      <c r="G30" s="1431"/>
      <c r="H30" s="1431"/>
      <c r="I30" s="1431"/>
      <c r="J30" s="1431">
        <v>22</v>
      </c>
      <c r="K30" s="1431"/>
      <c r="L30" s="1431"/>
      <c r="M30" s="1431">
        <v>1</v>
      </c>
      <c r="O30" s="1369"/>
    </row>
    <row r="31" spans="1:15" s="1368" customFormat="1" ht="12" customHeight="1">
      <c r="A31" s="1389" t="s">
        <v>6764</v>
      </c>
      <c r="B31" s="1431"/>
      <c r="C31" s="1431"/>
      <c r="D31" s="1431"/>
      <c r="E31" s="1431"/>
      <c r="F31" s="1431">
        <v>2</v>
      </c>
      <c r="G31" s="1431">
        <v>2</v>
      </c>
      <c r="H31" s="1431"/>
      <c r="I31" s="1431"/>
      <c r="J31" s="1431"/>
      <c r="K31" s="1431">
        <v>2</v>
      </c>
      <c r="L31" s="1431">
        <v>1</v>
      </c>
      <c r="M31" s="1431">
        <v>3</v>
      </c>
      <c r="O31" s="1369"/>
    </row>
    <row r="32" spans="1:15" s="1368" customFormat="1" ht="12" customHeight="1">
      <c r="A32" s="1389" t="s">
        <v>6765</v>
      </c>
      <c r="B32" s="1431"/>
      <c r="C32" s="1431"/>
      <c r="D32" s="1431"/>
      <c r="E32" s="1431"/>
      <c r="F32" s="1431"/>
      <c r="G32" s="1431">
        <v>1</v>
      </c>
      <c r="H32" s="1431"/>
      <c r="I32" s="1431"/>
      <c r="J32" s="1431"/>
      <c r="K32" s="1431"/>
      <c r="L32" s="1431"/>
      <c r="M32" s="1431"/>
      <c r="O32" s="1369"/>
    </row>
    <row r="33" spans="1:15" s="1368" customFormat="1" ht="12" customHeight="1" thickBot="1">
      <c r="A33" s="1389" t="s">
        <v>6766</v>
      </c>
      <c r="B33" s="1431"/>
      <c r="C33" s="1431"/>
      <c r="D33" s="1431"/>
      <c r="E33" s="1431"/>
      <c r="F33" s="1431"/>
      <c r="G33" s="1431">
        <v>1</v>
      </c>
      <c r="H33" s="1431"/>
      <c r="I33" s="1431">
        <v>8</v>
      </c>
      <c r="J33" s="1431"/>
      <c r="K33" s="1431"/>
      <c r="L33" s="1431">
        <v>5</v>
      </c>
      <c r="M33" s="1431"/>
      <c r="O33" s="1369"/>
    </row>
    <row r="34" spans="1:15" s="1420" customFormat="1" ht="12" customHeight="1" thickBot="1">
      <c r="A34" s="1945" t="s">
        <v>8</v>
      </c>
      <c r="B34" s="1946">
        <v>111</v>
      </c>
      <c r="C34" s="1946">
        <v>80</v>
      </c>
      <c r="D34" s="1946">
        <v>119</v>
      </c>
      <c r="E34" s="1946">
        <v>79</v>
      </c>
      <c r="F34" s="1946">
        <v>83</v>
      </c>
      <c r="G34" s="1946">
        <v>106</v>
      </c>
      <c r="H34" s="1946">
        <v>131</v>
      </c>
      <c r="I34" s="1946">
        <v>144</v>
      </c>
      <c r="J34" s="1946">
        <v>140</v>
      </c>
      <c r="K34" s="1946">
        <v>126</v>
      </c>
      <c r="L34" s="1946">
        <v>179</v>
      </c>
      <c r="M34" s="1946">
        <v>110</v>
      </c>
      <c r="N34" s="1946"/>
      <c r="O34" s="1947"/>
    </row>
    <row r="35" spans="1:15" s="1368" customFormat="1" ht="12" customHeight="1">
      <c r="A35" s="1421"/>
      <c r="B35" s="1421"/>
      <c r="C35" s="1432"/>
      <c r="D35" s="1433"/>
    </row>
    <row r="36" spans="1:15" s="1368" customFormat="1" ht="12" customHeight="1">
      <c r="A36" s="1421"/>
      <c r="B36" s="1421"/>
      <c r="C36" s="1421"/>
      <c r="D36" s="1434"/>
      <c r="E36" s="1433"/>
    </row>
    <row r="37" spans="1:15" ht="11.25" thickBot="1"/>
    <row r="38" spans="1:15" s="1368" customFormat="1" ht="12" customHeight="1" thickBot="1">
      <c r="A38" s="1929" t="s">
        <v>6827</v>
      </c>
      <c r="B38" s="1931">
        <v>2006</v>
      </c>
      <c r="C38" s="1931">
        <v>2007</v>
      </c>
      <c r="D38" s="1931">
        <v>2008</v>
      </c>
      <c r="E38" s="1931">
        <v>2009</v>
      </c>
      <c r="F38" s="1931">
        <v>2010</v>
      </c>
      <c r="G38" s="1931">
        <v>2011</v>
      </c>
      <c r="H38" s="1931">
        <v>2012</v>
      </c>
      <c r="I38" s="1931">
        <v>2013</v>
      </c>
      <c r="J38" s="1931">
        <v>2014</v>
      </c>
      <c r="K38" s="1934">
        <v>2015</v>
      </c>
    </row>
    <row r="39" spans="1:15" s="1368" customFormat="1" ht="12" customHeight="1">
      <c r="A39" s="1365" t="s">
        <v>6828</v>
      </c>
      <c r="B39" s="1349">
        <v>48.765999999999998</v>
      </c>
      <c r="C39" s="1349">
        <v>48.765999999999998</v>
      </c>
      <c r="D39" s="1349">
        <v>48.765999999999998</v>
      </c>
      <c r="E39" s="1349">
        <v>48.765999999999998</v>
      </c>
      <c r="F39" s="1349">
        <v>48.765999999999998</v>
      </c>
      <c r="G39" s="1377">
        <v>48.765999999999998</v>
      </c>
      <c r="H39" s="1349">
        <v>48.765999999999998</v>
      </c>
      <c r="I39" s="1349">
        <v>48.765999999999998</v>
      </c>
      <c r="J39" s="1349">
        <v>48.765999999999998</v>
      </c>
      <c r="K39" s="1350">
        <v>48.765999999999998</v>
      </c>
    </row>
    <row r="40" spans="1:15" s="1368" customFormat="1" ht="12" customHeight="1">
      <c r="A40" s="1365" t="s">
        <v>6829</v>
      </c>
      <c r="B40" s="1349">
        <v>138.94499999999999</v>
      </c>
      <c r="C40" s="1349">
        <v>138.94499999999999</v>
      </c>
      <c r="D40" s="1349">
        <v>138.94499999999999</v>
      </c>
      <c r="E40" s="1349">
        <v>138.94499999999999</v>
      </c>
      <c r="F40" s="1349">
        <v>138.94499999999999</v>
      </c>
      <c r="G40" s="1377">
        <v>38.945</v>
      </c>
      <c r="H40" s="1349">
        <v>38.945</v>
      </c>
      <c r="I40" s="1349">
        <v>38.945</v>
      </c>
      <c r="J40" s="1349">
        <v>138.94499999999999</v>
      </c>
      <c r="K40" s="1350">
        <v>138.94499999999999</v>
      </c>
    </row>
    <row r="41" spans="1:15" s="1368" customFormat="1" ht="12" customHeight="1">
      <c r="A41" s="1365" t="s">
        <v>6830</v>
      </c>
      <c r="B41" s="1349">
        <v>36</v>
      </c>
      <c r="C41" s="1349">
        <v>36</v>
      </c>
      <c r="D41" s="1349">
        <v>36</v>
      </c>
      <c r="E41" s="1349">
        <v>36</v>
      </c>
      <c r="F41" s="1349">
        <v>36</v>
      </c>
      <c r="G41" s="1926">
        <v>36</v>
      </c>
      <c r="H41" s="1349">
        <v>36</v>
      </c>
      <c r="I41" s="1349">
        <v>36</v>
      </c>
      <c r="J41" s="1349">
        <v>36</v>
      </c>
      <c r="K41" s="1350">
        <v>36</v>
      </c>
    </row>
    <row r="42" spans="1:15" s="1368" customFormat="1" ht="12" customHeight="1" thickBot="1">
      <c r="A42" s="1375" t="s">
        <v>6831</v>
      </c>
      <c r="B42" s="1376">
        <v>235.5</v>
      </c>
      <c r="C42" s="1376">
        <v>235.5</v>
      </c>
      <c r="D42" s="1376">
        <v>235.5</v>
      </c>
      <c r="E42" s="1376">
        <v>235.5</v>
      </c>
      <c r="F42" s="1376">
        <v>235.5</v>
      </c>
      <c r="G42" s="1457">
        <v>235.5</v>
      </c>
      <c r="H42" s="1376">
        <v>235.5</v>
      </c>
      <c r="I42" s="1376">
        <v>235.5</v>
      </c>
      <c r="J42" s="1376">
        <v>235.5</v>
      </c>
      <c r="K42" s="1351">
        <v>235.5</v>
      </c>
    </row>
    <row r="44" spans="1:15" s="1384" customFormat="1"/>
    <row r="45" spans="1:15" s="1384" customFormat="1" ht="15.75" thickBot="1">
      <c r="A45" s="1458"/>
      <c r="B45" s="1459"/>
      <c r="C45" s="1459"/>
      <c r="N45" s="3758"/>
    </row>
    <row r="46" spans="1:15" s="1384" customFormat="1" ht="15">
      <c r="A46" s="1950" t="s">
        <v>8018</v>
      </c>
      <c r="B46" s="4734">
        <v>2021</v>
      </c>
      <c r="C46" s="4237">
        <v>2022</v>
      </c>
      <c r="N46" s="3758"/>
    </row>
    <row r="47" spans="1:15" s="1384" customFormat="1" ht="15">
      <c r="A47" s="4238" t="s">
        <v>8019</v>
      </c>
      <c r="B47" s="1459">
        <v>6</v>
      </c>
      <c r="C47" s="4239">
        <v>9</v>
      </c>
      <c r="N47" s="3758"/>
    </row>
    <row r="48" spans="1:15" s="1384" customFormat="1" ht="15">
      <c r="A48" s="4238" t="s">
        <v>8020</v>
      </c>
      <c r="B48" s="1459">
        <v>29</v>
      </c>
      <c r="C48" s="4239">
        <v>20</v>
      </c>
      <c r="N48" s="3758"/>
    </row>
    <row r="49" spans="1:14" s="1384" customFormat="1" ht="15">
      <c r="A49" s="4238" t="s">
        <v>8021</v>
      </c>
      <c r="B49" s="1459">
        <v>2486</v>
      </c>
      <c r="C49" s="4239">
        <v>2309</v>
      </c>
      <c r="N49" s="3758"/>
    </row>
    <row r="50" spans="1:14" s="1384" customFormat="1" ht="15.75" thickBot="1">
      <c r="A50" s="4240" t="s">
        <v>8022</v>
      </c>
      <c r="B50" s="4735">
        <v>11164</v>
      </c>
      <c r="C50" s="4241">
        <v>13638</v>
      </c>
      <c r="N50" s="3758"/>
    </row>
    <row r="51" spans="1:14" s="1384" customFormat="1" ht="15">
      <c r="A51" s="1458"/>
      <c r="B51" s="1459"/>
      <c r="C51" s="1459"/>
      <c r="N51" s="3758"/>
    </row>
    <row r="52" spans="1:14" s="1384" customFormat="1" ht="15">
      <c r="A52" s="1458"/>
      <c r="B52" s="1459"/>
      <c r="C52" s="1459"/>
      <c r="N52" s="3758"/>
    </row>
    <row r="53" spans="1:14" s="1384" customFormat="1" ht="15">
      <c r="A53" s="1458"/>
      <c r="B53" s="3758"/>
      <c r="C53" s="1459"/>
      <c r="N53" s="3758"/>
    </row>
    <row r="54" spans="1:14" s="1384" customFormat="1" ht="15">
      <c r="A54" s="1458"/>
      <c r="B54" s="3758"/>
      <c r="C54" s="1459"/>
      <c r="N54" s="3758"/>
    </row>
    <row r="55" spans="1:14" s="1384" customFormat="1" ht="15">
      <c r="A55" s="1458"/>
      <c r="B55" s="3758"/>
      <c r="C55" s="1459"/>
      <c r="N55" s="3758"/>
    </row>
    <row r="56" spans="1:14" s="1384" customFormat="1" ht="15">
      <c r="A56" s="1458"/>
      <c r="B56" s="3758"/>
      <c r="C56" s="1459"/>
      <c r="N56" s="3758"/>
    </row>
    <row r="57" spans="1:14" s="1384" customFormat="1" ht="15">
      <c r="A57" s="1458"/>
      <c r="B57" s="3758"/>
      <c r="C57" s="1459"/>
      <c r="N57" s="3758"/>
    </row>
    <row r="58" spans="1:14" s="1384" customFormat="1" ht="15">
      <c r="A58" s="1458"/>
      <c r="B58" s="3758"/>
      <c r="C58" s="1459"/>
      <c r="N58" s="3758"/>
    </row>
    <row r="59" spans="1:14" s="1384" customFormat="1" ht="15">
      <c r="A59" s="1458"/>
      <c r="B59" s="3758"/>
      <c r="C59" s="1459"/>
    </row>
    <row r="60" spans="1:14" s="1384" customFormat="1">
      <c r="A60" s="1458"/>
      <c r="B60" s="1459"/>
      <c r="C60" s="1459"/>
    </row>
    <row r="61" spans="1:14" s="1384" customFormat="1">
      <c r="A61" s="1458"/>
      <c r="B61" s="1459"/>
      <c r="C61" s="1459"/>
    </row>
    <row r="62" spans="1:14" s="1384" customFormat="1">
      <c r="A62" s="1458"/>
      <c r="B62" s="1459"/>
      <c r="C62" s="1459"/>
    </row>
    <row r="63" spans="1:14" s="1384" customFormat="1">
      <c r="A63" s="1458"/>
      <c r="B63" s="1459"/>
      <c r="C63" s="1459"/>
    </row>
    <row r="64" spans="1:14" s="1384" customFormat="1">
      <c r="A64" s="1458"/>
      <c r="B64" s="1459"/>
      <c r="C64" s="1459"/>
    </row>
    <row r="65" spans="1:3" s="1384" customFormat="1">
      <c r="A65" s="1458"/>
      <c r="B65" s="1459"/>
      <c r="C65" s="1459"/>
    </row>
    <row r="66" spans="1:3" s="1384" customFormat="1">
      <c r="A66" s="1458"/>
      <c r="B66" s="1459"/>
      <c r="C66" s="1459"/>
    </row>
    <row r="67" spans="1:3" s="1384" customFormat="1">
      <c r="A67" s="1458"/>
      <c r="B67" s="1459"/>
      <c r="C67" s="1459"/>
    </row>
    <row r="68" spans="1:3" s="1384" customFormat="1">
      <c r="A68" s="1458"/>
      <c r="B68" s="1459"/>
      <c r="C68" s="1459"/>
    </row>
    <row r="69" spans="1:3" s="1384" customFormat="1">
      <c r="A69" s="1458"/>
      <c r="B69" s="1459"/>
      <c r="C69" s="1459"/>
    </row>
    <row r="70" spans="1:3" s="1384" customFormat="1">
      <c r="A70" s="1458"/>
      <c r="B70" s="1459"/>
      <c r="C70" s="1459"/>
    </row>
    <row r="71" spans="1:3" s="1384" customFormat="1">
      <c r="A71" s="1458"/>
      <c r="B71" s="1459"/>
      <c r="C71" s="1459"/>
    </row>
    <row r="72" spans="1:3" s="1384" customFormat="1">
      <c r="A72" s="1458"/>
      <c r="B72" s="1459"/>
      <c r="C72" s="1459"/>
    </row>
    <row r="73" spans="1:3" s="1384" customFormat="1">
      <c r="A73" s="1458"/>
      <c r="B73" s="1459"/>
      <c r="C73" s="1459"/>
    </row>
    <row r="74" spans="1:3" s="1384" customFormat="1">
      <c r="A74" s="1458"/>
      <c r="B74" s="1459"/>
      <c r="C74" s="1459"/>
    </row>
    <row r="75" spans="1:3" s="1384" customFormat="1">
      <c r="A75" s="1458"/>
      <c r="B75" s="1459"/>
      <c r="C75" s="1459"/>
    </row>
    <row r="76" spans="1:3" s="1384" customFormat="1">
      <c r="A76" s="1458"/>
      <c r="B76" s="1459"/>
      <c r="C76" s="1459"/>
    </row>
    <row r="77" spans="1:3" s="1384" customFormat="1">
      <c r="A77" s="1458"/>
      <c r="B77" s="1459"/>
      <c r="C77" s="1459"/>
    </row>
    <row r="78" spans="1:3" s="1384" customFormat="1">
      <c r="A78" s="1458"/>
      <c r="B78" s="1459"/>
      <c r="C78" s="1459"/>
    </row>
    <row r="79" spans="1:3" s="1384" customFormat="1">
      <c r="A79" s="1458"/>
      <c r="B79" s="1459"/>
      <c r="C79" s="1459"/>
    </row>
    <row r="80" spans="1:3" s="1384" customFormat="1">
      <c r="A80" s="1458"/>
      <c r="B80" s="1459"/>
      <c r="C80" s="1459"/>
    </row>
    <row r="81" spans="1:3" s="1384" customFormat="1">
      <c r="A81" s="1458"/>
      <c r="B81" s="1459"/>
      <c r="C81" s="1459"/>
    </row>
    <row r="82" spans="1:3" s="1384" customFormat="1">
      <c r="A82" s="1458"/>
      <c r="B82" s="1459"/>
      <c r="C82" s="1459"/>
    </row>
    <row r="83" spans="1:3" s="1384" customFormat="1">
      <c r="A83" s="1458"/>
      <c r="B83" s="1459"/>
      <c r="C83" s="1459"/>
    </row>
    <row r="84" spans="1:3" s="1384" customFormat="1">
      <c r="A84" s="1458"/>
      <c r="B84" s="1459"/>
      <c r="C84" s="1459"/>
    </row>
    <row r="85" spans="1:3" s="1384" customFormat="1">
      <c r="A85" s="1458"/>
      <c r="B85" s="1459"/>
      <c r="C85" s="1459"/>
    </row>
    <row r="86" spans="1:3" s="1384" customFormat="1">
      <c r="A86" s="1458"/>
      <c r="B86" s="1459"/>
      <c r="C86" s="1459"/>
    </row>
    <row r="87" spans="1:3" s="1384" customFormat="1">
      <c r="A87" s="1458"/>
      <c r="B87" s="1459"/>
      <c r="C87" s="1459"/>
    </row>
    <row r="88" spans="1:3" s="1384" customFormat="1">
      <c r="A88" s="1458"/>
      <c r="B88" s="1459"/>
      <c r="C88" s="1459"/>
    </row>
    <row r="89" spans="1:3" s="1384" customFormat="1">
      <c r="A89" s="1458"/>
      <c r="B89" s="1459"/>
      <c r="C89" s="1459"/>
    </row>
    <row r="90" spans="1:3" s="1384" customFormat="1">
      <c r="A90" s="1458"/>
      <c r="B90" s="1459"/>
      <c r="C90" s="1459"/>
    </row>
    <row r="91" spans="1:3" s="1384" customFormat="1">
      <c r="A91" s="1458"/>
      <c r="B91" s="1459"/>
      <c r="C91" s="1459"/>
    </row>
    <row r="92" spans="1:3" s="1384" customFormat="1">
      <c r="A92" s="1458"/>
      <c r="B92" s="1459"/>
      <c r="C92" s="1459"/>
    </row>
    <row r="93" spans="1:3" s="1384" customFormat="1">
      <c r="A93" s="1458"/>
      <c r="B93" s="1459"/>
      <c r="C93" s="1459"/>
    </row>
    <row r="94" spans="1:3" s="1384" customFormat="1">
      <c r="A94" s="1458"/>
      <c r="B94" s="1459"/>
      <c r="C94" s="1459"/>
    </row>
    <row r="95" spans="1:3" s="1384" customFormat="1">
      <c r="A95" s="1458"/>
      <c r="B95" s="1459"/>
      <c r="C95" s="1459"/>
    </row>
    <row r="96" spans="1:3" s="1384" customFormat="1">
      <c r="A96" s="1458"/>
      <c r="B96" s="1459"/>
      <c r="C96" s="1459"/>
    </row>
    <row r="97" spans="1:3" s="1384" customFormat="1">
      <c r="A97" s="1458"/>
      <c r="B97" s="1459"/>
      <c r="C97" s="1459"/>
    </row>
    <row r="98" spans="1:3" s="1384" customFormat="1">
      <c r="A98" s="1458"/>
      <c r="B98" s="1459"/>
      <c r="C98" s="1459"/>
    </row>
    <row r="99" spans="1:3" s="1384" customFormat="1">
      <c r="A99" s="1458"/>
      <c r="B99" s="1459"/>
      <c r="C99" s="1459"/>
    </row>
    <row r="100" spans="1:3" s="1384" customFormat="1">
      <c r="A100" s="1458"/>
      <c r="B100" s="1459"/>
      <c r="C100" s="1459"/>
    </row>
    <row r="101" spans="1:3" s="1384" customFormat="1">
      <c r="A101" s="1458"/>
      <c r="B101" s="1459"/>
      <c r="C101" s="1459"/>
    </row>
    <row r="102" spans="1:3" s="1384" customFormat="1">
      <c r="A102" s="1458"/>
      <c r="B102" s="1459"/>
      <c r="C102" s="1459"/>
    </row>
    <row r="103" spans="1:3" s="1384" customFormat="1">
      <c r="A103" s="1458"/>
      <c r="B103" s="1459"/>
      <c r="C103" s="1459"/>
    </row>
    <row r="104" spans="1:3" s="1384" customFormat="1">
      <c r="A104" s="1458"/>
      <c r="B104" s="1459"/>
      <c r="C104" s="1459"/>
    </row>
    <row r="105" spans="1:3" s="1384" customFormat="1">
      <c r="A105" s="1458"/>
      <c r="B105" s="1459"/>
      <c r="C105" s="1459"/>
    </row>
    <row r="106" spans="1:3" s="1384" customFormat="1">
      <c r="A106" s="1458"/>
      <c r="B106" s="1459"/>
      <c r="C106" s="1459"/>
    </row>
    <row r="107" spans="1:3" s="1384" customFormat="1">
      <c r="A107" s="1458"/>
      <c r="B107" s="1459"/>
      <c r="C107" s="1459"/>
    </row>
    <row r="108" spans="1:3" s="1384" customFormat="1">
      <c r="A108" s="1458"/>
      <c r="B108" s="1459"/>
      <c r="C108" s="1459"/>
    </row>
    <row r="109" spans="1:3" s="1384" customFormat="1">
      <c r="A109" s="1458"/>
      <c r="B109" s="1459"/>
      <c r="C109" s="1459"/>
    </row>
    <row r="110" spans="1:3" s="1383" customFormat="1">
      <c r="A110" s="1442"/>
      <c r="B110" s="1460"/>
      <c r="C110" s="1460"/>
    </row>
  </sheetData>
  <mergeCells count="1">
    <mergeCell ref="A1:L1"/>
  </mergeCells>
  <hyperlinks>
    <hyperlink ref="A1" location="Globaal!A1" display="Milieu en natuur" xr:uid="{00000000-0004-0000-1900-000000000000}"/>
    <hyperlink ref="A1:F1" location="BURGER!A1" display="Mobiliteit" xr:uid="{00000000-0004-0000-1900-000001000000}"/>
    <hyperlink ref="A1:L1" location="BURGER!A1" display="Mobiliteit" xr:uid="{00000000-0004-0000-1900-000002000000}"/>
  </hyperlinks>
  <pageMargins left="0.7" right="0.7" top="0.75" bottom="0.75" header="0.3" footer="0.3"/>
  <pageSetup paperSize="9"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2C637C"/>
  </sheetPr>
  <dimension ref="A1:T179"/>
  <sheetViews>
    <sheetView zoomScaleNormal="100" workbookViewId="0">
      <selection activeCell="R14" sqref="R14"/>
    </sheetView>
  </sheetViews>
  <sheetFormatPr defaultRowHeight="10.5"/>
  <cols>
    <col min="1" max="1" width="60.28515625" style="1364" bestFit="1" customWidth="1"/>
    <col min="2" max="12" width="9.7109375" style="1364" bestFit="1" customWidth="1"/>
    <col min="13" max="13" width="18.42578125" style="1364" customWidth="1"/>
    <col min="14" max="14" width="14" style="1364" customWidth="1"/>
    <col min="15" max="15" width="11.7109375" style="1364" customWidth="1"/>
    <col min="16" max="16" width="14" style="1364" customWidth="1"/>
    <col min="17" max="18" width="9.140625" style="1364"/>
    <col min="19" max="19" width="9.28515625" style="1364" bestFit="1" customWidth="1"/>
    <col min="20" max="21" width="9.140625" style="1364"/>
    <col min="22" max="22" width="9.28515625" style="1364" bestFit="1" customWidth="1"/>
    <col min="23" max="24" width="9.140625" style="1364"/>
    <col min="25" max="25" width="9.28515625" style="1364" bestFit="1" customWidth="1"/>
    <col min="26" max="27" width="9.140625" style="1364"/>
    <col min="28" max="28" width="9.28515625" style="1364" bestFit="1" customWidth="1"/>
    <col min="29" max="30" width="9.140625" style="1364"/>
    <col min="31" max="31" width="9.28515625" style="1364" bestFit="1" customWidth="1"/>
    <col min="32" max="33" width="9.140625" style="1364"/>
    <col min="34" max="34" width="9.28515625" style="1364" bestFit="1" customWidth="1"/>
    <col min="35" max="35" width="9.140625" style="1364"/>
    <col min="36" max="36" width="7.5703125" style="1364" bestFit="1" customWidth="1"/>
    <col min="37" max="37" width="5.5703125" style="1364" bestFit="1" customWidth="1"/>
    <col min="38" max="38" width="6.7109375" style="1364" bestFit="1" customWidth="1"/>
    <col min="39" max="39" width="9.140625" style="1364"/>
    <col min="40" max="40" width="9.28515625" style="1364" bestFit="1" customWidth="1"/>
    <col min="41" max="42" width="9.140625" style="1364"/>
    <col min="43" max="43" width="9.28515625" style="1364" bestFit="1" customWidth="1"/>
    <col min="44" max="45" width="9.140625" style="1364"/>
    <col min="46" max="46" width="9.28515625" style="1364" bestFit="1" customWidth="1"/>
    <col min="47" max="256" width="9.140625" style="1364"/>
    <col min="257" max="257" width="60.28515625" style="1364" bestFit="1" customWidth="1"/>
    <col min="258" max="268" width="9.7109375" style="1364" bestFit="1" customWidth="1"/>
    <col min="269" max="269" width="18.42578125" style="1364" customWidth="1"/>
    <col min="270" max="291" width="9.140625" style="1364"/>
    <col min="292" max="292" width="7.5703125" style="1364" bestFit="1" customWidth="1"/>
    <col min="293" max="293" width="5" style="1364" bestFit="1" customWidth="1"/>
    <col min="294" max="294" width="6.7109375" style="1364" bestFit="1" customWidth="1"/>
    <col min="295" max="512" width="9.140625" style="1364"/>
    <col min="513" max="513" width="60.28515625" style="1364" bestFit="1" customWidth="1"/>
    <col min="514" max="524" width="9.7109375" style="1364" bestFit="1" customWidth="1"/>
    <col min="525" max="525" width="18.42578125" style="1364" customWidth="1"/>
    <col min="526" max="547" width="9.140625" style="1364"/>
    <col min="548" max="548" width="7.5703125" style="1364" bestFit="1" customWidth="1"/>
    <col min="549" max="549" width="5" style="1364" bestFit="1" customWidth="1"/>
    <col min="550" max="550" width="6.7109375" style="1364" bestFit="1" customWidth="1"/>
    <col min="551" max="768" width="9.140625" style="1364"/>
    <col min="769" max="769" width="60.28515625" style="1364" bestFit="1" customWidth="1"/>
    <col min="770" max="780" width="9.7109375" style="1364" bestFit="1" customWidth="1"/>
    <col min="781" max="781" width="18.42578125" style="1364" customWidth="1"/>
    <col min="782" max="803" width="9.140625" style="1364"/>
    <col min="804" max="804" width="7.5703125" style="1364" bestFit="1" customWidth="1"/>
    <col min="805" max="805" width="5" style="1364" bestFit="1" customWidth="1"/>
    <col min="806" max="806" width="6.7109375" style="1364" bestFit="1" customWidth="1"/>
    <col min="807" max="1024" width="9.140625" style="1364"/>
    <col min="1025" max="1025" width="60.28515625" style="1364" bestFit="1" customWidth="1"/>
    <col min="1026" max="1036" width="9.7109375" style="1364" bestFit="1" customWidth="1"/>
    <col min="1037" max="1037" width="18.42578125" style="1364" customWidth="1"/>
    <col min="1038" max="1059" width="9.140625" style="1364"/>
    <col min="1060" max="1060" width="7.5703125" style="1364" bestFit="1" customWidth="1"/>
    <col min="1061" max="1061" width="5" style="1364" bestFit="1" customWidth="1"/>
    <col min="1062" max="1062" width="6.7109375" style="1364" bestFit="1" customWidth="1"/>
    <col min="1063" max="1280" width="9.140625" style="1364"/>
    <col min="1281" max="1281" width="60.28515625" style="1364" bestFit="1" customWidth="1"/>
    <col min="1282" max="1292" width="9.7109375" style="1364" bestFit="1" customWidth="1"/>
    <col min="1293" max="1293" width="18.42578125" style="1364" customWidth="1"/>
    <col min="1294" max="1315" width="9.140625" style="1364"/>
    <col min="1316" max="1316" width="7.5703125" style="1364" bestFit="1" customWidth="1"/>
    <col min="1317" max="1317" width="5" style="1364" bestFit="1" customWidth="1"/>
    <col min="1318" max="1318" width="6.7109375" style="1364" bestFit="1" customWidth="1"/>
    <col min="1319" max="1536" width="9.140625" style="1364"/>
    <col min="1537" max="1537" width="60.28515625" style="1364" bestFit="1" customWidth="1"/>
    <col min="1538" max="1548" width="9.7109375" style="1364" bestFit="1" customWidth="1"/>
    <col min="1549" max="1549" width="18.42578125" style="1364" customWidth="1"/>
    <col min="1550" max="1571" width="9.140625" style="1364"/>
    <col min="1572" max="1572" width="7.5703125" style="1364" bestFit="1" customWidth="1"/>
    <col min="1573" max="1573" width="5" style="1364" bestFit="1" customWidth="1"/>
    <col min="1574" max="1574" width="6.7109375" style="1364" bestFit="1" customWidth="1"/>
    <col min="1575" max="1792" width="9.140625" style="1364"/>
    <col min="1793" max="1793" width="60.28515625" style="1364" bestFit="1" customWidth="1"/>
    <col min="1794" max="1804" width="9.7109375" style="1364" bestFit="1" customWidth="1"/>
    <col min="1805" max="1805" width="18.42578125" style="1364" customWidth="1"/>
    <col min="1806" max="1827" width="9.140625" style="1364"/>
    <col min="1828" max="1828" width="7.5703125" style="1364" bestFit="1" customWidth="1"/>
    <col min="1829" max="1829" width="5" style="1364" bestFit="1" customWidth="1"/>
    <col min="1830" max="1830" width="6.7109375" style="1364" bestFit="1" customWidth="1"/>
    <col min="1831" max="2048" width="9.140625" style="1364"/>
    <col min="2049" max="2049" width="60.28515625" style="1364" bestFit="1" customWidth="1"/>
    <col min="2050" max="2060" width="9.7109375" style="1364" bestFit="1" customWidth="1"/>
    <col min="2061" max="2061" width="18.42578125" style="1364" customWidth="1"/>
    <col min="2062" max="2083" width="9.140625" style="1364"/>
    <col min="2084" max="2084" width="7.5703125" style="1364" bestFit="1" customWidth="1"/>
    <col min="2085" max="2085" width="5" style="1364" bestFit="1" customWidth="1"/>
    <col min="2086" max="2086" width="6.7109375" style="1364" bestFit="1" customWidth="1"/>
    <col min="2087" max="2304" width="9.140625" style="1364"/>
    <col min="2305" max="2305" width="60.28515625" style="1364" bestFit="1" customWidth="1"/>
    <col min="2306" max="2316" width="9.7109375" style="1364" bestFit="1" customWidth="1"/>
    <col min="2317" max="2317" width="18.42578125" style="1364" customWidth="1"/>
    <col min="2318" max="2339" width="9.140625" style="1364"/>
    <col min="2340" max="2340" width="7.5703125" style="1364" bestFit="1" customWidth="1"/>
    <col min="2341" max="2341" width="5" style="1364" bestFit="1" customWidth="1"/>
    <col min="2342" max="2342" width="6.7109375" style="1364" bestFit="1" customWidth="1"/>
    <col min="2343" max="2560" width="9.140625" style="1364"/>
    <col min="2561" max="2561" width="60.28515625" style="1364" bestFit="1" customWidth="1"/>
    <col min="2562" max="2572" width="9.7109375" style="1364" bestFit="1" customWidth="1"/>
    <col min="2573" max="2573" width="18.42578125" style="1364" customWidth="1"/>
    <col min="2574" max="2595" width="9.140625" style="1364"/>
    <col min="2596" max="2596" width="7.5703125" style="1364" bestFit="1" customWidth="1"/>
    <col min="2597" max="2597" width="5" style="1364" bestFit="1" customWidth="1"/>
    <col min="2598" max="2598" width="6.7109375" style="1364" bestFit="1" customWidth="1"/>
    <col min="2599" max="2816" width="9.140625" style="1364"/>
    <col min="2817" max="2817" width="60.28515625" style="1364" bestFit="1" customWidth="1"/>
    <col min="2818" max="2828" width="9.7109375" style="1364" bestFit="1" customWidth="1"/>
    <col min="2829" max="2829" width="18.42578125" style="1364" customWidth="1"/>
    <col min="2830" max="2851" width="9.140625" style="1364"/>
    <col min="2852" max="2852" width="7.5703125" style="1364" bestFit="1" customWidth="1"/>
    <col min="2853" max="2853" width="5" style="1364" bestFit="1" customWidth="1"/>
    <col min="2854" max="2854" width="6.7109375" style="1364" bestFit="1" customWidth="1"/>
    <col min="2855" max="3072" width="9.140625" style="1364"/>
    <col min="3073" max="3073" width="60.28515625" style="1364" bestFit="1" customWidth="1"/>
    <col min="3074" max="3084" width="9.7109375" style="1364" bestFit="1" customWidth="1"/>
    <col min="3085" max="3085" width="18.42578125" style="1364" customWidth="1"/>
    <col min="3086" max="3107" width="9.140625" style="1364"/>
    <col min="3108" max="3108" width="7.5703125" style="1364" bestFit="1" customWidth="1"/>
    <col min="3109" max="3109" width="5" style="1364" bestFit="1" customWidth="1"/>
    <col min="3110" max="3110" width="6.7109375" style="1364" bestFit="1" customWidth="1"/>
    <col min="3111" max="3328" width="9.140625" style="1364"/>
    <col min="3329" max="3329" width="60.28515625" style="1364" bestFit="1" customWidth="1"/>
    <col min="3330" max="3340" width="9.7109375" style="1364" bestFit="1" customWidth="1"/>
    <col min="3341" max="3341" width="18.42578125" style="1364" customWidth="1"/>
    <col min="3342" max="3363" width="9.140625" style="1364"/>
    <col min="3364" max="3364" width="7.5703125" style="1364" bestFit="1" customWidth="1"/>
    <col min="3365" max="3365" width="5" style="1364" bestFit="1" customWidth="1"/>
    <col min="3366" max="3366" width="6.7109375" style="1364" bestFit="1" customWidth="1"/>
    <col min="3367" max="3584" width="9.140625" style="1364"/>
    <col min="3585" max="3585" width="60.28515625" style="1364" bestFit="1" customWidth="1"/>
    <col min="3586" max="3596" width="9.7109375" style="1364" bestFit="1" customWidth="1"/>
    <col min="3597" max="3597" width="18.42578125" style="1364" customWidth="1"/>
    <col min="3598" max="3619" width="9.140625" style="1364"/>
    <col min="3620" max="3620" width="7.5703125" style="1364" bestFit="1" customWidth="1"/>
    <col min="3621" max="3621" width="5" style="1364" bestFit="1" customWidth="1"/>
    <col min="3622" max="3622" width="6.7109375" style="1364" bestFit="1" customWidth="1"/>
    <col min="3623" max="3840" width="9.140625" style="1364"/>
    <col min="3841" max="3841" width="60.28515625" style="1364" bestFit="1" customWidth="1"/>
    <col min="3842" max="3852" width="9.7109375" style="1364" bestFit="1" customWidth="1"/>
    <col min="3853" max="3853" width="18.42578125" style="1364" customWidth="1"/>
    <col min="3854" max="3875" width="9.140625" style="1364"/>
    <col min="3876" max="3876" width="7.5703125" style="1364" bestFit="1" customWidth="1"/>
    <col min="3877" max="3877" width="5" style="1364" bestFit="1" customWidth="1"/>
    <col min="3878" max="3878" width="6.7109375" style="1364" bestFit="1" customWidth="1"/>
    <col min="3879" max="4096" width="9.140625" style="1364"/>
    <col min="4097" max="4097" width="60.28515625" style="1364" bestFit="1" customWidth="1"/>
    <col min="4098" max="4108" width="9.7109375" style="1364" bestFit="1" customWidth="1"/>
    <col min="4109" max="4109" width="18.42578125" style="1364" customWidth="1"/>
    <col min="4110" max="4131" width="9.140625" style="1364"/>
    <col min="4132" max="4132" width="7.5703125" style="1364" bestFit="1" customWidth="1"/>
    <col min="4133" max="4133" width="5" style="1364" bestFit="1" customWidth="1"/>
    <col min="4134" max="4134" width="6.7109375" style="1364" bestFit="1" customWidth="1"/>
    <col min="4135" max="4352" width="9.140625" style="1364"/>
    <col min="4353" max="4353" width="60.28515625" style="1364" bestFit="1" customWidth="1"/>
    <col min="4354" max="4364" width="9.7109375" style="1364" bestFit="1" customWidth="1"/>
    <col min="4365" max="4365" width="18.42578125" style="1364" customWidth="1"/>
    <col min="4366" max="4387" width="9.140625" style="1364"/>
    <col min="4388" max="4388" width="7.5703125" style="1364" bestFit="1" customWidth="1"/>
    <col min="4389" max="4389" width="5" style="1364" bestFit="1" customWidth="1"/>
    <col min="4390" max="4390" width="6.7109375" style="1364" bestFit="1" customWidth="1"/>
    <col min="4391" max="4608" width="9.140625" style="1364"/>
    <col min="4609" max="4609" width="60.28515625" style="1364" bestFit="1" customWidth="1"/>
    <col min="4610" max="4620" width="9.7109375" style="1364" bestFit="1" customWidth="1"/>
    <col min="4621" max="4621" width="18.42578125" style="1364" customWidth="1"/>
    <col min="4622" max="4643" width="9.140625" style="1364"/>
    <col min="4644" max="4644" width="7.5703125" style="1364" bestFit="1" customWidth="1"/>
    <col min="4645" max="4645" width="5" style="1364" bestFit="1" customWidth="1"/>
    <col min="4646" max="4646" width="6.7109375" style="1364" bestFit="1" customWidth="1"/>
    <col min="4647" max="4864" width="9.140625" style="1364"/>
    <col min="4865" max="4865" width="60.28515625" style="1364" bestFit="1" customWidth="1"/>
    <col min="4866" max="4876" width="9.7109375" style="1364" bestFit="1" customWidth="1"/>
    <col min="4877" max="4877" width="18.42578125" style="1364" customWidth="1"/>
    <col min="4878" max="4899" width="9.140625" style="1364"/>
    <col min="4900" max="4900" width="7.5703125" style="1364" bestFit="1" customWidth="1"/>
    <col min="4901" max="4901" width="5" style="1364" bestFit="1" customWidth="1"/>
    <col min="4902" max="4902" width="6.7109375" style="1364" bestFit="1" customWidth="1"/>
    <col min="4903" max="5120" width="9.140625" style="1364"/>
    <col min="5121" max="5121" width="60.28515625" style="1364" bestFit="1" customWidth="1"/>
    <col min="5122" max="5132" width="9.7109375" style="1364" bestFit="1" customWidth="1"/>
    <col min="5133" max="5133" width="18.42578125" style="1364" customWidth="1"/>
    <col min="5134" max="5155" width="9.140625" style="1364"/>
    <col min="5156" max="5156" width="7.5703125" style="1364" bestFit="1" customWidth="1"/>
    <col min="5157" max="5157" width="5" style="1364" bestFit="1" customWidth="1"/>
    <col min="5158" max="5158" width="6.7109375" style="1364" bestFit="1" customWidth="1"/>
    <col min="5159" max="5376" width="9.140625" style="1364"/>
    <col min="5377" max="5377" width="60.28515625" style="1364" bestFit="1" customWidth="1"/>
    <col min="5378" max="5388" width="9.7109375" style="1364" bestFit="1" customWidth="1"/>
    <col min="5389" max="5389" width="18.42578125" style="1364" customWidth="1"/>
    <col min="5390" max="5411" width="9.140625" style="1364"/>
    <col min="5412" max="5412" width="7.5703125" style="1364" bestFit="1" customWidth="1"/>
    <col min="5413" max="5413" width="5" style="1364" bestFit="1" customWidth="1"/>
    <col min="5414" max="5414" width="6.7109375" style="1364" bestFit="1" customWidth="1"/>
    <col min="5415" max="5632" width="9.140625" style="1364"/>
    <col min="5633" max="5633" width="60.28515625" style="1364" bestFit="1" customWidth="1"/>
    <col min="5634" max="5644" width="9.7109375" style="1364" bestFit="1" customWidth="1"/>
    <col min="5645" max="5645" width="18.42578125" style="1364" customWidth="1"/>
    <col min="5646" max="5667" width="9.140625" style="1364"/>
    <col min="5668" max="5668" width="7.5703125" style="1364" bestFit="1" customWidth="1"/>
    <col min="5669" max="5669" width="5" style="1364" bestFit="1" customWidth="1"/>
    <col min="5670" max="5670" width="6.7109375" style="1364" bestFit="1" customWidth="1"/>
    <col min="5671" max="5888" width="9.140625" style="1364"/>
    <col min="5889" max="5889" width="60.28515625" style="1364" bestFit="1" customWidth="1"/>
    <col min="5890" max="5900" width="9.7109375" style="1364" bestFit="1" customWidth="1"/>
    <col min="5901" max="5901" width="18.42578125" style="1364" customWidth="1"/>
    <col min="5902" max="5923" width="9.140625" style="1364"/>
    <col min="5924" max="5924" width="7.5703125" style="1364" bestFit="1" customWidth="1"/>
    <col min="5925" max="5925" width="5" style="1364" bestFit="1" customWidth="1"/>
    <col min="5926" max="5926" width="6.7109375" style="1364" bestFit="1" customWidth="1"/>
    <col min="5927" max="6144" width="9.140625" style="1364"/>
    <col min="6145" max="6145" width="60.28515625" style="1364" bestFit="1" customWidth="1"/>
    <col min="6146" max="6156" width="9.7109375" style="1364" bestFit="1" customWidth="1"/>
    <col min="6157" max="6157" width="18.42578125" style="1364" customWidth="1"/>
    <col min="6158" max="6179" width="9.140625" style="1364"/>
    <col min="6180" max="6180" width="7.5703125" style="1364" bestFit="1" customWidth="1"/>
    <col min="6181" max="6181" width="5" style="1364" bestFit="1" customWidth="1"/>
    <col min="6182" max="6182" width="6.7109375" style="1364" bestFit="1" customWidth="1"/>
    <col min="6183" max="6400" width="9.140625" style="1364"/>
    <col min="6401" max="6401" width="60.28515625" style="1364" bestFit="1" customWidth="1"/>
    <col min="6402" max="6412" width="9.7109375" style="1364" bestFit="1" customWidth="1"/>
    <col min="6413" max="6413" width="18.42578125" style="1364" customWidth="1"/>
    <col min="6414" max="6435" width="9.140625" style="1364"/>
    <col min="6436" max="6436" width="7.5703125" style="1364" bestFit="1" customWidth="1"/>
    <col min="6437" max="6437" width="5" style="1364" bestFit="1" customWidth="1"/>
    <col min="6438" max="6438" width="6.7109375" style="1364" bestFit="1" customWidth="1"/>
    <col min="6439" max="6656" width="9.140625" style="1364"/>
    <col min="6657" max="6657" width="60.28515625" style="1364" bestFit="1" customWidth="1"/>
    <col min="6658" max="6668" width="9.7109375" style="1364" bestFit="1" customWidth="1"/>
    <col min="6669" max="6669" width="18.42578125" style="1364" customWidth="1"/>
    <col min="6670" max="6691" width="9.140625" style="1364"/>
    <col min="6692" max="6692" width="7.5703125" style="1364" bestFit="1" customWidth="1"/>
    <col min="6693" max="6693" width="5" style="1364" bestFit="1" customWidth="1"/>
    <col min="6694" max="6694" width="6.7109375" style="1364" bestFit="1" customWidth="1"/>
    <col min="6695" max="6912" width="9.140625" style="1364"/>
    <col min="6913" max="6913" width="60.28515625" style="1364" bestFit="1" customWidth="1"/>
    <col min="6914" max="6924" width="9.7109375" style="1364" bestFit="1" customWidth="1"/>
    <col min="6925" max="6925" width="18.42578125" style="1364" customWidth="1"/>
    <col min="6926" max="6947" width="9.140625" style="1364"/>
    <col min="6948" max="6948" width="7.5703125" style="1364" bestFit="1" customWidth="1"/>
    <col min="6949" max="6949" width="5" style="1364" bestFit="1" customWidth="1"/>
    <col min="6950" max="6950" width="6.7109375" style="1364" bestFit="1" customWidth="1"/>
    <col min="6951" max="7168" width="9.140625" style="1364"/>
    <col min="7169" max="7169" width="60.28515625" style="1364" bestFit="1" customWidth="1"/>
    <col min="7170" max="7180" width="9.7109375" style="1364" bestFit="1" customWidth="1"/>
    <col min="7181" max="7181" width="18.42578125" style="1364" customWidth="1"/>
    <col min="7182" max="7203" width="9.140625" style="1364"/>
    <col min="7204" max="7204" width="7.5703125" style="1364" bestFit="1" customWidth="1"/>
    <col min="7205" max="7205" width="5" style="1364" bestFit="1" customWidth="1"/>
    <col min="7206" max="7206" width="6.7109375" style="1364" bestFit="1" customWidth="1"/>
    <col min="7207" max="7424" width="9.140625" style="1364"/>
    <col min="7425" max="7425" width="60.28515625" style="1364" bestFit="1" customWidth="1"/>
    <col min="7426" max="7436" width="9.7109375" style="1364" bestFit="1" customWidth="1"/>
    <col min="7437" max="7437" width="18.42578125" style="1364" customWidth="1"/>
    <col min="7438" max="7459" width="9.140625" style="1364"/>
    <col min="7460" max="7460" width="7.5703125" style="1364" bestFit="1" customWidth="1"/>
    <col min="7461" max="7461" width="5" style="1364" bestFit="1" customWidth="1"/>
    <col min="7462" max="7462" width="6.7109375" style="1364" bestFit="1" customWidth="1"/>
    <col min="7463" max="7680" width="9.140625" style="1364"/>
    <col min="7681" max="7681" width="60.28515625" style="1364" bestFit="1" customWidth="1"/>
    <col min="7682" max="7692" width="9.7109375" style="1364" bestFit="1" customWidth="1"/>
    <col min="7693" max="7693" width="18.42578125" style="1364" customWidth="1"/>
    <col min="7694" max="7715" width="9.140625" style="1364"/>
    <col min="7716" max="7716" width="7.5703125" style="1364" bestFit="1" customWidth="1"/>
    <col min="7717" max="7717" width="5" style="1364" bestFit="1" customWidth="1"/>
    <col min="7718" max="7718" width="6.7109375" style="1364" bestFit="1" customWidth="1"/>
    <col min="7719" max="7936" width="9.140625" style="1364"/>
    <col min="7937" max="7937" width="60.28515625" style="1364" bestFit="1" customWidth="1"/>
    <col min="7938" max="7948" width="9.7109375" style="1364" bestFit="1" customWidth="1"/>
    <col min="7949" max="7949" width="18.42578125" style="1364" customWidth="1"/>
    <col min="7950" max="7971" width="9.140625" style="1364"/>
    <col min="7972" max="7972" width="7.5703125" style="1364" bestFit="1" customWidth="1"/>
    <col min="7973" max="7973" width="5" style="1364" bestFit="1" customWidth="1"/>
    <col min="7974" max="7974" width="6.7109375" style="1364" bestFit="1" customWidth="1"/>
    <col min="7975" max="8192" width="9.140625" style="1364"/>
    <col min="8193" max="8193" width="60.28515625" style="1364" bestFit="1" customWidth="1"/>
    <col min="8194" max="8204" width="9.7109375" style="1364" bestFit="1" customWidth="1"/>
    <col min="8205" max="8205" width="18.42578125" style="1364" customWidth="1"/>
    <col min="8206" max="8227" width="9.140625" style="1364"/>
    <col min="8228" max="8228" width="7.5703125" style="1364" bestFit="1" customWidth="1"/>
    <col min="8229" max="8229" width="5" style="1364" bestFit="1" customWidth="1"/>
    <col min="8230" max="8230" width="6.7109375" style="1364" bestFit="1" customWidth="1"/>
    <col min="8231" max="8448" width="9.140625" style="1364"/>
    <col min="8449" max="8449" width="60.28515625" style="1364" bestFit="1" customWidth="1"/>
    <col min="8450" max="8460" width="9.7109375" style="1364" bestFit="1" customWidth="1"/>
    <col min="8461" max="8461" width="18.42578125" style="1364" customWidth="1"/>
    <col min="8462" max="8483" width="9.140625" style="1364"/>
    <col min="8484" max="8484" width="7.5703125" style="1364" bestFit="1" customWidth="1"/>
    <col min="8485" max="8485" width="5" style="1364" bestFit="1" customWidth="1"/>
    <col min="8486" max="8486" width="6.7109375" style="1364" bestFit="1" customWidth="1"/>
    <col min="8487" max="8704" width="9.140625" style="1364"/>
    <col min="8705" max="8705" width="60.28515625" style="1364" bestFit="1" customWidth="1"/>
    <col min="8706" max="8716" width="9.7109375" style="1364" bestFit="1" customWidth="1"/>
    <col min="8717" max="8717" width="18.42578125" style="1364" customWidth="1"/>
    <col min="8718" max="8739" width="9.140625" style="1364"/>
    <col min="8740" max="8740" width="7.5703125" style="1364" bestFit="1" customWidth="1"/>
    <col min="8741" max="8741" width="5" style="1364" bestFit="1" customWidth="1"/>
    <col min="8742" max="8742" width="6.7109375" style="1364" bestFit="1" customWidth="1"/>
    <col min="8743" max="8960" width="9.140625" style="1364"/>
    <col min="8961" max="8961" width="60.28515625" style="1364" bestFit="1" customWidth="1"/>
    <col min="8962" max="8972" width="9.7109375" style="1364" bestFit="1" customWidth="1"/>
    <col min="8973" max="8973" width="18.42578125" style="1364" customWidth="1"/>
    <col min="8974" max="8995" width="9.140625" style="1364"/>
    <col min="8996" max="8996" width="7.5703125" style="1364" bestFit="1" customWidth="1"/>
    <col min="8997" max="8997" width="5" style="1364" bestFit="1" customWidth="1"/>
    <col min="8998" max="8998" width="6.7109375" style="1364" bestFit="1" customWidth="1"/>
    <col min="8999" max="9216" width="9.140625" style="1364"/>
    <col min="9217" max="9217" width="60.28515625" style="1364" bestFit="1" customWidth="1"/>
    <col min="9218" max="9228" width="9.7109375" style="1364" bestFit="1" customWidth="1"/>
    <col min="9229" max="9229" width="18.42578125" style="1364" customWidth="1"/>
    <col min="9230" max="9251" width="9.140625" style="1364"/>
    <col min="9252" max="9252" width="7.5703125" style="1364" bestFit="1" customWidth="1"/>
    <col min="9253" max="9253" width="5" style="1364" bestFit="1" customWidth="1"/>
    <col min="9254" max="9254" width="6.7109375" style="1364" bestFit="1" customWidth="1"/>
    <col min="9255" max="9472" width="9.140625" style="1364"/>
    <col min="9473" max="9473" width="60.28515625" style="1364" bestFit="1" customWidth="1"/>
    <col min="9474" max="9484" width="9.7109375" style="1364" bestFit="1" customWidth="1"/>
    <col min="9485" max="9485" width="18.42578125" style="1364" customWidth="1"/>
    <col min="9486" max="9507" width="9.140625" style="1364"/>
    <col min="9508" max="9508" width="7.5703125" style="1364" bestFit="1" customWidth="1"/>
    <col min="9509" max="9509" width="5" style="1364" bestFit="1" customWidth="1"/>
    <col min="9510" max="9510" width="6.7109375" style="1364" bestFit="1" customWidth="1"/>
    <col min="9511" max="9728" width="9.140625" style="1364"/>
    <col min="9729" max="9729" width="60.28515625" style="1364" bestFit="1" customWidth="1"/>
    <col min="9730" max="9740" width="9.7109375" style="1364" bestFit="1" customWidth="1"/>
    <col min="9741" max="9741" width="18.42578125" style="1364" customWidth="1"/>
    <col min="9742" max="9763" width="9.140625" style="1364"/>
    <col min="9764" max="9764" width="7.5703125" style="1364" bestFit="1" customWidth="1"/>
    <col min="9765" max="9765" width="5" style="1364" bestFit="1" customWidth="1"/>
    <col min="9766" max="9766" width="6.7109375" style="1364" bestFit="1" customWidth="1"/>
    <col min="9767" max="9984" width="9.140625" style="1364"/>
    <col min="9985" max="9985" width="60.28515625" style="1364" bestFit="1" customWidth="1"/>
    <col min="9986" max="9996" width="9.7109375" style="1364" bestFit="1" customWidth="1"/>
    <col min="9997" max="9997" width="18.42578125" style="1364" customWidth="1"/>
    <col min="9998" max="10019" width="9.140625" style="1364"/>
    <col min="10020" max="10020" width="7.5703125" style="1364" bestFit="1" customWidth="1"/>
    <col min="10021" max="10021" width="5" style="1364" bestFit="1" customWidth="1"/>
    <col min="10022" max="10022" width="6.7109375" style="1364" bestFit="1" customWidth="1"/>
    <col min="10023" max="10240" width="9.140625" style="1364"/>
    <col min="10241" max="10241" width="60.28515625" style="1364" bestFit="1" customWidth="1"/>
    <col min="10242" max="10252" width="9.7109375" style="1364" bestFit="1" customWidth="1"/>
    <col min="10253" max="10253" width="18.42578125" style="1364" customWidth="1"/>
    <col min="10254" max="10275" width="9.140625" style="1364"/>
    <col min="10276" max="10276" width="7.5703125" style="1364" bestFit="1" customWidth="1"/>
    <col min="10277" max="10277" width="5" style="1364" bestFit="1" customWidth="1"/>
    <col min="10278" max="10278" width="6.7109375" style="1364" bestFit="1" customWidth="1"/>
    <col min="10279" max="10496" width="9.140625" style="1364"/>
    <col min="10497" max="10497" width="60.28515625" style="1364" bestFit="1" customWidth="1"/>
    <col min="10498" max="10508" width="9.7109375" style="1364" bestFit="1" customWidth="1"/>
    <col min="10509" max="10509" width="18.42578125" style="1364" customWidth="1"/>
    <col min="10510" max="10531" width="9.140625" style="1364"/>
    <col min="10532" max="10532" width="7.5703125" style="1364" bestFit="1" customWidth="1"/>
    <col min="10533" max="10533" width="5" style="1364" bestFit="1" customWidth="1"/>
    <col min="10534" max="10534" width="6.7109375" style="1364" bestFit="1" customWidth="1"/>
    <col min="10535" max="10752" width="9.140625" style="1364"/>
    <col min="10753" max="10753" width="60.28515625" style="1364" bestFit="1" customWidth="1"/>
    <col min="10754" max="10764" width="9.7109375" style="1364" bestFit="1" customWidth="1"/>
    <col min="10765" max="10765" width="18.42578125" style="1364" customWidth="1"/>
    <col min="10766" max="10787" width="9.140625" style="1364"/>
    <col min="10788" max="10788" width="7.5703125" style="1364" bestFit="1" customWidth="1"/>
    <col min="10789" max="10789" width="5" style="1364" bestFit="1" customWidth="1"/>
    <col min="10790" max="10790" width="6.7109375" style="1364" bestFit="1" customWidth="1"/>
    <col min="10791" max="11008" width="9.140625" style="1364"/>
    <col min="11009" max="11009" width="60.28515625" style="1364" bestFit="1" customWidth="1"/>
    <col min="11010" max="11020" width="9.7109375" style="1364" bestFit="1" customWidth="1"/>
    <col min="11021" max="11021" width="18.42578125" style="1364" customWidth="1"/>
    <col min="11022" max="11043" width="9.140625" style="1364"/>
    <col min="11044" max="11044" width="7.5703125" style="1364" bestFit="1" customWidth="1"/>
    <col min="11045" max="11045" width="5" style="1364" bestFit="1" customWidth="1"/>
    <col min="11046" max="11046" width="6.7109375" style="1364" bestFit="1" customWidth="1"/>
    <col min="11047" max="11264" width="9.140625" style="1364"/>
    <col min="11265" max="11265" width="60.28515625" style="1364" bestFit="1" customWidth="1"/>
    <col min="11266" max="11276" width="9.7109375" style="1364" bestFit="1" customWidth="1"/>
    <col min="11277" max="11277" width="18.42578125" style="1364" customWidth="1"/>
    <col min="11278" max="11299" width="9.140625" style="1364"/>
    <col min="11300" max="11300" width="7.5703125" style="1364" bestFit="1" customWidth="1"/>
    <col min="11301" max="11301" width="5" style="1364" bestFit="1" customWidth="1"/>
    <col min="11302" max="11302" width="6.7109375" style="1364" bestFit="1" customWidth="1"/>
    <col min="11303" max="11520" width="9.140625" style="1364"/>
    <col min="11521" max="11521" width="60.28515625" style="1364" bestFit="1" customWidth="1"/>
    <col min="11522" max="11532" width="9.7109375" style="1364" bestFit="1" customWidth="1"/>
    <col min="11533" max="11533" width="18.42578125" style="1364" customWidth="1"/>
    <col min="11534" max="11555" width="9.140625" style="1364"/>
    <col min="11556" max="11556" width="7.5703125" style="1364" bestFit="1" customWidth="1"/>
    <col min="11557" max="11557" width="5" style="1364" bestFit="1" customWidth="1"/>
    <col min="11558" max="11558" width="6.7109375" style="1364" bestFit="1" customWidth="1"/>
    <col min="11559" max="11776" width="9.140625" style="1364"/>
    <col min="11777" max="11777" width="60.28515625" style="1364" bestFit="1" customWidth="1"/>
    <col min="11778" max="11788" width="9.7109375" style="1364" bestFit="1" customWidth="1"/>
    <col min="11789" max="11789" width="18.42578125" style="1364" customWidth="1"/>
    <col min="11790" max="11811" width="9.140625" style="1364"/>
    <col min="11812" max="11812" width="7.5703125" style="1364" bestFit="1" customWidth="1"/>
    <col min="11813" max="11813" width="5" style="1364" bestFit="1" customWidth="1"/>
    <col min="11814" max="11814" width="6.7109375" style="1364" bestFit="1" customWidth="1"/>
    <col min="11815" max="12032" width="9.140625" style="1364"/>
    <col min="12033" max="12033" width="60.28515625" style="1364" bestFit="1" customWidth="1"/>
    <col min="12034" max="12044" width="9.7109375" style="1364" bestFit="1" customWidth="1"/>
    <col min="12045" max="12045" width="18.42578125" style="1364" customWidth="1"/>
    <col min="12046" max="12067" width="9.140625" style="1364"/>
    <col min="12068" max="12068" width="7.5703125" style="1364" bestFit="1" customWidth="1"/>
    <col min="12069" max="12069" width="5" style="1364" bestFit="1" customWidth="1"/>
    <col min="12070" max="12070" width="6.7109375" style="1364" bestFit="1" customWidth="1"/>
    <col min="12071" max="12288" width="9.140625" style="1364"/>
    <col min="12289" max="12289" width="60.28515625" style="1364" bestFit="1" customWidth="1"/>
    <col min="12290" max="12300" width="9.7109375" style="1364" bestFit="1" customWidth="1"/>
    <col min="12301" max="12301" width="18.42578125" style="1364" customWidth="1"/>
    <col min="12302" max="12323" width="9.140625" style="1364"/>
    <col min="12324" max="12324" width="7.5703125" style="1364" bestFit="1" customWidth="1"/>
    <col min="12325" max="12325" width="5" style="1364" bestFit="1" customWidth="1"/>
    <col min="12326" max="12326" width="6.7109375" style="1364" bestFit="1" customWidth="1"/>
    <col min="12327" max="12544" width="9.140625" style="1364"/>
    <col min="12545" max="12545" width="60.28515625" style="1364" bestFit="1" customWidth="1"/>
    <col min="12546" max="12556" width="9.7109375" style="1364" bestFit="1" customWidth="1"/>
    <col min="12557" max="12557" width="18.42578125" style="1364" customWidth="1"/>
    <col min="12558" max="12579" width="9.140625" style="1364"/>
    <col min="12580" max="12580" width="7.5703125" style="1364" bestFit="1" customWidth="1"/>
    <col min="12581" max="12581" width="5" style="1364" bestFit="1" customWidth="1"/>
    <col min="12582" max="12582" width="6.7109375" style="1364" bestFit="1" customWidth="1"/>
    <col min="12583" max="12800" width="9.140625" style="1364"/>
    <col min="12801" max="12801" width="60.28515625" style="1364" bestFit="1" customWidth="1"/>
    <col min="12802" max="12812" width="9.7109375" style="1364" bestFit="1" customWidth="1"/>
    <col min="12813" max="12813" width="18.42578125" style="1364" customWidth="1"/>
    <col min="12814" max="12835" width="9.140625" style="1364"/>
    <col min="12836" max="12836" width="7.5703125" style="1364" bestFit="1" customWidth="1"/>
    <col min="12837" max="12837" width="5" style="1364" bestFit="1" customWidth="1"/>
    <col min="12838" max="12838" width="6.7109375" style="1364" bestFit="1" customWidth="1"/>
    <col min="12839" max="13056" width="9.140625" style="1364"/>
    <col min="13057" max="13057" width="60.28515625" style="1364" bestFit="1" customWidth="1"/>
    <col min="13058" max="13068" width="9.7109375" style="1364" bestFit="1" customWidth="1"/>
    <col min="13069" max="13069" width="18.42578125" style="1364" customWidth="1"/>
    <col min="13070" max="13091" width="9.140625" style="1364"/>
    <col min="13092" max="13092" width="7.5703125" style="1364" bestFit="1" customWidth="1"/>
    <col min="13093" max="13093" width="5" style="1364" bestFit="1" customWidth="1"/>
    <col min="13094" max="13094" width="6.7109375" style="1364" bestFit="1" customWidth="1"/>
    <col min="13095" max="13312" width="9.140625" style="1364"/>
    <col min="13313" max="13313" width="60.28515625" style="1364" bestFit="1" customWidth="1"/>
    <col min="13314" max="13324" width="9.7109375" style="1364" bestFit="1" customWidth="1"/>
    <col min="13325" max="13325" width="18.42578125" style="1364" customWidth="1"/>
    <col min="13326" max="13347" width="9.140625" style="1364"/>
    <col min="13348" max="13348" width="7.5703125" style="1364" bestFit="1" customWidth="1"/>
    <col min="13349" max="13349" width="5" style="1364" bestFit="1" customWidth="1"/>
    <col min="13350" max="13350" width="6.7109375" style="1364" bestFit="1" customWidth="1"/>
    <col min="13351" max="13568" width="9.140625" style="1364"/>
    <col min="13569" max="13569" width="60.28515625" style="1364" bestFit="1" customWidth="1"/>
    <col min="13570" max="13580" width="9.7109375" style="1364" bestFit="1" customWidth="1"/>
    <col min="13581" max="13581" width="18.42578125" style="1364" customWidth="1"/>
    <col min="13582" max="13603" width="9.140625" style="1364"/>
    <col min="13604" max="13604" width="7.5703125" style="1364" bestFit="1" customWidth="1"/>
    <col min="13605" max="13605" width="5" style="1364" bestFit="1" customWidth="1"/>
    <col min="13606" max="13606" width="6.7109375" style="1364" bestFit="1" customWidth="1"/>
    <col min="13607" max="13824" width="9.140625" style="1364"/>
    <col min="13825" max="13825" width="60.28515625" style="1364" bestFit="1" customWidth="1"/>
    <col min="13826" max="13836" width="9.7109375" style="1364" bestFit="1" customWidth="1"/>
    <col min="13837" max="13837" width="18.42578125" style="1364" customWidth="1"/>
    <col min="13838" max="13859" width="9.140625" style="1364"/>
    <col min="13860" max="13860" width="7.5703125" style="1364" bestFit="1" customWidth="1"/>
    <col min="13861" max="13861" width="5" style="1364" bestFit="1" customWidth="1"/>
    <col min="13862" max="13862" width="6.7109375" style="1364" bestFit="1" customWidth="1"/>
    <col min="13863" max="14080" width="9.140625" style="1364"/>
    <col min="14081" max="14081" width="60.28515625" style="1364" bestFit="1" customWidth="1"/>
    <col min="14082" max="14092" width="9.7109375" style="1364" bestFit="1" customWidth="1"/>
    <col min="14093" max="14093" width="18.42578125" style="1364" customWidth="1"/>
    <col min="14094" max="14115" width="9.140625" style="1364"/>
    <col min="14116" max="14116" width="7.5703125" style="1364" bestFit="1" customWidth="1"/>
    <col min="14117" max="14117" width="5" style="1364" bestFit="1" customWidth="1"/>
    <col min="14118" max="14118" width="6.7109375" style="1364" bestFit="1" customWidth="1"/>
    <col min="14119" max="14336" width="9.140625" style="1364"/>
    <col min="14337" max="14337" width="60.28515625" style="1364" bestFit="1" customWidth="1"/>
    <col min="14338" max="14348" width="9.7109375" style="1364" bestFit="1" customWidth="1"/>
    <col min="14349" max="14349" width="18.42578125" style="1364" customWidth="1"/>
    <col min="14350" max="14371" width="9.140625" style="1364"/>
    <col min="14372" max="14372" width="7.5703125" style="1364" bestFit="1" customWidth="1"/>
    <col min="14373" max="14373" width="5" style="1364" bestFit="1" customWidth="1"/>
    <col min="14374" max="14374" width="6.7109375" style="1364" bestFit="1" customWidth="1"/>
    <col min="14375" max="14592" width="9.140625" style="1364"/>
    <col min="14593" max="14593" width="60.28515625" style="1364" bestFit="1" customWidth="1"/>
    <col min="14594" max="14604" width="9.7109375" style="1364" bestFit="1" customWidth="1"/>
    <col min="14605" max="14605" width="18.42578125" style="1364" customWidth="1"/>
    <col min="14606" max="14627" width="9.140625" style="1364"/>
    <col min="14628" max="14628" width="7.5703125" style="1364" bestFit="1" customWidth="1"/>
    <col min="14629" max="14629" width="5" style="1364" bestFit="1" customWidth="1"/>
    <col min="14630" max="14630" width="6.7109375" style="1364" bestFit="1" customWidth="1"/>
    <col min="14631" max="14848" width="9.140625" style="1364"/>
    <col min="14849" max="14849" width="60.28515625" style="1364" bestFit="1" customWidth="1"/>
    <col min="14850" max="14860" width="9.7109375" style="1364" bestFit="1" customWidth="1"/>
    <col min="14861" max="14861" width="18.42578125" style="1364" customWidth="1"/>
    <col min="14862" max="14883" width="9.140625" style="1364"/>
    <col min="14884" max="14884" width="7.5703125" style="1364" bestFit="1" customWidth="1"/>
    <col min="14885" max="14885" width="5" style="1364" bestFit="1" customWidth="1"/>
    <col min="14886" max="14886" width="6.7109375" style="1364" bestFit="1" customWidth="1"/>
    <col min="14887" max="15104" width="9.140625" style="1364"/>
    <col min="15105" max="15105" width="60.28515625" style="1364" bestFit="1" customWidth="1"/>
    <col min="15106" max="15116" width="9.7109375" style="1364" bestFit="1" customWidth="1"/>
    <col min="15117" max="15117" width="18.42578125" style="1364" customWidth="1"/>
    <col min="15118" max="15139" width="9.140625" style="1364"/>
    <col min="15140" max="15140" width="7.5703125" style="1364" bestFit="1" customWidth="1"/>
    <col min="15141" max="15141" width="5" style="1364" bestFit="1" customWidth="1"/>
    <col min="15142" max="15142" width="6.7109375" style="1364" bestFit="1" customWidth="1"/>
    <col min="15143" max="15360" width="9.140625" style="1364"/>
    <col min="15361" max="15361" width="60.28515625" style="1364" bestFit="1" customWidth="1"/>
    <col min="15362" max="15372" width="9.7109375" style="1364" bestFit="1" customWidth="1"/>
    <col min="15373" max="15373" width="18.42578125" style="1364" customWidth="1"/>
    <col min="15374" max="15395" width="9.140625" style="1364"/>
    <col min="15396" max="15396" width="7.5703125" style="1364" bestFit="1" customWidth="1"/>
    <col min="15397" max="15397" width="5" style="1364" bestFit="1" customWidth="1"/>
    <col min="15398" max="15398" width="6.7109375" style="1364" bestFit="1" customWidth="1"/>
    <col min="15399" max="15616" width="9.140625" style="1364"/>
    <col min="15617" max="15617" width="60.28515625" style="1364" bestFit="1" customWidth="1"/>
    <col min="15618" max="15628" width="9.7109375" style="1364" bestFit="1" customWidth="1"/>
    <col min="15629" max="15629" width="18.42578125" style="1364" customWidth="1"/>
    <col min="15630" max="15651" width="9.140625" style="1364"/>
    <col min="15652" max="15652" width="7.5703125" style="1364" bestFit="1" customWidth="1"/>
    <col min="15653" max="15653" width="5" style="1364" bestFit="1" customWidth="1"/>
    <col min="15654" max="15654" width="6.7109375" style="1364" bestFit="1" customWidth="1"/>
    <col min="15655" max="15872" width="9.140625" style="1364"/>
    <col min="15873" max="15873" width="60.28515625" style="1364" bestFit="1" customWidth="1"/>
    <col min="15874" max="15884" width="9.7109375" style="1364" bestFit="1" customWidth="1"/>
    <col min="15885" max="15885" width="18.42578125" style="1364" customWidth="1"/>
    <col min="15886" max="15907" width="9.140625" style="1364"/>
    <col min="15908" max="15908" width="7.5703125" style="1364" bestFit="1" customWidth="1"/>
    <col min="15909" max="15909" width="5" style="1364" bestFit="1" customWidth="1"/>
    <col min="15910" max="15910" width="6.7109375" style="1364" bestFit="1" customWidth="1"/>
    <col min="15911" max="16128" width="9.140625" style="1364"/>
    <col min="16129" max="16129" width="60.28515625" style="1364" bestFit="1" customWidth="1"/>
    <col min="16130" max="16140" width="9.7109375" style="1364" bestFit="1" customWidth="1"/>
    <col min="16141" max="16141" width="18.42578125" style="1364" customWidth="1"/>
    <col min="16142" max="16163" width="9.140625" style="1364"/>
    <col min="16164" max="16164" width="7.5703125" style="1364" bestFit="1" customWidth="1"/>
    <col min="16165" max="16165" width="5" style="1364" bestFit="1" customWidth="1"/>
    <col min="16166" max="16166" width="6.7109375" style="1364" bestFit="1" customWidth="1"/>
    <col min="16167" max="16384" width="9.140625" style="1364"/>
  </cols>
  <sheetData>
    <row r="1" spans="1:16" ht="21">
      <c r="A1" s="4757" t="s">
        <v>7041</v>
      </c>
      <c r="B1" s="4758"/>
      <c r="C1" s="4758"/>
      <c r="D1" s="4758"/>
      <c r="E1" s="4758"/>
      <c r="F1" s="4758"/>
      <c r="G1" s="4758"/>
      <c r="H1" s="4758"/>
    </row>
    <row r="4" spans="1:16" ht="11.25" thickBot="1"/>
    <row r="5" spans="1:16" ht="15">
      <c r="A5" s="1950" t="s">
        <v>16</v>
      </c>
      <c r="B5" s="1936"/>
      <c r="C5" s="1936"/>
      <c r="D5" s="1936"/>
      <c r="E5" s="1937"/>
      <c r="F5" s="1937"/>
      <c r="G5" s="1937"/>
      <c r="H5" s="1937"/>
      <c r="I5" s="1937"/>
      <c r="J5" s="1937"/>
      <c r="K5" s="1937"/>
      <c r="L5" s="1937"/>
      <c r="M5" s="1937"/>
      <c r="N5" s="1937"/>
      <c r="O5" s="1937"/>
      <c r="P5" s="3617"/>
    </row>
    <row r="6" spans="1:16" ht="11.25" thickBot="1">
      <c r="A6" s="4683"/>
      <c r="B6" s="1949" t="s">
        <v>6946</v>
      </c>
      <c r="C6" s="1949" t="s">
        <v>6947</v>
      </c>
      <c r="D6" s="1949" t="s">
        <v>6948</v>
      </c>
      <c r="E6" s="1949" t="s">
        <v>6949</v>
      </c>
      <c r="F6" s="1949" t="s">
        <v>6950</v>
      </c>
      <c r="G6" s="1949" t="s">
        <v>6951</v>
      </c>
      <c r="H6" s="1949" t="s">
        <v>6952</v>
      </c>
      <c r="I6" s="1949" t="s">
        <v>6953</v>
      </c>
      <c r="J6" s="1949" t="s">
        <v>5774</v>
      </c>
      <c r="K6" s="1949" t="s">
        <v>5775</v>
      </c>
      <c r="L6" s="1949" t="s">
        <v>5776</v>
      </c>
      <c r="M6" s="1949" t="s">
        <v>854</v>
      </c>
      <c r="N6" s="1949" t="s">
        <v>7240</v>
      </c>
      <c r="O6" s="1949" t="s">
        <v>7237</v>
      </c>
      <c r="P6" s="4684" t="s">
        <v>8424</v>
      </c>
    </row>
    <row r="7" spans="1:16">
      <c r="A7" s="4685" t="s">
        <v>6954</v>
      </c>
      <c r="B7" s="3619">
        <v>326</v>
      </c>
      <c r="C7" s="3619">
        <v>348</v>
      </c>
      <c r="D7" s="3619">
        <v>434</v>
      </c>
      <c r="E7" s="3619">
        <v>500</v>
      </c>
      <c r="F7" s="3619">
        <v>352</v>
      </c>
      <c r="G7" s="3619">
        <v>376</v>
      </c>
      <c r="H7" s="3619">
        <v>332</v>
      </c>
      <c r="I7" s="3619">
        <v>300</v>
      </c>
      <c r="J7" s="3619">
        <v>324</v>
      </c>
      <c r="K7" s="3619">
        <v>368</v>
      </c>
      <c r="L7" s="3619">
        <v>339</v>
      </c>
      <c r="M7" s="3619">
        <v>568</v>
      </c>
      <c r="N7" s="3619">
        <v>546</v>
      </c>
      <c r="O7" s="3619">
        <v>636</v>
      </c>
      <c r="P7" s="1390"/>
    </row>
    <row r="8" spans="1:16">
      <c r="A8" s="1371" t="s">
        <v>5528</v>
      </c>
      <c r="B8" s="1372">
        <v>35</v>
      </c>
      <c r="C8" s="1372">
        <v>64</v>
      </c>
      <c r="D8" s="1372">
        <v>73</v>
      </c>
      <c r="E8" s="1372">
        <v>86</v>
      </c>
      <c r="F8" s="1372">
        <v>60</v>
      </c>
      <c r="G8" s="1372">
        <v>67</v>
      </c>
      <c r="H8" s="1372">
        <v>58</v>
      </c>
      <c r="I8" s="1372">
        <v>51</v>
      </c>
      <c r="J8" s="1372">
        <v>50</v>
      </c>
      <c r="K8" s="1372">
        <v>60</v>
      </c>
      <c r="L8" s="1372">
        <v>55</v>
      </c>
      <c r="M8" s="1372">
        <v>104</v>
      </c>
      <c r="N8" s="1372">
        <v>99</v>
      </c>
      <c r="O8" s="1372">
        <v>116</v>
      </c>
      <c r="P8" s="1369">
        <v>144</v>
      </c>
    </row>
    <row r="9" spans="1:16">
      <c r="A9" s="1371" t="s">
        <v>6955</v>
      </c>
      <c r="B9" s="1372"/>
      <c r="C9" s="1372"/>
      <c r="D9" s="1372"/>
      <c r="E9" s="1372">
        <v>6</v>
      </c>
      <c r="F9" s="1372">
        <v>4</v>
      </c>
      <c r="G9" s="1372">
        <v>6</v>
      </c>
      <c r="H9" s="1372">
        <v>4</v>
      </c>
      <c r="I9" s="1372">
        <v>2</v>
      </c>
      <c r="J9" s="1372">
        <v>1</v>
      </c>
      <c r="K9" s="1372">
        <v>5</v>
      </c>
      <c r="L9" s="1372">
        <v>9</v>
      </c>
      <c r="M9" s="1372">
        <v>22</v>
      </c>
      <c r="N9" s="1372">
        <v>15</v>
      </c>
      <c r="O9" s="1372">
        <v>21</v>
      </c>
      <c r="P9" s="1369"/>
    </row>
    <row r="10" spans="1:16">
      <c r="A10" s="1462" t="s">
        <v>6956</v>
      </c>
      <c r="B10" s="1372">
        <v>27</v>
      </c>
      <c r="C10" s="1372">
        <v>27</v>
      </c>
      <c r="D10" s="1372">
        <v>31</v>
      </c>
      <c r="E10" s="1372">
        <v>33</v>
      </c>
      <c r="F10" s="1372">
        <v>23</v>
      </c>
      <c r="G10" s="1372">
        <v>30</v>
      </c>
      <c r="H10" s="1372">
        <v>24</v>
      </c>
      <c r="I10" s="1372">
        <v>20</v>
      </c>
      <c r="J10" s="1372">
        <v>14</v>
      </c>
      <c r="K10" s="1372">
        <v>18</v>
      </c>
      <c r="L10" s="1372">
        <v>12</v>
      </c>
      <c r="M10" s="1372">
        <v>37</v>
      </c>
      <c r="N10" s="1372">
        <v>38</v>
      </c>
      <c r="O10" s="1372">
        <v>45</v>
      </c>
      <c r="P10" s="1369"/>
    </row>
    <row r="11" spans="1:16">
      <c r="A11" s="1462" t="s">
        <v>6957</v>
      </c>
      <c r="B11" s="1372">
        <v>11</v>
      </c>
      <c r="C11" s="1372">
        <v>10</v>
      </c>
      <c r="D11" s="1372">
        <v>11</v>
      </c>
      <c r="E11" s="1372">
        <v>16</v>
      </c>
      <c r="F11" s="1372">
        <v>10</v>
      </c>
      <c r="G11" s="1372">
        <v>7</v>
      </c>
      <c r="H11" s="1372">
        <v>10</v>
      </c>
      <c r="I11" s="1372">
        <v>10</v>
      </c>
      <c r="J11" s="1372">
        <v>9</v>
      </c>
      <c r="K11" s="1372">
        <v>10</v>
      </c>
      <c r="L11" s="1372">
        <v>8</v>
      </c>
      <c r="M11" s="1372">
        <v>14</v>
      </c>
      <c r="N11" s="1372">
        <v>17</v>
      </c>
      <c r="O11" s="1372">
        <v>18</v>
      </c>
      <c r="P11" s="1369"/>
    </row>
    <row r="12" spans="1:16">
      <c r="A12" s="1462" t="s">
        <v>6958</v>
      </c>
      <c r="B12" s="1372">
        <v>19</v>
      </c>
      <c r="C12" s="1372">
        <v>21</v>
      </c>
      <c r="D12" s="1372">
        <v>31</v>
      </c>
      <c r="E12" s="1372">
        <v>31</v>
      </c>
      <c r="F12" s="1372">
        <v>23</v>
      </c>
      <c r="G12" s="1372">
        <v>24</v>
      </c>
      <c r="H12" s="1372">
        <v>20</v>
      </c>
      <c r="I12" s="1372">
        <v>19</v>
      </c>
      <c r="J12" s="1372">
        <v>26</v>
      </c>
      <c r="K12" s="1372">
        <v>27</v>
      </c>
      <c r="L12" s="1372">
        <v>26</v>
      </c>
      <c r="M12" s="1372">
        <v>31</v>
      </c>
      <c r="N12" s="1372">
        <v>29</v>
      </c>
      <c r="O12" s="1372">
        <v>33</v>
      </c>
      <c r="P12" s="1369"/>
    </row>
    <row r="13" spans="1:16">
      <c r="A13" s="1462" t="s">
        <v>6959</v>
      </c>
      <c r="B13" s="1372">
        <v>7</v>
      </c>
      <c r="C13" s="1372">
        <v>6</v>
      </c>
      <c r="D13" s="1372">
        <v>5</v>
      </c>
      <c r="E13" s="1372">
        <v>10</v>
      </c>
      <c r="F13" s="1372">
        <v>11</v>
      </c>
      <c r="G13" s="1372">
        <v>12</v>
      </c>
      <c r="H13" s="1372">
        <v>15</v>
      </c>
      <c r="I13" s="1372">
        <v>16</v>
      </c>
      <c r="J13" s="1372">
        <v>16</v>
      </c>
      <c r="K13" s="1372">
        <v>10</v>
      </c>
      <c r="L13" s="1372">
        <v>11</v>
      </c>
      <c r="M13" s="1372">
        <v>13</v>
      </c>
      <c r="N13" s="1372">
        <v>11</v>
      </c>
      <c r="O13" s="1372">
        <v>15</v>
      </c>
      <c r="P13" s="1369"/>
    </row>
    <row r="14" spans="1:16">
      <c r="A14" s="1371" t="s">
        <v>6960</v>
      </c>
      <c r="B14" s="1372">
        <f>B7*10+(B13*250)</f>
        <v>5010</v>
      </c>
      <c r="C14" s="1372">
        <f>C7*10+(C13*200)</f>
        <v>4680</v>
      </c>
      <c r="D14" s="1372">
        <f>D7*10+(D13*200)</f>
        <v>5340</v>
      </c>
      <c r="E14" s="1372">
        <f>E7*10+(E13*200)</f>
        <v>7000</v>
      </c>
      <c r="F14" s="1372">
        <v>5720</v>
      </c>
      <c r="G14" s="1372">
        <v>6160</v>
      </c>
      <c r="H14" s="1372">
        <v>6320</v>
      </c>
      <c r="I14" s="1372">
        <v>6200</v>
      </c>
      <c r="J14" s="1372">
        <v>6440</v>
      </c>
      <c r="K14" s="1372">
        <v>5680</v>
      </c>
      <c r="L14" s="1372">
        <v>5590</v>
      </c>
      <c r="M14" s="1372">
        <v>8280</v>
      </c>
      <c r="N14" s="1372">
        <v>7660</v>
      </c>
      <c r="O14" s="1372">
        <v>9360</v>
      </c>
      <c r="P14" s="3618">
        <v>11371.55</v>
      </c>
    </row>
    <row r="15" spans="1:16">
      <c r="A15" s="1371" t="s">
        <v>4785</v>
      </c>
      <c r="B15" s="1372">
        <f>B7*2</f>
        <v>652</v>
      </c>
      <c r="C15" s="1372">
        <f>C7*2</f>
        <v>696</v>
      </c>
      <c r="D15" s="1372">
        <f>D7*2</f>
        <v>868</v>
      </c>
      <c r="E15" s="1372">
        <f>E7*2</f>
        <v>1000</v>
      </c>
      <c r="F15" s="1372">
        <v>704</v>
      </c>
      <c r="G15" s="1372">
        <v>752</v>
      </c>
      <c r="H15" s="1372">
        <v>664</v>
      </c>
      <c r="I15" s="1372">
        <v>600</v>
      </c>
      <c r="J15" s="1372">
        <v>648</v>
      </c>
      <c r="K15" s="1372">
        <v>736</v>
      </c>
      <c r="L15" s="1372">
        <v>678</v>
      </c>
      <c r="M15" s="1372"/>
      <c r="N15" s="1372"/>
      <c r="O15" s="1372"/>
      <c r="P15" s="1369"/>
    </row>
    <row r="16" spans="1:16" ht="11.25" thickBot="1">
      <c r="A16" s="1422" t="s">
        <v>6961</v>
      </c>
      <c r="B16" s="1380">
        <f>B14-B15</f>
        <v>4358</v>
      </c>
      <c r="C16" s="1380">
        <f>C14-C15</f>
        <v>3984</v>
      </c>
      <c r="D16" s="1380">
        <f>D14-D15</f>
        <v>4472</v>
      </c>
      <c r="E16" s="1380">
        <f>E14-E15</f>
        <v>6000</v>
      </c>
      <c r="F16" s="1380">
        <v>5016</v>
      </c>
      <c r="G16" s="1380">
        <v>5408</v>
      </c>
      <c r="H16" s="1380">
        <v>5656</v>
      </c>
      <c r="I16" s="1380">
        <v>5600</v>
      </c>
      <c r="J16" s="1380">
        <v>5792</v>
      </c>
      <c r="K16" s="1380">
        <v>4944</v>
      </c>
      <c r="L16" s="1380">
        <v>4912</v>
      </c>
      <c r="M16" s="1380"/>
      <c r="N16" s="1380"/>
      <c r="O16" s="1380"/>
      <c r="P16" s="4686"/>
    </row>
    <row r="17" spans="1:17">
      <c r="A17" s="1368"/>
      <c r="B17" s="1368"/>
      <c r="C17" s="1368"/>
      <c r="D17" s="1368"/>
      <c r="E17" s="1463"/>
    </row>
    <row r="18" spans="1:17" ht="11.25" thickBot="1"/>
    <row r="19" spans="1:17" ht="15.75" thickBot="1">
      <c r="A19" s="1950" t="s">
        <v>17</v>
      </c>
      <c r="B19" s="3958"/>
      <c r="C19" s="3958"/>
      <c r="D19" s="1937" t="s">
        <v>6946</v>
      </c>
      <c r="E19" s="1937" t="s">
        <v>6947</v>
      </c>
      <c r="F19" s="1937" t="s">
        <v>6948</v>
      </c>
      <c r="G19" s="1937" t="s">
        <v>6949</v>
      </c>
      <c r="H19" s="1937" t="s">
        <v>6950</v>
      </c>
      <c r="I19" s="1937" t="s">
        <v>6951</v>
      </c>
      <c r="J19" s="1932" t="s">
        <v>6952</v>
      </c>
      <c r="K19" s="1932" t="s">
        <v>6953</v>
      </c>
      <c r="L19" s="1932" t="s">
        <v>5774</v>
      </c>
      <c r="M19" s="1932" t="s">
        <v>5775</v>
      </c>
      <c r="N19" s="1932" t="s">
        <v>5776</v>
      </c>
      <c r="O19" s="1932" t="s">
        <v>854</v>
      </c>
      <c r="P19" s="1933" t="s">
        <v>7240</v>
      </c>
      <c r="Q19" s="1933" t="s">
        <v>7237</v>
      </c>
    </row>
    <row r="20" spans="1:17" s="1379" customFormat="1" ht="12.75" customHeight="1">
      <c r="A20" s="4769" t="s">
        <v>6962</v>
      </c>
      <c r="B20" s="4770"/>
      <c r="C20" s="4770"/>
      <c r="D20" s="3961"/>
      <c r="E20" s="3962">
        <v>2</v>
      </c>
      <c r="F20" s="3962">
        <v>2</v>
      </c>
      <c r="G20" s="3962">
        <v>2</v>
      </c>
      <c r="H20" s="3962">
        <v>2</v>
      </c>
      <c r="I20" s="3962">
        <v>1</v>
      </c>
      <c r="J20" s="3620"/>
      <c r="K20" s="3620"/>
      <c r="L20" s="3620"/>
      <c r="M20" s="3620"/>
      <c r="N20" s="3620">
        <v>2</v>
      </c>
      <c r="O20" s="3620">
        <v>2</v>
      </c>
      <c r="P20" s="3620"/>
      <c r="Q20" s="3963"/>
    </row>
    <row r="21" spans="1:17">
      <c r="A21" s="4762" t="s">
        <v>7150</v>
      </c>
      <c r="B21" s="4763"/>
      <c r="C21" s="4763"/>
      <c r="D21" s="1377">
        <v>18</v>
      </c>
      <c r="E21" s="1377">
        <v>2</v>
      </c>
      <c r="F21" s="1377">
        <v>8</v>
      </c>
      <c r="G21" s="1377">
        <v>14</v>
      </c>
      <c r="H21" s="1377">
        <v>13</v>
      </c>
      <c r="I21" s="1377">
        <v>14</v>
      </c>
      <c r="J21" s="1349">
        <v>9</v>
      </c>
      <c r="K21" s="1349">
        <v>3</v>
      </c>
      <c r="L21" s="1349">
        <v>1</v>
      </c>
      <c r="M21" s="1349">
        <v>8</v>
      </c>
      <c r="N21" s="1349">
        <v>2</v>
      </c>
      <c r="O21" s="1349">
        <v>31</v>
      </c>
      <c r="P21" s="1349">
        <v>28</v>
      </c>
      <c r="Q21" s="1350">
        <v>30</v>
      </c>
    </row>
    <row r="22" spans="1:17">
      <c r="A22" s="4762" t="s">
        <v>7151</v>
      </c>
      <c r="B22" s="4763"/>
      <c r="C22" s="4763"/>
      <c r="D22" s="1377">
        <v>1</v>
      </c>
      <c r="E22" s="1377">
        <v>6</v>
      </c>
      <c r="F22" s="1377"/>
      <c r="G22" s="1377">
        <v>2</v>
      </c>
      <c r="H22" s="1377"/>
      <c r="I22" s="1377"/>
      <c r="J22" s="1349"/>
      <c r="K22" s="1349">
        <v>2</v>
      </c>
      <c r="L22" s="1349"/>
      <c r="M22" s="1349">
        <v>2</v>
      </c>
      <c r="N22" s="1349">
        <v>2</v>
      </c>
      <c r="O22" s="1349">
        <v>3</v>
      </c>
      <c r="P22" s="1349">
        <v>1</v>
      </c>
      <c r="Q22" s="1350">
        <v>1</v>
      </c>
    </row>
    <row r="23" spans="1:17">
      <c r="A23" s="4762" t="s">
        <v>7152</v>
      </c>
      <c r="B23" s="4763"/>
      <c r="C23" s="4763"/>
      <c r="D23" s="1377"/>
      <c r="E23" s="1377">
        <v>4</v>
      </c>
      <c r="F23" s="1377">
        <v>4</v>
      </c>
      <c r="G23" s="1377"/>
      <c r="H23" s="1377">
        <v>3</v>
      </c>
      <c r="I23" s="1377">
        <v>3</v>
      </c>
      <c r="J23" s="1349">
        <v>2</v>
      </c>
      <c r="K23" s="1349">
        <v>2</v>
      </c>
      <c r="L23" s="1349">
        <v>2</v>
      </c>
      <c r="M23" s="1349">
        <v>3</v>
      </c>
      <c r="N23" s="1349">
        <v>5</v>
      </c>
      <c r="O23" s="1349">
        <v>4</v>
      </c>
      <c r="P23" s="1349">
        <v>3</v>
      </c>
      <c r="Q23" s="1350">
        <v>3</v>
      </c>
    </row>
    <row r="24" spans="1:17">
      <c r="A24" s="4762" t="s">
        <v>7153</v>
      </c>
      <c r="B24" s="4763"/>
      <c r="C24" s="4763"/>
      <c r="D24" s="1377">
        <v>3</v>
      </c>
      <c r="E24" s="1377">
        <v>1</v>
      </c>
      <c r="F24" s="1377">
        <v>2</v>
      </c>
      <c r="G24" s="1377">
        <v>3</v>
      </c>
      <c r="H24" s="1377">
        <v>1</v>
      </c>
      <c r="I24" s="1377">
        <v>5</v>
      </c>
      <c r="J24" s="1349">
        <v>4</v>
      </c>
      <c r="K24" s="1349">
        <v>4</v>
      </c>
      <c r="L24" s="1349">
        <v>2</v>
      </c>
      <c r="M24" s="1349"/>
      <c r="N24" s="1349"/>
      <c r="O24" s="1349"/>
      <c r="P24" s="1349"/>
      <c r="Q24" s="1350"/>
    </row>
    <row r="25" spans="1:17">
      <c r="A25" s="4762" t="s">
        <v>7154</v>
      </c>
      <c r="B25" s="4763"/>
      <c r="C25" s="4763"/>
      <c r="D25" s="1377">
        <v>2</v>
      </c>
      <c r="E25" s="1377"/>
      <c r="F25" s="1377">
        <v>1</v>
      </c>
      <c r="G25" s="1377">
        <v>1</v>
      </c>
      <c r="H25" s="1377"/>
      <c r="I25" s="1377"/>
      <c r="J25" s="1349"/>
      <c r="K25" s="1349"/>
      <c r="L25" s="1349"/>
      <c r="M25" s="1349">
        <v>2</v>
      </c>
      <c r="N25" s="1349">
        <v>2</v>
      </c>
      <c r="O25" s="1349">
        <v>6</v>
      </c>
      <c r="P25" s="1349">
        <v>7</v>
      </c>
      <c r="Q25" s="1350">
        <v>10</v>
      </c>
    </row>
    <row r="26" spans="1:17">
      <c r="A26" s="4762" t="s">
        <v>7155</v>
      </c>
      <c r="B26" s="4763"/>
      <c r="C26" s="4763"/>
      <c r="D26" s="1377">
        <v>2</v>
      </c>
      <c r="E26" s="1377">
        <v>3</v>
      </c>
      <c r="F26" s="1377">
        <v>3</v>
      </c>
      <c r="G26" s="1377">
        <v>6</v>
      </c>
      <c r="H26" s="1377">
        <v>1</v>
      </c>
      <c r="I26" s="1377">
        <v>2</v>
      </c>
      <c r="J26" s="1349">
        <v>4</v>
      </c>
      <c r="K26" s="1349">
        <v>5</v>
      </c>
      <c r="L26" s="1349">
        <v>3</v>
      </c>
      <c r="M26" s="1349"/>
      <c r="N26" s="1349"/>
      <c r="O26" s="1349">
        <v>1</v>
      </c>
      <c r="P26" s="1349"/>
      <c r="Q26" s="1350"/>
    </row>
    <row r="27" spans="1:17">
      <c r="A27" s="4762" t="s">
        <v>7156</v>
      </c>
      <c r="B27" s="4763"/>
      <c r="C27" s="4763"/>
      <c r="D27" s="1377"/>
      <c r="E27" s="1377">
        <v>1</v>
      </c>
      <c r="F27" s="1377"/>
      <c r="G27" s="1377"/>
      <c r="H27" s="1377"/>
      <c r="I27" s="1377">
        <v>2</v>
      </c>
      <c r="J27" s="1349">
        <v>1</v>
      </c>
      <c r="K27" s="1349"/>
      <c r="L27" s="1349"/>
      <c r="M27" s="1349">
        <v>2</v>
      </c>
      <c r="N27" s="1349">
        <v>4</v>
      </c>
      <c r="O27" s="1349">
        <v>6</v>
      </c>
      <c r="P27" s="1349">
        <v>11</v>
      </c>
      <c r="Q27" s="1350">
        <v>13</v>
      </c>
    </row>
    <row r="28" spans="1:17">
      <c r="A28" s="4762" t="s">
        <v>7157</v>
      </c>
      <c r="B28" s="4763"/>
      <c r="C28" s="4763"/>
      <c r="D28" s="1377"/>
      <c r="E28" s="1377">
        <v>4</v>
      </c>
      <c r="F28" s="1377">
        <v>3</v>
      </c>
      <c r="G28" s="1377">
        <v>2</v>
      </c>
      <c r="H28" s="1377">
        <v>2</v>
      </c>
      <c r="I28" s="1377">
        <v>3</v>
      </c>
      <c r="J28" s="1349">
        <v>2</v>
      </c>
      <c r="K28" s="1349"/>
      <c r="L28" s="1349"/>
      <c r="M28" s="1349"/>
      <c r="N28" s="1349">
        <v>2</v>
      </c>
      <c r="O28" s="1349">
        <v>2</v>
      </c>
      <c r="P28" s="1349"/>
      <c r="Q28" s="1350"/>
    </row>
    <row r="29" spans="1:17">
      <c r="A29" s="4762" t="s">
        <v>6963</v>
      </c>
      <c r="B29" s="4763"/>
      <c r="C29" s="4763"/>
      <c r="D29" s="1377"/>
      <c r="E29" s="1377">
        <v>3</v>
      </c>
      <c r="F29" s="1377">
        <v>3</v>
      </c>
      <c r="G29" s="1377">
        <v>6</v>
      </c>
      <c r="H29" s="1377">
        <v>2</v>
      </c>
      <c r="I29" s="1377">
        <v>2</v>
      </c>
      <c r="J29" s="1349"/>
      <c r="K29" s="1349"/>
      <c r="L29" s="1349"/>
      <c r="M29" s="1349">
        <v>5</v>
      </c>
      <c r="N29" s="1349">
        <v>4</v>
      </c>
      <c r="O29" s="1349">
        <v>6</v>
      </c>
      <c r="P29" s="1349">
        <v>18</v>
      </c>
      <c r="Q29" s="1350">
        <v>17</v>
      </c>
    </row>
    <row r="30" spans="1:17">
      <c r="A30" s="4762" t="s">
        <v>6964</v>
      </c>
      <c r="B30" s="4763"/>
      <c r="C30" s="4763"/>
      <c r="D30" s="1377">
        <v>3</v>
      </c>
      <c r="E30" s="1377">
        <v>2</v>
      </c>
      <c r="F30" s="1377">
        <v>2</v>
      </c>
      <c r="G30" s="1377">
        <v>7</v>
      </c>
      <c r="H30" s="1377">
        <v>2</v>
      </c>
      <c r="I30" s="1377">
        <v>4</v>
      </c>
      <c r="J30" s="1349">
        <v>4</v>
      </c>
      <c r="K30" s="1349">
        <v>4</v>
      </c>
      <c r="L30" s="1349">
        <v>5</v>
      </c>
      <c r="M30" s="1349">
        <v>6</v>
      </c>
      <c r="N30" s="1349">
        <v>6</v>
      </c>
      <c r="O30" s="1349">
        <v>7</v>
      </c>
      <c r="P30" s="1349">
        <v>2</v>
      </c>
      <c r="Q30" s="1350">
        <v>6</v>
      </c>
    </row>
    <row r="31" spans="1:17">
      <c r="A31" s="4762" t="s">
        <v>7158</v>
      </c>
      <c r="B31" s="4763"/>
      <c r="C31" s="4763"/>
      <c r="D31" s="1377">
        <v>10</v>
      </c>
      <c r="E31" s="1377">
        <v>11</v>
      </c>
      <c r="F31" s="1377">
        <v>12</v>
      </c>
      <c r="G31" s="1377">
        <v>13</v>
      </c>
      <c r="H31" s="1377">
        <v>7</v>
      </c>
      <c r="I31" s="1377">
        <v>8</v>
      </c>
      <c r="J31" s="1349">
        <v>6</v>
      </c>
      <c r="K31" s="1349">
        <v>7</v>
      </c>
      <c r="L31" s="1349">
        <v>8</v>
      </c>
      <c r="M31" s="1349">
        <v>6</v>
      </c>
      <c r="N31" s="1349">
        <v>6</v>
      </c>
      <c r="O31" s="1349">
        <v>5</v>
      </c>
      <c r="P31" s="1349"/>
      <c r="Q31" s="1350"/>
    </row>
    <row r="32" spans="1:17">
      <c r="A32" s="4762" t="s">
        <v>7159</v>
      </c>
      <c r="B32" s="4763"/>
      <c r="C32" s="4763"/>
      <c r="D32" s="1377">
        <v>3</v>
      </c>
      <c r="E32" s="1377">
        <v>2</v>
      </c>
      <c r="F32" s="1377">
        <v>4</v>
      </c>
      <c r="G32" s="1377">
        <v>5</v>
      </c>
      <c r="H32" s="1377">
        <v>3</v>
      </c>
      <c r="I32" s="1377">
        <v>1</v>
      </c>
      <c r="J32" s="1349">
        <v>4</v>
      </c>
      <c r="K32" s="1349">
        <v>6</v>
      </c>
      <c r="L32" s="1349">
        <v>5</v>
      </c>
      <c r="M32" s="1349">
        <v>5</v>
      </c>
      <c r="N32" s="1349">
        <v>3</v>
      </c>
      <c r="O32" s="1349">
        <v>5</v>
      </c>
      <c r="P32" s="1349">
        <v>5</v>
      </c>
      <c r="Q32" s="1350">
        <v>5</v>
      </c>
    </row>
    <row r="33" spans="1:17" ht="12.75" customHeight="1">
      <c r="A33" s="4762" t="s">
        <v>7160</v>
      </c>
      <c r="B33" s="4763"/>
      <c r="C33" s="4763"/>
      <c r="D33" s="1377">
        <v>9</v>
      </c>
      <c r="E33" s="1377">
        <v>11</v>
      </c>
      <c r="F33" s="1377">
        <v>13</v>
      </c>
      <c r="G33" s="1377">
        <v>14</v>
      </c>
      <c r="H33" s="1377">
        <v>12</v>
      </c>
      <c r="I33" s="1377">
        <v>12</v>
      </c>
      <c r="J33" s="1349">
        <v>8</v>
      </c>
      <c r="K33" s="1349">
        <v>4</v>
      </c>
      <c r="L33" s="1349">
        <v>4</v>
      </c>
      <c r="M33" s="1349"/>
      <c r="N33" s="1349"/>
      <c r="O33" s="1349">
        <v>4</v>
      </c>
      <c r="P33" s="1349">
        <v>2</v>
      </c>
      <c r="Q33" s="1350">
        <v>2</v>
      </c>
    </row>
    <row r="34" spans="1:17" ht="12.75" customHeight="1">
      <c r="A34" s="3953" t="s">
        <v>6965</v>
      </c>
      <c r="B34" s="3954"/>
      <c r="C34" s="3954"/>
      <c r="D34" s="1377"/>
      <c r="E34" s="1377"/>
      <c r="F34" s="1377"/>
      <c r="G34" s="1377"/>
      <c r="H34" s="1377"/>
      <c r="I34" s="1377"/>
      <c r="J34" s="1349">
        <v>2</v>
      </c>
      <c r="K34" s="1349">
        <v>2</v>
      </c>
      <c r="L34" s="1349">
        <v>1</v>
      </c>
      <c r="M34" s="1349">
        <v>1</v>
      </c>
      <c r="N34" s="1349"/>
      <c r="O34" s="1349"/>
      <c r="P34" s="1349"/>
      <c r="Q34" s="1350"/>
    </row>
    <row r="35" spans="1:17" ht="10.5" customHeight="1">
      <c r="A35" s="4765" t="s">
        <v>5060</v>
      </c>
      <c r="B35" s="4766"/>
      <c r="C35" s="4766"/>
      <c r="D35" s="1349"/>
      <c r="E35" s="1349"/>
      <c r="F35" s="1349"/>
      <c r="G35" s="1349"/>
      <c r="H35" s="1349"/>
      <c r="I35" s="1349"/>
      <c r="J35" s="1349"/>
      <c r="K35" s="1349"/>
      <c r="L35" s="1349"/>
      <c r="M35" s="1349"/>
      <c r="N35" s="1349"/>
      <c r="O35" s="1349"/>
      <c r="P35" s="1349"/>
      <c r="Q35" s="1350"/>
    </row>
    <row r="36" spans="1:17">
      <c r="A36" s="4762" t="s">
        <v>7161</v>
      </c>
      <c r="B36" s="4763"/>
      <c r="C36" s="4763"/>
      <c r="D36" s="1377"/>
      <c r="E36" s="1377"/>
      <c r="F36" s="1377">
        <v>2</v>
      </c>
      <c r="G36" s="1377"/>
      <c r="H36" s="1377"/>
      <c r="I36" s="1377"/>
      <c r="J36" s="1349"/>
      <c r="K36" s="1349"/>
      <c r="L36" s="1349"/>
      <c r="M36" s="1349">
        <v>3</v>
      </c>
      <c r="N36" s="1349">
        <v>4</v>
      </c>
      <c r="O36" s="1349">
        <v>3</v>
      </c>
      <c r="P36" s="1349"/>
      <c r="Q36" s="1350">
        <v>1</v>
      </c>
    </row>
    <row r="37" spans="1:17">
      <c r="A37" s="4762" t="s">
        <v>7162</v>
      </c>
      <c r="B37" s="4763"/>
      <c r="C37" s="4763"/>
      <c r="D37" s="1377"/>
      <c r="E37" s="1377">
        <v>1</v>
      </c>
      <c r="F37" s="1377">
        <v>3</v>
      </c>
      <c r="G37" s="1377">
        <v>3</v>
      </c>
      <c r="H37" s="1377">
        <v>2</v>
      </c>
      <c r="I37" s="1377">
        <v>1</v>
      </c>
      <c r="J37" s="1349">
        <v>1</v>
      </c>
      <c r="K37" s="1349">
        <v>1</v>
      </c>
      <c r="L37" s="1349">
        <v>1</v>
      </c>
      <c r="M37" s="1349">
        <v>1</v>
      </c>
      <c r="N37" s="1349"/>
      <c r="O37" s="1349"/>
      <c r="P37" s="1349"/>
      <c r="Q37" s="1350"/>
    </row>
    <row r="38" spans="1:17">
      <c r="A38" s="4762" t="s">
        <v>6966</v>
      </c>
      <c r="B38" s="4763"/>
      <c r="C38" s="4763"/>
      <c r="D38" s="1377">
        <v>1</v>
      </c>
      <c r="E38" s="1377">
        <v>1</v>
      </c>
      <c r="F38" s="1377">
        <v>1</v>
      </c>
      <c r="G38" s="1377">
        <v>1</v>
      </c>
      <c r="H38" s="1377"/>
      <c r="I38" s="1377"/>
      <c r="J38" s="1349"/>
      <c r="K38" s="1349"/>
      <c r="L38" s="1349"/>
      <c r="M38" s="1349"/>
      <c r="N38" s="1349"/>
      <c r="O38" s="1349">
        <v>1</v>
      </c>
      <c r="P38" s="1349">
        <v>2</v>
      </c>
      <c r="Q38" s="1350">
        <v>1</v>
      </c>
    </row>
    <row r="39" spans="1:17">
      <c r="A39" s="4762" t="s">
        <v>7163</v>
      </c>
      <c r="B39" s="4763"/>
      <c r="C39" s="4763"/>
      <c r="D39" s="1377"/>
      <c r="E39" s="1377"/>
      <c r="F39" s="1377"/>
      <c r="G39" s="1377">
        <v>1</v>
      </c>
      <c r="H39" s="1377"/>
      <c r="I39" s="1377"/>
      <c r="J39" s="1349">
        <v>2</v>
      </c>
      <c r="K39" s="1349"/>
      <c r="L39" s="1349">
        <v>3</v>
      </c>
      <c r="M39" s="1349">
        <v>1</v>
      </c>
      <c r="N39" s="1349">
        <v>2</v>
      </c>
      <c r="O39" s="1349">
        <v>1</v>
      </c>
      <c r="P39" s="1349">
        <v>1</v>
      </c>
      <c r="Q39" s="1350">
        <v>1</v>
      </c>
    </row>
    <row r="40" spans="1:17">
      <c r="A40" s="4762" t="s">
        <v>7164</v>
      </c>
      <c r="B40" s="4763"/>
      <c r="C40" s="4763"/>
      <c r="D40" s="1377">
        <v>1</v>
      </c>
      <c r="E40" s="1377"/>
      <c r="F40" s="1377">
        <v>1</v>
      </c>
      <c r="G40" s="1377"/>
      <c r="H40" s="1377"/>
      <c r="I40" s="1377"/>
      <c r="J40" s="1349">
        <v>2</v>
      </c>
      <c r="K40" s="1349">
        <v>2</v>
      </c>
      <c r="L40" s="1349">
        <v>1</v>
      </c>
      <c r="M40" s="1349">
        <v>1</v>
      </c>
      <c r="N40" s="1349">
        <v>2</v>
      </c>
      <c r="O40" s="1349"/>
      <c r="P40" s="1349">
        <v>2</v>
      </c>
      <c r="Q40" s="1350">
        <v>2</v>
      </c>
    </row>
    <row r="41" spans="1:17" ht="12.75" customHeight="1">
      <c r="A41" s="4762" t="s">
        <v>6967</v>
      </c>
      <c r="B41" s="4764"/>
      <c r="C41" s="4764"/>
      <c r="D41" s="1377"/>
      <c r="E41" s="1377">
        <v>1</v>
      </c>
      <c r="F41" s="1377"/>
      <c r="G41" s="1377"/>
      <c r="H41" s="1377"/>
      <c r="I41" s="1377"/>
      <c r="J41" s="1349"/>
      <c r="K41" s="1349"/>
      <c r="L41" s="1349"/>
      <c r="M41" s="1349"/>
      <c r="N41" s="1349"/>
      <c r="O41" s="1349"/>
      <c r="P41" s="1349"/>
      <c r="Q41" s="1350"/>
    </row>
    <row r="42" spans="1:17" ht="12.75" customHeight="1">
      <c r="A42" s="4762" t="s">
        <v>6968</v>
      </c>
      <c r="B42" s="4764"/>
      <c r="C42" s="4764"/>
      <c r="D42" s="1377"/>
      <c r="E42" s="1377">
        <v>1</v>
      </c>
      <c r="F42" s="1377">
        <v>1</v>
      </c>
      <c r="G42" s="1377">
        <v>1</v>
      </c>
      <c r="H42" s="1377">
        <v>1</v>
      </c>
      <c r="I42" s="1377">
        <v>1</v>
      </c>
      <c r="J42" s="1349">
        <v>1</v>
      </c>
      <c r="K42" s="1349">
        <v>2</v>
      </c>
      <c r="L42" s="1349">
        <v>2</v>
      </c>
      <c r="M42" s="1349">
        <v>2</v>
      </c>
      <c r="N42" s="1349">
        <v>4</v>
      </c>
      <c r="O42" s="1349">
        <v>4</v>
      </c>
      <c r="P42" s="1349">
        <v>3</v>
      </c>
      <c r="Q42" s="1350">
        <v>3</v>
      </c>
    </row>
    <row r="43" spans="1:17">
      <c r="A43" s="4762" t="s">
        <v>6969</v>
      </c>
      <c r="B43" s="4763"/>
      <c r="C43" s="4763"/>
      <c r="D43" s="1377">
        <v>1</v>
      </c>
      <c r="E43" s="1377"/>
      <c r="F43" s="1377">
        <v>1</v>
      </c>
      <c r="G43" s="1377">
        <v>1</v>
      </c>
      <c r="H43" s="1377">
        <v>2</v>
      </c>
      <c r="I43" s="1377">
        <v>2</v>
      </c>
      <c r="J43" s="1349">
        <v>1</v>
      </c>
      <c r="K43" s="1349"/>
      <c r="L43" s="1349"/>
      <c r="M43" s="1349"/>
      <c r="N43" s="1349"/>
      <c r="O43" s="1349"/>
      <c r="P43" s="1349"/>
      <c r="Q43" s="1350"/>
    </row>
    <row r="44" spans="1:17">
      <c r="A44" s="4762" t="s">
        <v>7165</v>
      </c>
      <c r="B44" s="4763"/>
      <c r="C44" s="4763"/>
      <c r="D44" s="1377"/>
      <c r="E44" s="1377">
        <v>2</v>
      </c>
      <c r="F44" s="1377">
        <v>1</v>
      </c>
      <c r="G44" s="1377">
        <v>1</v>
      </c>
      <c r="H44" s="1377">
        <v>3</v>
      </c>
      <c r="I44" s="1377">
        <v>2</v>
      </c>
      <c r="J44" s="1349">
        <v>1</v>
      </c>
      <c r="K44" s="1349">
        <v>1</v>
      </c>
      <c r="L44" s="1349">
        <v>1</v>
      </c>
      <c r="M44" s="1349"/>
      <c r="N44" s="1349"/>
      <c r="O44" s="1349"/>
      <c r="P44" s="1349"/>
      <c r="Q44" s="1350"/>
    </row>
    <row r="45" spans="1:17">
      <c r="A45" s="4762" t="s">
        <v>7166</v>
      </c>
      <c r="B45" s="4763"/>
      <c r="C45" s="4763"/>
      <c r="D45" s="1377"/>
      <c r="E45" s="1377"/>
      <c r="F45" s="1377">
        <v>1</v>
      </c>
      <c r="G45" s="1377"/>
      <c r="H45" s="1377"/>
      <c r="I45" s="1377"/>
      <c r="J45" s="1349"/>
      <c r="K45" s="1349"/>
      <c r="L45" s="1349"/>
      <c r="M45" s="1349"/>
      <c r="N45" s="1349">
        <v>1</v>
      </c>
      <c r="O45" s="1349">
        <v>2</v>
      </c>
      <c r="P45" s="1349">
        <v>1</v>
      </c>
      <c r="Q45" s="1350">
        <v>1</v>
      </c>
    </row>
    <row r="46" spans="1:17">
      <c r="A46" s="4762" t="s">
        <v>7167</v>
      </c>
      <c r="B46" s="4763"/>
      <c r="C46" s="4763"/>
      <c r="D46" s="1377"/>
      <c r="E46" s="1377"/>
      <c r="F46" s="1377">
        <v>1</v>
      </c>
      <c r="G46" s="1377"/>
      <c r="H46" s="1377"/>
      <c r="I46" s="1377"/>
      <c r="J46" s="1349"/>
      <c r="K46" s="1349"/>
      <c r="L46" s="1349"/>
      <c r="M46" s="1349">
        <v>1</v>
      </c>
      <c r="N46" s="1349">
        <v>1</v>
      </c>
      <c r="O46" s="1349">
        <v>3</v>
      </c>
      <c r="P46" s="1349">
        <v>4</v>
      </c>
      <c r="Q46" s="1350">
        <v>5</v>
      </c>
    </row>
    <row r="47" spans="1:17">
      <c r="A47" s="4762" t="s">
        <v>7168</v>
      </c>
      <c r="B47" s="4763"/>
      <c r="C47" s="4763"/>
      <c r="D47" s="1377">
        <v>1</v>
      </c>
      <c r="E47" s="1377">
        <v>1</v>
      </c>
      <c r="F47" s="1377">
        <v>1</v>
      </c>
      <c r="G47" s="1377"/>
      <c r="H47" s="1377"/>
      <c r="I47" s="1377"/>
      <c r="J47" s="1349"/>
      <c r="K47" s="1349"/>
      <c r="L47" s="1349">
        <v>2</v>
      </c>
      <c r="M47" s="1349"/>
      <c r="N47" s="1349"/>
      <c r="O47" s="1349"/>
      <c r="P47" s="1349"/>
      <c r="Q47" s="1350"/>
    </row>
    <row r="48" spans="1:17">
      <c r="A48" s="4762" t="e">
        <v>#REF!</v>
      </c>
      <c r="B48" s="4763"/>
      <c r="C48" s="4763"/>
      <c r="D48" s="1377">
        <v>1</v>
      </c>
      <c r="E48" s="1377"/>
      <c r="F48" s="1377"/>
      <c r="G48" s="1377"/>
      <c r="H48" s="1377"/>
      <c r="I48" s="1377"/>
      <c r="J48" s="1349"/>
      <c r="K48" s="1349"/>
      <c r="L48" s="1349"/>
      <c r="M48" s="1349"/>
      <c r="N48" s="1349"/>
      <c r="O48" s="1349"/>
      <c r="P48" s="1349"/>
      <c r="Q48" s="1350"/>
    </row>
    <row r="49" spans="1:17">
      <c r="A49" s="4762" t="s">
        <v>6970</v>
      </c>
      <c r="B49" s="4763"/>
      <c r="C49" s="4763"/>
      <c r="D49" s="1377">
        <v>1</v>
      </c>
      <c r="E49" s="1377">
        <v>1</v>
      </c>
      <c r="F49" s="1377">
        <v>1</v>
      </c>
      <c r="G49" s="1377"/>
      <c r="H49" s="1377"/>
      <c r="I49" s="1377"/>
      <c r="J49" s="1349"/>
      <c r="K49" s="1349"/>
      <c r="L49" s="1349"/>
      <c r="M49" s="1349"/>
      <c r="N49" s="1349">
        <v>1</v>
      </c>
      <c r="O49" s="1349">
        <v>1</v>
      </c>
      <c r="P49" s="1349">
        <v>2</v>
      </c>
      <c r="Q49" s="1350">
        <v>2</v>
      </c>
    </row>
    <row r="50" spans="1:17">
      <c r="A50" s="4762" t="s">
        <v>6959</v>
      </c>
      <c r="B50" s="4763"/>
      <c r="C50" s="4763"/>
      <c r="D50" s="1377">
        <v>7</v>
      </c>
      <c r="E50" s="1377">
        <v>6</v>
      </c>
      <c r="F50" s="1377">
        <v>5</v>
      </c>
      <c r="G50" s="1377">
        <v>10</v>
      </c>
      <c r="H50" s="1377">
        <v>11</v>
      </c>
      <c r="I50" s="1377">
        <v>12</v>
      </c>
      <c r="J50" s="1349"/>
      <c r="K50" s="1349">
        <v>16</v>
      </c>
      <c r="L50" s="1349">
        <v>16</v>
      </c>
      <c r="M50" s="1349"/>
      <c r="N50" s="1349">
        <v>11</v>
      </c>
      <c r="O50" s="1349"/>
      <c r="P50" s="1349"/>
      <c r="Q50" s="1350"/>
    </row>
    <row r="51" spans="1:17">
      <c r="A51" s="3953" t="s">
        <v>6971</v>
      </c>
      <c r="B51" s="3954"/>
      <c r="C51" s="3954"/>
      <c r="D51" s="1377"/>
      <c r="E51" s="1377"/>
      <c r="F51" s="1377"/>
      <c r="G51" s="1377">
        <v>1</v>
      </c>
      <c r="H51" s="1377"/>
      <c r="I51" s="1377"/>
      <c r="J51" s="1349"/>
      <c r="K51" s="1349"/>
      <c r="L51" s="1349"/>
      <c r="M51" s="1349"/>
      <c r="N51" s="1349"/>
      <c r="O51" s="1349"/>
      <c r="P51" s="1349"/>
      <c r="Q51" s="1350"/>
    </row>
    <row r="52" spans="1:17">
      <c r="A52" s="3953" t="s">
        <v>6972</v>
      </c>
      <c r="B52" s="3954"/>
      <c r="C52" s="3954"/>
      <c r="D52" s="1377"/>
      <c r="E52" s="1377"/>
      <c r="F52" s="1377"/>
      <c r="G52" s="1377">
        <v>1</v>
      </c>
      <c r="H52" s="1377"/>
      <c r="I52" s="1377"/>
      <c r="J52" s="1349"/>
      <c r="K52" s="1349"/>
      <c r="L52" s="1349"/>
      <c r="M52" s="1349"/>
      <c r="N52" s="1349"/>
      <c r="O52" s="1349"/>
      <c r="P52" s="1349"/>
      <c r="Q52" s="1350"/>
    </row>
    <row r="53" spans="1:17">
      <c r="A53" s="3953" t="s">
        <v>6973</v>
      </c>
      <c r="B53" s="3954"/>
      <c r="C53" s="3954"/>
      <c r="D53" s="1377"/>
      <c r="E53" s="1377"/>
      <c r="F53" s="1377"/>
      <c r="G53" s="1377">
        <v>1</v>
      </c>
      <c r="H53" s="1377"/>
      <c r="I53" s="1377"/>
      <c r="J53" s="1349"/>
      <c r="K53" s="1349"/>
      <c r="L53" s="1349"/>
      <c r="M53" s="1349">
        <v>1</v>
      </c>
      <c r="N53" s="1349"/>
      <c r="O53" s="1349"/>
      <c r="P53" s="1349">
        <v>1</v>
      </c>
      <c r="Q53" s="1350">
        <v>1</v>
      </c>
    </row>
    <row r="54" spans="1:17">
      <c r="A54" s="3953" t="s">
        <v>6974</v>
      </c>
      <c r="B54" s="3954"/>
      <c r="C54" s="3954"/>
      <c r="D54" s="1377"/>
      <c r="E54" s="1377"/>
      <c r="F54" s="1377"/>
      <c r="G54" s="1377">
        <v>1</v>
      </c>
      <c r="H54" s="1377"/>
      <c r="I54" s="1377"/>
      <c r="J54" s="1349"/>
      <c r="K54" s="1349"/>
      <c r="L54" s="1349"/>
      <c r="M54" s="1349"/>
      <c r="N54" s="1349"/>
      <c r="O54" s="1349"/>
      <c r="P54" s="1349"/>
      <c r="Q54" s="1350"/>
    </row>
    <row r="55" spans="1:17">
      <c r="A55" s="3953" t="s">
        <v>6975</v>
      </c>
      <c r="B55" s="3954"/>
      <c r="C55" s="3954"/>
      <c r="D55" s="1377"/>
      <c r="E55" s="1377"/>
      <c r="F55" s="1377"/>
      <c r="G55" s="1377">
        <v>1</v>
      </c>
      <c r="H55" s="1377"/>
      <c r="I55" s="1377"/>
      <c r="J55" s="1349"/>
      <c r="K55" s="1349"/>
      <c r="L55" s="1349"/>
      <c r="M55" s="1349"/>
      <c r="N55" s="1349"/>
      <c r="O55" s="1349"/>
      <c r="P55" s="1349"/>
      <c r="Q55" s="1350"/>
    </row>
    <row r="56" spans="1:17">
      <c r="A56" s="3953" t="s">
        <v>6976</v>
      </c>
      <c r="B56" s="3954"/>
      <c r="C56" s="3954"/>
      <c r="D56" s="1377"/>
      <c r="E56" s="1377"/>
      <c r="F56" s="1377"/>
      <c r="G56" s="1377"/>
      <c r="H56" s="1377">
        <v>1</v>
      </c>
      <c r="I56" s="1377"/>
      <c r="J56" s="1349"/>
      <c r="K56" s="1349"/>
      <c r="L56" s="1349"/>
      <c r="M56" s="1349"/>
      <c r="N56" s="1349"/>
      <c r="O56" s="1349"/>
      <c r="P56" s="1349"/>
      <c r="Q56" s="1350"/>
    </row>
    <row r="57" spans="1:17">
      <c r="A57" s="3953" t="s">
        <v>6977</v>
      </c>
      <c r="B57" s="3954"/>
      <c r="C57" s="3954"/>
      <c r="D57" s="1377"/>
      <c r="E57" s="1377"/>
      <c r="F57" s="1377"/>
      <c r="G57" s="1377"/>
      <c r="H57" s="1377">
        <v>1</v>
      </c>
      <c r="I57" s="1377"/>
      <c r="J57" s="1349"/>
      <c r="K57" s="1349"/>
      <c r="L57" s="1349"/>
      <c r="M57" s="1349"/>
      <c r="N57" s="1349"/>
      <c r="O57" s="1349"/>
      <c r="P57" s="1349"/>
      <c r="Q57" s="1350"/>
    </row>
    <row r="58" spans="1:17">
      <c r="A58" s="3953" t="s">
        <v>6978</v>
      </c>
      <c r="B58" s="3954"/>
      <c r="C58" s="3954"/>
      <c r="D58" s="1377"/>
      <c r="E58" s="1377"/>
      <c r="F58" s="1377"/>
      <c r="G58" s="1377"/>
      <c r="H58" s="1377">
        <v>1</v>
      </c>
      <c r="I58" s="1377"/>
      <c r="J58" s="1349"/>
      <c r="K58" s="1349"/>
      <c r="L58" s="1349"/>
      <c r="M58" s="1349">
        <v>1</v>
      </c>
      <c r="N58" s="1349"/>
      <c r="O58" s="1349">
        <v>1</v>
      </c>
      <c r="P58" s="1349"/>
      <c r="Q58" s="1350"/>
    </row>
    <row r="59" spans="1:17">
      <c r="A59" s="3953" t="s">
        <v>6979</v>
      </c>
      <c r="B59" s="3954"/>
      <c r="C59" s="3954"/>
      <c r="D59" s="1377"/>
      <c r="E59" s="1377"/>
      <c r="F59" s="1377"/>
      <c r="G59" s="1377"/>
      <c r="H59" s="1377"/>
      <c r="I59" s="1377"/>
      <c r="J59" s="1349"/>
      <c r="K59" s="1349"/>
      <c r="L59" s="1349">
        <v>1</v>
      </c>
      <c r="M59" s="1349"/>
      <c r="N59" s="1349"/>
      <c r="O59" s="1349"/>
      <c r="P59" s="1349"/>
      <c r="Q59" s="1350"/>
    </row>
    <row r="60" spans="1:17">
      <c r="A60" s="3953" t="s">
        <v>6980</v>
      </c>
      <c r="B60" s="3954"/>
      <c r="C60" s="3954"/>
      <c r="D60" s="1377"/>
      <c r="E60" s="1377"/>
      <c r="F60" s="1377"/>
      <c r="G60" s="1377"/>
      <c r="H60" s="1377"/>
      <c r="I60" s="1377">
        <v>2</v>
      </c>
      <c r="J60" s="1349">
        <v>1</v>
      </c>
      <c r="K60" s="1349"/>
      <c r="L60" s="1349"/>
      <c r="M60" s="1349"/>
      <c r="N60" s="1349"/>
      <c r="O60" s="1349"/>
      <c r="P60" s="1349"/>
      <c r="Q60" s="1350"/>
    </row>
    <row r="61" spans="1:17">
      <c r="A61" s="3953" t="s">
        <v>6981</v>
      </c>
      <c r="B61" s="3954"/>
      <c r="C61" s="3954"/>
      <c r="D61" s="1377"/>
      <c r="E61" s="1377"/>
      <c r="F61" s="1377"/>
      <c r="G61" s="1377"/>
      <c r="H61" s="1377"/>
      <c r="I61" s="1377"/>
      <c r="J61" s="1349"/>
      <c r="K61" s="1349"/>
      <c r="L61" s="1349">
        <v>1</v>
      </c>
      <c r="M61" s="1349">
        <v>1</v>
      </c>
      <c r="N61" s="1349">
        <v>1</v>
      </c>
      <c r="O61" s="1349"/>
      <c r="P61" s="1349"/>
      <c r="Q61" s="1350"/>
    </row>
    <row r="62" spans="1:17">
      <c r="A62" s="3953" t="s">
        <v>6982</v>
      </c>
      <c r="B62" s="3954"/>
      <c r="C62" s="3954"/>
      <c r="D62" s="1377"/>
      <c r="E62" s="1377"/>
      <c r="F62" s="1377"/>
      <c r="G62" s="1377"/>
      <c r="H62" s="1377"/>
      <c r="I62" s="1377"/>
      <c r="J62" s="1349"/>
      <c r="K62" s="1349"/>
      <c r="L62" s="1349">
        <v>1</v>
      </c>
      <c r="M62" s="1349"/>
      <c r="N62" s="1349"/>
      <c r="O62" s="1349"/>
      <c r="P62" s="1349"/>
      <c r="Q62" s="1350"/>
    </row>
    <row r="63" spans="1:17">
      <c r="A63" s="3953" t="s">
        <v>6983</v>
      </c>
      <c r="B63" s="3954"/>
      <c r="C63" s="3954"/>
      <c r="D63" s="1377"/>
      <c r="E63" s="1377"/>
      <c r="F63" s="1377"/>
      <c r="G63" s="1377"/>
      <c r="H63" s="1377"/>
      <c r="I63" s="1377">
        <v>1</v>
      </c>
      <c r="J63" s="1349"/>
      <c r="K63" s="1349"/>
      <c r="L63" s="1349"/>
      <c r="M63" s="1349"/>
      <c r="N63" s="1349"/>
      <c r="O63" s="1349"/>
      <c r="P63" s="1349"/>
      <c r="Q63" s="1350"/>
    </row>
    <row r="64" spans="1:17">
      <c r="A64" s="3953" t="s">
        <v>6984</v>
      </c>
      <c r="B64" s="3954"/>
      <c r="C64" s="3954"/>
      <c r="D64" s="1377"/>
      <c r="E64" s="1377"/>
      <c r="F64" s="1377"/>
      <c r="G64" s="1377"/>
      <c r="H64" s="1377">
        <v>1</v>
      </c>
      <c r="I64" s="1377">
        <v>1</v>
      </c>
      <c r="J64" s="1349">
        <v>1</v>
      </c>
      <c r="K64" s="1349"/>
      <c r="L64" s="1349"/>
      <c r="M64" s="1349"/>
      <c r="N64" s="1349"/>
      <c r="O64" s="1349"/>
      <c r="P64" s="1349"/>
      <c r="Q64" s="1350"/>
    </row>
    <row r="65" spans="1:17">
      <c r="A65" s="3953" t="s">
        <v>6985</v>
      </c>
      <c r="B65" s="3954"/>
      <c r="C65" s="3954"/>
      <c r="D65" s="1377"/>
      <c r="E65" s="1377"/>
      <c r="F65" s="1377"/>
      <c r="G65" s="1377"/>
      <c r="H65" s="1377"/>
      <c r="I65" s="1377"/>
      <c r="J65" s="1349">
        <v>1</v>
      </c>
      <c r="K65" s="1349"/>
      <c r="L65" s="1349"/>
      <c r="M65" s="1349"/>
      <c r="N65" s="1349"/>
      <c r="O65" s="1349"/>
      <c r="P65" s="1349"/>
      <c r="Q65" s="1350"/>
    </row>
    <row r="66" spans="1:17">
      <c r="A66" s="3953" t="s">
        <v>6986</v>
      </c>
      <c r="B66" s="3954"/>
      <c r="C66" s="3954"/>
      <c r="D66" s="1377"/>
      <c r="E66" s="1377"/>
      <c r="F66" s="1377"/>
      <c r="G66" s="1377"/>
      <c r="H66" s="1377"/>
      <c r="I66" s="1377"/>
      <c r="J66" s="1349"/>
      <c r="K66" s="1349"/>
      <c r="L66" s="1349">
        <v>1</v>
      </c>
      <c r="M66" s="1349">
        <v>1</v>
      </c>
      <c r="N66" s="1349"/>
      <c r="O66" s="1349"/>
      <c r="P66" s="1349"/>
      <c r="Q66" s="1350"/>
    </row>
    <row r="67" spans="1:17">
      <c r="A67" s="3953" t="s">
        <v>6987</v>
      </c>
      <c r="B67" s="3954"/>
      <c r="C67" s="3954"/>
      <c r="D67" s="1377"/>
      <c r="E67" s="1377"/>
      <c r="F67" s="1377"/>
      <c r="G67" s="1377"/>
      <c r="H67" s="1377"/>
      <c r="I67" s="1377"/>
      <c r="J67" s="1349"/>
      <c r="K67" s="1349">
        <v>3</v>
      </c>
      <c r="L67" s="1349">
        <v>2</v>
      </c>
      <c r="M67" s="1349"/>
      <c r="N67" s="1349"/>
      <c r="O67" s="1349"/>
      <c r="P67" s="1349"/>
      <c r="Q67" s="1350">
        <v>1</v>
      </c>
    </row>
    <row r="68" spans="1:17">
      <c r="A68" s="3953" t="s">
        <v>6988</v>
      </c>
      <c r="B68" s="3954"/>
      <c r="C68" s="3954"/>
      <c r="D68" s="1377"/>
      <c r="E68" s="1377"/>
      <c r="F68" s="1377"/>
      <c r="G68" s="1377"/>
      <c r="H68" s="1377"/>
      <c r="I68" s="1377"/>
      <c r="J68" s="1349"/>
      <c r="K68" s="1349">
        <v>1</v>
      </c>
      <c r="L68" s="1349"/>
      <c r="M68" s="1349"/>
      <c r="N68" s="1349"/>
      <c r="O68" s="1349"/>
      <c r="P68" s="1349"/>
      <c r="Q68" s="1350"/>
    </row>
    <row r="69" spans="1:17">
      <c r="A69" s="3953" t="s">
        <v>6989</v>
      </c>
      <c r="B69" s="3954"/>
      <c r="C69" s="3954"/>
      <c r="D69" s="1377"/>
      <c r="E69" s="1377"/>
      <c r="F69" s="1377"/>
      <c r="G69" s="1377"/>
      <c r="H69" s="1377"/>
      <c r="I69" s="1377"/>
      <c r="J69" s="1349"/>
      <c r="K69" s="1349">
        <v>1</v>
      </c>
      <c r="L69" s="1349"/>
      <c r="M69" s="1349"/>
      <c r="N69" s="1349"/>
      <c r="O69" s="1349"/>
      <c r="P69" s="1349"/>
      <c r="Q69" s="1350"/>
    </row>
    <row r="70" spans="1:17">
      <c r="A70" s="3953" t="s">
        <v>6990</v>
      </c>
      <c r="B70" s="3954"/>
      <c r="C70" s="3954"/>
      <c r="D70" s="1377"/>
      <c r="E70" s="1377"/>
      <c r="F70" s="1377"/>
      <c r="G70" s="1377"/>
      <c r="H70" s="1377"/>
      <c r="I70" s="1377"/>
      <c r="J70" s="1349"/>
      <c r="K70" s="1349">
        <v>1</v>
      </c>
      <c r="L70" s="1349">
        <v>2</v>
      </c>
      <c r="M70" s="1349">
        <v>1</v>
      </c>
      <c r="N70" s="1349">
        <v>1</v>
      </c>
      <c r="O70" s="1349"/>
      <c r="P70" s="1349">
        <v>2</v>
      </c>
      <c r="Q70" s="1350">
        <v>1</v>
      </c>
    </row>
    <row r="71" spans="1:17">
      <c r="A71" s="3953" t="s">
        <v>6991</v>
      </c>
      <c r="B71" s="3954"/>
      <c r="C71" s="3954"/>
      <c r="D71" s="1377"/>
      <c r="E71" s="1377"/>
      <c r="F71" s="1377"/>
      <c r="G71" s="1377"/>
      <c r="H71" s="1377"/>
      <c r="I71" s="1377"/>
      <c r="J71" s="1349"/>
      <c r="K71" s="1349"/>
      <c r="L71" s="1349"/>
      <c r="M71" s="1349">
        <v>1</v>
      </c>
      <c r="N71" s="1349"/>
      <c r="O71" s="1349"/>
      <c r="P71" s="1349"/>
      <c r="Q71" s="1350"/>
    </row>
    <row r="72" spans="1:17">
      <c r="A72" s="3953" t="s">
        <v>6992</v>
      </c>
      <c r="B72" s="3954"/>
      <c r="C72" s="3954"/>
      <c r="D72" s="1377"/>
      <c r="E72" s="1377"/>
      <c r="F72" s="1377"/>
      <c r="G72" s="1377"/>
      <c r="H72" s="1377"/>
      <c r="I72" s="1377"/>
      <c r="J72" s="1349"/>
      <c r="K72" s="1349"/>
      <c r="L72" s="1349"/>
      <c r="M72" s="1349">
        <v>1</v>
      </c>
      <c r="N72" s="1349"/>
      <c r="O72" s="1349"/>
      <c r="P72" s="1349"/>
      <c r="Q72" s="1350"/>
    </row>
    <row r="73" spans="1:17" s="1379" customFormat="1">
      <c r="A73" s="3953" t="s">
        <v>6993</v>
      </c>
      <c r="B73" s="3954"/>
      <c r="C73" s="3954"/>
      <c r="D73" s="1377"/>
      <c r="E73" s="1377"/>
      <c r="F73" s="1377"/>
      <c r="G73" s="1377"/>
      <c r="H73" s="1377"/>
      <c r="I73" s="1377"/>
      <c r="J73" s="1349"/>
      <c r="K73" s="1349"/>
      <c r="L73" s="1349"/>
      <c r="M73" s="1349"/>
      <c r="N73" s="1349"/>
      <c r="O73" s="1349">
        <v>1</v>
      </c>
      <c r="P73" s="1349"/>
      <c r="Q73" s="1350">
        <v>1</v>
      </c>
    </row>
    <row r="74" spans="1:17" s="1379" customFormat="1">
      <c r="A74" s="3953" t="s">
        <v>6994</v>
      </c>
      <c r="B74" s="3954"/>
      <c r="C74" s="3954"/>
      <c r="D74" s="1377"/>
      <c r="E74" s="1377"/>
      <c r="F74" s="1377"/>
      <c r="G74" s="1377"/>
      <c r="H74" s="1377"/>
      <c r="I74" s="1377"/>
      <c r="J74" s="1349"/>
      <c r="K74" s="1349"/>
      <c r="L74" s="1349"/>
      <c r="M74" s="1349"/>
      <c r="N74" s="1349"/>
      <c r="O74" s="1349">
        <v>1</v>
      </c>
      <c r="P74" s="1349"/>
      <c r="Q74" s="1350"/>
    </row>
    <row r="75" spans="1:17" s="1379" customFormat="1">
      <c r="A75" s="3953" t="s">
        <v>6995</v>
      </c>
      <c r="B75" s="3954"/>
      <c r="C75" s="3954"/>
      <c r="D75" s="1377"/>
      <c r="E75" s="1377"/>
      <c r="F75" s="1377"/>
      <c r="G75" s="1377"/>
      <c r="H75" s="1377"/>
      <c r="I75" s="1377"/>
      <c r="J75" s="1349"/>
      <c r="K75" s="1349"/>
      <c r="L75" s="1349"/>
      <c r="M75" s="1349"/>
      <c r="N75" s="1349"/>
      <c r="O75" s="1349">
        <v>1</v>
      </c>
      <c r="P75" s="1349"/>
      <c r="Q75" s="1350"/>
    </row>
    <row r="76" spans="1:17" s="1379" customFormat="1">
      <c r="A76" s="3953" t="s">
        <v>6996</v>
      </c>
      <c r="B76" s="3954"/>
      <c r="C76" s="3954"/>
      <c r="D76" s="1377"/>
      <c r="E76" s="1377"/>
      <c r="F76" s="1377"/>
      <c r="G76" s="1377"/>
      <c r="H76" s="1377"/>
      <c r="I76" s="1377"/>
      <c r="J76" s="1349"/>
      <c r="K76" s="1349"/>
      <c r="L76" s="1349"/>
      <c r="M76" s="1349"/>
      <c r="N76" s="1349"/>
      <c r="O76" s="1349">
        <v>2</v>
      </c>
      <c r="P76" s="1349">
        <v>1</v>
      </c>
      <c r="Q76" s="1350">
        <v>1</v>
      </c>
    </row>
    <row r="77" spans="1:17" s="1379" customFormat="1">
      <c r="A77" s="3953" t="s">
        <v>6997</v>
      </c>
      <c r="B77" s="3954"/>
      <c r="C77" s="3954"/>
      <c r="D77" s="1377"/>
      <c r="E77" s="1377"/>
      <c r="F77" s="1377"/>
      <c r="G77" s="1377"/>
      <c r="H77" s="1377"/>
      <c r="I77" s="1377"/>
      <c r="J77" s="1349"/>
      <c r="K77" s="1349"/>
      <c r="L77" s="1349"/>
      <c r="M77" s="1349"/>
      <c r="N77" s="1349"/>
      <c r="O77" s="1349">
        <v>1</v>
      </c>
      <c r="P77" s="1349">
        <v>1</v>
      </c>
      <c r="Q77" s="1350">
        <v>1</v>
      </c>
    </row>
    <row r="78" spans="1:17" s="1379" customFormat="1">
      <c r="A78" s="3953" t="s">
        <v>7238</v>
      </c>
      <c r="B78" s="3954"/>
      <c r="C78" s="3954"/>
      <c r="D78" s="1377"/>
      <c r="E78" s="1377"/>
      <c r="F78" s="1377"/>
      <c r="G78" s="1377"/>
      <c r="H78" s="1377"/>
      <c r="I78" s="1377"/>
      <c r="J78" s="1349"/>
      <c r="K78" s="1349"/>
      <c r="L78" s="1349"/>
      <c r="M78" s="1349"/>
      <c r="N78" s="1349"/>
      <c r="O78" s="1349"/>
      <c r="P78" s="1349">
        <v>1</v>
      </c>
      <c r="Q78" s="1350">
        <v>1</v>
      </c>
    </row>
    <row r="79" spans="1:17" s="1379" customFormat="1">
      <c r="A79" s="3953" t="s">
        <v>7239</v>
      </c>
      <c r="B79" s="3954"/>
      <c r="C79" s="3954"/>
      <c r="D79" s="1377"/>
      <c r="E79" s="1377"/>
      <c r="F79" s="1377"/>
      <c r="G79" s="1377"/>
      <c r="H79" s="1377"/>
      <c r="I79" s="1377"/>
      <c r="J79" s="1349"/>
      <c r="K79" s="1349"/>
      <c r="L79" s="1349"/>
      <c r="M79" s="1349"/>
      <c r="N79" s="1349"/>
      <c r="O79" s="1349"/>
      <c r="P79" s="1349">
        <v>1</v>
      </c>
      <c r="Q79" s="1350">
        <v>1</v>
      </c>
    </row>
    <row r="80" spans="1:17" s="1379" customFormat="1">
      <c r="A80" s="3953" t="s">
        <v>7639</v>
      </c>
      <c r="B80" s="3954"/>
      <c r="C80" s="3954"/>
      <c r="D80" s="1377"/>
      <c r="E80" s="1377"/>
      <c r="F80" s="1377"/>
      <c r="G80" s="1377"/>
      <c r="H80" s="1377"/>
      <c r="I80" s="1377"/>
      <c r="J80" s="1349"/>
      <c r="K80" s="1349"/>
      <c r="L80" s="1349"/>
      <c r="M80" s="1349"/>
      <c r="N80" s="1349"/>
      <c r="O80" s="1349"/>
      <c r="P80" s="1349"/>
      <c r="Q80" s="1350">
        <v>2</v>
      </c>
    </row>
    <row r="81" spans="1:20" s="1379" customFormat="1" ht="11.25" thickBot="1">
      <c r="A81" s="3964" t="s">
        <v>6998</v>
      </c>
      <c r="B81" s="3965"/>
      <c r="C81" s="3965"/>
      <c r="D81" s="3966"/>
      <c r="E81" s="3966"/>
      <c r="F81" s="3966"/>
      <c r="G81" s="3966"/>
      <c r="H81" s="3966"/>
      <c r="I81" s="3966"/>
      <c r="J81" s="1376">
        <v>1</v>
      </c>
      <c r="K81" s="1376"/>
      <c r="L81" s="1376">
        <v>2</v>
      </c>
      <c r="M81" s="1376">
        <v>4</v>
      </c>
      <c r="N81" s="1376"/>
      <c r="O81" s="1376"/>
      <c r="P81" s="1376"/>
      <c r="Q81" s="1351"/>
    </row>
    <row r="82" spans="1:20" s="1379" customFormat="1" ht="11.25" thickBot="1">
      <c r="A82" s="4767" t="s">
        <v>8</v>
      </c>
      <c r="B82" s="4768"/>
      <c r="C82" s="4768"/>
      <c r="D82" s="3959">
        <v>64</v>
      </c>
      <c r="E82" s="3959">
        <f>SUM(E21:E50)</f>
        <v>64</v>
      </c>
      <c r="F82" s="3959">
        <v>76</v>
      </c>
      <c r="G82" s="3959">
        <v>98</v>
      </c>
      <c r="H82" s="3959">
        <f>SUM(H20:H64)</f>
        <v>71</v>
      </c>
      <c r="I82" s="3959">
        <f>SUM(I20:I64)</f>
        <v>79</v>
      </c>
      <c r="J82" s="3959">
        <v>58</v>
      </c>
      <c r="K82" s="3959">
        <f>SUM(K21:K81)</f>
        <v>67</v>
      </c>
      <c r="L82" s="3959">
        <f>SUM(L21:L81)</f>
        <v>67</v>
      </c>
      <c r="M82" s="3959">
        <f>SUM(M21:M81)</f>
        <v>60</v>
      </c>
      <c r="N82" s="3959">
        <v>66</v>
      </c>
      <c r="O82" s="3959">
        <f>SUM(O20:O81)</f>
        <v>104</v>
      </c>
      <c r="P82" s="3959">
        <f>SUM(P20:P81)</f>
        <v>99</v>
      </c>
      <c r="Q82" s="3960">
        <f>SUM(Q20:Q81)</f>
        <v>113</v>
      </c>
    </row>
    <row r="83" spans="1:20" s="1379" customFormat="1">
      <c r="A83" s="1464"/>
      <c r="B83" s="1464"/>
      <c r="C83" s="1464"/>
      <c r="D83" s="1386"/>
      <c r="E83" s="1386"/>
      <c r="F83" s="1386"/>
      <c r="G83" s="1386"/>
      <c r="H83" s="1386"/>
      <c r="I83" s="1386"/>
      <c r="J83" s="1386"/>
      <c r="K83" s="1386"/>
      <c r="L83" s="1386"/>
    </row>
    <row r="84" spans="1:20" s="1379" customFormat="1">
      <c r="A84" s="1464"/>
      <c r="B84" s="1464"/>
      <c r="C84" s="1464"/>
      <c r="D84" s="1386"/>
      <c r="E84" s="1386"/>
      <c r="F84" s="1386"/>
      <c r="G84" s="1386"/>
      <c r="H84" s="1386"/>
      <c r="I84" s="1386"/>
      <c r="J84" s="1386"/>
      <c r="K84" s="1386"/>
      <c r="L84" s="1386"/>
    </row>
    <row r="85" spans="1:20">
      <c r="K85" s="1349"/>
      <c r="M85" s="1379"/>
    </row>
    <row r="86" spans="1:20" ht="15">
      <c r="A86" s="2644" t="s">
        <v>6999</v>
      </c>
      <c r="B86" s="2665">
        <v>2007</v>
      </c>
      <c r="C86" s="2645">
        <v>2008</v>
      </c>
      <c r="D86" s="2645">
        <v>2009</v>
      </c>
      <c r="E86" s="2645">
        <v>2010</v>
      </c>
      <c r="F86" s="2645">
        <v>2011</v>
      </c>
      <c r="G86" s="2645">
        <v>2012</v>
      </c>
      <c r="H86" s="2645">
        <v>2013</v>
      </c>
      <c r="I86" s="2645">
        <v>2014</v>
      </c>
      <c r="J86" s="2645">
        <v>2015</v>
      </c>
      <c r="K86" s="2645">
        <v>2016</v>
      </c>
      <c r="L86" s="2666">
        <v>2017</v>
      </c>
      <c r="M86" s="2646"/>
      <c r="N86" s="2646">
        <v>2018</v>
      </c>
      <c r="O86" s="2646">
        <v>2019</v>
      </c>
      <c r="P86" s="3967">
        <v>2020</v>
      </c>
      <c r="Q86" s="2647">
        <v>2021</v>
      </c>
    </row>
    <row r="87" spans="1:20">
      <c r="A87" s="2655" t="s">
        <v>7000</v>
      </c>
      <c r="B87" s="2667"/>
      <c r="C87" s="2656"/>
      <c r="D87" s="2656"/>
      <c r="E87" s="2656"/>
      <c r="F87" s="2656"/>
      <c r="G87" s="2656"/>
      <c r="H87" s="2656"/>
      <c r="I87" s="2656"/>
      <c r="J87" s="2656"/>
      <c r="K87" s="2657"/>
      <c r="L87" s="2668"/>
      <c r="M87" s="2671" t="s">
        <v>7001</v>
      </c>
      <c r="N87" s="1349">
        <v>1</v>
      </c>
      <c r="O87" s="3621">
        <v>4</v>
      </c>
      <c r="P87" s="1368"/>
      <c r="Q87" s="1367"/>
      <c r="T87" s="3739"/>
    </row>
    <row r="88" spans="1:20">
      <c r="A88" s="2648" t="s">
        <v>7002</v>
      </c>
      <c r="B88" s="2669">
        <v>244</v>
      </c>
      <c r="C88" s="1377">
        <v>253</v>
      </c>
      <c r="D88" s="1349">
        <v>228</v>
      </c>
      <c r="E88" s="1349">
        <v>235</v>
      </c>
      <c r="F88" s="1349">
        <v>229</v>
      </c>
      <c r="G88" s="1349">
        <v>225</v>
      </c>
      <c r="H88" s="1349">
        <v>224</v>
      </c>
      <c r="I88" s="1349">
        <v>235</v>
      </c>
      <c r="J88" s="1349">
        <v>242</v>
      </c>
      <c r="K88" s="1461">
        <v>303</v>
      </c>
      <c r="L88" s="1366">
        <v>309</v>
      </c>
      <c r="M88" s="2671" t="s">
        <v>7003</v>
      </c>
      <c r="N88" s="1349">
        <v>2</v>
      </c>
      <c r="O88" s="1466">
        <v>2</v>
      </c>
      <c r="P88" s="1368">
        <v>0</v>
      </c>
      <c r="Q88" s="1366">
        <v>0</v>
      </c>
    </row>
    <row r="89" spans="1:20">
      <c r="A89" s="2648" t="s">
        <v>7004</v>
      </c>
      <c r="B89" s="2669">
        <v>71</v>
      </c>
      <c r="C89" s="1377">
        <v>62</v>
      </c>
      <c r="D89" s="1349">
        <v>69</v>
      </c>
      <c r="E89" s="1349">
        <v>95</v>
      </c>
      <c r="F89" s="1349">
        <v>54</v>
      </c>
      <c r="G89" s="1349">
        <v>56</v>
      </c>
      <c r="H89" s="1349">
        <v>48</v>
      </c>
      <c r="I89" s="1349">
        <v>50</v>
      </c>
      <c r="J89" s="1349">
        <v>47</v>
      </c>
      <c r="K89" s="1461"/>
      <c r="L89" s="1366"/>
      <c r="M89" s="2671" t="s">
        <v>7005</v>
      </c>
      <c r="N89" s="1349">
        <v>42</v>
      </c>
      <c r="O89" s="1466">
        <v>54</v>
      </c>
      <c r="P89" s="1368">
        <v>60</v>
      </c>
      <c r="Q89" s="1366">
        <v>36</v>
      </c>
    </row>
    <row r="90" spans="1:20">
      <c r="A90" s="2648" t="s">
        <v>7006</v>
      </c>
      <c r="B90" s="2669">
        <v>162</v>
      </c>
      <c r="C90" s="1377">
        <v>131</v>
      </c>
      <c r="D90" s="1349">
        <v>163</v>
      </c>
      <c r="E90" s="1349">
        <v>165</v>
      </c>
      <c r="F90" s="1349">
        <v>142</v>
      </c>
      <c r="G90" s="1349">
        <v>123</v>
      </c>
      <c r="H90" s="1349">
        <v>137</v>
      </c>
      <c r="I90" s="1349">
        <v>142</v>
      </c>
      <c r="J90" s="1349">
        <v>136</v>
      </c>
      <c r="K90" s="1461">
        <v>116</v>
      </c>
      <c r="L90" s="1366">
        <v>119</v>
      </c>
      <c r="M90" s="1368"/>
      <c r="N90" s="1368"/>
      <c r="O90" s="1368"/>
      <c r="P90" s="1368"/>
      <c r="Q90" s="1366"/>
    </row>
    <row r="91" spans="1:20">
      <c r="A91" s="2648" t="s">
        <v>7007</v>
      </c>
      <c r="B91" s="2669">
        <v>110</v>
      </c>
      <c r="C91" s="1377">
        <v>123</v>
      </c>
      <c r="D91" s="1349">
        <v>99</v>
      </c>
      <c r="E91" s="1349">
        <v>100</v>
      </c>
      <c r="F91" s="1349">
        <v>87</v>
      </c>
      <c r="G91" s="1349">
        <v>109</v>
      </c>
      <c r="H91" s="1349">
        <v>109</v>
      </c>
      <c r="I91" s="1349">
        <v>104</v>
      </c>
      <c r="J91" s="1349">
        <v>98</v>
      </c>
      <c r="K91" s="1461">
        <v>97</v>
      </c>
      <c r="L91" s="1366">
        <v>92</v>
      </c>
      <c r="M91" s="1368"/>
      <c r="N91" s="1368"/>
      <c r="O91" s="3622"/>
      <c r="P91" s="1368"/>
      <c r="Q91" s="1366"/>
    </row>
    <row r="92" spans="1:20">
      <c r="A92" s="2658" t="s">
        <v>8</v>
      </c>
      <c r="B92" s="2670">
        <v>587</v>
      </c>
      <c r="C92" s="2659">
        <v>569</v>
      </c>
      <c r="D92" s="2659">
        <v>559</v>
      </c>
      <c r="E92" s="2659">
        <v>595</v>
      </c>
      <c r="F92" s="2659">
        <v>512</v>
      </c>
      <c r="G92" s="2659">
        <v>513</v>
      </c>
      <c r="H92" s="2659">
        <v>518</v>
      </c>
      <c r="I92" s="2659">
        <v>531</v>
      </c>
      <c r="J92" s="2659">
        <v>523</v>
      </c>
      <c r="K92" s="2660">
        <v>516</v>
      </c>
      <c r="L92" s="2661">
        <v>520</v>
      </c>
      <c r="M92" s="2660"/>
      <c r="N92" s="2660"/>
      <c r="O92" s="2660"/>
      <c r="P92" s="2660"/>
      <c r="Q92" s="2661"/>
    </row>
    <row r="93" spans="1:20">
      <c r="A93" s="2655" t="s">
        <v>7008</v>
      </c>
      <c r="B93" s="2667"/>
      <c r="C93" s="2656"/>
      <c r="D93" s="2656"/>
      <c r="E93" s="2656"/>
      <c r="F93" s="2656"/>
      <c r="G93" s="2656"/>
      <c r="H93" s="2656"/>
      <c r="I93" s="2656"/>
      <c r="J93" s="2656"/>
      <c r="K93" s="2657"/>
      <c r="L93" s="2668"/>
      <c r="M93" s="2671" t="s">
        <v>7009</v>
      </c>
      <c r="N93" s="2657"/>
      <c r="O93" s="3623"/>
      <c r="P93" s="2657"/>
      <c r="Q93" s="2668"/>
    </row>
    <row r="94" spans="1:20">
      <c r="A94" s="1394"/>
      <c r="B94" s="1394"/>
      <c r="C94" s="1368"/>
      <c r="D94" s="1368"/>
      <c r="E94" s="1368"/>
      <c r="F94" s="1368"/>
      <c r="G94" s="1368"/>
      <c r="H94" s="1368"/>
      <c r="I94" s="1368"/>
      <c r="J94" s="1368"/>
      <c r="K94" s="1368"/>
      <c r="L94" s="1367"/>
      <c r="M94" s="1465" t="s">
        <v>7010</v>
      </c>
      <c r="N94" s="1466">
        <v>8</v>
      </c>
      <c r="O94" s="1466">
        <v>0</v>
      </c>
      <c r="P94" s="1368"/>
      <c r="Q94" s="1366">
        <v>0</v>
      </c>
    </row>
    <row r="95" spans="1:20">
      <c r="A95" s="2648" t="s">
        <v>7011</v>
      </c>
      <c r="B95" s="2669">
        <v>154</v>
      </c>
      <c r="C95" s="1377">
        <v>166</v>
      </c>
      <c r="D95" s="1349">
        <v>167</v>
      </c>
      <c r="E95" s="1349">
        <v>169</v>
      </c>
      <c r="F95" s="1349">
        <v>155</v>
      </c>
      <c r="G95" s="1349">
        <v>150</v>
      </c>
      <c r="H95" s="1349">
        <v>145</v>
      </c>
      <c r="I95" s="1349">
        <v>153</v>
      </c>
      <c r="J95" s="1349">
        <v>143</v>
      </c>
      <c r="K95" s="1461">
        <v>134</v>
      </c>
      <c r="L95" s="1366">
        <v>116</v>
      </c>
      <c r="M95" s="1465" t="s">
        <v>7012</v>
      </c>
      <c r="N95" s="1466">
        <v>302</v>
      </c>
      <c r="O95" s="1466">
        <v>290</v>
      </c>
      <c r="P95" s="1368">
        <v>289</v>
      </c>
      <c r="Q95" s="1366">
        <v>301</v>
      </c>
    </row>
    <row r="96" spans="1:20">
      <c r="A96" s="2648" t="s">
        <v>7006</v>
      </c>
      <c r="B96" s="2669">
        <v>70</v>
      </c>
      <c r="C96" s="1377">
        <v>58</v>
      </c>
      <c r="D96" s="1349">
        <v>60</v>
      </c>
      <c r="E96" s="1349">
        <v>60</v>
      </c>
      <c r="F96" s="1349">
        <v>71</v>
      </c>
      <c r="G96" s="1349">
        <v>63</v>
      </c>
      <c r="H96" s="1349">
        <v>65</v>
      </c>
      <c r="I96" s="1349">
        <v>61</v>
      </c>
      <c r="J96" s="1349">
        <v>51</v>
      </c>
      <c r="K96" s="1461">
        <v>51</v>
      </c>
      <c r="L96" s="1366">
        <v>41</v>
      </c>
      <c r="M96" s="1465" t="s">
        <v>7013</v>
      </c>
      <c r="N96" s="1466">
        <v>137</v>
      </c>
      <c r="O96" s="1466">
        <v>145</v>
      </c>
      <c r="P96" s="1368">
        <v>120</v>
      </c>
      <c r="Q96" s="1366">
        <v>105</v>
      </c>
    </row>
    <row r="97" spans="1:17">
      <c r="A97" s="2648" t="s">
        <v>7007</v>
      </c>
      <c r="B97" s="2669">
        <v>43</v>
      </c>
      <c r="C97" s="1377">
        <v>36</v>
      </c>
      <c r="D97" s="1349">
        <v>39</v>
      </c>
      <c r="E97" s="1349">
        <v>39</v>
      </c>
      <c r="F97" s="1349">
        <v>36</v>
      </c>
      <c r="G97" s="1349">
        <v>27</v>
      </c>
      <c r="H97" s="1349">
        <v>25</v>
      </c>
      <c r="I97" s="1349">
        <v>24</v>
      </c>
      <c r="J97" s="1349">
        <v>33</v>
      </c>
      <c r="K97" s="1461">
        <v>35</v>
      </c>
      <c r="L97" s="1366">
        <v>36</v>
      </c>
      <c r="M97" s="1465" t="s">
        <v>7014</v>
      </c>
      <c r="N97" s="1466">
        <v>89</v>
      </c>
      <c r="O97" s="1466">
        <v>78</v>
      </c>
      <c r="P97" s="1368">
        <v>69</v>
      </c>
      <c r="Q97" s="1366">
        <v>74</v>
      </c>
    </row>
    <row r="98" spans="1:17">
      <c r="A98" s="2648"/>
      <c r="B98" s="2669"/>
      <c r="C98" s="1377"/>
      <c r="D98" s="1349"/>
      <c r="E98" s="1349"/>
      <c r="F98" s="1349"/>
      <c r="G98" s="1349"/>
      <c r="H98" s="1349"/>
      <c r="I98" s="1349"/>
      <c r="J98" s="1349"/>
      <c r="K98" s="1461"/>
      <c r="L98" s="1366"/>
      <c r="M98" s="1465" t="s">
        <v>7314</v>
      </c>
      <c r="N98" s="1466"/>
      <c r="O98" s="1466"/>
      <c r="P98" s="1368">
        <v>5</v>
      </c>
      <c r="Q98" s="1366">
        <v>9</v>
      </c>
    </row>
    <row r="99" spans="1:17">
      <c r="A99" s="2658" t="s">
        <v>8</v>
      </c>
      <c r="B99" s="2670">
        <v>267</v>
      </c>
      <c r="C99" s="2659">
        <v>260</v>
      </c>
      <c r="D99" s="2659">
        <v>266</v>
      </c>
      <c r="E99" s="2659">
        <v>268</v>
      </c>
      <c r="F99" s="2659">
        <v>262</v>
      </c>
      <c r="G99" s="2659">
        <v>240</v>
      </c>
      <c r="H99" s="2659">
        <v>235</v>
      </c>
      <c r="I99" s="2659">
        <v>238</v>
      </c>
      <c r="J99" s="2659">
        <v>227</v>
      </c>
      <c r="K99" s="2660">
        <v>220</v>
      </c>
      <c r="L99" s="2661">
        <v>193</v>
      </c>
      <c r="M99" s="2662" t="s">
        <v>8</v>
      </c>
      <c r="N99" s="2663">
        <v>536</v>
      </c>
      <c r="O99" s="2663">
        <v>513</v>
      </c>
      <c r="P99" s="2660">
        <v>482</v>
      </c>
      <c r="Q99" s="2664">
        <v>489</v>
      </c>
    </row>
    <row r="100" spans="1:17">
      <c r="A100" s="2655" t="s">
        <v>7015</v>
      </c>
      <c r="B100" s="2667"/>
      <c r="C100" s="2656"/>
      <c r="D100" s="2656"/>
      <c r="E100" s="2656"/>
      <c r="F100" s="2656"/>
      <c r="G100" s="2656"/>
      <c r="H100" s="2656"/>
      <c r="I100" s="2656"/>
      <c r="J100" s="2656"/>
      <c r="K100" s="2657"/>
      <c r="L100" s="2668"/>
      <c r="M100" s="2671" t="s">
        <v>7016</v>
      </c>
      <c r="N100" s="2672"/>
      <c r="O100" s="2672"/>
      <c r="P100" s="2672"/>
      <c r="Q100" s="2673"/>
    </row>
    <row r="101" spans="1:17">
      <c r="A101" s="2648" t="s">
        <v>7011</v>
      </c>
      <c r="B101" s="2669">
        <v>62</v>
      </c>
      <c r="C101" s="1377">
        <v>156</v>
      </c>
      <c r="D101" s="1349">
        <v>110</v>
      </c>
      <c r="E101" s="1349">
        <v>112</v>
      </c>
      <c r="F101" s="1349">
        <v>130</v>
      </c>
      <c r="G101" s="1349">
        <v>156</v>
      </c>
      <c r="H101" s="1349">
        <v>141</v>
      </c>
      <c r="I101" s="1349">
        <v>110</v>
      </c>
      <c r="J101" s="1349">
        <v>94</v>
      </c>
      <c r="K101" s="1461">
        <v>92</v>
      </c>
      <c r="L101" s="1366">
        <v>82</v>
      </c>
      <c r="M101" s="1465" t="s">
        <v>7012</v>
      </c>
      <c r="N101" s="1466">
        <v>94</v>
      </c>
      <c r="O101" s="1466">
        <v>91</v>
      </c>
      <c r="P101" s="1368"/>
      <c r="Q101" s="1366">
        <v>105</v>
      </c>
    </row>
    <row r="102" spans="1:17">
      <c r="A102" s="2648" t="s">
        <v>7006</v>
      </c>
      <c r="B102" s="2669"/>
      <c r="C102" s="1377"/>
      <c r="D102" s="1349"/>
      <c r="E102" s="1349"/>
      <c r="F102" s="1349">
        <v>23</v>
      </c>
      <c r="G102" s="1349">
        <v>24</v>
      </c>
      <c r="H102" s="1349">
        <v>24</v>
      </c>
      <c r="I102" s="1349">
        <v>33</v>
      </c>
      <c r="J102" s="1349">
        <v>35</v>
      </c>
      <c r="K102" s="1461">
        <v>35</v>
      </c>
      <c r="L102" s="1366">
        <v>21</v>
      </c>
      <c r="M102" s="1465" t="s">
        <v>7013</v>
      </c>
      <c r="N102" s="1466">
        <v>45</v>
      </c>
      <c r="O102" s="1466">
        <v>41</v>
      </c>
      <c r="P102" s="1368">
        <v>90</v>
      </c>
      <c r="Q102" s="1366">
        <v>29</v>
      </c>
    </row>
    <row r="103" spans="1:17">
      <c r="A103" s="2648" t="s">
        <v>7007</v>
      </c>
      <c r="B103" s="2669"/>
      <c r="C103" s="1377"/>
      <c r="D103" s="1349"/>
      <c r="E103" s="1349"/>
      <c r="F103" s="1349"/>
      <c r="G103" s="1349"/>
      <c r="H103" s="1349">
        <v>3</v>
      </c>
      <c r="I103" s="1349">
        <v>6</v>
      </c>
      <c r="J103" s="1349">
        <v>10</v>
      </c>
      <c r="K103" s="1461">
        <v>12</v>
      </c>
      <c r="L103" s="1366">
        <v>11</v>
      </c>
      <c r="M103" s="1465" t="s">
        <v>7017</v>
      </c>
      <c r="N103" s="1466">
        <v>24</v>
      </c>
      <c r="O103" s="1466">
        <v>27</v>
      </c>
      <c r="P103" s="1368">
        <v>42</v>
      </c>
      <c r="Q103" s="1366">
        <v>24</v>
      </c>
    </row>
    <row r="104" spans="1:17">
      <c r="A104" s="2648"/>
      <c r="B104" s="2669"/>
      <c r="C104" s="1377"/>
      <c r="D104" s="1349"/>
      <c r="E104" s="1349"/>
      <c r="F104" s="1349"/>
      <c r="G104" s="1349"/>
      <c r="H104" s="1349"/>
      <c r="I104" s="1349"/>
      <c r="J104" s="1349"/>
      <c r="K104" s="1461"/>
      <c r="L104" s="1366"/>
      <c r="M104" s="1465" t="s">
        <v>7315</v>
      </c>
      <c r="N104" s="1466"/>
      <c r="O104" s="1466"/>
      <c r="P104" s="1368">
        <v>17</v>
      </c>
      <c r="Q104" s="1366">
        <v>0</v>
      </c>
    </row>
    <row r="105" spans="1:17">
      <c r="A105" s="2658" t="s">
        <v>8</v>
      </c>
      <c r="B105" s="2670">
        <v>62</v>
      </c>
      <c r="C105" s="2659">
        <v>156</v>
      </c>
      <c r="D105" s="2659">
        <v>110</v>
      </c>
      <c r="E105" s="2659">
        <v>112</v>
      </c>
      <c r="F105" s="2659">
        <v>153</v>
      </c>
      <c r="G105" s="2659">
        <v>180</v>
      </c>
      <c r="H105" s="2659">
        <v>168</v>
      </c>
      <c r="I105" s="2659">
        <v>149</v>
      </c>
      <c r="J105" s="2659">
        <v>139</v>
      </c>
      <c r="K105" s="2660">
        <v>139</v>
      </c>
      <c r="L105" s="2661">
        <v>114</v>
      </c>
      <c r="M105" s="2662" t="s">
        <v>8</v>
      </c>
      <c r="N105" s="2663">
        <v>163</v>
      </c>
      <c r="O105" s="2663">
        <v>159</v>
      </c>
      <c r="P105" s="2660">
        <v>149</v>
      </c>
      <c r="Q105" s="2664">
        <v>158</v>
      </c>
    </row>
    <row r="106" spans="1:17" s="1370" customFormat="1">
      <c r="A106" s="1471"/>
      <c r="B106" s="1419"/>
      <c r="C106" s="1419"/>
      <c r="D106" s="1419"/>
      <c r="E106" s="1419"/>
      <c r="F106" s="1419"/>
      <c r="G106" s="1419"/>
      <c r="H106" s="1419"/>
      <c r="I106" s="1419"/>
      <c r="J106" s="1419"/>
      <c r="K106" s="1419"/>
      <c r="L106" s="1419"/>
      <c r="M106" s="2675" t="s">
        <v>7018</v>
      </c>
      <c r="N106" s="2676"/>
      <c r="O106" s="2676"/>
      <c r="P106" s="2672"/>
      <c r="Q106" s="2677"/>
    </row>
    <row r="107" spans="1:17">
      <c r="A107" s="1394"/>
      <c r="B107" s="1368"/>
      <c r="C107" s="1368"/>
      <c r="D107" s="1368"/>
      <c r="E107" s="1368"/>
      <c r="F107" s="1368"/>
      <c r="G107" s="1368"/>
      <c r="H107" s="1368"/>
      <c r="I107" s="1368"/>
      <c r="J107" s="1368"/>
      <c r="K107" s="1368"/>
      <c r="L107" s="1368"/>
      <c r="M107" s="2678" t="s">
        <v>7019</v>
      </c>
      <c r="N107" s="1466">
        <v>32</v>
      </c>
      <c r="O107" s="1466">
        <v>23</v>
      </c>
      <c r="P107" s="1368">
        <v>30</v>
      </c>
      <c r="Q107" s="1366">
        <v>14</v>
      </c>
    </row>
    <row r="108" spans="1:17">
      <c r="A108" s="1394"/>
      <c r="B108" s="1368"/>
      <c r="C108" s="1368"/>
      <c r="D108" s="1368"/>
      <c r="E108" s="1368"/>
      <c r="F108" s="1368"/>
      <c r="G108" s="1368"/>
      <c r="H108" s="1368"/>
      <c r="I108" s="1368"/>
      <c r="J108" s="1368"/>
      <c r="K108" s="1368"/>
      <c r="L108" s="1368"/>
      <c r="M108" s="2678" t="s">
        <v>7012</v>
      </c>
      <c r="N108" s="1466">
        <v>40</v>
      </c>
      <c r="O108" s="1466">
        <v>30</v>
      </c>
      <c r="P108" s="1368">
        <v>31</v>
      </c>
      <c r="Q108" s="1366">
        <v>18</v>
      </c>
    </row>
    <row r="109" spans="1:17">
      <c r="A109" s="1394"/>
      <c r="B109" s="1368"/>
      <c r="C109" s="1368"/>
      <c r="D109" s="1368"/>
      <c r="E109" s="1368"/>
      <c r="F109" s="1368"/>
      <c r="G109" s="1368"/>
      <c r="H109" s="1368"/>
      <c r="I109" s="1368"/>
      <c r="J109" s="1368"/>
      <c r="K109" s="1368"/>
      <c r="L109" s="1368"/>
      <c r="M109" s="2678" t="s">
        <v>7013</v>
      </c>
      <c r="N109" s="1466">
        <v>19</v>
      </c>
      <c r="O109" s="1466">
        <v>18</v>
      </c>
      <c r="P109" s="1368">
        <v>21</v>
      </c>
      <c r="Q109" s="1366">
        <v>15</v>
      </c>
    </row>
    <row r="110" spans="1:17">
      <c r="A110" s="1394"/>
      <c r="B110" s="1368"/>
      <c r="C110" s="1368"/>
      <c r="D110" s="1368"/>
      <c r="E110" s="1368"/>
      <c r="F110" s="1368"/>
      <c r="G110" s="1368"/>
      <c r="H110" s="1368"/>
      <c r="I110" s="1368"/>
      <c r="J110" s="1368"/>
      <c r="K110" s="1368"/>
      <c r="L110" s="1368"/>
      <c r="M110" s="2678" t="s">
        <v>7017</v>
      </c>
      <c r="N110" s="1466">
        <v>11</v>
      </c>
      <c r="O110" s="1466">
        <v>14</v>
      </c>
      <c r="P110" s="1368">
        <v>12</v>
      </c>
      <c r="Q110" s="1366">
        <v>6</v>
      </c>
    </row>
    <row r="111" spans="1:17">
      <c r="A111" s="1394"/>
      <c r="B111" s="1368"/>
      <c r="C111" s="1368"/>
      <c r="D111" s="1368"/>
      <c r="E111" s="1368"/>
      <c r="F111" s="1368"/>
      <c r="G111" s="1368"/>
      <c r="H111" s="1368"/>
      <c r="I111" s="1368"/>
      <c r="J111" s="1368"/>
      <c r="K111" s="1368"/>
      <c r="L111" s="1368"/>
      <c r="M111" s="1394" t="s">
        <v>7315</v>
      </c>
      <c r="N111" s="1368"/>
      <c r="O111" s="1349">
        <v>1</v>
      </c>
      <c r="P111" s="1368">
        <v>0</v>
      </c>
      <c r="Q111" s="1366">
        <v>0</v>
      </c>
    </row>
    <row r="112" spans="1:17">
      <c r="A112" s="1394"/>
      <c r="B112" s="1368"/>
      <c r="C112" s="1368"/>
      <c r="D112" s="1368"/>
      <c r="E112" s="1368"/>
      <c r="F112" s="1368"/>
      <c r="G112" s="1368"/>
      <c r="H112" s="1368"/>
      <c r="I112" s="1368"/>
      <c r="J112" s="1368"/>
      <c r="K112" s="1368"/>
      <c r="L112" s="1368"/>
      <c r="M112" s="2674" t="s">
        <v>8</v>
      </c>
      <c r="N112" s="2663">
        <v>102</v>
      </c>
      <c r="O112" s="2663">
        <v>86</v>
      </c>
      <c r="P112" s="2660">
        <v>94</v>
      </c>
      <c r="Q112" s="2664">
        <v>53</v>
      </c>
    </row>
    <row r="113" spans="1:17">
      <c r="A113" s="1394"/>
      <c r="B113" s="1368"/>
      <c r="C113" s="1368"/>
      <c r="D113" s="1368"/>
      <c r="E113" s="1368"/>
      <c r="F113" s="1368"/>
      <c r="G113" s="1368"/>
      <c r="H113" s="1368"/>
      <c r="I113" s="1368"/>
      <c r="J113" s="1368"/>
      <c r="K113" s="1368"/>
      <c r="L113" s="1368"/>
      <c r="M113" s="3968"/>
      <c r="N113" s="1363"/>
      <c r="O113" s="1363"/>
      <c r="P113" s="1349"/>
      <c r="Q113" s="1366"/>
    </row>
    <row r="114" spans="1:17" ht="15.75" customHeight="1">
      <c r="A114" s="2649" t="s">
        <v>4683</v>
      </c>
      <c r="B114" s="2679">
        <v>916</v>
      </c>
      <c r="C114" s="2650">
        <v>985</v>
      </c>
      <c r="D114" s="2614">
        <v>935</v>
      </c>
      <c r="E114" s="2614">
        <v>975</v>
      </c>
      <c r="F114" s="2614">
        <v>927</v>
      </c>
      <c r="G114" s="2614">
        <v>933</v>
      </c>
      <c r="H114" s="2614">
        <v>921</v>
      </c>
      <c r="I114" s="2614">
        <v>918</v>
      </c>
      <c r="J114" s="2614">
        <v>889</v>
      </c>
      <c r="K114" s="2651">
        <v>875</v>
      </c>
      <c r="L114" s="2680">
        <v>827</v>
      </c>
      <c r="M114" s="2652"/>
      <c r="N114" s="2653">
        <v>846</v>
      </c>
      <c r="O114" s="2653">
        <v>819</v>
      </c>
      <c r="P114" s="2653">
        <v>785</v>
      </c>
      <c r="Q114" s="2654">
        <v>736</v>
      </c>
    </row>
    <row r="115" spans="1:17" ht="15.75" customHeight="1">
      <c r="M115" s="1379"/>
      <c r="O115" s="1368"/>
    </row>
    <row r="116" spans="1:17">
      <c r="M116" s="1379"/>
    </row>
    <row r="118" spans="1:17" ht="15">
      <c r="A118" s="2617" t="s">
        <v>7020</v>
      </c>
      <c r="B118" s="2613" t="s">
        <v>7021</v>
      </c>
      <c r="C118" s="2613" t="s">
        <v>6946</v>
      </c>
      <c r="D118" s="2613" t="s">
        <v>6947</v>
      </c>
      <c r="E118" s="2613" t="s">
        <v>6948</v>
      </c>
      <c r="F118" s="2613" t="s">
        <v>6949</v>
      </c>
      <c r="G118" s="2613" t="s">
        <v>7022</v>
      </c>
      <c r="H118" s="2613" t="s">
        <v>6950</v>
      </c>
      <c r="I118" s="2613" t="s">
        <v>6951</v>
      </c>
      <c r="J118" s="2613" t="s">
        <v>6952</v>
      </c>
      <c r="K118" s="2613" t="s">
        <v>6953</v>
      </c>
      <c r="L118" s="2613" t="s">
        <v>5774</v>
      </c>
      <c r="M118" s="2613" t="s">
        <v>5775</v>
      </c>
      <c r="N118" s="2613" t="s">
        <v>5776</v>
      </c>
      <c r="O118" s="2612" t="s">
        <v>854</v>
      </c>
    </row>
    <row r="119" spans="1:17">
      <c r="A119" s="1467" t="s">
        <v>7023</v>
      </c>
      <c r="B119" s="1349">
        <v>12</v>
      </c>
      <c r="C119" s="1349">
        <v>8</v>
      </c>
      <c r="D119" s="1349">
        <v>10</v>
      </c>
      <c r="E119" s="1349">
        <v>9</v>
      </c>
      <c r="F119" s="1349">
        <v>7</v>
      </c>
      <c r="G119" s="1349" t="s">
        <v>7024</v>
      </c>
      <c r="H119" s="1349">
        <v>12</v>
      </c>
      <c r="I119" s="1349">
        <v>13</v>
      </c>
      <c r="J119" s="1349">
        <v>12</v>
      </c>
      <c r="K119" s="1349">
        <v>8</v>
      </c>
      <c r="L119" s="1349">
        <v>5</v>
      </c>
      <c r="M119" s="1349">
        <v>5</v>
      </c>
      <c r="N119" s="1368"/>
      <c r="O119" s="1467"/>
    </row>
    <row r="120" spans="1:17">
      <c r="A120" s="1467" t="s">
        <v>7025</v>
      </c>
      <c r="B120" s="1349">
        <v>8</v>
      </c>
      <c r="C120" s="1349">
        <v>9</v>
      </c>
      <c r="D120" s="1349">
        <v>10</v>
      </c>
      <c r="E120" s="1349">
        <v>7</v>
      </c>
      <c r="F120" s="1349">
        <v>8</v>
      </c>
      <c r="G120" s="1349" t="s">
        <v>7026</v>
      </c>
      <c r="H120" s="1349">
        <v>12</v>
      </c>
      <c r="I120" s="1349">
        <v>6</v>
      </c>
      <c r="J120" s="1349">
        <v>11</v>
      </c>
      <c r="K120" s="1349">
        <v>12</v>
      </c>
      <c r="L120" s="1349">
        <v>9</v>
      </c>
      <c r="M120" s="1349">
        <v>5</v>
      </c>
      <c r="N120" s="1368"/>
      <c r="O120" s="1467"/>
    </row>
    <row r="121" spans="1:17">
      <c r="A121" s="1467" t="s">
        <v>7027</v>
      </c>
      <c r="B121" s="1349">
        <v>10</v>
      </c>
      <c r="C121" s="1349">
        <v>9</v>
      </c>
      <c r="D121" s="1349">
        <v>9</v>
      </c>
      <c r="E121" s="1349">
        <v>3</v>
      </c>
      <c r="F121" s="1349">
        <v>7</v>
      </c>
      <c r="G121" s="1349"/>
      <c r="H121" s="1349"/>
      <c r="I121" s="1349">
        <v>7</v>
      </c>
      <c r="J121" s="1349">
        <v>8</v>
      </c>
      <c r="K121" s="1349">
        <v>3</v>
      </c>
      <c r="L121" s="1349">
        <v>7</v>
      </c>
      <c r="M121" s="1349">
        <v>10</v>
      </c>
      <c r="N121" s="1368"/>
      <c r="O121" s="1467"/>
    </row>
    <row r="122" spans="1:17">
      <c r="A122" s="2616" t="s">
        <v>8</v>
      </c>
      <c r="B122" s="2614">
        <f>SUM(B119:B121)</f>
        <v>30</v>
      </c>
      <c r="C122" s="2614">
        <f>SUM(C119:C121)</f>
        <v>26</v>
      </c>
      <c r="D122" s="2614">
        <f>SUM(D119:D121)</f>
        <v>29</v>
      </c>
      <c r="E122" s="2614">
        <v>19</v>
      </c>
      <c r="F122" s="2614">
        <v>22</v>
      </c>
      <c r="G122" s="2615"/>
      <c r="H122" s="2614">
        <v>24</v>
      </c>
      <c r="I122" s="2614">
        <v>26</v>
      </c>
      <c r="J122" s="2614">
        <v>31</v>
      </c>
      <c r="K122" s="2614">
        <v>23</v>
      </c>
      <c r="L122" s="2614">
        <f>SUM(L119:L121)</f>
        <v>21</v>
      </c>
      <c r="M122" s="2614">
        <f>SUM(M119:M121)</f>
        <v>20</v>
      </c>
      <c r="N122" s="2614"/>
      <c r="O122" s="2616" t="s">
        <v>7028</v>
      </c>
    </row>
    <row r="123" spans="1:17">
      <c r="A123" s="1385"/>
      <c r="B123" s="1386"/>
      <c r="C123" s="1386"/>
      <c r="D123" s="1386"/>
      <c r="E123" s="1386"/>
      <c r="F123" s="1386"/>
      <c r="G123" s="1377"/>
      <c r="H123" s="1386"/>
      <c r="I123" s="1386"/>
      <c r="J123" s="1386"/>
      <c r="K123" s="1386"/>
      <c r="L123" s="1386"/>
      <c r="M123" s="1386"/>
      <c r="N123" s="1386"/>
      <c r="O123" s="1385"/>
    </row>
    <row r="125" spans="1:17" ht="15">
      <c r="A125" s="2617" t="s">
        <v>65</v>
      </c>
      <c r="B125" s="4759">
        <v>2003</v>
      </c>
      <c r="C125" s="4760"/>
      <c r="D125" s="4761">
        <v>2004</v>
      </c>
      <c r="E125" s="4760"/>
      <c r="F125" s="4761">
        <v>2005</v>
      </c>
      <c r="G125" s="4760"/>
      <c r="H125" s="4761">
        <v>2006</v>
      </c>
      <c r="I125" s="4760"/>
      <c r="J125" s="4759">
        <v>2007</v>
      </c>
      <c r="K125" s="4760"/>
      <c r="L125" s="2618"/>
      <c r="M125" s="2619">
        <v>2008</v>
      </c>
      <c r="N125" s="2620"/>
    </row>
    <row r="126" spans="1:17">
      <c r="A126" s="2632"/>
      <c r="B126" s="1949" t="s">
        <v>7029</v>
      </c>
      <c r="C126" s="1951" t="s">
        <v>725</v>
      </c>
      <c r="D126" s="1952" t="s">
        <v>7029</v>
      </c>
      <c r="E126" s="1951" t="s">
        <v>725</v>
      </c>
      <c r="F126" s="1952" t="s">
        <v>7029</v>
      </c>
      <c r="G126" s="1951" t="s">
        <v>725</v>
      </c>
      <c r="H126" s="1952" t="s">
        <v>7029</v>
      </c>
      <c r="I126" s="1951" t="s">
        <v>725</v>
      </c>
      <c r="J126" s="1949" t="s">
        <v>7029</v>
      </c>
      <c r="K126" s="1951" t="s">
        <v>725</v>
      </c>
      <c r="L126" s="1953"/>
      <c r="M126" s="1954" t="s">
        <v>7029</v>
      </c>
      <c r="N126" s="1955" t="s">
        <v>725</v>
      </c>
    </row>
    <row r="127" spans="1:17">
      <c r="A127" s="2633" t="s">
        <v>7031</v>
      </c>
      <c r="B127" s="1368"/>
      <c r="C127" s="1367"/>
      <c r="D127" s="1394"/>
      <c r="E127" s="1367"/>
      <c r="F127" s="1394"/>
      <c r="G127" s="1367"/>
      <c r="H127" s="1394"/>
      <c r="I127" s="1367"/>
      <c r="J127" s="1468"/>
      <c r="K127" s="1469"/>
      <c r="L127" s="1368"/>
      <c r="M127" s="1368"/>
      <c r="N127" s="1367"/>
    </row>
    <row r="128" spans="1:17">
      <c r="A128" s="2633" t="s">
        <v>7032</v>
      </c>
      <c r="B128" s="1468">
        <v>3</v>
      </c>
      <c r="C128" s="1469">
        <v>750</v>
      </c>
      <c r="D128" s="1470">
        <v>2</v>
      </c>
      <c r="E128" s="1469">
        <v>500</v>
      </c>
      <c r="F128" s="1470">
        <v>1</v>
      </c>
      <c r="G128" s="1469">
        <v>250</v>
      </c>
      <c r="H128" s="1470">
        <v>1</v>
      </c>
      <c r="I128" s="1469">
        <v>250</v>
      </c>
      <c r="J128" s="1468"/>
      <c r="K128" s="1469"/>
      <c r="L128" s="1368"/>
      <c r="M128" s="1368">
        <v>1</v>
      </c>
      <c r="N128" s="1367">
        <v>350</v>
      </c>
    </row>
    <row r="129" spans="1:16">
      <c r="A129" s="2634" t="s">
        <v>7033</v>
      </c>
      <c r="B129" s="1468"/>
      <c r="C129" s="1469"/>
      <c r="D129" s="1470"/>
      <c r="E129" s="1469"/>
      <c r="F129" s="1470"/>
      <c r="G129" s="1469"/>
      <c r="H129" s="1470"/>
      <c r="I129" s="1469"/>
      <c r="J129" s="1468"/>
      <c r="K129" s="1469"/>
      <c r="L129" s="1419" t="s">
        <v>7034</v>
      </c>
      <c r="M129" s="1368"/>
      <c r="N129" s="1367"/>
    </row>
    <row r="130" spans="1:16">
      <c r="A130" s="2633" t="s">
        <v>7035</v>
      </c>
      <c r="B130" s="1368"/>
      <c r="C130" s="1367"/>
      <c r="D130" s="1394"/>
      <c r="E130" s="1367"/>
      <c r="F130" s="1394"/>
      <c r="G130" s="1367"/>
      <c r="H130" s="1394"/>
      <c r="I130" s="1367"/>
      <c r="J130" s="1368"/>
      <c r="K130" s="1367"/>
      <c r="L130" s="1368"/>
      <c r="M130" s="1368"/>
      <c r="N130" s="1367"/>
    </row>
    <row r="131" spans="1:16">
      <c r="A131" s="2635" t="s">
        <v>7036</v>
      </c>
      <c r="B131" s="1468">
        <v>4</v>
      </c>
      <c r="C131" s="1469">
        <v>800</v>
      </c>
      <c r="D131" s="1470">
        <v>11</v>
      </c>
      <c r="E131" s="1469">
        <v>2200</v>
      </c>
      <c r="F131" s="1470">
        <v>12</v>
      </c>
      <c r="G131" s="1469">
        <v>2400</v>
      </c>
      <c r="H131" s="1470">
        <v>11</v>
      </c>
      <c r="I131" s="1469">
        <v>2200</v>
      </c>
      <c r="J131" s="1468">
        <v>10</v>
      </c>
      <c r="K131" s="1469">
        <v>2000</v>
      </c>
      <c r="L131" s="1368"/>
      <c r="M131" s="1368">
        <v>12</v>
      </c>
      <c r="N131" s="1367">
        <v>3000</v>
      </c>
    </row>
    <row r="132" spans="1:16">
      <c r="A132" s="2636" t="s">
        <v>7037</v>
      </c>
      <c r="B132" s="1468"/>
      <c r="C132" s="1469"/>
      <c r="D132" s="1470"/>
      <c r="E132" s="1469"/>
      <c r="F132" s="1470"/>
      <c r="G132" s="1469"/>
      <c r="H132" s="1470"/>
      <c r="I132" s="1469"/>
      <c r="J132" s="1468"/>
      <c r="K132" s="1469"/>
      <c r="L132" s="1419" t="s">
        <v>7033</v>
      </c>
      <c r="M132" s="1368"/>
      <c r="N132" s="1367"/>
    </row>
    <row r="133" spans="1:16">
      <c r="A133" s="2633" t="s">
        <v>7038</v>
      </c>
      <c r="B133" s="1349"/>
      <c r="C133" s="1469"/>
      <c r="D133" s="1470"/>
      <c r="E133" s="1469"/>
      <c r="F133" s="1470"/>
      <c r="G133" s="1469"/>
      <c r="H133" s="1470"/>
      <c r="I133" s="1469"/>
      <c r="J133" s="1468"/>
      <c r="K133" s="1469"/>
      <c r="L133" s="1368"/>
      <c r="M133" s="1368"/>
      <c r="N133" s="1367"/>
    </row>
    <row r="134" spans="1:16">
      <c r="A134" s="2633" t="s">
        <v>7039</v>
      </c>
      <c r="B134" s="1349">
        <v>3</v>
      </c>
      <c r="C134" s="1469">
        <v>450</v>
      </c>
      <c r="D134" s="1470">
        <v>2</v>
      </c>
      <c r="E134" s="1469">
        <v>300</v>
      </c>
      <c r="F134" s="1470">
        <v>3</v>
      </c>
      <c r="G134" s="1469">
        <v>450</v>
      </c>
      <c r="H134" s="1470">
        <v>3</v>
      </c>
      <c r="I134" s="1469">
        <v>450</v>
      </c>
      <c r="J134" s="1468">
        <v>3</v>
      </c>
      <c r="K134" s="1469">
        <v>450</v>
      </c>
      <c r="L134" s="1368"/>
      <c r="M134" s="1368">
        <v>4</v>
      </c>
      <c r="N134" s="1367">
        <v>600</v>
      </c>
    </row>
    <row r="135" spans="1:16">
      <c r="A135" s="2636" t="s">
        <v>7040</v>
      </c>
      <c r="B135" s="1368"/>
      <c r="C135" s="1367"/>
      <c r="D135" s="1394"/>
      <c r="E135" s="1367"/>
      <c r="F135" s="1394"/>
      <c r="G135" s="1367"/>
      <c r="H135" s="1394"/>
      <c r="I135" s="1367"/>
      <c r="J135" s="1368"/>
      <c r="K135" s="1367"/>
      <c r="L135" s="1419" t="s">
        <v>7040</v>
      </c>
      <c r="M135" s="1368"/>
      <c r="N135" s="1367"/>
    </row>
    <row r="136" spans="1:16">
      <c r="A136" s="2637" t="s">
        <v>8</v>
      </c>
      <c r="B136" s="2638">
        <f>SUM(B128:B135)</f>
        <v>10</v>
      </c>
      <c r="C136" s="2639">
        <f>SUM(C128:C135)</f>
        <v>2000</v>
      </c>
      <c r="D136" s="2640">
        <f>SUM(D127:D135)</f>
        <v>15</v>
      </c>
      <c r="E136" s="2639">
        <f>SUM(E128:E135)</f>
        <v>3000</v>
      </c>
      <c r="F136" s="2640">
        <f>SUM(F127:F135)</f>
        <v>16</v>
      </c>
      <c r="G136" s="2639">
        <f>SUM(G128:G135)</f>
        <v>3100</v>
      </c>
      <c r="H136" s="2640">
        <f>SUM(H127:H135)</f>
        <v>15</v>
      </c>
      <c r="I136" s="2639">
        <f>SUM(I128:I135)</f>
        <v>2900</v>
      </c>
      <c r="J136" s="2638">
        <f>SUM(J127:J135)</f>
        <v>13</v>
      </c>
      <c r="K136" s="2639">
        <f>SUM(K131:K135)</f>
        <v>2450</v>
      </c>
      <c r="L136" s="2638"/>
      <c r="M136" s="2638">
        <v>17</v>
      </c>
      <c r="N136" s="2639">
        <v>3950</v>
      </c>
    </row>
    <row r="139" spans="1:16">
      <c r="A139" s="2642"/>
      <c r="B139" s="2618"/>
      <c r="C139" s="2619">
        <v>2009</v>
      </c>
      <c r="D139" s="2620"/>
      <c r="E139" s="2621"/>
      <c r="F139" s="2619">
        <v>2010</v>
      </c>
      <c r="G139" s="2620"/>
      <c r="H139" s="2621"/>
      <c r="I139" s="2619">
        <v>2011</v>
      </c>
      <c r="J139" s="2620"/>
      <c r="K139" s="2621"/>
      <c r="L139" s="2622">
        <v>2012</v>
      </c>
      <c r="M139" s="2620"/>
      <c r="N139" s="2621"/>
      <c r="O139" s="2622">
        <v>2013</v>
      </c>
      <c r="P139" s="2620"/>
    </row>
    <row r="140" spans="1:16">
      <c r="A140" s="2643"/>
      <c r="B140" s="1953"/>
      <c r="C140" s="1954" t="s">
        <v>7029</v>
      </c>
      <c r="D140" s="1955" t="s">
        <v>725</v>
      </c>
      <c r="E140" s="1956"/>
      <c r="F140" s="1954" t="s">
        <v>7029</v>
      </c>
      <c r="G140" s="1955" t="s">
        <v>725</v>
      </c>
      <c r="H140" s="1956"/>
      <c r="I140" s="1954" t="s">
        <v>7029</v>
      </c>
      <c r="J140" s="1955" t="s">
        <v>725</v>
      </c>
      <c r="K140" s="1956"/>
      <c r="L140" s="1954" t="s">
        <v>7029</v>
      </c>
      <c r="M140" s="1955" t="s">
        <v>725</v>
      </c>
      <c r="N140" s="1956"/>
      <c r="O140" s="1954" t="s">
        <v>7029</v>
      </c>
      <c r="P140" s="1955" t="s">
        <v>725</v>
      </c>
    </row>
    <row r="141" spans="1:16">
      <c r="A141" s="2641" t="s">
        <v>7031</v>
      </c>
      <c r="B141" s="1368"/>
      <c r="C141" s="1368"/>
      <c r="D141" s="1367"/>
      <c r="E141" s="1394"/>
      <c r="F141" s="1368"/>
      <c r="G141" s="1367"/>
      <c r="H141" s="1394"/>
      <c r="I141" s="1368"/>
      <c r="J141" s="1367"/>
      <c r="K141" s="1394"/>
      <c r="L141" s="1368"/>
      <c r="M141" s="1367"/>
      <c r="N141" s="1394"/>
      <c r="O141" s="1368"/>
      <c r="P141" s="1367"/>
    </row>
    <row r="142" spans="1:16">
      <c r="A142" s="2633" t="s">
        <v>7032</v>
      </c>
      <c r="B142" s="1368"/>
      <c r="C142" s="1368">
        <v>3</v>
      </c>
      <c r="D142" s="1367">
        <v>1050</v>
      </c>
      <c r="E142" s="1394"/>
      <c r="F142" s="1368">
        <v>4</v>
      </c>
      <c r="G142" s="1367">
        <v>1400</v>
      </c>
      <c r="H142" s="1394"/>
      <c r="I142" s="1368">
        <v>1</v>
      </c>
      <c r="J142" s="1367">
        <v>350</v>
      </c>
      <c r="K142" s="1394"/>
      <c r="L142" s="1368">
        <v>1</v>
      </c>
      <c r="M142" s="1367">
        <v>350</v>
      </c>
      <c r="N142" s="1394"/>
      <c r="O142" s="1368"/>
      <c r="P142" s="1367"/>
    </row>
    <row r="143" spans="1:16">
      <c r="A143" s="2634" t="s">
        <v>7033</v>
      </c>
      <c r="B143" s="1419" t="s">
        <v>7034</v>
      </c>
      <c r="C143" s="1368"/>
      <c r="D143" s="1367"/>
      <c r="E143" s="1471" t="s">
        <v>7034</v>
      </c>
      <c r="F143" s="1368"/>
      <c r="G143" s="1367"/>
      <c r="H143" s="1471" t="s">
        <v>7034</v>
      </c>
      <c r="I143" s="1368"/>
      <c r="J143" s="1367"/>
      <c r="K143" s="1471" t="s">
        <v>7034</v>
      </c>
      <c r="L143" s="1368"/>
      <c r="M143" s="1367"/>
      <c r="N143" s="1471" t="s">
        <v>7034</v>
      </c>
      <c r="O143" s="1368"/>
      <c r="P143" s="1367"/>
    </row>
    <row r="144" spans="1:16">
      <c r="A144" s="2633" t="s">
        <v>7035</v>
      </c>
      <c r="B144" s="1368"/>
      <c r="C144" s="1368"/>
      <c r="D144" s="1367"/>
      <c r="E144" s="1394"/>
      <c r="F144" s="1368"/>
      <c r="G144" s="1367"/>
      <c r="H144" s="1394"/>
      <c r="I144" s="1368"/>
      <c r="J144" s="1367"/>
      <c r="K144" s="1394"/>
      <c r="L144" s="1368"/>
      <c r="M144" s="1367"/>
      <c r="N144" s="1394"/>
      <c r="O144" s="1368"/>
      <c r="P144" s="1367"/>
    </row>
    <row r="145" spans="1:16">
      <c r="A145" s="2635" t="s">
        <v>7036</v>
      </c>
      <c r="B145" s="1368"/>
      <c r="C145" s="1368">
        <v>15</v>
      </c>
      <c r="D145" s="1367">
        <v>3750</v>
      </c>
      <c r="E145" s="1394"/>
      <c r="F145" s="1368">
        <v>12</v>
      </c>
      <c r="G145" s="1367">
        <v>3000</v>
      </c>
      <c r="H145" s="1394"/>
      <c r="I145" s="1368">
        <v>9</v>
      </c>
      <c r="J145" s="1367">
        <v>2250</v>
      </c>
      <c r="K145" s="1394"/>
      <c r="L145" s="1368">
        <v>13</v>
      </c>
      <c r="M145" s="1367">
        <v>3250</v>
      </c>
      <c r="N145" s="1394"/>
      <c r="O145" s="1368">
        <v>10</v>
      </c>
      <c r="P145" s="1367">
        <v>2500</v>
      </c>
    </row>
    <row r="146" spans="1:16">
      <c r="A146" s="2636" t="s">
        <v>7037</v>
      </c>
      <c r="B146" s="1419" t="s">
        <v>7033</v>
      </c>
      <c r="C146" s="1368"/>
      <c r="D146" s="1367"/>
      <c r="E146" s="1471" t="s">
        <v>7033</v>
      </c>
      <c r="F146" s="1368"/>
      <c r="G146" s="1367"/>
      <c r="H146" s="1471" t="s">
        <v>7033</v>
      </c>
      <c r="I146" s="1368"/>
      <c r="J146" s="1367"/>
      <c r="K146" s="1471" t="s">
        <v>7033</v>
      </c>
      <c r="L146" s="1368"/>
      <c r="M146" s="1367"/>
      <c r="N146" s="1471" t="s">
        <v>7033</v>
      </c>
      <c r="O146" s="1368"/>
      <c r="P146" s="1367"/>
    </row>
    <row r="147" spans="1:16">
      <c r="A147" s="2633" t="s">
        <v>7038</v>
      </c>
      <c r="B147" s="1368"/>
      <c r="C147" s="1368"/>
      <c r="D147" s="1367"/>
      <c r="E147" s="1394"/>
      <c r="F147" s="1368"/>
      <c r="G147" s="1367"/>
      <c r="H147" s="1394"/>
      <c r="I147" s="1368"/>
      <c r="J147" s="1367"/>
      <c r="K147" s="1394"/>
      <c r="L147" s="1368"/>
      <c r="M147" s="1367"/>
      <c r="N147" s="1394"/>
      <c r="O147" s="1368"/>
      <c r="P147" s="1367"/>
    </row>
    <row r="148" spans="1:16">
      <c r="A148" s="2633" t="s">
        <v>7039</v>
      </c>
      <c r="B148" s="1368"/>
      <c r="C148" s="1368">
        <v>2</v>
      </c>
      <c r="D148" s="1367">
        <v>300</v>
      </c>
      <c r="E148" s="1394"/>
      <c r="F148" s="1368">
        <v>2</v>
      </c>
      <c r="G148" s="1367">
        <v>300</v>
      </c>
      <c r="H148" s="1394"/>
      <c r="I148" s="1368">
        <v>1</v>
      </c>
      <c r="J148" s="1367">
        <v>150</v>
      </c>
      <c r="K148" s="1394"/>
      <c r="L148" s="1368">
        <v>1</v>
      </c>
      <c r="M148" s="1367">
        <v>150</v>
      </c>
      <c r="N148" s="1394"/>
      <c r="O148" s="1368">
        <v>1</v>
      </c>
      <c r="P148" s="1367">
        <v>150</v>
      </c>
    </row>
    <row r="149" spans="1:16">
      <c r="A149" s="2636" t="s">
        <v>7040</v>
      </c>
      <c r="B149" s="1419" t="s">
        <v>7040</v>
      </c>
      <c r="C149" s="1368"/>
      <c r="D149" s="1367"/>
      <c r="E149" s="1471" t="s">
        <v>7040</v>
      </c>
      <c r="F149" s="1368"/>
      <c r="G149" s="1367"/>
      <c r="H149" s="1471" t="s">
        <v>7040</v>
      </c>
      <c r="I149" s="1368"/>
      <c r="J149" s="1367"/>
      <c r="K149" s="1471" t="s">
        <v>7040</v>
      </c>
      <c r="L149" s="1368"/>
      <c r="M149" s="1367"/>
      <c r="N149" s="1471" t="s">
        <v>7040</v>
      </c>
      <c r="O149" s="1368"/>
      <c r="P149" s="1367"/>
    </row>
    <row r="150" spans="1:16">
      <c r="A150" s="2637" t="s">
        <v>8</v>
      </c>
      <c r="B150" s="2638"/>
      <c r="C150" s="2638">
        <v>20</v>
      </c>
      <c r="D150" s="2639">
        <v>5100</v>
      </c>
      <c r="E150" s="2640"/>
      <c r="F150" s="2638">
        <v>18</v>
      </c>
      <c r="G150" s="2639">
        <v>4700</v>
      </c>
      <c r="H150" s="2640"/>
      <c r="I150" s="2638">
        <f>SUM(I142:I149)</f>
        <v>11</v>
      </c>
      <c r="J150" s="2639">
        <f>SUM(J142:J149)</f>
        <v>2750</v>
      </c>
      <c r="K150" s="2640"/>
      <c r="L150" s="2638">
        <f>SUM(L142:L149)</f>
        <v>15</v>
      </c>
      <c r="M150" s="2639">
        <v>3750</v>
      </c>
      <c r="N150" s="2640"/>
      <c r="O150" s="2638">
        <f>SUM(O145:O149)</f>
        <v>11</v>
      </c>
      <c r="P150" s="2639">
        <f>SUM(P145:P149)</f>
        <v>2650</v>
      </c>
    </row>
    <row r="153" spans="1:16">
      <c r="A153" s="2642"/>
      <c r="B153" s="2621"/>
      <c r="C153" s="2622">
        <v>2014</v>
      </c>
      <c r="D153" s="2620"/>
      <c r="E153" s="2621"/>
      <c r="F153" s="2622">
        <v>2015</v>
      </c>
      <c r="G153" s="2620"/>
      <c r="H153" s="2621"/>
      <c r="I153" s="2622">
        <v>2016</v>
      </c>
      <c r="J153" s="2620"/>
      <c r="K153" s="2621"/>
      <c r="L153" s="2622">
        <v>2017</v>
      </c>
      <c r="M153" s="2620"/>
      <c r="N153" s="2618"/>
      <c r="O153" s="2622">
        <v>2018</v>
      </c>
      <c r="P153" s="2620"/>
    </row>
    <row r="154" spans="1:16">
      <c r="A154" s="2643"/>
      <c r="B154" s="1956"/>
      <c r="C154" s="1954" t="s">
        <v>7029</v>
      </c>
      <c r="D154" s="1955" t="s">
        <v>725</v>
      </c>
      <c r="E154" s="1956"/>
      <c r="F154" s="1954" t="s">
        <v>7030</v>
      </c>
      <c r="G154" s="1955" t="s">
        <v>725</v>
      </c>
      <c r="H154" s="1956"/>
      <c r="I154" s="1954" t="s">
        <v>7030</v>
      </c>
      <c r="J154" s="1955" t="s">
        <v>725</v>
      </c>
      <c r="K154" s="1956"/>
      <c r="L154" s="1954" t="s">
        <v>7030</v>
      </c>
      <c r="M154" s="1955" t="s">
        <v>725</v>
      </c>
      <c r="N154" s="1953"/>
      <c r="O154" s="1954" t="s">
        <v>7030</v>
      </c>
      <c r="P154" s="1955" t="s">
        <v>725</v>
      </c>
    </row>
    <row r="155" spans="1:16">
      <c r="A155" s="2623" t="s">
        <v>7031</v>
      </c>
      <c r="B155" s="1394"/>
      <c r="C155" s="1368"/>
      <c r="D155" s="1367"/>
      <c r="E155" s="1394"/>
      <c r="F155" s="1368"/>
      <c r="G155" s="1367"/>
      <c r="H155" s="1394"/>
      <c r="I155" s="1368"/>
      <c r="J155" s="1367"/>
      <c r="K155" s="1394"/>
      <c r="L155" s="1368"/>
      <c r="M155" s="1367"/>
      <c r="N155" s="1368"/>
      <c r="O155" s="1368"/>
      <c r="P155" s="1367"/>
    </row>
    <row r="156" spans="1:16">
      <c r="A156" s="2623" t="s">
        <v>7032</v>
      </c>
      <c r="B156" s="1394"/>
      <c r="C156" s="1368">
        <v>1</v>
      </c>
      <c r="D156" s="1367">
        <v>350</v>
      </c>
      <c r="E156" s="1394"/>
      <c r="F156" s="1368">
        <v>3</v>
      </c>
      <c r="G156" s="1367">
        <v>1050</v>
      </c>
      <c r="H156" s="1394"/>
      <c r="I156" s="1368">
        <v>2</v>
      </c>
      <c r="J156" s="1367">
        <v>700</v>
      </c>
      <c r="K156" s="1394"/>
      <c r="L156" s="1368"/>
      <c r="M156" s="1367"/>
      <c r="N156" s="1368"/>
      <c r="O156" s="1368">
        <v>1</v>
      </c>
      <c r="P156" s="1367"/>
    </row>
    <row r="157" spans="1:16">
      <c r="A157" s="2624" t="s">
        <v>7033</v>
      </c>
      <c r="B157" s="1471" t="s">
        <v>7034</v>
      </c>
      <c r="C157" s="1368"/>
      <c r="D157" s="1367"/>
      <c r="E157" s="1471" t="s">
        <v>7034</v>
      </c>
      <c r="F157" s="1368"/>
      <c r="G157" s="1367"/>
      <c r="H157" s="1471" t="s">
        <v>7034</v>
      </c>
      <c r="I157" s="1368"/>
      <c r="J157" s="1367"/>
      <c r="K157" s="1471" t="s">
        <v>7034</v>
      </c>
      <c r="L157" s="1368"/>
      <c r="M157" s="1367"/>
      <c r="N157" s="1419" t="s">
        <v>7034</v>
      </c>
      <c r="O157" s="1368"/>
      <c r="P157" s="1367">
        <v>350</v>
      </c>
    </row>
    <row r="158" spans="1:16">
      <c r="A158" s="2623" t="s">
        <v>7035</v>
      </c>
      <c r="B158" s="1394"/>
      <c r="C158" s="1368"/>
      <c r="D158" s="1367"/>
      <c r="E158" s="1394"/>
      <c r="F158" s="1368"/>
      <c r="G158" s="1367"/>
      <c r="H158" s="1394"/>
      <c r="I158" s="1368"/>
      <c r="J158" s="1367"/>
      <c r="K158" s="1394"/>
      <c r="L158" s="1368"/>
      <c r="M158" s="1367"/>
      <c r="N158" s="1368"/>
      <c r="O158" s="1368"/>
      <c r="P158" s="1367"/>
    </row>
    <row r="159" spans="1:16">
      <c r="A159" s="2625" t="s">
        <v>7036</v>
      </c>
      <c r="B159" s="1394"/>
      <c r="C159" s="1368">
        <v>8</v>
      </c>
      <c r="D159" s="1367">
        <v>2000</v>
      </c>
      <c r="E159" s="1394"/>
      <c r="F159" s="1368">
        <v>7</v>
      </c>
      <c r="G159" s="1367">
        <v>1750</v>
      </c>
      <c r="H159" s="1394"/>
      <c r="I159" s="1368">
        <v>3</v>
      </c>
      <c r="J159" s="1367">
        <v>750</v>
      </c>
      <c r="K159" s="1394"/>
      <c r="L159" s="1368">
        <v>4</v>
      </c>
      <c r="M159" s="1367">
        <v>1000</v>
      </c>
      <c r="N159" s="1368"/>
      <c r="O159" s="1368">
        <v>29</v>
      </c>
      <c r="P159" s="1367"/>
    </row>
    <row r="160" spans="1:16">
      <c r="A160" s="2626" t="s">
        <v>7037</v>
      </c>
      <c r="B160" s="1471" t="s">
        <v>7033</v>
      </c>
      <c r="C160" s="1368"/>
      <c r="D160" s="1367"/>
      <c r="E160" s="1471" t="s">
        <v>7033</v>
      </c>
      <c r="F160" s="1368"/>
      <c r="G160" s="1367"/>
      <c r="H160" s="1471" t="s">
        <v>7033</v>
      </c>
      <c r="I160" s="1368"/>
      <c r="J160" s="1367"/>
      <c r="K160" s="1471" t="s">
        <v>7033</v>
      </c>
      <c r="L160" s="1368"/>
      <c r="M160" s="1367"/>
      <c r="N160" s="1419" t="s">
        <v>7033</v>
      </c>
      <c r="O160" s="1368"/>
      <c r="P160" s="1367">
        <v>7250</v>
      </c>
    </row>
    <row r="161" spans="1:16">
      <c r="A161" s="2623" t="s">
        <v>7038</v>
      </c>
      <c r="B161" s="1394"/>
      <c r="C161" s="1368"/>
      <c r="D161" s="1367"/>
      <c r="E161" s="1394"/>
      <c r="F161" s="1368"/>
      <c r="G161" s="1367"/>
      <c r="H161" s="1394"/>
      <c r="I161" s="1368"/>
      <c r="J161" s="1367"/>
      <c r="K161" s="1394"/>
      <c r="L161" s="1368"/>
      <c r="M161" s="1367"/>
      <c r="N161" s="1368"/>
      <c r="O161" s="1368"/>
      <c r="P161" s="1367"/>
    </row>
    <row r="162" spans="1:16">
      <c r="A162" s="2623" t="s">
        <v>7039</v>
      </c>
      <c r="B162" s="1394"/>
      <c r="C162" s="1368">
        <v>1</v>
      </c>
      <c r="D162" s="1367">
        <v>150</v>
      </c>
      <c r="E162" s="1394"/>
      <c r="F162" s="1368">
        <v>2</v>
      </c>
      <c r="G162" s="1367">
        <v>300</v>
      </c>
      <c r="H162" s="1394"/>
      <c r="I162" s="1368">
        <v>5</v>
      </c>
      <c r="J162" s="1367">
        <v>750</v>
      </c>
      <c r="K162" s="1394"/>
      <c r="L162" s="1368">
        <v>2</v>
      </c>
      <c r="M162" s="1367">
        <v>300</v>
      </c>
      <c r="N162" s="1368"/>
      <c r="O162" s="1368">
        <v>2</v>
      </c>
      <c r="P162" s="1367"/>
    </row>
    <row r="163" spans="1:16">
      <c r="A163" s="2626" t="s">
        <v>7040</v>
      </c>
      <c r="B163" s="1471" t="s">
        <v>7040</v>
      </c>
      <c r="C163" s="1368"/>
      <c r="D163" s="1367"/>
      <c r="E163" s="1471" t="s">
        <v>7040</v>
      </c>
      <c r="F163" s="1368"/>
      <c r="G163" s="1367"/>
      <c r="H163" s="1471" t="s">
        <v>7040</v>
      </c>
      <c r="I163" s="1368"/>
      <c r="J163" s="1367"/>
      <c r="K163" s="1471" t="s">
        <v>7040</v>
      </c>
      <c r="L163" s="1368"/>
      <c r="M163" s="1367"/>
      <c r="N163" s="1419" t="s">
        <v>7040</v>
      </c>
      <c r="O163" s="1368"/>
      <c r="P163" s="1367">
        <v>300</v>
      </c>
    </row>
    <row r="164" spans="1:16">
      <c r="A164" s="2627" t="s">
        <v>8</v>
      </c>
      <c r="B164" s="2630"/>
      <c r="C164" s="2628">
        <v>10</v>
      </c>
      <c r="D164" s="2629">
        <f>SUM(D156:D163)</f>
        <v>2500</v>
      </c>
      <c r="E164" s="2630"/>
      <c r="F164" s="2628">
        <f>SUM(F156:F163)</f>
        <v>12</v>
      </c>
      <c r="G164" s="2629">
        <f>SUM(G156:G163)</f>
        <v>3100</v>
      </c>
      <c r="H164" s="2630"/>
      <c r="I164" s="2628">
        <f>SUM(I156:I163)</f>
        <v>10</v>
      </c>
      <c r="J164" s="2629">
        <f>SUM(J156:J163)</f>
        <v>2200</v>
      </c>
      <c r="K164" s="2630"/>
      <c r="L164" s="2628">
        <v>6</v>
      </c>
      <c r="M164" s="2629">
        <v>1300</v>
      </c>
      <c r="N164" s="2628"/>
      <c r="O164" s="2628">
        <v>32</v>
      </c>
      <c r="P164" s="2631">
        <v>7900</v>
      </c>
    </row>
    <row r="168" spans="1:16">
      <c r="A168" s="2642"/>
      <c r="B168" s="2621"/>
      <c r="C168" s="2622">
        <v>2019</v>
      </c>
      <c r="D168" s="2620"/>
      <c r="E168" s="2621"/>
      <c r="F168" s="2622">
        <v>2020</v>
      </c>
      <c r="G168" s="2620"/>
      <c r="H168" s="2621"/>
      <c r="I168" s="2622">
        <v>2021</v>
      </c>
      <c r="J168" s="2620"/>
      <c r="K168" s="2621"/>
      <c r="L168" s="2622">
        <v>2022</v>
      </c>
      <c r="M168" s="2620"/>
    </row>
    <row r="169" spans="1:16">
      <c r="A169" s="2643"/>
      <c r="B169" s="1956"/>
      <c r="C169" s="1954" t="s">
        <v>7030</v>
      </c>
      <c r="D169" s="1955" t="s">
        <v>725</v>
      </c>
      <c r="E169" s="1956"/>
      <c r="F169" s="1954" t="s">
        <v>7030</v>
      </c>
      <c r="G169" s="1955" t="s">
        <v>725</v>
      </c>
      <c r="H169" s="1956"/>
      <c r="I169" s="1954" t="s">
        <v>7030</v>
      </c>
      <c r="J169" s="1955" t="s">
        <v>725</v>
      </c>
      <c r="K169" s="1956"/>
      <c r="L169" s="1954" t="s">
        <v>7030</v>
      </c>
      <c r="M169" s="1955" t="s">
        <v>725</v>
      </c>
    </row>
    <row r="170" spans="1:16">
      <c r="A170" s="2623" t="s">
        <v>7031</v>
      </c>
      <c r="B170" s="1394"/>
      <c r="C170" s="1368"/>
      <c r="D170" s="1367"/>
      <c r="E170" s="1394"/>
      <c r="F170" s="1368"/>
      <c r="G170" s="1367"/>
      <c r="J170" s="1367"/>
      <c r="M170" s="1367"/>
    </row>
    <row r="171" spans="1:16">
      <c r="A171" s="2623" t="s">
        <v>7032</v>
      </c>
      <c r="B171" s="1394"/>
      <c r="C171" s="1368">
        <v>1</v>
      </c>
      <c r="D171" s="1367"/>
      <c r="E171" s="1394"/>
      <c r="F171" s="1368">
        <v>1</v>
      </c>
      <c r="G171" s="1367"/>
      <c r="I171" s="1364">
        <v>1</v>
      </c>
      <c r="J171" s="1367"/>
      <c r="M171" s="1367"/>
    </row>
    <row r="172" spans="1:16">
      <c r="A172" s="2624" t="s">
        <v>7033</v>
      </c>
      <c r="B172" s="1471" t="s">
        <v>7034</v>
      </c>
      <c r="C172" s="1368"/>
      <c r="D172" s="1367">
        <v>350</v>
      </c>
      <c r="E172" s="1471" t="s">
        <v>7034</v>
      </c>
      <c r="F172" s="1368"/>
      <c r="G172" s="1367">
        <v>350</v>
      </c>
      <c r="H172" s="1364" t="s">
        <v>7034</v>
      </c>
      <c r="J172" s="1367">
        <v>350</v>
      </c>
      <c r="M172" s="1367"/>
    </row>
    <row r="173" spans="1:16">
      <c r="A173" s="2623" t="s">
        <v>7035</v>
      </c>
      <c r="B173" s="1394"/>
      <c r="C173" s="1368"/>
      <c r="D173" s="1367"/>
      <c r="E173" s="1394"/>
      <c r="F173" s="1368"/>
      <c r="G173" s="1367"/>
      <c r="J173" s="1367"/>
      <c r="M173" s="1367"/>
    </row>
    <row r="174" spans="1:16">
      <c r="A174" s="2625" t="s">
        <v>7036</v>
      </c>
      <c r="B174" s="1394"/>
      <c r="C174" s="1368">
        <v>3</v>
      </c>
      <c r="D174" s="1367"/>
      <c r="E174" s="1394"/>
      <c r="F174" s="1368">
        <v>5</v>
      </c>
      <c r="G174" s="1367"/>
      <c r="I174" s="1364">
        <v>3</v>
      </c>
      <c r="J174" s="1367"/>
      <c r="L174" s="1364">
        <v>3</v>
      </c>
      <c r="M174" s="1367"/>
    </row>
    <row r="175" spans="1:16">
      <c r="A175" s="2626" t="s">
        <v>7037</v>
      </c>
      <c r="B175" s="1471" t="s">
        <v>7033</v>
      </c>
      <c r="C175" s="1368"/>
      <c r="D175" s="1367">
        <v>750</v>
      </c>
      <c r="E175" s="1471" t="s">
        <v>7033</v>
      </c>
      <c r="F175" s="1368"/>
      <c r="G175" s="1367">
        <v>1250</v>
      </c>
      <c r="H175" s="1364" t="s">
        <v>7033</v>
      </c>
      <c r="J175" s="1367">
        <v>1250</v>
      </c>
      <c r="K175" s="1364" t="s">
        <v>7033</v>
      </c>
      <c r="M175" s="1367">
        <v>750</v>
      </c>
    </row>
    <row r="176" spans="1:16">
      <c r="A176" s="2623" t="s">
        <v>7038</v>
      </c>
      <c r="B176" s="1394"/>
      <c r="C176" s="1368"/>
      <c r="D176" s="1367"/>
      <c r="E176" s="1394"/>
      <c r="F176" s="1368"/>
      <c r="G176" s="1367"/>
      <c r="J176" s="1367"/>
      <c r="M176" s="1367"/>
    </row>
    <row r="177" spans="1:13">
      <c r="A177" s="2623" t="s">
        <v>7039</v>
      </c>
      <c r="B177" s="1394"/>
      <c r="C177" s="1368">
        <v>2</v>
      </c>
      <c r="D177" s="1367"/>
      <c r="E177" s="1394"/>
      <c r="F177" s="1368">
        <v>4</v>
      </c>
      <c r="G177" s="1367"/>
      <c r="I177" s="1364">
        <v>4</v>
      </c>
      <c r="J177" s="1367"/>
      <c r="L177" s="1364">
        <v>3</v>
      </c>
      <c r="M177" s="1367"/>
    </row>
    <row r="178" spans="1:13">
      <c r="A178" s="2626" t="s">
        <v>7040</v>
      </c>
      <c r="B178" s="1471" t="s">
        <v>7040</v>
      </c>
      <c r="C178" s="1368"/>
      <c r="D178" s="1367">
        <v>300</v>
      </c>
      <c r="E178" s="1471" t="s">
        <v>7040</v>
      </c>
      <c r="F178" s="1368"/>
      <c r="G178" s="1367">
        <v>600</v>
      </c>
      <c r="H178" s="1364" t="s">
        <v>7040</v>
      </c>
      <c r="J178" s="1367">
        <v>600</v>
      </c>
      <c r="K178" s="1364" t="s">
        <v>7040</v>
      </c>
      <c r="M178" s="1367">
        <v>450</v>
      </c>
    </row>
    <row r="179" spans="1:13">
      <c r="A179" s="2627" t="s">
        <v>8</v>
      </c>
      <c r="B179" s="2630"/>
      <c r="C179" s="2628">
        <f>SUM(C171:C178)</f>
        <v>6</v>
      </c>
      <c r="D179" s="2631">
        <f>SUM(D172:D178)</f>
        <v>1400</v>
      </c>
      <c r="E179" s="2631"/>
      <c r="F179" s="2631">
        <f>SUM(F171:F178)</f>
        <v>10</v>
      </c>
      <c r="G179" s="2631">
        <f>SUM(G172:G178)</f>
        <v>2200</v>
      </c>
      <c r="H179" s="2631"/>
      <c r="I179" s="2631">
        <v>8</v>
      </c>
      <c r="J179" s="2631">
        <v>2200</v>
      </c>
      <c r="K179" s="2631"/>
      <c r="L179" s="2631">
        <f>SUM(L174:L178)</f>
        <v>6</v>
      </c>
      <c r="M179" s="2631">
        <f>SUM(M175:M178)</f>
        <v>1200</v>
      </c>
    </row>
  </sheetData>
  <mergeCells count="37">
    <mergeCell ref="A25:C25"/>
    <mergeCell ref="A20:C20"/>
    <mergeCell ref="A21:C21"/>
    <mergeCell ref="A22:C22"/>
    <mergeCell ref="A23:C23"/>
    <mergeCell ref="A24:C24"/>
    <mergeCell ref="A38:C38"/>
    <mergeCell ref="A26:C26"/>
    <mergeCell ref="A27:C27"/>
    <mergeCell ref="A28:C28"/>
    <mergeCell ref="A29:C29"/>
    <mergeCell ref="A30:C30"/>
    <mergeCell ref="A31:C31"/>
    <mergeCell ref="J125:K125"/>
    <mergeCell ref="A45:C45"/>
    <mergeCell ref="A46:C46"/>
    <mergeCell ref="A47:C47"/>
    <mergeCell ref="A48:C48"/>
    <mergeCell ref="A49:C49"/>
    <mergeCell ref="A50:C50"/>
    <mergeCell ref="A82:C82"/>
    <mergeCell ref="A1:H1"/>
    <mergeCell ref="B125:C125"/>
    <mergeCell ref="D125:E125"/>
    <mergeCell ref="F125:G125"/>
    <mergeCell ref="A39:C39"/>
    <mergeCell ref="A40:C40"/>
    <mergeCell ref="A41:C41"/>
    <mergeCell ref="A42:C42"/>
    <mergeCell ref="A43:C43"/>
    <mergeCell ref="A44:C44"/>
    <mergeCell ref="A32:C32"/>
    <mergeCell ref="A33:C33"/>
    <mergeCell ref="A35:C35"/>
    <mergeCell ref="A36:C36"/>
    <mergeCell ref="A37:C37"/>
    <mergeCell ref="H125:I125"/>
  </mergeCells>
  <hyperlinks>
    <hyperlink ref="A1" location="Inhoudstafel!A1" display="Welzijn en wonen" xr:uid="{00000000-0004-0000-1A00-000000000000}"/>
    <hyperlink ref="A1:F1" location="BURGER!A1" display="Onderwijs en opvang" xr:uid="{00000000-0004-0000-1A00-000001000000}"/>
    <hyperlink ref="A1:H1" location="BURGER!A1" display="Onderwijs en opvang" xr:uid="{00000000-0004-0000-1A00-000002000000}"/>
  </hyperlinks>
  <pageMargins left="0.7" right="0.7" top="0.75" bottom="0.75" header="0.3" footer="0.3"/>
  <pageSetup paperSize="9"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5" tint="0.39997558519241921"/>
  </sheetPr>
  <dimension ref="A1:R12"/>
  <sheetViews>
    <sheetView workbookViewId="0">
      <selection activeCell="N17" sqref="N17"/>
    </sheetView>
  </sheetViews>
  <sheetFormatPr defaultRowHeight="15"/>
  <cols>
    <col min="1" max="1" width="16.5703125" customWidth="1"/>
    <col min="2" max="16" width="9.85546875" bestFit="1" customWidth="1"/>
  </cols>
  <sheetData>
    <row r="1" spans="1:18" ht="18.75">
      <c r="A1" s="4771" t="s">
        <v>5765</v>
      </c>
      <c r="B1" s="4772"/>
      <c r="C1" s="4772"/>
      <c r="D1" s="4772"/>
      <c r="E1" s="4772"/>
      <c r="F1" s="4772"/>
      <c r="G1" s="4772"/>
      <c r="H1" s="4772"/>
      <c r="I1" s="4772"/>
      <c r="J1" s="4772"/>
      <c r="K1" s="4772"/>
      <c r="L1" s="4772"/>
      <c r="M1" s="4772"/>
      <c r="N1" s="4772"/>
    </row>
    <row r="3" spans="1:18" s="1352" customFormat="1"/>
    <row r="4" spans="1:18" s="593" customFormat="1" ht="12.75">
      <c r="A4" s="3595"/>
      <c r="B4" s="4426">
        <v>2007</v>
      </c>
      <c r="C4" s="4426">
        <v>2008</v>
      </c>
      <c r="D4" s="4426">
        <v>2009</v>
      </c>
      <c r="E4" s="4426">
        <v>2010</v>
      </c>
      <c r="F4" s="4426">
        <v>2011</v>
      </c>
      <c r="G4" s="4426">
        <v>2012</v>
      </c>
      <c r="H4" s="4426">
        <v>2013</v>
      </c>
      <c r="I4" s="4426">
        <v>2014</v>
      </c>
      <c r="J4" s="4426">
        <v>2015</v>
      </c>
      <c r="K4" s="4426">
        <v>2016</v>
      </c>
      <c r="L4" s="4426">
        <v>2017</v>
      </c>
      <c r="M4" s="4426">
        <v>2018</v>
      </c>
      <c r="N4" s="4426">
        <v>2019</v>
      </c>
      <c r="O4" s="4426">
        <v>2020</v>
      </c>
      <c r="P4" s="4426">
        <v>2021</v>
      </c>
      <c r="Q4" s="4427">
        <v>2022</v>
      </c>
    </row>
    <row r="5" spans="1:18" s="593" customFormat="1" ht="12.75">
      <c r="A5" s="2453" t="s">
        <v>5750</v>
      </c>
      <c r="B5" s="4428"/>
      <c r="C5" s="4428"/>
      <c r="D5" s="4428"/>
      <c r="E5" s="4428"/>
      <c r="F5" s="1354">
        <v>69305</v>
      </c>
      <c r="G5" s="1354">
        <v>71966</v>
      </c>
      <c r="H5" s="1354">
        <v>74748</v>
      </c>
      <c r="I5" s="1354">
        <v>72294</v>
      </c>
      <c r="J5" s="1354">
        <v>75290</v>
      </c>
      <c r="K5" s="1354">
        <v>76642</v>
      </c>
      <c r="L5" s="4429">
        <v>78137</v>
      </c>
      <c r="M5" s="4429">
        <v>77399</v>
      </c>
      <c r="N5" s="4429">
        <v>78848</v>
      </c>
      <c r="O5" s="4428">
        <v>80055</v>
      </c>
      <c r="P5" s="4428" t="s">
        <v>8063</v>
      </c>
      <c r="Q5" s="4736" t="s">
        <v>8426</v>
      </c>
    </row>
    <row r="6" spans="1:18" s="593" customFormat="1" ht="12.75">
      <c r="A6" s="2453" t="s">
        <v>5751</v>
      </c>
      <c r="B6" s="1354">
        <v>4289</v>
      </c>
      <c r="C6" s="1354">
        <v>4745</v>
      </c>
      <c r="D6" s="1354">
        <v>5036</v>
      </c>
      <c r="E6" s="1354">
        <v>4904</v>
      </c>
      <c r="F6" s="1354">
        <v>4897</v>
      </c>
      <c r="G6" s="1354">
        <v>4931</v>
      </c>
      <c r="H6" s="1354">
        <v>4893</v>
      </c>
      <c r="I6" s="1354">
        <v>4855</v>
      </c>
      <c r="J6" s="1354">
        <v>4933</v>
      </c>
      <c r="K6" s="1354">
        <v>4949</v>
      </c>
      <c r="L6" s="4429">
        <v>4899</v>
      </c>
      <c r="M6" s="4429">
        <v>4720</v>
      </c>
      <c r="N6" s="4429">
        <v>4616</v>
      </c>
      <c r="O6" s="4428">
        <v>4599</v>
      </c>
      <c r="P6" s="4428">
        <v>4711</v>
      </c>
      <c r="Q6" s="4736" t="s">
        <v>8427</v>
      </c>
    </row>
    <row r="7" spans="1:18" s="593" customFormat="1" ht="12.75">
      <c r="A7" s="2453" t="s">
        <v>5752</v>
      </c>
      <c r="B7" s="1354">
        <v>135656</v>
      </c>
      <c r="C7" s="1354">
        <v>145560</v>
      </c>
      <c r="D7" s="1354">
        <v>174158</v>
      </c>
      <c r="E7" s="1354">
        <v>165123</v>
      </c>
      <c r="F7" s="1354">
        <v>162988</v>
      </c>
      <c r="G7" s="1354">
        <v>159328</v>
      </c>
      <c r="H7" s="1354">
        <v>160274</v>
      </c>
      <c r="I7" s="1354">
        <v>158619</v>
      </c>
      <c r="J7" s="1354">
        <v>160574</v>
      </c>
      <c r="K7" s="1354">
        <v>161140</v>
      </c>
      <c r="L7" s="4429">
        <v>155430</v>
      </c>
      <c r="M7" s="4429">
        <v>152165</v>
      </c>
      <c r="N7" s="4429">
        <v>147833</v>
      </c>
      <c r="O7" s="4428">
        <v>113375</v>
      </c>
      <c r="P7" s="4428">
        <v>138229</v>
      </c>
      <c r="Q7" s="4736" t="s">
        <v>8428</v>
      </c>
    </row>
    <row r="8" spans="1:18" s="593" customFormat="1" ht="12.75">
      <c r="A8" s="3596" t="s">
        <v>5753</v>
      </c>
      <c r="B8" s="4430"/>
      <c r="C8" s="4430"/>
      <c r="D8" s="3597" t="s">
        <v>5754</v>
      </c>
      <c r="E8" s="3597" t="s">
        <v>5755</v>
      </c>
      <c r="F8" s="3597" t="s">
        <v>5756</v>
      </c>
      <c r="G8" s="3597" t="s">
        <v>5757</v>
      </c>
      <c r="H8" s="4430"/>
      <c r="I8" s="3597" t="s">
        <v>5758</v>
      </c>
      <c r="J8" s="3597" t="s">
        <v>5759</v>
      </c>
      <c r="K8" s="3597" t="s">
        <v>5760</v>
      </c>
      <c r="L8" s="4430"/>
      <c r="M8" s="3597">
        <v>76524</v>
      </c>
      <c r="N8" s="4431">
        <v>75378</v>
      </c>
      <c r="O8" s="4431">
        <v>46106</v>
      </c>
      <c r="P8" s="4432">
        <v>49168</v>
      </c>
      <c r="Q8" s="4737" t="s">
        <v>8429</v>
      </c>
    </row>
    <row r="10" spans="1:18">
      <c r="R10" s="3758"/>
    </row>
    <row r="11" spans="1:18">
      <c r="R11" s="3758"/>
    </row>
    <row r="12" spans="1:18">
      <c r="R12" s="3758"/>
    </row>
  </sheetData>
  <mergeCells count="1">
    <mergeCell ref="A1:N1"/>
  </mergeCells>
  <hyperlinks>
    <hyperlink ref="A1:N1" location="'VRIJE TIJD'!A1" display="AANTALLEN VRIJE TIJD" xr:uid="{00000000-0004-0000-1B00-000000000000}"/>
  </hyperlinks>
  <pageMargins left="0.7" right="0.7" top="0.75" bottom="0.75" header="0.3" footer="0.3"/>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39997558519241921"/>
  </sheetPr>
  <dimension ref="A1:N70"/>
  <sheetViews>
    <sheetView workbookViewId="0">
      <selection sqref="A1:H1"/>
    </sheetView>
  </sheetViews>
  <sheetFormatPr defaultColWidth="28.7109375" defaultRowHeight="14.25" customHeight="1"/>
  <cols>
    <col min="1" max="1" width="23" style="1364" bestFit="1" customWidth="1"/>
    <col min="2" max="2" width="19.7109375" style="1363" bestFit="1" customWidth="1"/>
    <col min="3" max="3" width="11.140625" style="1363" bestFit="1" customWidth="1"/>
    <col min="4" max="4" width="18.42578125" style="1363" customWidth="1"/>
    <col min="5" max="5" width="16" style="1363" bestFit="1" customWidth="1"/>
    <col min="6" max="6" width="21.5703125" style="1363" customWidth="1"/>
    <col min="7" max="7" width="12.28515625" style="1364" customWidth="1"/>
    <col min="8" max="8" width="7.5703125" style="1364" bestFit="1" customWidth="1"/>
    <col min="9" max="9" width="8.7109375" style="1364" bestFit="1" customWidth="1"/>
    <col min="10" max="10" width="7.5703125" style="1364" bestFit="1" customWidth="1"/>
    <col min="11" max="11" width="8.7109375" style="1364" bestFit="1" customWidth="1"/>
    <col min="12" max="12" width="7.28515625" style="1364" bestFit="1" customWidth="1"/>
    <col min="13" max="13" width="8.7109375" style="1364" bestFit="1" customWidth="1"/>
    <col min="14" max="14" width="5.5703125" style="1364" customWidth="1"/>
    <col min="15" max="15" width="18.28515625" style="1364" customWidth="1"/>
    <col min="16" max="16" width="13.85546875" style="1364" customWidth="1"/>
    <col min="17" max="17" width="14" style="1364" customWidth="1"/>
    <col min="18" max="18" width="9.28515625" style="1364" customWidth="1"/>
    <col min="19" max="19" width="12.7109375" style="1364" customWidth="1"/>
    <col min="20" max="20" width="6.42578125" style="1364" customWidth="1"/>
    <col min="21" max="21" width="14.42578125" style="1364" customWidth="1"/>
    <col min="22" max="22" width="10.28515625" style="1364" customWidth="1"/>
    <col min="23" max="23" width="12" style="1364" customWidth="1"/>
    <col min="24" max="24" width="8.7109375" style="1364" customWidth="1"/>
    <col min="25" max="25" width="10.5703125" style="1364" customWidth="1"/>
    <col min="26" max="26" width="16.42578125" style="1364" customWidth="1"/>
    <col min="27" max="27" width="15.140625" style="1364" customWidth="1"/>
    <col min="28" max="28" width="17" style="1364" customWidth="1"/>
    <col min="29" max="29" width="20.140625" style="1364" customWidth="1"/>
    <col min="30" max="30" width="20.28515625" style="1364" customWidth="1"/>
    <col min="31" max="248" width="28.7109375" style="1364"/>
    <col min="249" max="249" width="38.7109375" style="1364" customWidth="1"/>
    <col min="250" max="250" width="19.7109375" style="1364" bestFit="1" customWidth="1"/>
    <col min="251" max="251" width="11.140625" style="1364" bestFit="1" customWidth="1"/>
    <col min="252" max="252" width="18.42578125" style="1364" customWidth="1"/>
    <col min="253" max="253" width="16" style="1364" bestFit="1" customWidth="1"/>
    <col min="254" max="254" width="21.5703125" style="1364" customWidth="1"/>
    <col min="255" max="255" width="14.140625" style="1364" customWidth="1"/>
    <col min="256" max="256" width="12" style="1364" customWidth="1"/>
    <col min="257" max="257" width="17.7109375" style="1364" customWidth="1"/>
    <col min="258" max="258" width="16" style="1364" customWidth="1"/>
    <col min="259" max="260" width="16.7109375" style="1364" customWidth="1"/>
    <col min="261" max="261" width="28" style="1364" customWidth="1"/>
    <col min="262" max="262" width="17.7109375" style="1364" customWidth="1"/>
    <col min="263" max="263" width="12.28515625" style="1364" customWidth="1"/>
    <col min="264" max="264" width="7.5703125" style="1364" bestFit="1" customWidth="1"/>
    <col min="265" max="265" width="8.7109375" style="1364" bestFit="1" customWidth="1"/>
    <col min="266" max="266" width="7.5703125" style="1364" bestFit="1" customWidth="1"/>
    <col min="267" max="267" width="8.7109375" style="1364" bestFit="1" customWidth="1"/>
    <col min="268" max="268" width="7.28515625" style="1364" bestFit="1" customWidth="1"/>
    <col min="269" max="269" width="8.7109375" style="1364" bestFit="1" customWidth="1"/>
    <col min="270" max="270" width="22.7109375" style="1364" customWidth="1"/>
    <col min="271" max="271" width="18.28515625" style="1364" customWidth="1"/>
    <col min="272" max="272" width="13.85546875" style="1364" customWidth="1"/>
    <col min="273" max="273" width="14" style="1364" customWidth="1"/>
    <col min="274" max="274" width="9.28515625" style="1364" customWidth="1"/>
    <col min="275" max="275" width="12.7109375" style="1364" customWidth="1"/>
    <col min="276" max="276" width="6.42578125" style="1364" customWidth="1"/>
    <col min="277" max="277" width="14.42578125" style="1364" customWidth="1"/>
    <col min="278" max="278" width="10.28515625" style="1364" customWidth="1"/>
    <col min="279" max="279" width="12" style="1364" customWidth="1"/>
    <col min="280" max="280" width="8.7109375" style="1364" customWidth="1"/>
    <col min="281" max="281" width="10.5703125" style="1364" customWidth="1"/>
    <col min="282" max="282" width="16.42578125" style="1364" customWidth="1"/>
    <col min="283" max="283" width="15.140625" style="1364" customWidth="1"/>
    <col min="284" max="284" width="17" style="1364" customWidth="1"/>
    <col min="285" max="285" width="20.140625" style="1364" customWidth="1"/>
    <col min="286" max="286" width="20.28515625" style="1364" customWidth="1"/>
    <col min="287" max="504" width="28.7109375" style="1364"/>
    <col min="505" max="505" width="38.7109375" style="1364" customWidth="1"/>
    <col min="506" max="506" width="19.7109375" style="1364" bestFit="1" customWidth="1"/>
    <col min="507" max="507" width="11.140625" style="1364" bestFit="1" customWidth="1"/>
    <col min="508" max="508" width="18.42578125" style="1364" customWidth="1"/>
    <col min="509" max="509" width="16" style="1364" bestFit="1" customWidth="1"/>
    <col min="510" max="510" width="21.5703125" style="1364" customWidth="1"/>
    <col min="511" max="511" width="14.140625" style="1364" customWidth="1"/>
    <col min="512" max="512" width="12" style="1364" customWidth="1"/>
    <col min="513" max="513" width="17.7109375" style="1364" customWidth="1"/>
    <col min="514" max="514" width="16" style="1364" customWidth="1"/>
    <col min="515" max="516" width="16.7109375" style="1364" customWidth="1"/>
    <col min="517" max="517" width="28" style="1364" customWidth="1"/>
    <col min="518" max="518" width="17.7109375" style="1364" customWidth="1"/>
    <col min="519" max="519" width="12.28515625" style="1364" customWidth="1"/>
    <col min="520" max="520" width="7.5703125" style="1364" bestFit="1" customWidth="1"/>
    <col min="521" max="521" width="8.7109375" style="1364" bestFit="1" customWidth="1"/>
    <col min="522" max="522" width="7.5703125" style="1364" bestFit="1" customWidth="1"/>
    <col min="523" max="523" width="8.7109375" style="1364" bestFit="1" customWidth="1"/>
    <col min="524" max="524" width="7.28515625" style="1364" bestFit="1" customWidth="1"/>
    <col min="525" max="525" width="8.7109375" style="1364" bestFit="1" customWidth="1"/>
    <col min="526" max="526" width="22.7109375" style="1364" customWidth="1"/>
    <col min="527" max="527" width="18.28515625" style="1364" customWidth="1"/>
    <col min="528" max="528" width="13.85546875" style="1364" customWidth="1"/>
    <col min="529" max="529" width="14" style="1364" customWidth="1"/>
    <col min="530" max="530" width="9.28515625" style="1364" customWidth="1"/>
    <col min="531" max="531" width="12.7109375" style="1364" customWidth="1"/>
    <col min="532" max="532" width="6.42578125" style="1364" customWidth="1"/>
    <col min="533" max="533" width="14.42578125" style="1364" customWidth="1"/>
    <col min="534" max="534" width="10.28515625" style="1364" customWidth="1"/>
    <col min="535" max="535" width="12" style="1364" customWidth="1"/>
    <col min="536" max="536" width="8.7109375" style="1364" customWidth="1"/>
    <col min="537" max="537" width="10.5703125" style="1364" customWidth="1"/>
    <col min="538" max="538" width="16.42578125" style="1364" customWidth="1"/>
    <col min="539" max="539" width="15.140625" style="1364" customWidth="1"/>
    <col min="540" max="540" width="17" style="1364" customWidth="1"/>
    <col min="541" max="541" width="20.140625" style="1364" customWidth="1"/>
    <col min="542" max="542" width="20.28515625" style="1364" customWidth="1"/>
    <col min="543" max="760" width="28.7109375" style="1364"/>
    <col min="761" max="761" width="38.7109375" style="1364" customWidth="1"/>
    <col min="762" max="762" width="19.7109375" style="1364" bestFit="1" customWidth="1"/>
    <col min="763" max="763" width="11.140625" style="1364" bestFit="1" customWidth="1"/>
    <col min="764" max="764" width="18.42578125" style="1364" customWidth="1"/>
    <col min="765" max="765" width="16" style="1364" bestFit="1" customWidth="1"/>
    <col min="766" max="766" width="21.5703125" style="1364" customWidth="1"/>
    <col min="767" max="767" width="14.140625" style="1364" customWidth="1"/>
    <col min="768" max="768" width="12" style="1364" customWidth="1"/>
    <col min="769" max="769" width="17.7109375" style="1364" customWidth="1"/>
    <col min="770" max="770" width="16" style="1364" customWidth="1"/>
    <col min="771" max="772" width="16.7109375" style="1364" customWidth="1"/>
    <col min="773" max="773" width="28" style="1364" customWidth="1"/>
    <col min="774" max="774" width="17.7109375" style="1364" customWidth="1"/>
    <col min="775" max="775" width="12.28515625" style="1364" customWidth="1"/>
    <col min="776" max="776" width="7.5703125" style="1364" bestFit="1" customWidth="1"/>
    <col min="777" max="777" width="8.7109375" style="1364" bestFit="1" customWidth="1"/>
    <col min="778" max="778" width="7.5703125" style="1364" bestFit="1" customWidth="1"/>
    <col min="779" max="779" width="8.7109375" style="1364" bestFit="1" customWidth="1"/>
    <col min="780" max="780" width="7.28515625" style="1364" bestFit="1" customWidth="1"/>
    <col min="781" max="781" width="8.7109375" style="1364" bestFit="1" customWidth="1"/>
    <col min="782" max="782" width="22.7109375" style="1364" customWidth="1"/>
    <col min="783" max="783" width="18.28515625" style="1364" customWidth="1"/>
    <col min="784" max="784" width="13.85546875" style="1364" customWidth="1"/>
    <col min="785" max="785" width="14" style="1364" customWidth="1"/>
    <col min="786" max="786" width="9.28515625" style="1364" customWidth="1"/>
    <col min="787" max="787" width="12.7109375" style="1364" customWidth="1"/>
    <col min="788" max="788" width="6.42578125" style="1364" customWidth="1"/>
    <col min="789" max="789" width="14.42578125" style="1364" customWidth="1"/>
    <col min="790" max="790" width="10.28515625" style="1364" customWidth="1"/>
    <col min="791" max="791" width="12" style="1364" customWidth="1"/>
    <col min="792" max="792" width="8.7109375" style="1364" customWidth="1"/>
    <col min="793" max="793" width="10.5703125" style="1364" customWidth="1"/>
    <col min="794" max="794" width="16.42578125" style="1364" customWidth="1"/>
    <col min="795" max="795" width="15.140625" style="1364" customWidth="1"/>
    <col min="796" max="796" width="17" style="1364" customWidth="1"/>
    <col min="797" max="797" width="20.140625" style="1364" customWidth="1"/>
    <col min="798" max="798" width="20.28515625" style="1364" customWidth="1"/>
    <col min="799" max="1016" width="28.7109375" style="1364"/>
    <col min="1017" max="1017" width="38.7109375" style="1364" customWidth="1"/>
    <col min="1018" max="1018" width="19.7109375" style="1364" bestFit="1" customWidth="1"/>
    <col min="1019" max="1019" width="11.140625" style="1364" bestFit="1" customWidth="1"/>
    <col min="1020" max="1020" width="18.42578125" style="1364" customWidth="1"/>
    <col min="1021" max="1021" width="16" style="1364" bestFit="1" customWidth="1"/>
    <col min="1022" max="1022" width="21.5703125" style="1364" customWidth="1"/>
    <col min="1023" max="1023" width="14.140625" style="1364" customWidth="1"/>
    <col min="1024" max="1024" width="12" style="1364" customWidth="1"/>
    <col min="1025" max="1025" width="17.7109375" style="1364" customWidth="1"/>
    <col min="1026" max="1026" width="16" style="1364" customWidth="1"/>
    <col min="1027" max="1028" width="16.7109375" style="1364" customWidth="1"/>
    <col min="1029" max="1029" width="28" style="1364" customWidth="1"/>
    <col min="1030" max="1030" width="17.7109375" style="1364" customWidth="1"/>
    <col min="1031" max="1031" width="12.28515625" style="1364" customWidth="1"/>
    <col min="1032" max="1032" width="7.5703125" style="1364" bestFit="1" customWidth="1"/>
    <col min="1033" max="1033" width="8.7109375" style="1364" bestFit="1" customWidth="1"/>
    <col min="1034" max="1034" width="7.5703125" style="1364" bestFit="1" customWidth="1"/>
    <col min="1035" max="1035" width="8.7109375" style="1364" bestFit="1" customWidth="1"/>
    <col min="1036" max="1036" width="7.28515625" style="1364" bestFit="1" customWidth="1"/>
    <col min="1037" max="1037" width="8.7109375" style="1364" bestFit="1" customWidth="1"/>
    <col min="1038" max="1038" width="22.7109375" style="1364" customWidth="1"/>
    <col min="1039" max="1039" width="18.28515625" style="1364" customWidth="1"/>
    <col min="1040" max="1040" width="13.85546875" style="1364" customWidth="1"/>
    <col min="1041" max="1041" width="14" style="1364" customWidth="1"/>
    <col min="1042" max="1042" width="9.28515625" style="1364" customWidth="1"/>
    <col min="1043" max="1043" width="12.7109375" style="1364" customWidth="1"/>
    <col min="1044" max="1044" width="6.42578125" style="1364" customWidth="1"/>
    <col min="1045" max="1045" width="14.42578125" style="1364" customWidth="1"/>
    <col min="1046" max="1046" width="10.28515625" style="1364" customWidth="1"/>
    <col min="1047" max="1047" width="12" style="1364" customWidth="1"/>
    <col min="1048" max="1048" width="8.7109375" style="1364" customWidth="1"/>
    <col min="1049" max="1049" width="10.5703125" style="1364" customWidth="1"/>
    <col min="1050" max="1050" width="16.42578125" style="1364" customWidth="1"/>
    <col min="1051" max="1051" width="15.140625" style="1364" customWidth="1"/>
    <col min="1052" max="1052" width="17" style="1364" customWidth="1"/>
    <col min="1053" max="1053" width="20.140625" style="1364" customWidth="1"/>
    <col min="1054" max="1054" width="20.28515625" style="1364" customWidth="1"/>
    <col min="1055" max="1272" width="28.7109375" style="1364"/>
    <col min="1273" max="1273" width="38.7109375" style="1364" customWidth="1"/>
    <col min="1274" max="1274" width="19.7109375" style="1364" bestFit="1" customWidth="1"/>
    <col min="1275" max="1275" width="11.140625" style="1364" bestFit="1" customWidth="1"/>
    <col min="1276" max="1276" width="18.42578125" style="1364" customWidth="1"/>
    <col min="1277" max="1277" width="16" style="1364" bestFit="1" customWidth="1"/>
    <col min="1278" max="1278" width="21.5703125" style="1364" customWidth="1"/>
    <col min="1279" max="1279" width="14.140625" style="1364" customWidth="1"/>
    <col min="1280" max="1280" width="12" style="1364" customWidth="1"/>
    <col min="1281" max="1281" width="17.7109375" style="1364" customWidth="1"/>
    <col min="1282" max="1282" width="16" style="1364" customWidth="1"/>
    <col min="1283" max="1284" width="16.7109375" style="1364" customWidth="1"/>
    <col min="1285" max="1285" width="28" style="1364" customWidth="1"/>
    <col min="1286" max="1286" width="17.7109375" style="1364" customWidth="1"/>
    <col min="1287" max="1287" width="12.28515625" style="1364" customWidth="1"/>
    <col min="1288" max="1288" width="7.5703125" style="1364" bestFit="1" customWidth="1"/>
    <col min="1289" max="1289" width="8.7109375" style="1364" bestFit="1" customWidth="1"/>
    <col min="1290" max="1290" width="7.5703125" style="1364" bestFit="1" customWidth="1"/>
    <col min="1291" max="1291" width="8.7109375" style="1364" bestFit="1" customWidth="1"/>
    <col min="1292" max="1292" width="7.28515625" style="1364" bestFit="1" customWidth="1"/>
    <col min="1293" max="1293" width="8.7109375" style="1364" bestFit="1" customWidth="1"/>
    <col min="1294" max="1294" width="22.7109375" style="1364" customWidth="1"/>
    <col min="1295" max="1295" width="18.28515625" style="1364" customWidth="1"/>
    <col min="1296" max="1296" width="13.85546875" style="1364" customWidth="1"/>
    <col min="1297" max="1297" width="14" style="1364" customWidth="1"/>
    <col min="1298" max="1298" width="9.28515625" style="1364" customWidth="1"/>
    <col min="1299" max="1299" width="12.7109375" style="1364" customWidth="1"/>
    <col min="1300" max="1300" width="6.42578125" style="1364" customWidth="1"/>
    <col min="1301" max="1301" width="14.42578125" style="1364" customWidth="1"/>
    <col min="1302" max="1302" width="10.28515625" style="1364" customWidth="1"/>
    <col min="1303" max="1303" width="12" style="1364" customWidth="1"/>
    <col min="1304" max="1304" width="8.7109375" style="1364" customWidth="1"/>
    <col min="1305" max="1305" width="10.5703125" style="1364" customWidth="1"/>
    <col min="1306" max="1306" width="16.42578125" style="1364" customWidth="1"/>
    <col min="1307" max="1307" width="15.140625" style="1364" customWidth="1"/>
    <col min="1308" max="1308" width="17" style="1364" customWidth="1"/>
    <col min="1309" max="1309" width="20.140625" style="1364" customWidth="1"/>
    <col min="1310" max="1310" width="20.28515625" style="1364" customWidth="1"/>
    <col min="1311" max="1528" width="28.7109375" style="1364"/>
    <col min="1529" max="1529" width="38.7109375" style="1364" customWidth="1"/>
    <col min="1530" max="1530" width="19.7109375" style="1364" bestFit="1" customWidth="1"/>
    <col min="1531" max="1531" width="11.140625" style="1364" bestFit="1" customWidth="1"/>
    <col min="1532" max="1532" width="18.42578125" style="1364" customWidth="1"/>
    <col min="1533" max="1533" width="16" style="1364" bestFit="1" customWidth="1"/>
    <col min="1534" max="1534" width="21.5703125" style="1364" customWidth="1"/>
    <col min="1535" max="1535" width="14.140625" style="1364" customWidth="1"/>
    <col min="1536" max="1536" width="12" style="1364" customWidth="1"/>
    <col min="1537" max="1537" width="17.7109375" style="1364" customWidth="1"/>
    <col min="1538" max="1538" width="16" style="1364" customWidth="1"/>
    <col min="1539" max="1540" width="16.7109375" style="1364" customWidth="1"/>
    <col min="1541" max="1541" width="28" style="1364" customWidth="1"/>
    <col min="1542" max="1542" width="17.7109375" style="1364" customWidth="1"/>
    <col min="1543" max="1543" width="12.28515625" style="1364" customWidth="1"/>
    <col min="1544" max="1544" width="7.5703125" style="1364" bestFit="1" customWidth="1"/>
    <col min="1545" max="1545" width="8.7109375" style="1364" bestFit="1" customWidth="1"/>
    <col min="1546" max="1546" width="7.5703125" style="1364" bestFit="1" customWidth="1"/>
    <col min="1547" max="1547" width="8.7109375" style="1364" bestFit="1" customWidth="1"/>
    <col min="1548" max="1548" width="7.28515625" style="1364" bestFit="1" customWidth="1"/>
    <col min="1549" max="1549" width="8.7109375" style="1364" bestFit="1" customWidth="1"/>
    <col min="1550" max="1550" width="22.7109375" style="1364" customWidth="1"/>
    <col min="1551" max="1551" width="18.28515625" style="1364" customWidth="1"/>
    <col min="1552" max="1552" width="13.85546875" style="1364" customWidth="1"/>
    <col min="1553" max="1553" width="14" style="1364" customWidth="1"/>
    <col min="1554" max="1554" width="9.28515625" style="1364" customWidth="1"/>
    <col min="1555" max="1555" width="12.7109375" style="1364" customWidth="1"/>
    <col min="1556" max="1556" width="6.42578125" style="1364" customWidth="1"/>
    <col min="1557" max="1557" width="14.42578125" style="1364" customWidth="1"/>
    <col min="1558" max="1558" width="10.28515625" style="1364" customWidth="1"/>
    <col min="1559" max="1559" width="12" style="1364" customWidth="1"/>
    <col min="1560" max="1560" width="8.7109375" style="1364" customWidth="1"/>
    <col min="1561" max="1561" width="10.5703125" style="1364" customWidth="1"/>
    <col min="1562" max="1562" width="16.42578125" style="1364" customWidth="1"/>
    <col min="1563" max="1563" width="15.140625" style="1364" customWidth="1"/>
    <col min="1564" max="1564" width="17" style="1364" customWidth="1"/>
    <col min="1565" max="1565" width="20.140625" style="1364" customWidth="1"/>
    <col min="1566" max="1566" width="20.28515625" style="1364" customWidth="1"/>
    <col min="1567" max="1784" width="28.7109375" style="1364"/>
    <col min="1785" max="1785" width="38.7109375" style="1364" customWidth="1"/>
    <col min="1786" max="1786" width="19.7109375" style="1364" bestFit="1" customWidth="1"/>
    <col min="1787" max="1787" width="11.140625" style="1364" bestFit="1" customWidth="1"/>
    <col min="1788" max="1788" width="18.42578125" style="1364" customWidth="1"/>
    <col min="1789" max="1789" width="16" style="1364" bestFit="1" customWidth="1"/>
    <col min="1790" max="1790" width="21.5703125" style="1364" customWidth="1"/>
    <col min="1791" max="1791" width="14.140625" style="1364" customWidth="1"/>
    <col min="1792" max="1792" width="12" style="1364" customWidth="1"/>
    <col min="1793" max="1793" width="17.7109375" style="1364" customWidth="1"/>
    <col min="1794" max="1794" width="16" style="1364" customWidth="1"/>
    <col min="1795" max="1796" width="16.7109375" style="1364" customWidth="1"/>
    <col min="1797" max="1797" width="28" style="1364" customWidth="1"/>
    <col min="1798" max="1798" width="17.7109375" style="1364" customWidth="1"/>
    <col min="1799" max="1799" width="12.28515625" style="1364" customWidth="1"/>
    <col min="1800" max="1800" width="7.5703125" style="1364" bestFit="1" customWidth="1"/>
    <col min="1801" max="1801" width="8.7109375" style="1364" bestFit="1" customWidth="1"/>
    <col min="1802" max="1802" width="7.5703125" style="1364" bestFit="1" customWidth="1"/>
    <col min="1803" max="1803" width="8.7109375" style="1364" bestFit="1" customWidth="1"/>
    <col min="1804" max="1804" width="7.28515625" style="1364" bestFit="1" customWidth="1"/>
    <col min="1805" max="1805" width="8.7109375" style="1364" bestFit="1" customWidth="1"/>
    <col min="1806" max="1806" width="22.7109375" style="1364" customWidth="1"/>
    <col min="1807" max="1807" width="18.28515625" style="1364" customWidth="1"/>
    <col min="1808" max="1808" width="13.85546875" style="1364" customWidth="1"/>
    <col min="1809" max="1809" width="14" style="1364" customWidth="1"/>
    <col min="1810" max="1810" width="9.28515625" style="1364" customWidth="1"/>
    <col min="1811" max="1811" width="12.7109375" style="1364" customWidth="1"/>
    <col min="1812" max="1812" width="6.42578125" style="1364" customWidth="1"/>
    <col min="1813" max="1813" width="14.42578125" style="1364" customWidth="1"/>
    <col min="1814" max="1814" width="10.28515625" style="1364" customWidth="1"/>
    <col min="1815" max="1815" width="12" style="1364" customWidth="1"/>
    <col min="1816" max="1816" width="8.7109375" style="1364" customWidth="1"/>
    <col min="1817" max="1817" width="10.5703125" style="1364" customWidth="1"/>
    <col min="1818" max="1818" width="16.42578125" style="1364" customWidth="1"/>
    <col min="1819" max="1819" width="15.140625" style="1364" customWidth="1"/>
    <col min="1820" max="1820" width="17" style="1364" customWidth="1"/>
    <col min="1821" max="1821" width="20.140625" style="1364" customWidth="1"/>
    <col min="1822" max="1822" width="20.28515625" style="1364" customWidth="1"/>
    <col min="1823" max="2040" width="28.7109375" style="1364"/>
    <col min="2041" max="2041" width="38.7109375" style="1364" customWidth="1"/>
    <col min="2042" max="2042" width="19.7109375" style="1364" bestFit="1" customWidth="1"/>
    <col min="2043" max="2043" width="11.140625" style="1364" bestFit="1" customWidth="1"/>
    <col min="2044" max="2044" width="18.42578125" style="1364" customWidth="1"/>
    <col min="2045" max="2045" width="16" style="1364" bestFit="1" customWidth="1"/>
    <col min="2046" max="2046" width="21.5703125" style="1364" customWidth="1"/>
    <col min="2047" max="2047" width="14.140625" style="1364" customWidth="1"/>
    <col min="2048" max="2048" width="12" style="1364" customWidth="1"/>
    <col min="2049" max="2049" width="17.7109375" style="1364" customWidth="1"/>
    <col min="2050" max="2050" width="16" style="1364" customWidth="1"/>
    <col min="2051" max="2052" width="16.7109375" style="1364" customWidth="1"/>
    <col min="2053" max="2053" width="28" style="1364" customWidth="1"/>
    <col min="2054" max="2054" width="17.7109375" style="1364" customWidth="1"/>
    <col min="2055" max="2055" width="12.28515625" style="1364" customWidth="1"/>
    <col min="2056" max="2056" width="7.5703125" style="1364" bestFit="1" customWidth="1"/>
    <col min="2057" max="2057" width="8.7109375" style="1364" bestFit="1" customWidth="1"/>
    <col min="2058" max="2058" width="7.5703125" style="1364" bestFit="1" customWidth="1"/>
    <col min="2059" max="2059" width="8.7109375" style="1364" bestFit="1" customWidth="1"/>
    <col min="2060" max="2060" width="7.28515625" style="1364" bestFit="1" customWidth="1"/>
    <col min="2061" max="2061" width="8.7109375" style="1364" bestFit="1" customWidth="1"/>
    <col min="2062" max="2062" width="22.7109375" style="1364" customWidth="1"/>
    <col min="2063" max="2063" width="18.28515625" style="1364" customWidth="1"/>
    <col min="2064" max="2064" width="13.85546875" style="1364" customWidth="1"/>
    <col min="2065" max="2065" width="14" style="1364" customWidth="1"/>
    <col min="2066" max="2066" width="9.28515625" style="1364" customWidth="1"/>
    <col min="2067" max="2067" width="12.7109375" style="1364" customWidth="1"/>
    <col min="2068" max="2068" width="6.42578125" style="1364" customWidth="1"/>
    <col min="2069" max="2069" width="14.42578125" style="1364" customWidth="1"/>
    <col min="2070" max="2070" width="10.28515625" style="1364" customWidth="1"/>
    <col min="2071" max="2071" width="12" style="1364" customWidth="1"/>
    <col min="2072" max="2072" width="8.7109375" style="1364" customWidth="1"/>
    <col min="2073" max="2073" width="10.5703125" style="1364" customWidth="1"/>
    <col min="2074" max="2074" width="16.42578125" style="1364" customWidth="1"/>
    <col min="2075" max="2075" width="15.140625" style="1364" customWidth="1"/>
    <col min="2076" max="2076" width="17" style="1364" customWidth="1"/>
    <col min="2077" max="2077" width="20.140625" style="1364" customWidth="1"/>
    <col min="2078" max="2078" width="20.28515625" style="1364" customWidth="1"/>
    <col min="2079" max="2296" width="28.7109375" style="1364"/>
    <col min="2297" max="2297" width="38.7109375" style="1364" customWidth="1"/>
    <col min="2298" max="2298" width="19.7109375" style="1364" bestFit="1" customWidth="1"/>
    <col min="2299" max="2299" width="11.140625" style="1364" bestFit="1" customWidth="1"/>
    <col min="2300" max="2300" width="18.42578125" style="1364" customWidth="1"/>
    <col min="2301" max="2301" width="16" style="1364" bestFit="1" customWidth="1"/>
    <col min="2302" max="2302" width="21.5703125" style="1364" customWidth="1"/>
    <col min="2303" max="2303" width="14.140625" style="1364" customWidth="1"/>
    <col min="2304" max="2304" width="12" style="1364" customWidth="1"/>
    <col min="2305" max="2305" width="17.7109375" style="1364" customWidth="1"/>
    <col min="2306" max="2306" width="16" style="1364" customWidth="1"/>
    <col min="2307" max="2308" width="16.7109375" style="1364" customWidth="1"/>
    <col min="2309" max="2309" width="28" style="1364" customWidth="1"/>
    <col min="2310" max="2310" width="17.7109375" style="1364" customWidth="1"/>
    <col min="2311" max="2311" width="12.28515625" style="1364" customWidth="1"/>
    <col min="2312" max="2312" width="7.5703125" style="1364" bestFit="1" customWidth="1"/>
    <col min="2313" max="2313" width="8.7109375" style="1364" bestFit="1" customWidth="1"/>
    <col min="2314" max="2314" width="7.5703125" style="1364" bestFit="1" customWidth="1"/>
    <col min="2315" max="2315" width="8.7109375" style="1364" bestFit="1" customWidth="1"/>
    <col min="2316" max="2316" width="7.28515625" style="1364" bestFit="1" customWidth="1"/>
    <col min="2317" max="2317" width="8.7109375" style="1364" bestFit="1" customWidth="1"/>
    <col min="2318" max="2318" width="22.7109375" style="1364" customWidth="1"/>
    <col min="2319" max="2319" width="18.28515625" style="1364" customWidth="1"/>
    <col min="2320" max="2320" width="13.85546875" style="1364" customWidth="1"/>
    <col min="2321" max="2321" width="14" style="1364" customWidth="1"/>
    <col min="2322" max="2322" width="9.28515625" style="1364" customWidth="1"/>
    <col min="2323" max="2323" width="12.7109375" style="1364" customWidth="1"/>
    <col min="2324" max="2324" width="6.42578125" style="1364" customWidth="1"/>
    <col min="2325" max="2325" width="14.42578125" style="1364" customWidth="1"/>
    <col min="2326" max="2326" width="10.28515625" style="1364" customWidth="1"/>
    <col min="2327" max="2327" width="12" style="1364" customWidth="1"/>
    <col min="2328" max="2328" width="8.7109375" style="1364" customWidth="1"/>
    <col min="2329" max="2329" width="10.5703125" style="1364" customWidth="1"/>
    <col min="2330" max="2330" width="16.42578125" style="1364" customWidth="1"/>
    <col min="2331" max="2331" width="15.140625" style="1364" customWidth="1"/>
    <col min="2332" max="2332" width="17" style="1364" customWidth="1"/>
    <col min="2333" max="2333" width="20.140625" style="1364" customWidth="1"/>
    <col min="2334" max="2334" width="20.28515625" style="1364" customWidth="1"/>
    <col min="2335" max="2552" width="28.7109375" style="1364"/>
    <col min="2553" max="2553" width="38.7109375" style="1364" customWidth="1"/>
    <col min="2554" max="2554" width="19.7109375" style="1364" bestFit="1" customWidth="1"/>
    <col min="2555" max="2555" width="11.140625" style="1364" bestFit="1" customWidth="1"/>
    <col min="2556" max="2556" width="18.42578125" style="1364" customWidth="1"/>
    <col min="2557" max="2557" width="16" style="1364" bestFit="1" customWidth="1"/>
    <col min="2558" max="2558" width="21.5703125" style="1364" customWidth="1"/>
    <col min="2559" max="2559" width="14.140625" style="1364" customWidth="1"/>
    <col min="2560" max="2560" width="12" style="1364" customWidth="1"/>
    <col min="2561" max="2561" width="17.7109375" style="1364" customWidth="1"/>
    <col min="2562" max="2562" width="16" style="1364" customWidth="1"/>
    <col min="2563" max="2564" width="16.7109375" style="1364" customWidth="1"/>
    <col min="2565" max="2565" width="28" style="1364" customWidth="1"/>
    <col min="2566" max="2566" width="17.7109375" style="1364" customWidth="1"/>
    <col min="2567" max="2567" width="12.28515625" style="1364" customWidth="1"/>
    <col min="2568" max="2568" width="7.5703125" style="1364" bestFit="1" customWidth="1"/>
    <col min="2569" max="2569" width="8.7109375" style="1364" bestFit="1" customWidth="1"/>
    <col min="2570" max="2570" width="7.5703125" style="1364" bestFit="1" customWidth="1"/>
    <col min="2571" max="2571" width="8.7109375" style="1364" bestFit="1" customWidth="1"/>
    <col min="2572" max="2572" width="7.28515625" style="1364" bestFit="1" customWidth="1"/>
    <col min="2573" max="2573" width="8.7109375" style="1364" bestFit="1" customWidth="1"/>
    <col min="2574" max="2574" width="22.7109375" style="1364" customWidth="1"/>
    <col min="2575" max="2575" width="18.28515625" style="1364" customWidth="1"/>
    <col min="2576" max="2576" width="13.85546875" style="1364" customWidth="1"/>
    <col min="2577" max="2577" width="14" style="1364" customWidth="1"/>
    <col min="2578" max="2578" width="9.28515625" style="1364" customWidth="1"/>
    <col min="2579" max="2579" width="12.7109375" style="1364" customWidth="1"/>
    <col min="2580" max="2580" width="6.42578125" style="1364" customWidth="1"/>
    <col min="2581" max="2581" width="14.42578125" style="1364" customWidth="1"/>
    <col min="2582" max="2582" width="10.28515625" style="1364" customWidth="1"/>
    <col min="2583" max="2583" width="12" style="1364" customWidth="1"/>
    <col min="2584" max="2584" width="8.7109375" style="1364" customWidth="1"/>
    <col min="2585" max="2585" width="10.5703125" style="1364" customWidth="1"/>
    <col min="2586" max="2586" width="16.42578125" style="1364" customWidth="1"/>
    <col min="2587" max="2587" width="15.140625" style="1364" customWidth="1"/>
    <col min="2588" max="2588" width="17" style="1364" customWidth="1"/>
    <col min="2589" max="2589" width="20.140625" style="1364" customWidth="1"/>
    <col min="2590" max="2590" width="20.28515625" style="1364" customWidth="1"/>
    <col min="2591" max="2808" width="28.7109375" style="1364"/>
    <col min="2809" max="2809" width="38.7109375" style="1364" customWidth="1"/>
    <col min="2810" max="2810" width="19.7109375" style="1364" bestFit="1" customWidth="1"/>
    <col min="2811" max="2811" width="11.140625" style="1364" bestFit="1" customWidth="1"/>
    <col min="2812" max="2812" width="18.42578125" style="1364" customWidth="1"/>
    <col min="2813" max="2813" width="16" style="1364" bestFit="1" customWidth="1"/>
    <col min="2814" max="2814" width="21.5703125" style="1364" customWidth="1"/>
    <col min="2815" max="2815" width="14.140625" style="1364" customWidth="1"/>
    <col min="2816" max="2816" width="12" style="1364" customWidth="1"/>
    <col min="2817" max="2817" width="17.7109375" style="1364" customWidth="1"/>
    <col min="2818" max="2818" width="16" style="1364" customWidth="1"/>
    <col min="2819" max="2820" width="16.7109375" style="1364" customWidth="1"/>
    <col min="2821" max="2821" width="28" style="1364" customWidth="1"/>
    <col min="2822" max="2822" width="17.7109375" style="1364" customWidth="1"/>
    <col min="2823" max="2823" width="12.28515625" style="1364" customWidth="1"/>
    <col min="2824" max="2824" width="7.5703125" style="1364" bestFit="1" customWidth="1"/>
    <col min="2825" max="2825" width="8.7109375" style="1364" bestFit="1" customWidth="1"/>
    <col min="2826" max="2826" width="7.5703125" style="1364" bestFit="1" customWidth="1"/>
    <col min="2827" max="2827" width="8.7109375" style="1364" bestFit="1" customWidth="1"/>
    <col min="2828" max="2828" width="7.28515625" style="1364" bestFit="1" customWidth="1"/>
    <col min="2829" max="2829" width="8.7109375" style="1364" bestFit="1" customWidth="1"/>
    <col min="2830" max="2830" width="22.7109375" style="1364" customWidth="1"/>
    <col min="2831" max="2831" width="18.28515625" style="1364" customWidth="1"/>
    <col min="2832" max="2832" width="13.85546875" style="1364" customWidth="1"/>
    <col min="2833" max="2833" width="14" style="1364" customWidth="1"/>
    <col min="2834" max="2834" width="9.28515625" style="1364" customWidth="1"/>
    <col min="2835" max="2835" width="12.7109375" style="1364" customWidth="1"/>
    <col min="2836" max="2836" width="6.42578125" style="1364" customWidth="1"/>
    <col min="2837" max="2837" width="14.42578125" style="1364" customWidth="1"/>
    <col min="2838" max="2838" width="10.28515625" style="1364" customWidth="1"/>
    <col min="2839" max="2839" width="12" style="1364" customWidth="1"/>
    <col min="2840" max="2840" width="8.7109375" style="1364" customWidth="1"/>
    <col min="2841" max="2841" width="10.5703125" style="1364" customWidth="1"/>
    <col min="2842" max="2842" width="16.42578125" style="1364" customWidth="1"/>
    <col min="2843" max="2843" width="15.140625" style="1364" customWidth="1"/>
    <col min="2844" max="2844" width="17" style="1364" customWidth="1"/>
    <col min="2845" max="2845" width="20.140625" style="1364" customWidth="1"/>
    <col min="2846" max="2846" width="20.28515625" style="1364" customWidth="1"/>
    <col min="2847" max="3064" width="28.7109375" style="1364"/>
    <col min="3065" max="3065" width="38.7109375" style="1364" customWidth="1"/>
    <col min="3066" max="3066" width="19.7109375" style="1364" bestFit="1" customWidth="1"/>
    <col min="3067" max="3067" width="11.140625" style="1364" bestFit="1" customWidth="1"/>
    <col min="3068" max="3068" width="18.42578125" style="1364" customWidth="1"/>
    <col min="3069" max="3069" width="16" style="1364" bestFit="1" customWidth="1"/>
    <col min="3070" max="3070" width="21.5703125" style="1364" customWidth="1"/>
    <col min="3071" max="3071" width="14.140625" style="1364" customWidth="1"/>
    <col min="3072" max="3072" width="12" style="1364" customWidth="1"/>
    <col min="3073" max="3073" width="17.7109375" style="1364" customWidth="1"/>
    <col min="3074" max="3074" width="16" style="1364" customWidth="1"/>
    <col min="3075" max="3076" width="16.7109375" style="1364" customWidth="1"/>
    <col min="3077" max="3077" width="28" style="1364" customWidth="1"/>
    <col min="3078" max="3078" width="17.7109375" style="1364" customWidth="1"/>
    <col min="3079" max="3079" width="12.28515625" style="1364" customWidth="1"/>
    <col min="3080" max="3080" width="7.5703125" style="1364" bestFit="1" customWidth="1"/>
    <col min="3081" max="3081" width="8.7109375" style="1364" bestFit="1" customWidth="1"/>
    <col min="3082" max="3082" width="7.5703125" style="1364" bestFit="1" customWidth="1"/>
    <col min="3083" max="3083" width="8.7109375" style="1364" bestFit="1" customWidth="1"/>
    <col min="3084" max="3084" width="7.28515625" style="1364" bestFit="1" customWidth="1"/>
    <col min="3085" max="3085" width="8.7109375" style="1364" bestFit="1" customWidth="1"/>
    <col min="3086" max="3086" width="22.7109375" style="1364" customWidth="1"/>
    <col min="3087" max="3087" width="18.28515625" style="1364" customWidth="1"/>
    <col min="3088" max="3088" width="13.85546875" style="1364" customWidth="1"/>
    <col min="3089" max="3089" width="14" style="1364" customWidth="1"/>
    <col min="3090" max="3090" width="9.28515625" style="1364" customWidth="1"/>
    <col min="3091" max="3091" width="12.7109375" style="1364" customWidth="1"/>
    <col min="3092" max="3092" width="6.42578125" style="1364" customWidth="1"/>
    <col min="3093" max="3093" width="14.42578125" style="1364" customWidth="1"/>
    <col min="3094" max="3094" width="10.28515625" style="1364" customWidth="1"/>
    <col min="3095" max="3095" width="12" style="1364" customWidth="1"/>
    <col min="3096" max="3096" width="8.7109375" style="1364" customWidth="1"/>
    <col min="3097" max="3097" width="10.5703125" style="1364" customWidth="1"/>
    <col min="3098" max="3098" width="16.42578125" style="1364" customWidth="1"/>
    <col min="3099" max="3099" width="15.140625" style="1364" customWidth="1"/>
    <col min="3100" max="3100" width="17" style="1364" customWidth="1"/>
    <col min="3101" max="3101" width="20.140625" style="1364" customWidth="1"/>
    <col min="3102" max="3102" width="20.28515625" style="1364" customWidth="1"/>
    <col min="3103" max="3320" width="28.7109375" style="1364"/>
    <col min="3321" max="3321" width="38.7109375" style="1364" customWidth="1"/>
    <col min="3322" max="3322" width="19.7109375" style="1364" bestFit="1" customWidth="1"/>
    <col min="3323" max="3323" width="11.140625" style="1364" bestFit="1" customWidth="1"/>
    <col min="3324" max="3324" width="18.42578125" style="1364" customWidth="1"/>
    <col min="3325" max="3325" width="16" style="1364" bestFit="1" customWidth="1"/>
    <col min="3326" max="3326" width="21.5703125" style="1364" customWidth="1"/>
    <col min="3327" max="3327" width="14.140625" style="1364" customWidth="1"/>
    <col min="3328" max="3328" width="12" style="1364" customWidth="1"/>
    <col min="3329" max="3329" width="17.7109375" style="1364" customWidth="1"/>
    <col min="3330" max="3330" width="16" style="1364" customWidth="1"/>
    <col min="3331" max="3332" width="16.7109375" style="1364" customWidth="1"/>
    <col min="3333" max="3333" width="28" style="1364" customWidth="1"/>
    <col min="3334" max="3334" width="17.7109375" style="1364" customWidth="1"/>
    <col min="3335" max="3335" width="12.28515625" style="1364" customWidth="1"/>
    <col min="3336" max="3336" width="7.5703125" style="1364" bestFit="1" customWidth="1"/>
    <col min="3337" max="3337" width="8.7109375" style="1364" bestFit="1" customWidth="1"/>
    <col min="3338" max="3338" width="7.5703125" style="1364" bestFit="1" customWidth="1"/>
    <col min="3339" max="3339" width="8.7109375" style="1364" bestFit="1" customWidth="1"/>
    <col min="3340" max="3340" width="7.28515625" style="1364" bestFit="1" customWidth="1"/>
    <col min="3341" max="3341" width="8.7109375" style="1364" bestFit="1" customWidth="1"/>
    <col min="3342" max="3342" width="22.7109375" style="1364" customWidth="1"/>
    <col min="3343" max="3343" width="18.28515625" style="1364" customWidth="1"/>
    <col min="3344" max="3344" width="13.85546875" style="1364" customWidth="1"/>
    <col min="3345" max="3345" width="14" style="1364" customWidth="1"/>
    <col min="3346" max="3346" width="9.28515625" style="1364" customWidth="1"/>
    <col min="3347" max="3347" width="12.7109375" style="1364" customWidth="1"/>
    <col min="3348" max="3348" width="6.42578125" style="1364" customWidth="1"/>
    <col min="3349" max="3349" width="14.42578125" style="1364" customWidth="1"/>
    <col min="3350" max="3350" width="10.28515625" style="1364" customWidth="1"/>
    <col min="3351" max="3351" width="12" style="1364" customWidth="1"/>
    <col min="3352" max="3352" width="8.7109375" style="1364" customWidth="1"/>
    <col min="3353" max="3353" width="10.5703125" style="1364" customWidth="1"/>
    <col min="3354" max="3354" width="16.42578125" style="1364" customWidth="1"/>
    <col min="3355" max="3355" width="15.140625" style="1364" customWidth="1"/>
    <col min="3356" max="3356" width="17" style="1364" customWidth="1"/>
    <col min="3357" max="3357" width="20.140625" style="1364" customWidth="1"/>
    <col min="3358" max="3358" width="20.28515625" style="1364" customWidth="1"/>
    <col min="3359" max="3576" width="28.7109375" style="1364"/>
    <col min="3577" max="3577" width="38.7109375" style="1364" customWidth="1"/>
    <col min="3578" max="3578" width="19.7109375" style="1364" bestFit="1" customWidth="1"/>
    <col min="3579" max="3579" width="11.140625" style="1364" bestFit="1" customWidth="1"/>
    <col min="3580" max="3580" width="18.42578125" style="1364" customWidth="1"/>
    <col min="3581" max="3581" width="16" style="1364" bestFit="1" customWidth="1"/>
    <col min="3582" max="3582" width="21.5703125" style="1364" customWidth="1"/>
    <col min="3583" max="3583" width="14.140625" style="1364" customWidth="1"/>
    <col min="3584" max="3584" width="12" style="1364" customWidth="1"/>
    <col min="3585" max="3585" width="17.7109375" style="1364" customWidth="1"/>
    <col min="3586" max="3586" width="16" style="1364" customWidth="1"/>
    <col min="3587" max="3588" width="16.7109375" style="1364" customWidth="1"/>
    <col min="3589" max="3589" width="28" style="1364" customWidth="1"/>
    <col min="3590" max="3590" width="17.7109375" style="1364" customWidth="1"/>
    <col min="3591" max="3591" width="12.28515625" style="1364" customWidth="1"/>
    <col min="3592" max="3592" width="7.5703125" style="1364" bestFit="1" customWidth="1"/>
    <col min="3593" max="3593" width="8.7109375" style="1364" bestFit="1" customWidth="1"/>
    <col min="3594" max="3594" width="7.5703125" style="1364" bestFit="1" customWidth="1"/>
    <col min="3595" max="3595" width="8.7109375" style="1364" bestFit="1" customWidth="1"/>
    <col min="3596" max="3596" width="7.28515625" style="1364" bestFit="1" customWidth="1"/>
    <col min="3597" max="3597" width="8.7109375" style="1364" bestFit="1" customWidth="1"/>
    <col min="3598" max="3598" width="22.7109375" style="1364" customWidth="1"/>
    <col min="3599" max="3599" width="18.28515625" style="1364" customWidth="1"/>
    <col min="3600" max="3600" width="13.85546875" style="1364" customWidth="1"/>
    <col min="3601" max="3601" width="14" style="1364" customWidth="1"/>
    <col min="3602" max="3602" width="9.28515625" style="1364" customWidth="1"/>
    <col min="3603" max="3603" width="12.7109375" style="1364" customWidth="1"/>
    <col min="3604" max="3604" width="6.42578125" style="1364" customWidth="1"/>
    <col min="3605" max="3605" width="14.42578125" style="1364" customWidth="1"/>
    <col min="3606" max="3606" width="10.28515625" style="1364" customWidth="1"/>
    <col min="3607" max="3607" width="12" style="1364" customWidth="1"/>
    <col min="3608" max="3608" width="8.7109375" style="1364" customWidth="1"/>
    <col min="3609" max="3609" width="10.5703125" style="1364" customWidth="1"/>
    <col min="3610" max="3610" width="16.42578125" style="1364" customWidth="1"/>
    <col min="3611" max="3611" width="15.140625" style="1364" customWidth="1"/>
    <col min="3612" max="3612" width="17" style="1364" customWidth="1"/>
    <col min="3613" max="3613" width="20.140625" style="1364" customWidth="1"/>
    <col min="3614" max="3614" width="20.28515625" style="1364" customWidth="1"/>
    <col min="3615" max="3832" width="28.7109375" style="1364"/>
    <col min="3833" max="3833" width="38.7109375" style="1364" customWidth="1"/>
    <col min="3834" max="3834" width="19.7109375" style="1364" bestFit="1" customWidth="1"/>
    <col min="3835" max="3835" width="11.140625" style="1364" bestFit="1" customWidth="1"/>
    <col min="3836" max="3836" width="18.42578125" style="1364" customWidth="1"/>
    <col min="3837" max="3837" width="16" style="1364" bestFit="1" customWidth="1"/>
    <col min="3838" max="3838" width="21.5703125" style="1364" customWidth="1"/>
    <col min="3839" max="3839" width="14.140625" style="1364" customWidth="1"/>
    <col min="3840" max="3840" width="12" style="1364" customWidth="1"/>
    <col min="3841" max="3841" width="17.7109375" style="1364" customWidth="1"/>
    <col min="3842" max="3842" width="16" style="1364" customWidth="1"/>
    <col min="3843" max="3844" width="16.7109375" style="1364" customWidth="1"/>
    <col min="3845" max="3845" width="28" style="1364" customWidth="1"/>
    <col min="3846" max="3846" width="17.7109375" style="1364" customWidth="1"/>
    <col min="3847" max="3847" width="12.28515625" style="1364" customWidth="1"/>
    <col min="3848" max="3848" width="7.5703125" style="1364" bestFit="1" customWidth="1"/>
    <col min="3849" max="3849" width="8.7109375" style="1364" bestFit="1" customWidth="1"/>
    <col min="3850" max="3850" width="7.5703125" style="1364" bestFit="1" customWidth="1"/>
    <col min="3851" max="3851" width="8.7109375" style="1364" bestFit="1" customWidth="1"/>
    <col min="3852" max="3852" width="7.28515625" style="1364" bestFit="1" customWidth="1"/>
    <col min="3853" max="3853" width="8.7109375" style="1364" bestFit="1" customWidth="1"/>
    <col min="3854" max="3854" width="22.7109375" style="1364" customWidth="1"/>
    <col min="3855" max="3855" width="18.28515625" style="1364" customWidth="1"/>
    <col min="3856" max="3856" width="13.85546875" style="1364" customWidth="1"/>
    <col min="3857" max="3857" width="14" style="1364" customWidth="1"/>
    <col min="3858" max="3858" width="9.28515625" style="1364" customWidth="1"/>
    <col min="3859" max="3859" width="12.7109375" style="1364" customWidth="1"/>
    <col min="3860" max="3860" width="6.42578125" style="1364" customWidth="1"/>
    <col min="3861" max="3861" width="14.42578125" style="1364" customWidth="1"/>
    <col min="3862" max="3862" width="10.28515625" style="1364" customWidth="1"/>
    <col min="3863" max="3863" width="12" style="1364" customWidth="1"/>
    <col min="3864" max="3864" width="8.7109375" style="1364" customWidth="1"/>
    <col min="3865" max="3865" width="10.5703125" style="1364" customWidth="1"/>
    <col min="3866" max="3866" width="16.42578125" style="1364" customWidth="1"/>
    <col min="3867" max="3867" width="15.140625" style="1364" customWidth="1"/>
    <col min="3868" max="3868" width="17" style="1364" customWidth="1"/>
    <col min="3869" max="3869" width="20.140625" style="1364" customWidth="1"/>
    <col min="3870" max="3870" width="20.28515625" style="1364" customWidth="1"/>
    <col min="3871" max="4088" width="28.7109375" style="1364"/>
    <col min="4089" max="4089" width="38.7109375" style="1364" customWidth="1"/>
    <col min="4090" max="4090" width="19.7109375" style="1364" bestFit="1" customWidth="1"/>
    <col min="4091" max="4091" width="11.140625" style="1364" bestFit="1" customWidth="1"/>
    <col min="4092" max="4092" width="18.42578125" style="1364" customWidth="1"/>
    <col min="4093" max="4093" width="16" style="1364" bestFit="1" customWidth="1"/>
    <col min="4094" max="4094" width="21.5703125" style="1364" customWidth="1"/>
    <col min="4095" max="4095" width="14.140625" style="1364" customWidth="1"/>
    <col min="4096" max="4096" width="12" style="1364" customWidth="1"/>
    <col min="4097" max="4097" width="17.7109375" style="1364" customWidth="1"/>
    <col min="4098" max="4098" width="16" style="1364" customWidth="1"/>
    <col min="4099" max="4100" width="16.7109375" style="1364" customWidth="1"/>
    <col min="4101" max="4101" width="28" style="1364" customWidth="1"/>
    <col min="4102" max="4102" width="17.7109375" style="1364" customWidth="1"/>
    <col min="4103" max="4103" width="12.28515625" style="1364" customWidth="1"/>
    <col min="4104" max="4104" width="7.5703125" style="1364" bestFit="1" customWidth="1"/>
    <col min="4105" max="4105" width="8.7109375" style="1364" bestFit="1" customWidth="1"/>
    <col min="4106" max="4106" width="7.5703125" style="1364" bestFit="1" customWidth="1"/>
    <col min="4107" max="4107" width="8.7109375" style="1364" bestFit="1" customWidth="1"/>
    <col min="4108" max="4108" width="7.28515625" style="1364" bestFit="1" customWidth="1"/>
    <col min="4109" max="4109" width="8.7109375" style="1364" bestFit="1" customWidth="1"/>
    <col min="4110" max="4110" width="22.7109375" style="1364" customWidth="1"/>
    <col min="4111" max="4111" width="18.28515625" style="1364" customWidth="1"/>
    <col min="4112" max="4112" width="13.85546875" style="1364" customWidth="1"/>
    <col min="4113" max="4113" width="14" style="1364" customWidth="1"/>
    <col min="4114" max="4114" width="9.28515625" style="1364" customWidth="1"/>
    <col min="4115" max="4115" width="12.7109375" style="1364" customWidth="1"/>
    <col min="4116" max="4116" width="6.42578125" style="1364" customWidth="1"/>
    <col min="4117" max="4117" width="14.42578125" style="1364" customWidth="1"/>
    <col min="4118" max="4118" width="10.28515625" style="1364" customWidth="1"/>
    <col min="4119" max="4119" width="12" style="1364" customWidth="1"/>
    <col min="4120" max="4120" width="8.7109375" style="1364" customWidth="1"/>
    <col min="4121" max="4121" width="10.5703125" style="1364" customWidth="1"/>
    <col min="4122" max="4122" width="16.42578125" style="1364" customWidth="1"/>
    <col min="4123" max="4123" width="15.140625" style="1364" customWidth="1"/>
    <col min="4124" max="4124" width="17" style="1364" customWidth="1"/>
    <col min="4125" max="4125" width="20.140625" style="1364" customWidth="1"/>
    <col min="4126" max="4126" width="20.28515625" style="1364" customWidth="1"/>
    <col min="4127" max="4344" width="28.7109375" style="1364"/>
    <col min="4345" max="4345" width="38.7109375" style="1364" customWidth="1"/>
    <col min="4346" max="4346" width="19.7109375" style="1364" bestFit="1" customWidth="1"/>
    <col min="4347" max="4347" width="11.140625" style="1364" bestFit="1" customWidth="1"/>
    <col min="4348" max="4348" width="18.42578125" style="1364" customWidth="1"/>
    <col min="4349" max="4349" width="16" style="1364" bestFit="1" customWidth="1"/>
    <col min="4350" max="4350" width="21.5703125" style="1364" customWidth="1"/>
    <col min="4351" max="4351" width="14.140625" style="1364" customWidth="1"/>
    <col min="4352" max="4352" width="12" style="1364" customWidth="1"/>
    <col min="4353" max="4353" width="17.7109375" style="1364" customWidth="1"/>
    <col min="4354" max="4354" width="16" style="1364" customWidth="1"/>
    <col min="4355" max="4356" width="16.7109375" style="1364" customWidth="1"/>
    <col min="4357" max="4357" width="28" style="1364" customWidth="1"/>
    <col min="4358" max="4358" width="17.7109375" style="1364" customWidth="1"/>
    <col min="4359" max="4359" width="12.28515625" style="1364" customWidth="1"/>
    <col min="4360" max="4360" width="7.5703125" style="1364" bestFit="1" customWidth="1"/>
    <col min="4361" max="4361" width="8.7109375" style="1364" bestFit="1" customWidth="1"/>
    <col min="4362" max="4362" width="7.5703125" style="1364" bestFit="1" customWidth="1"/>
    <col min="4363" max="4363" width="8.7109375" style="1364" bestFit="1" customWidth="1"/>
    <col min="4364" max="4364" width="7.28515625" style="1364" bestFit="1" customWidth="1"/>
    <col min="4365" max="4365" width="8.7109375" style="1364" bestFit="1" customWidth="1"/>
    <col min="4366" max="4366" width="22.7109375" style="1364" customWidth="1"/>
    <col min="4367" max="4367" width="18.28515625" style="1364" customWidth="1"/>
    <col min="4368" max="4368" width="13.85546875" style="1364" customWidth="1"/>
    <col min="4369" max="4369" width="14" style="1364" customWidth="1"/>
    <col min="4370" max="4370" width="9.28515625" style="1364" customWidth="1"/>
    <col min="4371" max="4371" width="12.7109375" style="1364" customWidth="1"/>
    <col min="4372" max="4372" width="6.42578125" style="1364" customWidth="1"/>
    <col min="4373" max="4373" width="14.42578125" style="1364" customWidth="1"/>
    <col min="4374" max="4374" width="10.28515625" style="1364" customWidth="1"/>
    <col min="4375" max="4375" width="12" style="1364" customWidth="1"/>
    <col min="4376" max="4376" width="8.7109375" style="1364" customWidth="1"/>
    <col min="4377" max="4377" width="10.5703125" style="1364" customWidth="1"/>
    <col min="4378" max="4378" width="16.42578125" style="1364" customWidth="1"/>
    <col min="4379" max="4379" width="15.140625" style="1364" customWidth="1"/>
    <col min="4380" max="4380" width="17" style="1364" customWidth="1"/>
    <col min="4381" max="4381" width="20.140625" style="1364" customWidth="1"/>
    <col min="4382" max="4382" width="20.28515625" style="1364" customWidth="1"/>
    <col min="4383" max="4600" width="28.7109375" style="1364"/>
    <col min="4601" max="4601" width="38.7109375" style="1364" customWidth="1"/>
    <col min="4602" max="4602" width="19.7109375" style="1364" bestFit="1" customWidth="1"/>
    <col min="4603" max="4603" width="11.140625" style="1364" bestFit="1" customWidth="1"/>
    <col min="4604" max="4604" width="18.42578125" style="1364" customWidth="1"/>
    <col min="4605" max="4605" width="16" style="1364" bestFit="1" customWidth="1"/>
    <col min="4606" max="4606" width="21.5703125" style="1364" customWidth="1"/>
    <col min="4607" max="4607" width="14.140625" style="1364" customWidth="1"/>
    <col min="4608" max="4608" width="12" style="1364" customWidth="1"/>
    <col min="4609" max="4609" width="17.7109375" style="1364" customWidth="1"/>
    <col min="4610" max="4610" width="16" style="1364" customWidth="1"/>
    <col min="4611" max="4612" width="16.7109375" style="1364" customWidth="1"/>
    <col min="4613" max="4613" width="28" style="1364" customWidth="1"/>
    <col min="4614" max="4614" width="17.7109375" style="1364" customWidth="1"/>
    <col min="4615" max="4615" width="12.28515625" style="1364" customWidth="1"/>
    <col min="4616" max="4616" width="7.5703125" style="1364" bestFit="1" customWidth="1"/>
    <col min="4617" max="4617" width="8.7109375" style="1364" bestFit="1" customWidth="1"/>
    <col min="4618" max="4618" width="7.5703125" style="1364" bestFit="1" customWidth="1"/>
    <col min="4619" max="4619" width="8.7109375" style="1364" bestFit="1" customWidth="1"/>
    <col min="4620" max="4620" width="7.28515625" style="1364" bestFit="1" customWidth="1"/>
    <col min="4621" max="4621" width="8.7109375" style="1364" bestFit="1" customWidth="1"/>
    <col min="4622" max="4622" width="22.7109375" style="1364" customWidth="1"/>
    <col min="4623" max="4623" width="18.28515625" style="1364" customWidth="1"/>
    <col min="4624" max="4624" width="13.85546875" style="1364" customWidth="1"/>
    <col min="4625" max="4625" width="14" style="1364" customWidth="1"/>
    <col min="4626" max="4626" width="9.28515625" style="1364" customWidth="1"/>
    <col min="4627" max="4627" width="12.7109375" style="1364" customWidth="1"/>
    <col min="4628" max="4628" width="6.42578125" style="1364" customWidth="1"/>
    <col min="4629" max="4629" width="14.42578125" style="1364" customWidth="1"/>
    <col min="4630" max="4630" width="10.28515625" style="1364" customWidth="1"/>
    <col min="4631" max="4631" width="12" style="1364" customWidth="1"/>
    <col min="4632" max="4632" width="8.7109375" style="1364" customWidth="1"/>
    <col min="4633" max="4633" width="10.5703125" style="1364" customWidth="1"/>
    <col min="4634" max="4634" width="16.42578125" style="1364" customWidth="1"/>
    <col min="4635" max="4635" width="15.140625" style="1364" customWidth="1"/>
    <col min="4636" max="4636" width="17" style="1364" customWidth="1"/>
    <col min="4637" max="4637" width="20.140625" style="1364" customWidth="1"/>
    <col min="4638" max="4638" width="20.28515625" style="1364" customWidth="1"/>
    <col min="4639" max="4856" width="28.7109375" style="1364"/>
    <col min="4857" max="4857" width="38.7109375" style="1364" customWidth="1"/>
    <col min="4858" max="4858" width="19.7109375" style="1364" bestFit="1" customWidth="1"/>
    <col min="4859" max="4859" width="11.140625" style="1364" bestFit="1" customWidth="1"/>
    <col min="4860" max="4860" width="18.42578125" style="1364" customWidth="1"/>
    <col min="4861" max="4861" width="16" style="1364" bestFit="1" customWidth="1"/>
    <col min="4862" max="4862" width="21.5703125" style="1364" customWidth="1"/>
    <col min="4863" max="4863" width="14.140625" style="1364" customWidth="1"/>
    <col min="4864" max="4864" width="12" style="1364" customWidth="1"/>
    <col min="4865" max="4865" width="17.7109375" style="1364" customWidth="1"/>
    <col min="4866" max="4866" width="16" style="1364" customWidth="1"/>
    <col min="4867" max="4868" width="16.7109375" style="1364" customWidth="1"/>
    <col min="4869" max="4869" width="28" style="1364" customWidth="1"/>
    <col min="4870" max="4870" width="17.7109375" style="1364" customWidth="1"/>
    <col min="4871" max="4871" width="12.28515625" style="1364" customWidth="1"/>
    <col min="4872" max="4872" width="7.5703125" style="1364" bestFit="1" customWidth="1"/>
    <col min="4873" max="4873" width="8.7109375" style="1364" bestFit="1" customWidth="1"/>
    <col min="4874" max="4874" width="7.5703125" style="1364" bestFit="1" customWidth="1"/>
    <col min="4875" max="4875" width="8.7109375" style="1364" bestFit="1" customWidth="1"/>
    <col min="4876" max="4876" width="7.28515625" style="1364" bestFit="1" customWidth="1"/>
    <col min="4877" max="4877" width="8.7109375" style="1364" bestFit="1" customWidth="1"/>
    <col min="4878" max="4878" width="22.7109375" style="1364" customWidth="1"/>
    <col min="4879" max="4879" width="18.28515625" style="1364" customWidth="1"/>
    <col min="4880" max="4880" width="13.85546875" style="1364" customWidth="1"/>
    <col min="4881" max="4881" width="14" style="1364" customWidth="1"/>
    <col min="4882" max="4882" width="9.28515625" style="1364" customWidth="1"/>
    <col min="4883" max="4883" width="12.7109375" style="1364" customWidth="1"/>
    <col min="4884" max="4884" width="6.42578125" style="1364" customWidth="1"/>
    <col min="4885" max="4885" width="14.42578125" style="1364" customWidth="1"/>
    <col min="4886" max="4886" width="10.28515625" style="1364" customWidth="1"/>
    <col min="4887" max="4887" width="12" style="1364" customWidth="1"/>
    <col min="4888" max="4888" width="8.7109375" style="1364" customWidth="1"/>
    <col min="4889" max="4889" width="10.5703125" style="1364" customWidth="1"/>
    <col min="4890" max="4890" width="16.42578125" style="1364" customWidth="1"/>
    <col min="4891" max="4891" width="15.140625" style="1364" customWidth="1"/>
    <col min="4892" max="4892" width="17" style="1364" customWidth="1"/>
    <col min="4893" max="4893" width="20.140625" style="1364" customWidth="1"/>
    <col min="4894" max="4894" width="20.28515625" style="1364" customWidth="1"/>
    <col min="4895" max="5112" width="28.7109375" style="1364"/>
    <col min="5113" max="5113" width="38.7109375" style="1364" customWidth="1"/>
    <col min="5114" max="5114" width="19.7109375" style="1364" bestFit="1" customWidth="1"/>
    <col min="5115" max="5115" width="11.140625" style="1364" bestFit="1" customWidth="1"/>
    <col min="5116" max="5116" width="18.42578125" style="1364" customWidth="1"/>
    <col min="5117" max="5117" width="16" style="1364" bestFit="1" customWidth="1"/>
    <col min="5118" max="5118" width="21.5703125" style="1364" customWidth="1"/>
    <col min="5119" max="5119" width="14.140625" style="1364" customWidth="1"/>
    <col min="5120" max="5120" width="12" style="1364" customWidth="1"/>
    <col min="5121" max="5121" width="17.7109375" style="1364" customWidth="1"/>
    <col min="5122" max="5122" width="16" style="1364" customWidth="1"/>
    <col min="5123" max="5124" width="16.7109375" style="1364" customWidth="1"/>
    <col min="5125" max="5125" width="28" style="1364" customWidth="1"/>
    <col min="5126" max="5126" width="17.7109375" style="1364" customWidth="1"/>
    <col min="5127" max="5127" width="12.28515625" style="1364" customWidth="1"/>
    <col min="5128" max="5128" width="7.5703125" style="1364" bestFit="1" customWidth="1"/>
    <col min="5129" max="5129" width="8.7109375" style="1364" bestFit="1" customWidth="1"/>
    <col min="5130" max="5130" width="7.5703125" style="1364" bestFit="1" customWidth="1"/>
    <col min="5131" max="5131" width="8.7109375" style="1364" bestFit="1" customWidth="1"/>
    <col min="5132" max="5132" width="7.28515625" style="1364" bestFit="1" customWidth="1"/>
    <col min="5133" max="5133" width="8.7109375" style="1364" bestFit="1" customWidth="1"/>
    <col min="5134" max="5134" width="22.7109375" style="1364" customWidth="1"/>
    <col min="5135" max="5135" width="18.28515625" style="1364" customWidth="1"/>
    <col min="5136" max="5136" width="13.85546875" style="1364" customWidth="1"/>
    <col min="5137" max="5137" width="14" style="1364" customWidth="1"/>
    <col min="5138" max="5138" width="9.28515625" style="1364" customWidth="1"/>
    <col min="5139" max="5139" width="12.7109375" style="1364" customWidth="1"/>
    <col min="5140" max="5140" width="6.42578125" style="1364" customWidth="1"/>
    <col min="5141" max="5141" width="14.42578125" style="1364" customWidth="1"/>
    <col min="5142" max="5142" width="10.28515625" style="1364" customWidth="1"/>
    <col min="5143" max="5143" width="12" style="1364" customWidth="1"/>
    <col min="5144" max="5144" width="8.7109375" style="1364" customWidth="1"/>
    <col min="5145" max="5145" width="10.5703125" style="1364" customWidth="1"/>
    <col min="5146" max="5146" width="16.42578125" style="1364" customWidth="1"/>
    <col min="5147" max="5147" width="15.140625" style="1364" customWidth="1"/>
    <col min="5148" max="5148" width="17" style="1364" customWidth="1"/>
    <col min="5149" max="5149" width="20.140625" style="1364" customWidth="1"/>
    <col min="5150" max="5150" width="20.28515625" style="1364" customWidth="1"/>
    <col min="5151" max="5368" width="28.7109375" style="1364"/>
    <col min="5369" max="5369" width="38.7109375" style="1364" customWidth="1"/>
    <col min="5370" max="5370" width="19.7109375" style="1364" bestFit="1" customWidth="1"/>
    <col min="5371" max="5371" width="11.140625" style="1364" bestFit="1" customWidth="1"/>
    <col min="5372" max="5372" width="18.42578125" style="1364" customWidth="1"/>
    <col min="5373" max="5373" width="16" style="1364" bestFit="1" customWidth="1"/>
    <col min="5374" max="5374" width="21.5703125" style="1364" customWidth="1"/>
    <col min="5375" max="5375" width="14.140625" style="1364" customWidth="1"/>
    <col min="5376" max="5376" width="12" style="1364" customWidth="1"/>
    <col min="5377" max="5377" width="17.7109375" style="1364" customWidth="1"/>
    <col min="5378" max="5378" width="16" style="1364" customWidth="1"/>
    <col min="5379" max="5380" width="16.7109375" style="1364" customWidth="1"/>
    <col min="5381" max="5381" width="28" style="1364" customWidth="1"/>
    <col min="5382" max="5382" width="17.7109375" style="1364" customWidth="1"/>
    <col min="5383" max="5383" width="12.28515625" style="1364" customWidth="1"/>
    <col min="5384" max="5384" width="7.5703125" style="1364" bestFit="1" customWidth="1"/>
    <col min="5385" max="5385" width="8.7109375" style="1364" bestFit="1" customWidth="1"/>
    <col min="5386" max="5386" width="7.5703125" style="1364" bestFit="1" customWidth="1"/>
    <col min="5387" max="5387" width="8.7109375" style="1364" bestFit="1" customWidth="1"/>
    <col min="5388" max="5388" width="7.28515625" style="1364" bestFit="1" customWidth="1"/>
    <col min="5389" max="5389" width="8.7109375" style="1364" bestFit="1" customWidth="1"/>
    <col min="5390" max="5390" width="22.7109375" style="1364" customWidth="1"/>
    <col min="5391" max="5391" width="18.28515625" style="1364" customWidth="1"/>
    <col min="5392" max="5392" width="13.85546875" style="1364" customWidth="1"/>
    <col min="5393" max="5393" width="14" style="1364" customWidth="1"/>
    <col min="5394" max="5394" width="9.28515625" style="1364" customWidth="1"/>
    <col min="5395" max="5395" width="12.7109375" style="1364" customWidth="1"/>
    <col min="5396" max="5396" width="6.42578125" style="1364" customWidth="1"/>
    <col min="5397" max="5397" width="14.42578125" style="1364" customWidth="1"/>
    <col min="5398" max="5398" width="10.28515625" style="1364" customWidth="1"/>
    <col min="5399" max="5399" width="12" style="1364" customWidth="1"/>
    <col min="5400" max="5400" width="8.7109375" style="1364" customWidth="1"/>
    <col min="5401" max="5401" width="10.5703125" style="1364" customWidth="1"/>
    <col min="5402" max="5402" width="16.42578125" style="1364" customWidth="1"/>
    <col min="5403" max="5403" width="15.140625" style="1364" customWidth="1"/>
    <col min="5404" max="5404" width="17" style="1364" customWidth="1"/>
    <col min="5405" max="5405" width="20.140625" style="1364" customWidth="1"/>
    <col min="5406" max="5406" width="20.28515625" style="1364" customWidth="1"/>
    <col min="5407" max="5624" width="28.7109375" style="1364"/>
    <col min="5625" max="5625" width="38.7109375" style="1364" customWidth="1"/>
    <col min="5626" max="5626" width="19.7109375" style="1364" bestFit="1" customWidth="1"/>
    <col min="5627" max="5627" width="11.140625" style="1364" bestFit="1" customWidth="1"/>
    <col min="5628" max="5628" width="18.42578125" style="1364" customWidth="1"/>
    <col min="5629" max="5629" width="16" style="1364" bestFit="1" customWidth="1"/>
    <col min="5630" max="5630" width="21.5703125" style="1364" customWidth="1"/>
    <col min="5631" max="5631" width="14.140625" style="1364" customWidth="1"/>
    <col min="5632" max="5632" width="12" style="1364" customWidth="1"/>
    <col min="5633" max="5633" width="17.7109375" style="1364" customWidth="1"/>
    <col min="5634" max="5634" width="16" style="1364" customWidth="1"/>
    <col min="5635" max="5636" width="16.7109375" style="1364" customWidth="1"/>
    <col min="5637" max="5637" width="28" style="1364" customWidth="1"/>
    <col min="5638" max="5638" width="17.7109375" style="1364" customWidth="1"/>
    <col min="5639" max="5639" width="12.28515625" style="1364" customWidth="1"/>
    <col min="5640" max="5640" width="7.5703125" style="1364" bestFit="1" customWidth="1"/>
    <col min="5641" max="5641" width="8.7109375" style="1364" bestFit="1" customWidth="1"/>
    <col min="5642" max="5642" width="7.5703125" style="1364" bestFit="1" customWidth="1"/>
    <col min="5643" max="5643" width="8.7109375" style="1364" bestFit="1" customWidth="1"/>
    <col min="5644" max="5644" width="7.28515625" style="1364" bestFit="1" customWidth="1"/>
    <col min="5645" max="5645" width="8.7109375" style="1364" bestFit="1" customWidth="1"/>
    <col min="5646" max="5646" width="22.7109375" style="1364" customWidth="1"/>
    <col min="5647" max="5647" width="18.28515625" style="1364" customWidth="1"/>
    <col min="5648" max="5648" width="13.85546875" style="1364" customWidth="1"/>
    <col min="5649" max="5649" width="14" style="1364" customWidth="1"/>
    <col min="5650" max="5650" width="9.28515625" style="1364" customWidth="1"/>
    <col min="5651" max="5651" width="12.7109375" style="1364" customWidth="1"/>
    <col min="5652" max="5652" width="6.42578125" style="1364" customWidth="1"/>
    <col min="5653" max="5653" width="14.42578125" style="1364" customWidth="1"/>
    <col min="5654" max="5654" width="10.28515625" style="1364" customWidth="1"/>
    <col min="5655" max="5655" width="12" style="1364" customWidth="1"/>
    <col min="5656" max="5656" width="8.7109375" style="1364" customWidth="1"/>
    <col min="5657" max="5657" width="10.5703125" style="1364" customWidth="1"/>
    <col min="5658" max="5658" width="16.42578125" style="1364" customWidth="1"/>
    <col min="5659" max="5659" width="15.140625" style="1364" customWidth="1"/>
    <col min="5660" max="5660" width="17" style="1364" customWidth="1"/>
    <col min="5661" max="5661" width="20.140625" style="1364" customWidth="1"/>
    <col min="5662" max="5662" width="20.28515625" style="1364" customWidth="1"/>
    <col min="5663" max="5880" width="28.7109375" style="1364"/>
    <col min="5881" max="5881" width="38.7109375" style="1364" customWidth="1"/>
    <col min="5882" max="5882" width="19.7109375" style="1364" bestFit="1" customWidth="1"/>
    <col min="5883" max="5883" width="11.140625" style="1364" bestFit="1" customWidth="1"/>
    <col min="5884" max="5884" width="18.42578125" style="1364" customWidth="1"/>
    <col min="5885" max="5885" width="16" style="1364" bestFit="1" customWidth="1"/>
    <col min="5886" max="5886" width="21.5703125" style="1364" customWidth="1"/>
    <col min="5887" max="5887" width="14.140625" style="1364" customWidth="1"/>
    <col min="5888" max="5888" width="12" style="1364" customWidth="1"/>
    <col min="5889" max="5889" width="17.7109375" style="1364" customWidth="1"/>
    <col min="5890" max="5890" width="16" style="1364" customWidth="1"/>
    <col min="5891" max="5892" width="16.7109375" style="1364" customWidth="1"/>
    <col min="5893" max="5893" width="28" style="1364" customWidth="1"/>
    <col min="5894" max="5894" width="17.7109375" style="1364" customWidth="1"/>
    <col min="5895" max="5895" width="12.28515625" style="1364" customWidth="1"/>
    <col min="5896" max="5896" width="7.5703125" style="1364" bestFit="1" customWidth="1"/>
    <col min="5897" max="5897" width="8.7109375" style="1364" bestFit="1" customWidth="1"/>
    <col min="5898" max="5898" width="7.5703125" style="1364" bestFit="1" customWidth="1"/>
    <col min="5899" max="5899" width="8.7109375" style="1364" bestFit="1" customWidth="1"/>
    <col min="5900" max="5900" width="7.28515625" style="1364" bestFit="1" customWidth="1"/>
    <col min="5901" max="5901" width="8.7109375" style="1364" bestFit="1" customWidth="1"/>
    <col min="5902" max="5902" width="22.7109375" style="1364" customWidth="1"/>
    <col min="5903" max="5903" width="18.28515625" style="1364" customWidth="1"/>
    <col min="5904" max="5904" width="13.85546875" style="1364" customWidth="1"/>
    <col min="5905" max="5905" width="14" style="1364" customWidth="1"/>
    <col min="5906" max="5906" width="9.28515625" style="1364" customWidth="1"/>
    <col min="5907" max="5907" width="12.7109375" style="1364" customWidth="1"/>
    <col min="5908" max="5908" width="6.42578125" style="1364" customWidth="1"/>
    <col min="5909" max="5909" width="14.42578125" style="1364" customWidth="1"/>
    <col min="5910" max="5910" width="10.28515625" style="1364" customWidth="1"/>
    <col min="5911" max="5911" width="12" style="1364" customWidth="1"/>
    <col min="5912" max="5912" width="8.7109375" style="1364" customWidth="1"/>
    <col min="5913" max="5913" width="10.5703125" style="1364" customWidth="1"/>
    <col min="5914" max="5914" width="16.42578125" style="1364" customWidth="1"/>
    <col min="5915" max="5915" width="15.140625" style="1364" customWidth="1"/>
    <col min="5916" max="5916" width="17" style="1364" customWidth="1"/>
    <col min="5917" max="5917" width="20.140625" style="1364" customWidth="1"/>
    <col min="5918" max="5918" width="20.28515625" style="1364" customWidth="1"/>
    <col min="5919" max="6136" width="28.7109375" style="1364"/>
    <col min="6137" max="6137" width="38.7109375" style="1364" customWidth="1"/>
    <col min="6138" max="6138" width="19.7109375" style="1364" bestFit="1" customWidth="1"/>
    <col min="6139" max="6139" width="11.140625" style="1364" bestFit="1" customWidth="1"/>
    <col min="6140" max="6140" width="18.42578125" style="1364" customWidth="1"/>
    <col min="6141" max="6141" width="16" style="1364" bestFit="1" customWidth="1"/>
    <col min="6142" max="6142" width="21.5703125" style="1364" customWidth="1"/>
    <col min="6143" max="6143" width="14.140625" style="1364" customWidth="1"/>
    <col min="6144" max="6144" width="12" style="1364" customWidth="1"/>
    <col min="6145" max="6145" width="17.7109375" style="1364" customWidth="1"/>
    <col min="6146" max="6146" width="16" style="1364" customWidth="1"/>
    <col min="6147" max="6148" width="16.7109375" style="1364" customWidth="1"/>
    <col min="6149" max="6149" width="28" style="1364" customWidth="1"/>
    <col min="6150" max="6150" width="17.7109375" style="1364" customWidth="1"/>
    <col min="6151" max="6151" width="12.28515625" style="1364" customWidth="1"/>
    <col min="6152" max="6152" width="7.5703125" style="1364" bestFit="1" customWidth="1"/>
    <col min="6153" max="6153" width="8.7109375" style="1364" bestFit="1" customWidth="1"/>
    <col min="6154" max="6154" width="7.5703125" style="1364" bestFit="1" customWidth="1"/>
    <col min="6155" max="6155" width="8.7109375" style="1364" bestFit="1" customWidth="1"/>
    <col min="6156" max="6156" width="7.28515625" style="1364" bestFit="1" customWidth="1"/>
    <col min="6157" max="6157" width="8.7109375" style="1364" bestFit="1" customWidth="1"/>
    <col min="6158" max="6158" width="22.7109375" style="1364" customWidth="1"/>
    <col min="6159" max="6159" width="18.28515625" style="1364" customWidth="1"/>
    <col min="6160" max="6160" width="13.85546875" style="1364" customWidth="1"/>
    <col min="6161" max="6161" width="14" style="1364" customWidth="1"/>
    <col min="6162" max="6162" width="9.28515625" style="1364" customWidth="1"/>
    <col min="6163" max="6163" width="12.7109375" style="1364" customWidth="1"/>
    <col min="6164" max="6164" width="6.42578125" style="1364" customWidth="1"/>
    <col min="6165" max="6165" width="14.42578125" style="1364" customWidth="1"/>
    <col min="6166" max="6166" width="10.28515625" style="1364" customWidth="1"/>
    <col min="6167" max="6167" width="12" style="1364" customWidth="1"/>
    <col min="6168" max="6168" width="8.7109375" style="1364" customWidth="1"/>
    <col min="6169" max="6169" width="10.5703125" style="1364" customWidth="1"/>
    <col min="6170" max="6170" width="16.42578125" style="1364" customWidth="1"/>
    <col min="6171" max="6171" width="15.140625" style="1364" customWidth="1"/>
    <col min="6172" max="6172" width="17" style="1364" customWidth="1"/>
    <col min="6173" max="6173" width="20.140625" style="1364" customWidth="1"/>
    <col min="6174" max="6174" width="20.28515625" style="1364" customWidth="1"/>
    <col min="6175" max="6392" width="28.7109375" style="1364"/>
    <col min="6393" max="6393" width="38.7109375" style="1364" customWidth="1"/>
    <col min="6394" max="6394" width="19.7109375" style="1364" bestFit="1" customWidth="1"/>
    <col min="6395" max="6395" width="11.140625" style="1364" bestFit="1" customWidth="1"/>
    <col min="6396" max="6396" width="18.42578125" style="1364" customWidth="1"/>
    <col min="6397" max="6397" width="16" style="1364" bestFit="1" customWidth="1"/>
    <col min="6398" max="6398" width="21.5703125" style="1364" customWidth="1"/>
    <col min="6399" max="6399" width="14.140625" style="1364" customWidth="1"/>
    <col min="6400" max="6400" width="12" style="1364" customWidth="1"/>
    <col min="6401" max="6401" width="17.7109375" style="1364" customWidth="1"/>
    <col min="6402" max="6402" width="16" style="1364" customWidth="1"/>
    <col min="6403" max="6404" width="16.7109375" style="1364" customWidth="1"/>
    <col min="6405" max="6405" width="28" style="1364" customWidth="1"/>
    <col min="6406" max="6406" width="17.7109375" style="1364" customWidth="1"/>
    <col min="6407" max="6407" width="12.28515625" style="1364" customWidth="1"/>
    <col min="6408" max="6408" width="7.5703125" style="1364" bestFit="1" customWidth="1"/>
    <col min="6409" max="6409" width="8.7109375" style="1364" bestFit="1" customWidth="1"/>
    <col min="6410" max="6410" width="7.5703125" style="1364" bestFit="1" customWidth="1"/>
    <col min="6411" max="6411" width="8.7109375" style="1364" bestFit="1" customWidth="1"/>
    <col min="6412" max="6412" width="7.28515625" style="1364" bestFit="1" customWidth="1"/>
    <col min="6413" max="6413" width="8.7109375" style="1364" bestFit="1" customWidth="1"/>
    <col min="6414" max="6414" width="22.7109375" style="1364" customWidth="1"/>
    <col min="6415" max="6415" width="18.28515625" style="1364" customWidth="1"/>
    <col min="6416" max="6416" width="13.85546875" style="1364" customWidth="1"/>
    <col min="6417" max="6417" width="14" style="1364" customWidth="1"/>
    <col min="6418" max="6418" width="9.28515625" style="1364" customWidth="1"/>
    <col min="6419" max="6419" width="12.7109375" style="1364" customWidth="1"/>
    <col min="6420" max="6420" width="6.42578125" style="1364" customWidth="1"/>
    <col min="6421" max="6421" width="14.42578125" style="1364" customWidth="1"/>
    <col min="6422" max="6422" width="10.28515625" style="1364" customWidth="1"/>
    <col min="6423" max="6423" width="12" style="1364" customWidth="1"/>
    <col min="6424" max="6424" width="8.7109375" style="1364" customWidth="1"/>
    <col min="6425" max="6425" width="10.5703125" style="1364" customWidth="1"/>
    <col min="6426" max="6426" width="16.42578125" style="1364" customWidth="1"/>
    <col min="6427" max="6427" width="15.140625" style="1364" customWidth="1"/>
    <col min="6428" max="6428" width="17" style="1364" customWidth="1"/>
    <col min="6429" max="6429" width="20.140625" style="1364" customWidth="1"/>
    <col min="6430" max="6430" width="20.28515625" style="1364" customWidth="1"/>
    <col min="6431" max="6648" width="28.7109375" style="1364"/>
    <col min="6649" max="6649" width="38.7109375" style="1364" customWidth="1"/>
    <col min="6650" max="6650" width="19.7109375" style="1364" bestFit="1" customWidth="1"/>
    <col min="6651" max="6651" width="11.140625" style="1364" bestFit="1" customWidth="1"/>
    <col min="6652" max="6652" width="18.42578125" style="1364" customWidth="1"/>
    <col min="6653" max="6653" width="16" style="1364" bestFit="1" customWidth="1"/>
    <col min="6654" max="6654" width="21.5703125" style="1364" customWidth="1"/>
    <col min="6655" max="6655" width="14.140625" style="1364" customWidth="1"/>
    <col min="6656" max="6656" width="12" style="1364" customWidth="1"/>
    <col min="6657" max="6657" width="17.7109375" style="1364" customWidth="1"/>
    <col min="6658" max="6658" width="16" style="1364" customWidth="1"/>
    <col min="6659" max="6660" width="16.7109375" style="1364" customWidth="1"/>
    <col min="6661" max="6661" width="28" style="1364" customWidth="1"/>
    <col min="6662" max="6662" width="17.7109375" style="1364" customWidth="1"/>
    <col min="6663" max="6663" width="12.28515625" style="1364" customWidth="1"/>
    <col min="6664" max="6664" width="7.5703125" style="1364" bestFit="1" customWidth="1"/>
    <col min="6665" max="6665" width="8.7109375" style="1364" bestFit="1" customWidth="1"/>
    <col min="6666" max="6666" width="7.5703125" style="1364" bestFit="1" customWidth="1"/>
    <col min="6667" max="6667" width="8.7109375" style="1364" bestFit="1" customWidth="1"/>
    <col min="6668" max="6668" width="7.28515625" style="1364" bestFit="1" customWidth="1"/>
    <col min="6669" max="6669" width="8.7109375" style="1364" bestFit="1" customWidth="1"/>
    <col min="6670" max="6670" width="22.7109375" style="1364" customWidth="1"/>
    <col min="6671" max="6671" width="18.28515625" style="1364" customWidth="1"/>
    <col min="6672" max="6672" width="13.85546875" style="1364" customWidth="1"/>
    <col min="6673" max="6673" width="14" style="1364" customWidth="1"/>
    <col min="6674" max="6674" width="9.28515625" style="1364" customWidth="1"/>
    <col min="6675" max="6675" width="12.7109375" style="1364" customWidth="1"/>
    <col min="6676" max="6676" width="6.42578125" style="1364" customWidth="1"/>
    <col min="6677" max="6677" width="14.42578125" style="1364" customWidth="1"/>
    <col min="6678" max="6678" width="10.28515625" style="1364" customWidth="1"/>
    <col min="6679" max="6679" width="12" style="1364" customWidth="1"/>
    <col min="6680" max="6680" width="8.7109375" style="1364" customWidth="1"/>
    <col min="6681" max="6681" width="10.5703125" style="1364" customWidth="1"/>
    <col min="6682" max="6682" width="16.42578125" style="1364" customWidth="1"/>
    <col min="6683" max="6683" width="15.140625" style="1364" customWidth="1"/>
    <col min="6684" max="6684" width="17" style="1364" customWidth="1"/>
    <col min="6685" max="6685" width="20.140625" style="1364" customWidth="1"/>
    <col min="6686" max="6686" width="20.28515625" style="1364" customWidth="1"/>
    <col min="6687" max="6904" width="28.7109375" style="1364"/>
    <col min="6905" max="6905" width="38.7109375" style="1364" customWidth="1"/>
    <col min="6906" max="6906" width="19.7109375" style="1364" bestFit="1" customWidth="1"/>
    <col min="6907" max="6907" width="11.140625" style="1364" bestFit="1" customWidth="1"/>
    <col min="6908" max="6908" width="18.42578125" style="1364" customWidth="1"/>
    <col min="6909" max="6909" width="16" style="1364" bestFit="1" customWidth="1"/>
    <col min="6910" max="6910" width="21.5703125" style="1364" customWidth="1"/>
    <col min="6911" max="6911" width="14.140625" style="1364" customWidth="1"/>
    <col min="6912" max="6912" width="12" style="1364" customWidth="1"/>
    <col min="6913" max="6913" width="17.7109375" style="1364" customWidth="1"/>
    <col min="6914" max="6914" width="16" style="1364" customWidth="1"/>
    <col min="6915" max="6916" width="16.7109375" style="1364" customWidth="1"/>
    <col min="6917" max="6917" width="28" style="1364" customWidth="1"/>
    <col min="6918" max="6918" width="17.7109375" style="1364" customWidth="1"/>
    <col min="6919" max="6919" width="12.28515625" style="1364" customWidth="1"/>
    <col min="6920" max="6920" width="7.5703125" style="1364" bestFit="1" customWidth="1"/>
    <col min="6921" max="6921" width="8.7109375" style="1364" bestFit="1" customWidth="1"/>
    <col min="6922" max="6922" width="7.5703125" style="1364" bestFit="1" customWidth="1"/>
    <col min="6923" max="6923" width="8.7109375" style="1364" bestFit="1" customWidth="1"/>
    <col min="6924" max="6924" width="7.28515625" style="1364" bestFit="1" customWidth="1"/>
    <col min="6925" max="6925" width="8.7109375" style="1364" bestFit="1" customWidth="1"/>
    <col min="6926" max="6926" width="22.7109375" style="1364" customWidth="1"/>
    <col min="6927" max="6927" width="18.28515625" style="1364" customWidth="1"/>
    <col min="6928" max="6928" width="13.85546875" style="1364" customWidth="1"/>
    <col min="6929" max="6929" width="14" style="1364" customWidth="1"/>
    <col min="6930" max="6930" width="9.28515625" style="1364" customWidth="1"/>
    <col min="6931" max="6931" width="12.7109375" style="1364" customWidth="1"/>
    <col min="6932" max="6932" width="6.42578125" style="1364" customWidth="1"/>
    <col min="6933" max="6933" width="14.42578125" style="1364" customWidth="1"/>
    <col min="6934" max="6934" width="10.28515625" style="1364" customWidth="1"/>
    <col min="6935" max="6935" width="12" style="1364" customWidth="1"/>
    <col min="6936" max="6936" width="8.7109375" style="1364" customWidth="1"/>
    <col min="6937" max="6937" width="10.5703125" style="1364" customWidth="1"/>
    <col min="6938" max="6938" width="16.42578125" style="1364" customWidth="1"/>
    <col min="6939" max="6939" width="15.140625" style="1364" customWidth="1"/>
    <col min="6940" max="6940" width="17" style="1364" customWidth="1"/>
    <col min="6941" max="6941" width="20.140625" style="1364" customWidth="1"/>
    <col min="6942" max="6942" width="20.28515625" style="1364" customWidth="1"/>
    <col min="6943" max="7160" width="28.7109375" style="1364"/>
    <col min="7161" max="7161" width="38.7109375" style="1364" customWidth="1"/>
    <col min="7162" max="7162" width="19.7109375" style="1364" bestFit="1" customWidth="1"/>
    <col min="7163" max="7163" width="11.140625" style="1364" bestFit="1" customWidth="1"/>
    <col min="7164" max="7164" width="18.42578125" style="1364" customWidth="1"/>
    <col min="7165" max="7165" width="16" style="1364" bestFit="1" customWidth="1"/>
    <col min="7166" max="7166" width="21.5703125" style="1364" customWidth="1"/>
    <col min="7167" max="7167" width="14.140625" style="1364" customWidth="1"/>
    <col min="7168" max="7168" width="12" style="1364" customWidth="1"/>
    <col min="7169" max="7169" width="17.7109375" style="1364" customWidth="1"/>
    <col min="7170" max="7170" width="16" style="1364" customWidth="1"/>
    <col min="7171" max="7172" width="16.7109375" style="1364" customWidth="1"/>
    <col min="7173" max="7173" width="28" style="1364" customWidth="1"/>
    <col min="7174" max="7174" width="17.7109375" style="1364" customWidth="1"/>
    <col min="7175" max="7175" width="12.28515625" style="1364" customWidth="1"/>
    <col min="7176" max="7176" width="7.5703125" style="1364" bestFit="1" customWidth="1"/>
    <col min="7177" max="7177" width="8.7109375" style="1364" bestFit="1" customWidth="1"/>
    <col min="7178" max="7178" width="7.5703125" style="1364" bestFit="1" customWidth="1"/>
    <col min="7179" max="7179" width="8.7109375" style="1364" bestFit="1" customWidth="1"/>
    <col min="7180" max="7180" width="7.28515625" style="1364" bestFit="1" customWidth="1"/>
    <col min="7181" max="7181" width="8.7109375" style="1364" bestFit="1" customWidth="1"/>
    <col min="7182" max="7182" width="22.7109375" style="1364" customWidth="1"/>
    <col min="7183" max="7183" width="18.28515625" style="1364" customWidth="1"/>
    <col min="7184" max="7184" width="13.85546875" style="1364" customWidth="1"/>
    <col min="7185" max="7185" width="14" style="1364" customWidth="1"/>
    <col min="7186" max="7186" width="9.28515625" style="1364" customWidth="1"/>
    <col min="7187" max="7187" width="12.7109375" style="1364" customWidth="1"/>
    <col min="7188" max="7188" width="6.42578125" style="1364" customWidth="1"/>
    <col min="7189" max="7189" width="14.42578125" style="1364" customWidth="1"/>
    <col min="7190" max="7190" width="10.28515625" style="1364" customWidth="1"/>
    <col min="7191" max="7191" width="12" style="1364" customWidth="1"/>
    <col min="7192" max="7192" width="8.7109375" style="1364" customWidth="1"/>
    <col min="7193" max="7193" width="10.5703125" style="1364" customWidth="1"/>
    <col min="7194" max="7194" width="16.42578125" style="1364" customWidth="1"/>
    <col min="7195" max="7195" width="15.140625" style="1364" customWidth="1"/>
    <col min="7196" max="7196" width="17" style="1364" customWidth="1"/>
    <col min="7197" max="7197" width="20.140625" style="1364" customWidth="1"/>
    <col min="7198" max="7198" width="20.28515625" style="1364" customWidth="1"/>
    <col min="7199" max="7416" width="28.7109375" style="1364"/>
    <col min="7417" max="7417" width="38.7109375" style="1364" customWidth="1"/>
    <col min="7418" max="7418" width="19.7109375" style="1364" bestFit="1" customWidth="1"/>
    <col min="7419" max="7419" width="11.140625" style="1364" bestFit="1" customWidth="1"/>
    <col min="7420" max="7420" width="18.42578125" style="1364" customWidth="1"/>
    <col min="7421" max="7421" width="16" style="1364" bestFit="1" customWidth="1"/>
    <col min="7422" max="7422" width="21.5703125" style="1364" customWidth="1"/>
    <col min="7423" max="7423" width="14.140625" style="1364" customWidth="1"/>
    <col min="7424" max="7424" width="12" style="1364" customWidth="1"/>
    <col min="7425" max="7425" width="17.7109375" style="1364" customWidth="1"/>
    <col min="7426" max="7426" width="16" style="1364" customWidth="1"/>
    <col min="7427" max="7428" width="16.7109375" style="1364" customWidth="1"/>
    <col min="7429" max="7429" width="28" style="1364" customWidth="1"/>
    <col min="7430" max="7430" width="17.7109375" style="1364" customWidth="1"/>
    <col min="7431" max="7431" width="12.28515625" style="1364" customWidth="1"/>
    <col min="7432" max="7432" width="7.5703125" style="1364" bestFit="1" customWidth="1"/>
    <col min="7433" max="7433" width="8.7109375" style="1364" bestFit="1" customWidth="1"/>
    <col min="7434" max="7434" width="7.5703125" style="1364" bestFit="1" customWidth="1"/>
    <col min="7435" max="7435" width="8.7109375" style="1364" bestFit="1" customWidth="1"/>
    <col min="7436" max="7436" width="7.28515625" style="1364" bestFit="1" customWidth="1"/>
    <col min="7437" max="7437" width="8.7109375" style="1364" bestFit="1" customWidth="1"/>
    <col min="7438" max="7438" width="22.7109375" style="1364" customWidth="1"/>
    <col min="7439" max="7439" width="18.28515625" style="1364" customWidth="1"/>
    <col min="7440" max="7440" width="13.85546875" style="1364" customWidth="1"/>
    <col min="7441" max="7441" width="14" style="1364" customWidth="1"/>
    <col min="7442" max="7442" width="9.28515625" style="1364" customWidth="1"/>
    <col min="7443" max="7443" width="12.7109375" style="1364" customWidth="1"/>
    <col min="7444" max="7444" width="6.42578125" style="1364" customWidth="1"/>
    <col min="7445" max="7445" width="14.42578125" style="1364" customWidth="1"/>
    <col min="7446" max="7446" width="10.28515625" style="1364" customWidth="1"/>
    <col min="7447" max="7447" width="12" style="1364" customWidth="1"/>
    <col min="7448" max="7448" width="8.7109375" style="1364" customWidth="1"/>
    <col min="7449" max="7449" width="10.5703125" style="1364" customWidth="1"/>
    <col min="7450" max="7450" width="16.42578125" style="1364" customWidth="1"/>
    <col min="7451" max="7451" width="15.140625" style="1364" customWidth="1"/>
    <col min="7452" max="7452" width="17" style="1364" customWidth="1"/>
    <col min="7453" max="7453" width="20.140625" style="1364" customWidth="1"/>
    <col min="7454" max="7454" width="20.28515625" style="1364" customWidth="1"/>
    <col min="7455" max="7672" width="28.7109375" style="1364"/>
    <col min="7673" max="7673" width="38.7109375" style="1364" customWidth="1"/>
    <col min="7674" max="7674" width="19.7109375" style="1364" bestFit="1" customWidth="1"/>
    <col min="7675" max="7675" width="11.140625" style="1364" bestFit="1" customWidth="1"/>
    <col min="7676" max="7676" width="18.42578125" style="1364" customWidth="1"/>
    <col min="7677" max="7677" width="16" style="1364" bestFit="1" customWidth="1"/>
    <col min="7678" max="7678" width="21.5703125" style="1364" customWidth="1"/>
    <col min="7679" max="7679" width="14.140625" style="1364" customWidth="1"/>
    <col min="7680" max="7680" width="12" style="1364" customWidth="1"/>
    <col min="7681" max="7681" width="17.7109375" style="1364" customWidth="1"/>
    <col min="7682" max="7682" width="16" style="1364" customWidth="1"/>
    <col min="7683" max="7684" width="16.7109375" style="1364" customWidth="1"/>
    <col min="7685" max="7685" width="28" style="1364" customWidth="1"/>
    <col min="7686" max="7686" width="17.7109375" style="1364" customWidth="1"/>
    <col min="7687" max="7687" width="12.28515625" style="1364" customWidth="1"/>
    <col min="7688" max="7688" width="7.5703125" style="1364" bestFit="1" customWidth="1"/>
    <col min="7689" max="7689" width="8.7109375" style="1364" bestFit="1" customWidth="1"/>
    <col min="7690" max="7690" width="7.5703125" style="1364" bestFit="1" customWidth="1"/>
    <col min="7691" max="7691" width="8.7109375" style="1364" bestFit="1" customWidth="1"/>
    <col min="7692" max="7692" width="7.28515625" style="1364" bestFit="1" customWidth="1"/>
    <col min="7693" max="7693" width="8.7109375" style="1364" bestFit="1" customWidth="1"/>
    <col min="7694" max="7694" width="22.7109375" style="1364" customWidth="1"/>
    <col min="7695" max="7695" width="18.28515625" style="1364" customWidth="1"/>
    <col min="7696" max="7696" width="13.85546875" style="1364" customWidth="1"/>
    <col min="7697" max="7697" width="14" style="1364" customWidth="1"/>
    <col min="7698" max="7698" width="9.28515625" style="1364" customWidth="1"/>
    <col min="7699" max="7699" width="12.7109375" style="1364" customWidth="1"/>
    <col min="7700" max="7700" width="6.42578125" style="1364" customWidth="1"/>
    <col min="7701" max="7701" width="14.42578125" style="1364" customWidth="1"/>
    <col min="7702" max="7702" width="10.28515625" style="1364" customWidth="1"/>
    <col min="7703" max="7703" width="12" style="1364" customWidth="1"/>
    <col min="7704" max="7704" width="8.7109375" style="1364" customWidth="1"/>
    <col min="7705" max="7705" width="10.5703125" style="1364" customWidth="1"/>
    <col min="7706" max="7706" width="16.42578125" style="1364" customWidth="1"/>
    <col min="7707" max="7707" width="15.140625" style="1364" customWidth="1"/>
    <col min="7708" max="7708" width="17" style="1364" customWidth="1"/>
    <col min="7709" max="7709" width="20.140625" style="1364" customWidth="1"/>
    <col min="7710" max="7710" width="20.28515625" style="1364" customWidth="1"/>
    <col min="7711" max="7928" width="28.7109375" style="1364"/>
    <col min="7929" max="7929" width="38.7109375" style="1364" customWidth="1"/>
    <col min="7930" max="7930" width="19.7109375" style="1364" bestFit="1" customWidth="1"/>
    <col min="7931" max="7931" width="11.140625" style="1364" bestFit="1" customWidth="1"/>
    <col min="7932" max="7932" width="18.42578125" style="1364" customWidth="1"/>
    <col min="7933" max="7933" width="16" style="1364" bestFit="1" customWidth="1"/>
    <col min="7934" max="7934" width="21.5703125" style="1364" customWidth="1"/>
    <col min="7935" max="7935" width="14.140625" style="1364" customWidth="1"/>
    <col min="7936" max="7936" width="12" style="1364" customWidth="1"/>
    <col min="7937" max="7937" width="17.7109375" style="1364" customWidth="1"/>
    <col min="7938" max="7938" width="16" style="1364" customWidth="1"/>
    <col min="7939" max="7940" width="16.7109375" style="1364" customWidth="1"/>
    <col min="7941" max="7941" width="28" style="1364" customWidth="1"/>
    <col min="7942" max="7942" width="17.7109375" style="1364" customWidth="1"/>
    <col min="7943" max="7943" width="12.28515625" style="1364" customWidth="1"/>
    <col min="7944" max="7944" width="7.5703125" style="1364" bestFit="1" customWidth="1"/>
    <col min="7945" max="7945" width="8.7109375" style="1364" bestFit="1" customWidth="1"/>
    <col min="7946" max="7946" width="7.5703125" style="1364" bestFit="1" customWidth="1"/>
    <col min="7947" max="7947" width="8.7109375" style="1364" bestFit="1" customWidth="1"/>
    <col min="7948" max="7948" width="7.28515625" style="1364" bestFit="1" customWidth="1"/>
    <col min="7949" max="7949" width="8.7109375" style="1364" bestFit="1" customWidth="1"/>
    <col min="7950" max="7950" width="22.7109375" style="1364" customWidth="1"/>
    <col min="7951" max="7951" width="18.28515625" style="1364" customWidth="1"/>
    <col min="7952" max="7952" width="13.85546875" style="1364" customWidth="1"/>
    <col min="7953" max="7953" width="14" style="1364" customWidth="1"/>
    <col min="7954" max="7954" width="9.28515625" style="1364" customWidth="1"/>
    <col min="7955" max="7955" width="12.7109375" style="1364" customWidth="1"/>
    <col min="7956" max="7956" width="6.42578125" style="1364" customWidth="1"/>
    <col min="7957" max="7957" width="14.42578125" style="1364" customWidth="1"/>
    <col min="7958" max="7958" width="10.28515625" style="1364" customWidth="1"/>
    <col min="7959" max="7959" width="12" style="1364" customWidth="1"/>
    <col min="7960" max="7960" width="8.7109375" style="1364" customWidth="1"/>
    <col min="7961" max="7961" width="10.5703125" style="1364" customWidth="1"/>
    <col min="7962" max="7962" width="16.42578125" style="1364" customWidth="1"/>
    <col min="7963" max="7963" width="15.140625" style="1364" customWidth="1"/>
    <col min="7964" max="7964" width="17" style="1364" customWidth="1"/>
    <col min="7965" max="7965" width="20.140625" style="1364" customWidth="1"/>
    <col min="7966" max="7966" width="20.28515625" style="1364" customWidth="1"/>
    <col min="7967" max="8184" width="28.7109375" style="1364"/>
    <col min="8185" max="8185" width="38.7109375" style="1364" customWidth="1"/>
    <col min="8186" max="8186" width="19.7109375" style="1364" bestFit="1" customWidth="1"/>
    <col min="8187" max="8187" width="11.140625" style="1364" bestFit="1" customWidth="1"/>
    <col min="8188" max="8188" width="18.42578125" style="1364" customWidth="1"/>
    <col min="8189" max="8189" width="16" style="1364" bestFit="1" customWidth="1"/>
    <col min="8190" max="8190" width="21.5703125" style="1364" customWidth="1"/>
    <col min="8191" max="8191" width="14.140625" style="1364" customWidth="1"/>
    <col min="8192" max="8192" width="12" style="1364" customWidth="1"/>
    <col min="8193" max="8193" width="17.7109375" style="1364" customWidth="1"/>
    <col min="8194" max="8194" width="16" style="1364" customWidth="1"/>
    <col min="8195" max="8196" width="16.7109375" style="1364" customWidth="1"/>
    <col min="8197" max="8197" width="28" style="1364" customWidth="1"/>
    <col min="8198" max="8198" width="17.7109375" style="1364" customWidth="1"/>
    <col min="8199" max="8199" width="12.28515625" style="1364" customWidth="1"/>
    <col min="8200" max="8200" width="7.5703125" style="1364" bestFit="1" customWidth="1"/>
    <col min="8201" max="8201" width="8.7109375" style="1364" bestFit="1" customWidth="1"/>
    <col min="8202" max="8202" width="7.5703125" style="1364" bestFit="1" customWidth="1"/>
    <col min="8203" max="8203" width="8.7109375" style="1364" bestFit="1" customWidth="1"/>
    <col min="8204" max="8204" width="7.28515625" style="1364" bestFit="1" customWidth="1"/>
    <col min="8205" max="8205" width="8.7109375" style="1364" bestFit="1" customWidth="1"/>
    <col min="8206" max="8206" width="22.7109375" style="1364" customWidth="1"/>
    <col min="8207" max="8207" width="18.28515625" style="1364" customWidth="1"/>
    <col min="8208" max="8208" width="13.85546875" style="1364" customWidth="1"/>
    <col min="8209" max="8209" width="14" style="1364" customWidth="1"/>
    <col min="8210" max="8210" width="9.28515625" style="1364" customWidth="1"/>
    <col min="8211" max="8211" width="12.7109375" style="1364" customWidth="1"/>
    <col min="8212" max="8212" width="6.42578125" style="1364" customWidth="1"/>
    <col min="8213" max="8213" width="14.42578125" style="1364" customWidth="1"/>
    <col min="8214" max="8214" width="10.28515625" style="1364" customWidth="1"/>
    <col min="8215" max="8215" width="12" style="1364" customWidth="1"/>
    <col min="8216" max="8216" width="8.7109375" style="1364" customWidth="1"/>
    <col min="8217" max="8217" width="10.5703125" style="1364" customWidth="1"/>
    <col min="8218" max="8218" width="16.42578125" style="1364" customWidth="1"/>
    <col min="8219" max="8219" width="15.140625" style="1364" customWidth="1"/>
    <col min="8220" max="8220" width="17" style="1364" customWidth="1"/>
    <col min="8221" max="8221" width="20.140625" style="1364" customWidth="1"/>
    <col min="8222" max="8222" width="20.28515625" style="1364" customWidth="1"/>
    <col min="8223" max="8440" width="28.7109375" style="1364"/>
    <col min="8441" max="8441" width="38.7109375" style="1364" customWidth="1"/>
    <col min="8442" max="8442" width="19.7109375" style="1364" bestFit="1" customWidth="1"/>
    <col min="8443" max="8443" width="11.140625" style="1364" bestFit="1" customWidth="1"/>
    <col min="8444" max="8444" width="18.42578125" style="1364" customWidth="1"/>
    <col min="8445" max="8445" width="16" style="1364" bestFit="1" customWidth="1"/>
    <col min="8446" max="8446" width="21.5703125" style="1364" customWidth="1"/>
    <col min="8447" max="8447" width="14.140625" style="1364" customWidth="1"/>
    <col min="8448" max="8448" width="12" style="1364" customWidth="1"/>
    <col min="8449" max="8449" width="17.7109375" style="1364" customWidth="1"/>
    <col min="8450" max="8450" width="16" style="1364" customWidth="1"/>
    <col min="8451" max="8452" width="16.7109375" style="1364" customWidth="1"/>
    <col min="8453" max="8453" width="28" style="1364" customWidth="1"/>
    <col min="8454" max="8454" width="17.7109375" style="1364" customWidth="1"/>
    <col min="8455" max="8455" width="12.28515625" style="1364" customWidth="1"/>
    <col min="8456" max="8456" width="7.5703125" style="1364" bestFit="1" customWidth="1"/>
    <col min="8457" max="8457" width="8.7109375" style="1364" bestFit="1" customWidth="1"/>
    <col min="8458" max="8458" width="7.5703125" style="1364" bestFit="1" customWidth="1"/>
    <col min="8459" max="8459" width="8.7109375" style="1364" bestFit="1" customWidth="1"/>
    <col min="8460" max="8460" width="7.28515625" style="1364" bestFit="1" customWidth="1"/>
    <col min="8461" max="8461" width="8.7109375" style="1364" bestFit="1" customWidth="1"/>
    <col min="8462" max="8462" width="22.7109375" style="1364" customWidth="1"/>
    <col min="8463" max="8463" width="18.28515625" style="1364" customWidth="1"/>
    <col min="8464" max="8464" width="13.85546875" style="1364" customWidth="1"/>
    <col min="8465" max="8465" width="14" style="1364" customWidth="1"/>
    <col min="8466" max="8466" width="9.28515625" style="1364" customWidth="1"/>
    <col min="8467" max="8467" width="12.7109375" style="1364" customWidth="1"/>
    <col min="8468" max="8468" width="6.42578125" style="1364" customWidth="1"/>
    <col min="8469" max="8469" width="14.42578125" style="1364" customWidth="1"/>
    <col min="8470" max="8470" width="10.28515625" style="1364" customWidth="1"/>
    <col min="8471" max="8471" width="12" style="1364" customWidth="1"/>
    <col min="8472" max="8472" width="8.7109375" style="1364" customWidth="1"/>
    <col min="8473" max="8473" width="10.5703125" style="1364" customWidth="1"/>
    <col min="8474" max="8474" width="16.42578125" style="1364" customWidth="1"/>
    <col min="8475" max="8475" width="15.140625" style="1364" customWidth="1"/>
    <col min="8476" max="8476" width="17" style="1364" customWidth="1"/>
    <col min="8477" max="8477" width="20.140625" style="1364" customWidth="1"/>
    <col min="8478" max="8478" width="20.28515625" style="1364" customWidth="1"/>
    <col min="8479" max="8696" width="28.7109375" style="1364"/>
    <col min="8697" max="8697" width="38.7109375" style="1364" customWidth="1"/>
    <col min="8698" max="8698" width="19.7109375" style="1364" bestFit="1" customWidth="1"/>
    <col min="8699" max="8699" width="11.140625" style="1364" bestFit="1" customWidth="1"/>
    <col min="8700" max="8700" width="18.42578125" style="1364" customWidth="1"/>
    <col min="8701" max="8701" width="16" style="1364" bestFit="1" customWidth="1"/>
    <col min="8702" max="8702" width="21.5703125" style="1364" customWidth="1"/>
    <col min="8703" max="8703" width="14.140625" style="1364" customWidth="1"/>
    <col min="8704" max="8704" width="12" style="1364" customWidth="1"/>
    <col min="8705" max="8705" width="17.7109375" style="1364" customWidth="1"/>
    <col min="8706" max="8706" width="16" style="1364" customWidth="1"/>
    <col min="8707" max="8708" width="16.7109375" style="1364" customWidth="1"/>
    <col min="8709" max="8709" width="28" style="1364" customWidth="1"/>
    <col min="8710" max="8710" width="17.7109375" style="1364" customWidth="1"/>
    <col min="8711" max="8711" width="12.28515625" style="1364" customWidth="1"/>
    <col min="8712" max="8712" width="7.5703125" style="1364" bestFit="1" customWidth="1"/>
    <col min="8713" max="8713" width="8.7109375" style="1364" bestFit="1" customWidth="1"/>
    <col min="8714" max="8714" width="7.5703125" style="1364" bestFit="1" customWidth="1"/>
    <col min="8715" max="8715" width="8.7109375" style="1364" bestFit="1" customWidth="1"/>
    <col min="8716" max="8716" width="7.28515625" style="1364" bestFit="1" customWidth="1"/>
    <col min="8717" max="8717" width="8.7109375" style="1364" bestFit="1" customWidth="1"/>
    <col min="8718" max="8718" width="22.7109375" style="1364" customWidth="1"/>
    <col min="8719" max="8719" width="18.28515625" style="1364" customWidth="1"/>
    <col min="8720" max="8720" width="13.85546875" style="1364" customWidth="1"/>
    <col min="8721" max="8721" width="14" style="1364" customWidth="1"/>
    <col min="8722" max="8722" width="9.28515625" style="1364" customWidth="1"/>
    <col min="8723" max="8723" width="12.7109375" style="1364" customWidth="1"/>
    <col min="8724" max="8724" width="6.42578125" style="1364" customWidth="1"/>
    <col min="8725" max="8725" width="14.42578125" style="1364" customWidth="1"/>
    <col min="8726" max="8726" width="10.28515625" style="1364" customWidth="1"/>
    <col min="8727" max="8727" width="12" style="1364" customWidth="1"/>
    <col min="8728" max="8728" width="8.7109375" style="1364" customWidth="1"/>
    <col min="8729" max="8729" width="10.5703125" style="1364" customWidth="1"/>
    <col min="8730" max="8730" width="16.42578125" style="1364" customWidth="1"/>
    <col min="8731" max="8731" width="15.140625" style="1364" customWidth="1"/>
    <col min="8732" max="8732" width="17" style="1364" customWidth="1"/>
    <col min="8733" max="8733" width="20.140625" style="1364" customWidth="1"/>
    <col min="8734" max="8734" width="20.28515625" style="1364" customWidth="1"/>
    <col min="8735" max="8952" width="28.7109375" style="1364"/>
    <col min="8953" max="8953" width="38.7109375" style="1364" customWidth="1"/>
    <col min="8954" max="8954" width="19.7109375" style="1364" bestFit="1" customWidth="1"/>
    <col min="8955" max="8955" width="11.140625" style="1364" bestFit="1" customWidth="1"/>
    <col min="8956" max="8956" width="18.42578125" style="1364" customWidth="1"/>
    <col min="8957" max="8957" width="16" style="1364" bestFit="1" customWidth="1"/>
    <col min="8958" max="8958" width="21.5703125" style="1364" customWidth="1"/>
    <col min="8959" max="8959" width="14.140625" style="1364" customWidth="1"/>
    <col min="8960" max="8960" width="12" style="1364" customWidth="1"/>
    <col min="8961" max="8961" width="17.7109375" style="1364" customWidth="1"/>
    <col min="8962" max="8962" width="16" style="1364" customWidth="1"/>
    <col min="8963" max="8964" width="16.7109375" style="1364" customWidth="1"/>
    <col min="8965" max="8965" width="28" style="1364" customWidth="1"/>
    <col min="8966" max="8966" width="17.7109375" style="1364" customWidth="1"/>
    <col min="8967" max="8967" width="12.28515625" style="1364" customWidth="1"/>
    <col min="8968" max="8968" width="7.5703125" style="1364" bestFit="1" customWidth="1"/>
    <col min="8969" max="8969" width="8.7109375" style="1364" bestFit="1" customWidth="1"/>
    <col min="8970" max="8970" width="7.5703125" style="1364" bestFit="1" customWidth="1"/>
    <col min="8971" max="8971" width="8.7109375" style="1364" bestFit="1" customWidth="1"/>
    <col min="8972" max="8972" width="7.28515625" style="1364" bestFit="1" customWidth="1"/>
    <col min="8973" max="8973" width="8.7109375" style="1364" bestFit="1" customWidth="1"/>
    <col min="8974" max="8974" width="22.7109375" style="1364" customWidth="1"/>
    <col min="8975" max="8975" width="18.28515625" style="1364" customWidth="1"/>
    <col min="8976" max="8976" width="13.85546875" style="1364" customWidth="1"/>
    <col min="8977" max="8977" width="14" style="1364" customWidth="1"/>
    <col min="8978" max="8978" width="9.28515625" style="1364" customWidth="1"/>
    <col min="8979" max="8979" width="12.7109375" style="1364" customWidth="1"/>
    <col min="8980" max="8980" width="6.42578125" style="1364" customWidth="1"/>
    <col min="8981" max="8981" width="14.42578125" style="1364" customWidth="1"/>
    <col min="8982" max="8982" width="10.28515625" style="1364" customWidth="1"/>
    <col min="8983" max="8983" width="12" style="1364" customWidth="1"/>
    <col min="8984" max="8984" width="8.7109375" style="1364" customWidth="1"/>
    <col min="8985" max="8985" width="10.5703125" style="1364" customWidth="1"/>
    <col min="8986" max="8986" width="16.42578125" style="1364" customWidth="1"/>
    <col min="8987" max="8987" width="15.140625" style="1364" customWidth="1"/>
    <col min="8988" max="8988" width="17" style="1364" customWidth="1"/>
    <col min="8989" max="8989" width="20.140625" style="1364" customWidth="1"/>
    <col min="8990" max="8990" width="20.28515625" style="1364" customWidth="1"/>
    <col min="8991" max="9208" width="28.7109375" style="1364"/>
    <col min="9209" max="9209" width="38.7109375" style="1364" customWidth="1"/>
    <col min="9210" max="9210" width="19.7109375" style="1364" bestFit="1" customWidth="1"/>
    <col min="9211" max="9211" width="11.140625" style="1364" bestFit="1" customWidth="1"/>
    <col min="9212" max="9212" width="18.42578125" style="1364" customWidth="1"/>
    <col min="9213" max="9213" width="16" style="1364" bestFit="1" customWidth="1"/>
    <col min="9214" max="9214" width="21.5703125" style="1364" customWidth="1"/>
    <col min="9215" max="9215" width="14.140625" style="1364" customWidth="1"/>
    <col min="9216" max="9216" width="12" style="1364" customWidth="1"/>
    <col min="9217" max="9217" width="17.7109375" style="1364" customWidth="1"/>
    <col min="9218" max="9218" width="16" style="1364" customWidth="1"/>
    <col min="9219" max="9220" width="16.7109375" style="1364" customWidth="1"/>
    <col min="9221" max="9221" width="28" style="1364" customWidth="1"/>
    <col min="9222" max="9222" width="17.7109375" style="1364" customWidth="1"/>
    <col min="9223" max="9223" width="12.28515625" style="1364" customWidth="1"/>
    <col min="9224" max="9224" width="7.5703125" style="1364" bestFit="1" customWidth="1"/>
    <col min="9225" max="9225" width="8.7109375" style="1364" bestFit="1" customWidth="1"/>
    <col min="9226" max="9226" width="7.5703125" style="1364" bestFit="1" customWidth="1"/>
    <col min="9227" max="9227" width="8.7109375" style="1364" bestFit="1" customWidth="1"/>
    <col min="9228" max="9228" width="7.28515625" style="1364" bestFit="1" customWidth="1"/>
    <col min="9229" max="9229" width="8.7109375" style="1364" bestFit="1" customWidth="1"/>
    <col min="9230" max="9230" width="22.7109375" style="1364" customWidth="1"/>
    <col min="9231" max="9231" width="18.28515625" style="1364" customWidth="1"/>
    <col min="9232" max="9232" width="13.85546875" style="1364" customWidth="1"/>
    <col min="9233" max="9233" width="14" style="1364" customWidth="1"/>
    <col min="9234" max="9234" width="9.28515625" style="1364" customWidth="1"/>
    <col min="9235" max="9235" width="12.7109375" style="1364" customWidth="1"/>
    <col min="9236" max="9236" width="6.42578125" style="1364" customWidth="1"/>
    <col min="9237" max="9237" width="14.42578125" style="1364" customWidth="1"/>
    <col min="9238" max="9238" width="10.28515625" style="1364" customWidth="1"/>
    <col min="9239" max="9239" width="12" style="1364" customWidth="1"/>
    <col min="9240" max="9240" width="8.7109375" style="1364" customWidth="1"/>
    <col min="9241" max="9241" width="10.5703125" style="1364" customWidth="1"/>
    <col min="9242" max="9242" width="16.42578125" style="1364" customWidth="1"/>
    <col min="9243" max="9243" width="15.140625" style="1364" customWidth="1"/>
    <col min="9244" max="9244" width="17" style="1364" customWidth="1"/>
    <col min="9245" max="9245" width="20.140625" style="1364" customWidth="1"/>
    <col min="9246" max="9246" width="20.28515625" style="1364" customWidth="1"/>
    <col min="9247" max="9464" width="28.7109375" style="1364"/>
    <col min="9465" max="9465" width="38.7109375" style="1364" customWidth="1"/>
    <col min="9466" max="9466" width="19.7109375" style="1364" bestFit="1" customWidth="1"/>
    <col min="9467" max="9467" width="11.140625" style="1364" bestFit="1" customWidth="1"/>
    <col min="9468" max="9468" width="18.42578125" style="1364" customWidth="1"/>
    <col min="9469" max="9469" width="16" style="1364" bestFit="1" customWidth="1"/>
    <col min="9470" max="9470" width="21.5703125" style="1364" customWidth="1"/>
    <col min="9471" max="9471" width="14.140625" style="1364" customWidth="1"/>
    <col min="9472" max="9472" width="12" style="1364" customWidth="1"/>
    <col min="9473" max="9473" width="17.7109375" style="1364" customWidth="1"/>
    <col min="9474" max="9474" width="16" style="1364" customWidth="1"/>
    <col min="9475" max="9476" width="16.7109375" style="1364" customWidth="1"/>
    <col min="9477" max="9477" width="28" style="1364" customWidth="1"/>
    <col min="9478" max="9478" width="17.7109375" style="1364" customWidth="1"/>
    <col min="9479" max="9479" width="12.28515625" style="1364" customWidth="1"/>
    <col min="9480" max="9480" width="7.5703125" style="1364" bestFit="1" customWidth="1"/>
    <col min="9481" max="9481" width="8.7109375" style="1364" bestFit="1" customWidth="1"/>
    <col min="9482" max="9482" width="7.5703125" style="1364" bestFit="1" customWidth="1"/>
    <col min="9483" max="9483" width="8.7109375" style="1364" bestFit="1" customWidth="1"/>
    <col min="9484" max="9484" width="7.28515625" style="1364" bestFit="1" customWidth="1"/>
    <col min="9485" max="9485" width="8.7109375" style="1364" bestFit="1" customWidth="1"/>
    <col min="9486" max="9486" width="22.7109375" style="1364" customWidth="1"/>
    <col min="9487" max="9487" width="18.28515625" style="1364" customWidth="1"/>
    <col min="9488" max="9488" width="13.85546875" style="1364" customWidth="1"/>
    <col min="9489" max="9489" width="14" style="1364" customWidth="1"/>
    <col min="9490" max="9490" width="9.28515625" style="1364" customWidth="1"/>
    <col min="9491" max="9491" width="12.7109375" style="1364" customWidth="1"/>
    <col min="9492" max="9492" width="6.42578125" style="1364" customWidth="1"/>
    <col min="9493" max="9493" width="14.42578125" style="1364" customWidth="1"/>
    <col min="9494" max="9494" width="10.28515625" style="1364" customWidth="1"/>
    <col min="9495" max="9495" width="12" style="1364" customWidth="1"/>
    <col min="9496" max="9496" width="8.7109375" style="1364" customWidth="1"/>
    <col min="9497" max="9497" width="10.5703125" style="1364" customWidth="1"/>
    <col min="9498" max="9498" width="16.42578125" style="1364" customWidth="1"/>
    <col min="9499" max="9499" width="15.140625" style="1364" customWidth="1"/>
    <col min="9500" max="9500" width="17" style="1364" customWidth="1"/>
    <col min="9501" max="9501" width="20.140625" style="1364" customWidth="1"/>
    <col min="9502" max="9502" width="20.28515625" style="1364" customWidth="1"/>
    <col min="9503" max="9720" width="28.7109375" style="1364"/>
    <col min="9721" max="9721" width="38.7109375" style="1364" customWidth="1"/>
    <col min="9722" max="9722" width="19.7109375" style="1364" bestFit="1" customWidth="1"/>
    <col min="9723" max="9723" width="11.140625" style="1364" bestFit="1" customWidth="1"/>
    <col min="9724" max="9724" width="18.42578125" style="1364" customWidth="1"/>
    <col min="9725" max="9725" width="16" style="1364" bestFit="1" customWidth="1"/>
    <col min="9726" max="9726" width="21.5703125" style="1364" customWidth="1"/>
    <col min="9727" max="9727" width="14.140625" style="1364" customWidth="1"/>
    <col min="9728" max="9728" width="12" style="1364" customWidth="1"/>
    <col min="9729" max="9729" width="17.7109375" style="1364" customWidth="1"/>
    <col min="9730" max="9730" width="16" style="1364" customWidth="1"/>
    <col min="9731" max="9732" width="16.7109375" style="1364" customWidth="1"/>
    <col min="9733" max="9733" width="28" style="1364" customWidth="1"/>
    <col min="9734" max="9734" width="17.7109375" style="1364" customWidth="1"/>
    <col min="9735" max="9735" width="12.28515625" style="1364" customWidth="1"/>
    <col min="9736" max="9736" width="7.5703125" style="1364" bestFit="1" customWidth="1"/>
    <col min="9737" max="9737" width="8.7109375" style="1364" bestFit="1" customWidth="1"/>
    <col min="9738" max="9738" width="7.5703125" style="1364" bestFit="1" customWidth="1"/>
    <col min="9739" max="9739" width="8.7109375" style="1364" bestFit="1" customWidth="1"/>
    <col min="9740" max="9740" width="7.28515625" style="1364" bestFit="1" customWidth="1"/>
    <col min="9741" max="9741" width="8.7109375" style="1364" bestFit="1" customWidth="1"/>
    <col min="9742" max="9742" width="22.7109375" style="1364" customWidth="1"/>
    <col min="9743" max="9743" width="18.28515625" style="1364" customWidth="1"/>
    <col min="9744" max="9744" width="13.85546875" style="1364" customWidth="1"/>
    <col min="9745" max="9745" width="14" style="1364" customWidth="1"/>
    <col min="9746" max="9746" width="9.28515625" style="1364" customWidth="1"/>
    <col min="9747" max="9747" width="12.7109375" style="1364" customWidth="1"/>
    <col min="9748" max="9748" width="6.42578125" style="1364" customWidth="1"/>
    <col min="9749" max="9749" width="14.42578125" style="1364" customWidth="1"/>
    <col min="9750" max="9750" width="10.28515625" style="1364" customWidth="1"/>
    <col min="9751" max="9751" width="12" style="1364" customWidth="1"/>
    <col min="9752" max="9752" width="8.7109375" style="1364" customWidth="1"/>
    <col min="9753" max="9753" width="10.5703125" style="1364" customWidth="1"/>
    <col min="9754" max="9754" width="16.42578125" style="1364" customWidth="1"/>
    <col min="9755" max="9755" width="15.140625" style="1364" customWidth="1"/>
    <col min="9756" max="9756" width="17" style="1364" customWidth="1"/>
    <col min="9757" max="9757" width="20.140625" style="1364" customWidth="1"/>
    <col min="9758" max="9758" width="20.28515625" style="1364" customWidth="1"/>
    <col min="9759" max="9976" width="28.7109375" style="1364"/>
    <col min="9977" max="9977" width="38.7109375" style="1364" customWidth="1"/>
    <col min="9978" max="9978" width="19.7109375" style="1364" bestFit="1" customWidth="1"/>
    <col min="9979" max="9979" width="11.140625" style="1364" bestFit="1" customWidth="1"/>
    <col min="9980" max="9980" width="18.42578125" style="1364" customWidth="1"/>
    <col min="9981" max="9981" width="16" style="1364" bestFit="1" customWidth="1"/>
    <col min="9982" max="9982" width="21.5703125" style="1364" customWidth="1"/>
    <col min="9983" max="9983" width="14.140625" style="1364" customWidth="1"/>
    <col min="9984" max="9984" width="12" style="1364" customWidth="1"/>
    <col min="9985" max="9985" width="17.7109375" style="1364" customWidth="1"/>
    <col min="9986" max="9986" width="16" style="1364" customWidth="1"/>
    <col min="9987" max="9988" width="16.7109375" style="1364" customWidth="1"/>
    <col min="9989" max="9989" width="28" style="1364" customWidth="1"/>
    <col min="9990" max="9990" width="17.7109375" style="1364" customWidth="1"/>
    <col min="9991" max="9991" width="12.28515625" style="1364" customWidth="1"/>
    <col min="9992" max="9992" width="7.5703125" style="1364" bestFit="1" customWidth="1"/>
    <col min="9993" max="9993" width="8.7109375" style="1364" bestFit="1" customWidth="1"/>
    <col min="9994" max="9994" width="7.5703125" style="1364" bestFit="1" customWidth="1"/>
    <col min="9995" max="9995" width="8.7109375" style="1364" bestFit="1" customWidth="1"/>
    <col min="9996" max="9996" width="7.28515625" style="1364" bestFit="1" customWidth="1"/>
    <col min="9997" max="9997" width="8.7109375" style="1364" bestFit="1" customWidth="1"/>
    <col min="9998" max="9998" width="22.7109375" style="1364" customWidth="1"/>
    <col min="9999" max="9999" width="18.28515625" style="1364" customWidth="1"/>
    <col min="10000" max="10000" width="13.85546875" style="1364" customWidth="1"/>
    <col min="10001" max="10001" width="14" style="1364" customWidth="1"/>
    <col min="10002" max="10002" width="9.28515625" style="1364" customWidth="1"/>
    <col min="10003" max="10003" width="12.7109375" style="1364" customWidth="1"/>
    <col min="10004" max="10004" width="6.42578125" style="1364" customWidth="1"/>
    <col min="10005" max="10005" width="14.42578125" style="1364" customWidth="1"/>
    <col min="10006" max="10006" width="10.28515625" style="1364" customWidth="1"/>
    <col min="10007" max="10007" width="12" style="1364" customWidth="1"/>
    <col min="10008" max="10008" width="8.7109375" style="1364" customWidth="1"/>
    <col min="10009" max="10009" width="10.5703125" style="1364" customWidth="1"/>
    <col min="10010" max="10010" width="16.42578125" style="1364" customWidth="1"/>
    <col min="10011" max="10011" width="15.140625" style="1364" customWidth="1"/>
    <col min="10012" max="10012" width="17" style="1364" customWidth="1"/>
    <col min="10013" max="10013" width="20.140625" style="1364" customWidth="1"/>
    <col min="10014" max="10014" width="20.28515625" style="1364" customWidth="1"/>
    <col min="10015" max="10232" width="28.7109375" style="1364"/>
    <col min="10233" max="10233" width="38.7109375" style="1364" customWidth="1"/>
    <col min="10234" max="10234" width="19.7109375" style="1364" bestFit="1" customWidth="1"/>
    <col min="10235" max="10235" width="11.140625" style="1364" bestFit="1" customWidth="1"/>
    <col min="10236" max="10236" width="18.42578125" style="1364" customWidth="1"/>
    <col min="10237" max="10237" width="16" style="1364" bestFit="1" customWidth="1"/>
    <col min="10238" max="10238" width="21.5703125" style="1364" customWidth="1"/>
    <col min="10239" max="10239" width="14.140625" style="1364" customWidth="1"/>
    <col min="10240" max="10240" width="12" style="1364" customWidth="1"/>
    <col min="10241" max="10241" width="17.7109375" style="1364" customWidth="1"/>
    <col min="10242" max="10242" width="16" style="1364" customWidth="1"/>
    <col min="10243" max="10244" width="16.7109375" style="1364" customWidth="1"/>
    <col min="10245" max="10245" width="28" style="1364" customWidth="1"/>
    <col min="10246" max="10246" width="17.7109375" style="1364" customWidth="1"/>
    <col min="10247" max="10247" width="12.28515625" style="1364" customWidth="1"/>
    <col min="10248" max="10248" width="7.5703125" style="1364" bestFit="1" customWidth="1"/>
    <col min="10249" max="10249" width="8.7109375" style="1364" bestFit="1" customWidth="1"/>
    <col min="10250" max="10250" width="7.5703125" style="1364" bestFit="1" customWidth="1"/>
    <col min="10251" max="10251" width="8.7109375" style="1364" bestFit="1" customWidth="1"/>
    <col min="10252" max="10252" width="7.28515625" style="1364" bestFit="1" customWidth="1"/>
    <col min="10253" max="10253" width="8.7109375" style="1364" bestFit="1" customWidth="1"/>
    <col min="10254" max="10254" width="22.7109375" style="1364" customWidth="1"/>
    <col min="10255" max="10255" width="18.28515625" style="1364" customWidth="1"/>
    <col min="10256" max="10256" width="13.85546875" style="1364" customWidth="1"/>
    <col min="10257" max="10257" width="14" style="1364" customWidth="1"/>
    <col min="10258" max="10258" width="9.28515625" style="1364" customWidth="1"/>
    <col min="10259" max="10259" width="12.7109375" style="1364" customWidth="1"/>
    <col min="10260" max="10260" width="6.42578125" style="1364" customWidth="1"/>
    <col min="10261" max="10261" width="14.42578125" style="1364" customWidth="1"/>
    <col min="10262" max="10262" width="10.28515625" style="1364" customWidth="1"/>
    <col min="10263" max="10263" width="12" style="1364" customWidth="1"/>
    <col min="10264" max="10264" width="8.7109375" style="1364" customWidth="1"/>
    <col min="10265" max="10265" width="10.5703125" style="1364" customWidth="1"/>
    <col min="10266" max="10266" width="16.42578125" style="1364" customWidth="1"/>
    <col min="10267" max="10267" width="15.140625" style="1364" customWidth="1"/>
    <col min="10268" max="10268" width="17" style="1364" customWidth="1"/>
    <col min="10269" max="10269" width="20.140625" style="1364" customWidth="1"/>
    <col min="10270" max="10270" width="20.28515625" style="1364" customWidth="1"/>
    <col min="10271" max="10488" width="28.7109375" style="1364"/>
    <col min="10489" max="10489" width="38.7109375" style="1364" customWidth="1"/>
    <col min="10490" max="10490" width="19.7109375" style="1364" bestFit="1" customWidth="1"/>
    <col min="10491" max="10491" width="11.140625" style="1364" bestFit="1" customWidth="1"/>
    <col min="10492" max="10492" width="18.42578125" style="1364" customWidth="1"/>
    <col min="10493" max="10493" width="16" style="1364" bestFit="1" customWidth="1"/>
    <col min="10494" max="10494" width="21.5703125" style="1364" customWidth="1"/>
    <col min="10495" max="10495" width="14.140625" style="1364" customWidth="1"/>
    <col min="10496" max="10496" width="12" style="1364" customWidth="1"/>
    <col min="10497" max="10497" width="17.7109375" style="1364" customWidth="1"/>
    <col min="10498" max="10498" width="16" style="1364" customWidth="1"/>
    <col min="10499" max="10500" width="16.7109375" style="1364" customWidth="1"/>
    <col min="10501" max="10501" width="28" style="1364" customWidth="1"/>
    <col min="10502" max="10502" width="17.7109375" style="1364" customWidth="1"/>
    <col min="10503" max="10503" width="12.28515625" style="1364" customWidth="1"/>
    <col min="10504" max="10504" width="7.5703125" style="1364" bestFit="1" customWidth="1"/>
    <col min="10505" max="10505" width="8.7109375" style="1364" bestFit="1" customWidth="1"/>
    <col min="10506" max="10506" width="7.5703125" style="1364" bestFit="1" customWidth="1"/>
    <col min="10507" max="10507" width="8.7109375" style="1364" bestFit="1" customWidth="1"/>
    <col min="10508" max="10508" width="7.28515625" style="1364" bestFit="1" customWidth="1"/>
    <col min="10509" max="10509" width="8.7109375" style="1364" bestFit="1" customWidth="1"/>
    <col min="10510" max="10510" width="22.7109375" style="1364" customWidth="1"/>
    <col min="10511" max="10511" width="18.28515625" style="1364" customWidth="1"/>
    <col min="10512" max="10512" width="13.85546875" style="1364" customWidth="1"/>
    <col min="10513" max="10513" width="14" style="1364" customWidth="1"/>
    <col min="10514" max="10514" width="9.28515625" style="1364" customWidth="1"/>
    <col min="10515" max="10515" width="12.7109375" style="1364" customWidth="1"/>
    <col min="10516" max="10516" width="6.42578125" style="1364" customWidth="1"/>
    <col min="10517" max="10517" width="14.42578125" style="1364" customWidth="1"/>
    <col min="10518" max="10518" width="10.28515625" style="1364" customWidth="1"/>
    <col min="10519" max="10519" width="12" style="1364" customWidth="1"/>
    <col min="10520" max="10520" width="8.7109375" style="1364" customWidth="1"/>
    <col min="10521" max="10521" width="10.5703125" style="1364" customWidth="1"/>
    <col min="10522" max="10522" width="16.42578125" style="1364" customWidth="1"/>
    <col min="10523" max="10523" width="15.140625" style="1364" customWidth="1"/>
    <col min="10524" max="10524" width="17" style="1364" customWidth="1"/>
    <col min="10525" max="10525" width="20.140625" style="1364" customWidth="1"/>
    <col min="10526" max="10526" width="20.28515625" style="1364" customWidth="1"/>
    <col min="10527" max="10744" width="28.7109375" style="1364"/>
    <col min="10745" max="10745" width="38.7109375" style="1364" customWidth="1"/>
    <col min="10746" max="10746" width="19.7109375" style="1364" bestFit="1" customWidth="1"/>
    <col min="10747" max="10747" width="11.140625" style="1364" bestFit="1" customWidth="1"/>
    <col min="10748" max="10748" width="18.42578125" style="1364" customWidth="1"/>
    <col min="10749" max="10749" width="16" style="1364" bestFit="1" customWidth="1"/>
    <col min="10750" max="10750" width="21.5703125" style="1364" customWidth="1"/>
    <col min="10751" max="10751" width="14.140625" style="1364" customWidth="1"/>
    <col min="10752" max="10752" width="12" style="1364" customWidth="1"/>
    <col min="10753" max="10753" width="17.7109375" style="1364" customWidth="1"/>
    <col min="10754" max="10754" width="16" style="1364" customWidth="1"/>
    <col min="10755" max="10756" width="16.7109375" style="1364" customWidth="1"/>
    <col min="10757" max="10757" width="28" style="1364" customWidth="1"/>
    <col min="10758" max="10758" width="17.7109375" style="1364" customWidth="1"/>
    <col min="10759" max="10759" width="12.28515625" style="1364" customWidth="1"/>
    <col min="10760" max="10760" width="7.5703125" style="1364" bestFit="1" customWidth="1"/>
    <col min="10761" max="10761" width="8.7109375" style="1364" bestFit="1" customWidth="1"/>
    <col min="10762" max="10762" width="7.5703125" style="1364" bestFit="1" customWidth="1"/>
    <col min="10763" max="10763" width="8.7109375" style="1364" bestFit="1" customWidth="1"/>
    <col min="10764" max="10764" width="7.28515625" style="1364" bestFit="1" customWidth="1"/>
    <col min="10765" max="10765" width="8.7109375" style="1364" bestFit="1" customWidth="1"/>
    <col min="10766" max="10766" width="22.7109375" style="1364" customWidth="1"/>
    <col min="10767" max="10767" width="18.28515625" style="1364" customWidth="1"/>
    <col min="10768" max="10768" width="13.85546875" style="1364" customWidth="1"/>
    <col min="10769" max="10769" width="14" style="1364" customWidth="1"/>
    <col min="10770" max="10770" width="9.28515625" style="1364" customWidth="1"/>
    <col min="10771" max="10771" width="12.7109375" style="1364" customWidth="1"/>
    <col min="10772" max="10772" width="6.42578125" style="1364" customWidth="1"/>
    <col min="10773" max="10773" width="14.42578125" style="1364" customWidth="1"/>
    <col min="10774" max="10774" width="10.28515625" style="1364" customWidth="1"/>
    <col min="10775" max="10775" width="12" style="1364" customWidth="1"/>
    <col min="10776" max="10776" width="8.7109375" style="1364" customWidth="1"/>
    <col min="10777" max="10777" width="10.5703125" style="1364" customWidth="1"/>
    <col min="10778" max="10778" width="16.42578125" style="1364" customWidth="1"/>
    <col min="10779" max="10779" width="15.140625" style="1364" customWidth="1"/>
    <col min="10780" max="10780" width="17" style="1364" customWidth="1"/>
    <col min="10781" max="10781" width="20.140625" style="1364" customWidth="1"/>
    <col min="10782" max="10782" width="20.28515625" style="1364" customWidth="1"/>
    <col min="10783" max="11000" width="28.7109375" style="1364"/>
    <col min="11001" max="11001" width="38.7109375" style="1364" customWidth="1"/>
    <col min="11002" max="11002" width="19.7109375" style="1364" bestFit="1" customWidth="1"/>
    <col min="11003" max="11003" width="11.140625" style="1364" bestFit="1" customWidth="1"/>
    <col min="11004" max="11004" width="18.42578125" style="1364" customWidth="1"/>
    <col min="11005" max="11005" width="16" style="1364" bestFit="1" customWidth="1"/>
    <col min="11006" max="11006" width="21.5703125" style="1364" customWidth="1"/>
    <col min="11007" max="11007" width="14.140625" style="1364" customWidth="1"/>
    <col min="11008" max="11008" width="12" style="1364" customWidth="1"/>
    <col min="11009" max="11009" width="17.7109375" style="1364" customWidth="1"/>
    <col min="11010" max="11010" width="16" style="1364" customWidth="1"/>
    <col min="11011" max="11012" width="16.7109375" style="1364" customWidth="1"/>
    <col min="11013" max="11013" width="28" style="1364" customWidth="1"/>
    <col min="11014" max="11014" width="17.7109375" style="1364" customWidth="1"/>
    <col min="11015" max="11015" width="12.28515625" style="1364" customWidth="1"/>
    <col min="11016" max="11016" width="7.5703125" style="1364" bestFit="1" customWidth="1"/>
    <col min="11017" max="11017" width="8.7109375" style="1364" bestFit="1" customWidth="1"/>
    <col min="11018" max="11018" width="7.5703125" style="1364" bestFit="1" customWidth="1"/>
    <col min="11019" max="11019" width="8.7109375" style="1364" bestFit="1" customWidth="1"/>
    <col min="11020" max="11020" width="7.28515625" style="1364" bestFit="1" customWidth="1"/>
    <col min="11021" max="11021" width="8.7109375" style="1364" bestFit="1" customWidth="1"/>
    <col min="11022" max="11022" width="22.7109375" style="1364" customWidth="1"/>
    <col min="11023" max="11023" width="18.28515625" style="1364" customWidth="1"/>
    <col min="11024" max="11024" width="13.85546875" style="1364" customWidth="1"/>
    <col min="11025" max="11025" width="14" style="1364" customWidth="1"/>
    <col min="11026" max="11026" width="9.28515625" style="1364" customWidth="1"/>
    <col min="11027" max="11027" width="12.7109375" style="1364" customWidth="1"/>
    <col min="11028" max="11028" width="6.42578125" style="1364" customWidth="1"/>
    <col min="11029" max="11029" width="14.42578125" style="1364" customWidth="1"/>
    <col min="11030" max="11030" width="10.28515625" style="1364" customWidth="1"/>
    <col min="11031" max="11031" width="12" style="1364" customWidth="1"/>
    <col min="11032" max="11032" width="8.7109375" style="1364" customWidth="1"/>
    <col min="11033" max="11033" width="10.5703125" style="1364" customWidth="1"/>
    <col min="11034" max="11034" width="16.42578125" style="1364" customWidth="1"/>
    <col min="11035" max="11035" width="15.140625" style="1364" customWidth="1"/>
    <col min="11036" max="11036" width="17" style="1364" customWidth="1"/>
    <col min="11037" max="11037" width="20.140625" style="1364" customWidth="1"/>
    <col min="11038" max="11038" width="20.28515625" style="1364" customWidth="1"/>
    <col min="11039" max="11256" width="28.7109375" style="1364"/>
    <col min="11257" max="11257" width="38.7109375" style="1364" customWidth="1"/>
    <col min="11258" max="11258" width="19.7109375" style="1364" bestFit="1" customWidth="1"/>
    <col min="11259" max="11259" width="11.140625" style="1364" bestFit="1" customWidth="1"/>
    <col min="11260" max="11260" width="18.42578125" style="1364" customWidth="1"/>
    <col min="11261" max="11261" width="16" style="1364" bestFit="1" customWidth="1"/>
    <col min="11262" max="11262" width="21.5703125" style="1364" customWidth="1"/>
    <col min="11263" max="11263" width="14.140625" style="1364" customWidth="1"/>
    <col min="11264" max="11264" width="12" style="1364" customWidth="1"/>
    <col min="11265" max="11265" width="17.7109375" style="1364" customWidth="1"/>
    <col min="11266" max="11266" width="16" style="1364" customWidth="1"/>
    <col min="11267" max="11268" width="16.7109375" style="1364" customWidth="1"/>
    <col min="11269" max="11269" width="28" style="1364" customWidth="1"/>
    <col min="11270" max="11270" width="17.7109375" style="1364" customWidth="1"/>
    <col min="11271" max="11271" width="12.28515625" style="1364" customWidth="1"/>
    <col min="11272" max="11272" width="7.5703125" style="1364" bestFit="1" customWidth="1"/>
    <col min="11273" max="11273" width="8.7109375" style="1364" bestFit="1" customWidth="1"/>
    <col min="11274" max="11274" width="7.5703125" style="1364" bestFit="1" customWidth="1"/>
    <col min="11275" max="11275" width="8.7109375" style="1364" bestFit="1" customWidth="1"/>
    <col min="11276" max="11276" width="7.28515625" style="1364" bestFit="1" customWidth="1"/>
    <col min="11277" max="11277" width="8.7109375" style="1364" bestFit="1" customWidth="1"/>
    <col min="11278" max="11278" width="22.7109375" style="1364" customWidth="1"/>
    <col min="11279" max="11279" width="18.28515625" style="1364" customWidth="1"/>
    <col min="11280" max="11280" width="13.85546875" style="1364" customWidth="1"/>
    <col min="11281" max="11281" width="14" style="1364" customWidth="1"/>
    <col min="11282" max="11282" width="9.28515625" style="1364" customWidth="1"/>
    <col min="11283" max="11283" width="12.7109375" style="1364" customWidth="1"/>
    <col min="11284" max="11284" width="6.42578125" style="1364" customWidth="1"/>
    <col min="11285" max="11285" width="14.42578125" style="1364" customWidth="1"/>
    <col min="11286" max="11286" width="10.28515625" style="1364" customWidth="1"/>
    <col min="11287" max="11287" width="12" style="1364" customWidth="1"/>
    <col min="11288" max="11288" width="8.7109375" style="1364" customWidth="1"/>
    <col min="11289" max="11289" width="10.5703125" style="1364" customWidth="1"/>
    <col min="11290" max="11290" width="16.42578125" style="1364" customWidth="1"/>
    <col min="11291" max="11291" width="15.140625" style="1364" customWidth="1"/>
    <col min="11292" max="11292" width="17" style="1364" customWidth="1"/>
    <col min="11293" max="11293" width="20.140625" style="1364" customWidth="1"/>
    <col min="11294" max="11294" width="20.28515625" style="1364" customWidth="1"/>
    <col min="11295" max="11512" width="28.7109375" style="1364"/>
    <col min="11513" max="11513" width="38.7109375" style="1364" customWidth="1"/>
    <col min="11514" max="11514" width="19.7109375" style="1364" bestFit="1" customWidth="1"/>
    <col min="11515" max="11515" width="11.140625" style="1364" bestFit="1" customWidth="1"/>
    <col min="11516" max="11516" width="18.42578125" style="1364" customWidth="1"/>
    <col min="11517" max="11517" width="16" style="1364" bestFit="1" customWidth="1"/>
    <col min="11518" max="11518" width="21.5703125" style="1364" customWidth="1"/>
    <col min="11519" max="11519" width="14.140625" style="1364" customWidth="1"/>
    <col min="11520" max="11520" width="12" style="1364" customWidth="1"/>
    <col min="11521" max="11521" width="17.7109375" style="1364" customWidth="1"/>
    <col min="11522" max="11522" width="16" style="1364" customWidth="1"/>
    <col min="11523" max="11524" width="16.7109375" style="1364" customWidth="1"/>
    <col min="11525" max="11525" width="28" style="1364" customWidth="1"/>
    <col min="11526" max="11526" width="17.7109375" style="1364" customWidth="1"/>
    <col min="11527" max="11527" width="12.28515625" style="1364" customWidth="1"/>
    <col min="11528" max="11528" width="7.5703125" style="1364" bestFit="1" customWidth="1"/>
    <col min="11529" max="11529" width="8.7109375" style="1364" bestFit="1" customWidth="1"/>
    <col min="11530" max="11530" width="7.5703125" style="1364" bestFit="1" customWidth="1"/>
    <col min="11531" max="11531" width="8.7109375" style="1364" bestFit="1" customWidth="1"/>
    <col min="11532" max="11532" width="7.28515625" style="1364" bestFit="1" customWidth="1"/>
    <col min="11533" max="11533" width="8.7109375" style="1364" bestFit="1" customWidth="1"/>
    <col min="11534" max="11534" width="22.7109375" style="1364" customWidth="1"/>
    <col min="11535" max="11535" width="18.28515625" style="1364" customWidth="1"/>
    <col min="11536" max="11536" width="13.85546875" style="1364" customWidth="1"/>
    <col min="11537" max="11537" width="14" style="1364" customWidth="1"/>
    <col min="11538" max="11538" width="9.28515625" style="1364" customWidth="1"/>
    <col min="11539" max="11539" width="12.7109375" style="1364" customWidth="1"/>
    <col min="11540" max="11540" width="6.42578125" style="1364" customWidth="1"/>
    <col min="11541" max="11541" width="14.42578125" style="1364" customWidth="1"/>
    <col min="11542" max="11542" width="10.28515625" style="1364" customWidth="1"/>
    <col min="11543" max="11543" width="12" style="1364" customWidth="1"/>
    <col min="11544" max="11544" width="8.7109375" style="1364" customWidth="1"/>
    <col min="11545" max="11545" width="10.5703125" style="1364" customWidth="1"/>
    <col min="11546" max="11546" width="16.42578125" style="1364" customWidth="1"/>
    <col min="11547" max="11547" width="15.140625" style="1364" customWidth="1"/>
    <col min="11548" max="11548" width="17" style="1364" customWidth="1"/>
    <col min="11549" max="11549" width="20.140625" style="1364" customWidth="1"/>
    <col min="11550" max="11550" width="20.28515625" style="1364" customWidth="1"/>
    <col min="11551" max="11768" width="28.7109375" style="1364"/>
    <col min="11769" max="11769" width="38.7109375" style="1364" customWidth="1"/>
    <col min="11770" max="11770" width="19.7109375" style="1364" bestFit="1" customWidth="1"/>
    <col min="11771" max="11771" width="11.140625" style="1364" bestFit="1" customWidth="1"/>
    <col min="11772" max="11772" width="18.42578125" style="1364" customWidth="1"/>
    <col min="11773" max="11773" width="16" style="1364" bestFit="1" customWidth="1"/>
    <col min="11774" max="11774" width="21.5703125" style="1364" customWidth="1"/>
    <col min="11775" max="11775" width="14.140625" style="1364" customWidth="1"/>
    <col min="11776" max="11776" width="12" style="1364" customWidth="1"/>
    <col min="11777" max="11777" width="17.7109375" style="1364" customWidth="1"/>
    <col min="11778" max="11778" width="16" style="1364" customWidth="1"/>
    <col min="11779" max="11780" width="16.7109375" style="1364" customWidth="1"/>
    <col min="11781" max="11781" width="28" style="1364" customWidth="1"/>
    <col min="11782" max="11782" width="17.7109375" style="1364" customWidth="1"/>
    <col min="11783" max="11783" width="12.28515625" style="1364" customWidth="1"/>
    <col min="11784" max="11784" width="7.5703125" style="1364" bestFit="1" customWidth="1"/>
    <col min="11785" max="11785" width="8.7109375" style="1364" bestFit="1" customWidth="1"/>
    <col min="11786" max="11786" width="7.5703125" style="1364" bestFit="1" customWidth="1"/>
    <col min="11787" max="11787" width="8.7109375" style="1364" bestFit="1" customWidth="1"/>
    <col min="11788" max="11788" width="7.28515625" style="1364" bestFit="1" customWidth="1"/>
    <col min="11789" max="11789" width="8.7109375" style="1364" bestFit="1" customWidth="1"/>
    <col min="11790" max="11790" width="22.7109375" style="1364" customWidth="1"/>
    <col min="11791" max="11791" width="18.28515625" style="1364" customWidth="1"/>
    <col min="11792" max="11792" width="13.85546875" style="1364" customWidth="1"/>
    <col min="11793" max="11793" width="14" style="1364" customWidth="1"/>
    <col min="11794" max="11794" width="9.28515625" style="1364" customWidth="1"/>
    <col min="11795" max="11795" width="12.7109375" style="1364" customWidth="1"/>
    <col min="11796" max="11796" width="6.42578125" style="1364" customWidth="1"/>
    <col min="11797" max="11797" width="14.42578125" style="1364" customWidth="1"/>
    <col min="11798" max="11798" width="10.28515625" style="1364" customWidth="1"/>
    <col min="11799" max="11799" width="12" style="1364" customWidth="1"/>
    <col min="11800" max="11800" width="8.7109375" style="1364" customWidth="1"/>
    <col min="11801" max="11801" width="10.5703125" style="1364" customWidth="1"/>
    <col min="11802" max="11802" width="16.42578125" style="1364" customWidth="1"/>
    <col min="11803" max="11803" width="15.140625" style="1364" customWidth="1"/>
    <col min="11804" max="11804" width="17" style="1364" customWidth="1"/>
    <col min="11805" max="11805" width="20.140625" style="1364" customWidth="1"/>
    <col min="11806" max="11806" width="20.28515625" style="1364" customWidth="1"/>
    <col min="11807" max="12024" width="28.7109375" style="1364"/>
    <col min="12025" max="12025" width="38.7109375" style="1364" customWidth="1"/>
    <col min="12026" max="12026" width="19.7109375" style="1364" bestFit="1" customWidth="1"/>
    <col min="12027" max="12027" width="11.140625" style="1364" bestFit="1" customWidth="1"/>
    <col min="12028" max="12028" width="18.42578125" style="1364" customWidth="1"/>
    <col min="12029" max="12029" width="16" style="1364" bestFit="1" customWidth="1"/>
    <col min="12030" max="12030" width="21.5703125" style="1364" customWidth="1"/>
    <col min="12031" max="12031" width="14.140625" style="1364" customWidth="1"/>
    <col min="12032" max="12032" width="12" style="1364" customWidth="1"/>
    <col min="12033" max="12033" width="17.7109375" style="1364" customWidth="1"/>
    <col min="12034" max="12034" width="16" style="1364" customWidth="1"/>
    <col min="12035" max="12036" width="16.7109375" style="1364" customWidth="1"/>
    <col min="12037" max="12037" width="28" style="1364" customWidth="1"/>
    <col min="12038" max="12038" width="17.7109375" style="1364" customWidth="1"/>
    <col min="12039" max="12039" width="12.28515625" style="1364" customWidth="1"/>
    <col min="12040" max="12040" width="7.5703125" style="1364" bestFit="1" customWidth="1"/>
    <col min="12041" max="12041" width="8.7109375" style="1364" bestFit="1" customWidth="1"/>
    <col min="12042" max="12042" width="7.5703125" style="1364" bestFit="1" customWidth="1"/>
    <col min="12043" max="12043" width="8.7109375" style="1364" bestFit="1" customWidth="1"/>
    <col min="12044" max="12044" width="7.28515625" style="1364" bestFit="1" customWidth="1"/>
    <col min="12045" max="12045" width="8.7109375" style="1364" bestFit="1" customWidth="1"/>
    <col min="12046" max="12046" width="22.7109375" style="1364" customWidth="1"/>
    <col min="12047" max="12047" width="18.28515625" style="1364" customWidth="1"/>
    <col min="12048" max="12048" width="13.85546875" style="1364" customWidth="1"/>
    <col min="12049" max="12049" width="14" style="1364" customWidth="1"/>
    <col min="12050" max="12050" width="9.28515625" style="1364" customWidth="1"/>
    <col min="12051" max="12051" width="12.7109375" style="1364" customWidth="1"/>
    <col min="12052" max="12052" width="6.42578125" style="1364" customWidth="1"/>
    <col min="12053" max="12053" width="14.42578125" style="1364" customWidth="1"/>
    <col min="12054" max="12054" width="10.28515625" style="1364" customWidth="1"/>
    <col min="12055" max="12055" width="12" style="1364" customWidth="1"/>
    <col min="12056" max="12056" width="8.7109375" style="1364" customWidth="1"/>
    <col min="12057" max="12057" width="10.5703125" style="1364" customWidth="1"/>
    <col min="12058" max="12058" width="16.42578125" style="1364" customWidth="1"/>
    <col min="12059" max="12059" width="15.140625" style="1364" customWidth="1"/>
    <col min="12060" max="12060" width="17" style="1364" customWidth="1"/>
    <col min="12061" max="12061" width="20.140625" style="1364" customWidth="1"/>
    <col min="12062" max="12062" width="20.28515625" style="1364" customWidth="1"/>
    <col min="12063" max="12280" width="28.7109375" style="1364"/>
    <col min="12281" max="12281" width="38.7109375" style="1364" customWidth="1"/>
    <col min="12282" max="12282" width="19.7109375" style="1364" bestFit="1" customWidth="1"/>
    <col min="12283" max="12283" width="11.140625" style="1364" bestFit="1" customWidth="1"/>
    <col min="12284" max="12284" width="18.42578125" style="1364" customWidth="1"/>
    <col min="12285" max="12285" width="16" style="1364" bestFit="1" customWidth="1"/>
    <col min="12286" max="12286" width="21.5703125" style="1364" customWidth="1"/>
    <col min="12287" max="12287" width="14.140625" style="1364" customWidth="1"/>
    <col min="12288" max="12288" width="12" style="1364" customWidth="1"/>
    <col min="12289" max="12289" width="17.7109375" style="1364" customWidth="1"/>
    <col min="12290" max="12290" width="16" style="1364" customWidth="1"/>
    <col min="12291" max="12292" width="16.7109375" style="1364" customWidth="1"/>
    <col min="12293" max="12293" width="28" style="1364" customWidth="1"/>
    <col min="12294" max="12294" width="17.7109375" style="1364" customWidth="1"/>
    <col min="12295" max="12295" width="12.28515625" style="1364" customWidth="1"/>
    <col min="12296" max="12296" width="7.5703125" style="1364" bestFit="1" customWidth="1"/>
    <col min="12297" max="12297" width="8.7109375" style="1364" bestFit="1" customWidth="1"/>
    <col min="12298" max="12298" width="7.5703125" style="1364" bestFit="1" customWidth="1"/>
    <col min="12299" max="12299" width="8.7109375" style="1364" bestFit="1" customWidth="1"/>
    <col min="12300" max="12300" width="7.28515625" style="1364" bestFit="1" customWidth="1"/>
    <col min="12301" max="12301" width="8.7109375" style="1364" bestFit="1" customWidth="1"/>
    <col min="12302" max="12302" width="22.7109375" style="1364" customWidth="1"/>
    <col min="12303" max="12303" width="18.28515625" style="1364" customWidth="1"/>
    <col min="12304" max="12304" width="13.85546875" style="1364" customWidth="1"/>
    <col min="12305" max="12305" width="14" style="1364" customWidth="1"/>
    <col min="12306" max="12306" width="9.28515625" style="1364" customWidth="1"/>
    <col min="12307" max="12307" width="12.7109375" style="1364" customWidth="1"/>
    <col min="12308" max="12308" width="6.42578125" style="1364" customWidth="1"/>
    <col min="12309" max="12309" width="14.42578125" style="1364" customWidth="1"/>
    <col min="12310" max="12310" width="10.28515625" style="1364" customWidth="1"/>
    <col min="12311" max="12311" width="12" style="1364" customWidth="1"/>
    <col min="12312" max="12312" width="8.7109375" style="1364" customWidth="1"/>
    <col min="12313" max="12313" width="10.5703125" style="1364" customWidth="1"/>
    <col min="12314" max="12314" width="16.42578125" style="1364" customWidth="1"/>
    <col min="12315" max="12315" width="15.140625" style="1364" customWidth="1"/>
    <col min="12316" max="12316" width="17" style="1364" customWidth="1"/>
    <col min="12317" max="12317" width="20.140625" style="1364" customWidth="1"/>
    <col min="12318" max="12318" width="20.28515625" style="1364" customWidth="1"/>
    <col min="12319" max="12536" width="28.7109375" style="1364"/>
    <col min="12537" max="12537" width="38.7109375" style="1364" customWidth="1"/>
    <col min="12538" max="12538" width="19.7109375" style="1364" bestFit="1" customWidth="1"/>
    <col min="12539" max="12539" width="11.140625" style="1364" bestFit="1" customWidth="1"/>
    <col min="12540" max="12540" width="18.42578125" style="1364" customWidth="1"/>
    <col min="12541" max="12541" width="16" style="1364" bestFit="1" customWidth="1"/>
    <col min="12542" max="12542" width="21.5703125" style="1364" customWidth="1"/>
    <col min="12543" max="12543" width="14.140625" style="1364" customWidth="1"/>
    <col min="12544" max="12544" width="12" style="1364" customWidth="1"/>
    <col min="12545" max="12545" width="17.7109375" style="1364" customWidth="1"/>
    <col min="12546" max="12546" width="16" style="1364" customWidth="1"/>
    <col min="12547" max="12548" width="16.7109375" style="1364" customWidth="1"/>
    <col min="12549" max="12549" width="28" style="1364" customWidth="1"/>
    <col min="12550" max="12550" width="17.7109375" style="1364" customWidth="1"/>
    <col min="12551" max="12551" width="12.28515625" style="1364" customWidth="1"/>
    <col min="12552" max="12552" width="7.5703125" style="1364" bestFit="1" customWidth="1"/>
    <col min="12553" max="12553" width="8.7109375" style="1364" bestFit="1" customWidth="1"/>
    <col min="12554" max="12554" width="7.5703125" style="1364" bestFit="1" customWidth="1"/>
    <col min="12555" max="12555" width="8.7109375" style="1364" bestFit="1" customWidth="1"/>
    <col min="12556" max="12556" width="7.28515625" style="1364" bestFit="1" customWidth="1"/>
    <col min="12557" max="12557" width="8.7109375" style="1364" bestFit="1" customWidth="1"/>
    <col min="12558" max="12558" width="22.7109375" style="1364" customWidth="1"/>
    <col min="12559" max="12559" width="18.28515625" style="1364" customWidth="1"/>
    <col min="12560" max="12560" width="13.85546875" style="1364" customWidth="1"/>
    <col min="12561" max="12561" width="14" style="1364" customWidth="1"/>
    <col min="12562" max="12562" width="9.28515625" style="1364" customWidth="1"/>
    <col min="12563" max="12563" width="12.7109375" style="1364" customWidth="1"/>
    <col min="12564" max="12564" width="6.42578125" style="1364" customWidth="1"/>
    <col min="12565" max="12565" width="14.42578125" style="1364" customWidth="1"/>
    <col min="12566" max="12566" width="10.28515625" style="1364" customWidth="1"/>
    <col min="12567" max="12567" width="12" style="1364" customWidth="1"/>
    <col min="12568" max="12568" width="8.7109375" style="1364" customWidth="1"/>
    <col min="12569" max="12569" width="10.5703125" style="1364" customWidth="1"/>
    <col min="12570" max="12570" width="16.42578125" style="1364" customWidth="1"/>
    <col min="12571" max="12571" width="15.140625" style="1364" customWidth="1"/>
    <col min="12572" max="12572" width="17" style="1364" customWidth="1"/>
    <col min="12573" max="12573" width="20.140625" style="1364" customWidth="1"/>
    <col min="12574" max="12574" width="20.28515625" style="1364" customWidth="1"/>
    <col min="12575" max="12792" width="28.7109375" style="1364"/>
    <col min="12793" max="12793" width="38.7109375" style="1364" customWidth="1"/>
    <col min="12794" max="12794" width="19.7109375" style="1364" bestFit="1" customWidth="1"/>
    <col min="12795" max="12795" width="11.140625" style="1364" bestFit="1" customWidth="1"/>
    <col min="12796" max="12796" width="18.42578125" style="1364" customWidth="1"/>
    <col min="12797" max="12797" width="16" style="1364" bestFit="1" customWidth="1"/>
    <col min="12798" max="12798" width="21.5703125" style="1364" customWidth="1"/>
    <col min="12799" max="12799" width="14.140625" style="1364" customWidth="1"/>
    <col min="12800" max="12800" width="12" style="1364" customWidth="1"/>
    <col min="12801" max="12801" width="17.7109375" style="1364" customWidth="1"/>
    <col min="12802" max="12802" width="16" style="1364" customWidth="1"/>
    <col min="12803" max="12804" width="16.7109375" style="1364" customWidth="1"/>
    <col min="12805" max="12805" width="28" style="1364" customWidth="1"/>
    <col min="12806" max="12806" width="17.7109375" style="1364" customWidth="1"/>
    <col min="12807" max="12807" width="12.28515625" style="1364" customWidth="1"/>
    <col min="12808" max="12808" width="7.5703125" style="1364" bestFit="1" customWidth="1"/>
    <col min="12809" max="12809" width="8.7109375" style="1364" bestFit="1" customWidth="1"/>
    <col min="12810" max="12810" width="7.5703125" style="1364" bestFit="1" customWidth="1"/>
    <col min="12811" max="12811" width="8.7109375" style="1364" bestFit="1" customWidth="1"/>
    <col min="12812" max="12812" width="7.28515625" style="1364" bestFit="1" customWidth="1"/>
    <col min="12813" max="12813" width="8.7109375" style="1364" bestFit="1" customWidth="1"/>
    <col min="12814" max="12814" width="22.7109375" style="1364" customWidth="1"/>
    <col min="12815" max="12815" width="18.28515625" style="1364" customWidth="1"/>
    <col min="12816" max="12816" width="13.85546875" style="1364" customWidth="1"/>
    <col min="12817" max="12817" width="14" style="1364" customWidth="1"/>
    <col min="12818" max="12818" width="9.28515625" style="1364" customWidth="1"/>
    <col min="12819" max="12819" width="12.7109375" style="1364" customWidth="1"/>
    <col min="12820" max="12820" width="6.42578125" style="1364" customWidth="1"/>
    <col min="12821" max="12821" width="14.42578125" style="1364" customWidth="1"/>
    <col min="12822" max="12822" width="10.28515625" style="1364" customWidth="1"/>
    <col min="12823" max="12823" width="12" style="1364" customWidth="1"/>
    <col min="12824" max="12824" width="8.7109375" style="1364" customWidth="1"/>
    <col min="12825" max="12825" width="10.5703125" style="1364" customWidth="1"/>
    <col min="12826" max="12826" width="16.42578125" style="1364" customWidth="1"/>
    <col min="12827" max="12827" width="15.140625" style="1364" customWidth="1"/>
    <col min="12828" max="12828" width="17" style="1364" customWidth="1"/>
    <col min="12829" max="12829" width="20.140625" style="1364" customWidth="1"/>
    <col min="12830" max="12830" width="20.28515625" style="1364" customWidth="1"/>
    <col min="12831" max="13048" width="28.7109375" style="1364"/>
    <col min="13049" max="13049" width="38.7109375" style="1364" customWidth="1"/>
    <col min="13050" max="13050" width="19.7109375" style="1364" bestFit="1" customWidth="1"/>
    <col min="13051" max="13051" width="11.140625" style="1364" bestFit="1" customWidth="1"/>
    <col min="13052" max="13052" width="18.42578125" style="1364" customWidth="1"/>
    <col min="13053" max="13053" width="16" style="1364" bestFit="1" customWidth="1"/>
    <col min="13054" max="13054" width="21.5703125" style="1364" customWidth="1"/>
    <col min="13055" max="13055" width="14.140625" style="1364" customWidth="1"/>
    <col min="13056" max="13056" width="12" style="1364" customWidth="1"/>
    <col min="13057" max="13057" width="17.7109375" style="1364" customWidth="1"/>
    <col min="13058" max="13058" width="16" style="1364" customWidth="1"/>
    <col min="13059" max="13060" width="16.7109375" style="1364" customWidth="1"/>
    <col min="13061" max="13061" width="28" style="1364" customWidth="1"/>
    <col min="13062" max="13062" width="17.7109375" style="1364" customWidth="1"/>
    <col min="13063" max="13063" width="12.28515625" style="1364" customWidth="1"/>
    <col min="13064" max="13064" width="7.5703125" style="1364" bestFit="1" customWidth="1"/>
    <col min="13065" max="13065" width="8.7109375" style="1364" bestFit="1" customWidth="1"/>
    <col min="13066" max="13066" width="7.5703125" style="1364" bestFit="1" customWidth="1"/>
    <col min="13067" max="13067" width="8.7109375" style="1364" bestFit="1" customWidth="1"/>
    <col min="13068" max="13068" width="7.28515625" style="1364" bestFit="1" customWidth="1"/>
    <col min="13069" max="13069" width="8.7109375" style="1364" bestFit="1" customWidth="1"/>
    <col min="13070" max="13070" width="22.7109375" style="1364" customWidth="1"/>
    <col min="13071" max="13071" width="18.28515625" style="1364" customWidth="1"/>
    <col min="13072" max="13072" width="13.85546875" style="1364" customWidth="1"/>
    <col min="13073" max="13073" width="14" style="1364" customWidth="1"/>
    <col min="13074" max="13074" width="9.28515625" style="1364" customWidth="1"/>
    <col min="13075" max="13075" width="12.7109375" style="1364" customWidth="1"/>
    <col min="13076" max="13076" width="6.42578125" style="1364" customWidth="1"/>
    <col min="13077" max="13077" width="14.42578125" style="1364" customWidth="1"/>
    <col min="13078" max="13078" width="10.28515625" style="1364" customWidth="1"/>
    <col min="13079" max="13079" width="12" style="1364" customWidth="1"/>
    <col min="13080" max="13080" width="8.7109375" style="1364" customWidth="1"/>
    <col min="13081" max="13081" width="10.5703125" style="1364" customWidth="1"/>
    <col min="13082" max="13082" width="16.42578125" style="1364" customWidth="1"/>
    <col min="13083" max="13083" width="15.140625" style="1364" customWidth="1"/>
    <col min="13084" max="13084" width="17" style="1364" customWidth="1"/>
    <col min="13085" max="13085" width="20.140625" style="1364" customWidth="1"/>
    <col min="13086" max="13086" width="20.28515625" style="1364" customWidth="1"/>
    <col min="13087" max="13304" width="28.7109375" style="1364"/>
    <col min="13305" max="13305" width="38.7109375" style="1364" customWidth="1"/>
    <col min="13306" max="13306" width="19.7109375" style="1364" bestFit="1" customWidth="1"/>
    <col min="13307" max="13307" width="11.140625" style="1364" bestFit="1" customWidth="1"/>
    <col min="13308" max="13308" width="18.42578125" style="1364" customWidth="1"/>
    <col min="13309" max="13309" width="16" style="1364" bestFit="1" customWidth="1"/>
    <col min="13310" max="13310" width="21.5703125" style="1364" customWidth="1"/>
    <col min="13311" max="13311" width="14.140625" style="1364" customWidth="1"/>
    <col min="13312" max="13312" width="12" style="1364" customWidth="1"/>
    <col min="13313" max="13313" width="17.7109375" style="1364" customWidth="1"/>
    <col min="13314" max="13314" width="16" style="1364" customWidth="1"/>
    <col min="13315" max="13316" width="16.7109375" style="1364" customWidth="1"/>
    <col min="13317" max="13317" width="28" style="1364" customWidth="1"/>
    <col min="13318" max="13318" width="17.7109375" style="1364" customWidth="1"/>
    <col min="13319" max="13319" width="12.28515625" style="1364" customWidth="1"/>
    <col min="13320" max="13320" width="7.5703125" style="1364" bestFit="1" customWidth="1"/>
    <col min="13321" max="13321" width="8.7109375" style="1364" bestFit="1" customWidth="1"/>
    <col min="13322" max="13322" width="7.5703125" style="1364" bestFit="1" customWidth="1"/>
    <col min="13323" max="13323" width="8.7109375" style="1364" bestFit="1" customWidth="1"/>
    <col min="13324" max="13324" width="7.28515625" style="1364" bestFit="1" customWidth="1"/>
    <col min="13325" max="13325" width="8.7109375" style="1364" bestFit="1" customWidth="1"/>
    <col min="13326" max="13326" width="22.7109375" style="1364" customWidth="1"/>
    <col min="13327" max="13327" width="18.28515625" style="1364" customWidth="1"/>
    <col min="13328" max="13328" width="13.85546875" style="1364" customWidth="1"/>
    <col min="13329" max="13329" width="14" style="1364" customWidth="1"/>
    <col min="13330" max="13330" width="9.28515625" style="1364" customWidth="1"/>
    <col min="13331" max="13331" width="12.7109375" style="1364" customWidth="1"/>
    <col min="13332" max="13332" width="6.42578125" style="1364" customWidth="1"/>
    <col min="13333" max="13333" width="14.42578125" style="1364" customWidth="1"/>
    <col min="13334" max="13334" width="10.28515625" style="1364" customWidth="1"/>
    <col min="13335" max="13335" width="12" style="1364" customWidth="1"/>
    <col min="13336" max="13336" width="8.7109375" style="1364" customWidth="1"/>
    <col min="13337" max="13337" width="10.5703125" style="1364" customWidth="1"/>
    <col min="13338" max="13338" width="16.42578125" style="1364" customWidth="1"/>
    <col min="13339" max="13339" width="15.140625" style="1364" customWidth="1"/>
    <col min="13340" max="13340" width="17" style="1364" customWidth="1"/>
    <col min="13341" max="13341" width="20.140625" style="1364" customWidth="1"/>
    <col min="13342" max="13342" width="20.28515625" style="1364" customWidth="1"/>
    <col min="13343" max="13560" width="28.7109375" style="1364"/>
    <col min="13561" max="13561" width="38.7109375" style="1364" customWidth="1"/>
    <col min="13562" max="13562" width="19.7109375" style="1364" bestFit="1" customWidth="1"/>
    <col min="13563" max="13563" width="11.140625" style="1364" bestFit="1" customWidth="1"/>
    <col min="13564" max="13564" width="18.42578125" style="1364" customWidth="1"/>
    <col min="13565" max="13565" width="16" style="1364" bestFit="1" customWidth="1"/>
    <col min="13566" max="13566" width="21.5703125" style="1364" customWidth="1"/>
    <col min="13567" max="13567" width="14.140625" style="1364" customWidth="1"/>
    <col min="13568" max="13568" width="12" style="1364" customWidth="1"/>
    <col min="13569" max="13569" width="17.7109375" style="1364" customWidth="1"/>
    <col min="13570" max="13570" width="16" style="1364" customWidth="1"/>
    <col min="13571" max="13572" width="16.7109375" style="1364" customWidth="1"/>
    <col min="13573" max="13573" width="28" style="1364" customWidth="1"/>
    <col min="13574" max="13574" width="17.7109375" style="1364" customWidth="1"/>
    <col min="13575" max="13575" width="12.28515625" style="1364" customWidth="1"/>
    <col min="13576" max="13576" width="7.5703125" style="1364" bestFit="1" customWidth="1"/>
    <col min="13577" max="13577" width="8.7109375" style="1364" bestFit="1" customWidth="1"/>
    <col min="13578" max="13578" width="7.5703125" style="1364" bestFit="1" customWidth="1"/>
    <col min="13579" max="13579" width="8.7109375" style="1364" bestFit="1" customWidth="1"/>
    <col min="13580" max="13580" width="7.28515625" style="1364" bestFit="1" customWidth="1"/>
    <col min="13581" max="13581" width="8.7109375" style="1364" bestFit="1" customWidth="1"/>
    <col min="13582" max="13582" width="22.7109375" style="1364" customWidth="1"/>
    <col min="13583" max="13583" width="18.28515625" style="1364" customWidth="1"/>
    <col min="13584" max="13584" width="13.85546875" style="1364" customWidth="1"/>
    <col min="13585" max="13585" width="14" style="1364" customWidth="1"/>
    <col min="13586" max="13586" width="9.28515625" style="1364" customWidth="1"/>
    <col min="13587" max="13587" width="12.7109375" style="1364" customWidth="1"/>
    <col min="13588" max="13588" width="6.42578125" style="1364" customWidth="1"/>
    <col min="13589" max="13589" width="14.42578125" style="1364" customWidth="1"/>
    <col min="13590" max="13590" width="10.28515625" style="1364" customWidth="1"/>
    <col min="13591" max="13591" width="12" style="1364" customWidth="1"/>
    <col min="13592" max="13592" width="8.7109375" style="1364" customWidth="1"/>
    <col min="13593" max="13593" width="10.5703125" style="1364" customWidth="1"/>
    <col min="13594" max="13594" width="16.42578125" style="1364" customWidth="1"/>
    <col min="13595" max="13595" width="15.140625" style="1364" customWidth="1"/>
    <col min="13596" max="13596" width="17" style="1364" customWidth="1"/>
    <col min="13597" max="13597" width="20.140625" style="1364" customWidth="1"/>
    <col min="13598" max="13598" width="20.28515625" style="1364" customWidth="1"/>
    <col min="13599" max="13816" width="28.7109375" style="1364"/>
    <col min="13817" max="13817" width="38.7109375" style="1364" customWidth="1"/>
    <col min="13818" max="13818" width="19.7109375" style="1364" bestFit="1" customWidth="1"/>
    <col min="13819" max="13819" width="11.140625" style="1364" bestFit="1" customWidth="1"/>
    <col min="13820" max="13820" width="18.42578125" style="1364" customWidth="1"/>
    <col min="13821" max="13821" width="16" style="1364" bestFit="1" customWidth="1"/>
    <col min="13822" max="13822" width="21.5703125" style="1364" customWidth="1"/>
    <col min="13823" max="13823" width="14.140625" style="1364" customWidth="1"/>
    <col min="13824" max="13824" width="12" style="1364" customWidth="1"/>
    <col min="13825" max="13825" width="17.7109375" style="1364" customWidth="1"/>
    <col min="13826" max="13826" width="16" style="1364" customWidth="1"/>
    <col min="13827" max="13828" width="16.7109375" style="1364" customWidth="1"/>
    <col min="13829" max="13829" width="28" style="1364" customWidth="1"/>
    <col min="13830" max="13830" width="17.7109375" style="1364" customWidth="1"/>
    <col min="13831" max="13831" width="12.28515625" style="1364" customWidth="1"/>
    <col min="13832" max="13832" width="7.5703125" style="1364" bestFit="1" customWidth="1"/>
    <col min="13833" max="13833" width="8.7109375" style="1364" bestFit="1" customWidth="1"/>
    <col min="13834" max="13834" width="7.5703125" style="1364" bestFit="1" customWidth="1"/>
    <col min="13835" max="13835" width="8.7109375" style="1364" bestFit="1" customWidth="1"/>
    <col min="13836" max="13836" width="7.28515625" style="1364" bestFit="1" customWidth="1"/>
    <col min="13837" max="13837" width="8.7109375" style="1364" bestFit="1" customWidth="1"/>
    <col min="13838" max="13838" width="22.7109375" style="1364" customWidth="1"/>
    <col min="13839" max="13839" width="18.28515625" style="1364" customWidth="1"/>
    <col min="13840" max="13840" width="13.85546875" style="1364" customWidth="1"/>
    <col min="13841" max="13841" width="14" style="1364" customWidth="1"/>
    <col min="13842" max="13842" width="9.28515625" style="1364" customWidth="1"/>
    <col min="13843" max="13843" width="12.7109375" style="1364" customWidth="1"/>
    <col min="13844" max="13844" width="6.42578125" style="1364" customWidth="1"/>
    <col min="13845" max="13845" width="14.42578125" style="1364" customWidth="1"/>
    <col min="13846" max="13846" width="10.28515625" style="1364" customWidth="1"/>
    <col min="13847" max="13847" width="12" style="1364" customWidth="1"/>
    <col min="13848" max="13848" width="8.7109375" style="1364" customWidth="1"/>
    <col min="13849" max="13849" width="10.5703125" style="1364" customWidth="1"/>
    <col min="13850" max="13850" width="16.42578125" style="1364" customWidth="1"/>
    <col min="13851" max="13851" width="15.140625" style="1364" customWidth="1"/>
    <col min="13852" max="13852" width="17" style="1364" customWidth="1"/>
    <col min="13853" max="13853" width="20.140625" style="1364" customWidth="1"/>
    <col min="13854" max="13854" width="20.28515625" style="1364" customWidth="1"/>
    <col min="13855" max="14072" width="28.7109375" style="1364"/>
    <col min="14073" max="14073" width="38.7109375" style="1364" customWidth="1"/>
    <col min="14074" max="14074" width="19.7109375" style="1364" bestFit="1" customWidth="1"/>
    <col min="14075" max="14075" width="11.140625" style="1364" bestFit="1" customWidth="1"/>
    <col min="14076" max="14076" width="18.42578125" style="1364" customWidth="1"/>
    <col min="14077" max="14077" width="16" style="1364" bestFit="1" customWidth="1"/>
    <col min="14078" max="14078" width="21.5703125" style="1364" customWidth="1"/>
    <col min="14079" max="14079" width="14.140625" style="1364" customWidth="1"/>
    <col min="14080" max="14080" width="12" style="1364" customWidth="1"/>
    <col min="14081" max="14081" width="17.7109375" style="1364" customWidth="1"/>
    <col min="14082" max="14082" width="16" style="1364" customWidth="1"/>
    <col min="14083" max="14084" width="16.7109375" style="1364" customWidth="1"/>
    <col min="14085" max="14085" width="28" style="1364" customWidth="1"/>
    <col min="14086" max="14086" width="17.7109375" style="1364" customWidth="1"/>
    <col min="14087" max="14087" width="12.28515625" style="1364" customWidth="1"/>
    <col min="14088" max="14088" width="7.5703125" style="1364" bestFit="1" customWidth="1"/>
    <col min="14089" max="14089" width="8.7109375" style="1364" bestFit="1" customWidth="1"/>
    <col min="14090" max="14090" width="7.5703125" style="1364" bestFit="1" customWidth="1"/>
    <col min="14091" max="14091" width="8.7109375" style="1364" bestFit="1" customWidth="1"/>
    <col min="14092" max="14092" width="7.28515625" style="1364" bestFit="1" customWidth="1"/>
    <col min="14093" max="14093" width="8.7109375" style="1364" bestFit="1" customWidth="1"/>
    <col min="14094" max="14094" width="22.7109375" style="1364" customWidth="1"/>
    <col min="14095" max="14095" width="18.28515625" style="1364" customWidth="1"/>
    <col min="14096" max="14096" width="13.85546875" style="1364" customWidth="1"/>
    <col min="14097" max="14097" width="14" style="1364" customWidth="1"/>
    <col min="14098" max="14098" width="9.28515625" style="1364" customWidth="1"/>
    <col min="14099" max="14099" width="12.7109375" style="1364" customWidth="1"/>
    <col min="14100" max="14100" width="6.42578125" style="1364" customWidth="1"/>
    <col min="14101" max="14101" width="14.42578125" style="1364" customWidth="1"/>
    <col min="14102" max="14102" width="10.28515625" style="1364" customWidth="1"/>
    <col min="14103" max="14103" width="12" style="1364" customWidth="1"/>
    <col min="14104" max="14104" width="8.7109375" style="1364" customWidth="1"/>
    <col min="14105" max="14105" width="10.5703125" style="1364" customWidth="1"/>
    <col min="14106" max="14106" width="16.42578125" style="1364" customWidth="1"/>
    <col min="14107" max="14107" width="15.140625" style="1364" customWidth="1"/>
    <col min="14108" max="14108" width="17" style="1364" customWidth="1"/>
    <col min="14109" max="14109" width="20.140625" style="1364" customWidth="1"/>
    <col min="14110" max="14110" width="20.28515625" style="1364" customWidth="1"/>
    <col min="14111" max="14328" width="28.7109375" style="1364"/>
    <col min="14329" max="14329" width="38.7109375" style="1364" customWidth="1"/>
    <col min="14330" max="14330" width="19.7109375" style="1364" bestFit="1" customWidth="1"/>
    <col min="14331" max="14331" width="11.140625" style="1364" bestFit="1" customWidth="1"/>
    <col min="14332" max="14332" width="18.42578125" style="1364" customWidth="1"/>
    <col min="14333" max="14333" width="16" style="1364" bestFit="1" customWidth="1"/>
    <col min="14334" max="14334" width="21.5703125" style="1364" customWidth="1"/>
    <col min="14335" max="14335" width="14.140625" style="1364" customWidth="1"/>
    <col min="14336" max="14336" width="12" style="1364" customWidth="1"/>
    <col min="14337" max="14337" width="17.7109375" style="1364" customWidth="1"/>
    <col min="14338" max="14338" width="16" style="1364" customWidth="1"/>
    <col min="14339" max="14340" width="16.7109375" style="1364" customWidth="1"/>
    <col min="14341" max="14341" width="28" style="1364" customWidth="1"/>
    <col min="14342" max="14342" width="17.7109375" style="1364" customWidth="1"/>
    <col min="14343" max="14343" width="12.28515625" style="1364" customWidth="1"/>
    <col min="14344" max="14344" width="7.5703125" style="1364" bestFit="1" customWidth="1"/>
    <col min="14345" max="14345" width="8.7109375" style="1364" bestFit="1" customWidth="1"/>
    <col min="14346" max="14346" width="7.5703125" style="1364" bestFit="1" customWidth="1"/>
    <col min="14347" max="14347" width="8.7109375" style="1364" bestFit="1" customWidth="1"/>
    <col min="14348" max="14348" width="7.28515625" style="1364" bestFit="1" customWidth="1"/>
    <col min="14349" max="14349" width="8.7109375" style="1364" bestFit="1" customWidth="1"/>
    <col min="14350" max="14350" width="22.7109375" style="1364" customWidth="1"/>
    <col min="14351" max="14351" width="18.28515625" style="1364" customWidth="1"/>
    <col min="14352" max="14352" width="13.85546875" style="1364" customWidth="1"/>
    <col min="14353" max="14353" width="14" style="1364" customWidth="1"/>
    <col min="14354" max="14354" width="9.28515625" style="1364" customWidth="1"/>
    <col min="14355" max="14355" width="12.7109375" style="1364" customWidth="1"/>
    <col min="14356" max="14356" width="6.42578125" style="1364" customWidth="1"/>
    <col min="14357" max="14357" width="14.42578125" style="1364" customWidth="1"/>
    <col min="14358" max="14358" width="10.28515625" style="1364" customWidth="1"/>
    <col min="14359" max="14359" width="12" style="1364" customWidth="1"/>
    <col min="14360" max="14360" width="8.7109375" style="1364" customWidth="1"/>
    <col min="14361" max="14361" width="10.5703125" style="1364" customWidth="1"/>
    <col min="14362" max="14362" width="16.42578125" style="1364" customWidth="1"/>
    <col min="14363" max="14363" width="15.140625" style="1364" customWidth="1"/>
    <col min="14364" max="14364" width="17" style="1364" customWidth="1"/>
    <col min="14365" max="14365" width="20.140625" style="1364" customWidth="1"/>
    <col min="14366" max="14366" width="20.28515625" style="1364" customWidth="1"/>
    <col min="14367" max="14584" width="28.7109375" style="1364"/>
    <col min="14585" max="14585" width="38.7109375" style="1364" customWidth="1"/>
    <col min="14586" max="14586" width="19.7109375" style="1364" bestFit="1" customWidth="1"/>
    <col min="14587" max="14587" width="11.140625" style="1364" bestFit="1" customWidth="1"/>
    <col min="14588" max="14588" width="18.42578125" style="1364" customWidth="1"/>
    <col min="14589" max="14589" width="16" style="1364" bestFit="1" customWidth="1"/>
    <col min="14590" max="14590" width="21.5703125" style="1364" customWidth="1"/>
    <col min="14591" max="14591" width="14.140625" style="1364" customWidth="1"/>
    <col min="14592" max="14592" width="12" style="1364" customWidth="1"/>
    <col min="14593" max="14593" width="17.7109375" style="1364" customWidth="1"/>
    <col min="14594" max="14594" width="16" style="1364" customWidth="1"/>
    <col min="14595" max="14596" width="16.7109375" style="1364" customWidth="1"/>
    <col min="14597" max="14597" width="28" style="1364" customWidth="1"/>
    <col min="14598" max="14598" width="17.7109375" style="1364" customWidth="1"/>
    <col min="14599" max="14599" width="12.28515625" style="1364" customWidth="1"/>
    <col min="14600" max="14600" width="7.5703125" style="1364" bestFit="1" customWidth="1"/>
    <col min="14601" max="14601" width="8.7109375" style="1364" bestFit="1" customWidth="1"/>
    <col min="14602" max="14602" width="7.5703125" style="1364" bestFit="1" customWidth="1"/>
    <col min="14603" max="14603" width="8.7109375" style="1364" bestFit="1" customWidth="1"/>
    <col min="14604" max="14604" width="7.28515625" style="1364" bestFit="1" customWidth="1"/>
    <col min="14605" max="14605" width="8.7109375" style="1364" bestFit="1" customWidth="1"/>
    <col min="14606" max="14606" width="22.7109375" style="1364" customWidth="1"/>
    <col min="14607" max="14607" width="18.28515625" style="1364" customWidth="1"/>
    <col min="14608" max="14608" width="13.85546875" style="1364" customWidth="1"/>
    <col min="14609" max="14609" width="14" style="1364" customWidth="1"/>
    <col min="14610" max="14610" width="9.28515625" style="1364" customWidth="1"/>
    <col min="14611" max="14611" width="12.7109375" style="1364" customWidth="1"/>
    <col min="14612" max="14612" width="6.42578125" style="1364" customWidth="1"/>
    <col min="14613" max="14613" width="14.42578125" style="1364" customWidth="1"/>
    <col min="14614" max="14614" width="10.28515625" style="1364" customWidth="1"/>
    <col min="14615" max="14615" width="12" style="1364" customWidth="1"/>
    <col min="14616" max="14616" width="8.7109375" style="1364" customWidth="1"/>
    <col min="14617" max="14617" width="10.5703125" style="1364" customWidth="1"/>
    <col min="14618" max="14618" width="16.42578125" style="1364" customWidth="1"/>
    <col min="14619" max="14619" width="15.140625" style="1364" customWidth="1"/>
    <col min="14620" max="14620" width="17" style="1364" customWidth="1"/>
    <col min="14621" max="14621" width="20.140625" style="1364" customWidth="1"/>
    <col min="14622" max="14622" width="20.28515625" style="1364" customWidth="1"/>
    <col min="14623" max="14840" width="28.7109375" style="1364"/>
    <col min="14841" max="14841" width="38.7109375" style="1364" customWidth="1"/>
    <col min="14842" max="14842" width="19.7109375" style="1364" bestFit="1" customWidth="1"/>
    <col min="14843" max="14843" width="11.140625" style="1364" bestFit="1" customWidth="1"/>
    <col min="14844" max="14844" width="18.42578125" style="1364" customWidth="1"/>
    <col min="14845" max="14845" width="16" style="1364" bestFit="1" customWidth="1"/>
    <col min="14846" max="14846" width="21.5703125" style="1364" customWidth="1"/>
    <col min="14847" max="14847" width="14.140625" style="1364" customWidth="1"/>
    <col min="14848" max="14848" width="12" style="1364" customWidth="1"/>
    <col min="14849" max="14849" width="17.7109375" style="1364" customWidth="1"/>
    <col min="14850" max="14850" width="16" style="1364" customWidth="1"/>
    <col min="14851" max="14852" width="16.7109375" style="1364" customWidth="1"/>
    <col min="14853" max="14853" width="28" style="1364" customWidth="1"/>
    <col min="14854" max="14854" width="17.7109375" style="1364" customWidth="1"/>
    <col min="14855" max="14855" width="12.28515625" style="1364" customWidth="1"/>
    <col min="14856" max="14856" width="7.5703125" style="1364" bestFit="1" customWidth="1"/>
    <col min="14857" max="14857" width="8.7109375" style="1364" bestFit="1" customWidth="1"/>
    <col min="14858" max="14858" width="7.5703125" style="1364" bestFit="1" customWidth="1"/>
    <col min="14859" max="14859" width="8.7109375" style="1364" bestFit="1" customWidth="1"/>
    <col min="14860" max="14860" width="7.28515625" style="1364" bestFit="1" customWidth="1"/>
    <col min="14861" max="14861" width="8.7109375" style="1364" bestFit="1" customWidth="1"/>
    <col min="14862" max="14862" width="22.7109375" style="1364" customWidth="1"/>
    <col min="14863" max="14863" width="18.28515625" style="1364" customWidth="1"/>
    <col min="14864" max="14864" width="13.85546875" style="1364" customWidth="1"/>
    <col min="14865" max="14865" width="14" style="1364" customWidth="1"/>
    <col min="14866" max="14866" width="9.28515625" style="1364" customWidth="1"/>
    <col min="14867" max="14867" width="12.7109375" style="1364" customWidth="1"/>
    <col min="14868" max="14868" width="6.42578125" style="1364" customWidth="1"/>
    <col min="14869" max="14869" width="14.42578125" style="1364" customWidth="1"/>
    <col min="14870" max="14870" width="10.28515625" style="1364" customWidth="1"/>
    <col min="14871" max="14871" width="12" style="1364" customWidth="1"/>
    <col min="14872" max="14872" width="8.7109375" style="1364" customWidth="1"/>
    <col min="14873" max="14873" width="10.5703125" style="1364" customWidth="1"/>
    <col min="14874" max="14874" width="16.42578125" style="1364" customWidth="1"/>
    <col min="14875" max="14875" width="15.140625" style="1364" customWidth="1"/>
    <col min="14876" max="14876" width="17" style="1364" customWidth="1"/>
    <col min="14877" max="14877" width="20.140625" style="1364" customWidth="1"/>
    <col min="14878" max="14878" width="20.28515625" style="1364" customWidth="1"/>
    <col min="14879" max="15096" width="28.7109375" style="1364"/>
    <col min="15097" max="15097" width="38.7109375" style="1364" customWidth="1"/>
    <col min="15098" max="15098" width="19.7109375" style="1364" bestFit="1" customWidth="1"/>
    <col min="15099" max="15099" width="11.140625" style="1364" bestFit="1" customWidth="1"/>
    <col min="15100" max="15100" width="18.42578125" style="1364" customWidth="1"/>
    <col min="15101" max="15101" width="16" style="1364" bestFit="1" customWidth="1"/>
    <col min="15102" max="15102" width="21.5703125" style="1364" customWidth="1"/>
    <col min="15103" max="15103" width="14.140625" style="1364" customWidth="1"/>
    <col min="15104" max="15104" width="12" style="1364" customWidth="1"/>
    <col min="15105" max="15105" width="17.7109375" style="1364" customWidth="1"/>
    <col min="15106" max="15106" width="16" style="1364" customWidth="1"/>
    <col min="15107" max="15108" width="16.7109375" style="1364" customWidth="1"/>
    <col min="15109" max="15109" width="28" style="1364" customWidth="1"/>
    <col min="15110" max="15110" width="17.7109375" style="1364" customWidth="1"/>
    <col min="15111" max="15111" width="12.28515625" style="1364" customWidth="1"/>
    <col min="15112" max="15112" width="7.5703125" style="1364" bestFit="1" customWidth="1"/>
    <col min="15113" max="15113" width="8.7109375" style="1364" bestFit="1" customWidth="1"/>
    <col min="15114" max="15114" width="7.5703125" style="1364" bestFit="1" customWidth="1"/>
    <col min="15115" max="15115" width="8.7109375" style="1364" bestFit="1" customWidth="1"/>
    <col min="15116" max="15116" width="7.28515625" style="1364" bestFit="1" customWidth="1"/>
    <col min="15117" max="15117" width="8.7109375" style="1364" bestFit="1" customWidth="1"/>
    <col min="15118" max="15118" width="22.7109375" style="1364" customWidth="1"/>
    <col min="15119" max="15119" width="18.28515625" style="1364" customWidth="1"/>
    <col min="15120" max="15120" width="13.85546875" style="1364" customWidth="1"/>
    <col min="15121" max="15121" width="14" style="1364" customWidth="1"/>
    <col min="15122" max="15122" width="9.28515625" style="1364" customWidth="1"/>
    <col min="15123" max="15123" width="12.7109375" style="1364" customWidth="1"/>
    <col min="15124" max="15124" width="6.42578125" style="1364" customWidth="1"/>
    <col min="15125" max="15125" width="14.42578125" style="1364" customWidth="1"/>
    <col min="15126" max="15126" width="10.28515625" style="1364" customWidth="1"/>
    <col min="15127" max="15127" width="12" style="1364" customWidth="1"/>
    <col min="15128" max="15128" width="8.7109375" style="1364" customWidth="1"/>
    <col min="15129" max="15129" width="10.5703125" style="1364" customWidth="1"/>
    <col min="15130" max="15130" width="16.42578125" style="1364" customWidth="1"/>
    <col min="15131" max="15131" width="15.140625" style="1364" customWidth="1"/>
    <col min="15132" max="15132" width="17" style="1364" customWidth="1"/>
    <col min="15133" max="15133" width="20.140625" style="1364" customWidth="1"/>
    <col min="15134" max="15134" width="20.28515625" style="1364" customWidth="1"/>
    <col min="15135" max="15352" width="28.7109375" style="1364"/>
    <col min="15353" max="15353" width="38.7109375" style="1364" customWidth="1"/>
    <col min="15354" max="15354" width="19.7109375" style="1364" bestFit="1" customWidth="1"/>
    <col min="15355" max="15355" width="11.140625" style="1364" bestFit="1" customWidth="1"/>
    <col min="15356" max="15356" width="18.42578125" style="1364" customWidth="1"/>
    <col min="15357" max="15357" width="16" style="1364" bestFit="1" customWidth="1"/>
    <col min="15358" max="15358" width="21.5703125" style="1364" customWidth="1"/>
    <col min="15359" max="15359" width="14.140625" style="1364" customWidth="1"/>
    <col min="15360" max="15360" width="12" style="1364" customWidth="1"/>
    <col min="15361" max="15361" width="17.7109375" style="1364" customWidth="1"/>
    <col min="15362" max="15362" width="16" style="1364" customWidth="1"/>
    <col min="15363" max="15364" width="16.7109375" style="1364" customWidth="1"/>
    <col min="15365" max="15365" width="28" style="1364" customWidth="1"/>
    <col min="15366" max="15366" width="17.7109375" style="1364" customWidth="1"/>
    <col min="15367" max="15367" width="12.28515625" style="1364" customWidth="1"/>
    <col min="15368" max="15368" width="7.5703125" style="1364" bestFit="1" customWidth="1"/>
    <col min="15369" max="15369" width="8.7109375" style="1364" bestFit="1" customWidth="1"/>
    <col min="15370" max="15370" width="7.5703125" style="1364" bestFit="1" customWidth="1"/>
    <col min="15371" max="15371" width="8.7109375" style="1364" bestFit="1" customWidth="1"/>
    <col min="15372" max="15372" width="7.28515625" style="1364" bestFit="1" customWidth="1"/>
    <col min="15373" max="15373" width="8.7109375" style="1364" bestFit="1" customWidth="1"/>
    <col min="15374" max="15374" width="22.7109375" style="1364" customWidth="1"/>
    <col min="15375" max="15375" width="18.28515625" style="1364" customWidth="1"/>
    <col min="15376" max="15376" width="13.85546875" style="1364" customWidth="1"/>
    <col min="15377" max="15377" width="14" style="1364" customWidth="1"/>
    <col min="15378" max="15378" width="9.28515625" style="1364" customWidth="1"/>
    <col min="15379" max="15379" width="12.7109375" style="1364" customWidth="1"/>
    <col min="15380" max="15380" width="6.42578125" style="1364" customWidth="1"/>
    <col min="15381" max="15381" width="14.42578125" style="1364" customWidth="1"/>
    <col min="15382" max="15382" width="10.28515625" style="1364" customWidth="1"/>
    <col min="15383" max="15383" width="12" style="1364" customWidth="1"/>
    <col min="15384" max="15384" width="8.7109375" style="1364" customWidth="1"/>
    <col min="15385" max="15385" width="10.5703125" style="1364" customWidth="1"/>
    <col min="15386" max="15386" width="16.42578125" style="1364" customWidth="1"/>
    <col min="15387" max="15387" width="15.140625" style="1364" customWidth="1"/>
    <col min="15388" max="15388" width="17" style="1364" customWidth="1"/>
    <col min="15389" max="15389" width="20.140625" style="1364" customWidth="1"/>
    <col min="15390" max="15390" width="20.28515625" style="1364" customWidth="1"/>
    <col min="15391" max="15608" width="28.7109375" style="1364"/>
    <col min="15609" max="15609" width="38.7109375" style="1364" customWidth="1"/>
    <col min="15610" max="15610" width="19.7109375" style="1364" bestFit="1" customWidth="1"/>
    <col min="15611" max="15611" width="11.140625" style="1364" bestFit="1" customWidth="1"/>
    <col min="15612" max="15612" width="18.42578125" style="1364" customWidth="1"/>
    <col min="15613" max="15613" width="16" style="1364" bestFit="1" customWidth="1"/>
    <col min="15614" max="15614" width="21.5703125" style="1364" customWidth="1"/>
    <col min="15615" max="15615" width="14.140625" style="1364" customWidth="1"/>
    <col min="15616" max="15616" width="12" style="1364" customWidth="1"/>
    <col min="15617" max="15617" width="17.7109375" style="1364" customWidth="1"/>
    <col min="15618" max="15618" width="16" style="1364" customWidth="1"/>
    <col min="15619" max="15620" width="16.7109375" style="1364" customWidth="1"/>
    <col min="15621" max="15621" width="28" style="1364" customWidth="1"/>
    <col min="15622" max="15622" width="17.7109375" style="1364" customWidth="1"/>
    <col min="15623" max="15623" width="12.28515625" style="1364" customWidth="1"/>
    <col min="15624" max="15624" width="7.5703125" style="1364" bestFit="1" customWidth="1"/>
    <col min="15625" max="15625" width="8.7109375" style="1364" bestFit="1" customWidth="1"/>
    <col min="15626" max="15626" width="7.5703125" style="1364" bestFit="1" customWidth="1"/>
    <col min="15627" max="15627" width="8.7109375" style="1364" bestFit="1" customWidth="1"/>
    <col min="15628" max="15628" width="7.28515625" style="1364" bestFit="1" customWidth="1"/>
    <col min="15629" max="15629" width="8.7109375" style="1364" bestFit="1" customWidth="1"/>
    <col min="15630" max="15630" width="22.7109375" style="1364" customWidth="1"/>
    <col min="15631" max="15631" width="18.28515625" style="1364" customWidth="1"/>
    <col min="15632" max="15632" width="13.85546875" style="1364" customWidth="1"/>
    <col min="15633" max="15633" width="14" style="1364" customWidth="1"/>
    <col min="15634" max="15634" width="9.28515625" style="1364" customWidth="1"/>
    <col min="15635" max="15635" width="12.7109375" style="1364" customWidth="1"/>
    <col min="15636" max="15636" width="6.42578125" style="1364" customWidth="1"/>
    <col min="15637" max="15637" width="14.42578125" style="1364" customWidth="1"/>
    <col min="15638" max="15638" width="10.28515625" style="1364" customWidth="1"/>
    <col min="15639" max="15639" width="12" style="1364" customWidth="1"/>
    <col min="15640" max="15640" width="8.7109375" style="1364" customWidth="1"/>
    <col min="15641" max="15641" width="10.5703125" style="1364" customWidth="1"/>
    <col min="15642" max="15642" width="16.42578125" style="1364" customWidth="1"/>
    <col min="15643" max="15643" width="15.140625" style="1364" customWidth="1"/>
    <col min="15644" max="15644" width="17" style="1364" customWidth="1"/>
    <col min="15645" max="15645" width="20.140625" style="1364" customWidth="1"/>
    <col min="15646" max="15646" width="20.28515625" style="1364" customWidth="1"/>
    <col min="15647" max="15864" width="28.7109375" style="1364"/>
    <col min="15865" max="15865" width="38.7109375" style="1364" customWidth="1"/>
    <col min="15866" max="15866" width="19.7109375" style="1364" bestFit="1" customWidth="1"/>
    <col min="15867" max="15867" width="11.140625" style="1364" bestFit="1" customWidth="1"/>
    <col min="15868" max="15868" width="18.42578125" style="1364" customWidth="1"/>
    <col min="15869" max="15869" width="16" style="1364" bestFit="1" customWidth="1"/>
    <col min="15870" max="15870" width="21.5703125" style="1364" customWidth="1"/>
    <col min="15871" max="15871" width="14.140625" style="1364" customWidth="1"/>
    <col min="15872" max="15872" width="12" style="1364" customWidth="1"/>
    <col min="15873" max="15873" width="17.7109375" style="1364" customWidth="1"/>
    <col min="15874" max="15874" width="16" style="1364" customWidth="1"/>
    <col min="15875" max="15876" width="16.7109375" style="1364" customWidth="1"/>
    <col min="15877" max="15877" width="28" style="1364" customWidth="1"/>
    <col min="15878" max="15878" width="17.7109375" style="1364" customWidth="1"/>
    <col min="15879" max="15879" width="12.28515625" style="1364" customWidth="1"/>
    <col min="15880" max="15880" width="7.5703125" style="1364" bestFit="1" customWidth="1"/>
    <col min="15881" max="15881" width="8.7109375" style="1364" bestFit="1" customWidth="1"/>
    <col min="15882" max="15882" width="7.5703125" style="1364" bestFit="1" customWidth="1"/>
    <col min="15883" max="15883" width="8.7109375" style="1364" bestFit="1" customWidth="1"/>
    <col min="15884" max="15884" width="7.28515625" style="1364" bestFit="1" customWidth="1"/>
    <col min="15885" max="15885" width="8.7109375" style="1364" bestFit="1" customWidth="1"/>
    <col min="15886" max="15886" width="22.7109375" style="1364" customWidth="1"/>
    <col min="15887" max="15887" width="18.28515625" style="1364" customWidth="1"/>
    <col min="15888" max="15888" width="13.85546875" style="1364" customWidth="1"/>
    <col min="15889" max="15889" width="14" style="1364" customWidth="1"/>
    <col min="15890" max="15890" width="9.28515625" style="1364" customWidth="1"/>
    <col min="15891" max="15891" width="12.7109375" style="1364" customWidth="1"/>
    <col min="15892" max="15892" width="6.42578125" style="1364" customWidth="1"/>
    <col min="15893" max="15893" width="14.42578125" style="1364" customWidth="1"/>
    <col min="15894" max="15894" width="10.28515625" style="1364" customWidth="1"/>
    <col min="15895" max="15895" width="12" style="1364" customWidth="1"/>
    <col min="15896" max="15896" width="8.7109375" style="1364" customWidth="1"/>
    <col min="15897" max="15897" width="10.5703125" style="1364" customWidth="1"/>
    <col min="15898" max="15898" width="16.42578125" style="1364" customWidth="1"/>
    <col min="15899" max="15899" width="15.140625" style="1364" customWidth="1"/>
    <col min="15900" max="15900" width="17" style="1364" customWidth="1"/>
    <col min="15901" max="15901" width="20.140625" style="1364" customWidth="1"/>
    <col min="15902" max="15902" width="20.28515625" style="1364" customWidth="1"/>
    <col min="15903" max="16120" width="28.7109375" style="1364"/>
    <col min="16121" max="16121" width="38.7109375" style="1364" customWidth="1"/>
    <col min="16122" max="16122" width="19.7109375" style="1364" bestFit="1" customWidth="1"/>
    <col min="16123" max="16123" width="11.140625" style="1364" bestFit="1" customWidth="1"/>
    <col min="16124" max="16124" width="18.42578125" style="1364" customWidth="1"/>
    <col min="16125" max="16125" width="16" style="1364" bestFit="1" customWidth="1"/>
    <col min="16126" max="16126" width="21.5703125" style="1364" customWidth="1"/>
    <col min="16127" max="16127" width="14.140625" style="1364" customWidth="1"/>
    <col min="16128" max="16128" width="12" style="1364" customWidth="1"/>
    <col min="16129" max="16129" width="17.7109375" style="1364" customWidth="1"/>
    <col min="16130" max="16130" width="16" style="1364" customWidth="1"/>
    <col min="16131" max="16132" width="16.7109375" style="1364" customWidth="1"/>
    <col min="16133" max="16133" width="28" style="1364" customWidth="1"/>
    <col min="16134" max="16134" width="17.7109375" style="1364" customWidth="1"/>
    <col min="16135" max="16135" width="12.28515625" style="1364" customWidth="1"/>
    <col min="16136" max="16136" width="7.5703125" style="1364" bestFit="1" customWidth="1"/>
    <col min="16137" max="16137" width="8.7109375" style="1364" bestFit="1" customWidth="1"/>
    <col min="16138" max="16138" width="7.5703125" style="1364" bestFit="1" customWidth="1"/>
    <col min="16139" max="16139" width="8.7109375" style="1364" bestFit="1" customWidth="1"/>
    <col min="16140" max="16140" width="7.28515625" style="1364" bestFit="1" customWidth="1"/>
    <col min="16141" max="16141" width="8.7109375" style="1364" bestFit="1" customWidth="1"/>
    <col min="16142" max="16142" width="22.7109375" style="1364" customWidth="1"/>
    <col min="16143" max="16143" width="18.28515625" style="1364" customWidth="1"/>
    <col min="16144" max="16144" width="13.85546875" style="1364" customWidth="1"/>
    <col min="16145" max="16145" width="14" style="1364" customWidth="1"/>
    <col min="16146" max="16146" width="9.28515625" style="1364" customWidth="1"/>
    <col min="16147" max="16147" width="12.7109375" style="1364" customWidth="1"/>
    <col min="16148" max="16148" width="6.42578125" style="1364" customWidth="1"/>
    <col min="16149" max="16149" width="14.42578125" style="1364" customWidth="1"/>
    <col min="16150" max="16150" width="10.28515625" style="1364" customWidth="1"/>
    <col min="16151" max="16151" width="12" style="1364" customWidth="1"/>
    <col min="16152" max="16152" width="8.7109375" style="1364" customWidth="1"/>
    <col min="16153" max="16153" width="10.5703125" style="1364" customWidth="1"/>
    <col min="16154" max="16154" width="16.42578125" style="1364" customWidth="1"/>
    <col min="16155" max="16155" width="15.140625" style="1364" customWidth="1"/>
    <col min="16156" max="16156" width="17" style="1364" customWidth="1"/>
    <col min="16157" max="16157" width="20.140625" style="1364" customWidth="1"/>
    <col min="16158" max="16158" width="20.28515625" style="1364" customWidth="1"/>
    <col min="16159" max="16384" width="28.7109375" style="1364"/>
  </cols>
  <sheetData>
    <row r="1" spans="1:9" ht="21.75" customHeight="1">
      <c r="A1" s="4771" t="s">
        <v>88</v>
      </c>
      <c r="B1" s="4772"/>
      <c r="C1" s="4772"/>
      <c r="D1" s="4772"/>
      <c r="E1" s="4772"/>
      <c r="F1" s="4772"/>
      <c r="G1" s="4772"/>
      <c r="H1" s="4772"/>
    </row>
    <row r="3" spans="1:9" ht="14.25" customHeight="1">
      <c r="A3" s="1401" t="s">
        <v>5918</v>
      </c>
      <c r="B3" s="1395"/>
      <c r="C3" s="1395"/>
      <c r="D3" s="1395"/>
      <c r="E3" s="1395"/>
      <c r="F3" s="1395"/>
    </row>
    <row r="4" spans="1:9" ht="14.25" customHeight="1" thickBot="1">
      <c r="A4" s="1396"/>
      <c r="B4" s="1395"/>
      <c r="C4" s="1395"/>
      <c r="D4" s="1395"/>
      <c r="E4" s="1395"/>
      <c r="F4" s="1395"/>
    </row>
    <row r="5" spans="1:9" ht="14.25" customHeight="1" thickBot="1">
      <c r="A5" s="1359"/>
      <c r="B5" s="4408">
        <v>2015</v>
      </c>
      <c r="C5" s="4408">
        <v>2016</v>
      </c>
      <c r="D5" s="4408">
        <v>2017</v>
      </c>
      <c r="E5" s="4408">
        <v>2018</v>
      </c>
      <c r="F5" s="4408">
        <v>2019</v>
      </c>
      <c r="G5" s="4408">
        <v>2020</v>
      </c>
      <c r="H5" s="4408">
        <v>2021</v>
      </c>
      <c r="I5" s="4411">
        <v>2022</v>
      </c>
    </row>
    <row r="6" spans="1:9" ht="14.25" customHeight="1">
      <c r="A6" s="1399" t="s">
        <v>7311</v>
      </c>
      <c r="B6" s="1355">
        <v>16</v>
      </c>
      <c r="C6" s="1355">
        <v>34</v>
      </c>
      <c r="D6" s="1355">
        <v>25</v>
      </c>
      <c r="E6" s="1355">
        <v>42</v>
      </c>
      <c r="F6" s="1355">
        <v>27</v>
      </c>
      <c r="G6" s="4069">
        <v>18</v>
      </c>
      <c r="H6" s="1368">
        <v>13</v>
      </c>
      <c r="I6" s="1369">
        <v>30</v>
      </c>
    </row>
    <row r="7" spans="1:9" ht="14.25" customHeight="1">
      <c r="A7" s="1399" t="s">
        <v>7312</v>
      </c>
      <c r="B7" s="1355">
        <v>187</v>
      </c>
      <c r="C7" s="1355">
        <v>177</v>
      </c>
      <c r="D7" s="1355">
        <v>223</v>
      </c>
      <c r="E7" s="1355">
        <v>316</v>
      </c>
      <c r="F7" s="1355">
        <v>316</v>
      </c>
      <c r="G7" s="1349">
        <v>357</v>
      </c>
      <c r="H7" s="1368">
        <v>331</v>
      </c>
      <c r="I7" s="1369">
        <v>422</v>
      </c>
    </row>
    <row r="8" spans="1:9" ht="14.25" customHeight="1">
      <c r="A8" s="1399" t="s">
        <v>2507</v>
      </c>
      <c r="B8" s="1355">
        <v>160</v>
      </c>
      <c r="C8" s="1355">
        <v>142</v>
      </c>
      <c r="D8" s="1355">
        <v>129</v>
      </c>
      <c r="E8" s="1355">
        <v>101</v>
      </c>
      <c r="F8" s="1355">
        <v>95</v>
      </c>
      <c r="G8" s="1349">
        <v>28</v>
      </c>
      <c r="H8" s="1368">
        <v>11</v>
      </c>
      <c r="I8" s="1369">
        <v>23</v>
      </c>
    </row>
    <row r="9" spans="1:9" ht="14.25" customHeight="1">
      <c r="A9" s="1399" t="s">
        <v>5919</v>
      </c>
      <c r="B9" s="1355">
        <v>47</v>
      </c>
      <c r="C9" s="1355">
        <v>37</v>
      </c>
      <c r="D9" s="1355">
        <v>49</v>
      </c>
      <c r="E9" s="1355">
        <v>269</v>
      </c>
      <c r="F9" s="1355">
        <v>241</v>
      </c>
      <c r="G9" s="1349">
        <v>56</v>
      </c>
      <c r="H9" s="1368">
        <v>46</v>
      </c>
      <c r="I9" s="1369">
        <v>70</v>
      </c>
    </row>
    <row r="10" spans="1:9" ht="14.25" customHeight="1">
      <c r="A10" s="1399" t="s">
        <v>2518</v>
      </c>
      <c r="B10" s="1355">
        <v>81</v>
      </c>
      <c r="C10" s="1355">
        <v>81</v>
      </c>
      <c r="D10" s="1355">
        <v>101</v>
      </c>
      <c r="E10" s="1355">
        <v>139</v>
      </c>
      <c r="F10" s="1355">
        <v>41</v>
      </c>
      <c r="G10" s="1349">
        <v>26</v>
      </c>
      <c r="H10" s="1368">
        <v>52</v>
      </c>
      <c r="I10" s="1369">
        <v>0</v>
      </c>
    </row>
    <row r="11" spans="1:9" ht="14.25" customHeight="1">
      <c r="A11" s="1399" t="s">
        <v>5920</v>
      </c>
      <c r="B11" s="1355">
        <v>75</v>
      </c>
      <c r="C11" s="1355">
        <v>78</v>
      </c>
      <c r="D11" s="1355">
        <v>101</v>
      </c>
      <c r="E11" s="1355">
        <v>3</v>
      </c>
      <c r="F11" s="1355">
        <v>0</v>
      </c>
      <c r="G11" s="1349">
        <v>178</v>
      </c>
      <c r="H11" s="1368">
        <v>127</v>
      </c>
      <c r="I11" s="1369">
        <v>179</v>
      </c>
    </row>
    <row r="12" spans="1:9" ht="14.25" customHeight="1">
      <c r="A12" s="1399" t="s">
        <v>5921</v>
      </c>
      <c r="B12" s="1355">
        <v>176</v>
      </c>
      <c r="C12" s="1355">
        <v>239</v>
      </c>
      <c r="D12" s="1355">
        <v>261</v>
      </c>
      <c r="E12" s="1355">
        <v>72</v>
      </c>
      <c r="F12" s="1355">
        <v>77</v>
      </c>
      <c r="G12" s="1349">
        <v>279</v>
      </c>
      <c r="H12" s="1368">
        <v>220</v>
      </c>
      <c r="I12" s="1369">
        <v>202</v>
      </c>
    </row>
    <row r="13" spans="1:9" ht="14.25" customHeight="1">
      <c r="A13" s="1399" t="s">
        <v>5922</v>
      </c>
      <c r="B13" s="1355">
        <v>6</v>
      </c>
      <c r="C13" s="1355">
        <v>16</v>
      </c>
      <c r="D13" s="1355">
        <v>33</v>
      </c>
      <c r="E13" s="1355">
        <v>44</v>
      </c>
      <c r="F13" s="1355">
        <v>80</v>
      </c>
      <c r="G13" s="1349">
        <v>18</v>
      </c>
      <c r="H13" s="1368">
        <v>48</v>
      </c>
      <c r="I13" s="1369">
        <v>65</v>
      </c>
    </row>
    <row r="14" spans="1:9" ht="14.25" customHeight="1">
      <c r="A14" s="1399" t="s">
        <v>5923</v>
      </c>
      <c r="B14" s="1355">
        <v>61</v>
      </c>
      <c r="C14" s="1355">
        <v>63</v>
      </c>
      <c r="D14" s="1355">
        <v>93</v>
      </c>
      <c r="E14" s="1355">
        <v>2</v>
      </c>
      <c r="F14" s="1355">
        <v>2</v>
      </c>
      <c r="G14" s="1349">
        <v>98</v>
      </c>
      <c r="H14" s="1368">
        <v>113</v>
      </c>
      <c r="I14" s="1369">
        <v>32</v>
      </c>
    </row>
    <row r="15" spans="1:9" ht="14.25" customHeight="1">
      <c r="A15" s="1399" t="s">
        <v>5924</v>
      </c>
      <c r="B15" s="1355">
        <v>2</v>
      </c>
      <c r="C15" s="1355">
        <v>2</v>
      </c>
      <c r="D15" s="1355">
        <v>2</v>
      </c>
      <c r="E15" s="1355">
        <v>94</v>
      </c>
      <c r="F15" s="1355">
        <v>78</v>
      </c>
      <c r="G15" s="1349">
        <v>41</v>
      </c>
      <c r="H15" s="1368">
        <v>85</v>
      </c>
      <c r="I15" s="1369">
        <v>115</v>
      </c>
    </row>
    <row r="16" spans="1:9" ht="14.25" customHeight="1">
      <c r="A16" s="1399" t="s">
        <v>5925</v>
      </c>
      <c r="B16" s="1355">
        <v>8</v>
      </c>
      <c r="C16" s="1355">
        <v>52</v>
      </c>
      <c r="D16" s="1355">
        <v>60</v>
      </c>
      <c r="E16" s="1355">
        <v>17</v>
      </c>
      <c r="F16" s="1355">
        <v>17</v>
      </c>
      <c r="G16" s="1355">
        <v>30</v>
      </c>
      <c r="H16" s="1368">
        <v>9</v>
      </c>
      <c r="I16" s="1369">
        <v>18</v>
      </c>
    </row>
    <row r="17" spans="1:9" ht="14.25" customHeight="1" thickBot="1">
      <c r="A17" s="1399" t="s">
        <v>7313</v>
      </c>
      <c r="B17" s="1355">
        <v>26</v>
      </c>
      <c r="C17" s="1355">
        <v>33</v>
      </c>
      <c r="D17" s="1355">
        <v>33</v>
      </c>
      <c r="E17" s="1355">
        <v>53</v>
      </c>
      <c r="F17" s="1355">
        <v>48</v>
      </c>
      <c r="G17" s="1355">
        <v>119</v>
      </c>
      <c r="H17" s="1368">
        <v>38</v>
      </c>
      <c r="I17" s="1369">
        <v>69</v>
      </c>
    </row>
    <row r="18" spans="1:9" ht="14.25" customHeight="1" thickBot="1">
      <c r="A18" s="1400" t="s">
        <v>8</v>
      </c>
      <c r="B18" s="1397">
        <f t="shared" ref="B18:I18" si="0">SUM(B6:B17)</f>
        <v>845</v>
      </c>
      <c r="C18" s="1397">
        <f t="shared" si="0"/>
        <v>954</v>
      </c>
      <c r="D18" s="1397">
        <f t="shared" si="0"/>
        <v>1110</v>
      </c>
      <c r="E18" s="1397">
        <f t="shared" si="0"/>
        <v>1152</v>
      </c>
      <c r="F18" s="1397">
        <f t="shared" si="0"/>
        <v>1022</v>
      </c>
      <c r="G18" s="1397">
        <f t="shared" si="0"/>
        <v>1248</v>
      </c>
      <c r="H18" s="1397">
        <f t="shared" si="0"/>
        <v>1093</v>
      </c>
      <c r="I18" s="1398">
        <f t="shared" si="0"/>
        <v>1225</v>
      </c>
    </row>
    <row r="19" spans="1:9" ht="14.25" customHeight="1">
      <c r="G19" s="1363" t="s">
        <v>7808</v>
      </c>
    </row>
    <row r="20" spans="1:9" ht="14.25" customHeight="1">
      <c r="G20" s="1388"/>
    </row>
    <row r="21" spans="1:9" ht="14.25" customHeight="1">
      <c r="A21" s="1401" t="s">
        <v>7807</v>
      </c>
      <c r="G21" s="1388"/>
    </row>
    <row r="22" spans="1:9" ht="14.25" customHeight="1" thickBot="1">
      <c r="D22" s="1364"/>
      <c r="E22" s="1364"/>
      <c r="F22" s="1364"/>
    </row>
    <row r="23" spans="1:9" ht="14.25" customHeight="1" thickBot="1">
      <c r="A23" s="1359"/>
      <c r="B23" s="4421">
        <v>2020</v>
      </c>
      <c r="C23" s="4408">
        <v>2021</v>
      </c>
      <c r="D23" s="4411">
        <v>2022</v>
      </c>
      <c r="E23" s="1364"/>
      <c r="F23" s="1364"/>
    </row>
    <row r="24" spans="1:9" ht="14.25" customHeight="1">
      <c r="A24" s="1399" t="s">
        <v>7311</v>
      </c>
      <c r="B24" s="4439">
        <v>100</v>
      </c>
      <c r="C24" s="3614">
        <v>415</v>
      </c>
      <c r="D24" s="1369">
        <v>190</v>
      </c>
      <c r="E24" s="1364"/>
      <c r="F24" s="1364"/>
    </row>
    <row r="25" spans="1:9" ht="14.25" customHeight="1">
      <c r="A25" s="1399" t="s">
        <v>7312</v>
      </c>
      <c r="B25" s="4439">
        <v>2335</v>
      </c>
      <c r="C25" s="1355">
        <v>6425</v>
      </c>
      <c r="D25" s="1369">
        <v>1280</v>
      </c>
      <c r="E25" s="1364"/>
      <c r="F25" s="1364"/>
    </row>
    <row r="26" spans="1:9" ht="14.25" customHeight="1">
      <c r="A26" s="1399" t="s">
        <v>2507</v>
      </c>
      <c r="B26" s="4439">
        <v>495</v>
      </c>
      <c r="C26" s="1355">
        <v>595</v>
      </c>
      <c r="D26" s="1369">
        <v>1980</v>
      </c>
      <c r="E26" s="1364"/>
      <c r="F26" s="1364"/>
    </row>
    <row r="27" spans="1:9" ht="14.25" customHeight="1">
      <c r="A27" s="1399" t="s">
        <v>5919</v>
      </c>
      <c r="B27" s="4439">
        <v>675</v>
      </c>
      <c r="C27" s="1355">
        <v>1025</v>
      </c>
      <c r="D27" s="1369">
        <v>2630</v>
      </c>
      <c r="E27" s="1364"/>
      <c r="F27" s="1364"/>
    </row>
    <row r="28" spans="1:9" ht="14.25" customHeight="1">
      <c r="A28" s="1399" t="s">
        <v>2518</v>
      </c>
      <c r="B28" s="4439">
        <v>0</v>
      </c>
      <c r="C28" s="1355">
        <v>0</v>
      </c>
      <c r="D28" s="1369">
        <v>0</v>
      </c>
      <c r="E28" s="1364"/>
      <c r="F28" s="1364"/>
    </row>
    <row r="29" spans="1:9" ht="14.25" customHeight="1">
      <c r="A29" s="1399" t="s">
        <v>5920</v>
      </c>
      <c r="B29" s="4439">
        <v>6186</v>
      </c>
      <c r="C29" s="1355">
        <v>2375</v>
      </c>
      <c r="D29" s="1369">
        <v>3870</v>
      </c>
      <c r="E29" s="1364"/>
      <c r="F29" s="1364"/>
    </row>
    <row r="30" spans="1:9" ht="14.25" customHeight="1">
      <c r="A30" s="1399" t="s">
        <v>5921</v>
      </c>
      <c r="B30" s="4439">
        <v>2775</v>
      </c>
      <c r="C30" s="1355">
        <v>2575</v>
      </c>
      <c r="D30" s="1369">
        <v>3580</v>
      </c>
      <c r="E30" s="1364"/>
      <c r="F30" s="1364"/>
    </row>
    <row r="31" spans="1:9" ht="14.25" customHeight="1">
      <c r="A31" s="1399" t="s">
        <v>5922</v>
      </c>
      <c r="B31" s="4439">
        <v>0</v>
      </c>
      <c r="C31" s="1355">
        <v>160</v>
      </c>
      <c r="D31" s="1369">
        <v>50</v>
      </c>
      <c r="E31" s="1364"/>
      <c r="F31" s="1364"/>
    </row>
    <row r="32" spans="1:9" ht="14.25" customHeight="1">
      <c r="A32" s="1399" t="s">
        <v>5923</v>
      </c>
      <c r="B32" s="4439">
        <v>764</v>
      </c>
      <c r="C32" s="1355">
        <v>650</v>
      </c>
      <c r="D32" s="1369">
        <v>380</v>
      </c>
      <c r="E32" s="1364"/>
      <c r="F32" s="1364"/>
    </row>
    <row r="33" spans="1:14" ht="14.25" customHeight="1">
      <c r="A33" s="1399" t="s">
        <v>5924</v>
      </c>
      <c r="B33" s="4439">
        <v>1062.57</v>
      </c>
      <c r="C33" s="1355">
        <v>1545</v>
      </c>
      <c r="D33" s="1369">
        <v>1230</v>
      </c>
      <c r="E33" s="1364"/>
      <c r="F33" s="1364"/>
    </row>
    <row r="34" spans="1:14" ht="14.25" customHeight="1">
      <c r="A34" s="1399" t="s">
        <v>5925</v>
      </c>
      <c r="B34" s="4439">
        <v>630</v>
      </c>
      <c r="C34" s="1355">
        <v>0</v>
      </c>
      <c r="D34" s="1369">
        <v>2260</v>
      </c>
      <c r="E34" s="1364"/>
      <c r="F34" s="1364"/>
    </row>
    <row r="35" spans="1:14" ht="14.25" customHeight="1" thickBot="1">
      <c r="A35" s="1399" t="s">
        <v>7313</v>
      </c>
      <c r="B35" s="4439">
        <v>5670</v>
      </c>
      <c r="C35" s="1355">
        <v>5775</v>
      </c>
      <c r="D35" s="1369">
        <v>3900</v>
      </c>
      <c r="E35" s="1364"/>
      <c r="F35" s="1364"/>
      <c r="L35" s="1374"/>
    </row>
    <row r="36" spans="1:14" ht="14.25" customHeight="1" thickBot="1">
      <c r="A36" s="1400" t="s">
        <v>8</v>
      </c>
      <c r="B36" s="4440">
        <f>SUM(B24:B35)</f>
        <v>20692.57</v>
      </c>
      <c r="C36" s="4070">
        <f>SUM(C24:C35)</f>
        <v>21540</v>
      </c>
      <c r="D36" s="4071">
        <f>SUM(D24:D35)</f>
        <v>21350</v>
      </c>
      <c r="E36" s="1364"/>
      <c r="F36" s="1364"/>
    </row>
    <row r="37" spans="1:14" s="1379" customFormat="1" ht="14.25" customHeight="1">
      <c r="A37" s="2332"/>
      <c r="B37" s="2333"/>
      <c r="C37" s="2333"/>
      <c r="D37" s="1364"/>
      <c r="E37" s="1364"/>
      <c r="F37" s="1364"/>
      <c r="G37" s="1364"/>
      <c r="H37" s="1364"/>
      <c r="I37" s="1364"/>
    </row>
    <row r="38" spans="1:14" s="1379" customFormat="1" ht="14.25" customHeight="1">
      <c r="A38" s="2332"/>
      <c r="B38" s="2333"/>
      <c r="C38" s="2333"/>
      <c r="D38" s="2333"/>
      <c r="E38" s="2333"/>
      <c r="F38" s="2333"/>
      <c r="G38" s="2333"/>
      <c r="H38" s="2333"/>
    </row>
    <row r="39" spans="1:14" ht="14.25" customHeight="1" thickBot="1"/>
    <row r="40" spans="1:14" ht="14.25" customHeight="1" thickBot="1">
      <c r="A40" s="1929" t="s">
        <v>6767</v>
      </c>
      <c r="B40" s="1930">
        <v>2007</v>
      </c>
      <c r="C40" s="1930">
        <v>2008</v>
      </c>
      <c r="D40" s="1931">
        <v>2009</v>
      </c>
      <c r="E40" s="1931">
        <v>2010</v>
      </c>
      <c r="F40" s="1931">
        <v>2011</v>
      </c>
      <c r="G40" s="1931">
        <v>2012</v>
      </c>
      <c r="H40" s="1931">
        <v>2013</v>
      </c>
      <c r="I40" s="1931">
        <v>2014</v>
      </c>
      <c r="J40" s="1931">
        <v>2015</v>
      </c>
      <c r="K40" s="1931">
        <v>2016</v>
      </c>
      <c r="L40" s="1931">
        <v>2017</v>
      </c>
      <c r="M40" s="1931">
        <v>2018</v>
      </c>
      <c r="N40" s="1934">
        <v>2019</v>
      </c>
    </row>
    <row r="41" spans="1:14" ht="14.25" customHeight="1">
      <c r="A41" s="2875" t="s">
        <v>6768</v>
      </c>
      <c r="B41" s="1348">
        <v>29405</v>
      </c>
      <c r="C41" s="1348">
        <v>30198</v>
      </c>
      <c r="D41" s="1348">
        <v>26364</v>
      </c>
      <c r="E41" s="1348">
        <v>29004</v>
      </c>
      <c r="F41" s="1348">
        <v>28423</v>
      </c>
      <c r="G41" s="1348">
        <v>29837</v>
      </c>
      <c r="H41" s="1348">
        <v>25903</v>
      </c>
      <c r="I41" s="1348">
        <v>28727</v>
      </c>
      <c r="J41" s="1348">
        <v>31919</v>
      </c>
      <c r="K41" s="1348">
        <v>26240</v>
      </c>
      <c r="L41" s="1348">
        <v>26578</v>
      </c>
      <c r="M41" s="1368" t="s">
        <v>6740</v>
      </c>
      <c r="N41" s="1390" t="s">
        <v>6741</v>
      </c>
    </row>
    <row r="42" spans="1:14" ht="14.25" customHeight="1">
      <c r="A42" s="2876" t="s">
        <v>6769</v>
      </c>
      <c r="B42" s="1348">
        <v>1963</v>
      </c>
      <c r="C42" s="1348">
        <v>1803</v>
      </c>
      <c r="D42" s="1348">
        <v>2264</v>
      </c>
      <c r="E42" s="1348">
        <v>2031</v>
      </c>
      <c r="F42" s="1348">
        <v>2049</v>
      </c>
      <c r="G42" s="1348">
        <v>1953</v>
      </c>
      <c r="H42" s="1348">
        <v>2251</v>
      </c>
      <c r="I42" s="1348">
        <v>2791</v>
      </c>
      <c r="J42" s="1348">
        <v>3353</v>
      </c>
      <c r="K42" s="1348">
        <v>3224</v>
      </c>
      <c r="L42" s="1348">
        <v>3135</v>
      </c>
      <c r="M42" s="1368"/>
      <c r="N42" s="1369"/>
    </row>
    <row r="43" spans="1:14" ht="14.25" customHeight="1">
      <c r="A43" s="2876" t="s">
        <v>6770</v>
      </c>
      <c r="B43" s="1348">
        <v>638</v>
      </c>
      <c r="C43" s="1348">
        <v>787</v>
      </c>
      <c r="D43" s="1348">
        <v>694</v>
      </c>
      <c r="E43" s="1348">
        <v>497</v>
      </c>
      <c r="F43" s="1348">
        <v>469</v>
      </c>
      <c r="G43" s="1348">
        <v>732</v>
      </c>
      <c r="H43" s="1348">
        <v>830</v>
      </c>
      <c r="I43" s="1348">
        <v>920</v>
      </c>
      <c r="J43" s="1348">
        <v>779</v>
      </c>
      <c r="K43" s="1348">
        <v>485</v>
      </c>
      <c r="L43" s="1348">
        <v>495</v>
      </c>
      <c r="M43" s="1368"/>
      <c r="N43" s="1369"/>
    </row>
    <row r="44" spans="1:14" ht="14.25" customHeight="1">
      <c r="A44" s="2876" t="s">
        <v>6771</v>
      </c>
      <c r="B44" s="1348">
        <v>1626</v>
      </c>
      <c r="C44" s="1348">
        <v>1864</v>
      </c>
      <c r="D44" s="1348">
        <v>1320</v>
      </c>
      <c r="E44" s="1348">
        <v>2076</v>
      </c>
      <c r="F44" s="1348">
        <v>1390</v>
      </c>
      <c r="G44" s="1348">
        <v>1364</v>
      </c>
      <c r="H44" s="1348">
        <v>1741</v>
      </c>
      <c r="I44" s="1348">
        <v>1640</v>
      </c>
      <c r="J44" s="1348">
        <v>1681</v>
      </c>
      <c r="K44" s="1348">
        <v>1525</v>
      </c>
      <c r="L44" s="1348">
        <v>1037</v>
      </c>
      <c r="M44" s="1368"/>
      <c r="N44" s="1369"/>
    </row>
    <row r="45" spans="1:14" ht="14.25" customHeight="1">
      <c r="A45" s="2876" t="s">
        <v>6772</v>
      </c>
      <c r="B45" s="1348">
        <v>73</v>
      </c>
      <c r="C45" s="1348">
        <v>99</v>
      </c>
      <c r="D45" s="1348">
        <v>102</v>
      </c>
      <c r="E45" s="1348">
        <v>78</v>
      </c>
      <c r="F45" s="1348">
        <v>70</v>
      </c>
      <c r="G45" s="1348">
        <v>60</v>
      </c>
      <c r="H45" s="1348">
        <v>39</v>
      </c>
      <c r="I45" s="1348">
        <v>9</v>
      </c>
      <c r="J45" s="1348">
        <v>152</v>
      </c>
      <c r="K45" s="1348">
        <v>11</v>
      </c>
      <c r="L45" s="1348">
        <v>16</v>
      </c>
      <c r="M45" s="1368"/>
      <c r="N45" s="1369"/>
    </row>
    <row r="46" spans="1:14" ht="14.25" customHeight="1">
      <c r="A46" s="2876" t="s">
        <v>6773</v>
      </c>
      <c r="B46" s="1348">
        <v>1156</v>
      </c>
      <c r="C46" s="1348">
        <v>661</v>
      </c>
      <c r="D46" s="1348">
        <v>726</v>
      </c>
      <c r="E46" s="1348">
        <v>1026</v>
      </c>
      <c r="F46" s="1348">
        <v>555</v>
      </c>
      <c r="G46" s="1348">
        <v>581</v>
      </c>
      <c r="H46" s="1348">
        <v>486</v>
      </c>
      <c r="I46" s="1348">
        <v>517</v>
      </c>
      <c r="J46" s="1348">
        <v>464</v>
      </c>
      <c r="K46" s="1348">
        <v>542</v>
      </c>
      <c r="L46" s="1348">
        <v>550</v>
      </c>
      <c r="M46" s="1368"/>
      <c r="N46" s="1369"/>
    </row>
    <row r="47" spans="1:14" ht="14.25" customHeight="1">
      <c r="A47" s="2876" t="s">
        <v>6774</v>
      </c>
      <c r="B47" s="1348">
        <v>318</v>
      </c>
      <c r="C47" s="1348">
        <v>359</v>
      </c>
      <c r="D47" s="1348">
        <v>304</v>
      </c>
      <c r="E47" s="1348">
        <v>377</v>
      </c>
      <c r="F47" s="1348">
        <v>399</v>
      </c>
      <c r="G47" s="1348">
        <v>152</v>
      </c>
      <c r="H47" s="1348">
        <v>224</v>
      </c>
      <c r="I47" s="1348">
        <v>402</v>
      </c>
      <c r="J47" s="1348">
        <v>476</v>
      </c>
      <c r="K47" s="1348">
        <v>554</v>
      </c>
      <c r="L47" s="1348">
        <v>533</v>
      </c>
      <c r="M47" s="1368"/>
      <c r="N47" s="1369"/>
    </row>
    <row r="48" spans="1:14" ht="14.25" customHeight="1">
      <c r="A48" s="2876" t="s">
        <v>6775</v>
      </c>
      <c r="B48" s="1348">
        <v>11</v>
      </c>
      <c r="C48" s="1348">
        <v>18</v>
      </c>
      <c r="D48" s="1348">
        <v>43</v>
      </c>
      <c r="E48" s="1348">
        <v>11</v>
      </c>
      <c r="F48" s="1348">
        <v>33</v>
      </c>
      <c r="G48" s="1348">
        <v>96</v>
      </c>
      <c r="H48" s="1348">
        <v>12</v>
      </c>
      <c r="I48" s="1348">
        <v>19</v>
      </c>
      <c r="J48" s="1348">
        <v>10</v>
      </c>
      <c r="K48" s="1348">
        <v>20</v>
      </c>
      <c r="L48" s="1348"/>
      <c r="M48" s="1368"/>
      <c r="N48" s="1369"/>
    </row>
    <row r="49" spans="1:14" ht="14.25" customHeight="1">
      <c r="A49" s="2876" t="s">
        <v>6776</v>
      </c>
      <c r="B49" s="1348">
        <v>4468</v>
      </c>
      <c r="C49" s="1348">
        <v>4463</v>
      </c>
      <c r="D49" s="1348">
        <v>3688</v>
      </c>
      <c r="E49" s="1348">
        <v>4057</v>
      </c>
      <c r="F49" s="1348">
        <v>4783</v>
      </c>
      <c r="G49" s="1348">
        <v>4816</v>
      </c>
      <c r="H49" s="1348">
        <v>3490</v>
      </c>
      <c r="I49" s="1348">
        <v>4264</v>
      </c>
      <c r="J49" s="1348">
        <v>5034</v>
      </c>
      <c r="K49" s="1348">
        <v>4084</v>
      </c>
      <c r="L49" s="1348">
        <v>3990</v>
      </c>
      <c r="M49" s="1368"/>
      <c r="N49" s="1369"/>
    </row>
    <row r="50" spans="1:14" ht="14.25" customHeight="1">
      <c r="A50" s="2876" t="s">
        <v>6777</v>
      </c>
      <c r="B50" s="1348">
        <v>79</v>
      </c>
      <c r="C50" s="1348">
        <v>79</v>
      </c>
      <c r="D50" s="1348">
        <v>73</v>
      </c>
      <c r="E50" s="1348">
        <v>93</v>
      </c>
      <c r="F50" s="1348">
        <v>108</v>
      </c>
      <c r="G50" s="1348">
        <v>88</v>
      </c>
      <c r="H50" s="1348">
        <v>56</v>
      </c>
      <c r="I50" s="1348">
        <v>73</v>
      </c>
      <c r="J50" s="1348">
        <v>58</v>
      </c>
      <c r="K50" s="1348">
        <v>36</v>
      </c>
      <c r="L50" s="1348">
        <v>21</v>
      </c>
      <c r="M50" s="1368"/>
      <c r="N50" s="1369"/>
    </row>
    <row r="51" spans="1:14" ht="14.25" customHeight="1">
      <c r="A51" s="2876" t="s">
        <v>6778</v>
      </c>
      <c r="B51" s="1348">
        <v>27</v>
      </c>
      <c r="C51" s="1348">
        <v>21</v>
      </c>
      <c r="D51" s="1348">
        <v>17</v>
      </c>
      <c r="E51" s="1348">
        <v>30</v>
      </c>
      <c r="F51" s="1348">
        <v>66</v>
      </c>
      <c r="G51" s="1348">
        <v>34</v>
      </c>
      <c r="H51" s="1348">
        <v>43</v>
      </c>
      <c r="I51" s="1348">
        <v>38</v>
      </c>
      <c r="J51" s="1348">
        <v>75</v>
      </c>
      <c r="K51" s="1348">
        <v>68</v>
      </c>
      <c r="L51" s="1348">
        <v>14</v>
      </c>
      <c r="M51" s="1368"/>
      <c r="N51" s="1369"/>
    </row>
    <row r="52" spans="1:14" ht="14.25" customHeight="1">
      <c r="A52" s="2876" t="s">
        <v>6779</v>
      </c>
      <c r="B52" s="1348">
        <v>320</v>
      </c>
      <c r="C52" s="1348">
        <v>259</v>
      </c>
      <c r="D52" s="1348">
        <v>335</v>
      </c>
      <c r="E52" s="1348">
        <v>270</v>
      </c>
      <c r="F52" s="1348">
        <v>297</v>
      </c>
      <c r="G52" s="1348">
        <v>265</v>
      </c>
      <c r="H52" s="1348">
        <v>228</v>
      </c>
      <c r="I52" s="1348">
        <v>254</v>
      </c>
      <c r="J52" s="1348">
        <v>202</v>
      </c>
      <c r="K52" s="1348">
        <v>182</v>
      </c>
      <c r="L52" s="1348">
        <v>257</v>
      </c>
      <c r="M52" s="1368"/>
      <c r="N52" s="1369"/>
    </row>
    <row r="53" spans="1:14" ht="14.25" customHeight="1">
      <c r="A53" s="2876" t="s">
        <v>6780</v>
      </c>
      <c r="B53" s="1348">
        <v>181</v>
      </c>
      <c r="C53" s="1348">
        <v>188</v>
      </c>
      <c r="D53" s="1348">
        <v>88</v>
      </c>
      <c r="E53" s="1348">
        <v>146</v>
      </c>
      <c r="F53" s="1348">
        <v>123</v>
      </c>
      <c r="G53" s="1348">
        <v>113</v>
      </c>
      <c r="H53" s="1348">
        <v>90</v>
      </c>
      <c r="I53" s="1348">
        <v>123</v>
      </c>
      <c r="J53" s="1348">
        <v>65</v>
      </c>
      <c r="K53" s="1348">
        <v>58</v>
      </c>
      <c r="L53" s="1348">
        <v>54</v>
      </c>
      <c r="M53" s="1368"/>
      <c r="N53" s="1369"/>
    </row>
    <row r="54" spans="1:14" ht="14.25" customHeight="1">
      <c r="A54" s="2876" t="s">
        <v>6781</v>
      </c>
      <c r="B54" s="1348">
        <v>130</v>
      </c>
      <c r="C54" s="1348">
        <v>106</v>
      </c>
      <c r="D54" s="1348">
        <v>81</v>
      </c>
      <c r="E54" s="1348">
        <v>100</v>
      </c>
      <c r="F54" s="1348">
        <v>61</v>
      </c>
      <c r="G54" s="1348">
        <v>92</v>
      </c>
      <c r="H54" s="1348">
        <v>70</v>
      </c>
      <c r="I54" s="1348">
        <v>87</v>
      </c>
      <c r="J54" s="1348">
        <v>73</v>
      </c>
      <c r="K54" s="1348">
        <v>52</v>
      </c>
      <c r="L54" s="1348">
        <v>49</v>
      </c>
      <c r="M54" s="1368"/>
      <c r="N54" s="1369"/>
    </row>
    <row r="55" spans="1:14" ht="14.25" customHeight="1">
      <c r="A55" s="2876" t="s">
        <v>6782</v>
      </c>
      <c r="B55" s="1348">
        <v>29</v>
      </c>
      <c r="C55" s="1348">
        <v>38</v>
      </c>
      <c r="D55" s="1348">
        <v>54</v>
      </c>
      <c r="E55" s="1348">
        <v>61</v>
      </c>
      <c r="F55" s="1348">
        <v>53</v>
      </c>
      <c r="G55" s="1348">
        <v>50</v>
      </c>
      <c r="H55" s="1348">
        <v>57</v>
      </c>
      <c r="I55" s="1348">
        <v>66</v>
      </c>
      <c r="J55" s="1348">
        <v>68</v>
      </c>
      <c r="K55" s="1348">
        <v>49</v>
      </c>
      <c r="L55" s="1348">
        <v>63</v>
      </c>
      <c r="M55" s="1368"/>
      <c r="N55" s="1369"/>
    </row>
    <row r="56" spans="1:14" ht="14.25" customHeight="1">
      <c r="A56" s="2876" t="s">
        <v>6783</v>
      </c>
      <c r="B56" s="1348">
        <v>3</v>
      </c>
      <c r="C56" s="1348">
        <v>1</v>
      </c>
      <c r="D56" s="1348">
        <v>3</v>
      </c>
      <c r="E56" s="1348">
        <v>2</v>
      </c>
      <c r="F56" s="1348">
        <v>80</v>
      </c>
      <c r="G56" s="1348"/>
      <c r="H56" s="1348"/>
      <c r="I56" s="1348"/>
      <c r="J56" s="1348">
        <v>17</v>
      </c>
      <c r="K56" s="1348">
        <v>10</v>
      </c>
      <c r="L56" s="1348">
        <v>14</v>
      </c>
      <c r="M56" s="1368"/>
      <c r="N56" s="1369"/>
    </row>
    <row r="57" spans="1:14" ht="14.25" customHeight="1">
      <c r="A57" s="2876" t="s">
        <v>6784</v>
      </c>
      <c r="B57" s="1348">
        <v>27</v>
      </c>
      <c r="C57" s="1348">
        <v>0</v>
      </c>
      <c r="D57" s="1348">
        <v>32</v>
      </c>
      <c r="E57" s="1348">
        <v>0</v>
      </c>
      <c r="F57" s="1348"/>
      <c r="G57" s="1348">
        <v>14</v>
      </c>
      <c r="H57" s="1348">
        <v>10</v>
      </c>
      <c r="I57" s="1348">
        <v>7</v>
      </c>
      <c r="J57" s="1348"/>
      <c r="K57" s="1348">
        <v>182</v>
      </c>
      <c r="L57" s="1348">
        <v>221</v>
      </c>
      <c r="M57" s="1368"/>
      <c r="N57" s="1369"/>
    </row>
    <row r="58" spans="1:14" ht="14.25" customHeight="1">
      <c r="A58" s="2876" t="s">
        <v>6785</v>
      </c>
      <c r="B58" s="1348">
        <v>3</v>
      </c>
      <c r="C58" s="1348">
        <v>2</v>
      </c>
      <c r="D58" s="1348">
        <v>0</v>
      </c>
      <c r="E58" s="1348">
        <v>0</v>
      </c>
      <c r="F58" s="1348"/>
      <c r="G58" s="1348"/>
      <c r="H58" s="1348"/>
      <c r="I58" s="1348"/>
      <c r="J58" s="1348"/>
      <c r="K58" s="1348">
        <v>4</v>
      </c>
      <c r="L58" s="1348">
        <v>4</v>
      </c>
      <c r="M58" s="1368"/>
      <c r="N58" s="1369"/>
    </row>
    <row r="59" spans="1:14" ht="14.25" customHeight="1">
      <c r="A59" s="2876" t="s">
        <v>6745</v>
      </c>
      <c r="B59" s="1348">
        <v>1</v>
      </c>
      <c r="C59" s="1348">
        <v>0</v>
      </c>
      <c r="D59" s="1348">
        <v>0</v>
      </c>
      <c r="E59" s="1348">
        <v>0</v>
      </c>
      <c r="F59" s="1348"/>
      <c r="G59" s="1348"/>
      <c r="H59" s="1348"/>
      <c r="I59" s="1348"/>
      <c r="J59" s="1348">
        <v>9</v>
      </c>
      <c r="K59" s="1348">
        <v>6</v>
      </c>
      <c r="L59" s="1348">
        <v>6</v>
      </c>
      <c r="M59" s="1368"/>
      <c r="N59" s="1369"/>
    </row>
    <row r="60" spans="1:14" ht="14.25" customHeight="1">
      <c r="A60" s="2876" t="s">
        <v>6786</v>
      </c>
      <c r="B60" s="1348">
        <v>0</v>
      </c>
      <c r="C60" s="1348">
        <v>1</v>
      </c>
      <c r="D60" s="1348">
        <v>0</v>
      </c>
      <c r="E60" s="1348">
        <v>0</v>
      </c>
      <c r="F60" s="1348"/>
      <c r="G60" s="1348"/>
      <c r="H60" s="1348"/>
      <c r="I60" s="1348"/>
      <c r="J60" s="1348"/>
      <c r="K60" s="1348"/>
      <c r="L60" s="1348"/>
      <c r="M60" s="1368"/>
      <c r="N60" s="1369"/>
    </row>
    <row r="61" spans="1:14" ht="14.25" customHeight="1">
      <c r="A61" s="2876" t="s">
        <v>6787</v>
      </c>
      <c r="B61" s="1348">
        <v>0</v>
      </c>
      <c r="C61" s="1348">
        <v>1</v>
      </c>
      <c r="D61" s="1348">
        <v>0</v>
      </c>
      <c r="E61" s="1348">
        <v>1</v>
      </c>
      <c r="F61" s="1348"/>
      <c r="G61" s="1348"/>
      <c r="H61" s="1348"/>
      <c r="I61" s="1348"/>
      <c r="J61" s="1348"/>
      <c r="K61" s="1348"/>
      <c r="L61" s="1348"/>
      <c r="M61" s="1368"/>
      <c r="N61" s="1369"/>
    </row>
    <row r="62" spans="1:14" ht="14.25" customHeight="1">
      <c r="A62" s="2876" t="s">
        <v>6788</v>
      </c>
      <c r="B62" s="1348">
        <v>0</v>
      </c>
      <c r="C62" s="1348">
        <v>4</v>
      </c>
      <c r="D62" s="1348">
        <v>0</v>
      </c>
      <c r="E62" s="1348">
        <v>19</v>
      </c>
      <c r="F62" s="1348">
        <v>19</v>
      </c>
      <c r="G62" s="1348">
        <v>13</v>
      </c>
      <c r="H62" s="1348">
        <v>15</v>
      </c>
      <c r="I62" s="1348">
        <v>83</v>
      </c>
      <c r="J62" s="1348">
        <v>138</v>
      </c>
      <c r="K62" s="1348">
        <v>182</v>
      </c>
      <c r="L62" s="1348">
        <v>137</v>
      </c>
      <c r="M62" s="1368"/>
      <c r="N62" s="1369"/>
    </row>
    <row r="63" spans="1:14" ht="14.25" customHeight="1">
      <c r="A63" s="2876" t="s">
        <v>6789</v>
      </c>
      <c r="B63" s="1348">
        <v>0</v>
      </c>
      <c r="C63" s="1348">
        <v>0</v>
      </c>
      <c r="D63" s="1348">
        <v>18</v>
      </c>
      <c r="E63" s="1348">
        <v>0</v>
      </c>
      <c r="F63" s="1348"/>
      <c r="G63" s="1348"/>
      <c r="H63" s="1348"/>
      <c r="I63" s="1348"/>
      <c r="J63" s="1348"/>
      <c r="K63" s="1348">
        <v>103</v>
      </c>
      <c r="L63" s="1348">
        <v>207</v>
      </c>
      <c r="M63" s="1368"/>
      <c r="N63" s="1369"/>
    </row>
    <row r="64" spans="1:14" ht="14.25" customHeight="1">
      <c r="A64" s="2876" t="s">
        <v>6790</v>
      </c>
      <c r="B64" s="1348">
        <v>0</v>
      </c>
      <c r="C64" s="1348">
        <v>0</v>
      </c>
      <c r="D64" s="1348">
        <v>0</v>
      </c>
      <c r="E64" s="1348">
        <v>6</v>
      </c>
      <c r="F64" s="1348">
        <v>6</v>
      </c>
      <c r="G64" s="1348"/>
      <c r="H64" s="1348"/>
      <c r="I64" s="1348">
        <v>3</v>
      </c>
      <c r="J64" s="1348">
        <v>13</v>
      </c>
      <c r="K64" s="1348"/>
      <c r="L64" s="1348">
        <v>30</v>
      </c>
      <c r="M64" s="1368"/>
      <c r="N64" s="1369"/>
    </row>
    <row r="65" spans="1:14" ht="14.25" customHeight="1">
      <c r="A65" s="2876" t="s">
        <v>6791</v>
      </c>
      <c r="B65" s="1348">
        <v>0</v>
      </c>
      <c r="C65" s="1348">
        <v>0</v>
      </c>
      <c r="D65" s="1348">
        <v>50</v>
      </c>
      <c r="E65" s="1348">
        <v>0</v>
      </c>
      <c r="F65" s="1348"/>
      <c r="G65" s="1348"/>
      <c r="H65" s="1348">
        <v>6</v>
      </c>
      <c r="I65" s="1348">
        <v>92</v>
      </c>
      <c r="J65" s="1348">
        <v>118</v>
      </c>
      <c r="K65" s="1348">
        <v>257</v>
      </c>
      <c r="L65" s="1348">
        <v>35</v>
      </c>
      <c r="M65" s="1368"/>
      <c r="N65" s="1369"/>
    </row>
    <row r="66" spans="1:14" ht="14.25" customHeight="1">
      <c r="A66" s="2876" t="s">
        <v>6792</v>
      </c>
      <c r="B66" s="1348"/>
      <c r="C66" s="1348"/>
      <c r="D66" s="1348"/>
      <c r="E66" s="1348"/>
      <c r="F66" s="1348"/>
      <c r="G66" s="1348"/>
      <c r="H66" s="1348"/>
      <c r="I66" s="1348"/>
      <c r="J66" s="1348">
        <v>4</v>
      </c>
      <c r="K66" s="1348">
        <v>6</v>
      </c>
      <c r="L66" s="1348">
        <v>3</v>
      </c>
      <c r="M66" s="1368"/>
      <c r="N66" s="1369"/>
    </row>
    <row r="67" spans="1:14" ht="14.25" customHeight="1">
      <c r="A67" s="2876" t="s">
        <v>6793</v>
      </c>
      <c r="B67" s="1348"/>
      <c r="C67" s="1348"/>
      <c r="D67" s="1348"/>
      <c r="E67" s="1348"/>
      <c r="F67" s="1348"/>
      <c r="G67" s="1348"/>
      <c r="H67" s="1348"/>
      <c r="I67" s="1348"/>
      <c r="J67" s="1348">
        <v>5</v>
      </c>
      <c r="K67" s="1348">
        <v>9</v>
      </c>
      <c r="L67" s="1348">
        <v>4</v>
      </c>
      <c r="M67" s="1368"/>
      <c r="N67" s="1369"/>
    </row>
    <row r="68" spans="1:14" ht="14.25" customHeight="1">
      <c r="A68" s="2876" t="s">
        <v>6794</v>
      </c>
      <c r="B68" s="1348"/>
      <c r="C68" s="1348"/>
      <c r="D68" s="1348"/>
      <c r="E68" s="1348"/>
      <c r="F68" s="1348"/>
      <c r="G68" s="1348"/>
      <c r="H68" s="1348"/>
      <c r="I68" s="1348"/>
      <c r="J68" s="1348">
        <v>14</v>
      </c>
      <c r="K68" s="1348">
        <v>1</v>
      </c>
      <c r="L68" s="1348">
        <v>12</v>
      </c>
      <c r="M68" s="1368"/>
      <c r="N68" s="1369"/>
    </row>
    <row r="69" spans="1:14" ht="14.25" customHeight="1" thickBot="1">
      <c r="A69" s="2877" t="s">
        <v>6795</v>
      </c>
      <c r="B69" s="1348"/>
      <c r="C69" s="1348"/>
      <c r="D69" s="1348"/>
      <c r="E69" s="1348"/>
      <c r="F69" s="1348"/>
      <c r="G69" s="1348"/>
      <c r="H69" s="1348"/>
      <c r="I69" s="1348"/>
      <c r="J69" s="1348">
        <v>32</v>
      </c>
      <c r="K69" s="1348"/>
      <c r="L69" s="1348"/>
      <c r="M69" s="1368"/>
      <c r="N69" s="1369"/>
    </row>
    <row r="70" spans="1:14" ht="14.25" customHeight="1" thickBot="1">
      <c r="A70" s="2878" t="s">
        <v>8</v>
      </c>
      <c r="B70" s="1927">
        <v>40458</v>
      </c>
      <c r="C70" s="1927">
        <v>40952</v>
      </c>
      <c r="D70" s="1927">
        <v>36206</v>
      </c>
      <c r="E70" s="1927">
        <v>39885</v>
      </c>
      <c r="F70" s="1927">
        <v>38984</v>
      </c>
      <c r="G70" s="1927">
        <v>40260</v>
      </c>
      <c r="H70" s="1927">
        <v>35545</v>
      </c>
      <c r="I70" s="1927">
        <v>40115</v>
      </c>
      <c r="J70" s="1927">
        <v>44704</v>
      </c>
      <c r="K70" s="1927">
        <v>37890</v>
      </c>
      <c r="L70" s="1927">
        <v>37465</v>
      </c>
      <c r="M70" s="1927"/>
      <c r="N70" s="1928"/>
    </row>
  </sheetData>
  <mergeCells count="1">
    <mergeCell ref="A1:H1"/>
  </mergeCells>
  <hyperlinks>
    <hyperlink ref="A1:F1" location="'VRIJE TIJD'!A1" display="EVENEMENT OF PRIVE FEEST ORGANISEREN" xr:uid="{00000000-0004-0000-1C00-000000000000}"/>
  </hyperlinks>
  <pageMargins left="0.7" right="0.7" top="0.75" bottom="0.75" header="0.3" footer="0.3"/>
  <pageSetup paperSize="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5" tint="0.39997558519241921"/>
  </sheetPr>
  <dimension ref="A1:Q235"/>
  <sheetViews>
    <sheetView workbookViewId="0">
      <selection activeCell="L35" sqref="L35"/>
    </sheetView>
  </sheetViews>
  <sheetFormatPr defaultColWidth="28.7109375" defaultRowHeight="14.25" customHeight="1"/>
  <cols>
    <col min="1" max="1" width="38.7109375" style="1364" customWidth="1"/>
    <col min="2" max="5" width="9.5703125" style="1363" bestFit="1" customWidth="1"/>
    <col min="6" max="6" width="10.42578125" style="1363" customWidth="1"/>
    <col min="7" max="7" width="8.5703125" style="1363" customWidth="1"/>
    <col min="8" max="10" width="7.85546875" style="1363" bestFit="1" customWidth="1"/>
    <col min="11" max="15" width="7.85546875" style="1364" bestFit="1" customWidth="1"/>
    <col min="16" max="16" width="7.5703125" style="1364" bestFit="1" customWidth="1"/>
    <col min="17" max="17" width="8.7109375" style="1364" bestFit="1" customWidth="1"/>
    <col min="18" max="18" width="7.5703125" style="1364" bestFit="1" customWidth="1"/>
    <col min="19" max="19" width="8.7109375" style="1364" bestFit="1" customWidth="1"/>
    <col min="20" max="20" width="7.28515625" style="1364" bestFit="1" customWidth="1"/>
    <col min="21" max="21" width="8.7109375" style="1364" bestFit="1" customWidth="1"/>
    <col min="22" max="22" width="22.7109375" style="1364" customWidth="1"/>
    <col min="23" max="23" width="18.28515625" style="1364" customWidth="1"/>
    <col min="24" max="24" width="13.85546875" style="1364" customWidth="1"/>
    <col min="25" max="25" width="14" style="1364" customWidth="1"/>
    <col min="26" max="26" width="9.28515625" style="1364" customWidth="1"/>
    <col min="27" max="27" width="12.7109375" style="1364" customWidth="1"/>
    <col min="28" max="28" width="6.42578125" style="1364" customWidth="1"/>
    <col min="29" max="29" width="14.42578125" style="1364" customWidth="1"/>
    <col min="30" max="30" width="10.28515625" style="1364" customWidth="1"/>
    <col min="31" max="31" width="12" style="1364" customWidth="1"/>
    <col min="32" max="32" width="8.7109375" style="1364" customWidth="1"/>
    <col min="33" max="33" width="10.5703125" style="1364" customWidth="1"/>
    <col min="34" max="34" width="16.42578125" style="1364" customWidth="1"/>
    <col min="35" max="35" width="15.140625" style="1364" customWidth="1"/>
    <col min="36" max="36" width="17" style="1364" customWidth="1"/>
    <col min="37" max="37" width="20.140625" style="1364" customWidth="1"/>
    <col min="38" max="38" width="20.28515625" style="1364" customWidth="1"/>
    <col min="39" max="256" width="28.7109375" style="1364"/>
    <col min="257" max="257" width="38.7109375" style="1364" customWidth="1"/>
    <col min="258" max="258" width="19.7109375" style="1364" bestFit="1" customWidth="1"/>
    <col min="259" max="259" width="11.140625" style="1364" bestFit="1" customWidth="1"/>
    <col min="260" max="260" width="18.42578125" style="1364" customWidth="1"/>
    <col min="261" max="261" width="16" style="1364" bestFit="1" customWidth="1"/>
    <col min="262" max="262" width="21.5703125" style="1364" customWidth="1"/>
    <col min="263" max="263" width="14.140625" style="1364" customWidth="1"/>
    <col min="264" max="264" width="12" style="1364" customWidth="1"/>
    <col min="265" max="265" width="17.7109375" style="1364" customWidth="1"/>
    <col min="266" max="266" width="16" style="1364" customWidth="1"/>
    <col min="267" max="268" width="16.7109375" style="1364" customWidth="1"/>
    <col min="269" max="269" width="28" style="1364" customWidth="1"/>
    <col min="270" max="270" width="17.7109375" style="1364" customWidth="1"/>
    <col min="271" max="271" width="12.28515625" style="1364" customWidth="1"/>
    <col min="272" max="272" width="7.5703125" style="1364" bestFit="1" customWidth="1"/>
    <col min="273" max="273" width="8.7109375" style="1364" bestFit="1" customWidth="1"/>
    <col min="274" max="274" width="7.5703125" style="1364" bestFit="1" customWidth="1"/>
    <col min="275" max="275" width="8.7109375" style="1364" bestFit="1" customWidth="1"/>
    <col min="276" max="276" width="7.28515625" style="1364" bestFit="1" customWidth="1"/>
    <col min="277" max="277" width="8.7109375" style="1364" bestFit="1" customWidth="1"/>
    <col min="278" max="278" width="22.7109375" style="1364" customWidth="1"/>
    <col min="279" max="279" width="18.28515625" style="1364" customWidth="1"/>
    <col min="280" max="280" width="13.85546875" style="1364" customWidth="1"/>
    <col min="281" max="281" width="14" style="1364" customWidth="1"/>
    <col min="282" max="282" width="9.28515625" style="1364" customWidth="1"/>
    <col min="283" max="283" width="12.7109375" style="1364" customWidth="1"/>
    <col min="284" max="284" width="6.42578125" style="1364" customWidth="1"/>
    <col min="285" max="285" width="14.42578125" style="1364" customWidth="1"/>
    <col min="286" max="286" width="10.28515625" style="1364" customWidth="1"/>
    <col min="287" max="287" width="12" style="1364" customWidth="1"/>
    <col min="288" max="288" width="8.7109375" style="1364" customWidth="1"/>
    <col min="289" max="289" width="10.5703125" style="1364" customWidth="1"/>
    <col min="290" max="290" width="16.42578125" style="1364" customWidth="1"/>
    <col min="291" max="291" width="15.140625" style="1364" customWidth="1"/>
    <col min="292" max="292" width="17" style="1364" customWidth="1"/>
    <col min="293" max="293" width="20.140625" style="1364" customWidth="1"/>
    <col min="294" max="294" width="20.28515625" style="1364" customWidth="1"/>
    <col min="295" max="512" width="28.7109375" style="1364"/>
    <col min="513" max="513" width="38.7109375" style="1364" customWidth="1"/>
    <col min="514" max="514" width="19.7109375" style="1364" bestFit="1" customWidth="1"/>
    <col min="515" max="515" width="11.140625" style="1364" bestFit="1" customWidth="1"/>
    <col min="516" max="516" width="18.42578125" style="1364" customWidth="1"/>
    <col min="517" max="517" width="16" style="1364" bestFit="1" customWidth="1"/>
    <col min="518" max="518" width="21.5703125" style="1364" customWidth="1"/>
    <col min="519" max="519" width="14.140625" style="1364" customWidth="1"/>
    <col min="520" max="520" width="12" style="1364" customWidth="1"/>
    <col min="521" max="521" width="17.7109375" style="1364" customWidth="1"/>
    <col min="522" max="522" width="16" style="1364" customWidth="1"/>
    <col min="523" max="524" width="16.7109375" style="1364" customWidth="1"/>
    <col min="525" max="525" width="28" style="1364" customWidth="1"/>
    <col min="526" max="526" width="17.7109375" style="1364" customWidth="1"/>
    <col min="527" max="527" width="12.28515625" style="1364" customWidth="1"/>
    <col min="528" max="528" width="7.5703125" style="1364" bestFit="1" customWidth="1"/>
    <col min="529" max="529" width="8.7109375" style="1364" bestFit="1" customWidth="1"/>
    <col min="530" max="530" width="7.5703125" style="1364" bestFit="1" customWidth="1"/>
    <col min="531" max="531" width="8.7109375" style="1364" bestFit="1" customWidth="1"/>
    <col min="532" max="532" width="7.28515625" style="1364" bestFit="1" customWidth="1"/>
    <col min="533" max="533" width="8.7109375" style="1364" bestFit="1" customWidth="1"/>
    <col min="534" max="534" width="22.7109375" style="1364" customWidth="1"/>
    <col min="535" max="535" width="18.28515625" style="1364" customWidth="1"/>
    <col min="536" max="536" width="13.85546875" style="1364" customWidth="1"/>
    <col min="537" max="537" width="14" style="1364" customWidth="1"/>
    <col min="538" max="538" width="9.28515625" style="1364" customWidth="1"/>
    <col min="539" max="539" width="12.7109375" style="1364" customWidth="1"/>
    <col min="540" max="540" width="6.42578125" style="1364" customWidth="1"/>
    <col min="541" max="541" width="14.42578125" style="1364" customWidth="1"/>
    <col min="542" max="542" width="10.28515625" style="1364" customWidth="1"/>
    <col min="543" max="543" width="12" style="1364" customWidth="1"/>
    <col min="544" max="544" width="8.7109375" style="1364" customWidth="1"/>
    <col min="545" max="545" width="10.5703125" style="1364" customWidth="1"/>
    <col min="546" max="546" width="16.42578125" style="1364" customWidth="1"/>
    <col min="547" max="547" width="15.140625" style="1364" customWidth="1"/>
    <col min="548" max="548" width="17" style="1364" customWidth="1"/>
    <col min="549" max="549" width="20.140625" style="1364" customWidth="1"/>
    <col min="550" max="550" width="20.28515625" style="1364" customWidth="1"/>
    <col min="551" max="768" width="28.7109375" style="1364"/>
    <col min="769" max="769" width="38.7109375" style="1364" customWidth="1"/>
    <col min="770" max="770" width="19.7109375" style="1364" bestFit="1" customWidth="1"/>
    <col min="771" max="771" width="11.140625" style="1364" bestFit="1" customWidth="1"/>
    <col min="772" max="772" width="18.42578125" style="1364" customWidth="1"/>
    <col min="773" max="773" width="16" style="1364" bestFit="1" customWidth="1"/>
    <col min="774" max="774" width="21.5703125" style="1364" customWidth="1"/>
    <col min="775" max="775" width="14.140625" style="1364" customWidth="1"/>
    <col min="776" max="776" width="12" style="1364" customWidth="1"/>
    <col min="777" max="777" width="17.7109375" style="1364" customWidth="1"/>
    <col min="778" max="778" width="16" style="1364" customWidth="1"/>
    <col min="779" max="780" width="16.7109375" style="1364" customWidth="1"/>
    <col min="781" max="781" width="28" style="1364" customWidth="1"/>
    <col min="782" max="782" width="17.7109375" style="1364" customWidth="1"/>
    <col min="783" max="783" width="12.28515625" style="1364" customWidth="1"/>
    <col min="784" max="784" width="7.5703125" style="1364" bestFit="1" customWidth="1"/>
    <col min="785" max="785" width="8.7109375" style="1364" bestFit="1" customWidth="1"/>
    <col min="786" max="786" width="7.5703125" style="1364" bestFit="1" customWidth="1"/>
    <col min="787" max="787" width="8.7109375" style="1364" bestFit="1" customWidth="1"/>
    <col min="788" max="788" width="7.28515625" style="1364" bestFit="1" customWidth="1"/>
    <col min="789" max="789" width="8.7109375" style="1364" bestFit="1" customWidth="1"/>
    <col min="790" max="790" width="22.7109375" style="1364" customWidth="1"/>
    <col min="791" max="791" width="18.28515625" style="1364" customWidth="1"/>
    <col min="792" max="792" width="13.85546875" style="1364" customWidth="1"/>
    <col min="793" max="793" width="14" style="1364" customWidth="1"/>
    <col min="794" max="794" width="9.28515625" style="1364" customWidth="1"/>
    <col min="795" max="795" width="12.7109375" style="1364" customWidth="1"/>
    <col min="796" max="796" width="6.42578125" style="1364" customWidth="1"/>
    <col min="797" max="797" width="14.42578125" style="1364" customWidth="1"/>
    <col min="798" max="798" width="10.28515625" style="1364" customWidth="1"/>
    <col min="799" max="799" width="12" style="1364" customWidth="1"/>
    <col min="800" max="800" width="8.7109375" style="1364" customWidth="1"/>
    <col min="801" max="801" width="10.5703125" style="1364" customWidth="1"/>
    <col min="802" max="802" width="16.42578125" style="1364" customWidth="1"/>
    <col min="803" max="803" width="15.140625" style="1364" customWidth="1"/>
    <col min="804" max="804" width="17" style="1364" customWidth="1"/>
    <col min="805" max="805" width="20.140625" style="1364" customWidth="1"/>
    <col min="806" max="806" width="20.28515625" style="1364" customWidth="1"/>
    <col min="807" max="1024" width="28.7109375" style="1364"/>
    <col min="1025" max="1025" width="38.7109375" style="1364" customWidth="1"/>
    <col min="1026" max="1026" width="19.7109375" style="1364" bestFit="1" customWidth="1"/>
    <col min="1027" max="1027" width="11.140625" style="1364" bestFit="1" customWidth="1"/>
    <col min="1028" max="1028" width="18.42578125" style="1364" customWidth="1"/>
    <col min="1029" max="1029" width="16" style="1364" bestFit="1" customWidth="1"/>
    <col min="1030" max="1030" width="21.5703125" style="1364" customWidth="1"/>
    <col min="1031" max="1031" width="14.140625" style="1364" customWidth="1"/>
    <col min="1032" max="1032" width="12" style="1364" customWidth="1"/>
    <col min="1033" max="1033" width="17.7109375" style="1364" customWidth="1"/>
    <col min="1034" max="1034" width="16" style="1364" customWidth="1"/>
    <col min="1035" max="1036" width="16.7109375" style="1364" customWidth="1"/>
    <col min="1037" max="1037" width="28" style="1364" customWidth="1"/>
    <col min="1038" max="1038" width="17.7109375" style="1364" customWidth="1"/>
    <col min="1039" max="1039" width="12.28515625" style="1364" customWidth="1"/>
    <col min="1040" max="1040" width="7.5703125" style="1364" bestFit="1" customWidth="1"/>
    <col min="1041" max="1041" width="8.7109375" style="1364" bestFit="1" customWidth="1"/>
    <col min="1042" max="1042" width="7.5703125" style="1364" bestFit="1" customWidth="1"/>
    <col min="1043" max="1043" width="8.7109375" style="1364" bestFit="1" customWidth="1"/>
    <col min="1044" max="1044" width="7.28515625" style="1364" bestFit="1" customWidth="1"/>
    <col min="1045" max="1045" width="8.7109375" style="1364" bestFit="1" customWidth="1"/>
    <col min="1046" max="1046" width="22.7109375" style="1364" customWidth="1"/>
    <col min="1047" max="1047" width="18.28515625" style="1364" customWidth="1"/>
    <col min="1048" max="1048" width="13.85546875" style="1364" customWidth="1"/>
    <col min="1049" max="1049" width="14" style="1364" customWidth="1"/>
    <col min="1050" max="1050" width="9.28515625" style="1364" customWidth="1"/>
    <col min="1051" max="1051" width="12.7109375" style="1364" customWidth="1"/>
    <col min="1052" max="1052" width="6.42578125" style="1364" customWidth="1"/>
    <col min="1053" max="1053" width="14.42578125" style="1364" customWidth="1"/>
    <col min="1054" max="1054" width="10.28515625" style="1364" customWidth="1"/>
    <col min="1055" max="1055" width="12" style="1364" customWidth="1"/>
    <col min="1056" max="1056" width="8.7109375" style="1364" customWidth="1"/>
    <col min="1057" max="1057" width="10.5703125" style="1364" customWidth="1"/>
    <col min="1058" max="1058" width="16.42578125" style="1364" customWidth="1"/>
    <col min="1059" max="1059" width="15.140625" style="1364" customWidth="1"/>
    <col min="1060" max="1060" width="17" style="1364" customWidth="1"/>
    <col min="1061" max="1061" width="20.140625" style="1364" customWidth="1"/>
    <col min="1062" max="1062" width="20.28515625" style="1364" customWidth="1"/>
    <col min="1063" max="1280" width="28.7109375" style="1364"/>
    <col min="1281" max="1281" width="38.7109375" style="1364" customWidth="1"/>
    <col min="1282" max="1282" width="19.7109375" style="1364" bestFit="1" customWidth="1"/>
    <col min="1283" max="1283" width="11.140625" style="1364" bestFit="1" customWidth="1"/>
    <col min="1284" max="1284" width="18.42578125" style="1364" customWidth="1"/>
    <col min="1285" max="1285" width="16" style="1364" bestFit="1" customWidth="1"/>
    <col min="1286" max="1286" width="21.5703125" style="1364" customWidth="1"/>
    <col min="1287" max="1287" width="14.140625" style="1364" customWidth="1"/>
    <col min="1288" max="1288" width="12" style="1364" customWidth="1"/>
    <col min="1289" max="1289" width="17.7109375" style="1364" customWidth="1"/>
    <col min="1290" max="1290" width="16" style="1364" customWidth="1"/>
    <col min="1291" max="1292" width="16.7109375" style="1364" customWidth="1"/>
    <col min="1293" max="1293" width="28" style="1364" customWidth="1"/>
    <col min="1294" max="1294" width="17.7109375" style="1364" customWidth="1"/>
    <col min="1295" max="1295" width="12.28515625" style="1364" customWidth="1"/>
    <col min="1296" max="1296" width="7.5703125" style="1364" bestFit="1" customWidth="1"/>
    <col min="1297" max="1297" width="8.7109375" style="1364" bestFit="1" customWidth="1"/>
    <col min="1298" max="1298" width="7.5703125" style="1364" bestFit="1" customWidth="1"/>
    <col min="1299" max="1299" width="8.7109375" style="1364" bestFit="1" customWidth="1"/>
    <col min="1300" max="1300" width="7.28515625" style="1364" bestFit="1" customWidth="1"/>
    <col min="1301" max="1301" width="8.7109375" style="1364" bestFit="1" customWidth="1"/>
    <col min="1302" max="1302" width="22.7109375" style="1364" customWidth="1"/>
    <col min="1303" max="1303" width="18.28515625" style="1364" customWidth="1"/>
    <col min="1304" max="1304" width="13.85546875" style="1364" customWidth="1"/>
    <col min="1305" max="1305" width="14" style="1364" customWidth="1"/>
    <col min="1306" max="1306" width="9.28515625" style="1364" customWidth="1"/>
    <col min="1307" max="1307" width="12.7109375" style="1364" customWidth="1"/>
    <col min="1308" max="1308" width="6.42578125" style="1364" customWidth="1"/>
    <col min="1309" max="1309" width="14.42578125" style="1364" customWidth="1"/>
    <col min="1310" max="1310" width="10.28515625" style="1364" customWidth="1"/>
    <col min="1311" max="1311" width="12" style="1364" customWidth="1"/>
    <col min="1312" max="1312" width="8.7109375" style="1364" customWidth="1"/>
    <col min="1313" max="1313" width="10.5703125" style="1364" customWidth="1"/>
    <col min="1314" max="1314" width="16.42578125" style="1364" customWidth="1"/>
    <col min="1315" max="1315" width="15.140625" style="1364" customWidth="1"/>
    <col min="1316" max="1316" width="17" style="1364" customWidth="1"/>
    <col min="1317" max="1317" width="20.140625" style="1364" customWidth="1"/>
    <col min="1318" max="1318" width="20.28515625" style="1364" customWidth="1"/>
    <col min="1319" max="1536" width="28.7109375" style="1364"/>
    <col min="1537" max="1537" width="38.7109375" style="1364" customWidth="1"/>
    <col min="1538" max="1538" width="19.7109375" style="1364" bestFit="1" customWidth="1"/>
    <col min="1539" max="1539" width="11.140625" style="1364" bestFit="1" customWidth="1"/>
    <col min="1540" max="1540" width="18.42578125" style="1364" customWidth="1"/>
    <col min="1541" max="1541" width="16" style="1364" bestFit="1" customWidth="1"/>
    <col min="1542" max="1542" width="21.5703125" style="1364" customWidth="1"/>
    <col min="1543" max="1543" width="14.140625" style="1364" customWidth="1"/>
    <col min="1544" max="1544" width="12" style="1364" customWidth="1"/>
    <col min="1545" max="1545" width="17.7109375" style="1364" customWidth="1"/>
    <col min="1546" max="1546" width="16" style="1364" customWidth="1"/>
    <col min="1547" max="1548" width="16.7109375" style="1364" customWidth="1"/>
    <col min="1549" max="1549" width="28" style="1364" customWidth="1"/>
    <col min="1550" max="1550" width="17.7109375" style="1364" customWidth="1"/>
    <col min="1551" max="1551" width="12.28515625" style="1364" customWidth="1"/>
    <col min="1552" max="1552" width="7.5703125" style="1364" bestFit="1" customWidth="1"/>
    <col min="1553" max="1553" width="8.7109375" style="1364" bestFit="1" customWidth="1"/>
    <col min="1554" max="1554" width="7.5703125" style="1364" bestFit="1" customWidth="1"/>
    <col min="1555" max="1555" width="8.7109375" style="1364" bestFit="1" customWidth="1"/>
    <col min="1556" max="1556" width="7.28515625" style="1364" bestFit="1" customWidth="1"/>
    <col min="1557" max="1557" width="8.7109375" style="1364" bestFit="1" customWidth="1"/>
    <col min="1558" max="1558" width="22.7109375" style="1364" customWidth="1"/>
    <col min="1559" max="1559" width="18.28515625" style="1364" customWidth="1"/>
    <col min="1560" max="1560" width="13.85546875" style="1364" customWidth="1"/>
    <col min="1561" max="1561" width="14" style="1364" customWidth="1"/>
    <col min="1562" max="1562" width="9.28515625" style="1364" customWidth="1"/>
    <col min="1563" max="1563" width="12.7109375" style="1364" customWidth="1"/>
    <col min="1564" max="1564" width="6.42578125" style="1364" customWidth="1"/>
    <col min="1565" max="1565" width="14.42578125" style="1364" customWidth="1"/>
    <col min="1566" max="1566" width="10.28515625" style="1364" customWidth="1"/>
    <col min="1567" max="1567" width="12" style="1364" customWidth="1"/>
    <col min="1568" max="1568" width="8.7109375" style="1364" customWidth="1"/>
    <col min="1569" max="1569" width="10.5703125" style="1364" customWidth="1"/>
    <col min="1570" max="1570" width="16.42578125" style="1364" customWidth="1"/>
    <col min="1571" max="1571" width="15.140625" style="1364" customWidth="1"/>
    <col min="1572" max="1572" width="17" style="1364" customWidth="1"/>
    <col min="1573" max="1573" width="20.140625" style="1364" customWidth="1"/>
    <col min="1574" max="1574" width="20.28515625" style="1364" customWidth="1"/>
    <col min="1575" max="1792" width="28.7109375" style="1364"/>
    <col min="1793" max="1793" width="38.7109375" style="1364" customWidth="1"/>
    <col min="1794" max="1794" width="19.7109375" style="1364" bestFit="1" customWidth="1"/>
    <col min="1795" max="1795" width="11.140625" style="1364" bestFit="1" customWidth="1"/>
    <col min="1796" max="1796" width="18.42578125" style="1364" customWidth="1"/>
    <col min="1797" max="1797" width="16" style="1364" bestFit="1" customWidth="1"/>
    <col min="1798" max="1798" width="21.5703125" style="1364" customWidth="1"/>
    <col min="1799" max="1799" width="14.140625" style="1364" customWidth="1"/>
    <col min="1800" max="1800" width="12" style="1364" customWidth="1"/>
    <col min="1801" max="1801" width="17.7109375" style="1364" customWidth="1"/>
    <col min="1802" max="1802" width="16" style="1364" customWidth="1"/>
    <col min="1803" max="1804" width="16.7109375" style="1364" customWidth="1"/>
    <col min="1805" max="1805" width="28" style="1364" customWidth="1"/>
    <col min="1806" max="1806" width="17.7109375" style="1364" customWidth="1"/>
    <col min="1807" max="1807" width="12.28515625" style="1364" customWidth="1"/>
    <col min="1808" max="1808" width="7.5703125" style="1364" bestFit="1" customWidth="1"/>
    <col min="1809" max="1809" width="8.7109375" style="1364" bestFit="1" customWidth="1"/>
    <col min="1810" max="1810" width="7.5703125" style="1364" bestFit="1" customWidth="1"/>
    <col min="1811" max="1811" width="8.7109375" style="1364" bestFit="1" customWidth="1"/>
    <col min="1812" max="1812" width="7.28515625" style="1364" bestFit="1" customWidth="1"/>
    <col min="1813" max="1813" width="8.7109375" style="1364" bestFit="1" customWidth="1"/>
    <col min="1814" max="1814" width="22.7109375" style="1364" customWidth="1"/>
    <col min="1815" max="1815" width="18.28515625" style="1364" customWidth="1"/>
    <col min="1816" max="1816" width="13.85546875" style="1364" customWidth="1"/>
    <col min="1817" max="1817" width="14" style="1364" customWidth="1"/>
    <col min="1818" max="1818" width="9.28515625" style="1364" customWidth="1"/>
    <col min="1819" max="1819" width="12.7109375" style="1364" customWidth="1"/>
    <col min="1820" max="1820" width="6.42578125" style="1364" customWidth="1"/>
    <col min="1821" max="1821" width="14.42578125" style="1364" customWidth="1"/>
    <col min="1822" max="1822" width="10.28515625" style="1364" customWidth="1"/>
    <col min="1823" max="1823" width="12" style="1364" customWidth="1"/>
    <col min="1824" max="1824" width="8.7109375" style="1364" customWidth="1"/>
    <col min="1825" max="1825" width="10.5703125" style="1364" customWidth="1"/>
    <col min="1826" max="1826" width="16.42578125" style="1364" customWidth="1"/>
    <col min="1827" max="1827" width="15.140625" style="1364" customWidth="1"/>
    <col min="1828" max="1828" width="17" style="1364" customWidth="1"/>
    <col min="1829" max="1829" width="20.140625" style="1364" customWidth="1"/>
    <col min="1830" max="1830" width="20.28515625" style="1364" customWidth="1"/>
    <col min="1831" max="2048" width="28.7109375" style="1364"/>
    <col min="2049" max="2049" width="38.7109375" style="1364" customWidth="1"/>
    <col min="2050" max="2050" width="19.7109375" style="1364" bestFit="1" customWidth="1"/>
    <col min="2051" max="2051" width="11.140625" style="1364" bestFit="1" customWidth="1"/>
    <col min="2052" max="2052" width="18.42578125" style="1364" customWidth="1"/>
    <col min="2053" max="2053" width="16" style="1364" bestFit="1" customWidth="1"/>
    <col min="2054" max="2054" width="21.5703125" style="1364" customWidth="1"/>
    <col min="2055" max="2055" width="14.140625" style="1364" customWidth="1"/>
    <col min="2056" max="2056" width="12" style="1364" customWidth="1"/>
    <col min="2057" max="2057" width="17.7109375" style="1364" customWidth="1"/>
    <col min="2058" max="2058" width="16" style="1364" customWidth="1"/>
    <col min="2059" max="2060" width="16.7109375" style="1364" customWidth="1"/>
    <col min="2061" max="2061" width="28" style="1364" customWidth="1"/>
    <col min="2062" max="2062" width="17.7109375" style="1364" customWidth="1"/>
    <col min="2063" max="2063" width="12.28515625" style="1364" customWidth="1"/>
    <col min="2064" max="2064" width="7.5703125" style="1364" bestFit="1" customWidth="1"/>
    <col min="2065" max="2065" width="8.7109375" style="1364" bestFit="1" customWidth="1"/>
    <col min="2066" max="2066" width="7.5703125" style="1364" bestFit="1" customWidth="1"/>
    <col min="2067" max="2067" width="8.7109375" style="1364" bestFit="1" customWidth="1"/>
    <col min="2068" max="2068" width="7.28515625" style="1364" bestFit="1" customWidth="1"/>
    <col min="2069" max="2069" width="8.7109375" style="1364" bestFit="1" customWidth="1"/>
    <col min="2070" max="2070" width="22.7109375" style="1364" customWidth="1"/>
    <col min="2071" max="2071" width="18.28515625" style="1364" customWidth="1"/>
    <col min="2072" max="2072" width="13.85546875" style="1364" customWidth="1"/>
    <col min="2073" max="2073" width="14" style="1364" customWidth="1"/>
    <col min="2074" max="2074" width="9.28515625" style="1364" customWidth="1"/>
    <col min="2075" max="2075" width="12.7109375" style="1364" customWidth="1"/>
    <col min="2076" max="2076" width="6.42578125" style="1364" customWidth="1"/>
    <col min="2077" max="2077" width="14.42578125" style="1364" customWidth="1"/>
    <col min="2078" max="2078" width="10.28515625" style="1364" customWidth="1"/>
    <col min="2079" max="2079" width="12" style="1364" customWidth="1"/>
    <col min="2080" max="2080" width="8.7109375" style="1364" customWidth="1"/>
    <col min="2081" max="2081" width="10.5703125" style="1364" customWidth="1"/>
    <col min="2082" max="2082" width="16.42578125" style="1364" customWidth="1"/>
    <col min="2083" max="2083" width="15.140625" style="1364" customWidth="1"/>
    <col min="2084" max="2084" width="17" style="1364" customWidth="1"/>
    <col min="2085" max="2085" width="20.140625" style="1364" customWidth="1"/>
    <col min="2086" max="2086" width="20.28515625" style="1364" customWidth="1"/>
    <col min="2087" max="2304" width="28.7109375" style="1364"/>
    <col min="2305" max="2305" width="38.7109375" style="1364" customWidth="1"/>
    <col min="2306" max="2306" width="19.7109375" style="1364" bestFit="1" customWidth="1"/>
    <col min="2307" max="2307" width="11.140625" style="1364" bestFit="1" customWidth="1"/>
    <col min="2308" max="2308" width="18.42578125" style="1364" customWidth="1"/>
    <col min="2309" max="2309" width="16" style="1364" bestFit="1" customWidth="1"/>
    <col min="2310" max="2310" width="21.5703125" style="1364" customWidth="1"/>
    <col min="2311" max="2311" width="14.140625" style="1364" customWidth="1"/>
    <col min="2312" max="2312" width="12" style="1364" customWidth="1"/>
    <col min="2313" max="2313" width="17.7109375" style="1364" customWidth="1"/>
    <col min="2314" max="2314" width="16" style="1364" customWidth="1"/>
    <col min="2315" max="2316" width="16.7109375" style="1364" customWidth="1"/>
    <col min="2317" max="2317" width="28" style="1364" customWidth="1"/>
    <col min="2318" max="2318" width="17.7109375" style="1364" customWidth="1"/>
    <col min="2319" max="2319" width="12.28515625" style="1364" customWidth="1"/>
    <col min="2320" max="2320" width="7.5703125" style="1364" bestFit="1" customWidth="1"/>
    <col min="2321" max="2321" width="8.7109375" style="1364" bestFit="1" customWidth="1"/>
    <col min="2322" max="2322" width="7.5703125" style="1364" bestFit="1" customWidth="1"/>
    <col min="2323" max="2323" width="8.7109375" style="1364" bestFit="1" customWidth="1"/>
    <col min="2324" max="2324" width="7.28515625" style="1364" bestFit="1" customWidth="1"/>
    <col min="2325" max="2325" width="8.7109375" style="1364" bestFit="1" customWidth="1"/>
    <col min="2326" max="2326" width="22.7109375" style="1364" customWidth="1"/>
    <col min="2327" max="2327" width="18.28515625" style="1364" customWidth="1"/>
    <col min="2328" max="2328" width="13.85546875" style="1364" customWidth="1"/>
    <col min="2329" max="2329" width="14" style="1364" customWidth="1"/>
    <col min="2330" max="2330" width="9.28515625" style="1364" customWidth="1"/>
    <col min="2331" max="2331" width="12.7109375" style="1364" customWidth="1"/>
    <col min="2332" max="2332" width="6.42578125" style="1364" customWidth="1"/>
    <col min="2333" max="2333" width="14.42578125" style="1364" customWidth="1"/>
    <col min="2334" max="2334" width="10.28515625" style="1364" customWidth="1"/>
    <col min="2335" max="2335" width="12" style="1364" customWidth="1"/>
    <col min="2336" max="2336" width="8.7109375" style="1364" customWidth="1"/>
    <col min="2337" max="2337" width="10.5703125" style="1364" customWidth="1"/>
    <col min="2338" max="2338" width="16.42578125" style="1364" customWidth="1"/>
    <col min="2339" max="2339" width="15.140625" style="1364" customWidth="1"/>
    <col min="2340" max="2340" width="17" style="1364" customWidth="1"/>
    <col min="2341" max="2341" width="20.140625" style="1364" customWidth="1"/>
    <col min="2342" max="2342" width="20.28515625" style="1364" customWidth="1"/>
    <col min="2343" max="2560" width="28.7109375" style="1364"/>
    <col min="2561" max="2561" width="38.7109375" style="1364" customWidth="1"/>
    <col min="2562" max="2562" width="19.7109375" style="1364" bestFit="1" customWidth="1"/>
    <col min="2563" max="2563" width="11.140625" style="1364" bestFit="1" customWidth="1"/>
    <col min="2564" max="2564" width="18.42578125" style="1364" customWidth="1"/>
    <col min="2565" max="2565" width="16" style="1364" bestFit="1" customWidth="1"/>
    <col min="2566" max="2566" width="21.5703125" style="1364" customWidth="1"/>
    <col min="2567" max="2567" width="14.140625" style="1364" customWidth="1"/>
    <col min="2568" max="2568" width="12" style="1364" customWidth="1"/>
    <col min="2569" max="2569" width="17.7109375" style="1364" customWidth="1"/>
    <col min="2570" max="2570" width="16" style="1364" customWidth="1"/>
    <col min="2571" max="2572" width="16.7109375" style="1364" customWidth="1"/>
    <col min="2573" max="2573" width="28" style="1364" customWidth="1"/>
    <col min="2574" max="2574" width="17.7109375" style="1364" customWidth="1"/>
    <col min="2575" max="2575" width="12.28515625" style="1364" customWidth="1"/>
    <col min="2576" max="2576" width="7.5703125" style="1364" bestFit="1" customWidth="1"/>
    <col min="2577" max="2577" width="8.7109375" style="1364" bestFit="1" customWidth="1"/>
    <col min="2578" max="2578" width="7.5703125" style="1364" bestFit="1" customWidth="1"/>
    <col min="2579" max="2579" width="8.7109375" style="1364" bestFit="1" customWidth="1"/>
    <col min="2580" max="2580" width="7.28515625" style="1364" bestFit="1" customWidth="1"/>
    <col min="2581" max="2581" width="8.7109375" style="1364" bestFit="1" customWidth="1"/>
    <col min="2582" max="2582" width="22.7109375" style="1364" customWidth="1"/>
    <col min="2583" max="2583" width="18.28515625" style="1364" customWidth="1"/>
    <col min="2584" max="2584" width="13.85546875" style="1364" customWidth="1"/>
    <col min="2585" max="2585" width="14" style="1364" customWidth="1"/>
    <col min="2586" max="2586" width="9.28515625" style="1364" customWidth="1"/>
    <col min="2587" max="2587" width="12.7109375" style="1364" customWidth="1"/>
    <col min="2588" max="2588" width="6.42578125" style="1364" customWidth="1"/>
    <col min="2589" max="2589" width="14.42578125" style="1364" customWidth="1"/>
    <col min="2590" max="2590" width="10.28515625" style="1364" customWidth="1"/>
    <col min="2591" max="2591" width="12" style="1364" customWidth="1"/>
    <col min="2592" max="2592" width="8.7109375" style="1364" customWidth="1"/>
    <col min="2593" max="2593" width="10.5703125" style="1364" customWidth="1"/>
    <col min="2594" max="2594" width="16.42578125" style="1364" customWidth="1"/>
    <col min="2595" max="2595" width="15.140625" style="1364" customWidth="1"/>
    <col min="2596" max="2596" width="17" style="1364" customWidth="1"/>
    <col min="2597" max="2597" width="20.140625" style="1364" customWidth="1"/>
    <col min="2598" max="2598" width="20.28515625" style="1364" customWidth="1"/>
    <col min="2599" max="2816" width="28.7109375" style="1364"/>
    <col min="2817" max="2817" width="38.7109375" style="1364" customWidth="1"/>
    <col min="2818" max="2818" width="19.7109375" style="1364" bestFit="1" customWidth="1"/>
    <col min="2819" max="2819" width="11.140625" style="1364" bestFit="1" customWidth="1"/>
    <col min="2820" max="2820" width="18.42578125" style="1364" customWidth="1"/>
    <col min="2821" max="2821" width="16" style="1364" bestFit="1" customWidth="1"/>
    <col min="2822" max="2822" width="21.5703125" style="1364" customWidth="1"/>
    <col min="2823" max="2823" width="14.140625" style="1364" customWidth="1"/>
    <col min="2824" max="2824" width="12" style="1364" customWidth="1"/>
    <col min="2825" max="2825" width="17.7109375" style="1364" customWidth="1"/>
    <col min="2826" max="2826" width="16" style="1364" customWidth="1"/>
    <col min="2827" max="2828" width="16.7109375" style="1364" customWidth="1"/>
    <col min="2829" max="2829" width="28" style="1364" customWidth="1"/>
    <col min="2830" max="2830" width="17.7109375" style="1364" customWidth="1"/>
    <col min="2831" max="2831" width="12.28515625" style="1364" customWidth="1"/>
    <col min="2832" max="2832" width="7.5703125" style="1364" bestFit="1" customWidth="1"/>
    <col min="2833" max="2833" width="8.7109375" style="1364" bestFit="1" customWidth="1"/>
    <col min="2834" max="2834" width="7.5703125" style="1364" bestFit="1" customWidth="1"/>
    <col min="2835" max="2835" width="8.7109375" style="1364" bestFit="1" customWidth="1"/>
    <col min="2836" max="2836" width="7.28515625" style="1364" bestFit="1" customWidth="1"/>
    <col min="2837" max="2837" width="8.7109375" style="1364" bestFit="1" customWidth="1"/>
    <col min="2838" max="2838" width="22.7109375" style="1364" customWidth="1"/>
    <col min="2839" max="2839" width="18.28515625" style="1364" customWidth="1"/>
    <col min="2840" max="2840" width="13.85546875" style="1364" customWidth="1"/>
    <col min="2841" max="2841" width="14" style="1364" customWidth="1"/>
    <col min="2842" max="2842" width="9.28515625" style="1364" customWidth="1"/>
    <col min="2843" max="2843" width="12.7109375" style="1364" customWidth="1"/>
    <col min="2844" max="2844" width="6.42578125" style="1364" customWidth="1"/>
    <col min="2845" max="2845" width="14.42578125" style="1364" customWidth="1"/>
    <col min="2846" max="2846" width="10.28515625" style="1364" customWidth="1"/>
    <col min="2847" max="2847" width="12" style="1364" customWidth="1"/>
    <col min="2848" max="2848" width="8.7109375" style="1364" customWidth="1"/>
    <col min="2849" max="2849" width="10.5703125" style="1364" customWidth="1"/>
    <col min="2850" max="2850" width="16.42578125" style="1364" customWidth="1"/>
    <col min="2851" max="2851" width="15.140625" style="1364" customWidth="1"/>
    <col min="2852" max="2852" width="17" style="1364" customWidth="1"/>
    <col min="2853" max="2853" width="20.140625" style="1364" customWidth="1"/>
    <col min="2854" max="2854" width="20.28515625" style="1364" customWidth="1"/>
    <col min="2855" max="3072" width="28.7109375" style="1364"/>
    <col min="3073" max="3073" width="38.7109375" style="1364" customWidth="1"/>
    <col min="3074" max="3074" width="19.7109375" style="1364" bestFit="1" customWidth="1"/>
    <col min="3075" max="3075" width="11.140625" style="1364" bestFit="1" customWidth="1"/>
    <col min="3076" max="3076" width="18.42578125" style="1364" customWidth="1"/>
    <col min="3077" max="3077" width="16" style="1364" bestFit="1" customWidth="1"/>
    <col min="3078" max="3078" width="21.5703125" style="1364" customWidth="1"/>
    <col min="3079" max="3079" width="14.140625" style="1364" customWidth="1"/>
    <col min="3080" max="3080" width="12" style="1364" customWidth="1"/>
    <col min="3081" max="3081" width="17.7109375" style="1364" customWidth="1"/>
    <col min="3082" max="3082" width="16" style="1364" customWidth="1"/>
    <col min="3083" max="3084" width="16.7109375" style="1364" customWidth="1"/>
    <col min="3085" max="3085" width="28" style="1364" customWidth="1"/>
    <col min="3086" max="3086" width="17.7109375" style="1364" customWidth="1"/>
    <col min="3087" max="3087" width="12.28515625" style="1364" customWidth="1"/>
    <col min="3088" max="3088" width="7.5703125" style="1364" bestFit="1" customWidth="1"/>
    <col min="3089" max="3089" width="8.7109375" style="1364" bestFit="1" customWidth="1"/>
    <col min="3090" max="3090" width="7.5703125" style="1364" bestFit="1" customWidth="1"/>
    <col min="3091" max="3091" width="8.7109375" style="1364" bestFit="1" customWidth="1"/>
    <col min="3092" max="3092" width="7.28515625" style="1364" bestFit="1" customWidth="1"/>
    <col min="3093" max="3093" width="8.7109375" style="1364" bestFit="1" customWidth="1"/>
    <col min="3094" max="3094" width="22.7109375" style="1364" customWidth="1"/>
    <col min="3095" max="3095" width="18.28515625" style="1364" customWidth="1"/>
    <col min="3096" max="3096" width="13.85546875" style="1364" customWidth="1"/>
    <col min="3097" max="3097" width="14" style="1364" customWidth="1"/>
    <col min="3098" max="3098" width="9.28515625" style="1364" customWidth="1"/>
    <col min="3099" max="3099" width="12.7109375" style="1364" customWidth="1"/>
    <col min="3100" max="3100" width="6.42578125" style="1364" customWidth="1"/>
    <col min="3101" max="3101" width="14.42578125" style="1364" customWidth="1"/>
    <col min="3102" max="3102" width="10.28515625" style="1364" customWidth="1"/>
    <col min="3103" max="3103" width="12" style="1364" customWidth="1"/>
    <col min="3104" max="3104" width="8.7109375" style="1364" customWidth="1"/>
    <col min="3105" max="3105" width="10.5703125" style="1364" customWidth="1"/>
    <col min="3106" max="3106" width="16.42578125" style="1364" customWidth="1"/>
    <col min="3107" max="3107" width="15.140625" style="1364" customWidth="1"/>
    <col min="3108" max="3108" width="17" style="1364" customWidth="1"/>
    <col min="3109" max="3109" width="20.140625" style="1364" customWidth="1"/>
    <col min="3110" max="3110" width="20.28515625" style="1364" customWidth="1"/>
    <col min="3111" max="3328" width="28.7109375" style="1364"/>
    <col min="3329" max="3329" width="38.7109375" style="1364" customWidth="1"/>
    <col min="3330" max="3330" width="19.7109375" style="1364" bestFit="1" customWidth="1"/>
    <col min="3331" max="3331" width="11.140625" style="1364" bestFit="1" customWidth="1"/>
    <col min="3332" max="3332" width="18.42578125" style="1364" customWidth="1"/>
    <col min="3333" max="3333" width="16" style="1364" bestFit="1" customWidth="1"/>
    <col min="3334" max="3334" width="21.5703125" style="1364" customWidth="1"/>
    <col min="3335" max="3335" width="14.140625" style="1364" customWidth="1"/>
    <col min="3336" max="3336" width="12" style="1364" customWidth="1"/>
    <col min="3337" max="3337" width="17.7109375" style="1364" customWidth="1"/>
    <col min="3338" max="3338" width="16" style="1364" customWidth="1"/>
    <col min="3339" max="3340" width="16.7109375" style="1364" customWidth="1"/>
    <col min="3341" max="3341" width="28" style="1364" customWidth="1"/>
    <col min="3342" max="3342" width="17.7109375" style="1364" customWidth="1"/>
    <col min="3343" max="3343" width="12.28515625" style="1364" customWidth="1"/>
    <col min="3344" max="3344" width="7.5703125" style="1364" bestFit="1" customWidth="1"/>
    <col min="3345" max="3345" width="8.7109375" style="1364" bestFit="1" customWidth="1"/>
    <col min="3346" max="3346" width="7.5703125" style="1364" bestFit="1" customWidth="1"/>
    <col min="3347" max="3347" width="8.7109375" style="1364" bestFit="1" customWidth="1"/>
    <col min="3348" max="3348" width="7.28515625" style="1364" bestFit="1" customWidth="1"/>
    <col min="3349" max="3349" width="8.7109375" style="1364" bestFit="1" customWidth="1"/>
    <col min="3350" max="3350" width="22.7109375" style="1364" customWidth="1"/>
    <col min="3351" max="3351" width="18.28515625" style="1364" customWidth="1"/>
    <col min="3352" max="3352" width="13.85546875" style="1364" customWidth="1"/>
    <col min="3353" max="3353" width="14" style="1364" customWidth="1"/>
    <col min="3354" max="3354" width="9.28515625" style="1364" customWidth="1"/>
    <col min="3355" max="3355" width="12.7109375" style="1364" customWidth="1"/>
    <col min="3356" max="3356" width="6.42578125" style="1364" customWidth="1"/>
    <col min="3357" max="3357" width="14.42578125" style="1364" customWidth="1"/>
    <col min="3358" max="3358" width="10.28515625" style="1364" customWidth="1"/>
    <col min="3359" max="3359" width="12" style="1364" customWidth="1"/>
    <col min="3360" max="3360" width="8.7109375" style="1364" customWidth="1"/>
    <col min="3361" max="3361" width="10.5703125" style="1364" customWidth="1"/>
    <col min="3362" max="3362" width="16.42578125" style="1364" customWidth="1"/>
    <col min="3363" max="3363" width="15.140625" style="1364" customWidth="1"/>
    <col min="3364" max="3364" width="17" style="1364" customWidth="1"/>
    <col min="3365" max="3365" width="20.140625" style="1364" customWidth="1"/>
    <col min="3366" max="3366" width="20.28515625" style="1364" customWidth="1"/>
    <col min="3367" max="3584" width="28.7109375" style="1364"/>
    <col min="3585" max="3585" width="38.7109375" style="1364" customWidth="1"/>
    <col min="3586" max="3586" width="19.7109375" style="1364" bestFit="1" customWidth="1"/>
    <col min="3587" max="3587" width="11.140625" style="1364" bestFit="1" customWidth="1"/>
    <col min="3588" max="3588" width="18.42578125" style="1364" customWidth="1"/>
    <col min="3589" max="3589" width="16" style="1364" bestFit="1" customWidth="1"/>
    <col min="3590" max="3590" width="21.5703125" style="1364" customWidth="1"/>
    <col min="3591" max="3591" width="14.140625" style="1364" customWidth="1"/>
    <col min="3592" max="3592" width="12" style="1364" customWidth="1"/>
    <col min="3593" max="3593" width="17.7109375" style="1364" customWidth="1"/>
    <col min="3594" max="3594" width="16" style="1364" customWidth="1"/>
    <col min="3595" max="3596" width="16.7109375" style="1364" customWidth="1"/>
    <col min="3597" max="3597" width="28" style="1364" customWidth="1"/>
    <col min="3598" max="3598" width="17.7109375" style="1364" customWidth="1"/>
    <col min="3599" max="3599" width="12.28515625" style="1364" customWidth="1"/>
    <col min="3600" max="3600" width="7.5703125" style="1364" bestFit="1" customWidth="1"/>
    <col min="3601" max="3601" width="8.7109375" style="1364" bestFit="1" customWidth="1"/>
    <col min="3602" max="3602" width="7.5703125" style="1364" bestFit="1" customWidth="1"/>
    <col min="3603" max="3603" width="8.7109375" style="1364" bestFit="1" customWidth="1"/>
    <col min="3604" max="3604" width="7.28515625" style="1364" bestFit="1" customWidth="1"/>
    <col min="3605" max="3605" width="8.7109375" style="1364" bestFit="1" customWidth="1"/>
    <col min="3606" max="3606" width="22.7109375" style="1364" customWidth="1"/>
    <col min="3607" max="3607" width="18.28515625" style="1364" customWidth="1"/>
    <col min="3608" max="3608" width="13.85546875" style="1364" customWidth="1"/>
    <col min="3609" max="3609" width="14" style="1364" customWidth="1"/>
    <col min="3610" max="3610" width="9.28515625" style="1364" customWidth="1"/>
    <col min="3611" max="3611" width="12.7109375" style="1364" customWidth="1"/>
    <col min="3612" max="3612" width="6.42578125" style="1364" customWidth="1"/>
    <col min="3613" max="3613" width="14.42578125" style="1364" customWidth="1"/>
    <col min="3614" max="3614" width="10.28515625" style="1364" customWidth="1"/>
    <col min="3615" max="3615" width="12" style="1364" customWidth="1"/>
    <col min="3616" max="3616" width="8.7109375" style="1364" customWidth="1"/>
    <col min="3617" max="3617" width="10.5703125" style="1364" customWidth="1"/>
    <col min="3618" max="3618" width="16.42578125" style="1364" customWidth="1"/>
    <col min="3619" max="3619" width="15.140625" style="1364" customWidth="1"/>
    <col min="3620" max="3620" width="17" style="1364" customWidth="1"/>
    <col min="3621" max="3621" width="20.140625" style="1364" customWidth="1"/>
    <col min="3622" max="3622" width="20.28515625" style="1364" customWidth="1"/>
    <col min="3623" max="3840" width="28.7109375" style="1364"/>
    <col min="3841" max="3841" width="38.7109375" style="1364" customWidth="1"/>
    <col min="3842" max="3842" width="19.7109375" style="1364" bestFit="1" customWidth="1"/>
    <col min="3843" max="3843" width="11.140625" style="1364" bestFit="1" customWidth="1"/>
    <col min="3844" max="3844" width="18.42578125" style="1364" customWidth="1"/>
    <col min="3845" max="3845" width="16" style="1364" bestFit="1" customWidth="1"/>
    <col min="3846" max="3846" width="21.5703125" style="1364" customWidth="1"/>
    <col min="3847" max="3847" width="14.140625" style="1364" customWidth="1"/>
    <col min="3848" max="3848" width="12" style="1364" customWidth="1"/>
    <col min="3849" max="3849" width="17.7109375" style="1364" customWidth="1"/>
    <col min="3850" max="3850" width="16" style="1364" customWidth="1"/>
    <col min="3851" max="3852" width="16.7109375" style="1364" customWidth="1"/>
    <col min="3853" max="3853" width="28" style="1364" customWidth="1"/>
    <col min="3854" max="3854" width="17.7109375" style="1364" customWidth="1"/>
    <col min="3855" max="3855" width="12.28515625" style="1364" customWidth="1"/>
    <col min="3856" max="3856" width="7.5703125" style="1364" bestFit="1" customWidth="1"/>
    <col min="3857" max="3857" width="8.7109375" style="1364" bestFit="1" customWidth="1"/>
    <col min="3858" max="3858" width="7.5703125" style="1364" bestFit="1" customWidth="1"/>
    <col min="3859" max="3859" width="8.7109375" style="1364" bestFit="1" customWidth="1"/>
    <col min="3860" max="3860" width="7.28515625" style="1364" bestFit="1" customWidth="1"/>
    <col min="3861" max="3861" width="8.7109375" style="1364" bestFit="1" customWidth="1"/>
    <col min="3862" max="3862" width="22.7109375" style="1364" customWidth="1"/>
    <col min="3863" max="3863" width="18.28515625" style="1364" customWidth="1"/>
    <col min="3864" max="3864" width="13.85546875" style="1364" customWidth="1"/>
    <col min="3865" max="3865" width="14" style="1364" customWidth="1"/>
    <col min="3866" max="3866" width="9.28515625" style="1364" customWidth="1"/>
    <col min="3867" max="3867" width="12.7109375" style="1364" customWidth="1"/>
    <col min="3868" max="3868" width="6.42578125" style="1364" customWidth="1"/>
    <col min="3869" max="3869" width="14.42578125" style="1364" customWidth="1"/>
    <col min="3870" max="3870" width="10.28515625" style="1364" customWidth="1"/>
    <col min="3871" max="3871" width="12" style="1364" customWidth="1"/>
    <col min="3872" max="3872" width="8.7109375" style="1364" customWidth="1"/>
    <col min="3873" max="3873" width="10.5703125" style="1364" customWidth="1"/>
    <col min="3874" max="3874" width="16.42578125" style="1364" customWidth="1"/>
    <col min="3875" max="3875" width="15.140625" style="1364" customWidth="1"/>
    <col min="3876" max="3876" width="17" style="1364" customWidth="1"/>
    <col min="3877" max="3877" width="20.140625" style="1364" customWidth="1"/>
    <col min="3878" max="3878" width="20.28515625" style="1364" customWidth="1"/>
    <col min="3879" max="4096" width="28.7109375" style="1364"/>
    <col min="4097" max="4097" width="38.7109375" style="1364" customWidth="1"/>
    <col min="4098" max="4098" width="19.7109375" style="1364" bestFit="1" customWidth="1"/>
    <col min="4099" max="4099" width="11.140625" style="1364" bestFit="1" customWidth="1"/>
    <col min="4100" max="4100" width="18.42578125" style="1364" customWidth="1"/>
    <col min="4101" max="4101" width="16" style="1364" bestFit="1" customWidth="1"/>
    <col min="4102" max="4102" width="21.5703125" style="1364" customWidth="1"/>
    <col min="4103" max="4103" width="14.140625" style="1364" customWidth="1"/>
    <col min="4104" max="4104" width="12" style="1364" customWidth="1"/>
    <col min="4105" max="4105" width="17.7109375" style="1364" customWidth="1"/>
    <col min="4106" max="4106" width="16" style="1364" customWidth="1"/>
    <col min="4107" max="4108" width="16.7109375" style="1364" customWidth="1"/>
    <col min="4109" max="4109" width="28" style="1364" customWidth="1"/>
    <col min="4110" max="4110" width="17.7109375" style="1364" customWidth="1"/>
    <col min="4111" max="4111" width="12.28515625" style="1364" customWidth="1"/>
    <col min="4112" max="4112" width="7.5703125" style="1364" bestFit="1" customWidth="1"/>
    <col min="4113" max="4113" width="8.7109375" style="1364" bestFit="1" customWidth="1"/>
    <col min="4114" max="4114" width="7.5703125" style="1364" bestFit="1" customWidth="1"/>
    <col min="4115" max="4115" width="8.7109375" style="1364" bestFit="1" customWidth="1"/>
    <col min="4116" max="4116" width="7.28515625" style="1364" bestFit="1" customWidth="1"/>
    <col min="4117" max="4117" width="8.7109375" style="1364" bestFit="1" customWidth="1"/>
    <col min="4118" max="4118" width="22.7109375" style="1364" customWidth="1"/>
    <col min="4119" max="4119" width="18.28515625" style="1364" customWidth="1"/>
    <col min="4120" max="4120" width="13.85546875" style="1364" customWidth="1"/>
    <col min="4121" max="4121" width="14" style="1364" customWidth="1"/>
    <col min="4122" max="4122" width="9.28515625" style="1364" customWidth="1"/>
    <col min="4123" max="4123" width="12.7109375" style="1364" customWidth="1"/>
    <col min="4124" max="4124" width="6.42578125" style="1364" customWidth="1"/>
    <col min="4125" max="4125" width="14.42578125" style="1364" customWidth="1"/>
    <col min="4126" max="4126" width="10.28515625" style="1364" customWidth="1"/>
    <col min="4127" max="4127" width="12" style="1364" customWidth="1"/>
    <col min="4128" max="4128" width="8.7109375" style="1364" customWidth="1"/>
    <col min="4129" max="4129" width="10.5703125" style="1364" customWidth="1"/>
    <col min="4130" max="4130" width="16.42578125" style="1364" customWidth="1"/>
    <col min="4131" max="4131" width="15.140625" style="1364" customWidth="1"/>
    <col min="4132" max="4132" width="17" style="1364" customWidth="1"/>
    <col min="4133" max="4133" width="20.140625" style="1364" customWidth="1"/>
    <col min="4134" max="4134" width="20.28515625" style="1364" customWidth="1"/>
    <col min="4135" max="4352" width="28.7109375" style="1364"/>
    <col min="4353" max="4353" width="38.7109375" style="1364" customWidth="1"/>
    <col min="4354" max="4354" width="19.7109375" style="1364" bestFit="1" customWidth="1"/>
    <col min="4355" max="4355" width="11.140625" style="1364" bestFit="1" customWidth="1"/>
    <col min="4356" max="4356" width="18.42578125" style="1364" customWidth="1"/>
    <col min="4357" max="4357" width="16" style="1364" bestFit="1" customWidth="1"/>
    <col min="4358" max="4358" width="21.5703125" style="1364" customWidth="1"/>
    <col min="4359" max="4359" width="14.140625" style="1364" customWidth="1"/>
    <col min="4360" max="4360" width="12" style="1364" customWidth="1"/>
    <col min="4361" max="4361" width="17.7109375" style="1364" customWidth="1"/>
    <col min="4362" max="4362" width="16" style="1364" customWidth="1"/>
    <col min="4363" max="4364" width="16.7109375" style="1364" customWidth="1"/>
    <col min="4365" max="4365" width="28" style="1364" customWidth="1"/>
    <col min="4366" max="4366" width="17.7109375" style="1364" customWidth="1"/>
    <col min="4367" max="4367" width="12.28515625" style="1364" customWidth="1"/>
    <col min="4368" max="4368" width="7.5703125" style="1364" bestFit="1" customWidth="1"/>
    <col min="4369" max="4369" width="8.7109375" style="1364" bestFit="1" customWidth="1"/>
    <col min="4370" max="4370" width="7.5703125" style="1364" bestFit="1" customWidth="1"/>
    <col min="4371" max="4371" width="8.7109375" style="1364" bestFit="1" customWidth="1"/>
    <col min="4372" max="4372" width="7.28515625" style="1364" bestFit="1" customWidth="1"/>
    <col min="4373" max="4373" width="8.7109375" style="1364" bestFit="1" customWidth="1"/>
    <col min="4374" max="4374" width="22.7109375" style="1364" customWidth="1"/>
    <col min="4375" max="4375" width="18.28515625" style="1364" customWidth="1"/>
    <col min="4376" max="4376" width="13.85546875" style="1364" customWidth="1"/>
    <col min="4377" max="4377" width="14" style="1364" customWidth="1"/>
    <col min="4378" max="4378" width="9.28515625" style="1364" customWidth="1"/>
    <col min="4379" max="4379" width="12.7109375" style="1364" customWidth="1"/>
    <col min="4380" max="4380" width="6.42578125" style="1364" customWidth="1"/>
    <col min="4381" max="4381" width="14.42578125" style="1364" customWidth="1"/>
    <col min="4382" max="4382" width="10.28515625" style="1364" customWidth="1"/>
    <col min="4383" max="4383" width="12" style="1364" customWidth="1"/>
    <col min="4384" max="4384" width="8.7109375" style="1364" customWidth="1"/>
    <col min="4385" max="4385" width="10.5703125" style="1364" customWidth="1"/>
    <col min="4386" max="4386" width="16.42578125" style="1364" customWidth="1"/>
    <col min="4387" max="4387" width="15.140625" style="1364" customWidth="1"/>
    <col min="4388" max="4388" width="17" style="1364" customWidth="1"/>
    <col min="4389" max="4389" width="20.140625" style="1364" customWidth="1"/>
    <col min="4390" max="4390" width="20.28515625" style="1364" customWidth="1"/>
    <col min="4391" max="4608" width="28.7109375" style="1364"/>
    <col min="4609" max="4609" width="38.7109375" style="1364" customWidth="1"/>
    <col min="4610" max="4610" width="19.7109375" style="1364" bestFit="1" customWidth="1"/>
    <col min="4611" max="4611" width="11.140625" style="1364" bestFit="1" customWidth="1"/>
    <col min="4612" max="4612" width="18.42578125" style="1364" customWidth="1"/>
    <col min="4613" max="4613" width="16" style="1364" bestFit="1" customWidth="1"/>
    <col min="4614" max="4614" width="21.5703125" style="1364" customWidth="1"/>
    <col min="4615" max="4615" width="14.140625" style="1364" customWidth="1"/>
    <col min="4616" max="4616" width="12" style="1364" customWidth="1"/>
    <col min="4617" max="4617" width="17.7109375" style="1364" customWidth="1"/>
    <col min="4618" max="4618" width="16" style="1364" customWidth="1"/>
    <col min="4619" max="4620" width="16.7109375" style="1364" customWidth="1"/>
    <col min="4621" max="4621" width="28" style="1364" customWidth="1"/>
    <col min="4622" max="4622" width="17.7109375" style="1364" customWidth="1"/>
    <col min="4623" max="4623" width="12.28515625" style="1364" customWidth="1"/>
    <col min="4624" max="4624" width="7.5703125" style="1364" bestFit="1" customWidth="1"/>
    <col min="4625" max="4625" width="8.7109375" style="1364" bestFit="1" customWidth="1"/>
    <col min="4626" max="4626" width="7.5703125" style="1364" bestFit="1" customWidth="1"/>
    <col min="4627" max="4627" width="8.7109375" style="1364" bestFit="1" customWidth="1"/>
    <col min="4628" max="4628" width="7.28515625" style="1364" bestFit="1" customWidth="1"/>
    <col min="4629" max="4629" width="8.7109375" style="1364" bestFit="1" customWidth="1"/>
    <col min="4630" max="4630" width="22.7109375" style="1364" customWidth="1"/>
    <col min="4631" max="4631" width="18.28515625" style="1364" customWidth="1"/>
    <col min="4632" max="4632" width="13.85546875" style="1364" customWidth="1"/>
    <col min="4633" max="4633" width="14" style="1364" customWidth="1"/>
    <col min="4634" max="4634" width="9.28515625" style="1364" customWidth="1"/>
    <col min="4635" max="4635" width="12.7109375" style="1364" customWidth="1"/>
    <col min="4636" max="4636" width="6.42578125" style="1364" customWidth="1"/>
    <col min="4637" max="4637" width="14.42578125" style="1364" customWidth="1"/>
    <col min="4638" max="4638" width="10.28515625" style="1364" customWidth="1"/>
    <col min="4639" max="4639" width="12" style="1364" customWidth="1"/>
    <col min="4640" max="4640" width="8.7109375" style="1364" customWidth="1"/>
    <col min="4641" max="4641" width="10.5703125" style="1364" customWidth="1"/>
    <col min="4642" max="4642" width="16.42578125" style="1364" customWidth="1"/>
    <col min="4643" max="4643" width="15.140625" style="1364" customWidth="1"/>
    <col min="4644" max="4644" width="17" style="1364" customWidth="1"/>
    <col min="4645" max="4645" width="20.140625" style="1364" customWidth="1"/>
    <col min="4646" max="4646" width="20.28515625" style="1364" customWidth="1"/>
    <col min="4647" max="4864" width="28.7109375" style="1364"/>
    <col min="4865" max="4865" width="38.7109375" style="1364" customWidth="1"/>
    <col min="4866" max="4866" width="19.7109375" style="1364" bestFit="1" customWidth="1"/>
    <col min="4867" max="4867" width="11.140625" style="1364" bestFit="1" customWidth="1"/>
    <col min="4868" max="4868" width="18.42578125" style="1364" customWidth="1"/>
    <col min="4869" max="4869" width="16" style="1364" bestFit="1" customWidth="1"/>
    <col min="4870" max="4870" width="21.5703125" style="1364" customWidth="1"/>
    <col min="4871" max="4871" width="14.140625" style="1364" customWidth="1"/>
    <col min="4872" max="4872" width="12" style="1364" customWidth="1"/>
    <col min="4873" max="4873" width="17.7109375" style="1364" customWidth="1"/>
    <col min="4874" max="4874" width="16" style="1364" customWidth="1"/>
    <col min="4875" max="4876" width="16.7109375" style="1364" customWidth="1"/>
    <col min="4877" max="4877" width="28" style="1364" customWidth="1"/>
    <col min="4878" max="4878" width="17.7109375" style="1364" customWidth="1"/>
    <col min="4879" max="4879" width="12.28515625" style="1364" customWidth="1"/>
    <col min="4880" max="4880" width="7.5703125" style="1364" bestFit="1" customWidth="1"/>
    <col min="4881" max="4881" width="8.7109375" style="1364" bestFit="1" customWidth="1"/>
    <col min="4882" max="4882" width="7.5703125" style="1364" bestFit="1" customWidth="1"/>
    <col min="4883" max="4883" width="8.7109375" style="1364" bestFit="1" customWidth="1"/>
    <col min="4884" max="4884" width="7.28515625" style="1364" bestFit="1" customWidth="1"/>
    <col min="4885" max="4885" width="8.7109375" style="1364" bestFit="1" customWidth="1"/>
    <col min="4886" max="4886" width="22.7109375" style="1364" customWidth="1"/>
    <col min="4887" max="4887" width="18.28515625" style="1364" customWidth="1"/>
    <col min="4888" max="4888" width="13.85546875" style="1364" customWidth="1"/>
    <col min="4889" max="4889" width="14" style="1364" customWidth="1"/>
    <col min="4890" max="4890" width="9.28515625" style="1364" customWidth="1"/>
    <col min="4891" max="4891" width="12.7109375" style="1364" customWidth="1"/>
    <col min="4892" max="4892" width="6.42578125" style="1364" customWidth="1"/>
    <col min="4893" max="4893" width="14.42578125" style="1364" customWidth="1"/>
    <col min="4894" max="4894" width="10.28515625" style="1364" customWidth="1"/>
    <col min="4895" max="4895" width="12" style="1364" customWidth="1"/>
    <col min="4896" max="4896" width="8.7109375" style="1364" customWidth="1"/>
    <col min="4897" max="4897" width="10.5703125" style="1364" customWidth="1"/>
    <col min="4898" max="4898" width="16.42578125" style="1364" customWidth="1"/>
    <col min="4899" max="4899" width="15.140625" style="1364" customWidth="1"/>
    <col min="4900" max="4900" width="17" style="1364" customWidth="1"/>
    <col min="4901" max="4901" width="20.140625" style="1364" customWidth="1"/>
    <col min="4902" max="4902" width="20.28515625" style="1364" customWidth="1"/>
    <col min="4903" max="5120" width="28.7109375" style="1364"/>
    <col min="5121" max="5121" width="38.7109375" style="1364" customWidth="1"/>
    <col min="5122" max="5122" width="19.7109375" style="1364" bestFit="1" customWidth="1"/>
    <col min="5123" max="5123" width="11.140625" style="1364" bestFit="1" customWidth="1"/>
    <col min="5124" max="5124" width="18.42578125" style="1364" customWidth="1"/>
    <col min="5125" max="5125" width="16" style="1364" bestFit="1" customWidth="1"/>
    <col min="5126" max="5126" width="21.5703125" style="1364" customWidth="1"/>
    <col min="5127" max="5127" width="14.140625" style="1364" customWidth="1"/>
    <col min="5128" max="5128" width="12" style="1364" customWidth="1"/>
    <col min="5129" max="5129" width="17.7109375" style="1364" customWidth="1"/>
    <col min="5130" max="5130" width="16" style="1364" customWidth="1"/>
    <col min="5131" max="5132" width="16.7109375" style="1364" customWidth="1"/>
    <col min="5133" max="5133" width="28" style="1364" customWidth="1"/>
    <col min="5134" max="5134" width="17.7109375" style="1364" customWidth="1"/>
    <col min="5135" max="5135" width="12.28515625" style="1364" customWidth="1"/>
    <col min="5136" max="5136" width="7.5703125" style="1364" bestFit="1" customWidth="1"/>
    <col min="5137" max="5137" width="8.7109375" style="1364" bestFit="1" customWidth="1"/>
    <col min="5138" max="5138" width="7.5703125" style="1364" bestFit="1" customWidth="1"/>
    <col min="5139" max="5139" width="8.7109375" style="1364" bestFit="1" customWidth="1"/>
    <col min="5140" max="5140" width="7.28515625" style="1364" bestFit="1" customWidth="1"/>
    <col min="5141" max="5141" width="8.7109375" style="1364" bestFit="1" customWidth="1"/>
    <col min="5142" max="5142" width="22.7109375" style="1364" customWidth="1"/>
    <col min="5143" max="5143" width="18.28515625" style="1364" customWidth="1"/>
    <col min="5144" max="5144" width="13.85546875" style="1364" customWidth="1"/>
    <col min="5145" max="5145" width="14" style="1364" customWidth="1"/>
    <col min="5146" max="5146" width="9.28515625" style="1364" customWidth="1"/>
    <col min="5147" max="5147" width="12.7109375" style="1364" customWidth="1"/>
    <col min="5148" max="5148" width="6.42578125" style="1364" customWidth="1"/>
    <col min="5149" max="5149" width="14.42578125" style="1364" customWidth="1"/>
    <col min="5150" max="5150" width="10.28515625" style="1364" customWidth="1"/>
    <col min="5151" max="5151" width="12" style="1364" customWidth="1"/>
    <col min="5152" max="5152" width="8.7109375" style="1364" customWidth="1"/>
    <col min="5153" max="5153" width="10.5703125" style="1364" customWidth="1"/>
    <col min="5154" max="5154" width="16.42578125" style="1364" customWidth="1"/>
    <col min="5155" max="5155" width="15.140625" style="1364" customWidth="1"/>
    <col min="5156" max="5156" width="17" style="1364" customWidth="1"/>
    <col min="5157" max="5157" width="20.140625" style="1364" customWidth="1"/>
    <col min="5158" max="5158" width="20.28515625" style="1364" customWidth="1"/>
    <col min="5159" max="5376" width="28.7109375" style="1364"/>
    <col min="5377" max="5377" width="38.7109375" style="1364" customWidth="1"/>
    <col min="5378" max="5378" width="19.7109375" style="1364" bestFit="1" customWidth="1"/>
    <col min="5379" max="5379" width="11.140625" style="1364" bestFit="1" customWidth="1"/>
    <col min="5380" max="5380" width="18.42578125" style="1364" customWidth="1"/>
    <col min="5381" max="5381" width="16" style="1364" bestFit="1" customWidth="1"/>
    <col min="5382" max="5382" width="21.5703125" style="1364" customWidth="1"/>
    <col min="5383" max="5383" width="14.140625" style="1364" customWidth="1"/>
    <col min="5384" max="5384" width="12" style="1364" customWidth="1"/>
    <col min="5385" max="5385" width="17.7109375" style="1364" customWidth="1"/>
    <col min="5386" max="5386" width="16" style="1364" customWidth="1"/>
    <col min="5387" max="5388" width="16.7109375" style="1364" customWidth="1"/>
    <col min="5389" max="5389" width="28" style="1364" customWidth="1"/>
    <col min="5390" max="5390" width="17.7109375" style="1364" customWidth="1"/>
    <col min="5391" max="5391" width="12.28515625" style="1364" customWidth="1"/>
    <col min="5392" max="5392" width="7.5703125" style="1364" bestFit="1" customWidth="1"/>
    <col min="5393" max="5393" width="8.7109375" style="1364" bestFit="1" customWidth="1"/>
    <col min="5394" max="5394" width="7.5703125" style="1364" bestFit="1" customWidth="1"/>
    <col min="5395" max="5395" width="8.7109375" style="1364" bestFit="1" customWidth="1"/>
    <col min="5396" max="5396" width="7.28515625" style="1364" bestFit="1" customWidth="1"/>
    <col min="5397" max="5397" width="8.7109375" style="1364" bestFit="1" customWidth="1"/>
    <col min="5398" max="5398" width="22.7109375" style="1364" customWidth="1"/>
    <col min="5399" max="5399" width="18.28515625" style="1364" customWidth="1"/>
    <col min="5400" max="5400" width="13.85546875" style="1364" customWidth="1"/>
    <col min="5401" max="5401" width="14" style="1364" customWidth="1"/>
    <col min="5402" max="5402" width="9.28515625" style="1364" customWidth="1"/>
    <col min="5403" max="5403" width="12.7109375" style="1364" customWidth="1"/>
    <col min="5404" max="5404" width="6.42578125" style="1364" customWidth="1"/>
    <col min="5405" max="5405" width="14.42578125" style="1364" customWidth="1"/>
    <col min="5406" max="5406" width="10.28515625" style="1364" customWidth="1"/>
    <col min="5407" max="5407" width="12" style="1364" customWidth="1"/>
    <col min="5408" max="5408" width="8.7109375" style="1364" customWidth="1"/>
    <col min="5409" max="5409" width="10.5703125" style="1364" customWidth="1"/>
    <col min="5410" max="5410" width="16.42578125" style="1364" customWidth="1"/>
    <col min="5411" max="5411" width="15.140625" style="1364" customWidth="1"/>
    <col min="5412" max="5412" width="17" style="1364" customWidth="1"/>
    <col min="5413" max="5413" width="20.140625" style="1364" customWidth="1"/>
    <col min="5414" max="5414" width="20.28515625" style="1364" customWidth="1"/>
    <col min="5415" max="5632" width="28.7109375" style="1364"/>
    <col min="5633" max="5633" width="38.7109375" style="1364" customWidth="1"/>
    <col min="5634" max="5634" width="19.7109375" style="1364" bestFit="1" customWidth="1"/>
    <col min="5635" max="5635" width="11.140625" style="1364" bestFit="1" customWidth="1"/>
    <col min="5636" max="5636" width="18.42578125" style="1364" customWidth="1"/>
    <col min="5637" max="5637" width="16" style="1364" bestFit="1" customWidth="1"/>
    <col min="5638" max="5638" width="21.5703125" style="1364" customWidth="1"/>
    <col min="5639" max="5639" width="14.140625" style="1364" customWidth="1"/>
    <col min="5640" max="5640" width="12" style="1364" customWidth="1"/>
    <col min="5641" max="5641" width="17.7109375" style="1364" customWidth="1"/>
    <col min="5642" max="5642" width="16" style="1364" customWidth="1"/>
    <col min="5643" max="5644" width="16.7109375" style="1364" customWidth="1"/>
    <col min="5645" max="5645" width="28" style="1364" customWidth="1"/>
    <col min="5646" max="5646" width="17.7109375" style="1364" customWidth="1"/>
    <col min="5647" max="5647" width="12.28515625" style="1364" customWidth="1"/>
    <col min="5648" max="5648" width="7.5703125" style="1364" bestFit="1" customWidth="1"/>
    <col min="5649" max="5649" width="8.7109375" style="1364" bestFit="1" customWidth="1"/>
    <col min="5650" max="5650" width="7.5703125" style="1364" bestFit="1" customWidth="1"/>
    <col min="5651" max="5651" width="8.7109375" style="1364" bestFit="1" customWidth="1"/>
    <col min="5652" max="5652" width="7.28515625" style="1364" bestFit="1" customWidth="1"/>
    <col min="5653" max="5653" width="8.7109375" style="1364" bestFit="1" customWidth="1"/>
    <col min="5654" max="5654" width="22.7109375" style="1364" customWidth="1"/>
    <col min="5655" max="5655" width="18.28515625" style="1364" customWidth="1"/>
    <col min="5656" max="5656" width="13.85546875" style="1364" customWidth="1"/>
    <col min="5657" max="5657" width="14" style="1364" customWidth="1"/>
    <col min="5658" max="5658" width="9.28515625" style="1364" customWidth="1"/>
    <col min="5659" max="5659" width="12.7109375" style="1364" customWidth="1"/>
    <col min="5660" max="5660" width="6.42578125" style="1364" customWidth="1"/>
    <col min="5661" max="5661" width="14.42578125" style="1364" customWidth="1"/>
    <col min="5662" max="5662" width="10.28515625" style="1364" customWidth="1"/>
    <col min="5663" max="5663" width="12" style="1364" customWidth="1"/>
    <col min="5664" max="5664" width="8.7109375" style="1364" customWidth="1"/>
    <col min="5665" max="5665" width="10.5703125" style="1364" customWidth="1"/>
    <col min="5666" max="5666" width="16.42578125" style="1364" customWidth="1"/>
    <col min="5667" max="5667" width="15.140625" style="1364" customWidth="1"/>
    <col min="5668" max="5668" width="17" style="1364" customWidth="1"/>
    <col min="5669" max="5669" width="20.140625" style="1364" customWidth="1"/>
    <col min="5670" max="5670" width="20.28515625" style="1364" customWidth="1"/>
    <col min="5671" max="5888" width="28.7109375" style="1364"/>
    <col min="5889" max="5889" width="38.7109375" style="1364" customWidth="1"/>
    <col min="5890" max="5890" width="19.7109375" style="1364" bestFit="1" customWidth="1"/>
    <col min="5891" max="5891" width="11.140625" style="1364" bestFit="1" customWidth="1"/>
    <col min="5892" max="5892" width="18.42578125" style="1364" customWidth="1"/>
    <col min="5893" max="5893" width="16" style="1364" bestFit="1" customWidth="1"/>
    <col min="5894" max="5894" width="21.5703125" style="1364" customWidth="1"/>
    <col min="5895" max="5895" width="14.140625" style="1364" customWidth="1"/>
    <col min="5896" max="5896" width="12" style="1364" customWidth="1"/>
    <col min="5897" max="5897" width="17.7109375" style="1364" customWidth="1"/>
    <col min="5898" max="5898" width="16" style="1364" customWidth="1"/>
    <col min="5899" max="5900" width="16.7109375" style="1364" customWidth="1"/>
    <col min="5901" max="5901" width="28" style="1364" customWidth="1"/>
    <col min="5902" max="5902" width="17.7109375" style="1364" customWidth="1"/>
    <col min="5903" max="5903" width="12.28515625" style="1364" customWidth="1"/>
    <col min="5904" max="5904" width="7.5703125" style="1364" bestFit="1" customWidth="1"/>
    <col min="5905" max="5905" width="8.7109375" style="1364" bestFit="1" customWidth="1"/>
    <col min="5906" max="5906" width="7.5703125" style="1364" bestFit="1" customWidth="1"/>
    <col min="5907" max="5907" width="8.7109375" style="1364" bestFit="1" customWidth="1"/>
    <col min="5908" max="5908" width="7.28515625" style="1364" bestFit="1" customWidth="1"/>
    <col min="5909" max="5909" width="8.7109375" style="1364" bestFit="1" customWidth="1"/>
    <col min="5910" max="5910" width="22.7109375" style="1364" customWidth="1"/>
    <col min="5911" max="5911" width="18.28515625" style="1364" customWidth="1"/>
    <col min="5912" max="5912" width="13.85546875" style="1364" customWidth="1"/>
    <col min="5913" max="5913" width="14" style="1364" customWidth="1"/>
    <col min="5914" max="5914" width="9.28515625" style="1364" customWidth="1"/>
    <col min="5915" max="5915" width="12.7109375" style="1364" customWidth="1"/>
    <col min="5916" max="5916" width="6.42578125" style="1364" customWidth="1"/>
    <col min="5917" max="5917" width="14.42578125" style="1364" customWidth="1"/>
    <col min="5918" max="5918" width="10.28515625" style="1364" customWidth="1"/>
    <col min="5919" max="5919" width="12" style="1364" customWidth="1"/>
    <col min="5920" max="5920" width="8.7109375" style="1364" customWidth="1"/>
    <col min="5921" max="5921" width="10.5703125" style="1364" customWidth="1"/>
    <col min="5922" max="5922" width="16.42578125" style="1364" customWidth="1"/>
    <col min="5923" max="5923" width="15.140625" style="1364" customWidth="1"/>
    <col min="5924" max="5924" width="17" style="1364" customWidth="1"/>
    <col min="5925" max="5925" width="20.140625" style="1364" customWidth="1"/>
    <col min="5926" max="5926" width="20.28515625" style="1364" customWidth="1"/>
    <col min="5927" max="6144" width="28.7109375" style="1364"/>
    <col min="6145" max="6145" width="38.7109375" style="1364" customWidth="1"/>
    <col min="6146" max="6146" width="19.7109375" style="1364" bestFit="1" customWidth="1"/>
    <col min="6147" max="6147" width="11.140625" style="1364" bestFit="1" customWidth="1"/>
    <col min="6148" max="6148" width="18.42578125" style="1364" customWidth="1"/>
    <col min="6149" max="6149" width="16" style="1364" bestFit="1" customWidth="1"/>
    <col min="6150" max="6150" width="21.5703125" style="1364" customWidth="1"/>
    <col min="6151" max="6151" width="14.140625" style="1364" customWidth="1"/>
    <col min="6152" max="6152" width="12" style="1364" customWidth="1"/>
    <col min="6153" max="6153" width="17.7109375" style="1364" customWidth="1"/>
    <col min="6154" max="6154" width="16" style="1364" customWidth="1"/>
    <col min="6155" max="6156" width="16.7109375" style="1364" customWidth="1"/>
    <col min="6157" max="6157" width="28" style="1364" customWidth="1"/>
    <col min="6158" max="6158" width="17.7109375" style="1364" customWidth="1"/>
    <col min="6159" max="6159" width="12.28515625" style="1364" customWidth="1"/>
    <col min="6160" max="6160" width="7.5703125" style="1364" bestFit="1" customWidth="1"/>
    <col min="6161" max="6161" width="8.7109375" style="1364" bestFit="1" customWidth="1"/>
    <col min="6162" max="6162" width="7.5703125" style="1364" bestFit="1" customWidth="1"/>
    <col min="6163" max="6163" width="8.7109375" style="1364" bestFit="1" customWidth="1"/>
    <col min="6164" max="6164" width="7.28515625" style="1364" bestFit="1" customWidth="1"/>
    <col min="6165" max="6165" width="8.7109375" style="1364" bestFit="1" customWidth="1"/>
    <col min="6166" max="6166" width="22.7109375" style="1364" customWidth="1"/>
    <col min="6167" max="6167" width="18.28515625" style="1364" customWidth="1"/>
    <col min="6168" max="6168" width="13.85546875" style="1364" customWidth="1"/>
    <col min="6169" max="6169" width="14" style="1364" customWidth="1"/>
    <col min="6170" max="6170" width="9.28515625" style="1364" customWidth="1"/>
    <col min="6171" max="6171" width="12.7109375" style="1364" customWidth="1"/>
    <col min="6172" max="6172" width="6.42578125" style="1364" customWidth="1"/>
    <col min="6173" max="6173" width="14.42578125" style="1364" customWidth="1"/>
    <col min="6174" max="6174" width="10.28515625" style="1364" customWidth="1"/>
    <col min="6175" max="6175" width="12" style="1364" customWidth="1"/>
    <col min="6176" max="6176" width="8.7109375" style="1364" customWidth="1"/>
    <col min="6177" max="6177" width="10.5703125" style="1364" customWidth="1"/>
    <col min="6178" max="6178" width="16.42578125" style="1364" customWidth="1"/>
    <col min="6179" max="6179" width="15.140625" style="1364" customWidth="1"/>
    <col min="6180" max="6180" width="17" style="1364" customWidth="1"/>
    <col min="6181" max="6181" width="20.140625" style="1364" customWidth="1"/>
    <col min="6182" max="6182" width="20.28515625" style="1364" customWidth="1"/>
    <col min="6183" max="6400" width="28.7109375" style="1364"/>
    <col min="6401" max="6401" width="38.7109375" style="1364" customWidth="1"/>
    <col min="6402" max="6402" width="19.7109375" style="1364" bestFit="1" customWidth="1"/>
    <col min="6403" max="6403" width="11.140625" style="1364" bestFit="1" customWidth="1"/>
    <col min="6404" max="6404" width="18.42578125" style="1364" customWidth="1"/>
    <col min="6405" max="6405" width="16" style="1364" bestFit="1" customWidth="1"/>
    <col min="6406" max="6406" width="21.5703125" style="1364" customWidth="1"/>
    <col min="6407" max="6407" width="14.140625" style="1364" customWidth="1"/>
    <col min="6408" max="6408" width="12" style="1364" customWidth="1"/>
    <col min="6409" max="6409" width="17.7109375" style="1364" customWidth="1"/>
    <col min="6410" max="6410" width="16" style="1364" customWidth="1"/>
    <col min="6411" max="6412" width="16.7109375" style="1364" customWidth="1"/>
    <col min="6413" max="6413" width="28" style="1364" customWidth="1"/>
    <col min="6414" max="6414" width="17.7109375" style="1364" customWidth="1"/>
    <col min="6415" max="6415" width="12.28515625" style="1364" customWidth="1"/>
    <col min="6416" max="6416" width="7.5703125" style="1364" bestFit="1" customWidth="1"/>
    <col min="6417" max="6417" width="8.7109375" style="1364" bestFit="1" customWidth="1"/>
    <col min="6418" max="6418" width="7.5703125" style="1364" bestFit="1" customWidth="1"/>
    <col min="6419" max="6419" width="8.7109375" style="1364" bestFit="1" customWidth="1"/>
    <col min="6420" max="6420" width="7.28515625" style="1364" bestFit="1" customWidth="1"/>
    <col min="6421" max="6421" width="8.7109375" style="1364" bestFit="1" customWidth="1"/>
    <col min="6422" max="6422" width="22.7109375" style="1364" customWidth="1"/>
    <col min="6423" max="6423" width="18.28515625" style="1364" customWidth="1"/>
    <col min="6424" max="6424" width="13.85546875" style="1364" customWidth="1"/>
    <col min="6425" max="6425" width="14" style="1364" customWidth="1"/>
    <col min="6426" max="6426" width="9.28515625" style="1364" customWidth="1"/>
    <col min="6427" max="6427" width="12.7109375" style="1364" customWidth="1"/>
    <col min="6428" max="6428" width="6.42578125" style="1364" customWidth="1"/>
    <col min="6429" max="6429" width="14.42578125" style="1364" customWidth="1"/>
    <col min="6430" max="6430" width="10.28515625" style="1364" customWidth="1"/>
    <col min="6431" max="6431" width="12" style="1364" customWidth="1"/>
    <col min="6432" max="6432" width="8.7109375" style="1364" customWidth="1"/>
    <col min="6433" max="6433" width="10.5703125" style="1364" customWidth="1"/>
    <col min="6434" max="6434" width="16.42578125" style="1364" customWidth="1"/>
    <col min="6435" max="6435" width="15.140625" style="1364" customWidth="1"/>
    <col min="6436" max="6436" width="17" style="1364" customWidth="1"/>
    <col min="6437" max="6437" width="20.140625" style="1364" customWidth="1"/>
    <col min="6438" max="6438" width="20.28515625" style="1364" customWidth="1"/>
    <col min="6439" max="6656" width="28.7109375" style="1364"/>
    <col min="6657" max="6657" width="38.7109375" style="1364" customWidth="1"/>
    <col min="6658" max="6658" width="19.7109375" style="1364" bestFit="1" customWidth="1"/>
    <col min="6659" max="6659" width="11.140625" style="1364" bestFit="1" customWidth="1"/>
    <col min="6660" max="6660" width="18.42578125" style="1364" customWidth="1"/>
    <col min="6661" max="6661" width="16" style="1364" bestFit="1" customWidth="1"/>
    <col min="6662" max="6662" width="21.5703125" style="1364" customWidth="1"/>
    <col min="6663" max="6663" width="14.140625" style="1364" customWidth="1"/>
    <col min="6664" max="6664" width="12" style="1364" customWidth="1"/>
    <col min="6665" max="6665" width="17.7109375" style="1364" customWidth="1"/>
    <col min="6666" max="6666" width="16" style="1364" customWidth="1"/>
    <col min="6667" max="6668" width="16.7109375" style="1364" customWidth="1"/>
    <col min="6669" max="6669" width="28" style="1364" customWidth="1"/>
    <col min="6670" max="6670" width="17.7109375" style="1364" customWidth="1"/>
    <col min="6671" max="6671" width="12.28515625" style="1364" customWidth="1"/>
    <col min="6672" max="6672" width="7.5703125" style="1364" bestFit="1" customWidth="1"/>
    <col min="6673" max="6673" width="8.7109375" style="1364" bestFit="1" customWidth="1"/>
    <col min="6674" max="6674" width="7.5703125" style="1364" bestFit="1" customWidth="1"/>
    <col min="6675" max="6675" width="8.7109375" style="1364" bestFit="1" customWidth="1"/>
    <col min="6676" max="6676" width="7.28515625" style="1364" bestFit="1" customWidth="1"/>
    <col min="6677" max="6677" width="8.7109375" style="1364" bestFit="1" customWidth="1"/>
    <col min="6678" max="6678" width="22.7109375" style="1364" customWidth="1"/>
    <col min="6679" max="6679" width="18.28515625" style="1364" customWidth="1"/>
    <col min="6680" max="6680" width="13.85546875" style="1364" customWidth="1"/>
    <col min="6681" max="6681" width="14" style="1364" customWidth="1"/>
    <col min="6682" max="6682" width="9.28515625" style="1364" customWidth="1"/>
    <col min="6683" max="6683" width="12.7109375" style="1364" customWidth="1"/>
    <col min="6684" max="6684" width="6.42578125" style="1364" customWidth="1"/>
    <col min="6685" max="6685" width="14.42578125" style="1364" customWidth="1"/>
    <col min="6686" max="6686" width="10.28515625" style="1364" customWidth="1"/>
    <col min="6687" max="6687" width="12" style="1364" customWidth="1"/>
    <col min="6688" max="6688" width="8.7109375" style="1364" customWidth="1"/>
    <col min="6689" max="6689" width="10.5703125" style="1364" customWidth="1"/>
    <col min="6690" max="6690" width="16.42578125" style="1364" customWidth="1"/>
    <col min="6691" max="6691" width="15.140625" style="1364" customWidth="1"/>
    <col min="6692" max="6692" width="17" style="1364" customWidth="1"/>
    <col min="6693" max="6693" width="20.140625" style="1364" customWidth="1"/>
    <col min="6694" max="6694" width="20.28515625" style="1364" customWidth="1"/>
    <col min="6695" max="6912" width="28.7109375" style="1364"/>
    <col min="6913" max="6913" width="38.7109375" style="1364" customWidth="1"/>
    <col min="6914" max="6914" width="19.7109375" style="1364" bestFit="1" customWidth="1"/>
    <col min="6915" max="6915" width="11.140625" style="1364" bestFit="1" customWidth="1"/>
    <col min="6916" max="6916" width="18.42578125" style="1364" customWidth="1"/>
    <col min="6917" max="6917" width="16" style="1364" bestFit="1" customWidth="1"/>
    <col min="6918" max="6918" width="21.5703125" style="1364" customWidth="1"/>
    <col min="6919" max="6919" width="14.140625" style="1364" customWidth="1"/>
    <col min="6920" max="6920" width="12" style="1364" customWidth="1"/>
    <col min="6921" max="6921" width="17.7109375" style="1364" customWidth="1"/>
    <col min="6922" max="6922" width="16" style="1364" customWidth="1"/>
    <col min="6923" max="6924" width="16.7109375" style="1364" customWidth="1"/>
    <col min="6925" max="6925" width="28" style="1364" customWidth="1"/>
    <col min="6926" max="6926" width="17.7109375" style="1364" customWidth="1"/>
    <col min="6927" max="6927" width="12.28515625" style="1364" customWidth="1"/>
    <col min="6928" max="6928" width="7.5703125" style="1364" bestFit="1" customWidth="1"/>
    <col min="6929" max="6929" width="8.7109375" style="1364" bestFit="1" customWidth="1"/>
    <col min="6930" max="6930" width="7.5703125" style="1364" bestFit="1" customWidth="1"/>
    <col min="6931" max="6931" width="8.7109375" style="1364" bestFit="1" customWidth="1"/>
    <col min="6932" max="6932" width="7.28515625" style="1364" bestFit="1" customWidth="1"/>
    <col min="6933" max="6933" width="8.7109375" style="1364" bestFit="1" customWidth="1"/>
    <col min="6934" max="6934" width="22.7109375" style="1364" customWidth="1"/>
    <col min="6935" max="6935" width="18.28515625" style="1364" customWidth="1"/>
    <col min="6936" max="6936" width="13.85546875" style="1364" customWidth="1"/>
    <col min="6937" max="6937" width="14" style="1364" customWidth="1"/>
    <col min="6938" max="6938" width="9.28515625" style="1364" customWidth="1"/>
    <col min="6939" max="6939" width="12.7109375" style="1364" customWidth="1"/>
    <col min="6940" max="6940" width="6.42578125" style="1364" customWidth="1"/>
    <col min="6941" max="6941" width="14.42578125" style="1364" customWidth="1"/>
    <col min="6942" max="6942" width="10.28515625" style="1364" customWidth="1"/>
    <col min="6943" max="6943" width="12" style="1364" customWidth="1"/>
    <col min="6944" max="6944" width="8.7109375" style="1364" customWidth="1"/>
    <col min="6945" max="6945" width="10.5703125" style="1364" customWidth="1"/>
    <col min="6946" max="6946" width="16.42578125" style="1364" customWidth="1"/>
    <col min="6947" max="6947" width="15.140625" style="1364" customWidth="1"/>
    <col min="6948" max="6948" width="17" style="1364" customWidth="1"/>
    <col min="6949" max="6949" width="20.140625" style="1364" customWidth="1"/>
    <col min="6950" max="6950" width="20.28515625" style="1364" customWidth="1"/>
    <col min="6951" max="7168" width="28.7109375" style="1364"/>
    <col min="7169" max="7169" width="38.7109375" style="1364" customWidth="1"/>
    <col min="7170" max="7170" width="19.7109375" style="1364" bestFit="1" customWidth="1"/>
    <col min="7171" max="7171" width="11.140625" style="1364" bestFit="1" customWidth="1"/>
    <col min="7172" max="7172" width="18.42578125" style="1364" customWidth="1"/>
    <col min="7173" max="7173" width="16" style="1364" bestFit="1" customWidth="1"/>
    <col min="7174" max="7174" width="21.5703125" style="1364" customWidth="1"/>
    <col min="7175" max="7175" width="14.140625" style="1364" customWidth="1"/>
    <col min="7176" max="7176" width="12" style="1364" customWidth="1"/>
    <col min="7177" max="7177" width="17.7109375" style="1364" customWidth="1"/>
    <col min="7178" max="7178" width="16" style="1364" customWidth="1"/>
    <col min="7179" max="7180" width="16.7109375" style="1364" customWidth="1"/>
    <col min="7181" max="7181" width="28" style="1364" customWidth="1"/>
    <col min="7182" max="7182" width="17.7109375" style="1364" customWidth="1"/>
    <col min="7183" max="7183" width="12.28515625" style="1364" customWidth="1"/>
    <col min="7184" max="7184" width="7.5703125" style="1364" bestFit="1" customWidth="1"/>
    <col min="7185" max="7185" width="8.7109375" style="1364" bestFit="1" customWidth="1"/>
    <col min="7186" max="7186" width="7.5703125" style="1364" bestFit="1" customWidth="1"/>
    <col min="7187" max="7187" width="8.7109375" style="1364" bestFit="1" customWidth="1"/>
    <col min="7188" max="7188" width="7.28515625" style="1364" bestFit="1" customWidth="1"/>
    <col min="7189" max="7189" width="8.7109375" style="1364" bestFit="1" customWidth="1"/>
    <col min="7190" max="7190" width="22.7109375" style="1364" customWidth="1"/>
    <col min="7191" max="7191" width="18.28515625" style="1364" customWidth="1"/>
    <col min="7192" max="7192" width="13.85546875" style="1364" customWidth="1"/>
    <col min="7193" max="7193" width="14" style="1364" customWidth="1"/>
    <col min="7194" max="7194" width="9.28515625" style="1364" customWidth="1"/>
    <col min="7195" max="7195" width="12.7109375" style="1364" customWidth="1"/>
    <col min="7196" max="7196" width="6.42578125" style="1364" customWidth="1"/>
    <col min="7197" max="7197" width="14.42578125" style="1364" customWidth="1"/>
    <col min="7198" max="7198" width="10.28515625" style="1364" customWidth="1"/>
    <col min="7199" max="7199" width="12" style="1364" customWidth="1"/>
    <col min="7200" max="7200" width="8.7109375" style="1364" customWidth="1"/>
    <col min="7201" max="7201" width="10.5703125" style="1364" customWidth="1"/>
    <col min="7202" max="7202" width="16.42578125" style="1364" customWidth="1"/>
    <col min="7203" max="7203" width="15.140625" style="1364" customWidth="1"/>
    <col min="7204" max="7204" width="17" style="1364" customWidth="1"/>
    <col min="7205" max="7205" width="20.140625" style="1364" customWidth="1"/>
    <col min="7206" max="7206" width="20.28515625" style="1364" customWidth="1"/>
    <col min="7207" max="7424" width="28.7109375" style="1364"/>
    <col min="7425" max="7425" width="38.7109375" style="1364" customWidth="1"/>
    <col min="7426" max="7426" width="19.7109375" style="1364" bestFit="1" customWidth="1"/>
    <col min="7427" max="7427" width="11.140625" style="1364" bestFit="1" customWidth="1"/>
    <col min="7428" max="7428" width="18.42578125" style="1364" customWidth="1"/>
    <col min="7429" max="7429" width="16" style="1364" bestFit="1" customWidth="1"/>
    <col min="7430" max="7430" width="21.5703125" style="1364" customWidth="1"/>
    <col min="7431" max="7431" width="14.140625" style="1364" customWidth="1"/>
    <col min="7432" max="7432" width="12" style="1364" customWidth="1"/>
    <col min="7433" max="7433" width="17.7109375" style="1364" customWidth="1"/>
    <col min="7434" max="7434" width="16" style="1364" customWidth="1"/>
    <col min="7435" max="7436" width="16.7109375" style="1364" customWidth="1"/>
    <col min="7437" max="7437" width="28" style="1364" customWidth="1"/>
    <col min="7438" max="7438" width="17.7109375" style="1364" customWidth="1"/>
    <col min="7439" max="7439" width="12.28515625" style="1364" customWidth="1"/>
    <col min="7440" max="7440" width="7.5703125" style="1364" bestFit="1" customWidth="1"/>
    <col min="7441" max="7441" width="8.7109375" style="1364" bestFit="1" customWidth="1"/>
    <col min="7442" max="7442" width="7.5703125" style="1364" bestFit="1" customWidth="1"/>
    <col min="7443" max="7443" width="8.7109375" style="1364" bestFit="1" customWidth="1"/>
    <col min="7444" max="7444" width="7.28515625" style="1364" bestFit="1" customWidth="1"/>
    <col min="7445" max="7445" width="8.7109375" style="1364" bestFit="1" customWidth="1"/>
    <col min="7446" max="7446" width="22.7109375" style="1364" customWidth="1"/>
    <col min="7447" max="7447" width="18.28515625" style="1364" customWidth="1"/>
    <col min="7448" max="7448" width="13.85546875" style="1364" customWidth="1"/>
    <col min="7449" max="7449" width="14" style="1364" customWidth="1"/>
    <col min="7450" max="7450" width="9.28515625" style="1364" customWidth="1"/>
    <col min="7451" max="7451" width="12.7109375" style="1364" customWidth="1"/>
    <col min="7452" max="7452" width="6.42578125" style="1364" customWidth="1"/>
    <col min="7453" max="7453" width="14.42578125" style="1364" customWidth="1"/>
    <col min="7454" max="7454" width="10.28515625" style="1364" customWidth="1"/>
    <col min="7455" max="7455" width="12" style="1364" customWidth="1"/>
    <col min="7456" max="7456" width="8.7109375" style="1364" customWidth="1"/>
    <col min="7457" max="7457" width="10.5703125" style="1364" customWidth="1"/>
    <col min="7458" max="7458" width="16.42578125" style="1364" customWidth="1"/>
    <col min="7459" max="7459" width="15.140625" style="1364" customWidth="1"/>
    <col min="7460" max="7460" width="17" style="1364" customWidth="1"/>
    <col min="7461" max="7461" width="20.140625" style="1364" customWidth="1"/>
    <col min="7462" max="7462" width="20.28515625" style="1364" customWidth="1"/>
    <col min="7463" max="7680" width="28.7109375" style="1364"/>
    <col min="7681" max="7681" width="38.7109375" style="1364" customWidth="1"/>
    <col min="7682" max="7682" width="19.7109375" style="1364" bestFit="1" customWidth="1"/>
    <col min="7683" max="7683" width="11.140625" style="1364" bestFit="1" customWidth="1"/>
    <col min="7684" max="7684" width="18.42578125" style="1364" customWidth="1"/>
    <col min="7685" max="7685" width="16" style="1364" bestFit="1" customWidth="1"/>
    <col min="7686" max="7686" width="21.5703125" style="1364" customWidth="1"/>
    <col min="7687" max="7687" width="14.140625" style="1364" customWidth="1"/>
    <col min="7688" max="7688" width="12" style="1364" customWidth="1"/>
    <col min="7689" max="7689" width="17.7109375" style="1364" customWidth="1"/>
    <col min="7690" max="7690" width="16" style="1364" customWidth="1"/>
    <col min="7691" max="7692" width="16.7109375" style="1364" customWidth="1"/>
    <col min="7693" max="7693" width="28" style="1364" customWidth="1"/>
    <col min="7694" max="7694" width="17.7109375" style="1364" customWidth="1"/>
    <col min="7695" max="7695" width="12.28515625" style="1364" customWidth="1"/>
    <col min="7696" max="7696" width="7.5703125" style="1364" bestFit="1" customWidth="1"/>
    <col min="7697" max="7697" width="8.7109375" style="1364" bestFit="1" customWidth="1"/>
    <col min="7698" max="7698" width="7.5703125" style="1364" bestFit="1" customWidth="1"/>
    <col min="7699" max="7699" width="8.7109375" style="1364" bestFit="1" customWidth="1"/>
    <col min="7700" max="7700" width="7.28515625" style="1364" bestFit="1" customWidth="1"/>
    <col min="7701" max="7701" width="8.7109375" style="1364" bestFit="1" customWidth="1"/>
    <col min="7702" max="7702" width="22.7109375" style="1364" customWidth="1"/>
    <col min="7703" max="7703" width="18.28515625" style="1364" customWidth="1"/>
    <col min="7704" max="7704" width="13.85546875" style="1364" customWidth="1"/>
    <col min="7705" max="7705" width="14" style="1364" customWidth="1"/>
    <col min="7706" max="7706" width="9.28515625" style="1364" customWidth="1"/>
    <col min="7707" max="7707" width="12.7109375" style="1364" customWidth="1"/>
    <col min="7708" max="7708" width="6.42578125" style="1364" customWidth="1"/>
    <col min="7709" max="7709" width="14.42578125" style="1364" customWidth="1"/>
    <col min="7710" max="7710" width="10.28515625" style="1364" customWidth="1"/>
    <col min="7711" max="7711" width="12" style="1364" customWidth="1"/>
    <col min="7712" max="7712" width="8.7109375" style="1364" customWidth="1"/>
    <col min="7713" max="7713" width="10.5703125" style="1364" customWidth="1"/>
    <col min="7714" max="7714" width="16.42578125" style="1364" customWidth="1"/>
    <col min="7715" max="7715" width="15.140625" style="1364" customWidth="1"/>
    <col min="7716" max="7716" width="17" style="1364" customWidth="1"/>
    <col min="7717" max="7717" width="20.140625" style="1364" customWidth="1"/>
    <col min="7718" max="7718" width="20.28515625" style="1364" customWidth="1"/>
    <col min="7719" max="7936" width="28.7109375" style="1364"/>
    <col min="7937" max="7937" width="38.7109375" style="1364" customWidth="1"/>
    <col min="7938" max="7938" width="19.7109375" style="1364" bestFit="1" customWidth="1"/>
    <col min="7939" max="7939" width="11.140625" style="1364" bestFit="1" customWidth="1"/>
    <col min="7940" max="7940" width="18.42578125" style="1364" customWidth="1"/>
    <col min="7941" max="7941" width="16" style="1364" bestFit="1" customWidth="1"/>
    <col min="7942" max="7942" width="21.5703125" style="1364" customWidth="1"/>
    <col min="7943" max="7943" width="14.140625" style="1364" customWidth="1"/>
    <col min="7944" max="7944" width="12" style="1364" customWidth="1"/>
    <col min="7945" max="7945" width="17.7109375" style="1364" customWidth="1"/>
    <col min="7946" max="7946" width="16" style="1364" customWidth="1"/>
    <col min="7947" max="7948" width="16.7109375" style="1364" customWidth="1"/>
    <col min="7949" max="7949" width="28" style="1364" customWidth="1"/>
    <col min="7950" max="7950" width="17.7109375" style="1364" customWidth="1"/>
    <col min="7951" max="7951" width="12.28515625" style="1364" customWidth="1"/>
    <col min="7952" max="7952" width="7.5703125" style="1364" bestFit="1" customWidth="1"/>
    <col min="7953" max="7953" width="8.7109375" style="1364" bestFit="1" customWidth="1"/>
    <col min="7954" max="7954" width="7.5703125" style="1364" bestFit="1" customWidth="1"/>
    <col min="7955" max="7955" width="8.7109375" style="1364" bestFit="1" customWidth="1"/>
    <col min="7956" max="7956" width="7.28515625" style="1364" bestFit="1" customWidth="1"/>
    <col min="7957" max="7957" width="8.7109375" style="1364" bestFit="1" customWidth="1"/>
    <col min="7958" max="7958" width="22.7109375" style="1364" customWidth="1"/>
    <col min="7959" max="7959" width="18.28515625" style="1364" customWidth="1"/>
    <col min="7960" max="7960" width="13.85546875" style="1364" customWidth="1"/>
    <col min="7961" max="7961" width="14" style="1364" customWidth="1"/>
    <col min="7962" max="7962" width="9.28515625" style="1364" customWidth="1"/>
    <col min="7963" max="7963" width="12.7109375" style="1364" customWidth="1"/>
    <col min="7964" max="7964" width="6.42578125" style="1364" customWidth="1"/>
    <col min="7965" max="7965" width="14.42578125" style="1364" customWidth="1"/>
    <col min="7966" max="7966" width="10.28515625" style="1364" customWidth="1"/>
    <col min="7967" max="7967" width="12" style="1364" customWidth="1"/>
    <col min="7968" max="7968" width="8.7109375" style="1364" customWidth="1"/>
    <col min="7969" max="7969" width="10.5703125" style="1364" customWidth="1"/>
    <col min="7970" max="7970" width="16.42578125" style="1364" customWidth="1"/>
    <col min="7971" max="7971" width="15.140625" style="1364" customWidth="1"/>
    <col min="7972" max="7972" width="17" style="1364" customWidth="1"/>
    <col min="7973" max="7973" width="20.140625" style="1364" customWidth="1"/>
    <col min="7974" max="7974" width="20.28515625" style="1364" customWidth="1"/>
    <col min="7975" max="8192" width="28.7109375" style="1364"/>
    <col min="8193" max="8193" width="38.7109375" style="1364" customWidth="1"/>
    <col min="8194" max="8194" width="19.7109375" style="1364" bestFit="1" customWidth="1"/>
    <col min="8195" max="8195" width="11.140625" style="1364" bestFit="1" customWidth="1"/>
    <col min="8196" max="8196" width="18.42578125" style="1364" customWidth="1"/>
    <col min="8197" max="8197" width="16" style="1364" bestFit="1" customWidth="1"/>
    <col min="8198" max="8198" width="21.5703125" style="1364" customWidth="1"/>
    <col min="8199" max="8199" width="14.140625" style="1364" customWidth="1"/>
    <col min="8200" max="8200" width="12" style="1364" customWidth="1"/>
    <col min="8201" max="8201" width="17.7109375" style="1364" customWidth="1"/>
    <col min="8202" max="8202" width="16" style="1364" customWidth="1"/>
    <col min="8203" max="8204" width="16.7109375" style="1364" customWidth="1"/>
    <col min="8205" max="8205" width="28" style="1364" customWidth="1"/>
    <col min="8206" max="8206" width="17.7109375" style="1364" customWidth="1"/>
    <col min="8207" max="8207" width="12.28515625" style="1364" customWidth="1"/>
    <col min="8208" max="8208" width="7.5703125" style="1364" bestFit="1" customWidth="1"/>
    <col min="8209" max="8209" width="8.7109375" style="1364" bestFit="1" customWidth="1"/>
    <col min="8210" max="8210" width="7.5703125" style="1364" bestFit="1" customWidth="1"/>
    <col min="8211" max="8211" width="8.7109375" style="1364" bestFit="1" customWidth="1"/>
    <col min="8212" max="8212" width="7.28515625" style="1364" bestFit="1" customWidth="1"/>
    <col min="8213" max="8213" width="8.7109375" style="1364" bestFit="1" customWidth="1"/>
    <col min="8214" max="8214" width="22.7109375" style="1364" customWidth="1"/>
    <col min="8215" max="8215" width="18.28515625" style="1364" customWidth="1"/>
    <col min="8216" max="8216" width="13.85546875" style="1364" customWidth="1"/>
    <col min="8217" max="8217" width="14" style="1364" customWidth="1"/>
    <col min="8218" max="8218" width="9.28515625" style="1364" customWidth="1"/>
    <col min="8219" max="8219" width="12.7109375" style="1364" customWidth="1"/>
    <col min="8220" max="8220" width="6.42578125" style="1364" customWidth="1"/>
    <col min="8221" max="8221" width="14.42578125" style="1364" customWidth="1"/>
    <col min="8222" max="8222" width="10.28515625" style="1364" customWidth="1"/>
    <col min="8223" max="8223" width="12" style="1364" customWidth="1"/>
    <col min="8224" max="8224" width="8.7109375" style="1364" customWidth="1"/>
    <col min="8225" max="8225" width="10.5703125" style="1364" customWidth="1"/>
    <col min="8226" max="8226" width="16.42578125" style="1364" customWidth="1"/>
    <col min="8227" max="8227" width="15.140625" style="1364" customWidth="1"/>
    <col min="8228" max="8228" width="17" style="1364" customWidth="1"/>
    <col min="8229" max="8229" width="20.140625" style="1364" customWidth="1"/>
    <col min="8230" max="8230" width="20.28515625" style="1364" customWidth="1"/>
    <col min="8231" max="8448" width="28.7109375" style="1364"/>
    <col min="8449" max="8449" width="38.7109375" style="1364" customWidth="1"/>
    <col min="8450" max="8450" width="19.7109375" style="1364" bestFit="1" customWidth="1"/>
    <col min="8451" max="8451" width="11.140625" style="1364" bestFit="1" customWidth="1"/>
    <col min="8452" max="8452" width="18.42578125" style="1364" customWidth="1"/>
    <col min="8453" max="8453" width="16" style="1364" bestFit="1" customWidth="1"/>
    <col min="8454" max="8454" width="21.5703125" style="1364" customWidth="1"/>
    <col min="8455" max="8455" width="14.140625" style="1364" customWidth="1"/>
    <col min="8456" max="8456" width="12" style="1364" customWidth="1"/>
    <col min="8457" max="8457" width="17.7109375" style="1364" customWidth="1"/>
    <col min="8458" max="8458" width="16" style="1364" customWidth="1"/>
    <col min="8459" max="8460" width="16.7109375" style="1364" customWidth="1"/>
    <col min="8461" max="8461" width="28" style="1364" customWidth="1"/>
    <col min="8462" max="8462" width="17.7109375" style="1364" customWidth="1"/>
    <col min="8463" max="8463" width="12.28515625" style="1364" customWidth="1"/>
    <col min="8464" max="8464" width="7.5703125" style="1364" bestFit="1" customWidth="1"/>
    <col min="8465" max="8465" width="8.7109375" style="1364" bestFit="1" customWidth="1"/>
    <col min="8466" max="8466" width="7.5703125" style="1364" bestFit="1" customWidth="1"/>
    <col min="8467" max="8467" width="8.7109375" style="1364" bestFit="1" customWidth="1"/>
    <col min="8468" max="8468" width="7.28515625" style="1364" bestFit="1" customWidth="1"/>
    <col min="8469" max="8469" width="8.7109375" style="1364" bestFit="1" customWidth="1"/>
    <col min="8470" max="8470" width="22.7109375" style="1364" customWidth="1"/>
    <col min="8471" max="8471" width="18.28515625" style="1364" customWidth="1"/>
    <col min="8472" max="8472" width="13.85546875" style="1364" customWidth="1"/>
    <col min="8473" max="8473" width="14" style="1364" customWidth="1"/>
    <col min="8474" max="8474" width="9.28515625" style="1364" customWidth="1"/>
    <col min="8475" max="8475" width="12.7109375" style="1364" customWidth="1"/>
    <col min="8476" max="8476" width="6.42578125" style="1364" customWidth="1"/>
    <col min="8477" max="8477" width="14.42578125" style="1364" customWidth="1"/>
    <col min="8478" max="8478" width="10.28515625" style="1364" customWidth="1"/>
    <col min="8479" max="8479" width="12" style="1364" customWidth="1"/>
    <col min="8480" max="8480" width="8.7109375" style="1364" customWidth="1"/>
    <col min="8481" max="8481" width="10.5703125" style="1364" customWidth="1"/>
    <col min="8482" max="8482" width="16.42578125" style="1364" customWidth="1"/>
    <col min="8483" max="8483" width="15.140625" style="1364" customWidth="1"/>
    <col min="8484" max="8484" width="17" style="1364" customWidth="1"/>
    <col min="8485" max="8485" width="20.140625" style="1364" customWidth="1"/>
    <col min="8486" max="8486" width="20.28515625" style="1364" customWidth="1"/>
    <col min="8487" max="8704" width="28.7109375" style="1364"/>
    <col min="8705" max="8705" width="38.7109375" style="1364" customWidth="1"/>
    <col min="8706" max="8706" width="19.7109375" style="1364" bestFit="1" customWidth="1"/>
    <col min="8707" max="8707" width="11.140625" style="1364" bestFit="1" customWidth="1"/>
    <col min="8708" max="8708" width="18.42578125" style="1364" customWidth="1"/>
    <col min="8709" max="8709" width="16" style="1364" bestFit="1" customWidth="1"/>
    <col min="8710" max="8710" width="21.5703125" style="1364" customWidth="1"/>
    <col min="8711" max="8711" width="14.140625" style="1364" customWidth="1"/>
    <col min="8712" max="8712" width="12" style="1364" customWidth="1"/>
    <col min="8713" max="8713" width="17.7109375" style="1364" customWidth="1"/>
    <col min="8714" max="8714" width="16" style="1364" customWidth="1"/>
    <col min="8715" max="8716" width="16.7109375" style="1364" customWidth="1"/>
    <col min="8717" max="8717" width="28" style="1364" customWidth="1"/>
    <col min="8718" max="8718" width="17.7109375" style="1364" customWidth="1"/>
    <col min="8719" max="8719" width="12.28515625" style="1364" customWidth="1"/>
    <col min="8720" max="8720" width="7.5703125" style="1364" bestFit="1" customWidth="1"/>
    <col min="8721" max="8721" width="8.7109375" style="1364" bestFit="1" customWidth="1"/>
    <col min="8722" max="8722" width="7.5703125" style="1364" bestFit="1" customWidth="1"/>
    <col min="8723" max="8723" width="8.7109375" style="1364" bestFit="1" customWidth="1"/>
    <col min="8724" max="8724" width="7.28515625" style="1364" bestFit="1" customWidth="1"/>
    <col min="8725" max="8725" width="8.7109375" style="1364" bestFit="1" customWidth="1"/>
    <col min="8726" max="8726" width="22.7109375" style="1364" customWidth="1"/>
    <col min="8727" max="8727" width="18.28515625" style="1364" customWidth="1"/>
    <col min="8728" max="8728" width="13.85546875" style="1364" customWidth="1"/>
    <col min="8729" max="8729" width="14" style="1364" customWidth="1"/>
    <col min="8730" max="8730" width="9.28515625" style="1364" customWidth="1"/>
    <col min="8731" max="8731" width="12.7109375" style="1364" customWidth="1"/>
    <col min="8732" max="8732" width="6.42578125" style="1364" customWidth="1"/>
    <col min="8733" max="8733" width="14.42578125" style="1364" customWidth="1"/>
    <col min="8734" max="8734" width="10.28515625" style="1364" customWidth="1"/>
    <col min="8735" max="8735" width="12" style="1364" customWidth="1"/>
    <col min="8736" max="8736" width="8.7109375" style="1364" customWidth="1"/>
    <col min="8737" max="8737" width="10.5703125" style="1364" customWidth="1"/>
    <col min="8738" max="8738" width="16.42578125" style="1364" customWidth="1"/>
    <col min="8739" max="8739" width="15.140625" style="1364" customWidth="1"/>
    <col min="8740" max="8740" width="17" style="1364" customWidth="1"/>
    <col min="8741" max="8741" width="20.140625" style="1364" customWidth="1"/>
    <col min="8742" max="8742" width="20.28515625" style="1364" customWidth="1"/>
    <col min="8743" max="8960" width="28.7109375" style="1364"/>
    <col min="8961" max="8961" width="38.7109375" style="1364" customWidth="1"/>
    <col min="8962" max="8962" width="19.7109375" style="1364" bestFit="1" customWidth="1"/>
    <col min="8963" max="8963" width="11.140625" style="1364" bestFit="1" customWidth="1"/>
    <col min="8964" max="8964" width="18.42578125" style="1364" customWidth="1"/>
    <col min="8965" max="8965" width="16" style="1364" bestFit="1" customWidth="1"/>
    <col min="8966" max="8966" width="21.5703125" style="1364" customWidth="1"/>
    <col min="8967" max="8967" width="14.140625" style="1364" customWidth="1"/>
    <col min="8968" max="8968" width="12" style="1364" customWidth="1"/>
    <col min="8969" max="8969" width="17.7109375" style="1364" customWidth="1"/>
    <col min="8970" max="8970" width="16" style="1364" customWidth="1"/>
    <col min="8971" max="8972" width="16.7109375" style="1364" customWidth="1"/>
    <col min="8973" max="8973" width="28" style="1364" customWidth="1"/>
    <col min="8974" max="8974" width="17.7109375" style="1364" customWidth="1"/>
    <col min="8975" max="8975" width="12.28515625" style="1364" customWidth="1"/>
    <col min="8976" max="8976" width="7.5703125" style="1364" bestFit="1" customWidth="1"/>
    <col min="8977" max="8977" width="8.7109375" style="1364" bestFit="1" customWidth="1"/>
    <col min="8978" max="8978" width="7.5703125" style="1364" bestFit="1" customWidth="1"/>
    <col min="8979" max="8979" width="8.7109375" style="1364" bestFit="1" customWidth="1"/>
    <col min="8980" max="8980" width="7.28515625" style="1364" bestFit="1" customWidth="1"/>
    <col min="8981" max="8981" width="8.7109375" style="1364" bestFit="1" customWidth="1"/>
    <col min="8982" max="8982" width="22.7109375" style="1364" customWidth="1"/>
    <col min="8983" max="8983" width="18.28515625" style="1364" customWidth="1"/>
    <col min="8984" max="8984" width="13.85546875" style="1364" customWidth="1"/>
    <col min="8985" max="8985" width="14" style="1364" customWidth="1"/>
    <col min="8986" max="8986" width="9.28515625" style="1364" customWidth="1"/>
    <col min="8987" max="8987" width="12.7109375" style="1364" customWidth="1"/>
    <col min="8988" max="8988" width="6.42578125" style="1364" customWidth="1"/>
    <col min="8989" max="8989" width="14.42578125" style="1364" customWidth="1"/>
    <col min="8990" max="8990" width="10.28515625" style="1364" customWidth="1"/>
    <col min="8991" max="8991" width="12" style="1364" customWidth="1"/>
    <col min="8992" max="8992" width="8.7109375" style="1364" customWidth="1"/>
    <col min="8993" max="8993" width="10.5703125" style="1364" customWidth="1"/>
    <col min="8994" max="8994" width="16.42578125" style="1364" customWidth="1"/>
    <col min="8995" max="8995" width="15.140625" style="1364" customWidth="1"/>
    <col min="8996" max="8996" width="17" style="1364" customWidth="1"/>
    <col min="8997" max="8997" width="20.140625" style="1364" customWidth="1"/>
    <col min="8998" max="8998" width="20.28515625" style="1364" customWidth="1"/>
    <col min="8999" max="9216" width="28.7109375" style="1364"/>
    <col min="9217" max="9217" width="38.7109375" style="1364" customWidth="1"/>
    <col min="9218" max="9218" width="19.7109375" style="1364" bestFit="1" customWidth="1"/>
    <col min="9219" max="9219" width="11.140625" style="1364" bestFit="1" customWidth="1"/>
    <col min="9220" max="9220" width="18.42578125" style="1364" customWidth="1"/>
    <col min="9221" max="9221" width="16" style="1364" bestFit="1" customWidth="1"/>
    <col min="9222" max="9222" width="21.5703125" style="1364" customWidth="1"/>
    <col min="9223" max="9223" width="14.140625" style="1364" customWidth="1"/>
    <col min="9224" max="9224" width="12" style="1364" customWidth="1"/>
    <col min="9225" max="9225" width="17.7109375" style="1364" customWidth="1"/>
    <col min="9226" max="9226" width="16" style="1364" customWidth="1"/>
    <col min="9227" max="9228" width="16.7109375" style="1364" customWidth="1"/>
    <col min="9229" max="9229" width="28" style="1364" customWidth="1"/>
    <col min="9230" max="9230" width="17.7109375" style="1364" customWidth="1"/>
    <col min="9231" max="9231" width="12.28515625" style="1364" customWidth="1"/>
    <col min="9232" max="9232" width="7.5703125" style="1364" bestFit="1" customWidth="1"/>
    <col min="9233" max="9233" width="8.7109375" style="1364" bestFit="1" customWidth="1"/>
    <col min="9234" max="9234" width="7.5703125" style="1364" bestFit="1" customWidth="1"/>
    <col min="9235" max="9235" width="8.7109375" style="1364" bestFit="1" customWidth="1"/>
    <col min="9236" max="9236" width="7.28515625" style="1364" bestFit="1" customWidth="1"/>
    <col min="9237" max="9237" width="8.7109375" style="1364" bestFit="1" customWidth="1"/>
    <col min="9238" max="9238" width="22.7109375" style="1364" customWidth="1"/>
    <col min="9239" max="9239" width="18.28515625" style="1364" customWidth="1"/>
    <col min="9240" max="9240" width="13.85546875" style="1364" customWidth="1"/>
    <col min="9241" max="9241" width="14" style="1364" customWidth="1"/>
    <col min="9242" max="9242" width="9.28515625" style="1364" customWidth="1"/>
    <col min="9243" max="9243" width="12.7109375" style="1364" customWidth="1"/>
    <col min="9244" max="9244" width="6.42578125" style="1364" customWidth="1"/>
    <col min="9245" max="9245" width="14.42578125" style="1364" customWidth="1"/>
    <col min="9246" max="9246" width="10.28515625" style="1364" customWidth="1"/>
    <col min="9247" max="9247" width="12" style="1364" customWidth="1"/>
    <col min="9248" max="9248" width="8.7109375" style="1364" customWidth="1"/>
    <col min="9249" max="9249" width="10.5703125" style="1364" customWidth="1"/>
    <col min="9250" max="9250" width="16.42578125" style="1364" customWidth="1"/>
    <col min="9251" max="9251" width="15.140625" style="1364" customWidth="1"/>
    <col min="9252" max="9252" width="17" style="1364" customWidth="1"/>
    <col min="9253" max="9253" width="20.140625" style="1364" customWidth="1"/>
    <col min="9254" max="9254" width="20.28515625" style="1364" customWidth="1"/>
    <col min="9255" max="9472" width="28.7109375" style="1364"/>
    <col min="9473" max="9473" width="38.7109375" style="1364" customWidth="1"/>
    <col min="9474" max="9474" width="19.7109375" style="1364" bestFit="1" customWidth="1"/>
    <col min="9475" max="9475" width="11.140625" style="1364" bestFit="1" customWidth="1"/>
    <col min="9476" max="9476" width="18.42578125" style="1364" customWidth="1"/>
    <col min="9477" max="9477" width="16" style="1364" bestFit="1" customWidth="1"/>
    <col min="9478" max="9478" width="21.5703125" style="1364" customWidth="1"/>
    <col min="9479" max="9479" width="14.140625" style="1364" customWidth="1"/>
    <col min="9480" max="9480" width="12" style="1364" customWidth="1"/>
    <col min="9481" max="9481" width="17.7109375" style="1364" customWidth="1"/>
    <col min="9482" max="9482" width="16" style="1364" customWidth="1"/>
    <col min="9483" max="9484" width="16.7109375" style="1364" customWidth="1"/>
    <col min="9485" max="9485" width="28" style="1364" customWidth="1"/>
    <col min="9486" max="9486" width="17.7109375" style="1364" customWidth="1"/>
    <col min="9487" max="9487" width="12.28515625" style="1364" customWidth="1"/>
    <col min="9488" max="9488" width="7.5703125" style="1364" bestFit="1" customWidth="1"/>
    <col min="9489" max="9489" width="8.7109375" style="1364" bestFit="1" customWidth="1"/>
    <col min="9490" max="9490" width="7.5703125" style="1364" bestFit="1" customWidth="1"/>
    <col min="9491" max="9491" width="8.7109375" style="1364" bestFit="1" customWidth="1"/>
    <col min="9492" max="9492" width="7.28515625" style="1364" bestFit="1" customWidth="1"/>
    <col min="9493" max="9493" width="8.7109375" style="1364" bestFit="1" customWidth="1"/>
    <col min="9494" max="9494" width="22.7109375" style="1364" customWidth="1"/>
    <col min="9495" max="9495" width="18.28515625" style="1364" customWidth="1"/>
    <col min="9496" max="9496" width="13.85546875" style="1364" customWidth="1"/>
    <col min="9497" max="9497" width="14" style="1364" customWidth="1"/>
    <col min="9498" max="9498" width="9.28515625" style="1364" customWidth="1"/>
    <col min="9499" max="9499" width="12.7109375" style="1364" customWidth="1"/>
    <col min="9500" max="9500" width="6.42578125" style="1364" customWidth="1"/>
    <col min="9501" max="9501" width="14.42578125" style="1364" customWidth="1"/>
    <col min="9502" max="9502" width="10.28515625" style="1364" customWidth="1"/>
    <col min="9503" max="9503" width="12" style="1364" customWidth="1"/>
    <col min="9504" max="9504" width="8.7109375" style="1364" customWidth="1"/>
    <col min="9505" max="9505" width="10.5703125" style="1364" customWidth="1"/>
    <col min="9506" max="9506" width="16.42578125" style="1364" customWidth="1"/>
    <col min="9507" max="9507" width="15.140625" style="1364" customWidth="1"/>
    <col min="9508" max="9508" width="17" style="1364" customWidth="1"/>
    <col min="9509" max="9509" width="20.140625" style="1364" customWidth="1"/>
    <col min="9510" max="9510" width="20.28515625" style="1364" customWidth="1"/>
    <col min="9511" max="9728" width="28.7109375" style="1364"/>
    <col min="9729" max="9729" width="38.7109375" style="1364" customWidth="1"/>
    <col min="9730" max="9730" width="19.7109375" style="1364" bestFit="1" customWidth="1"/>
    <col min="9731" max="9731" width="11.140625" style="1364" bestFit="1" customWidth="1"/>
    <col min="9732" max="9732" width="18.42578125" style="1364" customWidth="1"/>
    <col min="9733" max="9733" width="16" style="1364" bestFit="1" customWidth="1"/>
    <col min="9734" max="9734" width="21.5703125" style="1364" customWidth="1"/>
    <col min="9735" max="9735" width="14.140625" style="1364" customWidth="1"/>
    <col min="9736" max="9736" width="12" style="1364" customWidth="1"/>
    <col min="9737" max="9737" width="17.7109375" style="1364" customWidth="1"/>
    <col min="9738" max="9738" width="16" style="1364" customWidth="1"/>
    <col min="9739" max="9740" width="16.7109375" style="1364" customWidth="1"/>
    <col min="9741" max="9741" width="28" style="1364" customWidth="1"/>
    <col min="9742" max="9742" width="17.7109375" style="1364" customWidth="1"/>
    <col min="9743" max="9743" width="12.28515625" style="1364" customWidth="1"/>
    <col min="9744" max="9744" width="7.5703125" style="1364" bestFit="1" customWidth="1"/>
    <col min="9745" max="9745" width="8.7109375" style="1364" bestFit="1" customWidth="1"/>
    <col min="9746" max="9746" width="7.5703125" style="1364" bestFit="1" customWidth="1"/>
    <col min="9747" max="9747" width="8.7109375" style="1364" bestFit="1" customWidth="1"/>
    <col min="9748" max="9748" width="7.28515625" style="1364" bestFit="1" customWidth="1"/>
    <col min="9749" max="9749" width="8.7109375" style="1364" bestFit="1" customWidth="1"/>
    <col min="9750" max="9750" width="22.7109375" style="1364" customWidth="1"/>
    <col min="9751" max="9751" width="18.28515625" style="1364" customWidth="1"/>
    <col min="9752" max="9752" width="13.85546875" style="1364" customWidth="1"/>
    <col min="9753" max="9753" width="14" style="1364" customWidth="1"/>
    <col min="9754" max="9754" width="9.28515625" style="1364" customWidth="1"/>
    <col min="9755" max="9755" width="12.7109375" style="1364" customWidth="1"/>
    <col min="9756" max="9756" width="6.42578125" style="1364" customWidth="1"/>
    <col min="9757" max="9757" width="14.42578125" style="1364" customWidth="1"/>
    <col min="9758" max="9758" width="10.28515625" style="1364" customWidth="1"/>
    <col min="9759" max="9759" width="12" style="1364" customWidth="1"/>
    <col min="9760" max="9760" width="8.7109375" style="1364" customWidth="1"/>
    <col min="9761" max="9761" width="10.5703125" style="1364" customWidth="1"/>
    <col min="9762" max="9762" width="16.42578125" style="1364" customWidth="1"/>
    <col min="9763" max="9763" width="15.140625" style="1364" customWidth="1"/>
    <col min="9764" max="9764" width="17" style="1364" customWidth="1"/>
    <col min="9765" max="9765" width="20.140625" style="1364" customWidth="1"/>
    <col min="9766" max="9766" width="20.28515625" style="1364" customWidth="1"/>
    <col min="9767" max="9984" width="28.7109375" style="1364"/>
    <col min="9985" max="9985" width="38.7109375" style="1364" customWidth="1"/>
    <col min="9986" max="9986" width="19.7109375" style="1364" bestFit="1" customWidth="1"/>
    <col min="9987" max="9987" width="11.140625" style="1364" bestFit="1" customWidth="1"/>
    <col min="9988" max="9988" width="18.42578125" style="1364" customWidth="1"/>
    <col min="9989" max="9989" width="16" style="1364" bestFit="1" customWidth="1"/>
    <col min="9990" max="9990" width="21.5703125" style="1364" customWidth="1"/>
    <col min="9991" max="9991" width="14.140625" style="1364" customWidth="1"/>
    <col min="9992" max="9992" width="12" style="1364" customWidth="1"/>
    <col min="9993" max="9993" width="17.7109375" style="1364" customWidth="1"/>
    <col min="9994" max="9994" width="16" style="1364" customWidth="1"/>
    <col min="9995" max="9996" width="16.7109375" style="1364" customWidth="1"/>
    <col min="9997" max="9997" width="28" style="1364" customWidth="1"/>
    <col min="9998" max="9998" width="17.7109375" style="1364" customWidth="1"/>
    <col min="9999" max="9999" width="12.28515625" style="1364" customWidth="1"/>
    <col min="10000" max="10000" width="7.5703125" style="1364" bestFit="1" customWidth="1"/>
    <col min="10001" max="10001" width="8.7109375" style="1364" bestFit="1" customWidth="1"/>
    <col min="10002" max="10002" width="7.5703125" style="1364" bestFit="1" customWidth="1"/>
    <col min="10003" max="10003" width="8.7109375" style="1364" bestFit="1" customWidth="1"/>
    <col min="10004" max="10004" width="7.28515625" style="1364" bestFit="1" customWidth="1"/>
    <col min="10005" max="10005" width="8.7109375" style="1364" bestFit="1" customWidth="1"/>
    <col min="10006" max="10006" width="22.7109375" style="1364" customWidth="1"/>
    <col min="10007" max="10007" width="18.28515625" style="1364" customWidth="1"/>
    <col min="10008" max="10008" width="13.85546875" style="1364" customWidth="1"/>
    <col min="10009" max="10009" width="14" style="1364" customWidth="1"/>
    <col min="10010" max="10010" width="9.28515625" style="1364" customWidth="1"/>
    <col min="10011" max="10011" width="12.7109375" style="1364" customWidth="1"/>
    <col min="10012" max="10012" width="6.42578125" style="1364" customWidth="1"/>
    <col min="10013" max="10013" width="14.42578125" style="1364" customWidth="1"/>
    <col min="10014" max="10014" width="10.28515625" style="1364" customWidth="1"/>
    <col min="10015" max="10015" width="12" style="1364" customWidth="1"/>
    <col min="10016" max="10016" width="8.7109375" style="1364" customWidth="1"/>
    <col min="10017" max="10017" width="10.5703125" style="1364" customWidth="1"/>
    <col min="10018" max="10018" width="16.42578125" style="1364" customWidth="1"/>
    <col min="10019" max="10019" width="15.140625" style="1364" customWidth="1"/>
    <col min="10020" max="10020" width="17" style="1364" customWidth="1"/>
    <col min="10021" max="10021" width="20.140625" style="1364" customWidth="1"/>
    <col min="10022" max="10022" width="20.28515625" style="1364" customWidth="1"/>
    <col min="10023" max="10240" width="28.7109375" style="1364"/>
    <col min="10241" max="10241" width="38.7109375" style="1364" customWidth="1"/>
    <col min="10242" max="10242" width="19.7109375" style="1364" bestFit="1" customWidth="1"/>
    <col min="10243" max="10243" width="11.140625" style="1364" bestFit="1" customWidth="1"/>
    <col min="10244" max="10244" width="18.42578125" style="1364" customWidth="1"/>
    <col min="10245" max="10245" width="16" style="1364" bestFit="1" customWidth="1"/>
    <col min="10246" max="10246" width="21.5703125" style="1364" customWidth="1"/>
    <col min="10247" max="10247" width="14.140625" style="1364" customWidth="1"/>
    <col min="10248" max="10248" width="12" style="1364" customWidth="1"/>
    <col min="10249" max="10249" width="17.7109375" style="1364" customWidth="1"/>
    <col min="10250" max="10250" width="16" style="1364" customWidth="1"/>
    <col min="10251" max="10252" width="16.7109375" style="1364" customWidth="1"/>
    <col min="10253" max="10253" width="28" style="1364" customWidth="1"/>
    <col min="10254" max="10254" width="17.7109375" style="1364" customWidth="1"/>
    <col min="10255" max="10255" width="12.28515625" style="1364" customWidth="1"/>
    <col min="10256" max="10256" width="7.5703125" style="1364" bestFit="1" customWidth="1"/>
    <col min="10257" max="10257" width="8.7109375" style="1364" bestFit="1" customWidth="1"/>
    <col min="10258" max="10258" width="7.5703125" style="1364" bestFit="1" customWidth="1"/>
    <col min="10259" max="10259" width="8.7109375" style="1364" bestFit="1" customWidth="1"/>
    <col min="10260" max="10260" width="7.28515625" style="1364" bestFit="1" customWidth="1"/>
    <col min="10261" max="10261" width="8.7109375" style="1364" bestFit="1" customWidth="1"/>
    <col min="10262" max="10262" width="22.7109375" style="1364" customWidth="1"/>
    <col min="10263" max="10263" width="18.28515625" style="1364" customWidth="1"/>
    <col min="10264" max="10264" width="13.85546875" style="1364" customWidth="1"/>
    <col min="10265" max="10265" width="14" style="1364" customWidth="1"/>
    <col min="10266" max="10266" width="9.28515625" style="1364" customWidth="1"/>
    <col min="10267" max="10267" width="12.7109375" style="1364" customWidth="1"/>
    <col min="10268" max="10268" width="6.42578125" style="1364" customWidth="1"/>
    <col min="10269" max="10269" width="14.42578125" style="1364" customWidth="1"/>
    <col min="10270" max="10270" width="10.28515625" style="1364" customWidth="1"/>
    <col min="10271" max="10271" width="12" style="1364" customWidth="1"/>
    <col min="10272" max="10272" width="8.7109375" style="1364" customWidth="1"/>
    <col min="10273" max="10273" width="10.5703125" style="1364" customWidth="1"/>
    <col min="10274" max="10274" width="16.42578125" style="1364" customWidth="1"/>
    <col min="10275" max="10275" width="15.140625" style="1364" customWidth="1"/>
    <col min="10276" max="10276" width="17" style="1364" customWidth="1"/>
    <col min="10277" max="10277" width="20.140625" style="1364" customWidth="1"/>
    <col min="10278" max="10278" width="20.28515625" style="1364" customWidth="1"/>
    <col min="10279" max="10496" width="28.7109375" style="1364"/>
    <col min="10497" max="10497" width="38.7109375" style="1364" customWidth="1"/>
    <col min="10498" max="10498" width="19.7109375" style="1364" bestFit="1" customWidth="1"/>
    <col min="10499" max="10499" width="11.140625" style="1364" bestFit="1" customWidth="1"/>
    <col min="10500" max="10500" width="18.42578125" style="1364" customWidth="1"/>
    <col min="10501" max="10501" width="16" style="1364" bestFit="1" customWidth="1"/>
    <col min="10502" max="10502" width="21.5703125" style="1364" customWidth="1"/>
    <col min="10503" max="10503" width="14.140625" style="1364" customWidth="1"/>
    <col min="10504" max="10504" width="12" style="1364" customWidth="1"/>
    <col min="10505" max="10505" width="17.7109375" style="1364" customWidth="1"/>
    <col min="10506" max="10506" width="16" style="1364" customWidth="1"/>
    <col min="10507" max="10508" width="16.7109375" style="1364" customWidth="1"/>
    <col min="10509" max="10509" width="28" style="1364" customWidth="1"/>
    <col min="10510" max="10510" width="17.7109375" style="1364" customWidth="1"/>
    <col min="10511" max="10511" width="12.28515625" style="1364" customWidth="1"/>
    <col min="10512" max="10512" width="7.5703125" style="1364" bestFit="1" customWidth="1"/>
    <col min="10513" max="10513" width="8.7109375" style="1364" bestFit="1" customWidth="1"/>
    <col min="10514" max="10514" width="7.5703125" style="1364" bestFit="1" customWidth="1"/>
    <col min="10515" max="10515" width="8.7109375" style="1364" bestFit="1" customWidth="1"/>
    <col min="10516" max="10516" width="7.28515625" style="1364" bestFit="1" customWidth="1"/>
    <col min="10517" max="10517" width="8.7109375" style="1364" bestFit="1" customWidth="1"/>
    <col min="10518" max="10518" width="22.7109375" style="1364" customWidth="1"/>
    <col min="10519" max="10519" width="18.28515625" style="1364" customWidth="1"/>
    <col min="10520" max="10520" width="13.85546875" style="1364" customWidth="1"/>
    <col min="10521" max="10521" width="14" style="1364" customWidth="1"/>
    <col min="10522" max="10522" width="9.28515625" style="1364" customWidth="1"/>
    <col min="10523" max="10523" width="12.7109375" style="1364" customWidth="1"/>
    <col min="10524" max="10524" width="6.42578125" style="1364" customWidth="1"/>
    <col min="10525" max="10525" width="14.42578125" style="1364" customWidth="1"/>
    <col min="10526" max="10526" width="10.28515625" style="1364" customWidth="1"/>
    <col min="10527" max="10527" width="12" style="1364" customWidth="1"/>
    <col min="10528" max="10528" width="8.7109375" style="1364" customWidth="1"/>
    <col min="10529" max="10529" width="10.5703125" style="1364" customWidth="1"/>
    <col min="10530" max="10530" width="16.42578125" style="1364" customWidth="1"/>
    <col min="10531" max="10531" width="15.140625" style="1364" customWidth="1"/>
    <col min="10532" max="10532" width="17" style="1364" customWidth="1"/>
    <col min="10533" max="10533" width="20.140625" style="1364" customWidth="1"/>
    <col min="10534" max="10534" width="20.28515625" style="1364" customWidth="1"/>
    <col min="10535" max="10752" width="28.7109375" style="1364"/>
    <col min="10753" max="10753" width="38.7109375" style="1364" customWidth="1"/>
    <col min="10754" max="10754" width="19.7109375" style="1364" bestFit="1" customWidth="1"/>
    <col min="10755" max="10755" width="11.140625" style="1364" bestFit="1" customWidth="1"/>
    <col min="10756" max="10756" width="18.42578125" style="1364" customWidth="1"/>
    <col min="10757" max="10757" width="16" style="1364" bestFit="1" customWidth="1"/>
    <col min="10758" max="10758" width="21.5703125" style="1364" customWidth="1"/>
    <col min="10759" max="10759" width="14.140625" style="1364" customWidth="1"/>
    <col min="10760" max="10760" width="12" style="1364" customWidth="1"/>
    <col min="10761" max="10761" width="17.7109375" style="1364" customWidth="1"/>
    <col min="10762" max="10762" width="16" style="1364" customWidth="1"/>
    <col min="10763" max="10764" width="16.7109375" style="1364" customWidth="1"/>
    <col min="10765" max="10765" width="28" style="1364" customWidth="1"/>
    <col min="10766" max="10766" width="17.7109375" style="1364" customWidth="1"/>
    <col min="10767" max="10767" width="12.28515625" style="1364" customWidth="1"/>
    <col min="10768" max="10768" width="7.5703125" style="1364" bestFit="1" customWidth="1"/>
    <col min="10769" max="10769" width="8.7109375" style="1364" bestFit="1" customWidth="1"/>
    <col min="10770" max="10770" width="7.5703125" style="1364" bestFit="1" customWidth="1"/>
    <col min="10771" max="10771" width="8.7109375" style="1364" bestFit="1" customWidth="1"/>
    <col min="10772" max="10772" width="7.28515625" style="1364" bestFit="1" customWidth="1"/>
    <col min="10773" max="10773" width="8.7109375" style="1364" bestFit="1" customWidth="1"/>
    <col min="10774" max="10774" width="22.7109375" style="1364" customWidth="1"/>
    <col min="10775" max="10775" width="18.28515625" style="1364" customWidth="1"/>
    <col min="10776" max="10776" width="13.85546875" style="1364" customWidth="1"/>
    <col min="10777" max="10777" width="14" style="1364" customWidth="1"/>
    <col min="10778" max="10778" width="9.28515625" style="1364" customWidth="1"/>
    <col min="10779" max="10779" width="12.7109375" style="1364" customWidth="1"/>
    <col min="10780" max="10780" width="6.42578125" style="1364" customWidth="1"/>
    <col min="10781" max="10781" width="14.42578125" style="1364" customWidth="1"/>
    <col min="10782" max="10782" width="10.28515625" style="1364" customWidth="1"/>
    <col min="10783" max="10783" width="12" style="1364" customWidth="1"/>
    <col min="10784" max="10784" width="8.7109375" style="1364" customWidth="1"/>
    <col min="10785" max="10785" width="10.5703125" style="1364" customWidth="1"/>
    <col min="10786" max="10786" width="16.42578125" style="1364" customWidth="1"/>
    <col min="10787" max="10787" width="15.140625" style="1364" customWidth="1"/>
    <col min="10788" max="10788" width="17" style="1364" customWidth="1"/>
    <col min="10789" max="10789" width="20.140625" style="1364" customWidth="1"/>
    <col min="10790" max="10790" width="20.28515625" style="1364" customWidth="1"/>
    <col min="10791" max="11008" width="28.7109375" style="1364"/>
    <col min="11009" max="11009" width="38.7109375" style="1364" customWidth="1"/>
    <col min="11010" max="11010" width="19.7109375" style="1364" bestFit="1" customWidth="1"/>
    <col min="11011" max="11011" width="11.140625" style="1364" bestFit="1" customWidth="1"/>
    <col min="11012" max="11012" width="18.42578125" style="1364" customWidth="1"/>
    <col min="11013" max="11013" width="16" style="1364" bestFit="1" customWidth="1"/>
    <col min="11014" max="11014" width="21.5703125" style="1364" customWidth="1"/>
    <col min="11015" max="11015" width="14.140625" style="1364" customWidth="1"/>
    <col min="11016" max="11016" width="12" style="1364" customWidth="1"/>
    <col min="11017" max="11017" width="17.7109375" style="1364" customWidth="1"/>
    <col min="11018" max="11018" width="16" style="1364" customWidth="1"/>
    <col min="11019" max="11020" width="16.7109375" style="1364" customWidth="1"/>
    <col min="11021" max="11021" width="28" style="1364" customWidth="1"/>
    <col min="11022" max="11022" width="17.7109375" style="1364" customWidth="1"/>
    <col min="11023" max="11023" width="12.28515625" style="1364" customWidth="1"/>
    <col min="11024" max="11024" width="7.5703125" style="1364" bestFit="1" customWidth="1"/>
    <col min="11025" max="11025" width="8.7109375" style="1364" bestFit="1" customWidth="1"/>
    <col min="11026" max="11026" width="7.5703125" style="1364" bestFit="1" customWidth="1"/>
    <col min="11027" max="11027" width="8.7109375" style="1364" bestFit="1" customWidth="1"/>
    <col min="11028" max="11028" width="7.28515625" style="1364" bestFit="1" customWidth="1"/>
    <col min="11029" max="11029" width="8.7109375" style="1364" bestFit="1" customWidth="1"/>
    <col min="11030" max="11030" width="22.7109375" style="1364" customWidth="1"/>
    <col min="11031" max="11031" width="18.28515625" style="1364" customWidth="1"/>
    <col min="11032" max="11032" width="13.85546875" style="1364" customWidth="1"/>
    <col min="11033" max="11033" width="14" style="1364" customWidth="1"/>
    <col min="11034" max="11034" width="9.28515625" style="1364" customWidth="1"/>
    <col min="11035" max="11035" width="12.7109375" style="1364" customWidth="1"/>
    <col min="11036" max="11036" width="6.42578125" style="1364" customWidth="1"/>
    <col min="11037" max="11037" width="14.42578125" style="1364" customWidth="1"/>
    <col min="11038" max="11038" width="10.28515625" style="1364" customWidth="1"/>
    <col min="11039" max="11039" width="12" style="1364" customWidth="1"/>
    <col min="11040" max="11040" width="8.7109375" style="1364" customWidth="1"/>
    <col min="11041" max="11041" width="10.5703125" style="1364" customWidth="1"/>
    <col min="11042" max="11042" width="16.42578125" style="1364" customWidth="1"/>
    <col min="11043" max="11043" width="15.140625" style="1364" customWidth="1"/>
    <col min="11044" max="11044" width="17" style="1364" customWidth="1"/>
    <col min="11045" max="11045" width="20.140625" style="1364" customWidth="1"/>
    <col min="11046" max="11046" width="20.28515625" style="1364" customWidth="1"/>
    <col min="11047" max="11264" width="28.7109375" style="1364"/>
    <col min="11265" max="11265" width="38.7109375" style="1364" customWidth="1"/>
    <col min="11266" max="11266" width="19.7109375" style="1364" bestFit="1" customWidth="1"/>
    <col min="11267" max="11267" width="11.140625" style="1364" bestFit="1" customWidth="1"/>
    <col min="11268" max="11268" width="18.42578125" style="1364" customWidth="1"/>
    <col min="11269" max="11269" width="16" style="1364" bestFit="1" customWidth="1"/>
    <col min="11270" max="11270" width="21.5703125" style="1364" customWidth="1"/>
    <col min="11271" max="11271" width="14.140625" style="1364" customWidth="1"/>
    <col min="11272" max="11272" width="12" style="1364" customWidth="1"/>
    <col min="11273" max="11273" width="17.7109375" style="1364" customWidth="1"/>
    <col min="11274" max="11274" width="16" style="1364" customWidth="1"/>
    <col min="11275" max="11276" width="16.7109375" style="1364" customWidth="1"/>
    <col min="11277" max="11277" width="28" style="1364" customWidth="1"/>
    <col min="11278" max="11278" width="17.7109375" style="1364" customWidth="1"/>
    <col min="11279" max="11279" width="12.28515625" style="1364" customWidth="1"/>
    <col min="11280" max="11280" width="7.5703125" style="1364" bestFit="1" customWidth="1"/>
    <col min="11281" max="11281" width="8.7109375" style="1364" bestFit="1" customWidth="1"/>
    <col min="11282" max="11282" width="7.5703125" style="1364" bestFit="1" customWidth="1"/>
    <col min="11283" max="11283" width="8.7109375" style="1364" bestFit="1" customWidth="1"/>
    <col min="11284" max="11284" width="7.28515625" style="1364" bestFit="1" customWidth="1"/>
    <col min="11285" max="11285" width="8.7109375" style="1364" bestFit="1" customWidth="1"/>
    <col min="11286" max="11286" width="22.7109375" style="1364" customWidth="1"/>
    <col min="11287" max="11287" width="18.28515625" style="1364" customWidth="1"/>
    <col min="11288" max="11288" width="13.85546875" style="1364" customWidth="1"/>
    <col min="11289" max="11289" width="14" style="1364" customWidth="1"/>
    <col min="11290" max="11290" width="9.28515625" style="1364" customWidth="1"/>
    <col min="11291" max="11291" width="12.7109375" style="1364" customWidth="1"/>
    <col min="11292" max="11292" width="6.42578125" style="1364" customWidth="1"/>
    <col min="11293" max="11293" width="14.42578125" style="1364" customWidth="1"/>
    <col min="11294" max="11294" width="10.28515625" style="1364" customWidth="1"/>
    <col min="11295" max="11295" width="12" style="1364" customWidth="1"/>
    <col min="11296" max="11296" width="8.7109375" style="1364" customWidth="1"/>
    <col min="11297" max="11297" width="10.5703125" style="1364" customWidth="1"/>
    <col min="11298" max="11298" width="16.42578125" style="1364" customWidth="1"/>
    <col min="11299" max="11299" width="15.140625" style="1364" customWidth="1"/>
    <col min="11300" max="11300" width="17" style="1364" customWidth="1"/>
    <col min="11301" max="11301" width="20.140625" style="1364" customWidth="1"/>
    <col min="11302" max="11302" width="20.28515625" style="1364" customWidth="1"/>
    <col min="11303" max="11520" width="28.7109375" style="1364"/>
    <col min="11521" max="11521" width="38.7109375" style="1364" customWidth="1"/>
    <col min="11522" max="11522" width="19.7109375" style="1364" bestFit="1" customWidth="1"/>
    <col min="11523" max="11523" width="11.140625" style="1364" bestFit="1" customWidth="1"/>
    <col min="11524" max="11524" width="18.42578125" style="1364" customWidth="1"/>
    <col min="11525" max="11525" width="16" style="1364" bestFit="1" customWidth="1"/>
    <col min="11526" max="11526" width="21.5703125" style="1364" customWidth="1"/>
    <col min="11527" max="11527" width="14.140625" style="1364" customWidth="1"/>
    <col min="11528" max="11528" width="12" style="1364" customWidth="1"/>
    <col min="11529" max="11529" width="17.7109375" style="1364" customWidth="1"/>
    <col min="11530" max="11530" width="16" style="1364" customWidth="1"/>
    <col min="11531" max="11532" width="16.7109375" style="1364" customWidth="1"/>
    <col min="11533" max="11533" width="28" style="1364" customWidth="1"/>
    <col min="11534" max="11534" width="17.7109375" style="1364" customWidth="1"/>
    <col min="11535" max="11535" width="12.28515625" style="1364" customWidth="1"/>
    <col min="11536" max="11536" width="7.5703125" style="1364" bestFit="1" customWidth="1"/>
    <col min="11537" max="11537" width="8.7109375" style="1364" bestFit="1" customWidth="1"/>
    <col min="11538" max="11538" width="7.5703125" style="1364" bestFit="1" customWidth="1"/>
    <col min="11539" max="11539" width="8.7109375" style="1364" bestFit="1" customWidth="1"/>
    <col min="11540" max="11540" width="7.28515625" style="1364" bestFit="1" customWidth="1"/>
    <col min="11541" max="11541" width="8.7109375" style="1364" bestFit="1" customWidth="1"/>
    <col min="11542" max="11542" width="22.7109375" style="1364" customWidth="1"/>
    <col min="11543" max="11543" width="18.28515625" style="1364" customWidth="1"/>
    <col min="11544" max="11544" width="13.85546875" style="1364" customWidth="1"/>
    <col min="11545" max="11545" width="14" style="1364" customWidth="1"/>
    <col min="11546" max="11546" width="9.28515625" style="1364" customWidth="1"/>
    <col min="11547" max="11547" width="12.7109375" style="1364" customWidth="1"/>
    <col min="11548" max="11548" width="6.42578125" style="1364" customWidth="1"/>
    <col min="11549" max="11549" width="14.42578125" style="1364" customWidth="1"/>
    <col min="11550" max="11550" width="10.28515625" style="1364" customWidth="1"/>
    <col min="11551" max="11551" width="12" style="1364" customWidth="1"/>
    <col min="11552" max="11552" width="8.7109375" style="1364" customWidth="1"/>
    <col min="11553" max="11553" width="10.5703125" style="1364" customWidth="1"/>
    <col min="11554" max="11554" width="16.42578125" style="1364" customWidth="1"/>
    <col min="11555" max="11555" width="15.140625" style="1364" customWidth="1"/>
    <col min="11556" max="11556" width="17" style="1364" customWidth="1"/>
    <col min="11557" max="11557" width="20.140625" style="1364" customWidth="1"/>
    <col min="11558" max="11558" width="20.28515625" style="1364" customWidth="1"/>
    <col min="11559" max="11776" width="28.7109375" style="1364"/>
    <col min="11777" max="11777" width="38.7109375" style="1364" customWidth="1"/>
    <col min="11778" max="11778" width="19.7109375" style="1364" bestFit="1" customWidth="1"/>
    <col min="11779" max="11779" width="11.140625" style="1364" bestFit="1" customWidth="1"/>
    <col min="11780" max="11780" width="18.42578125" style="1364" customWidth="1"/>
    <col min="11781" max="11781" width="16" style="1364" bestFit="1" customWidth="1"/>
    <col min="11782" max="11782" width="21.5703125" style="1364" customWidth="1"/>
    <col min="11783" max="11783" width="14.140625" style="1364" customWidth="1"/>
    <col min="11784" max="11784" width="12" style="1364" customWidth="1"/>
    <col min="11785" max="11785" width="17.7109375" style="1364" customWidth="1"/>
    <col min="11786" max="11786" width="16" style="1364" customWidth="1"/>
    <col min="11787" max="11788" width="16.7109375" style="1364" customWidth="1"/>
    <col min="11789" max="11789" width="28" style="1364" customWidth="1"/>
    <col min="11790" max="11790" width="17.7109375" style="1364" customWidth="1"/>
    <col min="11791" max="11791" width="12.28515625" style="1364" customWidth="1"/>
    <col min="11792" max="11792" width="7.5703125" style="1364" bestFit="1" customWidth="1"/>
    <col min="11793" max="11793" width="8.7109375" style="1364" bestFit="1" customWidth="1"/>
    <col min="11794" max="11794" width="7.5703125" style="1364" bestFit="1" customWidth="1"/>
    <col min="11795" max="11795" width="8.7109375" style="1364" bestFit="1" customWidth="1"/>
    <col min="11796" max="11796" width="7.28515625" style="1364" bestFit="1" customWidth="1"/>
    <col min="11797" max="11797" width="8.7109375" style="1364" bestFit="1" customWidth="1"/>
    <col min="11798" max="11798" width="22.7109375" style="1364" customWidth="1"/>
    <col min="11799" max="11799" width="18.28515625" style="1364" customWidth="1"/>
    <col min="11800" max="11800" width="13.85546875" style="1364" customWidth="1"/>
    <col min="11801" max="11801" width="14" style="1364" customWidth="1"/>
    <col min="11802" max="11802" width="9.28515625" style="1364" customWidth="1"/>
    <col min="11803" max="11803" width="12.7109375" style="1364" customWidth="1"/>
    <col min="11804" max="11804" width="6.42578125" style="1364" customWidth="1"/>
    <col min="11805" max="11805" width="14.42578125" style="1364" customWidth="1"/>
    <col min="11806" max="11806" width="10.28515625" style="1364" customWidth="1"/>
    <col min="11807" max="11807" width="12" style="1364" customWidth="1"/>
    <col min="11808" max="11808" width="8.7109375" style="1364" customWidth="1"/>
    <col min="11809" max="11809" width="10.5703125" style="1364" customWidth="1"/>
    <col min="11810" max="11810" width="16.42578125" style="1364" customWidth="1"/>
    <col min="11811" max="11811" width="15.140625" style="1364" customWidth="1"/>
    <col min="11812" max="11812" width="17" style="1364" customWidth="1"/>
    <col min="11813" max="11813" width="20.140625" style="1364" customWidth="1"/>
    <col min="11814" max="11814" width="20.28515625" style="1364" customWidth="1"/>
    <col min="11815" max="12032" width="28.7109375" style="1364"/>
    <col min="12033" max="12033" width="38.7109375" style="1364" customWidth="1"/>
    <col min="12034" max="12034" width="19.7109375" style="1364" bestFit="1" customWidth="1"/>
    <col min="12035" max="12035" width="11.140625" style="1364" bestFit="1" customWidth="1"/>
    <col min="12036" max="12036" width="18.42578125" style="1364" customWidth="1"/>
    <col min="12037" max="12037" width="16" style="1364" bestFit="1" customWidth="1"/>
    <col min="12038" max="12038" width="21.5703125" style="1364" customWidth="1"/>
    <col min="12039" max="12039" width="14.140625" style="1364" customWidth="1"/>
    <col min="12040" max="12040" width="12" style="1364" customWidth="1"/>
    <col min="12041" max="12041" width="17.7109375" style="1364" customWidth="1"/>
    <col min="12042" max="12042" width="16" style="1364" customWidth="1"/>
    <col min="12043" max="12044" width="16.7109375" style="1364" customWidth="1"/>
    <col min="12045" max="12045" width="28" style="1364" customWidth="1"/>
    <col min="12046" max="12046" width="17.7109375" style="1364" customWidth="1"/>
    <col min="12047" max="12047" width="12.28515625" style="1364" customWidth="1"/>
    <col min="12048" max="12048" width="7.5703125" style="1364" bestFit="1" customWidth="1"/>
    <col min="12049" max="12049" width="8.7109375" style="1364" bestFit="1" customWidth="1"/>
    <col min="12050" max="12050" width="7.5703125" style="1364" bestFit="1" customWidth="1"/>
    <col min="12051" max="12051" width="8.7109375" style="1364" bestFit="1" customWidth="1"/>
    <col min="12052" max="12052" width="7.28515625" style="1364" bestFit="1" customWidth="1"/>
    <col min="12053" max="12053" width="8.7109375" style="1364" bestFit="1" customWidth="1"/>
    <col min="12054" max="12054" width="22.7109375" style="1364" customWidth="1"/>
    <col min="12055" max="12055" width="18.28515625" style="1364" customWidth="1"/>
    <col min="12056" max="12056" width="13.85546875" style="1364" customWidth="1"/>
    <col min="12057" max="12057" width="14" style="1364" customWidth="1"/>
    <col min="12058" max="12058" width="9.28515625" style="1364" customWidth="1"/>
    <col min="12059" max="12059" width="12.7109375" style="1364" customWidth="1"/>
    <col min="12060" max="12060" width="6.42578125" style="1364" customWidth="1"/>
    <col min="12061" max="12061" width="14.42578125" style="1364" customWidth="1"/>
    <col min="12062" max="12062" width="10.28515625" style="1364" customWidth="1"/>
    <col min="12063" max="12063" width="12" style="1364" customWidth="1"/>
    <col min="12064" max="12064" width="8.7109375" style="1364" customWidth="1"/>
    <col min="12065" max="12065" width="10.5703125" style="1364" customWidth="1"/>
    <col min="12066" max="12066" width="16.42578125" style="1364" customWidth="1"/>
    <col min="12067" max="12067" width="15.140625" style="1364" customWidth="1"/>
    <col min="12068" max="12068" width="17" style="1364" customWidth="1"/>
    <col min="12069" max="12069" width="20.140625" style="1364" customWidth="1"/>
    <col min="12070" max="12070" width="20.28515625" style="1364" customWidth="1"/>
    <col min="12071" max="12288" width="28.7109375" style="1364"/>
    <col min="12289" max="12289" width="38.7109375" style="1364" customWidth="1"/>
    <col min="12290" max="12290" width="19.7109375" style="1364" bestFit="1" customWidth="1"/>
    <col min="12291" max="12291" width="11.140625" style="1364" bestFit="1" customWidth="1"/>
    <col min="12292" max="12292" width="18.42578125" style="1364" customWidth="1"/>
    <col min="12293" max="12293" width="16" style="1364" bestFit="1" customWidth="1"/>
    <col min="12294" max="12294" width="21.5703125" style="1364" customWidth="1"/>
    <col min="12295" max="12295" width="14.140625" style="1364" customWidth="1"/>
    <col min="12296" max="12296" width="12" style="1364" customWidth="1"/>
    <col min="12297" max="12297" width="17.7109375" style="1364" customWidth="1"/>
    <col min="12298" max="12298" width="16" style="1364" customWidth="1"/>
    <col min="12299" max="12300" width="16.7109375" style="1364" customWidth="1"/>
    <col min="12301" max="12301" width="28" style="1364" customWidth="1"/>
    <col min="12302" max="12302" width="17.7109375" style="1364" customWidth="1"/>
    <col min="12303" max="12303" width="12.28515625" style="1364" customWidth="1"/>
    <col min="12304" max="12304" width="7.5703125" style="1364" bestFit="1" customWidth="1"/>
    <col min="12305" max="12305" width="8.7109375" style="1364" bestFit="1" customWidth="1"/>
    <col min="12306" max="12306" width="7.5703125" style="1364" bestFit="1" customWidth="1"/>
    <col min="12307" max="12307" width="8.7109375" style="1364" bestFit="1" customWidth="1"/>
    <col min="12308" max="12308" width="7.28515625" style="1364" bestFit="1" customWidth="1"/>
    <col min="12309" max="12309" width="8.7109375" style="1364" bestFit="1" customWidth="1"/>
    <col min="12310" max="12310" width="22.7109375" style="1364" customWidth="1"/>
    <col min="12311" max="12311" width="18.28515625" style="1364" customWidth="1"/>
    <col min="12312" max="12312" width="13.85546875" style="1364" customWidth="1"/>
    <col min="12313" max="12313" width="14" style="1364" customWidth="1"/>
    <col min="12314" max="12314" width="9.28515625" style="1364" customWidth="1"/>
    <col min="12315" max="12315" width="12.7109375" style="1364" customWidth="1"/>
    <col min="12316" max="12316" width="6.42578125" style="1364" customWidth="1"/>
    <col min="12317" max="12317" width="14.42578125" style="1364" customWidth="1"/>
    <col min="12318" max="12318" width="10.28515625" style="1364" customWidth="1"/>
    <col min="12319" max="12319" width="12" style="1364" customWidth="1"/>
    <col min="12320" max="12320" width="8.7109375" style="1364" customWidth="1"/>
    <col min="12321" max="12321" width="10.5703125" style="1364" customWidth="1"/>
    <col min="12322" max="12322" width="16.42578125" style="1364" customWidth="1"/>
    <col min="12323" max="12323" width="15.140625" style="1364" customWidth="1"/>
    <col min="12324" max="12324" width="17" style="1364" customWidth="1"/>
    <col min="12325" max="12325" width="20.140625" style="1364" customWidth="1"/>
    <col min="12326" max="12326" width="20.28515625" style="1364" customWidth="1"/>
    <col min="12327" max="12544" width="28.7109375" style="1364"/>
    <col min="12545" max="12545" width="38.7109375" style="1364" customWidth="1"/>
    <col min="12546" max="12546" width="19.7109375" style="1364" bestFit="1" customWidth="1"/>
    <col min="12547" max="12547" width="11.140625" style="1364" bestFit="1" customWidth="1"/>
    <col min="12548" max="12548" width="18.42578125" style="1364" customWidth="1"/>
    <col min="12549" max="12549" width="16" style="1364" bestFit="1" customWidth="1"/>
    <col min="12550" max="12550" width="21.5703125" style="1364" customWidth="1"/>
    <col min="12551" max="12551" width="14.140625" style="1364" customWidth="1"/>
    <col min="12552" max="12552" width="12" style="1364" customWidth="1"/>
    <col min="12553" max="12553" width="17.7109375" style="1364" customWidth="1"/>
    <col min="12554" max="12554" width="16" style="1364" customWidth="1"/>
    <col min="12555" max="12556" width="16.7109375" style="1364" customWidth="1"/>
    <col min="12557" max="12557" width="28" style="1364" customWidth="1"/>
    <col min="12558" max="12558" width="17.7109375" style="1364" customWidth="1"/>
    <col min="12559" max="12559" width="12.28515625" style="1364" customWidth="1"/>
    <col min="12560" max="12560" width="7.5703125" style="1364" bestFit="1" customWidth="1"/>
    <col min="12561" max="12561" width="8.7109375" style="1364" bestFit="1" customWidth="1"/>
    <col min="12562" max="12562" width="7.5703125" style="1364" bestFit="1" customWidth="1"/>
    <col min="12563" max="12563" width="8.7109375" style="1364" bestFit="1" customWidth="1"/>
    <col min="12564" max="12564" width="7.28515625" style="1364" bestFit="1" customWidth="1"/>
    <col min="12565" max="12565" width="8.7109375" style="1364" bestFit="1" customWidth="1"/>
    <col min="12566" max="12566" width="22.7109375" style="1364" customWidth="1"/>
    <col min="12567" max="12567" width="18.28515625" style="1364" customWidth="1"/>
    <col min="12568" max="12568" width="13.85546875" style="1364" customWidth="1"/>
    <col min="12569" max="12569" width="14" style="1364" customWidth="1"/>
    <col min="12570" max="12570" width="9.28515625" style="1364" customWidth="1"/>
    <col min="12571" max="12571" width="12.7109375" style="1364" customWidth="1"/>
    <col min="12572" max="12572" width="6.42578125" style="1364" customWidth="1"/>
    <col min="12573" max="12573" width="14.42578125" style="1364" customWidth="1"/>
    <col min="12574" max="12574" width="10.28515625" style="1364" customWidth="1"/>
    <col min="12575" max="12575" width="12" style="1364" customWidth="1"/>
    <col min="12576" max="12576" width="8.7109375" style="1364" customWidth="1"/>
    <col min="12577" max="12577" width="10.5703125" style="1364" customWidth="1"/>
    <col min="12578" max="12578" width="16.42578125" style="1364" customWidth="1"/>
    <col min="12579" max="12579" width="15.140625" style="1364" customWidth="1"/>
    <col min="12580" max="12580" width="17" style="1364" customWidth="1"/>
    <col min="12581" max="12581" width="20.140625" style="1364" customWidth="1"/>
    <col min="12582" max="12582" width="20.28515625" style="1364" customWidth="1"/>
    <col min="12583" max="12800" width="28.7109375" style="1364"/>
    <col min="12801" max="12801" width="38.7109375" style="1364" customWidth="1"/>
    <col min="12802" max="12802" width="19.7109375" style="1364" bestFit="1" customWidth="1"/>
    <col min="12803" max="12803" width="11.140625" style="1364" bestFit="1" customWidth="1"/>
    <col min="12804" max="12804" width="18.42578125" style="1364" customWidth="1"/>
    <col min="12805" max="12805" width="16" style="1364" bestFit="1" customWidth="1"/>
    <col min="12806" max="12806" width="21.5703125" style="1364" customWidth="1"/>
    <col min="12807" max="12807" width="14.140625" style="1364" customWidth="1"/>
    <col min="12808" max="12808" width="12" style="1364" customWidth="1"/>
    <col min="12809" max="12809" width="17.7109375" style="1364" customWidth="1"/>
    <col min="12810" max="12810" width="16" style="1364" customWidth="1"/>
    <col min="12811" max="12812" width="16.7109375" style="1364" customWidth="1"/>
    <col min="12813" max="12813" width="28" style="1364" customWidth="1"/>
    <col min="12814" max="12814" width="17.7109375" style="1364" customWidth="1"/>
    <col min="12815" max="12815" width="12.28515625" style="1364" customWidth="1"/>
    <col min="12816" max="12816" width="7.5703125" style="1364" bestFit="1" customWidth="1"/>
    <col min="12817" max="12817" width="8.7109375" style="1364" bestFit="1" customWidth="1"/>
    <col min="12818" max="12818" width="7.5703125" style="1364" bestFit="1" customWidth="1"/>
    <col min="12819" max="12819" width="8.7109375" style="1364" bestFit="1" customWidth="1"/>
    <col min="12820" max="12820" width="7.28515625" style="1364" bestFit="1" customWidth="1"/>
    <col min="12821" max="12821" width="8.7109375" style="1364" bestFit="1" customWidth="1"/>
    <col min="12822" max="12822" width="22.7109375" style="1364" customWidth="1"/>
    <col min="12823" max="12823" width="18.28515625" style="1364" customWidth="1"/>
    <col min="12824" max="12824" width="13.85546875" style="1364" customWidth="1"/>
    <col min="12825" max="12825" width="14" style="1364" customWidth="1"/>
    <col min="12826" max="12826" width="9.28515625" style="1364" customWidth="1"/>
    <col min="12827" max="12827" width="12.7109375" style="1364" customWidth="1"/>
    <col min="12828" max="12828" width="6.42578125" style="1364" customWidth="1"/>
    <col min="12829" max="12829" width="14.42578125" style="1364" customWidth="1"/>
    <col min="12830" max="12830" width="10.28515625" style="1364" customWidth="1"/>
    <col min="12831" max="12831" width="12" style="1364" customWidth="1"/>
    <col min="12832" max="12832" width="8.7109375" style="1364" customWidth="1"/>
    <col min="12833" max="12833" width="10.5703125" style="1364" customWidth="1"/>
    <col min="12834" max="12834" width="16.42578125" style="1364" customWidth="1"/>
    <col min="12835" max="12835" width="15.140625" style="1364" customWidth="1"/>
    <col min="12836" max="12836" width="17" style="1364" customWidth="1"/>
    <col min="12837" max="12837" width="20.140625" style="1364" customWidth="1"/>
    <col min="12838" max="12838" width="20.28515625" style="1364" customWidth="1"/>
    <col min="12839" max="13056" width="28.7109375" style="1364"/>
    <col min="13057" max="13057" width="38.7109375" style="1364" customWidth="1"/>
    <col min="13058" max="13058" width="19.7109375" style="1364" bestFit="1" customWidth="1"/>
    <col min="13059" max="13059" width="11.140625" style="1364" bestFit="1" customWidth="1"/>
    <col min="13060" max="13060" width="18.42578125" style="1364" customWidth="1"/>
    <col min="13061" max="13061" width="16" style="1364" bestFit="1" customWidth="1"/>
    <col min="13062" max="13062" width="21.5703125" style="1364" customWidth="1"/>
    <col min="13063" max="13063" width="14.140625" style="1364" customWidth="1"/>
    <col min="13064" max="13064" width="12" style="1364" customWidth="1"/>
    <col min="13065" max="13065" width="17.7109375" style="1364" customWidth="1"/>
    <col min="13066" max="13066" width="16" style="1364" customWidth="1"/>
    <col min="13067" max="13068" width="16.7109375" style="1364" customWidth="1"/>
    <col min="13069" max="13069" width="28" style="1364" customWidth="1"/>
    <col min="13070" max="13070" width="17.7109375" style="1364" customWidth="1"/>
    <col min="13071" max="13071" width="12.28515625" style="1364" customWidth="1"/>
    <col min="13072" max="13072" width="7.5703125" style="1364" bestFit="1" customWidth="1"/>
    <col min="13073" max="13073" width="8.7109375" style="1364" bestFit="1" customWidth="1"/>
    <col min="13074" max="13074" width="7.5703125" style="1364" bestFit="1" customWidth="1"/>
    <col min="13075" max="13075" width="8.7109375" style="1364" bestFit="1" customWidth="1"/>
    <col min="13076" max="13076" width="7.28515625" style="1364" bestFit="1" customWidth="1"/>
    <col min="13077" max="13077" width="8.7109375" style="1364" bestFit="1" customWidth="1"/>
    <col min="13078" max="13078" width="22.7109375" style="1364" customWidth="1"/>
    <col min="13079" max="13079" width="18.28515625" style="1364" customWidth="1"/>
    <col min="13080" max="13080" width="13.85546875" style="1364" customWidth="1"/>
    <col min="13081" max="13081" width="14" style="1364" customWidth="1"/>
    <col min="13082" max="13082" width="9.28515625" style="1364" customWidth="1"/>
    <col min="13083" max="13083" width="12.7109375" style="1364" customWidth="1"/>
    <col min="13084" max="13084" width="6.42578125" style="1364" customWidth="1"/>
    <col min="13085" max="13085" width="14.42578125" style="1364" customWidth="1"/>
    <col min="13086" max="13086" width="10.28515625" style="1364" customWidth="1"/>
    <col min="13087" max="13087" width="12" style="1364" customWidth="1"/>
    <col min="13088" max="13088" width="8.7109375" style="1364" customWidth="1"/>
    <col min="13089" max="13089" width="10.5703125" style="1364" customWidth="1"/>
    <col min="13090" max="13090" width="16.42578125" style="1364" customWidth="1"/>
    <col min="13091" max="13091" width="15.140625" style="1364" customWidth="1"/>
    <col min="13092" max="13092" width="17" style="1364" customWidth="1"/>
    <col min="13093" max="13093" width="20.140625" style="1364" customWidth="1"/>
    <col min="13094" max="13094" width="20.28515625" style="1364" customWidth="1"/>
    <col min="13095" max="13312" width="28.7109375" style="1364"/>
    <col min="13313" max="13313" width="38.7109375" style="1364" customWidth="1"/>
    <col min="13314" max="13314" width="19.7109375" style="1364" bestFit="1" customWidth="1"/>
    <col min="13315" max="13315" width="11.140625" style="1364" bestFit="1" customWidth="1"/>
    <col min="13316" max="13316" width="18.42578125" style="1364" customWidth="1"/>
    <col min="13317" max="13317" width="16" style="1364" bestFit="1" customWidth="1"/>
    <col min="13318" max="13318" width="21.5703125" style="1364" customWidth="1"/>
    <col min="13319" max="13319" width="14.140625" style="1364" customWidth="1"/>
    <col min="13320" max="13320" width="12" style="1364" customWidth="1"/>
    <col min="13321" max="13321" width="17.7109375" style="1364" customWidth="1"/>
    <col min="13322" max="13322" width="16" style="1364" customWidth="1"/>
    <col min="13323" max="13324" width="16.7109375" style="1364" customWidth="1"/>
    <col min="13325" max="13325" width="28" style="1364" customWidth="1"/>
    <col min="13326" max="13326" width="17.7109375" style="1364" customWidth="1"/>
    <col min="13327" max="13327" width="12.28515625" style="1364" customWidth="1"/>
    <col min="13328" max="13328" width="7.5703125" style="1364" bestFit="1" customWidth="1"/>
    <col min="13329" max="13329" width="8.7109375" style="1364" bestFit="1" customWidth="1"/>
    <col min="13330" max="13330" width="7.5703125" style="1364" bestFit="1" customWidth="1"/>
    <col min="13331" max="13331" width="8.7109375" style="1364" bestFit="1" customWidth="1"/>
    <col min="13332" max="13332" width="7.28515625" style="1364" bestFit="1" customWidth="1"/>
    <col min="13333" max="13333" width="8.7109375" style="1364" bestFit="1" customWidth="1"/>
    <col min="13334" max="13334" width="22.7109375" style="1364" customWidth="1"/>
    <col min="13335" max="13335" width="18.28515625" style="1364" customWidth="1"/>
    <col min="13336" max="13336" width="13.85546875" style="1364" customWidth="1"/>
    <col min="13337" max="13337" width="14" style="1364" customWidth="1"/>
    <col min="13338" max="13338" width="9.28515625" style="1364" customWidth="1"/>
    <col min="13339" max="13339" width="12.7109375" style="1364" customWidth="1"/>
    <col min="13340" max="13340" width="6.42578125" style="1364" customWidth="1"/>
    <col min="13341" max="13341" width="14.42578125" style="1364" customWidth="1"/>
    <col min="13342" max="13342" width="10.28515625" style="1364" customWidth="1"/>
    <col min="13343" max="13343" width="12" style="1364" customWidth="1"/>
    <col min="13344" max="13344" width="8.7109375" style="1364" customWidth="1"/>
    <col min="13345" max="13345" width="10.5703125" style="1364" customWidth="1"/>
    <col min="13346" max="13346" width="16.42578125" style="1364" customWidth="1"/>
    <col min="13347" max="13347" width="15.140625" style="1364" customWidth="1"/>
    <col min="13348" max="13348" width="17" style="1364" customWidth="1"/>
    <col min="13349" max="13349" width="20.140625" style="1364" customWidth="1"/>
    <col min="13350" max="13350" width="20.28515625" style="1364" customWidth="1"/>
    <col min="13351" max="13568" width="28.7109375" style="1364"/>
    <col min="13569" max="13569" width="38.7109375" style="1364" customWidth="1"/>
    <col min="13570" max="13570" width="19.7109375" style="1364" bestFit="1" customWidth="1"/>
    <col min="13571" max="13571" width="11.140625" style="1364" bestFit="1" customWidth="1"/>
    <col min="13572" max="13572" width="18.42578125" style="1364" customWidth="1"/>
    <col min="13573" max="13573" width="16" style="1364" bestFit="1" customWidth="1"/>
    <col min="13574" max="13574" width="21.5703125" style="1364" customWidth="1"/>
    <col min="13575" max="13575" width="14.140625" style="1364" customWidth="1"/>
    <col min="13576" max="13576" width="12" style="1364" customWidth="1"/>
    <col min="13577" max="13577" width="17.7109375" style="1364" customWidth="1"/>
    <col min="13578" max="13578" width="16" style="1364" customWidth="1"/>
    <col min="13579" max="13580" width="16.7109375" style="1364" customWidth="1"/>
    <col min="13581" max="13581" width="28" style="1364" customWidth="1"/>
    <col min="13582" max="13582" width="17.7109375" style="1364" customWidth="1"/>
    <col min="13583" max="13583" width="12.28515625" style="1364" customWidth="1"/>
    <col min="13584" max="13584" width="7.5703125" style="1364" bestFit="1" customWidth="1"/>
    <col min="13585" max="13585" width="8.7109375" style="1364" bestFit="1" customWidth="1"/>
    <col min="13586" max="13586" width="7.5703125" style="1364" bestFit="1" customWidth="1"/>
    <col min="13587" max="13587" width="8.7109375" style="1364" bestFit="1" customWidth="1"/>
    <col min="13588" max="13588" width="7.28515625" style="1364" bestFit="1" customWidth="1"/>
    <col min="13589" max="13589" width="8.7109375" style="1364" bestFit="1" customWidth="1"/>
    <col min="13590" max="13590" width="22.7109375" style="1364" customWidth="1"/>
    <col min="13591" max="13591" width="18.28515625" style="1364" customWidth="1"/>
    <col min="13592" max="13592" width="13.85546875" style="1364" customWidth="1"/>
    <col min="13593" max="13593" width="14" style="1364" customWidth="1"/>
    <col min="13594" max="13594" width="9.28515625" style="1364" customWidth="1"/>
    <col min="13595" max="13595" width="12.7109375" style="1364" customWidth="1"/>
    <col min="13596" max="13596" width="6.42578125" style="1364" customWidth="1"/>
    <col min="13597" max="13597" width="14.42578125" style="1364" customWidth="1"/>
    <col min="13598" max="13598" width="10.28515625" style="1364" customWidth="1"/>
    <col min="13599" max="13599" width="12" style="1364" customWidth="1"/>
    <col min="13600" max="13600" width="8.7109375" style="1364" customWidth="1"/>
    <col min="13601" max="13601" width="10.5703125" style="1364" customWidth="1"/>
    <col min="13602" max="13602" width="16.42578125" style="1364" customWidth="1"/>
    <col min="13603" max="13603" width="15.140625" style="1364" customWidth="1"/>
    <col min="13604" max="13604" width="17" style="1364" customWidth="1"/>
    <col min="13605" max="13605" width="20.140625" style="1364" customWidth="1"/>
    <col min="13606" max="13606" width="20.28515625" style="1364" customWidth="1"/>
    <col min="13607" max="13824" width="28.7109375" style="1364"/>
    <col min="13825" max="13825" width="38.7109375" style="1364" customWidth="1"/>
    <col min="13826" max="13826" width="19.7109375" style="1364" bestFit="1" customWidth="1"/>
    <col min="13827" max="13827" width="11.140625" style="1364" bestFit="1" customWidth="1"/>
    <col min="13828" max="13828" width="18.42578125" style="1364" customWidth="1"/>
    <col min="13829" max="13829" width="16" style="1364" bestFit="1" customWidth="1"/>
    <col min="13830" max="13830" width="21.5703125" style="1364" customWidth="1"/>
    <col min="13831" max="13831" width="14.140625" style="1364" customWidth="1"/>
    <col min="13832" max="13832" width="12" style="1364" customWidth="1"/>
    <col min="13833" max="13833" width="17.7109375" style="1364" customWidth="1"/>
    <col min="13834" max="13834" width="16" style="1364" customWidth="1"/>
    <col min="13835" max="13836" width="16.7109375" style="1364" customWidth="1"/>
    <col min="13837" max="13837" width="28" style="1364" customWidth="1"/>
    <col min="13838" max="13838" width="17.7109375" style="1364" customWidth="1"/>
    <col min="13839" max="13839" width="12.28515625" style="1364" customWidth="1"/>
    <col min="13840" max="13840" width="7.5703125" style="1364" bestFit="1" customWidth="1"/>
    <col min="13841" max="13841" width="8.7109375" style="1364" bestFit="1" customWidth="1"/>
    <col min="13842" max="13842" width="7.5703125" style="1364" bestFit="1" customWidth="1"/>
    <col min="13843" max="13843" width="8.7109375" style="1364" bestFit="1" customWidth="1"/>
    <col min="13844" max="13844" width="7.28515625" style="1364" bestFit="1" customWidth="1"/>
    <col min="13845" max="13845" width="8.7109375" style="1364" bestFit="1" customWidth="1"/>
    <col min="13846" max="13846" width="22.7109375" style="1364" customWidth="1"/>
    <col min="13847" max="13847" width="18.28515625" style="1364" customWidth="1"/>
    <col min="13848" max="13848" width="13.85546875" style="1364" customWidth="1"/>
    <col min="13849" max="13849" width="14" style="1364" customWidth="1"/>
    <col min="13850" max="13850" width="9.28515625" style="1364" customWidth="1"/>
    <col min="13851" max="13851" width="12.7109375" style="1364" customWidth="1"/>
    <col min="13852" max="13852" width="6.42578125" style="1364" customWidth="1"/>
    <col min="13853" max="13853" width="14.42578125" style="1364" customWidth="1"/>
    <col min="13854" max="13854" width="10.28515625" style="1364" customWidth="1"/>
    <col min="13855" max="13855" width="12" style="1364" customWidth="1"/>
    <col min="13856" max="13856" width="8.7109375" style="1364" customWidth="1"/>
    <col min="13857" max="13857" width="10.5703125" style="1364" customWidth="1"/>
    <col min="13858" max="13858" width="16.42578125" style="1364" customWidth="1"/>
    <col min="13859" max="13859" width="15.140625" style="1364" customWidth="1"/>
    <col min="13860" max="13860" width="17" style="1364" customWidth="1"/>
    <col min="13861" max="13861" width="20.140625" style="1364" customWidth="1"/>
    <col min="13862" max="13862" width="20.28515625" style="1364" customWidth="1"/>
    <col min="13863" max="14080" width="28.7109375" style="1364"/>
    <col min="14081" max="14081" width="38.7109375" style="1364" customWidth="1"/>
    <col min="14082" max="14082" width="19.7109375" style="1364" bestFit="1" customWidth="1"/>
    <col min="14083" max="14083" width="11.140625" style="1364" bestFit="1" customWidth="1"/>
    <col min="14084" max="14084" width="18.42578125" style="1364" customWidth="1"/>
    <col min="14085" max="14085" width="16" style="1364" bestFit="1" customWidth="1"/>
    <col min="14086" max="14086" width="21.5703125" style="1364" customWidth="1"/>
    <col min="14087" max="14087" width="14.140625" style="1364" customWidth="1"/>
    <col min="14088" max="14088" width="12" style="1364" customWidth="1"/>
    <col min="14089" max="14089" width="17.7109375" style="1364" customWidth="1"/>
    <col min="14090" max="14090" width="16" style="1364" customWidth="1"/>
    <col min="14091" max="14092" width="16.7109375" style="1364" customWidth="1"/>
    <col min="14093" max="14093" width="28" style="1364" customWidth="1"/>
    <col min="14094" max="14094" width="17.7109375" style="1364" customWidth="1"/>
    <col min="14095" max="14095" width="12.28515625" style="1364" customWidth="1"/>
    <col min="14096" max="14096" width="7.5703125" style="1364" bestFit="1" customWidth="1"/>
    <col min="14097" max="14097" width="8.7109375" style="1364" bestFit="1" customWidth="1"/>
    <col min="14098" max="14098" width="7.5703125" style="1364" bestFit="1" customWidth="1"/>
    <col min="14099" max="14099" width="8.7109375" style="1364" bestFit="1" customWidth="1"/>
    <col min="14100" max="14100" width="7.28515625" style="1364" bestFit="1" customWidth="1"/>
    <col min="14101" max="14101" width="8.7109375" style="1364" bestFit="1" customWidth="1"/>
    <col min="14102" max="14102" width="22.7109375" style="1364" customWidth="1"/>
    <col min="14103" max="14103" width="18.28515625" style="1364" customWidth="1"/>
    <col min="14104" max="14104" width="13.85546875" style="1364" customWidth="1"/>
    <col min="14105" max="14105" width="14" style="1364" customWidth="1"/>
    <col min="14106" max="14106" width="9.28515625" style="1364" customWidth="1"/>
    <col min="14107" max="14107" width="12.7109375" style="1364" customWidth="1"/>
    <col min="14108" max="14108" width="6.42578125" style="1364" customWidth="1"/>
    <col min="14109" max="14109" width="14.42578125" style="1364" customWidth="1"/>
    <col min="14110" max="14110" width="10.28515625" style="1364" customWidth="1"/>
    <col min="14111" max="14111" width="12" style="1364" customWidth="1"/>
    <col min="14112" max="14112" width="8.7109375" style="1364" customWidth="1"/>
    <col min="14113" max="14113" width="10.5703125" style="1364" customWidth="1"/>
    <col min="14114" max="14114" width="16.42578125" style="1364" customWidth="1"/>
    <col min="14115" max="14115" width="15.140625" style="1364" customWidth="1"/>
    <col min="14116" max="14116" width="17" style="1364" customWidth="1"/>
    <col min="14117" max="14117" width="20.140625" style="1364" customWidth="1"/>
    <col min="14118" max="14118" width="20.28515625" style="1364" customWidth="1"/>
    <col min="14119" max="14336" width="28.7109375" style="1364"/>
    <col min="14337" max="14337" width="38.7109375" style="1364" customWidth="1"/>
    <col min="14338" max="14338" width="19.7109375" style="1364" bestFit="1" customWidth="1"/>
    <col min="14339" max="14339" width="11.140625" style="1364" bestFit="1" customWidth="1"/>
    <col min="14340" max="14340" width="18.42578125" style="1364" customWidth="1"/>
    <col min="14341" max="14341" width="16" style="1364" bestFit="1" customWidth="1"/>
    <col min="14342" max="14342" width="21.5703125" style="1364" customWidth="1"/>
    <col min="14343" max="14343" width="14.140625" style="1364" customWidth="1"/>
    <col min="14344" max="14344" width="12" style="1364" customWidth="1"/>
    <col min="14345" max="14345" width="17.7109375" style="1364" customWidth="1"/>
    <col min="14346" max="14346" width="16" style="1364" customWidth="1"/>
    <col min="14347" max="14348" width="16.7109375" style="1364" customWidth="1"/>
    <col min="14349" max="14349" width="28" style="1364" customWidth="1"/>
    <col min="14350" max="14350" width="17.7109375" style="1364" customWidth="1"/>
    <col min="14351" max="14351" width="12.28515625" style="1364" customWidth="1"/>
    <col min="14352" max="14352" width="7.5703125" style="1364" bestFit="1" customWidth="1"/>
    <col min="14353" max="14353" width="8.7109375" style="1364" bestFit="1" customWidth="1"/>
    <col min="14354" max="14354" width="7.5703125" style="1364" bestFit="1" customWidth="1"/>
    <col min="14355" max="14355" width="8.7109375" style="1364" bestFit="1" customWidth="1"/>
    <col min="14356" max="14356" width="7.28515625" style="1364" bestFit="1" customWidth="1"/>
    <col min="14357" max="14357" width="8.7109375" style="1364" bestFit="1" customWidth="1"/>
    <col min="14358" max="14358" width="22.7109375" style="1364" customWidth="1"/>
    <col min="14359" max="14359" width="18.28515625" style="1364" customWidth="1"/>
    <col min="14360" max="14360" width="13.85546875" style="1364" customWidth="1"/>
    <col min="14361" max="14361" width="14" style="1364" customWidth="1"/>
    <col min="14362" max="14362" width="9.28515625" style="1364" customWidth="1"/>
    <col min="14363" max="14363" width="12.7109375" style="1364" customWidth="1"/>
    <col min="14364" max="14364" width="6.42578125" style="1364" customWidth="1"/>
    <col min="14365" max="14365" width="14.42578125" style="1364" customWidth="1"/>
    <col min="14366" max="14366" width="10.28515625" style="1364" customWidth="1"/>
    <col min="14367" max="14367" width="12" style="1364" customWidth="1"/>
    <col min="14368" max="14368" width="8.7109375" style="1364" customWidth="1"/>
    <col min="14369" max="14369" width="10.5703125" style="1364" customWidth="1"/>
    <col min="14370" max="14370" width="16.42578125" style="1364" customWidth="1"/>
    <col min="14371" max="14371" width="15.140625" style="1364" customWidth="1"/>
    <col min="14372" max="14372" width="17" style="1364" customWidth="1"/>
    <col min="14373" max="14373" width="20.140625" style="1364" customWidth="1"/>
    <col min="14374" max="14374" width="20.28515625" style="1364" customWidth="1"/>
    <col min="14375" max="14592" width="28.7109375" style="1364"/>
    <col min="14593" max="14593" width="38.7109375" style="1364" customWidth="1"/>
    <col min="14594" max="14594" width="19.7109375" style="1364" bestFit="1" customWidth="1"/>
    <col min="14595" max="14595" width="11.140625" style="1364" bestFit="1" customWidth="1"/>
    <col min="14596" max="14596" width="18.42578125" style="1364" customWidth="1"/>
    <col min="14597" max="14597" width="16" style="1364" bestFit="1" customWidth="1"/>
    <col min="14598" max="14598" width="21.5703125" style="1364" customWidth="1"/>
    <col min="14599" max="14599" width="14.140625" style="1364" customWidth="1"/>
    <col min="14600" max="14600" width="12" style="1364" customWidth="1"/>
    <col min="14601" max="14601" width="17.7109375" style="1364" customWidth="1"/>
    <col min="14602" max="14602" width="16" style="1364" customWidth="1"/>
    <col min="14603" max="14604" width="16.7109375" style="1364" customWidth="1"/>
    <col min="14605" max="14605" width="28" style="1364" customWidth="1"/>
    <col min="14606" max="14606" width="17.7109375" style="1364" customWidth="1"/>
    <col min="14607" max="14607" width="12.28515625" style="1364" customWidth="1"/>
    <col min="14608" max="14608" width="7.5703125" style="1364" bestFit="1" customWidth="1"/>
    <col min="14609" max="14609" width="8.7109375" style="1364" bestFit="1" customWidth="1"/>
    <col min="14610" max="14610" width="7.5703125" style="1364" bestFit="1" customWidth="1"/>
    <col min="14611" max="14611" width="8.7109375" style="1364" bestFit="1" customWidth="1"/>
    <col min="14612" max="14612" width="7.28515625" style="1364" bestFit="1" customWidth="1"/>
    <col min="14613" max="14613" width="8.7109375" style="1364" bestFit="1" customWidth="1"/>
    <col min="14614" max="14614" width="22.7109375" style="1364" customWidth="1"/>
    <col min="14615" max="14615" width="18.28515625" style="1364" customWidth="1"/>
    <col min="14616" max="14616" width="13.85546875" style="1364" customWidth="1"/>
    <col min="14617" max="14617" width="14" style="1364" customWidth="1"/>
    <col min="14618" max="14618" width="9.28515625" style="1364" customWidth="1"/>
    <col min="14619" max="14619" width="12.7109375" style="1364" customWidth="1"/>
    <col min="14620" max="14620" width="6.42578125" style="1364" customWidth="1"/>
    <col min="14621" max="14621" width="14.42578125" style="1364" customWidth="1"/>
    <col min="14622" max="14622" width="10.28515625" style="1364" customWidth="1"/>
    <col min="14623" max="14623" width="12" style="1364" customWidth="1"/>
    <col min="14624" max="14624" width="8.7109375" style="1364" customWidth="1"/>
    <col min="14625" max="14625" width="10.5703125" style="1364" customWidth="1"/>
    <col min="14626" max="14626" width="16.42578125" style="1364" customWidth="1"/>
    <col min="14627" max="14627" width="15.140625" style="1364" customWidth="1"/>
    <col min="14628" max="14628" width="17" style="1364" customWidth="1"/>
    <col min="14629" max="14629" width="20.140625" style="1364" customWidth="1"/>
    <col min="14630" max="14630" width="20.28515625" style="1364" customWidth="1"/>
    <col min="14631" max="14848" width="28.7109375" style="1364"/>
    <col min="14849" max="14849" width="38.7109375" style="1364" customWidth="1"/>
    <col min="14850" max="14850" width="19.7109375" style="1364" bestFit="1" customWidth="1"/>
    <col min="14851" max="14851" width="11.140625" style="1364" bestFit="1" customWidth="1"/>
    <col min="14852" max="14852" width="18.42578125" style="1364" customWidth="1"/>
    <col min="14853" max="14853" width="16" style="1364" bestFit="1" customWidth="1"/>
    <col min="14854" max="14854" width="21.5703125" style="1364" customWidth="1"/>
    <col min="14855" max="14855" width="14.140625" style="1364" customWidth="1"/>
    <col min="14856" max="14856" width="12" style="1364" customWidth="1"/>
    <col min="14857" max="14857" width="17.7109375" style="1364" customWidth="1"/>
    <col min="14858" max="14858" width="16" style="1364" customWidth="1"/>
    <col min="14859" max="14860" width="16.7109375" style="1364" customWidth="1"/>
    <col min="14861" max="14861" width="28" style="1364" customWidth="1"/>
    <col min="14862" max="14862" width="17.7109375" style="1364" customWidth="1"/>
    <col min="14863" max="14863" width="12.28515625" style="1364" customWidth="1"/>
    <col min="14864" max="14864" width="7.5703125" style="1364" bestFit="1" customWidth="1"/>
    <col min="14865" max="14865" width="8.7109375" style="1364" bestFit="1" customWidth="1"/>
    <col min="14866" max="14866" width="7.5703125" style="1364" bestFit="1" customWidth="1"/>
    <col min="14867" max="14867" width="8.7109375" style="1364" bestFit="1" customWidth="1"/>
    <col min="14868" max="14868" width="7.28515625" style="1364" bestFit="1" customWidth="1"/>
    <col min="14869" max="14869" width="8.7109375" style="1364" bestFit="1" customWidth="1"/>
    <col min="14870" max="14870" width="22.7109375" style="1364" customWidth="1"/>
    <col min="14871" max="14871" width="18.28515625" style="1364" customWidth="1"/>
    <col min="14872" max="14872" width="13.85546875" style="1364" customWidth="1"/>
    <col min="14873" max="14873" width="14" style="1364" customWidth="1"/>
    <col min="14874" max="14874" width="9.28515625" style="1364" customWidth="1"/>
    <col min="14875" max="14875" width="12.7109375" style="1364" customWidth="1"/>
    <col min="14876" max="14876" width="6.42578125" style="1364" customWidth="1"/>
    <col min="14877" max="14877" width="14.42578125" style="1364" customWidth="1"/>
    <col min="14878" max="14878" width="10.28515625" style="1364" customWidth="1"/>
    <col min="14879" max="14879" width="12" style="1364" customWidth="1"/>
    <col min="14880" max="14880" width="8.7109375" style="1364" customWidth="1"/>
    <col min="14881" max="14881" width="10.5703125" style="1364" customWidth="1"/>
    <col min="14882" max="14882" width="16.42578125" style="1364" customWidth="1"/>
    <col min="14883" max="14883" width="15.140625" style="1364" customWidth="1"/>
    <col min="14884" max="14884" width="17" style="1364" customWidth="1"/>
    <col min="14885" max="14885" width="20.140625" style="1364" customWidth="1"/>
    <col min="14886" max="14886" width="20.28515625" style="1364" customWidth="1"/>
    <col min="14887" max="15104" width="28.7109375" style="1364"/>
    <col min="15105" max="15105" width="38.7109375" style="1364" customWidth="1"/>
    <col min="15106" max="15106" width="19.7109375" style="1364" bestFit="1" customWidth="1"/>
    <col min="15107" max="15107" width="11.140625" style="1364" bestFit="1" customWidth="1"/>
    <col min="15108" max="15108" width="18.42578125" style="1364" customWidth="1"/>
    <col min="15109" max="15109" width="16" style="1364" bestFit="1" customWidth="1"/>
    <col min="15110" max="15110" width="21.5703125" style="1364" customWidth="1"/>
    <col min="15111" max="15111" width="14.140625" style="1364" customWidth="1"/>
    <col min="15112" max="15112" width="12" style="1364" customWidth="1"/>
    <col min="15113" max="15113" width="17.7109375" style="1364" customWidth="1"/>
    <col min="15114" max="15114" width="16" style="1364" customWidth="1"/>
    <col min="15115" max="15116" width="16.7109375" style="1364" customWidth="1"/>
    <col min="15117" max="15117" width="28" style="1364" customWidth="1"/>
    <col min="15118" max="15118" width="17.7109375" style="1364" customWidth="1"/>
    <col min="15119" max="15119" width="12.28515625" style="1364" customWidth="1"/>
    <col min="15120" max="15120" width="7.5703125" style="1364" bestFit="1" customWidth="1"/>
    <col min="15121" max="15121" width="8.7109375" style="1364" bestFit="1" customWidth="1"/>
    <col min="15122" max="15122" width="7.5703125" style="1364" bestFit="1" customWidth="1"/>
    <col min="15123" max="15123" width="8.7109375" style="1364" bestFit="1" customWidth="1"/>
    <col min="15124" max="15124" width="7.28515625" style="1364" bestFit="1" customWidth="1"/>
    <col min="15125" max="15125" width="8.7109375" style="1364" bestFit="1" customWidth="1"/>
    <col min="15126" max="15126" width="22.7109375" style="1364" customWidth="1"/>
    <col min="15127" max="15127" width="18.28515625" style="1364" customWidth="1"/>
    <col min="15128" max="15128" width="13.85546875" style="1364" customWidth="1"/>
    <col min="15129" max="15129" width="14" style="1364" customWidth="1"/>
    <col min="15130" max="15130" width="9.28515625" style="1364" customWidth="1"/>
    <col min="15131" max="15131" width="12.7109375" style="1364" customWidth="1"/>
    <col min="15132" max="15132" width="6.42578125" style="1364" customWidth="1"/>
    <col min="15133" max="15133" width="14.42578125" style="1364" customWidth="1"/>
    <col min="15134" max="15134" width="10.28515625" style="1364" customWidth="1"/>
    <col min="15135" max="15135" width="12" style="1364" customWidth="1"/>
    <col min="15136" max="15136" width="8.7109375" style="1364" customWidth="1"/>
    <col min="15137" max="15137" width="10.5703125" style="1364" customWidth="1"/>
    <col min="15138" max="15138" width="16.42578125" style="1364" customWidth="1"/>
    <col min="15139" max="15139" width="15.140625" style="1364" customWidth="1"/>
    <col min="15140" max="15140" width="17" style="1364" customWidth="1"/>
    <col min="15141" max="15141" width="20.140625" style="1364" customWidth="1"/>
    <col min="15142" max="15142" width="20.28515625" style="1364" customWidth="1"/>
    <col min="15143" max="15360" width="28.7109375" style="1364"/>
    <col min="15361" max="15361" width="38.7109375" style="1364" customWidth="1"/>
    <col min="15362" max="15362" width="19.7109375" style="1364" bestFit="1" customWidth="1"/>
    <col min="15363" max="15363" width="11.140625" style="1364" bestFit="1" customWidth="1"/>
    <col min="15364" max="15364" width="18.42578125" style="1364" customWidth="1"/>
    <col min="15365" max="15365" width="16" style="1364" bestFit="1" customWidth="1"/>
    <col min="15366" max="15366" width="21.5703125" style="1364" customWidth="1"/>
    <col min="15367" max="15367" width="14.140625" style="1364" customWidth="1"/>
    <col min="15368" max="15368" width="12" style="1364" customWidth="1"/>
    <col min="15369" max="15369" width="17.7109375" style="1364" customWidth="1"/>
    <col min="15370" max="15370" width="16" style="1364" customWidth="1"/>
    <col min="15371" max="15372" width="16.7109375" style="1364" customWidth="1"/>
    <col min="15373" max="15373" width="28" style="1364" customWidth="1"/>
    <col min="15374" max="15374" width="17.7109375" style="1364" customWidth="1"/>
    <col min="15375" max="15375" width="12.28515625" style="1364" customWidth="1"/>
    <col min="15376" max="15376" width="7.5703125" style="1364" bestFit="1" customWidth="1"/>
    <col min="15377" max="15377" width="8.7109375" style="1364" bestFit="1" customWidth="1"/>
    <col min="15378" max="15378" width="7.5703125" style="1364" bestFit="1" customWidth="1"/>
    <col min="15379" max="15379" width="8.7109375" style="1364" bestFit="1" customWidth="1"/>
    <col min="15380" max="15380" width="7.28515625" style="1364" bestFit="1" customWidth="1"/>
    <col min="15381" max="15381" width="8.7109375" style="1364" bestFit="1" customWidth="1"/>
    <col min="15382" max="15382" width="22.7109375" style="1364" customWidth="1"/>
    <col min="15383" max="15383" width="18.28515625" style="1364" customWidth="1"/>
    <col min="15384" max="15384" width="13.85546875" style="1364" customWidth="1"/>
    <col min="15385" max="15385" width="14" style="1364" customWidth="1"/>
    <col min="15386" max="15386" width="9.28515625" style="1364" customWidth="1"/>
    <col min="15387" max="15387" width="12.7109375" style="1364" customWidth="1"/>
    <col min="15388" max="15388" width="6.42578125" style="1364" customWidth="1"/>
    <col min="15389" max="15389" width="14.42578125" style="1364" customWidth="1"/>
    <col min="15390" max="15390" width="10.28515625" style="1364" customWidth="1"/>
    <col min="15391" max="15391" width="12" style="1364" customWidth="1"/>
    <col min="15392" max="15392" width="8.7109375" style="1364" customWidth="1"/>
    <col min="15393" max="15393" width="10.5703125" style="1364" customWidth="1"/>
    <col min="15394" max="15394" width="16.42578125" style="1364" customWidth="1"/>
    <col min="15395" max="15395" width="15.140625" style="1364" customWidth="1"/>
    <col min="15396" max="15396" width="17" style="1364" customWidth="1"/>
    <col min="15397" max="15397" width="20.140625" style="1364" customWidth="1"/>
    <col min="15398" max="15398" width="20.28515625" style="1364" customWidth="1"/>
    <col min="15399" max="15616" width="28.7109375" style="1364"/>
    <col min="15617" max="15617" width="38.7109375" style="1364" customWidth="1"/>
    <col min="15618" max="15618" width="19.7109375" style="1364" bestFit="1" customWidth="1"/>
    <col min="15619" max="15619" width="11.140625" style="1364" bestFit="1" customWidth="1"/>
    <col min="15620" max="15620" width="18.42578125" style="1364" customWidth="1"/>
    <col min="15621" max="15621" width="16" style="1364" bestFit="1" customWidth="1"/>
    <col min="15622" max="15622" width="21.5703125" style="1364" customWidth="1"/>
    <col min="15623" max="15623" width="14.140625" style="1364" customWidth="1"/>
    <col min="15624" max="15624" width="12" style="1364" customWidth="1"/>
    <col min="15625" max="15625" width="17.7109375" style="1364" customWidth="1"/>
    <col min="15626" max="15626" width="16" style="1364" customWidth="1"/>
    <col min="15627" max="15628" width="16.7109375" style="1364" customWidth="1"/>
    <col min="15629" max="15629" width="28" style="1364" customWidth="1"/>
    <col min="15630" max="15630" width="17.7109375" style="1364" customWidth="1"/>
    <col min="15631" max="15631" width="12.28515625" style="1364" customWidth="1"/>
    <col min="15632" max="15632" width="7.5703125" style="1364" bestFit="1" customWidth="1"/>
    <col min="15633" max="15633" width="8.7109375" style="1364" bestFit="1" customWidth="1"/>
    <col min="15634" max="15634" width="7.5703125" style="1364" bestFit="1" customWidth="1"/>
    <col min="15635" max="15635" width="8.7109375" style="1364" bestFit="1" customWidth="1"/>
    <col min="15636" max="15636" width="7.28515625" style="1364" bestFit="1" customWidth="1"/>
    <col min="15637" max="15637" width="8.7109375" style="1364" bestFit="1" customWidth="1"/>
    <col min="15638" max="15638" width="22.7109375" style="1364" customWidth="1"/>
    <col min="15639" max="15639" width="18.28515625" style="1364" customWidth="1"/>
    <col min="15640" max="15640" width="13.85546875" style="1364" customWidth="1"/>
    <col min="15641" max="15641" width="14" style="1364" customWidth="1"/>
    <col min="15642" max="15642" width="9.28515625" style="1364" customWidth="1"/>
    <col min="15643" max="15643" width="12.7109375" style="1364" customWidth="1"/>
    <col min="15644" max="15644" width="6.42578125" style="1364" customWidth="1"/>
    <col min="15645" max="15645" width="14.42578125" style="1364" customWidth="1"/>
    <col min="15646" max="15646" width="10.28515625" style="1364" customWidth="1"/>
    <col min="15647" max="15647" width="12" style="1364" customWidth="1"/>
    <col min="15648" max="15648" width="8.7109375" style="1364" customWidth="1"/>
    <col min="15649" max="15649" width="10.5703125" style="1364" customWidth="1"/>
    <col min="15650" max="15650" width="16.42578125" style="1364" customWidth="1"/>
    <col min="15651" max="15651" width="15.140625" style="1364" customWidth="1"/>
    <col min="15652" max="15652" width="17" style="1364" customWidth="1"/>
    <col min="15653" max="15653" width="20.140625" style="1364" customWidth="1"/>
    <col min="15654" max="15654" width="20.28515625" style="1364" customWidth="1"/>
    <col min="15655" max="15872" width="28.7109375" style="1364"/>
    <col min="15873" max="15873" width="38.7109375" style="1364" customWidth="1"/>
    <col min="15874" max="15874" width="19.7109375" style="1364" bestFit="1" customWidth="1"/>
    <col min="15875" max="15875" width="11.140625" style="1364" bestFit="1" customWidth="1"/>
    <col min="15876" max="15876" width="18.42578125" style="1364" customWidth="1"/>
    <col min="15877" max="15877" width="16" style="1364" bestFit="1" customWidth="1"/>
    <col min="15878" max="15878" width="21.5703125" style="1364" customWidth="1"/>
    <col min="15879" max="15879" width="14.140625" style="1364" customWidth="1"/>
    <col min="15880" max="15880" width="12" style="1364" customWidth="1"/>
    <col min="15881" max="15881" width="17.7109375" style="1364" customWidth="1"/>
    <col min="15882" max="15882" width="16" style="1364" customWidth="1"/>
    <col min="15883" max="15884" width="16.7109375" style="1364" customWidth="1"/>
    <col min="15885" max="15885" width="28" style="1364" customWidth="1"/>
    <col min="15886" max="15886" width="17.7109375" style="1364" customWidth="1"/>
    <col min="15887" max="15887" width="12.28515625" style="1364" customWidth="1"/>
    <col min="15888" max="15888" width="7.5703125" style="1364" bestFit="1" customWidth="1"/>
    <col min="15889" max="15889" width="8.7109375" style="1364" bestFit="1" customWidth="1"/>
    <col min="15890" max="15890" width="7.5703125" style="1364" bestFit="1" customWidth="1"/>
    <col min="15891" max="15891" width="8.7109375" style="1364" bestFit="1" customWidth="1"/>
    <col min="15892" max="15892" width="7.28515625" style="1364" bestFit="1" customWidth="1"/>
    <col min="15893" max="15893" width="8.7109375" style="1364" bestFit="1" customWidth="1"/>
    <col min="15894" max="15894" width="22.7109375" style="1364" customWidth="1"/>
    <col min="15895" max="15895" width="18.28515625" style="1364" customWidth="1"/>
    <col min="15896" max="15896" width="13.85546875" style="1364" customWidth="1"/>
    <col min="15897" max="15897" width="14" style="1364" customWidth="1"/>
    <col min="15898" max="15898" width="9.28515625" style="1364" customWidth="1"/>
    <col min="15899" max="15899" width="12.7109375" style="1364" customWidth="1"/>
    <col min="15900" max="15900" width="6.42578125" style="1364" customWidth="1"/>
    <col min="15901" max="15901" width="14.42578125" style="1364" customWidth="1"/>
    <col min="15902" max="15902" width="10.28515625" style="1364" customWidth="1"/>
    <col min="15903" max="15903" width="12" style="1364" customWidth="1"/>
    <col min="15904" max="15904" width="8.7109375" style="1364" customWidth="1"/>
    <col min="15905" max="15905" width="10.5703125" style="1364" customWidth="1"/>
    <col min="15906" max="15906" width="16.42578125" style="1364" customWidth="1"/>
    <col min="15907" max="15907" width="15.140625" style="1364" customWidth="1"/>
    <col min="15908" max="15908" width="17" style="1364" customWidth="1"/>
    <col min="15909" max="15909" width="20.140625" style="1364" customWidth="1"/>
    <col min="15910" max="15910" width="20.28515625" style="1364" customWidth="1"/>
    <col min="15911" max="16128" width="28.7109375" style="1364"/>
    <col min="16129" max="16129" width="38.7109375" style="1364" customWidth="1"/>
    <col min="16130" max="16130" width="19.7109375" style="1364" bestFit="1" customWidth="1"/>
    <col min="16131" max="16131" width="11.140625" style="1364" bestFit="1" customWidth="1"/>
    <col min="16132" max="16132" width="18.42578125" style="1364" customWidth="1"/>
    <col min="16133" max="16133" width="16" style="1364" bestFit="1" customWidth="1"/>
    <col min="16134" max="16134" width="21.5703125" style="1364" customWidth="1"/>
    <col min="16135" max="16135" width="14.140625" style="1364" customWidth="1"/>
    <col min="16136" max="16136" width="12" style="1364" customWidth="1"/>
    <col min="16137" max="16137" width="17.7109375" style="1364" customWidth="1"/>
    <col min="16138" max="16138" width="16" style="1364" customWidth="1"/>
    <col min="16139" max="16140" width="16.7109375" style="1364" customWidth="1"/>
    <col min="16141" max="16141" width="28" style="1364" customWidth="1"/>
    <col min="16142" max="16142" width="17.7109375" style="1364" customWidth="1"/>
    <col min="16143" max="16143" width="12.28515625" style="1364" customWidth="1"/>
    <col min="16144" max="16144" width="7.5703125" style="1364" bestFit="1" customWidth="1"/>
    <col min="16145" max="16145" width="8.7109375" style="1364" bestFit="1" customWidth="1"/>
    <col min="16146" max="16146" width="7.5703125" style="1364" bestFit="1" customWidth="1"/>
    <col min="16147" max="16147" width="8.7109375" style="1364" bestFit="1" customWidth="1"/>
    <col min="16148" max="16148" width="7.28515625" style="1364" bestFit="1" customWidth="1"/>
    <col min="16149" max="16149" width="8.7109375" style="1364" bestFit="1" customWidth="1"/>
    <col min="16150" max="16150" width="22.7109375" style="1364" customWidth="1"/>
    <col min="16151" max="16151" width="18.28515625" style="1364" customWidth="1"/>
    <col min="16152" max="16152" width="13.85546875" style="1364" customWidth="1"/>
    <col min="16153" max="16153" width="14" style="1364" customWidth="1"/>
    <col min="16154" max="16154" width="9.28515625" style="1364" customWidth="1"/>
    <col min="16155" max="16155" width="12.7109375" style="1364" customWidth="1"/>
    <col min="16156" max="16156" width="6.42578125" style="1364" customWidth="1"/>
    <col min="16157" max="16157" width="14.42578125" style="1364" customWidth="1"/>
    <col min="16158" max="16158" width="10.28515625" style="1364" customWidth="1"/>
    <col min="16159" max="16159" width="12" style="1364" customWidth="1"/>
    <col min="16160" max="16160" width="8.7109375" style="1364" customWidth="1"/>
    <col min="16161" max="16161" width="10.5703125" style="1364" customWidth="1"/>
    <col min="16162" max="16162" width="16.42578125" style="1364" customWidth="1"/>
    <col min="16163" max="16163" width="15.140625" style="1364" customWidth="1"/>
    <col min="16164" max="16164" width="17" style="1364" customWidth="1"/>
    <col min="16165" max="16165" width="20.140625" style="1364" customWidth="1"/>
    <col min="16166" max="16166" width="20.28515625" style="1364" customWidth="1"/>
    <col min="16167" max="16384" width="28.7109375" style="1364"/>
  </cols>
  <sheetData>
    <row r="1" spans="1:17" ht="18" customHeight="1">
      <c r="A1" s="4771" t="s">
        <v>81</v>
      </c>
      <c r="B1" s="4772"/>
      <c r="C1" s="4772"/>
      <c r="D1" s="4772"/>
      <c r="E1" s="4772"/>
      <c r="F1" s="4772"/>
      <c r="G1" s="4772"/>
      <c r="H1" s="4772"/>
      <c r="I1" s="4772"/>
      <c r="J1" s="4772"/>
      <c r="K1" s="4772"/>
      <c r="L1" s="4772"/>
    </row>
    <row r="2" spans="1:17" s="1379" customFormat="1" ht="12" customHeight="1">
      <c r="A2" s="1402"/>
      <c r="B2" s="1402"/>
      <c r="C2" s="1402"/>
      <c r="D2" s="1402"/>
      <c r="E2" s="1402"/>
      <c r="F2" s="1402"/>
      <c r="G2" s="1402"/>
      <c r="H2" s="1402"/>
      <c r="I2" s="1387"/>
      <c r="J2" s="1387"/>
    </row>
    <row r="3" spans="1:17" s="1379" customFormat="1" ht="12.75" customHeight="1">
      <c r="A3" s="1403" t="s">
        <v>3</v>
      </c>
      <c r="B3" s="1402"/>
      <c r="C3" s="1402"/>
      <c r="D3" s="1402"/>
      <c r="E3" s="1402"/>
      <c r="F3" s="1402"/>
      <c r="G3" s="1402"/>
      <c r="H3" s="1402"/>
      <c r="I3" s="1387"/>
      <c r="J3" s="1387"/>
    </row>
    <row r="4" spans="1:17" ht="14.25" customHeight="1" thickBot="1"/>
    <row r="5" spans="1:17" ht="15.75" customHeight="1" thickBot="1">
      <c r="A5" s="16"/>
      <c r="B5" s="4773">
        <v>2006</v>
      </c>
      <c r="C5" s="4774"/>
      <c r="D5" s="4773">
        <v>2007</v>
      </c>
      <c r="E5" s="4774"/>
      <c r="F5" s="4773">
        <v>2008</v>
      </c>
      <c r="G5" s="4774"/>
      <c r="H5" s="4773">
        <v>2009</v>
      </c>
      <c r="I5" s="4774"/>
      <c r="J5" s="4773">
        <v>2010</v>
      </c>
      <c r="K5" s="4774"/>
      <c r="L5" s="4773">
        <v>2011</v>
      </c>
      <c r="M5" s="4774"/>
      <c r="N5" s="4773">
        <v>2012</v>
      </c>
      <c r="O5" s="4774"/>
      <c r="P5" s="4773">
        <v>2013</v>
      </c>
      <c r="Q5" s="4774"/>
    </row>
    <row r="6" spans="1:17" ht="13.5" thickBot="1">
      <c r="A6" s="1412"/>
      <c r="B6" s="4030" t="s">
        <v>718</v>
      </c>
      <c r="C6" s="4031" t="s">
        <v>717</v>
      </c>
      <c r="D6" s="4030" t="s">
        <v>718</v>
      </c>
      <c r="E6" s="4031" t="s">
        <v>717</v>
      </c>
      <c r="F6" s="4030" t="s">
        <v>718</v>
      </c>
      <c r="G6" s="4032" t="s">
        <v>717</v>
      </c>
      <c r="H6" s="4030" t="s">
        <v>718</v>
      </c>
      <c r="I6" s="4031" t="s">
        <v>717</v>
      </c>
      <c r="J6" s="4030" t="s">
        <v>718</v>
      </c>
      <c r="K6" s="4031" t="s">
        <v>717</v>
      </c>
      <c r="L6" s="4030" t="s">
        <v>718</v>
      </c>
      <c r="M6" s="4031" t="s">
        <v>717</v>
      </c>
      <c r="N6" s="591" t="s">
        <v>718</v>
      </c>
      <c r="O6" s="562" t="s">
        <v>717</v>
      </c>
      <c r="P6" s="591" t="s">
        <v>718</v>
      </c>
      <c r="Q6" s="562" t="s">
        <v>717</v>
      </c>
    </row>
    <row r="7" spans="1:17" ht="10.5">
      <c r="A7" s="1413" t="s">
        <v>5769</v>
      </c>
      <c r="B7" s="1393">
        <v>0</v>
      </c>
      <c r="C7" s="1350"/>
      <c r="D7" s="1393">
        <v>12</v>
      </c>
      <c r="E7" s="1350">
        <v>11</v>
      </c>
      <c r="F7" s="1393">
        <v>21</v>
      </c>
      <c r="G7" s="1350">
        <v>15</v>
      </c>
      <c r="H7" s="1393">
        <v>11</v>
      </c>
      <c r="I7" s="1350">
        <v>18</v>
      </c>
      <c r="J7" s="1393">
        <v>18</v>
      </c>
      <c r="K7" s="1350">
        <v>15</v>
      </c>
      <c r="L7" s="1393">
        <v>22</v>
      </c>
      <c r="M7" s="1350">
        <v>18</v>
      </c>
      <c r="N7" s="1393">
        <v>18</v>
      </c>
      <c r="O7" s="1350">
        <v>15.55</v>
      </c>
      <c r="P7" s="1393">
        <v>21</v>
      </c>
      <c r="Q7" s="1350">
        <v>21.16</v>
      </c>
    </row>
    <row r="8" spans="1:17" ht="10.5">
      <c r="A8" s="1365" t="s">
        <v>5770</v>
      </c>
      <c r="B8" s="1393">
        <v>0</v>
      </c>
      <c r="C8" s="1350"/>
      <c r="D8" s="1393">
        <v>17</v>
      </c>
      <c r="E8" s="1350">
        <v>16</v>
      </c>
      <c r="F8" s="1393">
        <v>18</v>
      </c>
      <c r="G8" s="1350">
        <v>11</v>
      </c>
      <c r="H8" s="1393">
        <v>11</v>
      </c>
      <c r="I8" s="1350">
        <v>18</v>
      </c>
      <c r="J8" s="1393"/>
      <c r="K8" s="1350"/>
      <c r="L8" s="1393"/>
      <c r="M8" s="1350"/>
      <c r="N8" s="1393"/>
      <c r="O8" s="1350"/>
      <c r="P8" s="1393"/>
      <c r="Q8" s="1350"/>
    </row>
    <row r="9" spans="1:17" ht="10.5">
      <c r="A9" s="1365" t="s">
        <v>5771</v>
      </c>
      <c r="B9" s="1393">
        <v>0</v>
      </c>
      <c r="C9" s="1350"/>
      <c r="D9" s="1393">
        <v>21</v>
      </c>
      <c r="E9" s="1350">
        <v>20</v>
      </c>
      <c r="F9" s="1393">
        <v>29</v>
      </c>
      <c r="G9" s="1350">
        <v>24</v>
      </c>
      <c r="H9" s="1393">
        <v>29</v>
      </c>
      <c r="I9" s="1350">
        <v>25</v>
      </c>
      <c r="J9" s="1393">
        <v>32</v>
      </c>
      <c r="K9" s="1350">
        <v>31</v>
      </c>
      <c r="L9" s="1393">
        <v>34.200000000000003</v>
      </c>
      <c r="M9" s="1350">
        <v>35.9</v>
      </c>
      <c r="N9" s="1393">
        <v>39</v>
      </c>
      <c r="O9" s="1350">
        <v>41.1</v>
      </c>
      <c r="P9" s="1393">
        <v>24.3</v>
      </c>
      <c r="Q9" s="1350">
        <v>27.4</v>
      </c>
    </row>
    <row r="10" spans="1:17" ht="10.5">
      <c r="A10" s="1365" t="s">
        <v>5772</v>
      </c>
      <c r="B10" s="1393">
        <v>87</v>
      </c>
      <c r="C10" s="1350"/>
      <c r="D10" s="1393">
        <v>95</v>
      </c>
      <c r="E10" s="1350">
        <v>0</v>
      </c>
      <c r="F10" s="1393">
        <v>134</v>
      </c>
      <c r="G10" s="1350">
        <v>74</v>
      </c>
      <c r="H10" s="1393">
        <v>128</v>
      </c>
      <c r="I10" s="1350">
        <v>80</v>
      </c>
      <c r="J10" s="1393">
        <v>70</v>
      </c>
      <c r="K10" s="1350">
        <v>69</v>
      </c>
      <c r="L10" s="1393">
        <v>82.68</v>
      </c>
      <c r="M10" s="1350">
        <v>82.63</v>
      </c>
      <c r="N10" s="1393">
        <v>89.59</v>
      </c>
      <c r="O10" s="1350">
        <v>93.45</v>
      </c>
      <c r="P10" s="1393">
        <v>77.52</v>
      </c>
      <c r="Q10" s="1350">
        <v>78.790000000000006</v>
      </c>
    </row>
    <row r="11" spans="1:17" ht="10.5">
      <c r="A11" s="1407" t="s">
        <v>8</v>
      </c>
      <c r="B11" s="1409">
        <f t="shared" ref="B11:G11" si="0">SUM(B7:B10)</f>
        <v>87</v>
      </c>
      <c r="C11" s="1410">
        <f t="shared" si="0"/>
        <v>0</v>
      </c>
      <c r="D11" s="1409">
        <f t="shared" si="0"/>
        <v>145</v>
      </c>
      <c r="E11" s="1410">
        <f t="shared" si="0"/>
        <v>47</v>
      </c>
      <c r="F11" s="1409">
        <f t="shared" si="0"/>
        <v>202</v>
      </c>
      <c r="G11" s="1410">
        <f t="shared" si="0"/>
        <v>124</v>
      </c>
      <c r="H11" s="1409">
        <f t="shared" ref="H11:Q11" si="1">SUM(H7:H10)</f>
        <v>179</v>
      </c>
      <c r="I11" s="1410">
        <f t="shared" si="1"/>
        <v>141</v>
      </c>
      <c r="J11" s="1409">
        <f t="shared" si="1"/>
        <v>120</v>
      </c>
      <c r="K11" s="1410">
        <f t="shared" si="1"/>
        <v>115</v>
      </c>
      <c r="L11" s="1409">
        <f t="shared" si="1"/>
        <v>138.88</v>
      </c>
      <c r="M11" s="1410">
        <f t="shared" si="1"/>
        <v>136.53</v>
      </c>
      <c r="N11" s="1409">
        <f t="shared" si="1"/>
        <v>146.59</v>
      </c>
      <c r="O11" s="1410">
        <f t="shared" si="1"/>
        <v>150.10000000000002</v>
      </c>
      <c r="P11" s="1409">
        <f t="shared" si="1"/>
        <v>122.82</v>
      </c>
      <c r="Q11" s="1410">
        <f t="shared" si="1"/>
        <v>127.35000000000001</v>
      </c>
    </row>
    <row r="12" spans="1:17" ht="14.25" customHeight="1" thickBot="1">
      <c r="A12" s="1404" t="s">
        <v>5773</v>
      </c>
      <c r="B12" s="1404"/>
      <c r="C12" s="1411"/>
      <c r="D12" s="1404"/>
      <c r="E12" s="1411"/>
      <c r="F12" s="1404"/>
      <c r="G12" s="1411"/>
      <c r="H12" s="1404"/>
      <c r="I12" s="1411"/>
      <c r="J12" s="1404"/>
      <c r="K12" s="1411"/>
      <c r="L12" s="1404"/>
      <c r="M12" s="1411"/>
      <c r="N12" s="1404"/>
      <c r="O12" s="1411"/>
      <c r="P12" s="1404"/>
      <c r="Q12" s="1411"/>
    </row>
    <row r="14" spans="1:17" ht="14.25" customHeight="1" thickBot="1"/>
    <row r="15" spans="1:17" ht="14.25" customHeight="1" thickBot="1">
      <c r="A15" s="16"/>
      <c r="B15" s="4773">
        <v>2014</v>
      </c>
      <c r="C15" s="4774"/>
      <c r="D15" s="4773">
        <v>2015</v>
      </c>
      <c r="E15" s="4774"/>
      <c r="F15" s="4773">
        <v>2016</v>
      </c>
      <c r="G15" s="4776"/>
      <c r="H15" s="4774"/>
      <c r="I15" s="4773">
        <v>2017</v>
      </c>
      <c r="J15" s="4776"/>
      <c r="K15" s="4776"/>
      <c r="L15" s="4774"/>
      <c r="M15" s="4408"/>
      <c r="N15" s="4408"/>
      <c r="O15" s="4408">
        <v>2018</v>
      </c>
      <c r="P15" s="16"/>
      <c r="Q15" s="16"/>
    </row>
    <row r="16" spans="1:17" ht="14.25" customHeight="1" thickBot="1">
      <c r="A16" s="16"/>
      <c r="B16" s="591" t="s">
        <v>718</v>
      </c>
      <c r="C16" s="562" t="s">
        <v>717</v>
      </c>
      <c r="D16" s="591" t="s">
        <v>718</v>
      </c>
      <c r="E16" s="562" t="s">
        <v>717</v>
      </c>
      <c r="F16" s="591" t="s">
        <v>5766</v>
      </c>
      <c r="G16" s="16" t="s">
        <v>718</v>
      </c>
      <c r="H16" s="562" t="s">
        <v>717</v>
      </c>
      <c r="I16" s="591" t="s">
        <v>5766</v>
      </c>
      <c r="J16" s="16" t="s">
        <v>718</v>
      </c>
      <c r="K16" s="16" t="s">
        <v>717</v>
      </c>
      <c r="L16" s="562" t="s">
        <v>5767</v>
      </c>
      <c r="M16" s="16" t="s">
        <v>5768</v>
      </c>
      <c r="N16" s="16" t="s">
        <v>5766</v>
      </c>
      <c r="O16" s="16" t="s">
        <v>718</v>
      </c>
      <c r="P16" s="16" t="s">
        <v>717</v>
      </c>
      <c r="Q16" s="16" t="s">
        <v>5767</v>
      </c>
    </row>
    <row r="17" spans="1:17" ht="14.25" customHeight="1">
      <c r="A17" s="1365" t="s">
        <v>5769</v>
      </c>
      <c r="B17" s="1393">
        <v>16.96</v>
      </c>
      <c r="C17" s="1350">
        <v>17.37</v>
      </c>
      <c r="D17" s="1393">
        <v>10.79</v>
      </c>
      <c r="E17" s="1350">
        <v>14.7</v>
      </c>
      <c r="F17" s="1393"/>
      <c r="G17" s="1349">
        <v>10.199999999999999</v>
      </c>
      <c r="H17" s="1350">
        <v>13.6</v>
      </c>
      <c r="I17" s="1393">
        <v>3.7</v>
      </c>
      <c r="J17" s="1349">
        <v>13.8</v>
      </c>
      <c r="K17" s="1349">
        <v>15.2</v>
      </c>
      <c r="L17" s="1369"/>
      <c r="M17" s="1368">
        <v>0</v>
      </c>
      <c r="N17" s="1349">
        <v>7.2</v>
      </c>
      <c r="O17" s="1349">
        <v>15.9</v>
      </c>
      <c r="P17" s="1349">
        <v>18.600000000000001</v>
      </c>
      <c r="Q17" s="1369">
        <v>0</v>
      </c>
    </row>
    <row r="18" spans="1:17" ht="14.25" customHeight="1">
      <c r="A18" s="1365" t="s">
        <v>5770</v>
      </c>
      <c r="B18" s="1393"/>
      <c r="C18" s="1350"/>
      <c r="D18" s="1393"/>
      <c r="E18" s="1350"/>
      <c r="F18" s="1393"/>
      <c r="G18" s="1349"/>
      <c r="H18" s="1350"/>
      <c r="I18" s="1393"/>
      <c r="J18" s="1349"/>
      <c r="K18" s="1349"/>
      <c r="L18" s="1369"/>
      <c r="M18" s="1368"/>
      <c r="N18" s="1349"/>
      <c r="O18" s="1349"/>
      <c r="P18" s="1349"/>
      <c r="Q18" s="1369"/>
    </row>
    <row r="19" spans="1:17" ht="14.25" customHeight="1">
      <c r="A19" s="1365" t="s">
        <v>5771</v>
      </c>
      <c r="B19" s="1393">
        <v>27.04</v>
      </c>
      <c r="C19" s="1350">
        <v>29.84</v>
      </c>
      <c r="D19" s="1393">
        <v>19.010000000000002</v>
      </c>
      <c r="E19" s="1350">
        <v>23.1</v>
      </c>
      <c r="F19" s="1393">
        <v>19.100000000000001</v>
      </c>
      <c r="G19" s="1349">
        <v>21.5</v>
      </c>
      <c r="H19" s="1350">
        <v>24.1</v>
      </c>
      <c r="I19" s="1393">
        <v>24.1</v>
      </c>
      <c r="J19" s="1349">
        <v>28.5</v>
      </c>
      <c r="K19" s="1349">
        <v>26.8</v>
      </c>
      <c r="L19" s="1369">
        <v>10.5</v>
      </c>
      <c r="M19" s="1368">
        <v>18.5</v>
      </c>
      <c r="N19" s="1349">
        <v>36.700000000000003</v>
      </c>
      <c r="O19" s="1349">
        <v>32.799999999999997</v>
      </c>
      <c r="P19" s="1349">
        <v>31.2</v>
      </c>
      <c r="Q19" s="1369">
        <v>8.3000000000000007</v>
      </c>
    </row>
    <row r="20" spans="1:17" ht="14.25" customHeight="1">
      <c r="A20" s="1365" t="s">
        <v>5772</v>
      </c>
      <c r="B20" s="1393">
        <v>85</v>
      </c>
      <c r="C20" s="1350">
        <v>76.11</v>
      </c>
      <c r="D20" s="1393">
        <v>79.33</v>
      </c>
      <c r="E20" s="1350">
        <v>77.2</v>
      </c>
      <c r="F20" s="1393">
        <v>51.6</v>
      </c>
      <c r="G20" s="1349">
        <v>84.05</v>
      </c>
      <c r="H20" s="1350">
        <v>84</v>
      </c>
      <c r="I20" s="1393">
        <v>71.599999999999994</v>
      </c>
      <c r="J20" s="1349">
        <v>92.3</v>
      </c>
      <c r="K20" s="1349">
        <v>77.400000000000006</v>
      </c>
      <c r="L20" s="1369">
        <v>28.7</v>
      </c>
      <c r="M20" s="1368">
        <v>41.25</v>
      </c>
      <c r="N20" s="1349">
        <v>62.9</v>
      </c>
      <c r="O20" s="1349">
        <v>93.3</v>
      </c>
      <c r="P20" s="1349">
        <v>86.3</v>
      </c>
      <c r="Q20" s="1369">
        <v>21</v>
      </c>
    </row>
    <row r="21" spans="1:17" ht="14.25" customHeight="1">
      <c r="A21" s="1407" t="s">
        <v>8</v>
      </c>
      <c r="B21" s="1409">
        <f t="shared" ref="B21:Q21" si="2">SUM(B17:B20)</f>
        <v>129</v>
      </c>
      <c r="C21" s="1410">
        <f t="shared" si="2"/>
        <v>123.32</v>
      </c>
      <c r="D21" s="1409">
        <f t="shared" si="2"/>
        <v>109.13</v>
      </c>
      <c r="E21" s="1410">
        <f t="shared" si="2"/>
        <v>115</v>
      </c>
      <c r="F21" s="1409">
        <f t="shared" si="2"/>
        <v>70.7</v>
      </c>
      <c r="G21" s="1408">
        <f t="shared" si="2"/>
        <v>115.75</v>
      </c>
      <c r="H21" s="1410">
        <f t="shared" si="2"/>
        <v>121.7</v>
      </c>
      <c r="I21" s="1409">
        <f t="shared" si="2"/>
        <v>99.399999999999991</v>
      </c>
      <c r="J21" s="1408">
        <f t="shared" si="2"/>
        <v>134.6</v>
      </c>
      <c r="K21" s="1408">
        <f t="shared" si="2"/>
        <v>119.4</v>
      </c>
      <c r="L21" s="1410">
        <f t="shared" si="2"/>
        <v>39.200000000000003</v>
      </c>
      <c r="M21" s="1408">
        <f t="shared" si="2"/>
        <v>59.75</v>
      </c>
      <c r="N21" s="1408">
        <f t="shared" si="2"/>
        <v>106.80000000000001</v>
      </c>
      <c r="O21" s="1408">
        <f t="shared" si="2"/>
        <v>142</v>
      </c>
      <c r="P21" s="1408">
        <f t="shared" si="2"/>
        <v>136.1</v>
      </c>
      <c r="Q21" s="1408">
        <f t="shared" si="2"/>
        <v>29.3</v>
      </c>
    </row>
    <row r="22" spans="1:17" ht="14.25" customHeight="1" thickBot="1">
      <c r="A22" s="1404" t="s">
        <v>5773</v>
      </c>
      <c r="B22" s="1404"/>
      <c r="C22" s="1411"/>
      <c r="D22" s="1404"/>
      <c r="E22" s="1411"/>
      <c r="F22" s="4777">
        <v>5237</v>
      </c>
      <c r="G22" s="4775"/>
      <c r="H22" s="4778"/>
      <c r="I22" s="4777">
        <v>6353</v>
      </c>
      <c r="J22" s="4775"/>
      <c r="K22" s="4775"/>
      <c r="L22" s="4778"/>
      <c r="M22" s="1405"/>
      <c r="N22" s="4775">
        <v>7059</v>
      </c>
      <c r="O22" s="4775"/>
      <c r="P22" s="4775"/>
      <c r="Q22" s="1406"/>
    </row>
    <row r="23" spans="1:17" ht="14.25" customHeight="1" thickBot="1">
      <c r="D23" s="4409"/>
      <c r="E23" s="4409"/>
      <c r="F23" s="4409"/>
      <c r="G23" s="4409"/>
      <c r="H23" s="4409"/>
      <c r="I23" s="4409"/>
      <c r="J23" s="4409"/>
      <c r="K23" s="4420"/>
      <c r="L23" s="4420"/>
      <c r="M23" s="4420"/>
      <c r="N23" s="4420"/>
    </row>
    <row r="24" spans="1:17" ht="14.25" customHeight="1" thickBot="1">
      <c r="A24" s="16"/>
      <c r="B24" s="591"/>
      <c r="C24" s="16"/>
      <c r="D24" s="4408">
        <v>2019</v>
      </c>
      <c r="E24" s="4408"/>
      <c r="F24" s="4411"/>
      <c r="G24" s="4421"/>
      <c r="H24" s="4408"/>
      <c r="I24" s="4408">
        <v>2020</v>
      </c>
      <c r="J24" s="4408"/>
      <c r="K24" s="4411"/>
      <c r="L24" s="4421"/>
      <c r="M24" s="4408"/>
      <c r="N24" s="4408">
        <v>2021</v>
      </c>
      <c r="O24" s="3957"/>
      <c r="P24" s="3956"/>
    </row>
    <row r="25" spans="1:17" ht="14.25" customHeight="1" thickBot="1">
      <c r="A25" s="16"/>
      <c r="B25" s="591" t="s">
        <v>5768</v>
      </c>
      <c r="C25" s="16" t="s">
        <v>5766</v>
      </c>
      <c r="D25" s="16" t="s">
        <v>718</v>
      </c>
      <c r="E25" s="16" t="s">
        <v>717</v>
      </c>
      <c r="F25" s="562" t="s">
        <v>5767</v>
      </c>
      <c r="G25" s="3577" t="s">
        <v>5768</v>
      </c>
      <c r="H25" s="3579" t="s">
        <v>5766</v>
      </c>
      <c r="I25" s="3579" t="s">
        <v>718</v>
      </c>
      <c r="J25" s="3579" t="s">
        <v>717</v>
      </c>
      <c r="K25" s="3578" t="s">
        <v>5767</v>
      </c>
      <c r="L25" s="3955" t="s">
        <v>5768</v>
      </c>
      <c r="M25" s="3957" t="s">
        <v>5766</v>
      </c>
      <c r="N25" s="3957" t="s">
        <v>718</v>
      </c>
      <c r="O25" s="3957" t="s">
        <v>717</v>
      </c>
      <c r="P25" s="3956" t="s">
        <v>5767</v>
      </c>
    </row>
    <row r="26" spans="1:17" ht="14.25" customHeight="1">
      <c r="A26" s="1365" t="s">
        <v>5769</v>
      </c>
      <c r="B26" s="1365">
        <v>0</v>
      </c>
      <c r="C26" s="1349">
        <v>6.5</v>
      </c>
      <c r="D26" s="1349">
        <v>13.2</v>
      </c>
      <c r="E26" s="1349">
        <v>14.8</v>
      </c>
      <c r="F26" s="1369">
        <v>0</v>
      </c>
      <c r="G26" s="1365">
        <v>0</v>
      </c>
      <c r="H26" s="1349">
        <v>0</v>
      </c>
      <c r="I26" s="1349">
        <v>13</v>
      </c>
      <c r="J26" s="1349">
        <v>12</v>
      </c>
      <c r="K26" s="1369">
        <v>0</v>
      </c>
      <c r="L26" s="1365">
        <v>0</v>
      </c>
      <c r="M26" s="1349">
        <v>0</v>
      </c>
      <c r="N26" s="1349">
        <v>13</v>
      </c>
      <c r="O26" s="1349">
        <v>11</v>
      </c>
      <c r="P26" s="1369">
        <v>0</v>
      </c>
    </row>
    <row r="27" spans="1:17" ht="14.25" customHeight="1">
      <c r="A27" s="1365" t="s">
        <v>5770</v>
      </c>
      <c r="B27" s="1365"/>
      <c r="C27" s="1349"/>
      <c r="D27" s="1349"/>
      <c r="E27" s="1349"/>
      <c r="F27" s="1369"/>
      <c r="G27" s="1365"/>
      <c r="H27" s="1349"/>
      <c r="I27" s="1349"/>
      <c r="J27" s="1349"/>
      <c r="K27" s="1369"/>
      <c r="L27" s="1365"/>
      <c r="M27" s="1349"/>
      <c r="N27" s="1349"/>
      <c r="O27" s="1349"/>
      <c r="P27" s="1369"/>
    </row>
    <row r="28" spans="1:17" ht="14.25" customHeight="1">
      <c r="A28" s="1365" t="s">
        <v>5771</v>
      </c>
      <c r="B28" s="1365">
        <v>16</v>
      </c>
      <c r="C28" s="1349">
        <v>27.3</v>
      </c>
      <c r="D28" s="1349">
        <v>28</v>
      </c>
      <c r="E28" s="1349">
        <v>31.65</v>
      </c>
      <c r="F28" s="1369">
        <v>10.25</v>
      </c>
      <c r="G28" s="1365">
        <v>14</v>
      </c>
      <c r="H28" s="1349">
        <v>0</v>
      </c>
      <c r="I28" s="1349">
        <v>31</v>
      </c>
      <c r="J28" s="1349">
        <v>33</v>
      </c>
      <c r="K28" s="1369">
        <v>11</v>
      </c>
      <c r="L28" s="1365">
        <v>20</v>
      </c>
      <c r="M28" s="1349">
        <v>17</v>
      </c>
      <c r="N28" s="1349">
        <v>37</v>
      </c>
      <c r="O28" s="1349">
        <v>37</v>
      </c>
      <c r="P28" s="1369">
        <v>15</v>
      </c>
    </row>
    <row r="29" spans="1:17" ht="14.25" customHeight="1">
      <c r="A29" s="1365" t="s">
        <v>5772</v>
      </c>
      <c r="B29" s="1365">
        <v>31.25</v>
      </c>
      <c r="C29" s="1349">
        <v>60.8</v>
      </c>
      <c r="D29" s="1349">
        <v>78.900000000000006</v>
      </c>
      <c r="E29" s="1349">
        <v>77.849999999999994</v>
      </c>
      <c r="F29" s="1369">
        <v>28</v>
      </c>
      <c r="G29" s="1365">
        <v>27</v>
      </c>
      <c r="H29" s="1349">
        <v>0</v>
      </c>
      <c r="I29" s="1349">
        <v>75</v>
      </c>
      <c r="J29" s="1349">
        <v>79</v>
      </c>
      <c r="K29" s="1369">
        <v>17</v>
      </c>
      <c r="L29" s="1365">
        <v>42</v>
      </c>
      <c r="M29" s="1349">
        <v>27</v>
      </c>
      <c r="N29" s="1349">
        <v>79</v>
      </c>
      <c r="O29" s="1349">
        <v>75</v>
      </c>
      <c r="P29" s="1369">
        <v>25</v>
      </c>
    </row>
    <row r="30" spans="1:17" ht="14.25" customHeight="1">
      <c r="A30" s="1407" t="s">
        <v>8</v>
      </c>
      <c r="B30" s="1409">
        <f t="shared" ref="B30:P30" si="3">SUM(B26:B29)</f>
        <v>47.25</v>
      </c>
      <c r="C30" s="1408">
        <f t="shared" si="3"/>
        <v>94.6</v>
      </c>
      <c r="D30" s="1408">
        <f t="shared" si="3"/>
        <v>120.10000000000001</v>
      </c>
      <c r="E30" s="1408">
        <f t="shared" si="3"/>
        <v>124.3</v>
      </c>
      <c r="F30" s="1410">
        <f t="shared" si="3"/>
        <v>38.25</v>
      </c>
      <c r="G30" s="1409">
        <f t="shared" si="3"/>
        <v>41</v>
      </c>
      <c r="H30" s="1408">
        <f t="shared" si="3"/>
        <v>0</v>
      </c>
      <c r="I30" s="1408">
        <f t="shared" si="3"/>
        <v>119</v>
      </c>
      <c r="J30" s="1408">
        <f t="shared" si="3"/>
        <v>124</v>
      </c>
      <c r="K30" s="1410">
        <f t="shared" si="3"/>
        <v>28</v>
      </c>
      <c r="L30" s="1409">
        <f t="shared" si="3"/>
        <v>62</v>
      </c>
      <c r="M30" s="1408">
        <f t="shared" si="3"/>
        <v>44</v>
      </c>
      <c r="N30" s="1408">
        <f t="shared" si="3"/>
        <v>129</v>
      </c>
      <c r="O30" s="1408">
        <f t="shared" si="3"/>
        <v>123</v>
      </c>
      <c r="P30" s="1410">
        <f t="shared" si="3"/>
        <v>40</v>
      </c>
    </row>
    <row r="31" spans="1:17" ht="14.25" customHeight="1" thickBot="1">
      <c r="A31" s="1404" t="s">
        <v>5773</v>
      </c>
      <c r="B31" s="1414"/>
      <c r="C31" s="4775">
        <v>6227</v>
      </c>
      <c r="D31" s="4775"/>
      <c r="E31" s="4775"/>
      <c r="F31" s="1406"/>
      <c r="G31" s="1414"/>
      <c r="H31" s="4775">
        <v>5247</v>
      </c>
      <c r="I31" s="4775"/>
      <c r="J31" s="4775"/>
      <c r="K31" s="1406"/>
      <c r="L31" s="1414"/>
      <c r="M31" s="4775">
        <v>7177</v>
      </c>
      <c r="N31" s="4775"/>
      <c r="O31" s="4775"/>
      <c r="P31" s="1406"/>
    </row>
    <row r="32" spans="1:17" s="1379" customFormat="1" ht="14.25" customHeight="1">
      <c r="B32" s="1386"/>
      <c r="C32" s="1386"/>
      <c r="D32" s="1386"/>
      <c r="E32" s="1378"/>
      <c r="F32" s="1378"/>
      <c r="G32" s="1386"/>
      <c r="H32" s="1386"/>
      <c r="I32" s="1386"/>
      <c r="J32" s="1378"/>
      <c r="K32" s="1378"/>
      <c r="L32" s="1386"/>
      <c r="M32" s="1386"/>
      <c r="N32" s="1386"/>
      <c r="O32" s="1378"/>
    </row>
    <row r="33" spans="1:15" s="1379" customFormat="1" ht="14.25" customHeight="1">
      <c r="B33" s="1386"/>
      <c r="C33" s="1386"/>
      <c r="D33" s="1386"/>
      <c r="E33" s="1378"/>
      <c r="F33" s="1378"/>
      <c r="G33" s="1386"/>
      <c r="H33" s="1386"/>
      <c r="I33" s="1386"/>
      <c r="J33" s="1378"/>
      <c r="K33" s="1378"/>
      <c r="L33" s="1386"/>
      <c r="M33" s="1386"/>
      <c r="N33" s="1386"/>
      <c r="O33" s="1378"/>
    </row>
    <row r="34" spans="1:15" ht="14.25" customHeight="1">
      <c r="A34" s="1403" t="s">
        <v>5</v>
      </c>
    </row>
    <row r="35" spans="1:15" ht="14.25" customHeight="1" thickBot="1">
      <c r="J35" s="1373"/>
      <c r="L35" s="1374"/>
      <c r="M35" s="1374"/>
    </row>
    <row r="36" spans="1:15" ht="14.25" customHeight="1" thickBot="1">
      <c r="A36" s="4400"/>
      <c r="B36" s="4408">
        <v>2016</v>
      </c>
      <c r="C36" s="4408">
        <v>2017</v>
      </c>
      <c r="D36" s="4408">
        <v>2018</v>
      </c>
      <c r="E36" s="4408">
        <v>2019</v>
      </c>
      <c r="F36" s="4408">
        <v>2020</v>
      </c>
      <c r="G36" s="4408">
        <v>2021</v>
      </c>
      <c r="H36" s="4411">
        <v>2022</v>
      </c>
      <c r="L36" s="1374"/>
      <c r="M36" s="1374"/>
    </row>
    <row r="37" spans="1:15" ht="14.25" customHeight="1" thickBot="1">
      <c r="A37" s="4412" t="s">
        <v>4060</v>
      </c>
      <c r="B37" s="4410">
        <v>7</v>
      </c>
      <c r="C37" s="4410">
        <v>7</v>
      </c>
      <c r="D37" s="4410">
        <v>16</v>
      </c>
      <c r="E37" s="4410">
        <v>8</v>
      </c>
      <c r="F37" s="4410">
        <v>12</v>
      </c>
      <c r="G37" s="4410">
        <v>12</v>
      </c>
      <c r="H37" s="4413">
        <v>21</v>
      </c>
      <c r="L37" s="1374"/>
      <c r="M37" s="1374"/>
    </row>
    <row r="38" spans="1:15" ht="14.25" customHeight="1">
      <c r="L38" s="1374"/>
      <c r="M38" s="1374"/>
    </row>
    <row r="39" spans="1:15" ht="14.25" customHeight="1">
      <c r="L39" s="1374"/>
      <c r="M39" s="1374"/>
    </row>
    <row r="40" spans="1:15" ht="14.25" customHeight="1">
      <c r="A40" s="1403" t="s">
        <v>6</v>
      </c>
      <c r="L40" s="1374"/>
      <c r="M40" s="1374"/>
    </row>
    <row r="41" spans="1:15" ht="14.25" customHeight="1" thickBot="1"/>
    <row r="42" spans="1:15" ht="14.25" customHeight="1" thickBot="1">
      <c r="A42" s="16"/>
      <c r="B42" s="16" t="s">
        <v>5774</v>
      </c>
      <c r="C42" s="16" t="s">
        <v>5775</v>
      </c>
      <c r="D42" s="16" t="s">
        <v>5776</v>
      </c>
      <c r="E42" s="16" t="s">
        <v>854</v>
      </c>
      <c r="F42" s="3957" t="s">
        <v>7240</v>
      </c>
      <c r="G42" s="3582" t="s">
        <v>7237</v>
      </c>
    </row>
    <row r="43" spans="1:15" ht="14.25" customHeight="1" thickBot="1">
      <c r="A43" s="1375" t="s">
        <v>5777</v>
      </c>
      <c r="B43" s="1376">
        <v>81</v>
      </c>
      <c r="C43" s="1376">
        <v>81</v>
      </c>
      <c r="D43" s="1376">
        <v>99</v>
      </c>
      <c r="E43" s="1376">
        <v>100</v>
      </c>
      <c r="F43" s="1376">
        <v>76</v>
      </c>
      <c r="G43" s="3583">
        <v>21</v>
      </c>
    </row>
    <row r="44" spans="1:15" ht="14.25" customHeight="1">
      <c r="A44" s="1368"/>
      <c r="B44" s="1349"/>
    </row>
    <row r="45" spans="1:15" ht="14.25" customHeight="1">
      <c r="F45" s="1364"/>
      <c r="G45" s="1364"/>
      <c r="H45" s="1364"/>
      <c r="I45" s="1364"/>
      <c r="J45" s="1364"/>
    </row>
    <row r="46" spans="1:15" ht="14.25" customHeight="1">
      <c r="F46" s="1364"/>
      <c r="G46" s="1364"/>
      <c r="H46" s="1364"/>
      <c r="I46" s="1364"/>
      <c r="J46" s="1364"/>
    </row>
    <row r="47" spans="1:15" ht="14.25" customHeight="1">
      <c r="A47" s="4414" t="s">
        <v>81</v>
      </c>
      <c r="B47" s="4414" t="s">
        <v>6032</v>
      </c>
      <c r="C47" s="4414" t="s">
        <v>6033</v>
      </c>
      <c r="D47" s="4414" t="s">
        <v>6034</v>
      </c>
      <c r="F47" s="1364"/>
      <c r="G47" s="1364"/>
      <c r="H47" s="1364"/>
      <c r="I47" s="1364"/>
      <c r="J47" s="1364"/>
    </row>
    <row r="48" spans="1:15" ht="14.25" customHeight="1">
      <c r="A48" s="4415" t="s">
        <v>6026</v>
      </c>
      <c r="B48" s="4415">
        <v>57</v>
      </c>
      <c r="C48" s="4415">
        <v>7329</v>
      </c>
      <c r="D48" s="4415">
        <v>658</v>
      </c>
      <c r="E48" s="1349"/>
      <c r="F48" s="1364"/>
      <c r="G48" s="1364"/>
      <c r="H48" s="1364"/>
      <c r="I48" s="1364"/>
      <c r="J48" s="1364"/>
    </row>
    <row r="49" spans="1:10" ht="14.25" customHeight="1">
      <c r="A49" s="4415" t="s">
        <v>6031</v>
      </c>
      <c r="B49" s="4415">
        <v>58</v>
      </c>
      <c r="C49" s="4415">
        <v>6482</v>
      </c>
      <c r="D49" s="4415">
        <v>638</v>
      </c>
      <c r="F49" s="1364"/>
      <c r="G49" s="1364"/>
      <c r="H49" s="1364"/>
      <c r="I49" s="1364"/>
      <c r="J49" s="1364"/>
    </row>
    <row r="50" spans="1:10" ht="14.25" customHeight="1">
      <c r="A50" s="4415" t="s">
        <v>7225</v>
      </c>
      <c r="B50" s="4416">
        <v>79</v>
      </c>
      <c r="C50" s="4416">
        <v>5765</v>
      </c>
      <c r="D50" s="4415">
        <v>381</v>
      </c>
      <c r="E50" s="1349"/>
      <c r="F50" s="1364"/>
      <c r="G50" s="1364"/>
      <c r="H50" s="1364"/>
      <c r="I50" s="1364"/>
      <c r="J50" s="1364"/>
    </row>
    <row r="51" spans="1:10" ht="14.25" customHeight="1">
      <c r="A51" s="4415" t="s">
        <v>7640</v>
      </c>
      <c r="B51" s="4416">
        <f>SUM(B52:B122)</f>
        <v>131</v>
      </c>
      <c r="C51" s="4416">
        <f>SUM(C52,D54,D59,D64,C65:C122)</f>
        <v>14115</v>
      </c>
      <c r="D51" s="4415">
        <v>683</v>
      </c>
      <c r="E51" s="1364"/>
      <c r="F51" s="1364"/>
      <c r="G51" s="1364"/>
      <c r="H51" s="1364"/>
      <c r="I51" s="1364"/>
      <c r="J51" s="1364"/>
    </row>
    <row r="52" spans="1:10" ht="14.25" customHeight="1">
      <c r="A52" s="3580" t="s">
        <v>6035</v>
      </c>
      <c r="B52" s="3969">
        <v>1</v>
      </c>
      <c r="C52" s="3969">
        <v>310</v>
      </c>
      <c r="D52" s="3580"/>
      <c r="E52" s="1364"/>
      <c r="F52" s="1364"/>
      <c r="G52" s="1364"/>
      <c r="H52" s="1364"/>
      <c r="I52" s="1364"/>
      <c r="J52" s="1364"/>
    </row>
    <row r="53" spans="1:10" ht="14.25" customHeight="1">
      <c r="A53" s="3580" t="s">
        <v>7641</v>
      </c>
      <c r="B53" s="3969">
        <v>1</v>
      </c>
      <c r="C53" s="3969">
        <v>38</v>
      </c>
      <c r="D53" s="3580"/>
      <c r="E53" s="1364"/>
      <c r="F53" s="1364"/>
      <c r="G53" s="1364"/>
      <c r="H53" s="1364"/>
      <c r="I53" s="1364"/>
      <c r="J53" s="1364"/>
    </row>
    <row r="54" spans="1:10" ht="14.25" customHeight="1">
      <c r="A54" s="3580" t="s">
        <v>7642</v>
      </c>
      <c r="B54" s="3969">
        <v>1</v>
      </c>
      <c r="C54" s="3969">
        <v>49</v>
      </c>
      <c r="D54" s="3580">
        <f>SUM(C53:C54)*5</f>
        <v>435</v>
      </c>
      <c r="E54" s="1364"/>
      <c r="F54" s="1364"/>
      <c r="G54" s="1364"/>
      <c r="H54" s="1364"/>
      <c r="I54" s="1364"/>
      <c r="J54" s="1364"/>
    </row>
    <row r="55" spans="1:10" ht="14.25" customHeight="1">
      <c r="A55" s="3580" t="s">
        <v>7643</v>
      </c>
      <c r="B55" s="3969">
        <v>1</v>
      </c>
      <c r="C55" s="3969">
        <v>88</v>
      </c>
      <c r="D55" s="3580"/>
      <c r="E55" s="1364"/>
      <c r="F55" s="1364"/>
      <c r="G55" s="1364"/>
      <c r="H55" s="1364"/>
      <c r="I55" s="1364"/>
      <c r="J55" s="1364"/>
    </row>
    <row r="56" spans="1:10" ht="14.25" customHeight="1">
      <c r="A56" s="3580" t="s">
        <v>7644</v>
      </c>
      <c r="B56" s="3969">
        <v>1</v>
      </c>
      <c r="C56" s="3969">
        <v>138</v>
      </c>
      <c r="D56" s="3580"/>
      <c r="E56" s="1364"/>
      <c r="F56" s="1364"/>
      <c r="G56" s="1364"/>
      <c r="H56" s="1364"/>
      <c r="I56" s="1364"/>
      <c r="J56" s="1364"/>
    </row>
    <row r="57" spans="1:10" ht="14.25" customHeight="1">
      <c r="A57" s="3580" t="s">
        <v>7645</v>
      </c>
      <c r="B57" s="3969">
        <v>1</v>
      </c>
      <c r="C57" s="3969">
        <v>122</v>
      </c>
      <c r="D57" s="3580"/>
      <c r="E57" s="1364"/>
      <c r="F57" s="1364"/>
      <c r="G57" s="1364"/>
      <c r="H57" s="1364"/>
      <c r="I57" s="1364"/>
      <c r="J57" s="1364"/>
    </row>
    <row r="58" spans="1:10" ht="14.25" customHeight="1">
      <c r="A58" s="3580" t="s">
        <v>7646</v>
      </c>
      <c r="B58" s="3969">
        <v>1</v>
      </c>
      <c r="C58" s="3969">
        <v>120</v>
      </c>
      <c r="D58" s="3580"/>
      <c r="E58" s="1364"/>
      <c r="F58" s="1364"/>
      <c r="G58" s="1364"/>
      <c r="H58" s="1364"/>
      <c r="I58" s="1364"/>
      <c r="J58" s="1364"/>
    </row>
    <row r="59" spans="1:10" ht="14.25" customHeight="1">
      <c r="A59" s="3580" t="s">
        <v>7647</v>
      </c>
      <c r="B59" s="3969">
        <v>1</v>
      </c>
      <c r="C59" s="3969">
        <v>111</v>
      </c>
      <c r="D59" s="3969">
        <f>SUM(C55:C59)*5</f>
        <v>2895</v>
      </c>
      <c r="E59" s="1364"/>
      <c r="F59" s="1364"/>
      <c r="G59" s="1364"/>
      <c r="H59" s="1364"/>
      <c r="I59" s="1364"/>
      <c r="J59" s="1364"/>
    </row>
    <row r="60" spans="1:10" ht="14.25" customHeight="1">
      <c r="A60" s="3580" t="s">
        <v>7648</v>
      </c>
      <c r="B60" s="3969">
        <v>1</v>
      </c>
      <c r="C60" s="3969">
        <v>115</v>
      </c>
      <c r="D60" s="3580"/>
      <c r="E60" s="1364"/>
      <c r="F60" s="1364"/>
      <c r="G60" s="1364"/>
      <c r="H60" s="1364"/>
      <c r="I60" s="1364"/>
      <c r="J60" s="1364"/>
    </row>
    <row r="61" spans="1:10" ht="14.25" customHeight="1">
      <c r="A61" s="3580" t="s">
        <v>7649</v>
      </c>
      <c r="B61" s="3969">
        <v>1</v>
      </c>
      <c r="C61" s="3969">
        <v>105</v>
      </c>
      <c r="D61" s="3580"/>
      <c r="E61" s="1364"/>
      <c r="F61" s="1364"/>
      <c r="G61" s="1364"/>
      <c r="H61" s="1364"/>
      <c r="I61" s="1364"/>
      <c r="J61" s="1364"/>
    </row>
    <row r="62" spans="1:10" ht="14.25" customHeight="1">
      <c r="A62" s="3580" t="s">
        <v>7650</v>
      </c>
      <c r="B62" s="3969">
        <v>1</v>
      </c>
      <c r="C62" s="3969">
        <v>133</v>
      </c>
      <c r="D62" s="3580"/>
      <c r="E62" s="1364"/>
      <c r="F62" s="1364"/>
      <c r="G62" s="1364"/>
      <c r="H62" s="1364"/>
      <c r="I62" s="1364"/>
      <c r="J62" s="1364"/>
    </row>
    <row r="63" spans="1:10" ht="14.25" customHeight="1">
      <c r="A63" s="3580" t="s">
        <v>7651</v>
      </c>
      <c r="B63" s="3969">
        <v>1</v>
      </c>
      <c r="C63" s="3969">
        <v>132</v>
      </c>
      <c r="D63" s="3580"/>
      <c r="E63" s="1364"/>
      <c r="F63" s="1364"/>
      <c r="G63" s="1364"/>
      <c r="H63" s="1364"/>
      <c r="I63" s="1364"/>
      <c r="J63" s="1364"/>
    </row>
    <row r="64" spans="1:10" ht="14.25" customHeight="1">
      <c r="A64" s="3580" t="s">
        <v>7652</v>
      </c>
      <c r="B64" s="3969">
        <v>1</v>
      </c>
      <c r="C64" s="3969">
        <v>77</v>
      </c>
      <c r="D64" s="3580">
        <f>SUM(C60:C64)*5</f>
        <v>2810</v>
      </c>
      <c r="E64" s="1364"/>
      <c r="F64" s="1364"/>
      <c r="G64" s="1364"/>
      <c r="H64" s="1364"/>
      <c r="I64" s="1364"/>
      <c r="J64" s="1364"/>
    </row>
    <row r="65" spans="1:10" ht="14.25" customHeight="1">
      <c r="A65" s="3580" t="s">
        <v>7653</v>
      </c>
      <c r="B65" s="3969">
        <v>1</v>
      </c>
      <c r="C65" s="3969">
        <v>162</v>
      </c>
      <c r="D65" s="3580"/>
      <c r="E65" s="1364"/>
      <c r="F65" s="1364"/>
      <c r="G65" s="1364"/>
      <c r="H65" s="1364"/>
      <c r="I65" s="1364"/>
      <c r="J65" s="1364"/>
    </row>
    <row r="66" spans="1:10" ht="14.25" customHeight="1">
      <c r="A66" s="3580" t="s">
        <v>7654</v>
      </c>
      <c r="B66" s="3969">
        <v>1</v>
      </c>
      <c r="C66" s="3969">
        <v>9</v>
      </c>
      <c r="D66" s="3580"/>
      <c r="E66" s="1364"/>
      <c r="F66" s="1364"/>
      <c r="G66" s="1364"/>
      <c r="H66" s="1364"/>
      <c r="I66" s="1364"/>
      <c r="J66" s="1364"/>
    </row>
    <row r="67" spans="1:10" ht="14.25" customHeight="1">
      <c r="A67" s="3580" t="s">
        <v>7655</v>
      </c>
      <c r="B67" s="3969">
        <v>1</v>
      </c>
      <c r="C67" s="3969">
        <v>9</v>
      </c>
      <c r="D67" s="3580"/>
      <c r="E67" s="1364"/>
      <c r="F67" s="1364"/>
      <c r="G67" s="1364"/>
      <c r="H67" s="1364"/>
      <c r="I67" s="1364"/>
      <c r="J67" s="1364"/>
    </row>
    <row r="68" spans="1:10" ht="14.25" customHeight="1">
      <c r="A68" s="3580" t="s">
        <v>7656</v>
      </c>
      <c r="B68" s="3969">
        <v>1</v>
      </c>
      <c r="C68" s="3969">
        <v>9</v>
      </c>
      <c r="D68" s="3580"/>
      <c r="E68" s="1364"/>
      <c r="F68" s="1364"/>
      <c r="G68" s="1364"/>
      <c r="H68" s="1364"/>
      <c r="I68" s="1364"/>
      <c r="J68" s="1364"/>
    </row>
    <row r="69" spans="1:10" ht="14.25" customHeight="1">
      <c r="A69" s="3580" t="s">
        <v>7657</v>
      </c>
      <c r="B69" s="3969">
        <v>1</v>
      </c>
      <c r="C69" s="3969">
        <v>9</v>
      </c>
      <c r="D69" s="3580"/>
      <c r="E69" s="1364"/>
      <c r="F69" s="1364"/>
      <c r="G69" s="1364"/>
      <c r="H69" s="1364"/>
      <c r="I69" s="1364"/>
      <c r="J69" s="1364"/>
    </row>
    <row r="70" spans="1:10" ht="14.25" customHeight="1">
      <c r="A70" s="3580" t="s">
        <v>7658</v>
      </c>
      <c r="B70" s="3969">
        <v>1</v>
      </c>
      <c r="C70" s="3969">
        <v>6</v>
      </c>
      <c r="D70" s="3580"/>
      <c r="E70" s="1364"/>
      <c r="F70" s="1364"/>
      <c r="G70" s="1364"/>
      <c r="H70" s="1364"/>
      <c r="I70" s="1364"/>
      <c r="J70" s="1364"/>
    </row>
    <row r="71" spans="1:10" ht="14.25" customHeight="1">
      <c r="A71" s="3580" t="s">
        <v>7659</v>
      </c>
      <c r="B71" s="3969">
        <v>1</v>
      </c>
      <c r="C71" s="3969">
        <v>6</v>
      </c>
      <c r="D71" s="3580"/>
      <c r="E71" s="1364"/>
      <c r="F71" s="1364"/>
      <c r="G71" s="1364"/>
      <c r="H71" s="1364"/>
      <c r="I71" s="1364"/>
      <c r="J71" s="1364"/>
    </row>
    <row r="72" spans="1:10" ht="14.25" customHeight="1">
      <c r="A72" s="3580" t="s">
        <v>7660</v>
      </c>
      <c r="B72" s="3969">
        <v>1</v>
      </c>
      <c r="C72" s="3969">
        <v>6</v>
      </c>
      <c r="D72" s="3580"/>
      <c r="E72" s="1364"/>
      <c r="F72" s="1364"/>
      <c r="G72" s="1364"/>
      <c r="H72" s="1364"/>
      <c r="I72" s="1364"/>
      <c r="J72" s="1364"/>
    </row>
    <row r="73" spans="1:10" ht="14.25" customHeight="1">
      <c r="A73" s="3580" t="s">
        <v>7661</v>
      </c>
      <c r="B73" s="3969">
        <v>1</v>
      </c>
      <c r="C73" s="3969">
        <v>6</v>
      </c>
      <c r="D73" s="3580"/>
      <c r="E73" s="1364"/>
      <c r="F73" s="1364"/>
      <c r="G73" s="1364"/>
      <c r="H73" s="1364"/>
      <c r="I73" s="1364"/>
      <c r="J73" s="1364"/>
    </row>
    <row r="74" spans="1:10" ht="14.25" customHeight="1">
      <c r="A74" s="3580" t="s">
        <v>7662</v>
      </c>
      <c r="B74" s="3969">
        <v>1</v>
      </c>
      <c r="C74" s="3969">
        <v>6</v>
      </c>
      <c r="D74" s="3580"/>
      <c r="E74" s="1364"/>
      <c r="F74" s="1364"/>
      <c r="G74" s="1364"/>
      <c r="H74" s="1364"/>
      <c r="I74" s="1364"/>
      <c r="J74" s="1364"/>
    </row>
    <row r="75" spans="1:10" ht="14.25" customHeight="1">
      <c r="A75" s="3580" t="s">
        <v>7663</v>
      </c>
      <c r="B75" s="3969">
        <v>1</v>
      </c>
      <c r="C75" s="4417">
        <v>16</v>
      </c>
      <c r="D75" s="3580"/>
      <c r="E75" s="1364"/>
      <c r="F75" s="1364"/>
      <c r="G75" s="1364"/>
      <c r="H75" s="1364"/>
      <c r="I75" s="1364"/>
      <c r="J75" s="1364"/>
    </row>
    <row r="76" spans="1:10" ht="14.25" customHeight="1">
      <c r="A76" s="3580" t="s">
        <v>7664</v>
      </c>
      <c r="B76" s="3969">
        <v>1</v>
      </c>
      <c r="C76" s="4417">
        <v>13</v>
      </c>
      <c r="D76" s="3580"/>
      <c r="E76" s="1364"/>
      <c r="F76" s="1364"/>
      <c r="G76" s="1364"/>
      <c r="H76" s="1364"/>
      <c r="I76" s="1364"/>
      <c r="J76" s="1364"/>
    </row>
    <row r="77" spans="1:10" ht="14.25" customHeight="1">
      <c r="A77" s="3580" t="s">
        <v>7665</v>
      </c>
      <c r="B77" s="3969">
        <v>1</v>
      </c>
      <c r="C77" s="4417">
        <v>12</v>
      </c>
      <c r="D77" s="3580"/>
      <c r="E77" s="1364"/>
      <c r="F77" s="1364"/>
      <c r="G77" s="1364"/>
      <c r="H77" s="1364"/>
      <c r="I77" s="1364"/>
      <c r="J77" s="1364"/>
    </row>
    <row r="78" spans="1:10" ht="14.25" customHeight="1">
      <c r="A78" s="3580" t="s">
        <v>7666</v>
      </c>
      <c r="B78" s="3969">
        <v>1</v>
      </c>
      <c r="C78" s="4417">
        <v>8</v>
      </c>
      <c r="D78" s="3580"/>
      <c r="E78" s="1364"/>
      <c r="F78" s="1364"/>
      <c r="G78" s="1364"/>
      <c r="H78" s="1364"/>
      <c r="I78" s="1364"/>
      <c r="J78" s="1364"/>
    </row>
    <row r="79" spans="1:10" ht="14.25" customHeight="1">
      <c r="A79" s="3580" t="s">
        <v>7667</v>
      </c>
      <c r="B79" s="3969">
        <v>1</v>
      </c>
      <c r="C79" s="4417">
        <v>13</v>
      </c>
      <c r="D79" s="3580"/>
      <c r="E79" s="1364"/>
      <c r="F79" s="1364"/>
      <c r="G79" s="1364"/>
      <c r="H79" s="1364"/>
      <c r="I79" s="1364"/>
      <c r="J79" s="1364"/>
    </row>
    <row r="80" spans="1:10" ht="14.25" customHeight="1">
      <c r="A80" s="3580" t="s">
        <v>7668</v>
      </c>
      <c r="B80" s="3969">
        <v>1</v>
      </c>
      <c r="C80" s="4417">
        <v>17</v>
      </c>
      <c r="D80" s="3580"/>
      <c r="E80" s="1364"/>
      <c r="F80" s="1364"/>
      <c r="G80" s="1364"/>
      <c r="H80" s="1364"/>
      <c r="I80" s="1364"/>
      <c r="J80" s="1364"/>
    </row>
    <row r="81" spans="1:10" ht="14.25" customHeight="1">
      <c r="A81" s="3580" t="s">
        <v>7669</v>
      </c>
      <c r="B81" s="3969">
        <v>1</v>
      </c>
      <c r="C81" s="4417">
        <v>13</v>
      </c>
      <c r="D81" s="3580"/>
      <c r="E81" s="1364"/>
      <c r="F81" s="1364"/>
      <c r="G81" s="1364"/>
      <c r="H81" s="1364"/>
      <c r="I81" s="1364"/>
      <c r="J81" s="1364"/>
    </row>
    <row r="82" spans="1:10" ht="14.25" customHeight="1">
      <c r="A82" s="3580" t="s">
        <v>7670</v>
      </c>
      <c r="B82" s="3969">
        <v>1</v>
      </c>
      <c r="C82" s="4417">
        <v>12</v>
      </c>
      <c r="D82" s="3580"/>
      <c r="E82" s="1364"/>
      <c r="F82" s="1364"/>
      <c r="G82" s="1364"/>
      <c r="H82" s="1364"/>
      <c r="I82" s="1364"/>
      <c r="J82" s="1364"/>
    </row>
    <row r="83" spans="1:10" ht="14.25" customHeight="1">
      <c r="A83" s="3580" t="s">
        <v>7671</v>
      </c>
      <c r="B83" s="3969">
        <v>1</v>
      </c>
      <c r="C83" s="4417">
        <v>16</v>
      </c>
      <c r="D83" s="3580"/>
      <c r="E83" s="1364"/>
      <c r="F83" s="1364"/>
      <c r="G83" s="1364"/>
      <c r="H83" s="1364"/>
      <c r="I83" s="1364"/>
      <c r="J83" s="1364"/>
    </row>
    <row r="84" spans="1:10" ht="14.25" customHeight="1">
      <c r="A84" s="3580" t="s">
        <v>7672</v>
      </c>
      <c r="B84" s="3969">
        <v>1</v>
      </c>
      <c r="C84" s="4417">
        <v>11</v>
      </c>
      <c r="D84" s="3580"/>
      <c r="E84" s="1364"/>
      <c r="F84" s="1364"/>
      <c r="G84" s="1364"/>
      <c r="H84" s="1364"/>
      <c r="I84" s="1364"/>
      <c r="J84" s="1364"/>
    </row>
    <row r="85" spans="1:10" ht="14.25" customHeight="1">
      <c r="A85" s="3580" t="s">
        <v>7673</v>
      </c>
      <c r="B85" s="3969">
        <v>1</v>
      </c>
      <c r="C85" s="4417">
        <v>19</v>
      </c>
      <c r="D85" s="3580"/>
      <c r="E85" s="1364"/>
      <c r="F85" s="1364"/>
      <c r="G85" s="1364"/>
      <c r="H85" s="1364"/>
      <c r="I85" s="1364"/>
      <c r="J85" s="1364"/>
    </row>
    <row r="86" spans="1:10" ht="14.25" customHeight="1">
      <c r="A86" s="3580" t="s">
        <v>7674</v>
      </c>
      <c r="B86" s="3969">
        <v>1</v>
      </c>
      <c r="C86" s="4417">
        <v>4</v>
      </c>
      <c r="D86" s="3580"/>
      <c r="E86" s="1364"/>
      <c r="F86" s="1364"/>
      <c r="G86" s="1364"/>
      <c r="H86" s="1364"/>
      <c r="I86" s="1364"/>
      <c r="J86" s="1364"/>
    </row>
    <row r="87" spans="1:10" ht="14.25" customHeight="1">
      <c r="A87" s="3580" t="s">
        <v>7675</v>
      </c>
      <c r="B87" s="3969">
        <v>1</v>
      </c>
      <c r="C87" s="4417">
        <v>12</v>
      </c>
      <c r="D87" s="3580"/>
      <c r="E87" s="1364"/>
      <c r="F87" s="1364"/>
      <c r="G87" s="1364"/>
      <c r="H87" s="1364"/>
      <c r="I87" s="1364"/>
      <c r="J87" s="1364"/>
    </row>
    <row r="88" spans="1:10" ht="14.25" customHeight="1">
      <c r="A88" s="3580" t="s">
        <v>7676</v>
      </c>
      <c r="B88" s="3969">
        <v>1</v>
      </c>
      <c r="C88" s="4417">
        <v>10</v>
      </c>
      <c r="D88" s="3580"/>
      <c r="E88" s="1364"/>
      <c r="F88" s="1364"/>
      <c r="G88" s="1364"/>
      <c r="H88" s="1364"/>
      <c r="I88" s="1364"/>
      <c r="J88" s="1364"/>
    </row>
    <row r="89" spans="1:10" ht="14.25" customHeight="1">
      <c r="A89" s="3580" t="s">
        <v>7677</v>
      </c>
      <c r="B89" s="3969">
        <v>1</v>
      </c>
      <c r="C89" s="4417">
        <v>9</v>
      </c>
      <c r="D89" s="3580"/>
      <c r="E89" s="1364"/>
      <c r="F89" s="1364"/>
      <c r="G89" s="1364"/>
      <c r="H89" s="1364"/>
      <c r="I89" s="1364"/>
      <c r="J89" s="1364"/>
    </row>
    <row r="90" spans="1:10" ht="14.25" customHeight="1">
      <c r="A90" s="3580" t="s">
        <v>7678</v>
      </c>
      <c r="B90" s="3969">
        <v>1</v>
      </c>
      <c r="C90" s="4417">
        <v>13</v>
      </c>
      <c r="D90" s="3580"/>
      <c r="E90" s="1364"/>
      <c r="F90" s="1364"/>
      <c r="G90" s="1364"/>
      <c r="H90" s="1364"/>
      <c r="I90" s="1364"/>
      <c r="J90" s="1364"/>
    </row>
    <row r="91" spans="1:10" ht="14.25" customHeight="1">
      <c r="A91" s="3580" t="s">
        <v>7679</v>
      </c>
      <c r="B91" s="3969">
        <v>1</v>
      </c>
      <c r="C91" s="4417">
        <v>11</v>
      </c>
      <c r="D91" s="3580"/>
      <c r="E91" s="1364"/>
      <c r="F91" s="1364"/>
      <c r="G91" s="1364"/>
      <c r="H91" s="1364"/>
      <c r="I91" s="1364"/>
      <c r="J91" s="1364"/>
    </row>
    <row r="92" spans="1:10" ht="14.25" customHeight="1">
      <c r="A92" s="3580" t="s">
        <v>7680</v>
      </c>
      <c r="B92" s="3969">
        <v>1</v>
      </c>
      <c r="C92" s="4417">
        <v>8</v>
      </c>
      <c r="D92" s="3580"/>
      <c r="E92" s="1364"/>
      <c r="F92" s="1364"/>
      <c r="G92" s="1364"/>
      <c r="H92" s="1364"/>
      <c r="I92" s="1364"/>
      <c r="J92" s="1364"/>
    </row>
    <row r="93" spans="1:10" ht="14.25" customHeight="1">
      <c r="A93" s="3580" t="s">
        <v>7681</v>
      </c>
      <c r="B93" s="3969">
        <v>1</v>
      </c>
      <c r="C93" s="4417">
        <v>19</v>
      </c>
      <c r="D93" s="3580"/>
      <c r="E93" s="1364"/>
      <c r="F93" s="1364"/>
      <c r="G93" s="1364"/>
      <c r="H93" s="1364"/>
      <c r="I93" s="1364"/>
      <c r="J93" s="1364"/>
    </row>
    <row r="94" spans="1:10" ht="14.25" customHeight="1">
      <c r="A94" s="3580" t="s">
        <v>7682</v>
      </c>
      <c r="B94" s="3969">
        <v>1</v>
      </c>
      <c r="C94" s="4417">
        <v>14</v>
      </c>
      <c r="D94" s="3580"/>
      <c r="E94" s="1364"/>
      <c r="F94" s="1364"/>
      <c r="G94" s="1364"/>
      <c r="H94" s="1364"/>
      <c r="I94" s="1364"/>
      <c r="J94" s="1364"/>
    </row>
    <row r="95" spans="1:10" ht="14.25" customHeight="1">
      <c r="A95" s="3580" t="s">
        <v>7683</v>
      </c>
      <c r="B95" s="3969">
        <v>1</v>
      </c>
      <c r="C95" s="4417">
        <v>9</v>
      </c>
      <c r="D95" s="3580"/>
      <c r="E95" s="1364"/>
      <c r="F95" s="1364"/>
      <c r="G95" s="1364"/>
      <c r="H95" s="1364"/>
      <c r="I95" s="1364"/>
      <c r="J95" s="1364"/>
    </row>
    <row r="96" spans="1:10" ht="14.25" customHeight="1">
      <c r="A96" s="3580" t="s">
        <v>7684</v>
      </c>
      <c r="B96" s="3969">
        <v>1</v>
      </c>
      <c r="C96" s="4417">
        <v>6</v>
      </c>
      <c r="D96" s="3580"/>
      <c r="E96" s="1364"/>
      <c r="F96" s="1364"/>
      <c r="G96" s="1364"/>
      <c r="H96" s="1364"/>
      <c r="I96" s="1364"/>
      <c r="J96" s="1364"/>
    </row>
    <row r="97" spans="1:10" ht="14.25" customHeight="1">
      <c r="A97" s="3580" t="s">
        <v>7685</v>
      </c>
      <c r="B97" s="3969">
        <v>1</v>
      </c>
      <c r="C97" s="4417">
        <v>8</v>
      </c>
      <c r="D97" s="3580"/>
      <c r="E97" s="1364"/>
      <c r="F97" s="1364"/>
      <c r="G97" s="1364"/>
      <c r="H97" s="1364"/>
      <c r="I97" s="1364"/>
      <c r="J97" s="1364"/>
    </row>
    <row r="98" spans="1:10" ht="14.25" customHeight="1">
      <c r="A98" s="3580" t="s">
        <v>7686</v>
      </c>
      <c r="B98" s="3969">
        <v>1</v>
      </c>
      <c r="C98" s="4417">
        <v>13</v>
      </c>
      <c r="D98" s="3580"/>
      <c r="E98" s="1364"/>
      <c r="F98" s="1364"/>
      <c r="G98" s="1364"/>
      <c r="H98" s="1364"/>
      <c r="I98" s="1364"/>
      <c r="J98" s="1364"/>
    </row>
    <row r="99" spans="1:10" ht="14.25" customHeight="1">
      <c r="A99" s="3580" t="s">
        <v>7687</v>
      </c>
      <c r="B99" s="3969">
        <v>1</v>
      </c>
      <c r="C99" s="4417">
        <v>8</v>
      </c>
      <c r="D99" s="3580"/>
      <c r="E99" s="1364"/>
      <c r="F99" s="1364"/>
      <c r="G99" s="1364"/>
      <c r="H99" s="1364"/>
      <c r="I99" s="1364"/>
      <c r="J99" s="1364"/>
    </row>
    <row r="100" spans="1:10" ht="14.25" customHeight="1">
      <c r="A100" s="3580" t="s">
        <v>7688</v>
      </c>
      <c r="B100" s="3969">
        <v>1</v>
      </c>
      <c r="C100" s="4417">
        <v>15</v>
      </c>
      <c r="D100" s="3580"/>
      <c r="E100" s="1364"/>
      <c r="F100" s="1364"/>
      <c r="G100" s="1364"/>
      <c r="H100" s="1364"/>
      <c r="I100" s="1364"/>
      <c r="J100" s="1364"/>
    </row>
    <row r="101" spans="1:10" ht="14.25" customHeight="1">
      <c r="A101" s="3580" t="s">
        <v>7689</v>
      </c>
      <c r="B101" s="3969">
        <v>1</v>
      </c>
      <c r="C101" s="4417">
        <v>9</v>
      </c>
      <c r="D101" s="3580"/>
      <c r="E101" s="1364"/>
      <c r="F101" s="1364"/>
      <c r="G101" s="1364"/>
      <c r="H101" s="1364"/>
      <c r="I101" s="1364"/>
      <c r="J101" s="1364"/>
    </row>
    <row r="102" spans="1:10" ht="14.25" customHeight="1">
      <c r="A102" s="3580" t="s">
        <v>7690</v>
      </c>
      <c r="B102" s="3969">
        <v>1</v>
      </c>
      <c r="C102" s="4417">
        <v>11</v>
      </c>
      <c r="D102" s="3580"/>
      <c r="E102" s="1364"/>
      <c r="F102" s="1364"/>
      <c r="G102" s="1364"/>
      <c r="H102" s="1364"/>
      <c r="I102" s="1364"/>
      <c r="J102" s="1364"/>
    </row>
    <row r="103" spans="1:10" ht="14.25" customHeight="1">
      <c r="A103" s="3580" t="s">
        <v>7691</v>
      </c>
      <c r="B103" s="3969">
        <v>1</v>
      </c>
      <c r="C103" s="4417">
        <v>17</v>
      </c>
      <c r="D103" s="3580"/>
      <c r="E103" s="1364"/>
      <c r="F103" s="1364"/>
      <c r="G103" s="1364"/>
      <c r="H103" s="1364"/>
      <c r="I103" s="1364"/>
      <c r="J103" s="1364"/>
    </row>
    <row r="104" spans="1:10" ht="14.25" customHeight="1">
      <c r="A104" s="3580" t="s">
        <v>7692</v>
      </c>
      <c r="B104" s="3969">
        <v>1</v>
      </c>
      <c r="C104" s="4417">
        <v>6</v>
      </c>
      <c r="D104" s="3580"/>
      <c r="E104" s="1364"/>
      <c r="F104" s="1364"/>
      <c r="G104" s="1364"/>
      <c r="H104" s="1364"/>
      <c r="I104" s="1364"/>
      <c r="J104" s="1364"/>
    </row>
    <row r="105" spans="1:10" ht="14.25" customHeight="1">
      <c r="A105" s="3580" t="s">
        <v>7693</v>
      </c>
      <c r="B105" s="3969">
        <v>1</v>
      </c>
      <c r="C105" s="4417">
        <v>9</v>
      </c>
      <c r="D105" s="3580"/>
      <c r="E105" s="1364"/>
      <c r="F105" s="1364"/>
      <c r="G105" s="1364"/>
      <c r="H105" s="1364"/>
      <c r="I105" s="1364"/>
      <c r="J105" s="1364"/>
    </row>
    <row r="106" spans="1:10" ht="14.25" customHeight="1">
      <c r="A106" s="3580" t="s">
        <v>7694</v>
      </c>
      <c r="B106" s="3969">
        <v>1</v>
      </c>
      <c r="C106" s="4417">
        <v>11</v>
      </c>
      <c r="D106" s="3580"/>
      <c r="F106" s="1364"/>
      <c r="G106" s="1364"/>
      <c r="H106" s="1364"/>
      <c r="I106" s="1364"/>
      <c r="J106" s="1364"/>
    </row>
    <row r="107" spans="1:10" ht="14.25" customHeight="1">
      <c r="A107" s="3580" t="s">
        <v>7695</v>
      </c>
      <c r="B107" s="3969">
        <v>1</v>
      </c>
      <c r="C107" s="4417">
        <v>11</v>
      </c>
      <c r="D107" s="3580"/>
      <c r="F107" s="1364"/>
      <c r="G107" s="1364"/>
      <c r="H107" s="1364"/>
      <c r="I107" s="1364"/>
      <c r="J107" s="1364"/>
    </row>
    <row r="108" spans="1:10" ht="14.25" customHeight="1">
      <c r="A108" s="3580" t="s">
        <v>7696</v>
      </c>
      <c r="B108" s="3969">
        <v>1</v>
      </c>
      <c r="C108" s="4417">
        <v>13</v>
      </c>
      <c r="D108" s="3580"/>
      <c r="F108" s="1364"/>
      <c r="G108" s="1364"/>
      <c r="H108" s="1364"/>
      <c r="I108" s="1364"/>
      <c r="J108" s="1364"/>
    </row>
    <row r="109" spans="1:10" ht="14.25" customHeight="1">
      <c r="A109" s="3580" t="s">
        <v>7697</v>
      </c>
      <c r="B109" s="3969">
        <v>1</v>
      </c>
      <c r="C109" s="4417">
        <v>11</v>
      </c>
      <c r="D109" s="3580"/>
      <c r="F109" s="1364"/>
      <c r="G109" s="1364"/>
      <c r="H109" s="1364"/>
      <c r="I109" s="1364"/>
      <c r="J109" s="1364"/>
    </row>
    <row r="110" spans="1:10" ht="14.25" customHeight="1">
      <c r="A110" s="3580" t="s">
        <v>7698</v>
      </c>
      <c r="B110" s="3969">
        <v>1</v>
      </c>
      <c r="C110" s="4417">
        <v>8</v>
      </c>
      <c r="D110" s="3581"/>
      <c r="F110" s="1364"/>
      <c r="G110" s="1364"/>
      <c r="H110" s="1364"/>
      <c r="I110" s="1364"/>
      <c r="J110" s="1364"/>
    </row>
    <row r="111" spans="1:10" ht="14.25" customHeight="1">
      <c r="A111" s="3580" t="s">
        <v>7699</v>
      </c>
      <c r="B111" s="3969">
        <v>1</v>
      </c>
      <c r="C111" s="4417">
        <v>6</v>
      </c>
      <c r="D111" s="3581"/>
      <c r="F111" s="1364"/>
      <c r="G111" s="1364"/>
      <c r="H111" s="1364"/>
      <c r="I111" s="1364"/>
      <c r="J111" s="1364"/>
    </row>
    <row r="112" spans="1:10" ht="14.25" customHeight="1">
      <c r="A112" s="3580" t="s">
        <v>7700</v>
      </c>
      <c r="B112" s="3969">
        <v>1</v>
      </c>
      <c r="C112" s="4417">
        <v>11</v>
      </c>
      <c r="D112" s="3581"/>
      <c r="F112" s="1364"/>
      <c r="G112" s="1364"/>
      <c r="H112" s="1364"/>
      <c r="I112" s="1364"/>
      <c r="J112" s="1364"/>
    </row>
    <row r="113" spans="1:10" ht="14.25" customHeight="1">
      <c r="A113" s="4418" t="s">
        <v>7701</v>
      </c>
      <c r="B113" s="3969">
        <v>1</v>
      </c>
      <c r="C113" s="4417">
        <v>14</v>
      </c>
      <c r="D113" s="3581"/>
      <c r="F113" s="1364"/>
      <c r="G113" s="1364"/>
      <c r="H113" s="1364"/>
      <c r="I113" s="1364"/>
      <c r="J113" s="1364"/>
    </row>
    <row r="114" spans="1:10" ht="14.25" customHeight="1">
      <c r="A114" s="4418" t="s">
        <v>7702</v>
      </c>
      <c r="B114" s="3969">
        <v>1</v>
      </c>
      <c r="C114" s="4417">
        <v>8</v>
      </c>
      <c r="D114" s="3581"/>
      <c r="F114" s="1364"/>
      <c r="G114" s="1364"/>
      <c r="H114" s="1364"/>
      <c r="I114" s="1364"/>
      <c r="J114" s="1364"/>
    </row>
    <row r="115" spans="1:10" ht="14.25" customHeight="1">
      <c r="A115" s="4418" t="s">
        <v>7703</v>
      </c>
      <c r="B115" s="3969">
        <v>1</v>
      </c>
      <c r="C115" s="4417">
        <v>4</v>
      </c>
      <c r="D115" s="3581"/>
      <c r="F115" s="1364"/>
      <c r="G115" s="1364"/>
      <c r="H115" s="1364"/>
      <c r="I115" s="1364"/>
      <c r="J115" s="1364"/>
    </row>
    <row r="116" spans="1:10" ht="14.25" customHeight="1">
      <c r="A116" s="4418" t="s">
        <v>7704</v>
      </c>
      <c r="B116" s="3969">
        <v>1</v>
      </c>
      <c r="C116" s="4417">
        <v>6</v>
      </c>
      <c r="D116" s="3581"/>
      <c r="F116" s="1364"/>
      <c r="G116" s="1364"/>
      <c r="H116" s="1364"/>
      <c r="I116" s="1364"/>
      <c r="J116" s="1364"/>
    </row>
    <row r="117" spans="1:10" ht="14.25" customHeight="1">
      <c r="A117" s="4418" t="s">
        <v>7705</v>
      </c>
      <c r="B117" s="3969">
        <v>1</v>
      </c>
      <c r="C117" s="4417">
        <v>235</v>
      </c>
      <c r="D117" s="3581"/>
      <c r="F117" s="1364"/>
      <c r="G117" s="1364"/>
      <c r="H117" s="1364"/>
      <c r="I117" s="1364"/>
      <c r="J117" s="1364"/>
    </row>
    <row r="118" spans="1:10" ht="14.25" customHeight="1">
      <c r="A118" s="4418" t="s">
        <v>7706</v>
      </c>
      <c r="B118" s="3969">
        <v>1</v>
      </c>
      <c r="C118" s="4417">
        <v>3</v>
      </c>
      <c r="D118" s="3581"/>
      <c r="F118" s="1364"/>
      <c r="G118" s="1364"/>
      <c r="H118" s="1364"/>
      <c r="I118" s="1364"/>
      <c r="J118" s="1364"/>
    </row>
    <row r="119" spans="1:10" ht="14.25" customHeight="1">
      <c r="A119" s="4418" t="s">
        <v>7707</v>
      </c>
      <c r="B119" s="3969">
        <v>1</v>
      </c>
      <c r="C119" s="4417">
        <v>20</v>
      </c>
      <c r="D119" s="3581"/>
      <c r="F119" s="1364"/>
      <c r="G119" s="1364"/>
      <c r="H119" s="1364"/>
      <c r="I119" s="1364"/>
      <c r="J119" s="1364"/>
    </row>
    <row r="120" spans="1:10" ht="14.25" customHeight="1">
      <c r="A120" s="4418" t="s">
        <v>7708</v>
      </c>
      <c r="B120" s="3969">
        <v>1</v>
      </c>
      <c r="C120" s="4417">
        <v>14</v>
      </c>
      <c r="D120" s="3581"/>
      <c r="F120" s="1364"/>
      <c r="G120" s="1364"/>
      <c r="H120" s="1364"/>
      <c r="I120" s="1364"/>
      <c r="J120" s="1364"/>
    </row>
    <row r="121" spans="1:10" ht="14.25" customHeight="1">
      <c r="A121" s="4418" t="s">
        <v>7709</v>
      </c>
      <c r="B121" s="3969">
        <v>1</v>
      </c>
      <c r="C121" s="4417">
        <v>22</v>
      </c>
      <c r="D121" s="4419"/>
      <c r="F121" s="1364"/>
      <c r="G121" s="1364"/>
      <c r="H121" s="1364"/>
      <c r="I121" s="1364"/>
      <c r="J121" s="1364"/>
    </row>
    <row r="122" spans="1:10" ht="14.25" customHeight="1">
      <c r="A122" s="4415" t="s">
        <v>8159</v>
      </c>
      <c r="B122" s="4415">
        <v>61</v>
      </c>
      <c r="C122" s="4416">
        <f>SUM(C123:C183)</f>
        <v>6679</v>
      </c>
      <c r="D122" s="4415">
        <v>657</v>
      </c>
      <c r="F122" s="1364"/>
      <c r="G122" s="1364"/>
      <c r="H122" s="1364"/>
      <c r="I122" s="1364"/>
      <c r="J122" s="1364"/>
    </row>
    <row r="123" spans="1:10" ht="14.25" customHeight="1">
      <c r="A123" s="4423" t="s">
        <v>8195</v>
      </c>
      <c r="B123" s="4424">
        <v>1</v>
      </c>
      <c r="C123" s="4424">
        <v>28</v>
      </c>
      <c r="D123" s="3581"/>
      <c r="F123" s="1364"/>
      <c r="G123" s="1364"/>
      <c r="H123" s="1364"/>
      <c r="I123" s="1364"/>
      <c r="J123" s="1364"/>
    </row>
    <row r="124" spans="1:10" ht="14.25" customHeight="1">
      <c r="A124" s="4423" t="s">
        <v>8196</v>
      </c>
      <c r="B124" s="4424">
        <v>1</v>
      </c>
      <c r="C124" s="4424">
        <v>34</v>
      </c>
      <c r="D124" s="3581"/>
      <c r="F124" s="1364"/>
      <c r="G124" s="1364"/>
      <c r="H124" s="1364"/>
      <c r="I124" s="1364"/>
      <c r="J124" s="1364"/>
    </row>
    <row r="125" spans="1:10" ht="14.25" customHeight="1">
      <c r="A125" s="4423" t="s">
        <v>8197</v>
      </c>
      <c r="B125" s="4424">
        <v>1</v>
      </c>
      <c r="C125" s="4424">
        <v>27</v>
      </c>
      <c r="D125" s="3581"/>
      <c r="F125" s="1364"/>
      <c r="G125" s="1364"/>
      <c r="H125" s="1364"/>
      <c r="I125" s="1364"/>
      <c r="J125" s="1364"/>
    </row>
    <row r="126" spans="1:10" ht="14.25" customHeight="1">
      <c r="A126" s="4423" t="s">
        <v>8198</v>
      </c>
      <c r="B126" s="4424">
        <v>1</v>
      </c>
      <c r="C126" s="4424">
        <v>16</v>
      </c>
      <c r="D126" s="3581"/>
      <c r="F126" s="1364"/>
      <c r="G126" s="1364"/>
      <c r="H126" s="1364"/>
      <c r="I126" s="1364"/>
      <c r="J126" s="1364"/>
    </row>
    <row r="127" spans="1:10" ht="14.25" customHeight="1">
      <c r="A127" s="4423" t="s">
        <v>8199</v>
      </c>
      <c r="B127" s="4424">
        <v>1</v>
      </c>
      <c r="C127" s="4424">
        <v>20</v>
      </c>
      <c r="D127" s="3581"/>
      <c r="F127" s="1364"/>
      <c r="G127" s="1364"/>
      <c r="H127" s="1364"/>
      <c r="I127" s="1364"/>
      <c r="J127" s="1364"/>
    </row>
    <row r="128" spans="1:10" ht="14.25" customHeight="1">
      <c r="A128" s="4423" t="s">
        <v>8200</v>
      </c>
      <c r="B128" s="4424">
        <v>1</v>
      </c>
      <c r="C128" s="4424">
        <v>22</v>
      </c>
      <c r="D128" s="3581"/>
      <c r="F128" s="1364"/>
      <c r="G128" s="1364"/>
      <c r="H128" s="1364"/>
      <c r="I128" s="1364"/>
      <c r="J128" s="1364"/>
    </row>
    <row r="129" spans="1:10" ht="14.25" customHeight="1">
      <c r="A129" s="4423" t="s">
        <v>8201</v>
      </c>
      <c r="B129" s="4424">
        <v>1</v>
      </c>
      <c r="C129" s="4424">
        <v>31</v>
      </c>
      <c r="D129" s="3581"/>
      <c r="F129" s="1364"/>
      <c r="G129" s="1364"/>
      <c r="H129" s="1364"/>
      <c r="I129" s="1364"/>
      <c r="J129" s="1364"/>
    </row>
    <row r="130" spans="1:10" ht="14.25" customHeight="1">
      <c r="A130" s="4423" t="s">
        <v>8202</v>
      </c>
      <c r="B130" s="4424">
        <v>1</v>
      </c>
      <c r="C130" s="4424">
        <v>20</v>
      </c>
      <c r="D130" s="3581"/>
      <c r="F130" s="1364"/>
      <c r="G130" s="1364"/>
      <c r="H130" s="1364"/>
      <c r="I130" s="1364"/>
      <c r="J130" s="1364"/>
    </row>
    <row r="131" spans="1:10" ht="14.25" customHeight="1">
      <c r="A131" s="4423" t="s">
        <v>8203</v>
      </c>
      <c r="B131" s="4424">
        <v>1</v>
      </c>
      <c r="C131" s="4424">
        <v>31</v>
      </c>
      <c r="D131" s="3581"/>
      <c r="F131" s="1364"/>
      <c r="G131" s="1364"/>
      <c r="H131" s="1364"/>
      <c r="I131" s="1364"/>
      <c r="J131" s="1364"/>
    </row>
    <row r="132" spans="1:10" ht="14.25" customHeight="1">
      <c r="A132" s="4423" t="s">
        <v>8204</v>
      </c>
      <c r="B132" s="4424">
        <v>1</v>
      </c>
      <c r="C132" s="4424">
        <v>29</v>
      </c>
      <c r="D132" s="3581"/>
      <c r="F132" s="1364"/>
      <c r="G132" s="1364"/>
      <c r="H132" s="1364"/>
      <c r="I132" s="1364"/>
      <c r="J132" s="1364"/>
    </row>
    <row r="133" spans="1:10" ht="14.25" customHeight="1">
      <c r="A133" s="4423" t="s">
        <v>8205</v>
      </c>
      <c r="B133" s="4424">
        <v>1</v>
      </c>
      <c r="C133" s="4424">
        <v>25</v>
      </c>
      <c r="D133" s="3581"/>
      <c r="F133" s="1364"/>
      <c r="G133" s="1364"/>
      <c r="H133" s="1364"/>
      <c r="I133" s="1364"/>
      <c r="J133" s="1364"/>
    </row>
    <row r="134" spans="1:10" ht="14.25" customHeight="1">
      <c r="A134" s="4423" t="s">
        <v>8206</v>
      </c>
      <c r="B134" s="4424">
        <v>1</v>
      </c>
      <c r="C134" s="4424">
        <v>27</v>
      </c>
      <c r="D134" s="3581"/>
      <c r="F134" s="1364"/>
      <c r="G134" s="1364"/>
      <c r="H134" s="1364"/>
      <c r="I134" s="1364"/>
      <c r="J134" s="1364"/>
    </row>
    <row r="135" spans="1:10" ht="14.25" customHeight="1">
      <c r="A135" s="4423" t="s">
        <v>8207</v>
      </c>
      <c r="B135" s="4424">
        <v>1</v>
      </c>
      <c r="C135" s="4424">
        <v>24</v>
      </c>
      <c r="D135" s="3581"/>
      <c r="F135" s="1364"/>
      <c r="G135" s="1364"/>
      <c r="H135" s="1364"/>
      <c r="I135" s="1364"/>
      <c r="J135" s="1364"/>
    </row>
    <row r="136" spans="1:10" ht="14.25" customHeight="1">
      <c r="A136" s="4423" t="s">
        <v>8208</v>
      </c>
      <c r="B136" s="4424">
        <v>1</v>
      </c>
      <c r="C136" s="4424">
        <v>12</v>
      </c>
      <c r="D136" s="3581"/>
      <c r="F136" s="1364"/>
      <c r="G136" s="1364"/>
      <c r="H136" s="1364"/>
      <c r="I136" s="1364"/>
      <c r="J136" s="1364"/>
    </row>
    <row r="137" spans="1:10" ht="14.25" customHeight="1">
      <c r="A137" s="4423" t="s">
        <v>8209</v>
      </c>
      <c r="B137" s="4424">
        <v>1</v>
      </c>
      <c r="C137" s="4424">
        <v>25</v>
      </c>
      <c r="D137" s="3581"/>
      <c r="F137" s="1364"/>
      <c r="G137" s="1364"/>
      <c r="H137" s="1364"/>
      <c r="I137" s="1364"/>
      <c r="J137" s="1364"/>
    </row>
    <row r="138" spans="1:10" ht="14.25" customHeight="1">
      <c r="A138" s="4423" t="s">
        <v>8210</v>
      </c>
      <c r="B138" s="4424">
        <v>1</v>
      </c>
      <c r="C138" s="4424">
        <v>18</v>
      </c>
      <c r="D138" s="3581"/>
      <c r="F138" s="1364"/>
      <c r="G138" s="1364"/>
      <c r="H138" s="1364"/>
      <c r="I138" s="1364"/>
      <c r="J138" s="1364"/>
    </row>
    <row r="139" spans="1:10" ht="14.25" customHeight="1">
      <c r="A139" s="4423" t="s">
        <v>8211</v>
      </c>
      <c r="B139" s="4424">
        <v>1</v>
      </c>
      <c r="C139" s="4424">
        <v>20</v>
      </c>
      <c r="D139" s="3581"/>
      <c r="F139" s="1364"/>
      <c r="G139" s="1364"/>
      <c r="H139" s="1364"/>
      <c r="I139" s="1364"/>
      <c r="J139" s="1364"/>
    </row>
    <row r="140" spans="1:10" ht="14.25" customHeight="1">
      <c r="A140" s="4423" t="s">
        <v>8212</v>
      </c>
      <c r="B140" s="4424">
        <v>1</v>
      </c>
      <c r="C140" s="4424">
        <v>22</v>
      </c>
      <c r="D140" s="3581"/>
      <c r="F140" s="1364"/>
      <c r="G140" s="1364"/>
      <c r="H140" s="1364"/>
      <c r="I140" s="1364"/>
      <c r="J140" s="1364"/>
    </row>
    <row r="141" spans="1:10" ht="14.25" customHeight="1">
      <c r="A141" s="4423" t="s">
        <v>8213</v>
      </c>
      <c r="B141" s="4424">
        <v>1</v>
      </c>
      <c r="C141" s="4424">
        <v>26</v>
      </c>
      <c r="D141" s="3581"/>
      <c r="F141" s="1364"/>
      <c r="G141" s="1364"/>
      <c r="H141" s="1364"/>
      <c r="I141" s="1364"/>
      <c r="J141" s="1364"/>
    </row>
    <row r="142" spans="1:10" ht="14.25" customHeight="1">
      <c r="A142" s="4423" t="s">
        <v>8214</v>
      </c>
      <c r="B142" s="4424">
        <v>1</v>
      </c>
      <c r="C142" s="4424">
        <v>26</v>
      </c>
      <c r="D142" s="3581"/>
      <c r="F142" s="1364"/>
      <c r="G142" s="1364"/>
      <c r="H142" s="1364"/>
      <c r="I142" s="1364"/>
      <c r="J142" s="1364"/>
    </row>
    <row r="143" spans="1:10" ht="14.25" customHeight="1">
      <c r="A143" s="4423" t="s">
        <v>8215</v>
      </c>
      <c r="B143" s="4424">
        <v>1</v>
      </c>
      <c r="C143" s="4424">
        <v>30</v>
      </c>
      <c r="D143" s="3581"/>
      <c r="F143" s="1364"/>
      <c r="G143" s="1364"/>
      <c r="H143" s="1364"/>
      <c r="I143" s="1364"/>
      <c r="J143" s="1364"/>
    </row>
    <row r="144" spans="1:10" ht="14.25" customHeight="1">
      <c r="A144" s="4423" t="s">
        <v>8216</v>
      </c>
      <c r="B144" s="4424">
        <v>1</v>
      </c>
      <c r="C144" s="4424">
        <v>6</v>
      </c>
      <c r="D144" s="3581"/>
      <c r="F144" s="1364"/>
      <c r="G144" s="1364"/>
      <c r="H144" s="1364"/>
      <c r="I144" s="1364"/>
      <c r="J144" s="1364"/>
    </row>
    <row r="145" spans="1:10" ht="14.25" customHeight="1">
      <c r="A145" s="4423" t="s">
        <v>8217</v>
      </c>
      <c r="B145" s="4424">
        <v>1</v>
      </c>
      <c r="C145" s="4424">
        <v>13</v>
      </c>
      <c r="D145" s="3581"/>
      <c r="F145" s="1364"/>
      <c r="G145" s="1364"/>
      <c r="H145" s="1364"/>
      <c r="I145" s="1364"/>
      <c r="J145" s="1364"/>
    </row>
    <row r="146" spans="1:10" ht="14.25" customHeight="1">
      <c r="A146" s="4423" t="s">
        <v>8218</v>
      </c>
      <c r="B146" s="4424">
        <v>1</v>
      </c>
      <c r="C146" s="4424">
        <v>12</v>
      </c>
      <c r="D146" s="3581"/>
      <c r="F146" s="1364"/>
      <c r="G146" s="1364"/>
      <c r="H146" s="1364"/>
      <c r="I146" s="1364"/>
      <c r="J146" s="1364"/>
    </row>
    <row r="147" spans="1:10" ht="14.25" customHeight="1">
      <c r="A147" s="4423" t="s">
        <v>8219</v>
      </c>
      <c r="B147" s="4424">
        <v>1</v>
      </c>
      <c r="C147" s="4424">
        <v>37</v>
      </c>
      <c r="D147" s="3581"/>
      <c r="F147" s="1364"/>
      <c r="G147" s="1364"/>
      <c r="H147" s="1364"/>
      <c r="I147" s="1364"/>
      <c r="J147" s="1364"/>
    </row>
    <row r="148" spans="1:10" ht="14.25" customHeight="1">
      <c r="A148" s="4423" t="s">
        <v>8220</v>
      </c>
      <c r="B148" s="4424">
        <v>1</v>
      </c>
      <c r="C148" s="4424">
        <v>30</v>
      </c>
      <c r="D148" s="3581"/>
      <c r="F148" s="1364"/>
      <c r="G148" s="1364"/>
      <c r="H148" s="1364"/>
      <c r="I148" s="1364"/>
      <c r="J148" s="1364"/>
    </row>
    <row r="149" spans="1:10" ht="14.25" customHeight="1">
      <c r="A149" s="4423" t="s">
        <v>8221</v>
      </c>
      <c r="B149" s="4424">
        <v>1</v>
      </c>
      <c r="C149" s="4424">
        <v>3</v>
      </c>
      <c r="D149" s="3581"/>
      <c r="F149" s="1364"/>
      <c r="G149" s="1364"/>
      <c r="H149" s="1364"/>
      <c r="I149" s="1364"/>
      <c r="J149" s="1364"/>
    </row>
    <row r="150" spans="1:10" ht="14.25" customHeight="1">
      <c r="A150" s="4423" t="s">
        <v>8222</v>
      </c>
      <c r="B150" s="4424">
        <v>1</v>
      </c>
      <c r="C150" s="4424">
        <v>5</v>
      </c>
      <c r="D150" s="3581"/>
      <c r="F150" s="1364"/>
      <c r="G150" s="1364"/>
      <c r="H150" s="1364"/>
      <c r="I150" s="1364"/>
      <c r="J150" s="1364"/>
    </row>
    <row r="151" spans="1:10" ht="14.25" customHeight="1">
      <c r="A151" s="4423" t="s">
        <v>8223</v>
      </c>
      <c r="B151" s="4424">
        <v>1</v>
      </c>
      <c r="C151" s="4424">
        <v>24</v>
      </c>
      <c r="D151" s="3581"/>
      <c r="F151" s="1364"/>
      <c r="G151" s="1364"/>
      <c r="H151" s="1364"/>
      <c r="I151" s="1364"/>
      <c r="J151" s="1364"/>
    </row>
    <row r="152" spans="1:10" ht="14.25" customHeight="1">
      <c r="A152" s="4423" t="s">
        <v>8224</v>
      </c>
      <c r="B152" s="4424">
        <v>1</v>
      </c>
      <c r="C152" s="4424">
        <v>25</v>
      </c>
      <c r="D152" s="3581"/>
      <c r="F152" s="1364"/>
      <c r="G152" s="1364"/>
      <c r="H152" s="1364"/>
      <c r="I152" s="1364"/>
      <c r="J152" s="1364"/>
    </row>
    <row r="153" spans="1:10" ht="14.25" customHeight="1">
      <c r="A153" s="4423" t="s">
        <v>8225</v>
      </c>
      <c r="B153" s="4424">
        <v>1</v>
      </c>
      <c r="C153" s="4424">
        <v>48</v>
      </c>
      <c r="D153" s="3581"/>
      <c r="F153" s="1364"/>
      <c r="G153" s="1364"/>
      <c r="H153" s="1364"/>
      <c r="I153" s="1364"/>
      <c r="J153" s="1364"/>
    </row>
    <row r="154" spans="1:10" ht="14.25" customHeight="1">
      <c r="A154" s="4423" t="s">
        <v>8226</v>
      </c>
      <c r="B154" s="4424">
        <v>1</v>
      </c>
      <c r="C154" s="4424">
        <v>27</v>
      </c>
      <c r="D154" s="3581"/>
      <c r="F154" s="1364"/>
      <c r="G154" s="1364"/>
      <c r="H154" s="1364"/>
      <c r="I154" s="1364"/>
      <c r="J154" s="1364"/>
    </row>
    <row r="155" spans="1:10" ht="14.25" customHeight="1">
      <c r="A155" s="4423" t="s">
        <v>8227</v>
      </c>
      <c r="B155" s="4424">
        <v>1</v>
      </c>
      <c r="C155" s="4424">
        <v>184</v>
      </c>
      <c r="D155" s="3581"/>
      <c r="F155" s="1364"/>
      <c r="G155" s="1364"/>
      <c r="H155" s="1364"/>
      <c r="I155" s="1364"/>
      <c r="J155" s="1364"/>
    </row>
    <row r="156" spans="1:10" ht="14.25" customHeight="1">
      <c r="A156" s="4423" t="s">
        <v>8228</v>
      </c>
      <c r="B156" s="4424">
        <v>1</v>
      </c>
      <c r="C156" s="4424">
        <v>19</v>
      </c>
      <c r="D156" s="3581"/>
      <c r="F156" s="1364"/>
      <c r="G156" s="1364"/>
      <c r="H156" s="1364"/>
      <c r="I156" s="1364"/>
      <c r="J156" s="1364"/>
    </row>
    <row r="157" spans="1:10" ht="14.25" customHeight="1">
      <c r="A157" s="4423" t="s">
        <v>8229</v>
      </c>
      <c r="B157" s="4424">
        <v>1</v>
      </c>
      <c r="C157" s="4424">
        <v>26</v>
      </c>
      <c r="D157" s="3581"/>
      <c r="F157" s="1364"/>
      <c r="G157" s="1364"/>
      <c r="H157" s="1364"/>
      <c r="I157" s="1364"/>
      <c r="J157" s="1364"/>
    </row>
    <row r="158" spans="1:10" ht="14.25" customHeight="1">
      <c r="A158" s="4423" t="s">
        <v>8230</v>
      </c>
      <c r="B158" s="4424">
        <v>1</v>
      </c>
      <c r="C158" s="4424">
        <v>23</v>
      </c>
      <c r="D158" s="3581"/>
      <c r="F158" s="1364"/>
      <c r="G158" s="1364"/>
      <c r="H158" s="1364"/>
      <c r="I158" s="1364"/>
      <c r="J158" s="1364"/>
    </row>
    <row r="159" spans="1:10" ht="14.25" customHeight="1">
      <c r="A159" s="4423" t="s">
        <v>8231</v>
      </c>
      <c r="B159" s="4424">
        <v>1</v>
      </c>
      <c r="C159" s="4424">
        <v>17</v>
      </c>
      <c r="D159" s="3581"/>
      <c r="F159" s="1364"/>
      <c r="G159" s="1364"/>
      <c r="H159" s="1364"/>
      <c r="I159" s="1364"/>
      <c r="J159" s="1364"/>
    </row>
    <row r="160" spans="1:10" ht="14.25" customHeight="1">
      <c r="A160" s="4423" t="s">
        <v>8232</v>
      </c>
      <c r="B160" s="4424">
        <v>1</v>
      </c>
      <c r="C160" s="4424">
        <v>15</v>
      </c>
      <c r="D160" s="3581"/>
      <c r="F160" s="1364"/>
      <c r="G160" s="1364"/>
      <c r="H160" s="1364"/>
      <c r="I160" s="1364"/>
      <c r="J160" s="1364"/>
    </row>
    <row r="161" spans="1:12" ht="14.25" customHeight="1">
      <c r="A161" s="4423" t="s">
        <v>8233</v>
      </c>
      <c r="B161" s="4424">
        <v>1</v>
      </c>
      <c r="C161" s="4424">
        <v>11</v>
      </c>
      <c r="D161" s="3581"/>
      <c r="F161" s="1364"/>
      <c r="G161" s="1364"/>
      <c r="H161" s="1364"/>
      <c r="I161" s="1364"/>
      <c r="J161" s="1364"/>
    </row>
    <row r="162" spans="1:12" ht="14.25" customHeight="1">
      <c r="A162" s="4423" t="s">
        <v>8234</v>
      </c>
      <c r="B162" s="4424">
        <v>1</v>
      </c>
      <c r="C162" s="4424">
        <v>23</v>
      </c>
      <c r="D162" s="3581"/>
      <c r="F162" s="1364"/>
      <c r="G162" s="1364"/>
      <c r="H162" s="1364"/>
      <c r="I162" s="1364"/>
      <c r="J162" s="1364"/>
    </row>
    <row r="163" spans="1:12" ht="14.25" customHeight="1">
      <c r="A163" s="4423" t="s">
        <v>8235</v>
      </c>
      <c r="B163" s="4424">
        <v>1</v>
      </c>
      <c r="C163" s="4424">
        <v>16</v>
      </c>
      <c r="D163" s="3581"/>
      <c r="F163" s="1364"/>
      <c r="G163" s="1364"/>
      <c r="H163" s="1364"/>
      <c r="I163" s="1364"/>
      <c r="J163" s="1364"/>
    </row>
    <row r="164" spans="1:12" ht="14.25" customHeight="1">
      <c r="A164" s="4423" t="s">
        <v>8236</v>
      </c>
      <c r="B164" s="4424">
        <v>1</v>
      </c>
      <c r="C164" s="4424">
        <v>37</v>
      </c>
      <c r="D164" s="3581"/>
      <c r="F164" s="1364"/>
      <c r="G164" s="1364"/>
      <c r="H164" s="1364"/>
      <c r="I164" s="1364"/>
      <c r="J164" s="1364"/>
    </row>
    <row r="165" spans="1:12" ht="14.25" customHeight="1">
      <c r="A165" s="4423" t="s">
        <v>8237</v>
      </c>
      <c r="B165" s="4424">
        <v>1</v>
      </c>
      <c r="C165" s="4424">
        <v>29</v>
      </c>
      <c r="D165" s="3581"/>
      <c r="F165" s="1364"/>
      <c r="G165" s="1364"/>
      <c r="H165" s="1364"/>
      <c r="I165" s="1364"/>
      <c r="J165" s="1364"/>
      <c r="L165" s="1384"/>
    </row>
    <row r="166" spans="1:12" ht="14.25" customHeight="1">
      <c r="A166" s="4423" t="s">
        <v>8238</v>
      </c>
      <c r="B166" s="4424">
        <v>1</v>
      </c>
      <c r="C166" s="4424">
        <v>301</v>
      </c>
      <c r="D166" s="3581"/>
      <c r="F166" s="1364"/>
      <c r="G166" s="1364"/>
      <c r="H166" s="1364"/>
      <c r="I166" s="1364"/>
      <c r="J166" s="1364"/>
    </row>
    <row r="167" spans="1:12" ht="14.25" customHeight="1">
      <c r="A167" s="4423" t="s">
        <v>8239</v>
      </c>
      <c r="B167" s="4424">
        <v>1</v>
      </c>
      <c r="C167" s="4424">
        <v>685</v>
      </c>
      <c r="D167" s="3581"/>
      <c r="F167" s="1364"/>
      <c r="G167" s="1364"/>
      <c r="H167" s="1364"/>
      <c r="I167" s="1364"/>
      <c r="J167" s="1364"/>
    </row>
    <row r="168" spans="1:12" ht="14.25" customHeight="1">
      <c r="A168" s="4423" t="s">
        <v>8240</v>
      </c>
      <c r="B168" s="4424">
        <v>1</v>
      </c>
      <c r="C168" s="4425">
        <v>2355</v>
      </c>
      <c r="D168" s="3581"/>
      <c r="F168" s="1364"/>
      <c r="G168" s="1364"/>
      <c r="H168" s="1364"/>
      <c r="I168" s="1364"/>
      <c r="J168" s="1364"/>
    </row>
    <row r="169" spans="1:12" ht="14.25" customHeight="1">
      <c r="A169" s="4423" t="s">
        <v>8241</v>
      </c>
      <c r="B169" s="4424">
        <v>1</v>
      </c>
      <c r="C169" s="4425">
        <v>1899</v>
      </c>
      <c r="D169" s="3581"/>
      <c r="F169" s="1364"/>
      <c r="G169" s="1364"/>
      <c r="H169" s="1364"/>
      <c r="I169" s="1364"/>
      <c r="J169" s="1364"/>
    </row>
    <row r="170" spans="1:12" ht="14.25" customHeight="1">
      <c r="A170" s="4423" t="s">
        <v>8242</v>
      </c>
      <c r="B170" s="4424">
        <v>1</v>
      </c>
      <c r="C170" s="4424">
        <v>22</v>
      </c>
      <c r="D170" s="3581"/>
      <c r="F170" s="1364"/>
      <c r="G170" s="1364"/>
      <c r="H170" s="1364"/>
      <c r="I170" s="1364"/>
      <c r="J170" s="1364"/>
    </row>
    <row r="171" spans="1:12" ht="14.25" customHeight="1">
      <c r="A171" s="4423" t="s">
        <v>8243</v>
      </c>
      <c r="B171" s="4424">
        <v>1</v>
      </c>
      <c r="C171" s="4424">
        <v>18</v>
      </c>
      <c r="D171" s="3581"/>
      <c r="F171" s="1364"/>
      <c r="G171" s="1364"/>
      <c r="H171" s="1364"/>
      <c r="I171" s="1364"/>
      <c r="J171" s="1364"/>
    </row>
    <row r="172" spans="1:12" ht="14.25" customHeight="1">
      <c r="A172" s="4423" t="s">
        <v>8244</v>
      </c>
      <c r="B172" s="4424">
        <v>1</v>
      </c>
      <c r="C172" s="4424">
        <v>27</v>
      </c>
      <c r="D172" s="3581"/>
      <c r="F172" s="1364"/>
      <c r="G172" s="1364"/>
      <c r="H172" s="1364"/>
      <c r="I172" s="1364"/>
      <c r="J172" s="1364"/>
    </row>
    <row r="173" spans="1:12" ht="14.25" customHeight="1">
      <c r="A173" s="4423" t="s">
        <v>8245</v>
      </c>
      <c r="B173" s="4424">
        <v>1</v>
      </c>
      <c r="C173" s="4424">
        <v>22</v>
      </c>
      <c r="D173" s="3581"/>
      <c r="F173" s="1364"/>
      <c r="G173" s="1364"/>
      <c r="H173" s="1364"/>
      <c r="I173" s="1364"/>
      <c r="J173" s="1364"/>
    </row>
    <row r="174" spans="1:12" ht="14.25" customHeight="1">
      <c r="A174" s="4423" t="s">
        <v>8246</v>
      </c>
      <c r="B174" s="4424">
        <v>1</v>
      </c>
      <c r="C174" s="4424">
        <v>18</v>
      </c>
      <c r="D174" s="3581"/>
      <c r="F174" s="1364"/>
      <c r="G174" s="1364"/>
      <c r="H174" s="1364"/>
      <c r="I174" s="1364"/>
      <c r="J174" s="1364"/>
    </row>
    <row r="175" spans="1:12" ht="14.25" customHeight="1">
      <c r="A175" s="4423" t="s">
        <v>8247</v>
      </c>
      <c r="B175" s="4424">
        <v>1</v>
      </c>
      <c r="C175" s="4424">
        <v>26</v>
      </c>
      <c r="D175" s="3581"/>
      <c r="F175" s="1364"/>
      <c r="G175" s="1364"/>
      <c r="H175" s="1364"/>
      <c r="I175" s="1364"/>
      <c r="J175" s="1364"/>
    </row>
    <row r="176" spans="1:12" ht="14.25" customHeight="1">
      <c r="A176" s="4423" t="s">
        <v>8248</v>
      </c>
      <c r="B176" s="4424">
        <v>1</v>
      </c>
      <c r="C176" s="4424">
        <v>24</v>
      </c>
      <c r="D176" s="3581"/>
      <c r="F176" s="1364"/>
      <c r="G176" s="1364"/>
      <c r="H176" s="1364"/>
      <c r="I176" s="1364"/>
      <c r="J176" s="1364"/>
    </row>
    <row r="177" spans="1:14" ht="14.25" customHeight="1">
      <c r="A177" s="4423" t="s">
        <v>8249</v>
      </c>
      <c r="B177" s="4424">
        <v>1</v>
      </c>
      <c r="C177" s="4424">
        <v>24</v>
      </c>
      <c r="D177" s="3581"/>
      <c r="F177" s="1364"/>
      <c r="G177" s="1364"/>
      <c r="H177" s="1364"/>
      <c r="I177" s="1364"/>
      <c r="J177" s="1364"/>
    </row>
    <row r="178" spans="1:14" ht="14.25" customHeight="1">
      <c r="A178" s="4423" t="s">
        <v>8250</v>
      </c>
      <c r="B178" s="4424">
        <v>1</v>
      </c>
      <c r="C178" s="4424">
        <v>11</v>
      </c>
      <c r="D178" s="3581"/>
      <c r="F178" s="1364"/>
      <c r="G178" s="1364"/>
      <c r="H178" s="1364"/>
      <c r="I178" s="1364"/>
      <c r="J178" s="1364"/>
    </row>
    <row r="179" spans="1:14" ht="14.25" customHeight="1">
      <c r="A179" s="4423" t="s">
        <v>8251</v>
      </c>
      <c r="B179" s="4424">
        <v>1</v>
      </c>
      <c r="C179" s="4424">
        <v>29</v>
      </c>
      <c r="D179" s="3581"/>
      <c r="F179" s="1364"/>
      <c r="G179" s="1364"/>
      <c r="H179" s="1364"/>
      <c r="I179" s="1364"/>
      <c r="J179" s="1364"/>
    </row>
    <row r="180" spans="1:14" ht="14.25" customHeight="1">
      <c r="A180" s="4423" t="s">
        <v>8252</v>
      </c>
      <c r="B180" s="4424">
        <v>1</v>
      </c>
      <c r="C180" s="4424">
        <v>15</v>
      </c>
      <c r="D180" s="3581"/>
      <c r="F180" s="1364"/>
      <c r="G180" s="1364"/>
      <c r="H180" s="1364"/>
      <c r="I180" s="1364"/>
      <c r="J180" s="1364"/>
    </row>
    <row r="181" spans="1:14" ht="14.25" customHeight="1">
      <c r="A181" s="4423" t="s">
        <v>8253</v>
      </c>
      <c r="B181" s="4424">
        <v>1</v>
      </c>
      <c r="C181" s="4424">
        <v>26</v>
      </c>
      <c r="D181" s="3581"/>
      <c r="F181" s="1364"/>
      <c r="G181" s="1364"/>
      <c r="H181" s="1364"/>
      <c r="I181" s="1364"/>
      <c r="J181" s="1364"/>
    </row>
    <row r="182" spans="1:14" ht="14.25" customHeight="1">
      <c r="A182" s="4423" t="s">
        <v>8254</v>
      </c>
      <c r="B182" s="4424">
        <v>1</v>
      </c>
      <c r="C182" s="4424">
        <v>10</v>
      </c>
      <c r="D182" s="3581"/>
      <c r="F182" s="1364"/>
      <c r="G182" s="1364"/>
      <c r="H182" s="1364"/>
      <c r="I182" s="1364"/>
      <c r="J182" s="1364"/>
    </row>
    <row r="183" spans="1:14" ht="14.25" customHeight="1">
      <c r="A183" s="4423" t="s">
        <v>8255</v>
      </c>
      <c r="B183" s="4424">
        <v>1</v>
      </c>
      <c r="C183" s="4424">
        <v>24</v>
      </c>
      <c r="D183" s="3581"/>
      <c r="F183" s="1364"/>
      <c r="G183" s="1364"/>
      <c r="H183" s="1364"/>
      <c r="I183" s="1364"/>
      <c r="J183" s="1364"/>
    </row>
    <row r="184" spans="1:14" ht="14.25" customHeight="1">
      <c r="A184" s="593"/>
      <c r="B184" s="3570"/>
      <c r="C184" s="3570"/>
      <c r="F184" s="1364"/>
      <c r="G184" s="1364"/>
      <c r="H184" s="1364"/>
      <c r="I184" s="1364"/>
      <c r="J184" s="1364"/>
      <c r="N184" s="1384"/>
    </row>
    <row r="185" spans="1:14" ht="14.25" customHeight="1">
      <c r="A185" s="593"/>
      <c r="B185" s="3570"/>
      <c r="C185" s="3570"/>
      <c r="F185" s="1364"/>
      <c r="G185" s="1364"/>
      <c r="H185" s="1364"/>
      <c r="I185" s="1364"/>
      <c r="J185" s="1364"/>
    </row>
    <row r="186" spans="1:14" ht="14.25" customHeight="1">
      <c r="A186" s="593"/>
      <c r="B186" s="3570"/>
      <c r="C186" s="3570"/>
    </row>
    <row r="187" spans="1:14" ht="14.25" customHeight="1">
      <c r="A187" s="593"/>
      <c r="B187" s="3570"/>
      <c r="C187" s="3570"/>
    </row>
    <row r="188" spans="1:14" ht="14.25" customHeight="1">
      <c r="A188" s="593"/>
      <c r="B188" s="3570"/>
      <c r="C188" s="3570"/>
    </row>
    <row r="189" spans="1:14" ht="14.25" customHeight="1">
      <c r="A189" s="593"/>
      <c r="B189" s="3570"/>
      <c r="C189" s="3570"/>
    </row>
    <row r="190" spans="1:14" ht="14.25" customHeight="1">
      <c r="A190" s="593"/>
      <c r="B190" s="3570"/>
      <c r="C190" s="4422"/>
    </row>
    <row r="191" spans="1:14" ht="14.25" customHeight="1">
      <c r="A191" s="593"/>
      <c r="B191" s="3570"/>
      <c r="C191" s="4422"/>
    </row>
    <row r="192" spans="1:14" ht="14.25" customHeight="1">
      <c r="A192" s="593"/>
      <c r="B192" s="3570"/>
      <c r="C192" s="3570"/>
    </row>
    <row r="193" spans="1:3" ht="14.25" customHeight="1">
      <c r="A193" s="593"/>
      <c r="B193" s="3570"/>
      <c r="C193" s="3570"/>
    </row>
    <row r="194" spans="1:3" ht="14.25" customHeight="1">
      <c r="A194" s="593"/>
      <c r="B194" s="3570"/>
      <c r="C194" s="3570"/>
    </row>
    <row r="195" spans="1:3" ht="14.25" customHeight="1">
      <c r="A195" s="593"/>
      <c r="B195" s="3570"/>
      <c r="C195" s="3570"/>
    </row>
    <row r="196" spans="1:3" ht="14.25" customHeight="1">
      <c r="A196" s="593"/>
      <c r="B196" s="3570"/>
      <c r="C196" s="3570"/>
    </row>
    <row r="197" spans="1:3" ht="14.25" customHeight="1">
      <c r="A197" s="593"/>
      <c r="B197" s="3570"/>
      <c r="C197" s="3570"/>
    </row>
    <row r="198" spans="1:3" ht="14.25" customHeight="1">
      <c r="A198" s="593"/>
      <c r="B198" s="3570"/>
      <c r="C198" s="3570"/>
    </row>
    <row r="199" spans="1:3" ht="14.25" customHeight="1">
      <c r="A199" s="593"/>
      <c r="B199" s="3570"/>
      <c r="C199" s="3570"/>
    </row>
    <row r="200" spans="1:3" ht="14.25" customHeight="1">
      <c r="A200" s="593"/>
      <c r="B200" s="3570"/>
      <c r="C200" s="3570"/>
    </row>
    <row r="201" spans="1:3" ht="14.25" customHeight="1">
      <c r="A201" s="593"/>
      <c r="B201" s="3570"/>
      <c r="C201" s="3570"/>
    </row>
    <row r="202" spans="1:3" ht="14.25" customHeight="1">
      <c r="A202" s="593"/>
      <c r="B202" s="3570"/>
      <c r="C202" s="3570"/>
    </row>
    <row r="203" spans="1:3" ht="14.25" customHeight="1">
      <c r="A203" s="593"/>
      <c r="B203" s="3570"/>
      <c r="C203" s="3570"/>
    </row>
    <row r="204" spans="1:3" ht="14.25" customHeight="1">
      <c r="A204" s="593"/>
      <c r="B204" s="3570"/>
      <c r="C204" s="3570"/>
    </row>
    <row r="205" spans="1:3" ht="14.25" customHeight="1">
      <c r="A205" s="593"/>
      <c r="B205" s="3570"/>
      <c r="C205" s="3570"/>
    </row>
    <row r="206" spans="1:3" ht="14.25" customHeight="1">
      <c r="A206" s="593"/>
      <c r="B206" s="3570"/>
      <c r="C206" s="3570"/>
    </row>
    <row r="207" spans="1:3" ht="14.25" customHeight="1">
      <c r="A207" s="593"/>
      <c r="B207" s="3570"/>
      <c r="C207" s="3570"/>
    </row>
    <row r="208" spans="1:3" ht="14.25" customHeight="1">
      <c r="A208" s="593"/>
      <c r="B208" s="3570"/>
      <c r="C208" s="3570"/>
    </row>
    <row r="209" spans="1:3" ht="14.25" customHeight="1">
      <c r="A209" s="593"/>
      <c r="B209" s="3570"/>
      <c r="C209" s="3570"/>
    </row>
    <row r="210" spans="1:3" ht="14.25" customHeight="1">
      <c r="A210" s="593"/>
      <c r="B210" s="3570"/>
      <c r="C210" s="3570"/>
    </row>
    <row r="211" spans="1:3" ht="14.25" customHeight="1">
      <c r="A211" s="593"/>
      <c r="B211" s="3570"/>
      <c r="C211" s="3570"/>
    </row>
    <row r="212" spans="1:3" ht="14.25" customHeight="1">
      <c r="A212" s="593"/>
      <c r="B212" s="3570"/>
      <c r="C212" s="3570"/>
    </row>
    <row r="213" spans="1:3" ht="14.25" customHeight="1">
      <c r="A213" s="593"/>
      <c r="B213" s="3570"/>
      <c r="C213" s="3570"/>
    </row>
    <row r="214" spans="1:3" ht="14.25" customHeight="1">
      <c r="A214" s="593"/>
      <c r="B214" s="3570"/>
      <c r="C214" s="3570"/>
    </row>
    <row r="215" spans="1:3" ht="14.25" customHeight="1">
      <c r="A215" s="593"/>
      <c r="B215" s="3570"/>
      <c r="C215" s="3570"/>
    </row>
    <row r="216" spans="1:3" ht="14.25" customHeight="1">
      <c r="A216" s="593"/>
      <c r="B216" s="3570"/>
      <c r="C216" s="3570"/>
    </row>
    <row r="217" spans="1:3" ht="14.25" customHeight="1">
      <c r="A217" s="593"/>
      <c r="B217" s="3570"/>
      <c r="C217" s="3570"/>
    </row>
    <row r="218" spans="1:3" ht="14.25" customHeight="1">
      <c r="A218" s="593"/>
      <c r="B218" s="3570"/>
      <c r="C218" s="3570"/>
    </row>
    <row r="219" spans="1:3" ht="14.25" customHeight="1">
      <c r="A219" s="593"/>
      <c r="B219" s="3570"/>
      <c r="C219" s="3570"/>
    </row>
    <row r="220" spans="1:3" ht="14.25" customHeight="1">
      <c r="A220" s="593"/>
      <c r="B220" s="3570"/>
      <c r="C220" s="3570"/>
    </row>
    <row r="221" spans="1:3" ht="14.25" customHeight="1">
      <c r="A221" s="593"/>
      <c r="B221" s="3570"/>
      <c r="C221" s="3570"/>
    </row>
    <row r="222" spans="1:3" ht="14.25" customHeight="1">
      <c r="A222" s="593"/>
      <c r="B222" s="3570"/>
      <c r="C222" s="3570"/>
    </row>
    <row r="223" spans="1:3" ht="14.25" customHeight="1">
      <c r="A223" s="593"/>
      <c r="B223" s="3570"/>
      <c r="C223" s="3570"/>
    </row>
    <row r="224" spans="1:3" ht="14.25" customHeight="1">
      <c r="A224" s="593"/>
      <c r="B224" s="3570"/>
      <c r="C224" s="3570"/>
    </row>
    <row r="225" spans="1:3" ht="14.25" customHeight="1">
      <c r="A225" s="593"/>
      <c r="B225" s="3570"/>
      <c r="C225" s="3570"/>
    </row>
    <row r="226" spans="1:3" ht="14.25" customHeight="1">
      <c r="A226" s="593"/>
      <c r="B226" s="3570"/>
      <c r="C226" s="3570"/>
    </row>
    <row r="227" spans="1:3" ht="14.25" customHeight="1">
      <c r="A227" s="593"/>
      <c r="B227" s="3570"/>
      <c r="C227" s="3570"/>
    </row>
    <row r="228" spans="1:3" ht="14.25" customHeight="1">
      <c r="A228" s="593"/>
      <c r="B228" s="3570"/>
      <c r="C228" s="3570"/>
    </row>
    <row r="229" spans="1:3" ht="14.25" customHeight="1">
      <c r="A229" s="593"/>
      <c r="B229" s="3570"/>
      <c r="C229" s="3570"/>
    </row>
    <row r="230" spans="1:3" ht="14.25" customHeight="1">
      <c r="A230" s="593"/>
      <c r="B230" s="3570"/>
      <c r="C230" s="3570"/>
    </row>
    <row r="231" spans="1:3" ht="14.25" customHeight="1">
      <c r="A231" s="593"/>
      <c r="B231" s="3570"/>
      <c r="C231" s="3570"/>
    </row>
    <row r="232" spans="1:3" ht="14.25" customHeight="1">
      <c r="A232" s="593"/>
      <c r="B232" s="3570"/>
      <c r="C232" s="3570"/>
    </row>
    <row r="233" spans="1:3" ht="14.25" customHeight="1">
      <c r="A233" s="593"/>
      <c r="B233" s="3570"/>
      <c r="C233" s="3570"/>
    </row>
    <row r="234" spans="1:3" ht="14.25" customHeight="1">
      <c r="A234" s="593"/>
      <c r="B234" s="3570"/>
      <c r="C234" s="3570"/>
    </row>
    <row r="235" spans="1:3" ht="14.25" customHeight="1">
      <c r="A235" s="593"/>
      <c r="B235" s="3570"/>
      <c r="C235" s="3570"/>
    </row>
  </sheetData>
  <mergeCells count="19">
    <mergeCell ref="M31:O31"/>
    <mergeCell ref="H31:J31"/>
    <mergeCell ref="C31:E31"/>
    <mergeCell ref="F22:H22"/>
    <mergeCell ref="I22:L22"/>
    <mergeCell ref="F5:G5"/>
    <mergeCell ref="H5:I5"/>
    <mergeCell ref="J5:K5"/>
    <mergeCell ref="A1:L1"/>
    <mergeCell ref="N22:P22"/>
    <mergeCell ref="P5:Q5"/>
    <mergeCell ref="N5:O5"/>
    <mergeCell ref="L5:M5"/>
    <mergeCell ref="B15:C15"/>
    <mergeCell ref="D15:E15"/>
    <mergeCell ref="F15:H15"/>
    <mergeCell ref="I15:L15"/>
    <mergeCell ref="B5:C5"/>
    <mergeCell ref="D5:E5"/>
  </mergeCells>
  <hyperlinks>
    <hyperlink ref="A1" location="Inhoudstafel!A1" display="Vrije tijd" xr:uid="{00000000-0004-0000-1D00-000000000000}"/>
    <hyperlink ref="A1:H1" location="'VRIJE TIJD'!A1" display="JEUGD" xr:uid="{00000000-0004-0000-1D00-000001000000}"/>
  </hyperlinks>
  <pageMargins left="0.7" right="0.7" top="0.75" bottom="0.75" header="0.3" footer="0.3"/>
  <pageSetup paperSize="9"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5" tint="0.39997558519241921"/>
  </sheetPr>
  <dimension ref="A1:S969"/>
  <sheetViews>
    <sheetView topLeftCell="A25" workbookViewId="0">
      <selection sqref="A1:F1"/>
    </sheetView>
  </sheetViews>
  <sheetFormatPr defaultColWidth="8.85546875" defaultRowHeight="12.75"/>
  <cols>
    <col min="1" max="1" width="36.140625" style="593" bestFit="1" customWidth="1"/>
    <col min="2" max="2" width="16.28515625" style="593" customWidth="1"/>
    <col min="3" max="3" width="12.5703125" style="593" bestFit="1" customWidth="1"/>
    <col min="4" max="4" width="13.85546875" style="593" bestFit="1" customWidth="1"/>
    <col min="5" max="5" width="16.7109375" style="593" customWidth="1"/>
    <col min="6" max="6" width="29.28515625" style="593" customWidth="1"/>
    <col min="7" max="7" width="37.42578125" style="593" customWidth="1"/>
    <col min="8" max="8" width="18.140625" style="593" customWidth="1"/>
    <col min="9" max="9" width="5.7109375" style="593" customWidth="1"/>
    <col min="10" max="10" width="6" style="593" customWidth="1"/>
    <col min="11" max="11" width="21.140625" style="593" bestFit="1" customWidth="1"/>
    <col min="12" max="12" width="9.7109375" style="593" bestFit="1" customWidth="1"/>
    <col min="13" max="13" width="20" style="593" customWidth="1"/>
    <col min="14" max="14" width="23.28515625" style="593" customWidth="1"/>
    <col min="15" max="15" width="15.7109375" style="593" customWidth="1"/>
    <col min="16" max="18" width="18.7109375" style="593" customWidth="1"/>
    <col min="19" max="256" width="8.85546875" style="593"/>
    <col min="257" max="257" width="36.140625" style="593" bestFit="1" customWidth="1"/>
    <col min="258" max="258" width="16.28515625" style="593" customWidth="1"/>
    <col min="259" max="259" width="12.5703125" style="593" bestFit="1" customWidth="1"/>
    <col min="260" max="260" width="13.85546875" style="593" bestFit="1" customWidth="1"/>
    <col min="261" max="261" width="16.7109375" style="593" customWidth="1"/>
    <col min="262" max="262" width="29.28515625" style="593" customWidth="1"/>
    <col min="263" max="263" width="37.42578125" style="593" customWidth="1"/>
    <col min="264" max="264" width="18.140625" style="593" customWidth="1"/>
    <col min="265" max="265" width="5.7109375" style="593" customWidth="1"/>
    <col min="266" max="266" width="6" style="593" customWidth="1"/>
    <col min="267" max="267" width="21.140625" style="593" bestFit="1" customWidth="1"/>
    <col min="268" max="268" width="9.7109375" style="593" bestFit="1" customWidth="1"/>
    <col min="269" max="269" width="20" style="593" customWidth="1"/>
    <col min="270" max="270" width="23.28515625" style="593" customWidth="1"/>
    <col min="271" max="271" width="15.7109375" style="593" customWidth="1"/>
    <col min="272" max="274" width="18.7109375" style="593" customWidth="1"/>
    <col min="275" max="512" width="8.85546875" style="593"/>
    <col min="513" max="513" width="36.140625" style="593" bestFit="1" customWidth="1"/>
    <col min="514" max="514" width="16.28515625" style="593" customWidth="1"/>
    <col min="515" max="515" width="12.5703125" style="593" bestFit="1" customWidth="1"/>
    <col min="516" max="516" width="13.85546875" style="593" bestFit="1" customWidth="1"/>
    <col min="517" max="517" width="16.7109375" style="593" customWidth="1"/>
    <col min="518" max="518" width="29.28515625" style="593" customWidth="1"/>
    <col min="519" max="519" width="37.42578125" style="593" customWidth="1"/>
    <col min="520" max="520" width="18.140625" style="593" customWidth="1"/>
    <col min="521" max="521" width="5.7109375" style="593" customWidth="1"/>
    <col min="522" max="522" width="6" style="593" customWidth="1"/>
    <col min="523" max="523" width="21.140625" style="593" bestFit="1" customWidth="1"/>
    <col min="524" max="524" width="9.7109375" style="593" bestFit="1" customWidth="1"/>
    <col min="525" max="525" width="20" style="593" customWidth="1"/>
    <col min="526" max="526" width="23.28515625" style="593" customWidth="1"/>
    <col min="527" max="527" width="15.7109375" style="593" customWidth="1"/>
    <col min="528" max="530" width="18.7109375" style="593" customWidth="1"/>
    <col min="531" max="768" width="8.85546875" style="593"/>
    <col min="769" max="769" width="36.140625" style="593" bestFit="1" customWidth="1"/>
    <col min="770" max="770" width="16.28515625" style="593" customWidth="1"/>
    <col min="771" max="771" width="12.5703125" style="593" bestFit="1" customWidth="1"/>
    <col min="772" max="772" width="13.85546875" style="593" bestFit="1" customWidth="1"/>
    <col min="773" max="773" width="16.7109375" style="593" customWidth="1"/>
    <col min="774" max="774" width="29.28515625" style="593" customWidth="1"/>
    <col min="775" max="775" width="37.42578125" style="593" customWidth="1"/>
    <col min="776" max="776" width="18.140625" style="593" customWidth="1"/>
    <col min="777" max="777" width="5.7109375" style="593" customWidth="1"/>
    <col min="778" max="778" width="6" style="593" customWidth="1"/>
    <col min="779" max="779" width="21.140625" style="593" bestFit="1" customWidth="1"/>
    <col min="780" max="780" width="9.7109375" style="593" bestFit="1" customWidth="1"/>
    <col min="781" max="781" width="20" style="593" customWidth="1"/>
    <col min="782" max="782" width="23.28515625" style="593" customWidth="1"/>
    <col min="783" max="783" width="15.7109375" style="593" customWidth="1"/>
    <col min="784" max="786" width="18.7109375" style="593" customWidth="1"/>
    <col min="787" max="1024" width="8.85546875" style="593"/>
    <col min="1025" max="1025" width="36.140625" style="593" bestFit="1" customWidth="1"/>
    <col min="1026" max="1026" width="16.28515625" style="593" customWidth="1"/>
    <col min="1027" max="1027" width="12.5703125" style="593" bestFit="1" customWidth="1"/>
    <col min="1028" max="1028" width="13.85546875" style="593" bestFit="1" customWidth="1"/>
    <col min="1029" max="1029" width="16.7109375" style="593" customWidth="1"/>
    <col min="1030" max="1030" width="29.28515625" style="593" customWidth="1"/>
    <col min="1031" max="1031" width="37.42578125" style="593" customWidth="1"/>
    <col min="1032" max="1032" width="18.140625" style="593" customWidth="1"/>
    <col min="1033" max="1033" width="5.7109375" style="593" customWidth="1"/>
    <col min="1034" max="1034" width="6" style="593" customWidth="1"/>
    <col min="1035" max="1035" width="21.140625" style="593" bestFit="1" customWidth="1"/>
    <col min="1036" max="1036" width="9.7109375" style="593" bestFit="1" customWidth="1"/>
    <col min="1037" max="1037" width="20" style="593" customWidth="1"/>
    <col min="1038" max="1038" width="23.28515625" style="593" customWidth="1"/>
    <col min="1039" max="1039" width="15.7109375" style="593" customWidth="1"/>
    <col min="1040" max="1042" width="18.7109375" style="593" customWidth="1"/>
    <col min="1043" max="1280" width="8.85546875" style="593"/>
    <col min="1281" max="1281" width="36.140625" style="593" bestFit="1" customWidth="1"/>
    <col min="1282" max="1282" width="16.28515625" style="593" customWidth="1"/>
    <col min="1283" max="1283" width="12.5703125" style="593" bestFit="1" customWidth="1"/>
    <col min="1284" max="1284" width="13.85546875" style="593" bestFit="1" customWidth="1"/>
    <col min="1285" max="1285" width="16.7109375" style="593" customWidth="1"/>
    <col min="1286" max="1286" width="29.28515625" style="593" customWidth="1"/>
    <col min="1287" max="1287" width="37.42578125" style="593" customWidth="1"/>
    <col min="1288" max="1288" width="18.140625" style="593" customWidth="1"/>
    <col min="1289" max="1289" width="5.7109375" style="593" customWidth="1"/>
    <col min="1290" max="1290" width="6" style="593" customWidth="1"/>
    <col min="1291" max="1291" width="21.140625" style="593" bestFit="1" customWidth="1"/>
    <col min="1292" max="1292" width="9.7109375" style="593" bestFit="1" customWidth="1"/>
    <col min="1293" max="1293" width="20" style="593" customWidth="1"/>
    <col min="1294" max="1294" width="23.28515625" style="593" customWidth="1"/>
    <col min="1295" max="1295" width="15.7109375" style="593" customWidth="1"/>
    <col min="1296" max="1298" width="18.7109375" style="593" customWidth="1"/>
    <col min="1299" max="1536" width="8.85546875" style="593"/>
    <col min="1537" max="1537" width="36.140625" style="593" bestFit="1" customWidth="1"/>
    <col min="1538" max="1538" width="16.28515625" style="593" customWidth="1"/>
    <col min="1539" max="1539" width="12.5703125" style="593" bestFit="1" customWidth="1"/>
    <col min="1540" max="1540" width="13.85546875" style="593" bestFit="1" customWidth="1"/>
    <col min="1541" max="1541" width="16.7109375" style="593" customWidth="1"/>
    <col min="1542" max="1542" width="29.28515625" style="593" customWidth="1"/>
    <col min="1543" max="1543" width="37.42578125" style="593" customWidth="1"/>
    <col min="1544" max="1544" width="18.140625" style="593" customWidth="1"/>
    <col min="1545" max="1545" width="5.7109375" style="593" customWidth="1"/>
    <col min="1546" max="1546" width="6" style="593" customWidth="1"/>
    <col min="1547" max="1547" width="21.140625" style="593" bestFit="1" customWidth="1"/>
    <col min="1548" max="1548" width="9.7109375" style="593" bestFit="1" customWidth="1"/>
    <col min="1549" max="1549" width="20" style="593" customWidth="1"/>
    <col min="1550" max="1550" width="23.28515625" style="593" customWidth="1"/>
    <col min="1551" max="1551" width="15.7109375" style="593" customWidth="1"/>
    <col min="1552" max="1554" width="18.7109375" style="593" customWidth="1"/>
    <col min="1555" max="1792" width="8.85546875" style="593"/>
    <col min="1793" max="1793" width="36.140625" style="593" bestFit="1" customWidth="1"/>
    <col min="1794" max="1794" width="16.28515625" style="593" customWidth="1"/>
    <col min="1795" max="1795" width="12.5703125" style="593" bestFit="1" customWidth="1"/>
    <col min="1796" max="1796" width="13.85546875" style="593" bestFit="1" customWidth="1"/>
    <col min="1797" max="1797" width="16.7109375" style="593" customWidth="1"/>
    <col min="1798" max="1798" width="29.28515625" style="593" customWidth="1"/>
    <col min="1799" max="1799" width="37.42578125" style="593" customWidth="1"/>
    <col min="1800" max="1800" width="18.140625" style="593" customWidth="1"/>
    <col min="1801" max="1801" width="5.7109375" style="593" customWidth="1"/>
    <col min="1802" max="1802" width="6" style="593" customWidth="1"/>
    <col min="1803" max="1803" width="21.140625" style="593" bestFit="1" customWidth="1"/>
    <col min="1804" max="1804" width="9.7109375" style="593" bestFit="1" customWidth="1"/>
    <col min="1805" max="1805" width="20" style="593" customWidth="1"/>
    <col min="1806" max="1806" width="23.28515625" style="593" customWidth="1"/>
    <col min="1807" max="1807" width="15.7109375" style="593" customWidth="1"/>
    <col min="1808" max="1810" width="18.7109375" style="593" customWidth="1"/>
    <col min="1811" max="2048" width="8.85546875" style="593"/>
    <col min="2049" max="2049" width="36.140625" style="593" bestFit="1" customWidth="1"/>
    <col min="2050" max="2050" width="16.28515625" style="593" customWidth="1"/>
    <col min="2051" max="2051" width="12.5703125" style="593" bestFit="1" customWidth="1"/>
    <col min="2052" max="2052" width="13.85546875" style="593" bestFit="1" customWidth="1"/>
    <col min="2053" max="2053" width="16.7109375" style="593" customWidth="1"/>
    <col min="2054" max="2054" width="29.28515625" style="593" customWidth="1"/>
    <col min="2055" max="2055" width="37.42578125" style="593" customWidth="1"/>
    <col min="2056" max="2056" width="18.140625" style="593" customWidth="1"/>
    <col min="2057" max="2057" width="5.7109375" style="593" customWidth="1"/>
    <col min="2058" max="2058" width="6" style="593" customWidth="1"/>
    <col min="2059" max="2059" width="21.140625" style="593" bestFit="1" customWidth="1"/>
    <col min="2060" max="2060" width="9.7109375" style="593" bestFit="1" customWidth="1"/>
    <col min="2061" max="2061" width="20" style="593" customWidth="1"/>
    <col min="2062" max="2062" width="23.28515625" style="593" customWidth="1"/>
    <col min="2063" max="2063" width="15.7109375" style="593" customWidth="1"/>
    <col min="2064" max="2066" width="18.7109375" style="593" customWidth="1"/>
    <col min="2067" max="2304" width="8.85546875" style="593"/>
    <col min="2305" max="2305" width="36.140625" style="593" bestFit="1" customWidth="1"/>
    <col min="2306" max="2306" width="16.28515625" style="593" customWidth="1"/>
    <col min="2307" max="2307" width="12.5703125" style="593" bestFit="1" customWidth="1"/>
    <col min="2308" max="2308" width="13.85546875" style="593" bestFit="1" customWidth="1"/>
    <col min="2309" max="2309" width="16.7109375" style="593" customWidth="1"/>
    <col min="2310" max="2310" width="29.28515625" style="593" customWidth="1"/>
    <col min="2311" max="2311" width="37.42578125" style="593" customWidth="1"/>
    <col min="2312" max="2312" width="18.140625" style="593" customWidth="1"/>
    <col min="2313" max="2313" width="5.7109375" style="593" customWidth="1"/>
    <col min="2314" max="2314" width="6" style="593" customWidth="1"/>
    <col min="2315" max="2315" width="21.140625" style="593" bestFit="1" customWidth="1"/>
    <col min="2316" max="2316" width="9.7109375" style="593" bestFit="1" customWidth="1"/>
    <col min="2317" max="2317" width="20" style="593" customWidth="1"/>
    <col min="2318" max="2318" width="23.28515625" style="593" customWidth="1"/>
    <col min="2319" max="2319" width="15.7109375" style="593" customWidth="1"/>
    <col min="2320" max="2322" width="18.7109375" style="593" customWidth="1"/>
    <col min="2323" max="2560" width="8.85546875" style="593"/>
    <col min="2561" max="2561" width="36.140625" style="593" bestFit="1" customWidth="1"/>
    <col min="2562" max="2562" width="16.28515625" style="593" customWidth="1"/>
    <col min="2563" max="2563" width="12.5703125" style="593" bestFit="1" customWidth="1"/>
    <col min="2564" max="2564" width="13.85546875" style="593" bestFit="1" customWidth="1"/>
    <col min="2565" max="2565" width="16.7109375" style="593" customWidth="1"/>
    <col min="2566" max="2566" width="29.28515625" style="593" customWidth="1"/>
    <col min="2567" max="2567" width="37.42578125" style="593" customWidth="1"/>
    <col min="2568" max="2568" width="18.140625" style="593" customWidth="1"/>
    <col min="2569" max="2569" width="5.7109375" style="593" customWidth="1"/>
    <col min="2570" max="2570" width="6" style="593" customWidth="1"/>
    <col min="2571" max="2571" width="21.140625" style="593" bestFit="1" customWidth="1"/>
    <col min="2572" max="2572" width="9.7109375" style="593" bestFit="1" customWidth="1"/>
    <col min="2573" max="2573" width="20" style="593" customWidth="1"/>
    <col min="2574" max="2574" width="23.28515625" style="593" customWidth="1"/>
    <col min="2575" max="2575" width="15.7109375" style="593" customWidth="1"/>
    <col min="2576" max="2578" width="18.7109375" style="593" customWidth="1"/>
    <col min="2579" max="2816" width="8.85546875" style="593"/>
    <col min="2817" max="2817" width="36.140625" style="593" bestFit="1" customWidth="1"/>
    <col min="2818" max="2818" width="16.28515625" style="593" customWidth="1"/>
    <col min="2819" max="2819" width="12.5703125" style="593" bestFit="1" customWidth="1"/>
    <col min="2820" max="2820" width="13.85546875" style="593" bestFit="1" customWidth="1"/>
    <col min="2821" max="2821" width="16.7109375" style="593" customWidth="1"/>
    <col min="2822" max="2822" width="29.28515625" style="593" customWidth="1"/>
    <col min="2823" max="2823" width="37.42578125" style="593" customWidth="1"/>
    <col min="2824" max="2824" width="18.140625" style="593" customWidth="1"/>
    <col min="2825" max="2825" width="5.7109375" style="593" customWidth="1"/>
    <col min="2826" max="2826" width="6" style="593" customWidth="1"/>
    <col min="2827" max="2827" width="21.140625" style="593" bestFit="1" customWidth="1"/>
    <col min="2828" max="2828" width="9.7109375" style="593" bestFit="1" customWidth="1"/>
    <col min="2829" max="2829" width="20" style="593" customWidth="1"/>
    <col min="2830" max="2830" width="23.28515625" style="593" customWidth="1"/>
    <col min="2831" max="2831" width="15.7109375" style="593" customWidth="1"/>
    <col min="2832" max="2834" width="18.7109375" style="593" customWidth="1"/>
    <col min="2835" max="3072" width="8.85546875" style="593"/>
    <col min="3073" max="3073" width="36.140625" style="593" bestFit="1" customWidth="1"/>
    <col min="3074" max="3074" width="16.28515625" style="593" customWidth="1"/>
    <col min="3075" max="3075" width="12.5703125" style="593" bestFit="1" customWidth="1"/>
    <col min="3076" max="3076" width="13.85546875" style="593" bestFit="1" customWidth="1"/>
    <col min="3077" max="3077" width="16.7109375" style="593" customWidth="1"/>
    <col min="3078" max="3078" width="29.28515625" style="593" customWidth="1"/>
    <col min="3079" max="3079" width="37.42578125" style="593" customWidth="1"/>
    <col min="3080" max="3080" width="18.140625" style="593" customWidth="1"/>
    <col min="3081" max="3081" width="5.7109375" style="593" customWidth="1"/>
    <col min="3082" max="3082" width="6" style="593" customWidth="1"/>
    <col min="3083" max="3083" width="21.140625" style="593" bestFit="1" customWidth="1"/>
    <col min="3084" max="3084" width="9.7109375" style="593" bestFit="1" customWidth="1"/>
    <col min="3085" max="3085" width="20" style="593" customWidth="1"/>
    <col min="3086" max="3086" width="23.28515625" style="593" customWidth="1"/>
    <col min="3087" max="3087" width="15.7109375" style="593" customWidth="1"/>
    <col min="3088" max="3090" width="18.7109375" style="593" customWidth="1"/>
    <col min="3091" max="3328" width="8.85546875" style="593"/>
    <col min="3329" max="3329" width="36.140625" style="593" bestFit="1" customWidth="1"/>
    <col min="3330" max="3330" width="16.28515625" style="593" customWidth="1"/>
    <col min="3331" max="3331" width="12.5703125" style="593" bestFit="1" customWidth="1"/>
    <col min="3332" max="3332" width="13.85546875" style="593" bestFit="1" customWidth="1"/>
    <col min="3333" max="3333" width="16.7109375" style="593" customWidth="1"/>
    <col min="3334" max="3334" width="29.28515625" style="593" customWidth="1"/>
    <col min="3335" max="3335" width="37.42578125" style="593" customWidth="1"/>
    <col min="3336" max="3336" width="18.140625" style="593" customWidth="1"/>
    <col min="3337" max="3337" width="5.7109375" style="593" customWidth="1"/>
    <col min="3338" max="3338" width="6" style="593" customWidth="1"/>
    <col min="3339" max="3339" width="21.140625" style="593" bestFit="1" customWidth="1"/>
    <col min="3340" max="3340" width="9.7109375" style="593" bestFit="1" customWidth="1"/>
    <col min="3341" max="3341" width="20" style="593" customWidth="1"/>
    <col min="3342" max="3342" width="23.28515625" style="593" customWidth="1"/>
    <col min="3343" max="3343" width="15.7109375" style="593" customWidth="1"/>
    <col min="3344" max="3346" width="18.7109375" style="593" customWidth="1"/>
    <col min="3347" max="3584" width="8.85546875" style="593"/>
    <col min="3585" max="3585" width="36.140625" style="593" bestFit="1" customWidth="1"/>
    <col min="3586" max="3586" width="16.28515625" style="593" customWidth="1"/>
    <col min="3587" max="3587" width="12.5703125" style="593" bestFit="1" customWidth="1"/>
    <col min="3588" max="3588" width="13.85546875" style="593" bestFit="1" customWidth="1"/>
    <col min="3589" max="3589" width="16.7109375" style="593" customWidth="1"/>
    <col min="3590" max="3590" width="29.28515625" style="593" customWidth="1"/>
    <col min="3591" max="3591" width="37.42578125" style="593" customWidth="1"/>
    <col min="3592" max="3592" width="18.140625" style="593" customWidth="1"/>
    <col min="3593" max="3593" width="5.7109375" style="593" customWidth="1"/>
    <col min="3594" max="3594" width="6" style="593" customWidth="1"/>
    <col min="3595" max="3595" width="21.140625" style="593" bestFit="1" customWidth="1"/>
    <col min="3596" max="3596" width="9.7109375" style="593" bestFit="1" customWidth="1"/>
    <col min="3597" max="3597" width="20" style="593" customWidth="1"/>
    <col min="3598" max="3598" width="23.28515625" style="593" customWidth="1"/>
    <col min="3599" max="3599" width="15.7109375" style="593" customWidth="1"/>
    <col min="3600" max="3602" width="18.7109375" style="593" customWidth="1"/>
    <col min="3603" max="3840" width="8.85546875" style="593"/>
    <col min="3841" max="3841" width="36.140625" style="593" bestFit="1" customWidth="1"/>
    <col min="3842" max="3842" width="16.28515625" style="593" customWidth="1"/>
    <col min="3843" max="3843" width="12.5703125" style="593" bestFit="1" customWidth="1"/>
    <col min="3844" max="3844" width="13.85546875" style="593" bestFit="1" customWidth="1"/>
    <col min="3845" max="3845" width="16.7109375" style="593" customWidth="1"/>
    <col min="3846" max="3846" width="29.28515625" style="593" customWidth="1"/>
    <col min="3847" max="3847" width="37.42578125" style="593" customWidth="1"/>
    <col min="3848" max="3848" width="18.140625" style="593" customWidth="1"/>
    <col min="3849" max="3849" width="5.7109375" style="593" customWidth="1"/>
    <col min="3850" max="3850" width="6" style="593" customWidth="1"/>
    <col min="3851" max="3851" width="21.140625" style="593" bestFit="1" customWidth="1"/>
    <col min="3852" max="3852" width="9.7109375" style="593" bestFit="1" customWidth="1"/>
    <col min="3853" max="3853" width="20" style="593" customWidth="1"/>
    <col min="3854" max="3854" width="23.28515625" style="593" customWidth="1"/>
    <col min="3855" max="3855" width="15.7109375" style="593" customWidth="1"/>
    <col min="3856" max="3858" width="18.7109375" style="593" customWidth="1"/>
    <col min="3859" max="4096" width="8.85546875" style="593"/>
    <col min="4097" max="4097" width="36.140625" style="593" bestFit="1" customWidth="1"/>
    <col min="4098" max="4098" width="16.28515625" style="593" customWidth="1"/>
    <col min="4099" max="4099" width="12.5703125" style="593" bestFit="1" customWidth="1"/>
    <col min="4100" max="4100" width="13.85546875" style="593" bestFit="1" customWidth="1"/>
    <col min="4101" max="4101" width="16.7109375" style="593" customWidth="1"/>
    <col min="4102" max="4102" width="29.28515625" style="593" customWidth="1"/>
    <col min="4103" max="4103" width="37.42578125" style="593" customWidth="1"/>
    <col min="4104" max="4104" width="18.140625" style="593" customWidth="1"/>
    <col min="4105" max="4105" width="5.7109375" style="593" customWidth="1"/>
    <col min="4106" max="4106" width="6" style="593" customWidth="1"/>
    <col min="4107" max="4107" width="21.140625" style="593" bestFit="1" customWidth="1"/>
    <col min="4108" max="4108" width="9.7109375" style="593" bestFit="1" customWidth="1"/>
    <col min="4109" max="4109" width="20" style="593" customWidth="1"/>
    <col min="4110" max="4110" width="23.28515625" style="593" customWidth="1"/>
    <col min="4111" max="4111" width="15.7109375" style="593" customWidth="1"/>
    <col min="4112" max="4114" width="18.7109375" style="593" customWidth="1"/>
    <col min="4115" max="4352" width="8.85546875" style="593"/>
    <col min="4353" max="4353" width="36.140625" style="593" bestFit="1" customWidth="1"/>
    <col min="4354" max="4354" width="16.28515625" style="593" customWidth="1"/>
    <col min="4355" max="4355" width="12.5703125" style="593" bestFit="1" customWidth="1"/>
    <col min="4356" max="4356" width="13.85546875" style="593" bestFit="1" customWidth="1"/>
    <col min="4357" max="4357" width="16.7109375" style="593" customWidth="1"/>
    <col min="4358" max="4358" width="29.28515625" style="593" customWidth="1"/>
    <col min="4359" max="4359" width="37.42578125" style="593" customWidth="1"/>
    <col min="4360" max="4360" width="18.140625" style="593" customWidth="1"/>
    <col min="4361" max="4361" width="5.7109375" style="593" customWidth="1"/>
    <col min="4362" max="4362" width="6" style="593" customWidth="1"/>
    <col min="4363" max="4363" width="21.140625" style="593" bestFit="1" customWidth="1"/>
    <col min="4364" max="4364" width="9.7109375" style="593" bestFit="1" customWidth="1"/>
    <col min="4365" max="4365" width="20" style="593" customWidth="1"/>
    <col min="4366" max="4366" width="23.28515625" style="593" customWidth="1"/>
    <col min="4367" max="4367" width="15.7109375" style="593" customWidth="1"/>
    <col min="4368" max="4370" width="18.7109375" style="593" customWidth="1"/>
    <col min="4371" max="4608" width="8.85546875" style="593"/>
    <col min="4609" max="4609" width="36.140625" style="593" bestFit="1" customWidth="1"/>
    <col min="4610" max="4610" width="16.28515625" style="593" customWidth="1"/>
    <col min="4611" max="4611" width="12.5703125" style="593" bestFit="1" customWidth="1"/>
    <col min="4612" max="4612" width="13.85546875" style="593" bestFit="1" customWidth="1"/>
    <col min="4613" max="4613" width="16.7109375" style="593" customWidth="1"/>
    <col min="4614" max="4614" width="29.28515625" style="593" customWidth="1"/>
    <col min="4615" max="4615" width="37.42578125" style="593" customWidth="1"/>
    <col min="4616" max="4616" width="18.140625" style="593" customWidth="1"/>
    <col min="4617" max="4617" width="5.7109375" style="593" customWidth="1"/>
    <col min="4618" max="4618" width="6" style="593" customWidth="1"/>
    <col min="4619" max="4619" width="21.140625" style="593" bestFit="1" customWidth="1"/>
    <col min="4620" max="4620" width="9.7109375" style="593" bestFit="1" customWidth="1"/>
    <col min="4621" max="4621" width="20" style="593" customWidth="1"/>
    <col min="4622" max="4622" width="23.28515625" style="593" customWidth="1"/>
    <col min="4623" max="4623" width="15.7109375" style="593" customWidth="1"/>
    <col min="4624" max="4626" width="18.7109375" style="593" customWidth="1"/>
    <col min="4627" max="4864" width="8.85546875" style="593"/>
    <col min="4865" max="4865" width="36.140625" style="593" bestFit="1" customWidth="1"/>
    <col min="4866" max="4866" width="16.28515625" style="593" customWidth="1"/>
    <col min="4867" max="4867" width="12.5703125" style="593" bestFit="1" customWidth="1"/>
    <col min="4868" max="4868" width="13.85546875" style="593" bestFit="1" customWidth="1"/>
    <col min="4869" max="4869" width="16.7109375" style="593" customWidth="1"/>
    <col min="4870" max="4870" width="29.28515625" style="593" customWidth="1"/>
    <col min="4871" max="4871" width="37.42578125" style="593" customWidth="1"/>
    <col min="4872" max="4872" width="18.140625" style="593" customWidth="1"/>
    <col min="4873" max="4873" width="5.7109375" style="593" customWidth="1"/>
    <col min="4874" max="4874" width="6" style="593" customWidth="1"/>
    <col min="4875" max="4875" width="21.140625" style="593" bestFit="1" customWidth="1"/>
    <col min="4876" max="4876" width="9.7109375" style="593" bestFit="1" customWidth="1"/>
    <col min="4877" max="4877" width="20" style="593" customWidth="1"/>
    <col min="4878" max="4878" width="23.28515625" style="593" customWidth="1"/>
    <col min="4879" max="4879" width="15.7109375" style="593" customWidth="1"/>
    <col min="4880" max="4882" width="18.7109375" style="593" customWidth="1"/>
    <col min="4883" max="5120" width="8.85546875" style="593"/>
    <col min="5121" max="5121" width="36.140625" style="593" bestFit="1" customWidth="1"/>
    <col min="5122" max="5122" width="16.28515625" style="593" customWidth="1"/>
    <col min="5123" max="5123" width="12.5703125" style="593" bestFit="1" customWidth="1"/>
    <col min="5124" max="5124" width="13.85546875" style="593" bestFit="1" customWidth="1"/>
    <col min="5125" max="5125" width="16.7109375" style="593" customWidth="1"/>
    <col min="5126" max="5126" width="29.28515625" style="593" customWidth="1"/>
    <col min="5127" max="5127" width="37.42578125" style="593" customWidth="1"/>
    <col min="5128" max="5128" width="18.140625" style="593" customWidth="1"/>
    <col min="5129" max="5129" width="5.7109375" style="593" customWidth="1"/>
    <col min="5130" max="5130" width="6" style="593" customWidth="1"/>
    <col min="5131" max="5131" width="21.140625" style="593" bestFit="1" customWidth="1"/>
    <col min="5132" max="5132" width="9.7109375" style="593" bestFit="1" customWidth="1"/>
    <col min="5133" max="5133" width="20" style="593" customWidth="1"/>
    <col min="5134" max="5134" width="23.28515625" style="593" customWidth="1"/>
    <col min="5135" max="5135" width="15.7109375" style="593" customWidth="1"/>
    <col min="5136" max="5138" width="18.7109375" style="593" customWidth="1"/>
    <col min="5139" max="5376" width="8.85546875" style="593"/>
    <col min="5377" max="5377" width="36.140625" style="593" bestFit="1" customWidth="1"/>
    <col min="5378" max="5378" width="16.28515625" style="593" customWidth="1"/>
    <col min="5379" max="5379" width="12.5703125" style="593" bestFit="1" customWidth="1"/>
    <col min="5380" max="5380" width="13.85546875" style="593" bestFit="1" customWidth="1"/>
    <col min="5381" max="5381" width="16.7109375" style="593" customWidth="1"/>
    <col min="5382" max="5382" width="29.28515625" style="593" customWidth="1"/>
    <col min="5383" max="5383" width="37.42578125" style="593" customWidth="1"/>
    <col min="5384" max="5384" width="18.140625" style="593" customWidth="1"/>
    <col min="5385" max="5385" width="5.7109375" style="593" customWidth="1"/>
    <col min="5386" max="5386" width="6" style="593" customWidth="1"/>
    <col min="5387" max="5387" width="21.140625" style="593" bestFit="1" customWidth="1"/>
    <col min="5388" max="5388" width="9.7109375" style="593" bestFit="1" customWidth="1"/>
    <col min="5389" max="5389" width="20" style="593" customWidth="1"/>
    <col min="5390" max="5390" width="23.28515625" style="593" customWidth="1"/>
    <col min="5391" max="5391" width="15.7109375" style="593" customWidth="1"/>
    <col min="5392" max="5394" width="18.7109375" style="593" customWidth="1"/>
    <col min="5395" max="5632" width="8.85546875" style="593"/>
    <col min="5633" max="5633" width="36.140625" style="593" bestFit="1" customWidth="1"/>
    <col min="5634" max="5634" width="16.28515625" style="593" customWidth="1"/>
    <col min="5635" max="5635" width="12.5703125" style="593" bestFit="1" customWidth="1"/>
    <col min="5636" max="5636" width="13.85546875" style="593" bestFit="1" customWidth="1"/>
    <col min="5637" max="5637" width="16.7109375" style="593" customWidth="1"/>
    <col min="5638" max="5638" width="29.28515625" style="593" customWidth="1"/>
    <col min="5639" max="5639" width="37.42578125" style="593" customWidth="1"/>
    <col min="5640" max="5640" width="18.140625" style="593" customWidth="1"/>
    <col min="5641" max="5641" width="5.7109375" style="593" customWidth="1"/>
    <col min="5642" max="5642" width="6" style="593" customWidth="1"/>
    <col min="5643" max="5643" width="21.140625" style="593" bestFit="1" customWidth="1"/>
    <col min="5644" max="5644" width="9.7109375" style="593" bestFit="1" customWidth="1"/>
    <col min="5645" max="5645" width="20" style="593" customWidth="1"/>
    <col min="5646" max="5646" width="23.28515625" style="593" customWidth="1"/>
    <col min="5647" max="5647" width="15.7109375" style="593" customWidth="1"/>
    <col min="5648" max="5650" width="18.7109375" style="593" customWidth="1"/>
    <col min="5651" max="5888" width="8.85546875" style="593"/>
    <col min="5889" max="5889" width="36.140625" style="593" bestFit="1" customWidth="1"/>
    <col min="5890" max="5890" width="16.28515625" style="593" customWidth="1"/>
    <col min="5891" max="5891" width="12.5703125" style="593" bestFit="1" customWidth="1"/>
    <col min="5892" max="5892" width="13.85546875" style="593" bestFit="1" customWidth="1"/>
    <col min="5893" max="5893" width="16.7109375" style="593" customWidth="1"/>
    <col min="5894" max="5894" width="29.28515625" style="593" customWidth="1"/>
    <col min="5895" max="5895" width="37.42578125" style="593" customWidth="1"/>
    <col min="5896" max="5896" width="18.140625" style="593" customWidth="1"/>
    <col min="5897" max="5897" width="5.7109375" style="593" customWidth="1"/>
    <col min="5898" max="5898" width="6" style="593" customWidth="1"/>
    <col min="5899" max="5899" width="21.140625" style="593" bestFit="1" customWidth="1"/>
    <col min="5900" max="5900" width="9.7109375" style="593" bestFit="1" customWidth="1"/>
    <col min="5901" max="5901" width="20" style="593" customWidth="1"/>
    <col min="5902" max="5902" width="23.28515625" style="593" customWidth="1"/>
    <col min="5903" max="5903" width="15.7109375" style="593" customWidth="1"/>
    <col min="5904" max="5906" width="18.7109375" style="593" customWidth="1"/>
    <col min="5907" max="6144" width="8.85546875" style="593"/>
    <col min="6145" max="6145" width="36.140625" style="593" bestFit="1" customWidth="1"/>
    <col min="6146" max="6146" width="16.28515625" style="593" customWidth="1"/>
    <col min="6147" max="6147" width="12.5703125" style="593" bestFit="1" customWidth="1"/>
    <col min="6148" max="6148" width="13.85546875" style="593" bestFit="1" customWidth="1"/>
    <col min="6149" max="6149" width="16.7109375" style="593" customWidth="1"/>
    <col min="6150" max="6150" width="29.28515625" style="593" customWidth="1"/>
    <col min="6151" max="6151" width="37.42578125" style="593" customWidth="1"/>
    <col min="6152" max="6152" width="18.140625" style="593" customWidth="1"/>
    <col min="6153" max="6153" width="5.7109375" style="593" customWidth="1"/>
    <col min="6154" max="6154" width="6" style="593" customWidth="1"/>
    <col min="6155" max="6155" width="21.140625" style="593" bestFit="1" customWidth="1"/>
    <col min="6156" max="6156" width="9.7109375" style="593" bestFit="1" customWidth="1"/>
    <col min="6157" max="6157" width="20" style="593" customWidth="1"/>
    <col min="6158" max="6158" width="23.28515625" style="593" customWidth="1"/>
    <col min="6159" max="6159" width="15.7109375" style="593" customWidth="1"/>
    <col min="6160" max="6162" width="18.7109375" style="593" customWidth="1"/>
    <col min="6163" max="6400" width="8.85546875" style="593"/>
    <col min="6401" max="6401" width="36.140625" style="593" bestFit="1" customWidth="1"/>
    <col min="6402" max="6402" width="16.28515625" style="593" customWidth="1"/>
    <col min="6403" max="6403" width="12.5703125" style="593" bestFit="1" customWidth="1"/>
    <col min="6404" max="6404" width="13.85546875" style="593" bestFit="1" customWidth="1"/>
    <col min="6405" max="6405" width="16.7109375" style="593" customWidth="1"/>
    <col min="6406" max="6406" width="29.28515625" style="593" customWidth="1"/>
    <col min="6407" max="6407" width="37.42578125" style="593" customWidth="1"/>
    <col min="6408" max="6408" width="18.140625" style="593" customWidth="1"/>
    <col min="6409" max="6409" width="5.7109375" style="593" customWidth="1"/>
    <col min="6410" max="6410" width="6" style="593" customWidth="1"/>
    <col min="6411" max="6411" width="21.140625" style="593" bestFit="1" customWidth="1"/>
    <col min="6412" max="6412" width="9.7109375" style="593" bestFit="1" customWidth="1"/>
    <col min="6413" max="6413" width="20" style="593" customWidth="1"/>
    <col min="6414" max="6414" width="23.28515625" style="593" customWidth="1"/>
    <col min="6415" max="6415" width="15.7109375" style="593" customWidth="1"/>
    <col min="6416" max="6418" width="18.7109375" style="593" customWidth="1"/>
    <col min="6419" max="6656" width="8.85546875" style="593"/>
    <col min="6657" max="6657" width="36.140625" style="593" bestFit="1" customWidth="1"/>
    <col min="6658" max="6658" width="16.28515625" style="593" customWidth="1"/>
    <col min="6659" max="6659" width="12.5703125" style="593" bestFit="1" customWidth="1"/>
    <col min="6660" max="6660" width="13.85546875" style="593" bestFit="1" customWidth="1"/>
    <col min="6661" max="6661" width="16.7109375" style="593" customWidth="1"/>
    <col min="6662" max="6662" width="29.28515625" style="593" customWidth="1"/>
    <col min="6663" max="6663" width="37.42578125" style="593" customWidth="1"/>
    <col min="6664" max="6664" width="18.140625" style="593" customWidth="1"/>
    <col min="6665" max="6665" width="5.7109375" style="593" customWidth="1"/>
    <col min="6666" max="6666" width="6" style="593" customWidth="1"/>
    <col min="6667" max="6667" width="21.140625" style="593" bestFit="1" customWidth="1"/>
    <col min="6668" max="6668" width="9.7109375" style="593" bestFit="1" customWidth="1"/>
    <col min="6669" max="6669" width="20" style="593" customWidth="1"/>
    <col min="6670" max="6670" width="23.28515625" style="593" customWidth="1"/>
    <col min="6671" max="6671" width="15.7109375" style="593" customWidth="1"/>
    <col min="6672" max="6674" width="18.7109375" style="593" customWidth="1"/>
    <col min="6675" max="6912" width="8.85546875" style="593"/>
    <col min="6913" max="6913" width="36.140625" style="593" bestFit="1" customWidth="1"/>
    <col min="6914" max="6914" width="16.28515625" style="593" customWidth="1"/>
    <col min="6915" max="6915" width="12.5703125" style="593" bestFit="1" customWidth="1"/>
    <col min="6916" max="6916" width="13.85546875" style="593" bestFit="1" customWidth="1"/>
    <col min="6917" max="6917" width="16.7109375" style="593" customWidth="1"/>
    <col min="6918" max="6918" width="29.28515625" style="593" customWidth="1"/>
    <col min="6919" max="6919" width="37.42578125" style="593" customWidth="1"/>
    <col min="6920" max="6920" width="18.140625" style="593" customWidth="1"/>
    <col min="6921" max="6921" width="5.7109375" style="593" customWidth="1"/>
    <col min="6922" max="6922" width="6" style="593" customWidth="1"/>
    <col min="6923" max="6923" width="21.140625" style="593" bestFit="1" customWidth="1"/>
    <col min="6924" max="6924" width="9.7109375" style="593" bestFit="1" customWidth="1"/>
    <col min="6925" max="6925" width="20" style="593" customWidth="1"/>
    <col min="6926" max="6926" width="23.28515625" style="593" customWidth="1"/>
    <col min="6927" max="6927" width="15.7109375" style="593" customWidth="1"/>
    <col min="6928" max="6930" width="18.7109375" style="593" customWidth="1"/>
    <col min="6931" max="7168" width="8.85546875" style="593"/>
    <col min="7169" max="7169" width="36.140625" style="593" bestFit="1" customWidth="1"/>
    <col min="7170" max="7170" width="16.28515625" style="593" customWidth="1"/>
    <col min="7171" max="7171" width="12.5703125" style="593" bestFit="1" customWidth="1"/>
    <col min="7172" max="7172" width="13.85546875" style="593" bestFit="1" customWidth="1"/>
    <col min="7173" max="7173" width="16.7109375" style="593" customWidth="1"/>
    <col min="7174" max="7174" width="29.28515625" style="593" customWidth="1"/>
    <col min="7175" max="7175" width="37.42578125" style="593" customWidth="1"/>
    <col min="7176" max="7176" width="18.140625" style="593" customWidth="1"/>
    <col min="7177" max="7177" width="5.7109375" style="593" customWidth="1"/>
    <col min="7178" max="7178" width="6" style="593" customWidth="1"/>
    <col min="7179" max="7179" width="21.140625" style="593" bestFit="1" customWidth="1"/>
    <col min="7180" max="7180" width="9.7109375" style="593" bestFit="1" customWidth="1"/>
    <col min="7181" max="7181" width="20" style="593" customWidth="1"/>
    <col min="7182" max="7182" width="23.28515625" style="593" customWidth="1"/>
    <col min="7183" max="7183" width="15.7109375" style="593" customWidth="1"/>
    <col min="7184" max="7186" width="18.7109375" style="593" customWidth="1"/>
    <col min="7187" max="7424" width="8.85546875" style="593"/>
    <col min="7425" max="7425" width="36.140625" style="593" bestFit="1" customWidth="1"/>
    <col min="7426" max="7426" width="16.28515625" style="593" customWidth="1"/>
    <col min="7427" max="7427" width="12.5703125" style="593" bestFit="1" customWidth="1"/>
    <col min="7428" max="7428" width="13.85546875" style="593" bestFit="1" customWidth="1"/>
    <col min="7429" max="7429" width="16.7109375" style="593" customWidth="1"/>
    <col min="7430" max="7430" width="29.28515625" style="593" customWidth="1"/>
    <col min="7431" max="7431" width="37.42578125" style="593" customWidth="1"/>
    <col min="7432" max="7432" width="18.140625" style="593" customWidth="1"/>
    <col min="7433" max="7433" width="5.7109375" style="593" customWidth="1"/>
    <col min="7434" max="7434" width="6" style="593" customWidth="1"/>
    <col min="7435" max="7435" width="21.140625" style="593" bestFit="1" customWidth="1"/>
    <col min="7436" max="7436" width="9.7109375" style="593" bestFit="1" customWidth="1"/>
    <col min="7437" max="7437" width="20" style="593" customWidth="1"/>
    <col min="7438" max="7438" width="23.28515625" style="593" customWidth="1"/>
    <col min="7439" max="7439" width="15.7109375" style="593" customWidth="1"/>
    <col min="7440" max="7442" width="18.7109375" style="593" customWidth="1"/>
    <col min="7443" max="7680" width="8.85546875" style="593"/>
    <col min="7681" max="7681" width="36.140625" style="593" bestFit="1" customWidth="1"/>
    <col min="7682" max="7682" width="16.28515625" style="593" customWidth="1"/>
    <col min="7683" max="7683" width="12.5703125" style="593" bestFit="1" customWidth="1"/>
    <col min="7684" max="7684" width="13.85546875" style="593" bestFit="1" customWidth="1"/>
    <col min="7685" max="7685" width="16.7109375" style="593" customWidth="1"/>
    <col min="7686" max="7686" width="29.28515625" style="593" customWidth="1"/>
    <col min="7687" max="7687" width="37.42578125" style="593" customWidth="1"/>
    <col min="7688" max="7688" width="18.140625" style="593" customWidth="1"/>
    <col min="7689" max="7689" width="5.7109375" style="593" customWidth="1"/>
    <col min="7690" max="7690" width="6" style="593" customWidth="1"/>
    <col min="7691" max="7691" width="21.140625" style="593" bestFit="1" customWidth="1"/>
    <col min="7692" max="7692" width="9.7109375" style="593" bestFit="1" customWidth="1"/>
    <col min="7693" max="7693" width="20" style="593" customWidth="1"/>
    <col min="7694" max="7694" width="23.28515625" style="593" customWidth="1"/>
    <col min="7695" max="7695" width="15.7109375" style="593" customWidth="1"/>
    <col min="7696" max="7698" width="18.7109375" style="593" customWidth="1"/>
    <col min="7699" max="7936" width="8.85546875" style="593"/>
    <col min="7937" max="7937" width="36.140625" style="593" bestFit="1" customWidth="1"/>
    <col min="7938" max="7938" width="16.28515625" style="593" customWidth="1"/>
    <col min="7939" max="7939" width="12.5703125" style="593" bestFit="1" customWidth="1"/>
    <col min="7940" max="7940" width="13.85546875" style="593" bestFit="1" customWidth="1"/>
    <col min="7941" max="7941" width="16.7109375" style="593" customWidth="1"/>
    <col min="7942" max="7942" width="29.28515625" style="593" customWidth="1"/>
    <col min="7943" max="7943" width="37.42578125" style="593" customWidth="1"/>
    <col min="7944" max="7944" width="18.140625" style="593" customWidth="1"/>
    <col min="7945" max="7945" width="5.7109375" style="593" customWidth="1"/>
    <col min="7946" max="7946" width="6" style="593" customWidth="1"/>
    <col min="7947" max="7947" width="21.140625" style="593" bestFit="1" customWidth="1"/>
    <col min="7948" max="7948" width="9.7109375" style="593" bestFit="1" customWidth="1"/>
    <col min="7949" max="7949" width="20" style="593" customWidth="1"/>
    <col min="7950" max="7950" width="23.28515625" style="593" customWidth="1"/>
    <col min="7951" max="7951" width="15.7109375" style="593" customWidth="1"/>
    <col min="7952" max="7954" width="18.7109375" style="593" customWidth="1"/>
    <col min="7955" max="8192" width="8.85546875" style="593"/>
    <col min="8193" max="8193" width="36.140625" style="593" bestFit="1" customWidth="1"/>
    <col min="8194" max="8194" width="16.28515625" style="593" customWidth="1"/>
    <col min="8195" max="8195" width="12.5703125" style="593" bestFit="1" customWidth="1"/>
    <col min="8196" max="8196" width="13.85546875" style="593" bestFit="1" customWidth="1"/>
    <col min="8197" max="8197" width="16.7109375" style="593" customWidth="1"/>
    <col min="8198" max="8198" width="29.28515625" style="593" customWidth="1"/>
    <col min="8199" max="8199" width="37.42578125" style="593" customWidth="1"/>
    <col min="8200" max="8200" width="18.140625" style="593" customWidth="1"/>
    <col min="8201" max="8201" width="5.7109375" style="593" customWidth="1"/>
    <col min="8202" max="8202" width="6" style="593" customWidth="1"/>
    <col min="8203" max="8203" width="21.140625" style="593" bestFit="1" customWidth="1"/>
    <col min="8204" max="8204" width="9.7109375" style="593" bestFit="1" customWidth="1"/>
    <col min="8205" max="8205" width="20" style="593" customWidth="1"/>
    <col min="8206" max="8206" width="23.28515625" style="593" customWidth="1"/>
    <col min="8207" max="8207" width="15.7109375" style="593" customWidth="1"/>
    <col min="8208" max="8210" width="18.7109375" style="593" customWidth="1"/>
    <col min="8211" max="8448" width="8.85546875" style="593"/>
    <col min="8449" max="8449" width="36.140625" style="593" bestFit="1" customWidth="1"/>
    <col min="8450" max="8450" width="16.28515625" style="593" customWidth="1"/>
    <col min="8451" max="8451" width="12.5703125" style="593" bestFit="1" customWidth="1"/>
    <col min="8452" max="8452" width="13.85546875" style="593" bestFit="1" customWidth="1"/>
    <col min="8453" max="8453" width="16.7109375" style="593" customWidth="1"/>
    <col min="8454" max="8454" width="29.28515625" style="593" customWidth="1"/>
    <col min="8455" max="8455" width="37.42578125" style="593" customWidth="1"/>
    <col min="8456" max="8456" width="18.140625" style="593" customWidth="1"/>
    <col min="8457" max="8457" width="5.7109375" style="593" customWidth="1"/>
    <col min="8458" max="8458" width="6" style="593" customWidth="1"/>
    <col min="8459" max="8459" width="21.140625" style="593" bestFit="1" customWidth="1"/>
    <col min="8460" max="8460" width="9.7109375" style="593" bestFit="1" customWidth="1"/>
    <col min="8461" max="8461" width="20" style="593" customWidth="1"/>
    <col min="8462" max="8462" width="23.28515625" style="593" customWidth="1"/>
    <col min="8463" max="8463" width="15.7109375" style="593" customWidth="1"/>
    <col min="8464" max="8466" width="18.7109375" style="593" customWidth="1"/>
    <col min="8467" max="8704" width="8.85546875" style="593"/>
    <col min="8705" max="8705" width="36.140625" style="593" bestFit="1" customWidth="1"/>
    <col min="8706" max="8706" width="16.28515625" style="593" customWidth="1"/>
    <col min="8707" max="8707" width="12.5703125" style="593" bestFit="1" customWidth="1"/>
    <col min="8708" max="8708" width="13.85546875" style="593" bestFit="1" customWidth="1"/>
    <col min="8709" max="8709" width="16.7109375" style="593" customWidth="1"/>
    <col min="8710" max="8710" width="29.28515625" style="593" customWidth="1"/>
    <col min="8711" max="8711" width="37.42578125" style="593" customWidth="1"/>
    <col min="8712" max="8712" width="18.140625" style="593" customWidth="1"/>
    <col min="8713" max="8713" width="5.7109375" style="593" customWidth="1"/>
    <col min="8714" max="8714" width="6" style="593" customWidth="1"/>
    <col min="8715" max="8715" width="21.140625" style="593" bestFit="1" customWidth="1"/>
    <col min="8716" max="8716" width="9.7109375" style="593" bestFit="1" customWidth="1"/>
    <col min="8717" max="8717" width="20" style="593" customWidth="1"/>
    <col min="8718" max="8718" width="23.28515625" style="593" customWidth="1"/>
    <col min="8719" max="8719" width="15.7109375" style="593" customWidth="1"/>
    <col min="8720" max="8722" width="18.7109375" style="593" customWidth="1"/>
    <col min="8723" max="8960" width="8.85546875" style="593"/>
    <col min="8961" max="8961" width="36.140625" style="593" bestFit="1" customWidth="1"/>
    <col min="8962" max="8962" width="16.28515625" style="593" customWidth="1"/>
    <col min="8963" max="8963" width="12.5703125" style="593" bestFit="1" customWidth="1"/>
    <col min="8964" max="8964" width="13.85546875" style="593" bestFit="1" customWidth="1"/>
    <col min="8965" max="8965" width="16.7109375" style="593" customWidth="1"/>
    <col min="8966" max="8966" width="29.28515625" style="593" customWidth="1"/>
    <col min="8967" max="8967" width="37.42578125" style="593" customWidth="1"/>
    <col min="8968" max="8968" width="18.140625" style="593" customWidth="1"/>
    <col min="8969" max="8969" width="5.7109375" style="593" customWidth="1"/>
    <col min="8970" max="8970" width="6" style="593" customWidth="1"/>
    <col min="8971" max="8971" width="21.140625" style="593" bestFit="1" customWidth="1"/>
    <col min="8972" max="8972" width="9.7109375" style="593" bestFit="1" customWidth="1"/>
    <col min="8973" max="8973" width="20" style="593" customWidth="1"/>
    <col min="8974" max="8974" width="23.28515625" style="593" customWidth="1"/>
    <col min="8975" max="8975" width="15.7109375" style="593" customWidth="1"/>
    <col min="8976" max="8978" width="18.7109375" style="593" customWidth="1"/>
    <col min="8979" max="9216" width="8.85546875" style="593"/>
    <col min="9217" max="9217" width="36.140625" style="593" bestFit="1" customWidth="1"/>
    <col min="9218" max="9218" width="16.28515625" style="593" customWidth="1"/>
    <col min="9219" max="9219" width="12.5703125" style="593" bestFit="1" customWidth="1"/>
    <col min="9220" max="9220" width="13.85546875" style="593" bestFit="1" customWidth="1"/>
    <col min="9221" max="9221" width="16.7109375" style="593" customWidth="1"/>
    <col min="9222" max="9222" width="29.28515625" style="593" customWidth="1"/>
    <col min="9223" max="9223" width="37.42578125" style="593" customWidth="1"/>
    <col min="9224" max="9224" width="18.140625" style="593" customWidth="1"/>
    <col min="9225" max="9225" width="5.7109375" style="593" customWidth="1"/>
    <col min="9226" max="9226" width="6" style="593" customWidth="1"/>
    <col min="9227" max="9227" width="21.140625" style="593" bestFit="1" customWidth="1"/>
    <col min="9228" max="9228" width="9.7109375" style="593" bestFit="1" customWidth="1"/>
    <col min="9229" max="9229" width="20" style="593" customWidth="1"/>
    <col min="9230" max="9230" width="23.28515625" style="593" customWidth="1"/>
    <col min="9231" max="9231" width="15.7109375" style="593" customWidth="1"/>
    <col min="9232" max="9234" width="18.7109375" style="593" customWidth="1"/>
    <col min="9235" max="9472" width="8.85546875" style="593"/>
    <col min="9473" max="9473" width="36.140625" style="593" bestFit="1" customWidth="1"/>
    <col min="9474" max="9474" width="16.28515625" style="593" customWidth="1"/>
    <col min="9475" max="9475" width="12.5703125" style="593" bestFit="1" customWidth="1"/>
    <col min="9476" max="9476" width="13.85546875" style="593" bestFit="1" customWidth="1"/>
    <col min="9477" max="9477" width="16.7109375" style="593" customWidth="1"/>
    <col min="9478" max="9478" width="29.28515625" style="593" customWidth="1"/>
    <col min="9479" max="9479" width="37.42578125" style="593" customWidth="1"/>
    <col min="9480" max="9480" width="18.140625" style="593" customWidth="1"/>
    <col min="9481" max="9481" width="5.7109375" style="593" customWidth="1"/>
    <col min="9482" max="9482" width="6" style="593" customWidth="1"/>
    <col min="9483" max="9483" width="21.140625" style="593" bestFit="1" customWidth="1"/>
    <col min="9484" max="9484" width="9.7109375" style="593" bestFit="1" customWidth="1"/>
    <col min="9485" max="9485" width="20" style="593" customWidth="1"/>
    <col min="9486" max="9486" width="23.28515625" style="593" customWidth="1"/>
    <col min="9487" max="9487" width="15.7109375" style="593" customWidth="1"/>
    <col min="9488" max="9490" width="18.7109375" style="593" customWidth="1"/>
    <col min="9491" max="9728" width="8.85546875" style="593"/>
    <col min="9729" max="9729" width="36.140625" style="593" bestFit="1" customWidth="1"/>
    <col min="9730" max="9730" width="16.28515625" style="593" customWidth="1"/>
    <col min="9731" max="9731" width="12.5703125" style="593" bestFit="1" customWidth="1"/>
    <col min="9732" max="9732" width="13.85546875" style="593" bestFit="1" customWidth="1"/>
    <col min="9733" max="9733" width="16.7109375" style="593" customWidth="1"/>
    <col min="9734" max="9734" width="29.28515625" style="593" customWidth="1"/>
    <col min="9735" max="9735" width="37.42578125" style="593" customWidth="1"/>
    <col min="9736" max="9736" width="18.140625" style="593" customWidth="1"/>
    <col min="9737" max="9737" width="5.7109375" style="593" customWidth="1"/>
    <col min="9738" max="9738" width="6" style="593" customWidth="1"/>
    <col min="9739" max="9739" width="21.140625" style="593" bestFit="1" customWidth="1"/>
    <col min="9740" max="9740" width="9.7109375" style="593" bestFit="1" customWidth="1"/>
    <col min="9741" max="9741" width="20" style="593" customWidth="1"/>
    <col min="9742" max="9742" width="23.28515625" style="593" customWidth="1"/>
    <col min="9743" max="9743" width="15.7109375" style="593" customWidth="1"/>
    <col min="9744" max="9746" width="18.7109375" style="593" customWidth="1"/>
    <col min="9747" max="9984" width="8.85546875" style="593"/>
    <col min="9985" max="9985" width="36.140625" style="593" bestFit="1" customWidth="1"/>
    <col min="9986" max="9986" width="16.28515625" style="593" customWidth="1"/>
    <col min="9987" max="9987" width="12.5703125" style="593" bestFit="1" customWidth="1"/>
    <col min="9988" max="9988" width="13.85546875" style="593" bestFit="1" customWidth="1"/>
    <col min="9989" max="9989" width="16.7109375" style="593" customWidth="1"/>
    <col min="9990" max="9990" width="29.28515625" style="593" customWidth="1"/>
    <col min="9991" max="9991" width="37.42578125" style="593" customWidth="1"/>
    <col min="9992" max="9992" width="18.140625" style="593" customWidth="1"/>
    <col min="9993" max="9993" width="5.7109375" style="593" customWidth="1"/>
    <col min="9994" max="9994" width="6" style="593" customWidth="1"/>
    <col min="9995" max="9995" width="21.140625" style="593" bestFit="1" customWidth="1"/>
    <col min="9996" max="9996" width="9.7109375" style="593" bestFit="1" customWidth="1"/>
    <col min="9997" max="9997" width="20" style="593" customWidth="1"/>
    <col min="9998" max="9998" width="23.28515625" style="593" customWidth="1"/>
    <col min="9999" max="9999" width="15.7109375" style="593" customWidth="1"/>
    <col min="10000" max="10002" width="18.7109375" style="593" customWidth="1"/>
    <col min="10003" max="10240" width="8.85546875" style="593"/>
    <col min="10241" max="10241" width="36.140625" style="593" bestFit="1" customWidth="1"/>
    <col min="10242" max="10242" width="16.28515625" style="593" customWidth="1"/>
    <col min="10243" max="10243" width="12.5703125" style="593" bestFit="1" customWidth="1"/>
    <col min="10244" max="10244" width="13.85546875" style="593" bestFit="1" customWidth="1"/>
    <col min="10245" max="10245" width="16.7109375" style="593" customWidth="1"/>
    <col min="10246" max="10246" width="29.28515625" style="593" customWidth="1"/>
    <col min="10247" max="10247" width="37.42578125" style="593" customWidth="1"/>
    <col min="10248" max="10248" width="18.140625" style="593" customWidth="1"/>
    <col min="10249" max="10249" width="5.7109375" style="593" customWidth="1"/>
    <col min="10250" max="10250" width="6" style="593" customWidth="1"/>
    <col min="10251" max="10251" width="21.140625" style="593" bestFit="1" customWidth="1"/>
    <col min="10252" max="10252" width="9.7109375" style="593" bestFit="1" customWidth="1"/>
    <col min="10253" max="10253" width="20" style="593" customWidth="1"/>
    <col min="10254" max="10254" width="23.28515625" style="593" customWidth="1"/>
    <col min="10255" max="10255" width="15.7109375" style="593" customWidth="1"/>
    <col min="10256" max="10258" width="18.7109375" style="593" customWidth="1"/>
    <col min="10259" max="10496" width="8.85546875" style="593"/>
    <col min="10497" max="10497" width="36.140625" style="593" bestFit="1" customWidth="1"/>
    <col min="10498" max="10498" width="16.28515625" style="593" customWidth="1"/>
    <col min="10499" max="10499" width="12.5703125" style="593" bestFit="1" customWidth="1"/>
    <col min="10500" max="10500" width="13.85546875" style="593" bestFit="1" customWidth="1"/>
    <col min="10501" max="10501" width="16.7109375" style="593" customWidth="1"/>
    <col min="10502" max="10502" width="29.28515625" style="593" customWidth="1"/>
    <col min="10503" max="10503" width="37.42578125" style="593" customWidth="1"/>
    <col min="10504" max="10504" width="18.140625" style="593" customWidth="1"/>
    <col min="10505" max="10505" width="5.7109375" style="593" customWidth="1"/>
    <col min="10506" max="10506" width="6" style="593" customWidth="1"/>
    <col min="10507" max="10507" width="21.140625" style="593" bestFit="1" customWidth="1"/>
    <col min="10508" max="10508" width="9.7109375" style="593" bestFit="1" customWidth="1"/>
    <col min="10509" max="10509" width="20" style="593" customWidth="1"/>
    <col min="10510" max="10510" width="23.28515625" style="593" customWidth="1"/>
    <col min="10511" max="10511" width="15.7109375" style="593" customWidth="1"/>
    <col min="10512" max="10514" width="18.7109375" style="593" customWidth="1"/>
    <col min="10515" max="10752" width="8.85546875" style="593"/>
    <col min="10753" max="10753" width="36.140625" style="593" bestFit="1" customWidth="1"/>
    <col min="10754" max="10754" width="16.28515625" style="593" customWidth="1"/>
    <col min="10755" max="10755" width="12.5703125" style="593" bestFit="1" customWidth="1"/>
    <col min="10756" max="10756" width="13.85546875" style="593" bestFit="1" customWidth="1"/>
    <col min="10757" max="10757" width="16.7109375" style="593" customWidth="1"/>
    <col min="10758" max="10758" width="29.28515625" style="593" customWidth="1"/>
    <col min="10759" max="10759" width="37.42578125" style="593" customWidth="1"/>
    <col min="10760" max="10760" width="18.140625" style="593" customWidth="1"/>
    <col min="10761" max="10761" width="5.7109375" style="593" customWidth="1"/>
    <col min="10762" max="10762" width="6" style="593" customWidth="1"/>
    <col min="10763" max="10763" width="21.140625" style="593" bestFit="1" customWidth="1"/>
    <col min="10764" max="10764" width="9.7109375" style="593" bestFit="1" customWidth="1"/>
    <col min="10765" max="10765" width="20" style="593" customWidth="1"/>
    <col min="10766" max="10766" width="23.28515625" style="593" customWidth="1"/>
    <col min="10767" max="10767" width="15.7109375" style="593" customWidth="1"/>
    <col min="10768" max="10770" width="18.7109375" style="593" customWidth="1"/>
    <col min="10771" max="11008" width="8.85546875" style="593"/>
    <col min="11009" max="11009" width="36.140625" style="593" bestFit="1" customWidth="1"/>
    <col min="11010" max="11010" width="16.28515625" style="593" customWidth="1"/>
    <col min="11011" max="11011" width="12.5703125" style="593" bestFit="1" customWidth="1"/>
    <col min="11012" max="11012" width="13.85546875" style="593" bestFit="1" customWidth="1"/>
    <col min="11013" max="11013" width="16.7109375" style="593" customWidth="1"/>
    <col min="11014" max="11014" width="29.28515625" style="593" customWidth="1"/>
    <col min="11015" max="11015" width="37.42578125" style="593" customWidth="1"/>
    <col min="11016" max="11016" width="18.140625" style="593" customWidth="1"/>
    <col min="11017" max="11017" width="5.7109375" style="593" customWidth="1"/>
    <col min="11018" max="11018" width="6" style="593" customWidth="1"/>
    <col min="11019" max="11019" width="21.140625" style="593" bestFit="1" customWidth="1"/>
    <col min="11020" max="11020" width="9.7109375" style="593" bestFit="1" customWidth="1"/>
    <col min="11021" max="11021" width="20" style="593" customWidth="1"/>
    <col min="11022" max="11022" width="23.28515625" style="593" customWidth="1"/>
    <col min="11023" max="11023" width="15.7109375" style="593" customWidth="1"/>
    <col min="11024" max="11026" width="18.7109375" style="593" customWidth="1"/>
    <col min="11027" max="11264" width="8.85546875" style="593"/>
    <col min="11265" max="11265" width="36.140625" style="593" bestFit="1" customWidth="1"/>
    <col min="11266" max="11266" width="16.28515625" style="593" customWidth="1"/>
    <col min="11267" max="11267" width="12.5703125" style="593" bestFit="1" customWidth="1"/>
    <col min="11268" max="11268" width="13.85546875" style="593" bestFit="1" customWidth="1"/>
    <col min="11269" max="11269" width="16.7109375" style="593" customWidth="1"/>
    <col min="11270" max="11270" width="29.28515625" style="593" customWidth="1"/>
    <col min="11271" max="11271" width="37.42578125" style="593" customWidth="1"/>
    <col min="11272" max="11272" width="18.140625" style="593" customWidth="1"/>
    <col min="11273" max="11273" width="5.7109375" style="593" customWidth="1"/>
    <col min="11274" max="11274" width="6" style="593" customWidth="1"/>
    <col min="11275" max="11275" width="21.140625" style="593" bestFit="1" customWidth="1"/>
    <col min="11276" max="11276" width="9.7109375" style="593" bestFit="1" customWidth="1"/>
    <col min="11277" max="11277" width="20" style="593" customWidth="1"/>
    <col min="11278" max="11278" width="23.28515625" style="593" customWidth="1"/>
    <col min="11279" max="11279" width="15.7109375" style="593" customWidth="1"/>
    <col min="11280" max="11282" width="18.7109375" style="593" customWidth="1"/>
    <col min="11283" max="11520" width="8.85546875" style="593"/>
    <col min="11521" max="11521" width="36.140625" style="593" bestFit="1" customWidth="1"/>
    <col min="11522" max="11522" width="16.28515625" style="593" customWidth="1"/>
    <col min="11523" max="11523" width="12.5703125" style="593" bestFit="1" customWidth="1"/>
    <col min="11524" max="11524" width="13.85546875" style="593" bestFit="1" customWidth="1"/>
    <col min="11525" max="11525" width="16.7109375" style="593" customWidth="1"/>
    <col min="11526" max="11526" width="29.28515625" style="593" customWidth="1"/>
    <col min="11527" max="11527" width="37.42578125" style="593" customWidth="1"/>
    <col min="11528" max="11528" width="18.140625" style="593" customWidth="1"/>
    <col min="11529" max="11529" width="5.7109375" style="593" customWidth="1"/>
    <col min="11530" max="11530" width="6" style="593" customWidth="1"/>
    <col min="11531" max="11531" width="21.140625" style="593" bestFit="1" customWidth="1"/>
    <col min="11532" max="11532" width="9.7109375" style="593" bestFit="1" customWidth="1"/>
    <col min="11533" max="11533" width="20" style="593" customWidth="1"/>
    <col min="11534" max="11534" width="23.28515625" style="593" customWidth="1"/>
    <col min="11535" max="11535" width="15.7109375" style="593" customWidth="1"/>
    <col min="11536" max="11538" width="18.7109375" style="593" customWidth="1"/>
    <col min="11539" max="11776" width="8.85546875" style="593"/>
    <col min="11777" max="11777" width="36.140625" style="593" bestFit="1" customWidth="1"/>
    <col min="11778" max="11778" width="16.28515625" style="593" customWidth="1"/>
    <col min="11779" max="11779" width="12.5703125" style="593" bestFit="1" customWidth="1"/>
    <col min="11780" max="11780" width="13.85546875" style="593" bestFit="1" customWidth="1"/>
    <col min="11781" max="11781" width="16.7109375" style="593" customWidth="1"/>
    <col min="11782" max="11782" width="29.28515625" style="593" customWidth="1"/>
    <col min="11783" max="11783" width="37.42578125" style="593" customWidth="1"/>
    <col min="11784" max="11784" width="18.140625" style="593" customWidth="1"/>
    <col min="11785" max="11785" width="5.7109375" style="593" customWidth="1"/>
    <col min="11786" max="11786" width="6" style="593" customWidth="1"/>
    <col min="11787" max="11787" width="21.140625" style="593" bestFit="1" customWidth="1"/>
    <col min="11788" max="11788" width="9.7109375" style="593" bestFit="1" customWidth="1"/>
    <col min="11789" max="11789" width="20" style="593" customWidth="1"/>
    <col min="11790" max="11790" width="23.28515625" style="593" customWidth="1"/>
    <col min="11791" max="11791" width="15.7109375" style="593" customWidth="1"/>
    <col min="11792" max="11794" width="18.7109375" style="593" customWidth="1"/>
    <col min="11795" max="12032" width="8.85546875" style="593"/>
    <col min="12033" max="12033" width="36.140625" style="593" bestFit="1" customWidth="1"/>
    <col min="12034" max="12034" width="16.28515625" style="593" customWidth="1"/>
    <col min="12035" max="12035" width="12.5703125" style="593" bestFit="1" customWidth="1"/>
    <col min="12036" max="12036" width="13.85546875" style="593" bestFit="1" customWidth="1"/>
    <col min="12037" max="12037" width="16.7109375" style="593" customWidth="1"/>
    <col min="12038" max="12038" width="29.28515625" style="593" customWidth="1"/>
    <col min="12039" max="12039" width="37.42578125" style="593" customWidth="1"/>
    <col min="12040" max="12040" width="18.140625" style="593" customWidth="1"/>
    <col min="12041" max="12041" width="5.7109375" style="593" customWidth="1"/>
    <col min="12042" max="12042" width="6" style="593" customWidth="1"/>
    <col min="12043" max="12043" width="21.140625" style="593" bestFit="1" customWidth="1"/>
    <col min="12044" max="12044" width="9.7109375" style="593" bestFit="1" customWidth="1"/>
    <col min="12045" max="12045" width="20" style="593" customWidth="1"/>
    <col min="12046" max="12046" width="23.28515625" style="593" customWidth="1"/>
    <col min="12047" max="12047" width="15.7109375" style="593" customWidth="1"/>
    <col min="12048" max="12050" width="18.7109375" style="593" customWidth="1"/>
    <col min="12051" max="12288" width="8.85546875" style="593"/>
    <col min="12289" max="12289" width="36.140625" style="593" bestFit="1" customWidth="1"/>
    <col min="12290" max="12290" width="16.28515625" style="593" customWidth="1"/>
    <col min="12291" max="12291" width="12.5703125" style="593" bestFit="1" customWidth="1"/>
    <col min="12292" max="12292" width="13.85546875" style="593" bestFit="1" customWidth="1"/>
    <col min="12293" max="12293" width="16.7109375" style="593" customWidth="1"/>
    <col min="12294" max="12294" width="29.28515625" style="593" customWidth="1"/>
    <col min="12295" max="12295" width="37.42578125" style="593" customWidth="1"/>
    <col min="12296" max="12296" width="18.140625" style="593" customWidth="1"/>
    <col min="12297" max="12297" width="5.7109375" style="593" customWidth="1"/>
    <col min="12298" max="12298" width="6" style="593" customWidth="1"/>
    <col min="12299" max="12299" width="21.140625" style="593" bestFit="1" customWidth="1"/>
    <col min="12300" max="12300" width="9.7109375" style="593" bestFit="1" customWidth="1"/>
    <col min="12301" max="12301" width="20" style="593" customWidth="1"/>
    <col min="12302" max="12302" width="23.28515625" style="593" customWidth="1"/>
    <col min="12303" max="12303" width="15.7109375" style="593" customWidth="1"/>
    <col min="12304" max="12306" width="18.7109375" style="593" customWidth="1"/>
    <col min="12307" max="12544" width="8.85546875" style="593"/>
    <col min="12545" max="12545" width="36.140625" style="593" bestFit="1" customWidth="1"/>
    <col min="12546" max="12546" width="16.28515625" style="593" customWidth="1"/>
    <col min="12547" max="12547" width="12.5703125" style="593" bestFit="1" customWidth="1"/>
    <col min="12548" max="12548" width="13.85546875" style="593" bestFit="1" customWidth="1"/>
    <col min="12549" max="12549" width="16.7109375" style="593" customWidth="1"/>
    <col min="12550" max="12550" width="29.28515625" style="593" customWidth="1"/>
    <col min="12551" max="12551" width="37.42578125" style="593" customWidth="1"/>
    <col min="12552" max="12552" width="18.140625" style="593" customWidth="1"/>
    <col min="12553" max="12553" width="5.7109375" style="593" customWidth="1"/>
    <col min="12554" max="12554" width="6" style="593" customWidth="1"/>
    <col min="12555" max="12555" width="21.140625" style="593" bestFit="1" customWidth="1"/>
    <col min="12556" max="12556" width="9.7109375" style="593" bestFit="1" customWidth="1"/>
    <col min="12557" max="12557" width="20" style="593" customWidth="1"/>
    <col min="12558" max="12558" width="23.28515625" style="593" customWidth="1"/>
    <col min="12559" max="12559" width="15.7109375" style="593" customWidth="1"/>
    <col min="12560" max="12562" width="18.7109375" style="593" customWidth="1"/>
    <col min="12563" max="12800" width="8.85546875" style="593"/>
    <col min="12801" max="12801" width="36.140625" style="593" bestFit="1" customWidth="1"/>
    <col min="12802" max="12802" width="16.28515625" style="593" customWidth="1"/>
    <col min="12803" max="12803" width="12.5703125" style="593" bestFit="1" customWidth="1"/>
    <col min="12804" max="12804" width="13.85546875" style="593" bestFit="1" customWidth="1"/>
    <col min="12805" max="12805" width="16.7109375" style="593" customWidth="1"/>
    <col min="12806" max="12806" width="29.28515625" style="593" customWidth="1"/>
    <col min="12807" max="12807" width="37.42578125" style="593" customWidth="1"/>
    <col min="12808" max="12808" width="18.140625" style="593" customWidth="1"/>
    <col min="12809" max="12809" width="5.7109375" style="593" customWidth="1"/>
    <col min="12810" max="12810" width="6" style="593" customWidth="1"/>
    <col min="12811" max="12811" width="21.140625" style="593" bestFit="1" customWidth="1"/>
    <col min="12812" max="12812" width="9.7109375" style="593" bestFit="1" customWidth="1"/>
    <col min="12813" max="12813" width="20" style="593" customWidth="1"/>
    <col min="12814" max="12814" width="23.28515625" style="593" customWidth="1"/>
    <col min="12815" max="12815" width="15.7109375" style="593" customWidth="1"/>
    <col min="12816" max="12818" width="18.7109375" style="593" customWidth="1"/>
    <col min="12819" max="13056" width="8.85546875" style="593"/>
    <col min="13057" max="13057" width="36.140625" style="593" bestFit="1" customWidth="1"/>
    <col min="13058" max="13058" width="16.28515625" style="593" customWidth="1"/>
    <col min="13059" max="13059" width="12.5703125" style="593" bestFit="1" customWidth="1"/>
    <col min="13060" max="13060" width="13.85546875" style="593" bestFit="1" customWidth="1"/>
    <col min="13061" max="13061" width="16.7109375" style="593" customWidth="1"/>
    <col min="13062" max="13062" width="29.28515625" style="593" customWidth="1"/>
    <col min="13063" max="13063" width="37.42578125" style="593" customWidth="1"/>
    <col min="13064" max="13064" width="18.140625" style="593" customWidth="1"/>
    <col min="13065" max="13065" width="5.7109375" style="593" customWidth="1"/>
    <col min="13066" max="13066" width="6" style="593" customWidth="1"/>
    <col min="13067" max="13067" width="21.140625" style="593" bestFit="1" customWidth="1"/>
    <col min="13068" max="13068" width="9.7109375" style="593" bestFit="1" customWidth="1"/>
    <col min="13069" max="13069" width="20" style="593" customWidth="1"/>
    <col min="13070" max="13070" width="23.28515625" style="593" customWidth="1"/>
    <col min="13071" max="13071" width="15.7109375" style="593" customWidth="1"/>
    <col min="13072" max="13074" width="18.7109375" style="593" customWidth="1"/>
    <col min="13075" max="13312" width="8.85546875" style="593"/>
    <col min="13313" max="13313" width="36.140625" style="593" bestFit="1" customWidth="1"/>
    <col min="13314" max="13314" width="16.28515625" style="593" customWidth="1"/>
    <col min="13315" max="13315" width="12.5703125" style="593" bestFit="1" customWidth="1"/>
    <col min="13316" max="13316" width="13.85546875" style="593" bestFit="1" customWidth="1"/>
    <col min="13317" max="13317" width="16.7109375" style="593" customWidth="1"/>
    <col min="13318" max="13318" width="29.28515625" style="593" customWidth="1"/>
    <col min="13319" max="13319" width="37.42578125" style="593" customWidth="1"/>
    <col min="13320" max="13320" width="18.140625" style="593" customWidth="1"/>
    <col min="13321" max="13321" width="5.7109375" style="593" customWidth="1"/>
    <col min="13322" max="13322" width="6" style="593" customWidth="1"/>
    <col min="13323" max="13323" width="21.140625" style="593" bestFit="1" customWidth="1"/>
    <col min="13324" max="13324" width="9.7109375" style="593" bestFit="1" customWidth="1"/>
    <col min="13325" max="13325" width="20" style="593" customWidth="1"/>
    <col min="13326" max="13326" width="23.28515625" style="593" customWidth="1"/>
    <col min="13327" max="13327" width="15.7109375" style="593" customWidth="1"/>
    <col min="13328" max="13330" width="18.7109375" style="593" customWidth="1"/>
    <col min="13331" max="13568" width="8.85546875" style="593"/>
    <col min="13569" max="13569" width="36.140625" style="593" bestFit="1" customWidth="1"/>
    <col min="13570" max="13570" width="16.28515625" style="593" customWidth="1"/>
    <col min="13571" max="13571" width="12.5703125" style="593" bestFit="1" customWidth="1"/>
    <col min="13572" max="13572" width="13.85546875" style="593" bestFit="1" customWidth="1"/>
    <col min="13573" max="13573" width="16.7109375" style="593" customWidth="1"/>
    <col min="13574" max="13574" width="29.28515625" style="593" customWidth="1"/>
    <col min="13575" max="13575" width="37.42578125" style="593" customWidth="1"/>
    <col min="13576" max="13576" width="18.140625" style="593" customWidth="1"/>
    <col min="13577" max="13577" width="5.7109375" style="593" customWidth="1"/>
    <col min="13578" max="13578" width="6" style="593" customWidth="1"/>
    <col min="13579" max="13579" width="21.140625" style="593" bestFit="1" customWidth="1"/>
    <col min="13580" max="13580" width="9.7109375" style="593" bestFit="1" customWidth="1"/>
    <col min="13581" max="13581" width="20" style="593" customWidth="1"/>
    <col min="13582" max="13582" width="23.28515625" style="593" customWidth="1"/>
    <col min="13583" max="13583" width="15.7109375" style="593" customWidth="1"/>
    <col min="13584" max="13586" width="18.7109375" style="593" customWidth="1"/>
    <col min="13587" max="13824" width="8.85546875" style="593"/>
    <col min="13825" max="13825" width="36.140625" style="593" bestFit="1" customWidth="1"/>
    <col min="13826" max="13826" width="16.28515625" style="593" customWidth="1"/>
    <col min="13827" max="13827" width="12.5703125" style="593" bestFit="1" customWidth="1"/>
    <col min="13828" max="13828" width="13.85546875" style="593" bestFit="1" customWidth="1"/>
    <col min="13829" max="13829" width="16.7109375" style="593" customWidth="1"/>
    <col min="13830" max="13830" width="29.28515625" style="593" customWidth="1"/>
    <col min="13831" max="13831" width="37.42578125" style="593" customWidth="1"/>
    <col min="13832" max="13832" width="18.140625" style="593" customWidth="1"/>
    <col min="13833" max="13833" width="5.7109375" style="593" customWidth="1"/>
    <col min="13834" max="13834" width="6" style="593" customWidth="1"/>
    <col min="13835" max="13835" width="21.140625" style="593" bestFit="1" customWidth="1"/>
    <col min="13836" max="13836" width="9.7109375" style="593" bestFit="1" customWidth="1"/>
    <col min="13837" max="13837" width="20" style="593" customWidth="1"/>
    <col min="13838" max="13838" width="23.28515625" style="593" customWidth="1"/>
    <col min="13839" max="13839" width="15.7109375" style="593" customWidth="1"/>
    <col min="13840" max="13842" width="18.7109375" style="593" customWidth="1"/>
    <col min="13843" max="14080" width="8.85546875" style="593"/>
    <col min="14081" max="14081" width="36.140625" style="593" bestFit="1" customWidth="1"/>
    <col min="14082" max="14082" width="16.28515625" style="593" customWidth="1"/>
    <col min="14083" max="14083" width="12.5703125" style="593" bestFit="1" customWidth="1"/>
    <col min="14084" max="14084" width="13.85546875" style="593" bestFit="1" customWidth="1"/>
    <col min="14085" max="14085" width="16.7109375" style="593" customWidth="1"/>
    <col min="14086" max="14086" width="29.28515625" style="593" customWidth="1"/>
    <col min="14087" max="14087" width="37.42578125" style="593" customWidth="1"/>
    <col min="14088" max="14088" width="18.140625" style="593" customWidth="1"/>
    <col min="14089" max="14089" width="5.7109375" style="593" customWidth="1"/>
    <col min="14090" max="14090" width="6" style="593" customWidth="1"/>
    <col min="14091" max="14091" width="21.140625" style="593" bestFit="1" customWidth="1"/>
    <col min="14092" max="14092" width="9.7109375" style="593" bestFit="1" customWidth="1"/>
    <col min="14093" max="14093" width="20" style="593" customWidth="1"/>
    <col min="14094" max="14094" width="23.28515625" style="593" customWidth="1"/>
    <col min="14095" max="14095" width="15.7109375" style="593" customWidth="1"/>
    <col min="14096" max="14098" width="18.7109375" style="593" customWidth="1"/>
    <col min="14099" max="14336" width="8.85546875" style="593"/>
    <col min="14337" max="14337" width="36.140625" style="593" bestFit="1" customWidth="1"/>
    <col min="14338" max="14338" width="16.28515625" style="593" customWidth="1"/>
    <col min="14339" max="14339" width="12.5703125" style="593" bestFit="1" customWidth="1"/>
    <col min="14340" max="14340" width="13.85546875" style="593" bestFit="1" customWidth="1"/>
    <col min="14341" max="14341" width="16.7109375" style="593" customWidth="1"/>
    <col min="14342" max="14342" width="29.28515625" style="593" customWidth="1"/>
    <col min="14343" max="14343" width="37.42578125" style="593" customWidth="1"/>
    <col min="14344" max="14344" width="18.140625" style="593" customWidth="1"/>
    <col min="14345" max="14345" width="5.7109375" style="593" customWidth="1"/>
    <col min="14346" max="14346" width="6" style="593" customWidth="1"/>
    <col min="14347" max="14347" width="21.140625" style="593" bestFit="1" customWidth="1"/>
    <col min="14348" max="14348" width="9.7109375" style="593" bestFit="1" customWidth="1"/>
    <col min="14349" max="14349" width="20" style="593" customWidth="1"/>
    <col min="14350" max="14350" width="23.28515625" style="593" customWidth="1"/>
    <col min="14351" max="14351" width="15.7109375" style="593" customWidth="1"/>
    <col min="14352" max="14354" width="18.7109375" style="593" customWidth="1"/>
    <col min="14355" max="14592" width="8.85546875" style="593"/>
    <col min="14593" max="14593" width="36.140625" style="593" bestFit="1" customWidth="1"/>
    <col min="14594" max="14594" width="16.28515625" style="593" customWidth="1"/>
    <col min="14595" max="14595" width="12.5703125" style="593" bestFit="1" customWidth="1"/>
    <col min="14596" max="14596" width="13.85546875" style="593" bestFit="1" customWidth="1"/>
    <col min="14597" max="14597" width="16.7109375" style="593" customWidth="1"/>
    <col min="14598" max="14598" width="29.28515625" style="593" customWidth="1"/>
    <col min="14599" max="14599" width="37.42578125" style="593" customWidth="1"/>
    <col min="14600" max="14600" width="18.140625" style="593" customWidth="1"/>
    <col min="14601" max="14601" width="5.7109375" style="593" customWidth="1"/>
    <col min="14602" max="14602" width="6" style="593" customWidth="1"/>
    <col min="14603" max="14603" width="21.140625" style="593" bestFit="1" customWidth="1"/>
    <col min="14604" max="14604" width="9.7109375" style="593" bestFit="1" customWidth="1"/>
    <col min="14605" max="14605" width="20" style="593" customWidth="1"/>
    <col min="14606" max="14606" width="23.28515625" style="593" customWidth="1"/>
    <col min="14607" max="14607" width="15.7109375" style="593" customWidth="1"/>
    <col min="14608" max="14610" width="18.7109375" style="593" customWidth="1"/>
    <col min="14611" max="14848" width="8.85546875" style="593"/>
    <col min="14849" max="14849" width="36.140625" style="593" bestFit="1" customWidth="1"/>
    <col min="14850" max="14850" width="16.28515625" style="593" customWidth="1"/>
    <col min="14851" max="14851" width="12.5703125" style="593" bestFit="1" customWidth="1"/>
    <col min="14852" max="14852" width="13.85546875" style="593" bestFit="1" customWidth="1"/>
    <col min="14853" max="14853" width="16.7109375" style="593" customWidth="1"/>
    <col min="14854" max="14854" width="29.28515625" style="593" customWidth="1"/>
    <col min="14855" max="14855" width="37.42578125" style="593" customWidth="1"/>
    <col min="14856" max="14856" width="18.140625" style="593" customWidth="1"/>
    <col min="14857" max="14857" width="5.7109375" style="593" customWidth="1"/>
    <col min="14858" max="14858" width="6" style="593" customWidth="1"/>
    <col min="14859" max="14859" width="21.140625" style="593" bestFit="1" customWidth="1"/>
    <col min="14860" max="14860" width="9.7109375" style="593" bestFit="1" customWidth="1"/>
    <col min="14861" max="14861" width="20" style="593" customWidth="1"/>
    <col min="14862" max="14862" width="23.28515625" style="593" customWidth="1"/>
    <col min="14863" max="14863" width="15.7109375" style="593" customWidth="1"/>
    <col min="14864" max="14866" width="18.7109375" style="593" customWidth="1"/>
    <col min="14867" max="15104" width="8.85546875" style="593"/>
    <col min="15105" max="15105" width="36.140625" style="593" bestFit="1" customWidth="1"/>
    <col min="15106" max="15106" width="16.28515625" style="593" customWidth="1"/>
    <col min="15107" max="15107" width="12.5703125" style="593" bestFit="1" customWidth="1"/>
    <col min="15108" max="15108" width="13.85546875" style="593" bestFit="1" customWidth="1"/>
    <col min="15109" max="15109" width="16.7109375" style="593" customWidth="1"/>
    <col min="15110" max="15110" width="29.28515625" style="593" customWidth="1"/>
    <col min="15111" max="15111" width="37.42578125" style="593" customWidth="1"/>
    <col min="15112" max="15112" width="18.140625" style="593" customWidth="1"/>
    <col min="15113" max="15113" width="5.7109375" style="593" customWidth="1"/>
    <col min="15114" max="15114" width="6" style="593" customWidth="1"/>
    <col min="15115" max="15115" width="21.140625" style="593" bestFit="1" customWidth="1"/>
    <col min="15116" max="15116" width="9.7109375" style="593" bestFit="1" customWidth="1"/>
    <col min="15117" max="15117" width="20" style="593" customWidth="1"/>
    <col min="15118" max="15118" width="23.28515625" style="593" customWidth="1"/>
    <col min="15119" max="15119" width="15.7109375" style="593" customWidth="1"/>
    <col min="15120" max="15122" width="18.7109375" style="593" customWidth="1"/>
    <col min="15123" max="15360" width="8.85546875" style="593"/>
    <col min="15361" max="15361" width="36.140625" style="593" bestFit="1" customWidth="1"/>
    <col min="15362" max="15362" width="16.28515625" style="593" customWidth="1"/>
    <col min="15363" max="15363" width="12.5703125" style="593" bestFit="1" customWidth="1"/>
    <col min="15364" max="15364" width="13.85546875" style="593" bestFit="1" customWidth="1"/>
    <col min="15365" max="15365" width="16.7109375" style="593" customWidth="1"/>
    <col min="15366" max="15366" width="29.28515625" style="593" customWidth="1"/>
    <col min="15367" max="15367" width="37.42578125" style="593" customWidth="1"/>
    <col min="15368" max="15368" width="18.140625" style="593" customWidth="1"/>
    <col min="15369" max="15369" width="5.7109375" style="593" customWidth="1"/>
    <col min="15370" max="15370" width="6" style="593" customWidth="1"/>
    <col min="15371" max="15371" width="21.140625" style="593" bestFit="1" customWidth="1"/>
    <col min="15372" max="15372" width="9.7109375" style="593" bestFit="1" customWidth="1"/>
    <col min="15373" max="15373" width="20" style="593" customWidth="1"/>
    <col min="15374" max="15374" width="23.28515625" style="593" customWidth="1"/>
    <col min="15375" max="15375" width="15.7109375" style="593" customWidth="1"/>
    <col min="15376" max="15378" width="18.7109375" style="593" customWidth="1"/>
    <col min="15379" max="15616" width="8.85546875" style="593"/>
    <col min="15617" max="15617" width="36.140625" style="593" bestFit="1" customWidth="1"/>
    <col min="15618" max="15618" width="16.28515625" style="593" customWidth="1"/>
    <col min="15619" max="15619" width="12.5703125" style="593" bestFit="1" customWidth="1"/>
    <col min="15620" max="15620" width="13.85546875" style="593" bestFit="1" customWidth="1"/>
    <col min="15621" max="15621" width="16.7109375" style="593" customWidth="1"/>
    <col min="15622" max="15622" width="29.28515625" style="593" customWidth="1"/>
    <col min="15623" max="15623" width="37.42578125" style="593" customWidth="1"/>
    <col min="15624" max="15624" width="18.140625" style="593" customWidth="1"/>
    <col min="15625" max="15625" width="5.7109375" style="593" customWidth="1"/>
    <col min="15626" max="15626" width="6" style="593" customWidth="1"/>
    <col min="15627" max="15627" width="21.140625" style="593" bestFit="1" customWidth="1"/>
    <col min="15628" max="15628" width="9.7109375" style="593" bestFit="1" customWidth="1"/>
    <col min="15629" max="15629" width="20" style="593" customWidth="1"/>
    <col min="15630" max="15630" width="23.28515625" style="593" customWidth="1"/>
    <col min="15631" max="15631" width="15.7109375" style="593" customWidth="1"/>
    <col min="15632" max="15634" width="18.7109375" style="593" customWidth="1"/>
    <col min="15635" max="15872" width="8.85546875" style="593"/>
    <col min="15873" max="15873" width="36.140625" style="593" bestFit="1" customWidth="1"/>
    <col min="15874" max="15874" width="16.28515625" style="593" customWidth="1"/>
    <col min="15875" max="15875" width="12.5703125" style="593" bestFit="1" customWidth="1"/>
    <col min="15876" max="15876" width="13.85546875" style="593" bestFit="1" customWidth="1"/>
    <col min="15877" max="15877" width="16.7109375" style="593" customWidth="1"/>
    <col min="15878" max="15878" width="29.28515625" style="593" customWidth="1"/>
    <col min="15879" max="15879" width="37.42578125" style="593" customWidth="1"/>
    <col min="15880" max="15880" width="18.140625" style="593" customWidth="1"/>
    <col min="15881" max="15881" width="5.7109375" style="593" customWidth="1"/>
    <col min="15882" max="15882" width="6" style="593" customWidth="1"/>
    <col min="15883" max="15883" width="21.140625" style="593" bestFit="1" customWidth="1"/>
    <col min="15884" max="15884" width="9.7109375" style="593" bestFit="1" customWidth="1"/>
    <col min="15885" max="15885" width="20" style="593" customWidth="1"/>
    <col min="15886" max="15886" width="23.28515625" style="593" customWidth="1"/>
    <col min="15887" max="15887" width="15.7109375" style="593" customWidth="1"/>
    <col min="15888" max="15890" width="18.7109375" style="593" customWidth="1"/>
    <col min="15891" max="16128" width="8.85546875" style="593"/>
    <col min="16129" max="16129" width="36.140625" style="593" bestFit="1" customWidth="1"/>
    <col min="16130" max="16130" width="16.28515625" style="593" customWidth="1"/>
    <col min="16131" max="16131" width="12.5703125" style="593" bestFit="1" customWidth="1"/>
    <col min="16132" max="16132" width="13.85546875" style="593" bestFit="1" customWidth="1"/>
    <col min="16133" max="16133" width="16.7109375" style="593" customWidth="1"/>
    <col min="16134" max="16134" width="29.28515625" style="593" customWidth="1"/>
    <col min="16135" max="16135" width="37.42578125" style="593" customWidth="1"/>
    <col min="16136" max="16136" width="18.140625" style="593" customWidth="1"/>
    <col min="16137" max="16137" width="5.7109375" style="593" customWidth="1"/>
    <col min="16138" max="16138" width="6" style="593" customWidth="1"/>
    <col min="16139" max="16139" width="21.140625" style="593" bestFit="1" customWidth="1"/>
    <col min="16140" max="16140" width="9.7109375" style="593" bestFit="1" customWidth="1"/>
    <col min="16141" max="16141" width="20" style="593" customWidth="1"/>
    <col min="16142" max="16142" width="23.28515625" style="593" customWidth="1"/>
    <col min="16143" max="16143" width="15.7109375" style="593" customWidth="1"/>
    <col min="16144" max="16146" width="18.7109375" style="593" customWidth="1"/>
    <col min="16147" max="16384" width="8.85546875" style="593"/>
  </cols>
  <sheetData>
    <row r="1" spans="1:12" ht="21">
      <c r="A1" s="4757" t="s">
        <v>6359</v>
      </c>
      <c r="B1" s="4758"/>
      <c r="C1" s="4758"/>
      <c r="D1" s="4758"/>
      <c r="E1" s="4758"/>
      <c r="F1" s="4758"/>
      <c r="G1" s="2351"/>
      <c r="H1" s="2351"/>
      <c r="I1" s="2351"/>
      <c r="J1" s="2351"/>
      <c r="K1" s="2351"/>
      <c r="L1" s="2351"/>
    </row>
    <row r="2" spans="1:12">
      <c r="A2" s="3287"/>
    </row>
    <row r="3" spans="1:12">
      <c r="A3" s="3288" t="s">
        <v>6001</v>
      </c>
    </row>
    <row r="4" spans="1:12">
      <c r="A4" s="3287"/>
    </row>
    <row r="5" spans="1:12">
      <c r="A5" s="3289"/>
      <c r="B5" s="3611">
        <v>2012</v>
      </c>
      <c r="C5" s="3611">
        <v>2013</v>
      </c>
      <c r="D5" s="3611">
        <v>2014</v>
      </c>
      <c r="E5" s="3611">
        <v>2015</v>
      </c>
      <c r="F5" s="3611">
        <v>2016</v>
      </c>
      <c r="G5" s="3611">
        <v>2017</v>
      </c>
      <c r="H5" s="3611">
        <v>2018</v>
      </c>
      <c r="I5" s="3611">
        <v>2019</v>
      </c>
      <c r="J5" s="3612">
        <v>2020</v>
      </c>
    </row>
    <row r="6" spans="1:12">
      <c r="A6" s="2437" t="s">
        <v>6002</v>
      </c>
      <c r="B6" s="2447">
        <v>58274</v>
      </c>
      <c r="C6" s="2447">
        <v>51577</v>
      </c>
      <c r="D6" s="2447">
        <v>82074</v>
      </c>
      <c r="E6" s="2447">
        <v>69085</v>
      </c>
      <c r="F6" s="2447">
        <v>80123</v>
      </c>
      <c r="G6" s="2447">
        <v>100395</v>
      </c>
      <c r="H6" s="2426">
        <v>86917</v>
      </c>
      <c r="I6" s="2426">
        <v>76906</v>
      </c>
      <c r="J6" s="3446"/>
    </row>
    <row r="7" spans="1:12">
      <c r="A7" s="3287"/>
    </row>
    <row r="8" spans="1:12">
      <c r="A8" s="3287"/>
    </row>
    <row r="9" spans="1:12" ht="15">
      <c r="A9" s="3286" t="s">
        <v>20</v>
      </c>
    </row>
    <row r="10" spans="1:12">
      <c r="A10" s="3287"/>
    </row>
    <row r="11" spans="1:12">
      <c r="A11" s="3287"/>
    </row>
    <row r="12" spans="1:12" s="2351" customFormat="1">
      <c r="A12" s="3289" t="s">
        <v>6050</v>
      </c>
      <c r="B12" s="3290">
        <v>2005</v>
      </c>
      <c r="C12" s="3290">
        <v>2006</v>
      </c>
      <c r="D12" s="3290">
        <v>2007</v>
      </c>
      <c r="E12" s="3290">
        <v>2008</v>
      </c>
      <c r="F12" s="3291">
        <v>2009</v>
      </c>
      <c r="G12" s="3291">
        <v>2010</v>
      </c>
      <c r="H12" s="3291">
        <v>2011</v>
      </c>
      <c r="I12" s="3291">
        <v>2012</v>
      </c>
      <c r="J12" s="3291">
        <v>2013</v>
      </c>
      <c r="K12" s="3292" t="s">
        <v>6051</v>
      </c>
    </row>
    <row r="13" spans="1:12" s="1396" customFormat="1">
      <c r="A13" s="2363" t="s">
        <v>6052</v>
      </c>
      <c r="B13" s="2317"/>
      <c r="C13" s="2317"/>
      <c r="D13" s="2317"/>
      <c r="E13" s="2317"/>
      <c r="F13" s="2314"/>
      <c r="G13" s="2317" t="s">
        <v>6053</v>
      </c>
      <c r="H13" s="2317">
        <v>15839</v>
      </c>
      <c r="I13" s="2317">
        <v>14295</v>
      </c>
      <c r="J13" s="2317">
        <v>13678</v>
      </c>
      <c r="K13" s="2375" t="s">
        <v>6054</v>
      </c>
    </row>
    <row r="14" spans="1:12" s="1396" customFormat="1">
      <c r="A14" s="2363" t="s">
        <v>6055</v>
      </c>
      <c r="B14" s="2317"/>
      <c r="C14" s="2317"/>
      <c r="D14" s="2317"/>
      <c r="E14" s="2317"/>
      <c r="F14" s="2314"/>
      <c r="G14" s="2317"/>
      <c r="H14" s="2317"/>
      <c r="I14" s="2317"/>
      <c r="J14" s="2317"/>
      <c r="K14" s="2375"/>
    </row>
    <row r="15" spans="1:12" s="1396" customFormat="1">
      <c r="A15" s="2716" t="s">
        <v>6056</v>
      </c>
      <c r="B15" s="2317">
        <v>18041</v>
      </c>
      <c r="C15" s="2317">
        <v>16384</v>
      </c>
      <c r="D15" s="2317">
        <v>16288</v>
      </c>
      <c r="E15" s="2317">
        <v>16545</v>
      </c>
      <c r="F15" s="3293">
        <v>15487</v>
      </c>
      <c r="G15" s="2317"/>
      <c r="H15" s="2317"/>
      <c r="I15" s="2317">
        <v>10410</v>
      </c>
      <c r="J15" s="2317">
        <v>9625</v>
      </c>
      <c r="K15" s="2375"/>
    </row>
    <row r="16" spans="1:12" s="1396" customFormat="1">
      <c r="A16" s="2716" t="s">
        <v>6057</v>
      </c>
      <c r="B16" s="2317">
        <v>2113</v>
      </c>
      <c r="C16" s="2317">
        <v>1807</v>
      </c>
      <c r="D16" s="2317">
        <v>1760</v>
      </c>
      <c r="E16" s="2317">
        <v>1353</v>
      </c>
      <c r="F16" s="3293">
        <v>1537</v>
      </c>
      <c r="G16" s="2317"/>
      <c r="H16" s="2317"/>
      <c r="I16" s="2317">
        <v>710</v>
      </c>
      <c r="J16" s="2317">
        <v>666</v>
      </c>
      <c r="K16" s="2375"/>
    </row>
    <row r="17" spans="1:11" s="1396" customFormat="1">
      <c r="A17" s="2716" t="s">
        <v>6058</v>
      </c>
      <c r="B17" s="2317">
        <v>924</v>
      </c>
      <c r="C17" s="2317">
        <v>986</v>
      </c>
      <c r="D17" s="2317">
        <v>1011</v>
      </c>
      <c r="E17" s="2317">
        <v>933</v>
      </c>
      <c r="F17" s="3293">
        <v>951</v>
      </c>
      <c r="G17" s="2317"/>
      <c r="H17" s="2317"/>
      <c r="I17" s="2317">
        <v>520</v>
      </c>
      <c r="J17" s="2317">
        <v>553</v>
      </c>
      <c r="K17" s="2375"/>
    </row>
    <row r="18" spans="1:11" s="1396" customFormat="1">
      <c r="A18" s="2716" t="s">
        <v>6059</v>
      </c>
      <c r="B18" s="2317">
        <v>781</v>
      </c>
      <c r="C18" s="2317">
        <v>970</v>
      </c>
      <c r="D18" s="2317">
        <v>887</v>
      </c>
      <c r="E18" s="2317">
        <v>743</v>
      </c>
      <c r="F18" s="3293">
        <v>793</v>
      </c>
      <c r="G18" s="2317"/>
      <c r="H18" s="2317"/>
      <c r="I18" s="2317">
        <v>526</v>
      </c>
      <c r="J18" s="2317">
        <v>570</v>
      </c>
      <c r="K18" s="2375"/>
    </row>
    <row r="19" spans="1:11" s="1396" customFormat="1">
      <c r="A19" s="2716" t="s">
        <v>6060</v>
      </c>
      <c r="B19" s="2317">
        <v>988</v>
      </c>
      <c r="C19" s="2317">
        <v>1231</v>
      </c>
      <c r="D19" s="2317">
        <v>1646</v>
      </c>
      <c r="E19" s="2317">
        <v>1456</v>
      </c>
      <c r="F19" s="3293">
        <v>1295</v>
      </c>
      <c r="G19" s="2317"/>
      <c r="H19" s="2317"/>
      <c r="I19" s="2317">
        <v>1228</v>
      </c>
      <c r="J19" s="2317">
        <v>1307</v>
      </c>
      <c r="K19" s="2375"/>
    </row>
    <row r="20" spans="1:11" s="1396" customFormat="1">
      <c r="A20" s="2716" t="s">
        <v>6061</v>
      </c>
      <c r="B20" s="2317">
        <v>703</v>
      </c>
      <c r="C20" s="2317">
        <v>776</v>
      </c>
      <c r="D20" s="2317">
        <v>754</v>
      </c>
      <c r="E20" s="2317">
        <v>833</v>
      </c>
      <c r="F20" s="3293">
        <v>732</v>
      </c>
      <c r="G20" s="2317"/>
      <c r="H20" s="2317"/>
      <c r="I20" s="2317">
        <v>669</v>
      </c>
      <c r="J20" s="2317">
        <v>747</v>
      </c>
      <c r="K20" s="2375"/>
    </row>
    <row r="21" spans="1:11" s="1396" customFormat="1">
      <c r="A21" s="2716" t="s">
        <v>5060</v>
      </c>
      <c r="B21" s="2317">
        <v>164</v>
      </c>
      <c r="C21" s="2317">
        <v>166</v>
      </c>
      <c r="D21" s="2317">
        <v>216</v>
      </c>
      <c r="E21" s="2317">
        <v>246</v>
      </c>
      <c r="F21" s="3293">
        <v>212</v>
      </c>
      <c r="G21" s="2317"/>
      <c r="H21" s="2317"/>
      <c r="I21" s="2317">
        <v>232</v>
      </c>
      <c r="J21" s="2317">
        <f>12+198</f>
        <v>210</v>
      </c>
      <c r="K21" s="2375"/>
    </row>
    <row r="22" spans="1:11" s="2312" customFormat="1">
      <c r="A22" s="3294" t="s">
        <v>8</v>
      </c>
      <c r="B22" s="3197">
        <v>23714</v>
      </c>
      <c r="C22" s="3197">
        <v>22320</v>
      </c>
      <c r="D22" s="3197">
        <v>22562</v>
      </c>
      <c r="E22" s="3197">
        <v>22109</v>
      </c>
      <c r="F22" s="3295">
        <v>21067</v>
      </c>
      <c r="G22" s="3197">
        <v>17647</v>
      </c>
      <c r="H22" s="3197">
        <v>45679</v>
      </c>
      <c r="I22" s="3197">
        <v>14295</v>
      </c>
      <c r="J22" s="3197">
        <f>SUM(J15:J21)</f>
        <v>13678</v>
      </c>
      <c r="K22" s="3296"/>
    </row>
    <row r="23" spans="1:11" s="1396" customFormat="1">
      <c r="A23" s="2363" t="s">
        <v>6062</v>
      </c>
      <c r="B23" s="2317"/>
      <c r="C23" s="2317"/>
      <c r="D23" s="2317"/>
      <c r="E23" s="2317"/>
      <c r="F23" s="2314"/>
      <c r="G23" s="2317"/>
      <c r="H23" s="2317"/>
      <c r="I23" s="2317"/>
      <c r="J23" s="4804" t="s">
        <v>6063</v>
      </c>
      <c r="K23" s="2375"/>
    </row>
    <row r="24" spans="1:11" s="1396" customFormat="1">
      <c r="A24" s="2716" t="s">
        <v>6064</v>
      </c>
      <c r="B24" s="2316">
        <v>807</v>
      </c>
      <c r="C24" s="2316">
        <v>562</v>
      </c>
      <c r="D24" s="2316">
        <v>591</v>
      </c>
      <c r="E24" s="2317">
        <v>556</v>
      </c>
      <c r="F24" s="3293">
        <v>440</v>
      </c>
      <c r="G24" s="2317">
        <v>161</v>
      </c>
      <c r="H24" s="2317"/>
      <c r="I24" s="2317"/>
      <c r="J24" s="4804"/>
      <c r="K24" s="2375"/>
    </row>
    <row r="25" spans="1:11" s="1396" customFormat="1">
      <c r="A25" s="2716" t="s">
        <v>2922</v>
      </c>
      <c r="B25" s="2316">
        <v>1925</v>
      </c>
      <c r="C25" s="2316">
        <v>1164</v>
      </c>
      <c r="D25" s="2316">
        <v>948</v>
      </c>
      <c r="E25" s="2317">
        <v>1047</v>
      </c>
      <c r="F25" s="3293">
        <v>854</v>
      </c>
      <c r="G25" s="2317" t="s">
        <v>6065</v>
      </c>
      <c r="H25" s="2317"/>
      <c r="I25" s="2317"/>
      <c r="J25" s="4804"/>
      <c r="K25" s="2375"/>
    </row>
    <row r="26" spans="1:11" s="1396" customFormat="1">
      <c r="A26" s="2716" t="s">
        <v>6066</v>
      </c>
      <c r="B26" s="2316">
        <v>391</v>
      </c>
      <c r="C26" s="2316">
        <v>386</v>
      </c>
      <c r="D26" s="2316">
        <v>421</v>
      </c>
      <c r="E26" s="2317">
        <v>310</v>
      </c>
      <c r="F26" s="3293">
        <v>236</v>
      </c>
      <c r="G26" s="2317">
        <v>8</v>
      </c>
      <c r="H26" s="2317"/>
      <c r="I26" s="2317"/>
      <c r="J26" s="4804"/>
      <c r="K26" s="2375"/>
    </row>
    <row r="27" spans="1:11" s="1396" customFormat="1">
      <c r="A27" s="2716" t="s">
        <v>6067</v>
      </c>
      <c r="B27" s="2316">
        <v>2525</v>
      </c>
      <c r="C27" s="2316">
        <v>2897</v>
      </c>
      <c r="D27" s="2316">
        <v>3647</v>
      </c>
      <c r="E27" s="2317">
        <v>4487</v>
      </c>
      <c r="F27" s="3297">
        <v>5073</v>
      </c>
      <c r="G27" s="2317">
        <v>1164</v>
      </c>
      <c r="H27" s="2317"/>
      <c r="I27" s="2317"/>
      <c r="J27" s="4804"/>
      <c r="K27" s="2375"/>
    </row>
    <row r="28" spans="1:11" s="2312" customFormat="1">
      <c r="A28" s="3294" t="s">
        <v>8</v>
      </c>
      <c r="B28" s="3197">
        <v>5648</v>
      </c>
      <c r="C28" s="3197">
        <v>5009</v>
      </c>
      <c r="D28" s="3197">
        <v>5607</v>
      </c>
      <c r="E28" s="3197">
        <v>6400</v>
      </c>
      <c r="F28" s="3298">
        <v>6603</v>
      </c>
      <c r="G28" s="3197">
        <f>SUM(G24:G27)</f>
        <v>1333</v>
      </c>
      <c r="H28" s="3197" t="s">
        <v>6068</v>
      </c>
      <c r="I28" s="3197">
        <v>4867</v>
      </c>
      <c r="J28" s="4804"/>
      <c r="K28" s="3296"/>
    </row>
    <row r="29" spans="1:11" s="1396" customFormat="1">
      <c r="A29" s="2363" t="s">
        <v>6069</v>
      </c>
      <c r="B29" s="2317"/>
      <c r="C29" s="2317"/>
      <c r="D29" s="2317"/>
      <c r="E29" s="2317"/>
      <c r="F29" s="2314"/>
      <c r="G29" s="2317"/>
      <c r="H29" s="2317"/>
      <c r="I29" s="2317"/>
      <c r="J29" s="2317"/>
      <c r="K29" s="2375"/>
    </row>
    <row r="30" spans="1:11" s="1396" customFormat="1">
      <c r="A30" s="2716" t="s">
        <v>6070</v>
      </c>
      <c r="B30" s="2317">
        <v>1103</v>
      </c>
      <c r="C30" s="2316">
        <v>1989</v>
      </c>
      <c r="D30" s="2317">
        <v>1980</v>
      </c>
      <c r="E30" s="2317">
        <v>1830</v>
      </c>
      <c r="F30" s="2314">
        <v>1405</v>
      </c>
      <c r="G30" s="2317">
        <v>2012</v>
      </c>
      <c r="H30" s="2317">
        <v>647</v>
      </c>
      <c r="I30" s="2317">
        <v>1842</v>
      </c>
      <c r="J30" s="2317">
        <v>1896</v>
      </c>
      <c r="K30" s="2375"/>
    </row>
    <row r="31" spans="1:11" s="1396" customFormat="1">
      <c r="A31" s="2716" t="s">
        <v>6071</v>
      </c>
      <c r="B31" s="2317">
        <v>3212</v>
      </c>
      <c r="C31" s="2316">
        <v>3483</v>
      </c>
      <c r="D31" s="2317">
        <v>4402</v>
      </c>
      <c r="E31" s="2317">
        <v>4665</v>
      </c>
      <c r="F31" s="2314">
        <v>3742</v>
      </c>
      <c r="G31" s="2317">
        <v>3194</v>
      </c>
      <c r="H31" s="2317">
        <v>4572</v>
      </c>
      <c r="I31" s="2317">
        <v>4906</v>
      </c>
      <c r="J31" s="2317">
        <v>4880</v>
      </c>
      <c r="K31" s="2375"/>
    </row>
    <row r="32" spans="1:11" s="1396" customFormat="1">
      <c r="A32" s="2716" t="s">
        <v>246</v>
      </c>
      <c r="B32" s="2317">
        <v>982</v>
      </c>
      <c r="C32" s="2316">
        <v>792</v>
      </c>
      <c r="D32" s="2317">
        <v>520</v>
      </c>
      <c r="E32" s="2317">
        <v>517</v>
      </c>
      <c r="F32" s="2314">
        <v>589</v>
      </c>
      <c r="G32" s="2317">
        <v>312</v>
      </c>
      <c r="H32" s="2317">
        <v>347</v>
      </c>
      <c r="I32" s="2317">
        <v>634</v>
      </c>
      <c r="J32" s="2317">
        <v>532</v>
      </c>
      <c r="K32" s="2375"/>
    </row>
    <row r="33" spans="1:11" s="1396" customFormat="1">
      <c r="A33" s="2716" t="s">
        <v>6072</v>
      </c>
      <c r="B33" s="2317"/>
      <c r="C33" s="2316"/>
      <c r="D33" s="2317"/>
      <c r="E33" s="2317"/>
      <c r="F33" s="2314"/>
      <c r="G33" s="2317"/>
      <c r="H33" s="2317">
        <v>92</v>
      </c>
      <c r="I33" s="2317"/>
      <c r="J33" s="2317"/>
      <c r="K33" s="2375"/>
    </row>
    <row r="34" spans="1:11" s="1396" customFormat="1">
      <c r="A34" s="2716" t="s">
        <v>6073</v>
      </c>
      <c r="B34" s="2317"/>
      <c r="C34" s="2316"/>
      <c r="D34" s="2317"/>
      <c r="E34" s="2317"/>
      <c r="F34" s="2314"/>
      <c r="G34" s="2317"/>
      <c r="H34" s="2317">
        <v>109</v>
      </c>
      <c r="I34" s="2317"/>
      <c r="J34" s="2317"/>
      <c r="K34" s="2375"/>
    </row>
    <row r="35" spans="1:11" s="1396" customFormat="1">
      <c r="A35" s="2716" t="s">
        <v>6074</v>
      </c>
      <c r="B35" s="2317"/>
      <c r="C35" s="2316"/>
      <c r="D35" s="2317"/>
      <c r="E35" s="2317"/>
      <c r="F35" s="2314"/>
      <c r="G35" s="2317"/>
      <c r="H35" s="2317">
        <v>243</v>
      </c>
      <c r="I35" s="2317"/>
      <c r="J35" s="2317"/>
      <c r="K35" s="2375"/>
    </row>
    <row r="36" spans="1:11" s="1396" customFormat="1">
      <c r="A36" s="2716" t="s">
        <v>6075</v>
      </c>
      <c r="B36" s="2317"/>
      <c r="C36" s="2316"/>
      <c r="D36" s="2317"/>
      <c r="E36" s="2317"/>
      <c r="F36" s="2314"/>
      <c r="G36" s="2317"/>
      <c r="H36" s="2317">
        <v>535</v>
      </c>
      <c r="I36" s="2317">
        <v>354</v>
      </c>
      <c r="J36" s="2317">
        <v>239</v>
      </c>
      <c r="K36" s="2375"/>
    </row>
    <row r="37" spans="1:11" s="1396" customFormat="1">
      <c r="A37" s="2716" t="s">
        <v>6076</v>
      </c>
      <c r="B37" s="2317"/>
      <c r="C37" s="2316"/>
      <c r="D37" s="2317"/>
      <c r="E37" s="2317"/>
      <c r="F37" s="2314"/>
      <c r="G37" s="2317"/>
      <c r="H37" s="2317">
        <v>8</v>
      </c>
      <c r="I37" s="2317">
        <v>42</v>
      </c>
      <c r="J37" s="2317">
        <v>10</v>
      </c>
      <c r="K37" s="2375"/>
    </row>
    <row r="38" spans="1:11" s="1396" customFormat="1">
      <c r="A38" s="2716" t="s">
        <v>6077</v>
      </c>
      <c r="B38" s="2317"/>
      <c r="C38" s="2316"/>
      <c r="D38" s="2317"/>
      <c r="E38" s="2317"/>
      <c r="F38" s="2314"/>
      <c r="G38" s="2317"/>
      <c r="H38" s="2317">
        <v>6</v>
      </c>
      <c r="I38" s="2317">
        <v>2</v>
      </c>
      <c r="J38" s="2317">
        <v>0</v>
      </c>
      <c r="K38" s="2375"/>
    </row>
    <row r="39" spans="1:11" s="1396" customFormat="1">
      <c r="A39" s="2716" t="s">
        <v>6078</v>
      </c>
      <c r="B39" s="2317"/>
      <c r="C39" s="2316"/>
      <c r="D39" s="2317"/>
      <c r="E39" s="2317"/>
      <c r="F39" s="2314"/>
      <c r="G39" s="2317"/>
      <c r="H39" s="2317">
        <v>30</v>
      </c>
      <c r="I39" s="2317">
        <v>32</v>
      </c>
      <c r="J39" s="2317">
        <v>35</v>
      </c>
      <c r="K39" s="2375"/>
    </row>
    <row r="40" spans="1:11" s="1396" customFormat="1">
      <c r="A40" s="2716" t="s">
        <v>6079</v>
      </c>
      <c r="B40" s="2317"/>
      <c r="C40" s="2316"/>
      <c r="D40" s="2317"/>
      <c r="E40" s="2317"/>
      <c r="F40" s="2314"/>
      <c r="G40" s="2317"/>
      <c r="H40" s="2317">
        <v>23</v>
      </c>
      <c r="I40" s="2317">
        <v>15</v>
      </c>
      <c r="J40" s="2317">
        <v>171</v>
      </c>
      <c r="K40" s="2375"/>
    </row>
    <row r="41" spans="1:11" s="2312" customFormat="1">
      <c r="A41" s="3294" t="s">
        <v>6080</v>
      </c>
      <c r="B41" s="3197">
        <v>5296</v>
      </c>
      <c r="C41" s="3299">
        <v>6264</v>
      </c>
      <c r="D41" s="3197">
        <v>6902</v>
      </c>
      <c r="E41" s="3197">
        <v>7012</v>
      </c>
      <c r="F41" s="3241">
        <v>5736</v>
      </c>
      <c r="G41" s="3197">
        <f>SUM(G30:G32)</f>
        <v>5518</v>
      </c>
      <c r="H41" s="3197">
        <v>6612</v>
      </c>
      <c r="I41" s="3197">
        <v>7827</v>
      </c>
      <c r="J41" s="3197">
        <f>J30+J31+J36+J37+J38+J39+J40</f>
        <v>7231</v>
      </c>
      <c r="K41" s="3296"/>
    </row>
    <row r="42" spans="1:11" s="1396" customFormat="1">
      <c r="A42" s="3300" t="s">
        <v>6081</v>
      </c>
      <c r="B42" s="2449">
        <v>2066</v>
      </c>
      <c r="C42" s="2449">
        <v>2799</v>
      </c>
      <c r="D42" s="2449">
        <v>1769</v>
      </c>
      <c r="E42" s="2449">
        <v>1811</v>
      </c>
      <c r="F42" s="3301">
        <v>1729</v>
      </c>
      <c r="G42" s="2449">
        <v>1480</v>
      </c>
      <c r="H42" s="2449">
        <v>66</v>
      </c>
      <c r="I42" s="2449">
        <v>1154</v>
      </c>
      <c r="J42" s="2449">
        <v>1232</v>
      </c>
      <c r="K42" s="2450"/>
    </row>
    <row r="43" spans="1:11" s="1396" customFormat="1">
      <c r="A43" s="2317"/>
      <c r="B43" s="2317"/>
      <c r="C43" s="2317"/>
      <c r="D43" s="2317"/>
      <c r="E43" s="2317"/>
      <c r="F43" s="3302"/>
      <c r="G43" s="2317"/>
      <c r="H43" s="2317"/>
      <c r="I43" s="2317"/>
      <c r="J43" s="2317"/>
      <c r="K43" s="2317"/>
    </row>
    <row r="44" spans="1:11" s="1396" customFormat="1">
      <c r="A44" s="2317"/>
      <c r="B44" s="2317"/>
      <c r="C44" s="2317"/>
      <c r="D44" s="2317"/>
      <c r="E44" s="2317"/>
      <c r="F44" s="3302"/>
      <c r="G44" s="2317"/>
      <c r="H44" s="2317"/>
      <c r="I44" s="2317"/>
      <c r="J44" s="2317"/>
      <c r="K44" s="2317"/>
    </row>
    <row r="45" spans="1:11" s="1396" customFormat="1">
      <c r="A45" s="2317"/>
      <c r="B45" s="2317"/>
      <c r="C45" s="2317"/>
      <c r="D45" s="2317"/>
      <c r="E45" s="2317"/>
      <c r="F45" s="3302"/>
      <c r="G45" s="2317"/>
      <c r="H45" s="2317"/>
      <c r="I45" s="2317"/>
      <c r="J45" s="2317"/>
      <c r="K45" s="2317"/>
    </row>
    <row r="46" spans="1:11" s="1396" customFormat="1" ht="15">
      <c r="A46" s="3339" t="s">
        <v>20</v>
      </c>
      <c r="B46" s="2415">
        <v>2014</v>
      </c>
      <c r="C46" s="2415">
        <v>2015</v>
      </c>
      <c r="D46" s="2415">
        <v>2016</v>
      </c>
      <c r="E46" s="2416">
        <v>2017</v>
      </c>
      <c r="F46" s="3302"/>
      <c r="G46" s="2317"/>
      <c r="H46" s="2317"/>
      <c r="I46" s="2317"/>
      <c r="J46" s="2317"/>
      <c r="K46" s="2317"/>
    </row>
    <row r="47" spans="1:11" s="1396" customFormat="1">
      <c r="A47" s="3340" t="s">
        <v>6082</v>
      </c>
      <c r="B47" s="3341"/>
      <c r="C47" s="3341"/>
      <c r="D47" s="3341"/>
      <c r="E47" s="3342"/>
      <c r="F47" s="3302"/>
      <c r="G47" s="2317"/>
      <c r="H47" s="2317"/>
      <c r="I47" s="2317"/>
      <c r="J47" s="2317"/>
      <c r="K47" s="2317"/>
    </row>
    <row r="48" spans="1:11" s="1396" customFormat="1">
      <c r="A48" s="2714" t="s">
        <v>724</v>
      </c>
      <c r="B48" s="3303"/>
      <c r="C48" s="3303">
        <v>284</v>
      </c>
      <c r="D48" s="3303">
        <v>165</v>
      </c>
      <c r="E48" s="2375">
        <v>297</v>
      </c>
      <c r="F48" s="3302"/>
      <c r="G48" s="2317"/>
      <c r="H48" s="2317"/>
      <c r="I48" s="2317"/>
      <c r="J48" s="2317"/>
      <c r="K48" s="2317"/>
    </row>
    <row r="49" spans="1:11" s="1396" customFormat="1">
      <c r="A49" s="2714" t="s">
        <v>723</v>
      </c>
      <c r="B49" s="2320"/>
      <c r="C49" s="2320">
        <v>241</v>
      </c>
      <c r="D49" s="3303">
        <v>176</v>
      </c>
      <c r="E49" s="2375">
        <v>187</v>
      </c>
      <c r="F49" s="3302"/>
      <c r="G49" s="2317"/>
      <c r="H49" s="2317"/>
      <c r="I49" s="2317"/>
      <c r="J49" s="2317"/>
      <c r="K49" s="2317"/>
    </row>
    <row r="50" spans="1:11" s="1396" customFormat="1">
      <c r="A50" s="2714" t="s">
        <v>722</v>
      </c>
      <c r="B50" s="2320">
        <f>542</f>
        <v>542</v>
      </c>
      <c r="C50" s="2320">
        <v>456</v>
      </c>
      <c r="D50" s="3303">
        <v>249</v>
      </c>
      <c r="E50" s="2375">
        <v>301</v>
      </c>
      <c r="F50" s="3302"/>
      <c r="G50" s="2317"/>
      <c r="H50" s="2317"/>
      <c r="I50" s="2317"/>
      <c r="J50" s="2317"/>
      <c r="K50" s="2317"/>
    </row>
    <row r="51" spans="1:11" s="1396" customFormat="1">
      <c r="A51" s="2714" t="s">
        <v>721</v>
      </c>
      <c r="B51" s="2313">
        <v>940</v>
      </c>
      <c r="C51" s="2313">
        <v>712</v>
      </c>
      <c r="D51" s="3303">
        <v>827</v>
      </c>
      <c r="E51" s="2375">
        <v>484</v>
      </c>
      <c r="F51" s="3303"/>
      <c r="G51" s="2317"/>
      <c r="H51" s="2317"/>
      <c r="I51" s="2317"/>
      <c r="J51" s="2317"/>
      <c r="K51" s="2317"/>
    </row>
    <row r="52" spans="1:11" s="1396" customFormat="1">
      <c r="A52" s="2714" t="s">
        <v>720</v>
      </c>
      <c r="B52" s="2320">
        <v>1029</v>
      </c>
      <c r="C52" s="2320">
        <v>673</v>
      </c>
      <c r="D52" s="3303">
        <v>619</v>
      </c>
      <c r="E52" s="2375">
        <v>329</v>
      </c>
      <c r="F52" s="3302"/>
      <c r="G52" s="2317"/>
      <c r="H52" s="2317"/>
      <c r="I52" s="2317"/>
      <c r="J52" s="2317"/>
      <c r="K52" s="2317"/>
    </row>
    <row r="53" spans="1:11" s="1396" customFormat="1">
      <c r="A53" s="2714" t="s">
        <v>719</v>
      </c>
      <c r="B53" s="2320">
        <v>970</v>
      </c>
      <c r="C53" s="2320">
        <v>548</v>
      </c>
      <c r="D53" s="3303">
        <v>655</v>
      </c>
      <c r="E53" s="2375">
        <v>516</v>
      </c>
      <c r="F53" s="3302"/>
      <c r="G53" s="2317"/>
      <c r="H53" s="2317"/>
      <c r="I53" s="2317"/>
      <c r="J53" s="2317"/>
      <c r="K53" s="2317"/>
    </row>
    <row r="54" spans="1:11" s="1396" customFormat="1">
      <c r="A54" s="2714" t="s">
        <v>718</v>
      </c>
      <c r="B54" s="2320">
        <v>1735</v>
      </c>
      <c r="C54" s="2320">
        <v>678</v>
      </c>
      <c r="D54" s="3303">
        <v>568</v>
      </c>
      <c r="E54" s="2375">
        <v>715</v>
      </c>
      <c r="F54" s="3302"/>
      <c r="G54" s="2317"/>
      <c r="H54" s="2317"/>
      <c r="I54" s="2317"/>
      <c r="J54" s="2317"/>
      <c r="K54" s="2317"/>
    </row>
    <row r="55" spans="1:11" s="1396" customFormat="1">
      <c r="A55" s="2714" t="s">
        <v>717</v>
      </c>
      <c r="B55" s="2320">
        <v>2069</v>
      </c>
      <c r="C55" s="2320">
        <v>687</v>
      </c>
      <c r="D55" s="3303">
        <v>824</v>
      </c>
      <c r="E55" s="2375">
        <v>941</v>
      </c>
      <c r="F55" s="3302"/>
      <c r="G55" s="2317"/>
      <c r="H55" s="2317"/>
      <c r="I55" s="2317"/>
      <c r="J55" s="2317"/>
      <c r="K55" s="2317"/>
    </row>
    <row r="56" spans="1:11" s="1396" customFormat="1">
      <c r="A56" s="2714" t="s">
        <v>716</v>
      </c>
      <c r="B56" s="2320">
        <v>1146</v>
      </c>
      <c r="C56" s="2320">
        <v>860</v>
      </c>
      <c r="D56" s="3303">
        <v>581</v>
      </c>
      <c r="E56" s="2375">
        <v>423</v>
      </c>
      <c r="F56" s="3302"/>
      <c r="G56" s="2317"/>
      <c r="H56" s="2317"/>
      <c r="I56" s="2317"/>
      <c r="J56" s="2317"/>
      <c r="K56" s="2317"/>
    </row>
    <row r="57" spans="1:11" s="1396" customFormat="1">
      <c r="A57" s="2714" t="s">
        <v>715</v>
      </c>
      <c r="B57" s="2320">
        <v>1072</v>
      </c>
      <c r="C57" s="2320">
        <v>517</v>
      </c>
      <c r="D57" s="3303">
        <v>596</v>
      </c>
      <c r="E57" s="2375">
        <v>434</v>
      </c>
      <c r="F57" s="3302"/>
      <c r="G57" s="2317"/>
      <c r="H57" s="2317"/>
      <c r="I57" s="2317"/>
      <c r="J57" s="2317"/>
      <c r="K57" s="2317"/>
    </row>
    <row r="58" spans="1:11" s="1396" customFormat="1">
      <c r="A58" s="2714" t="s">
        <v>714</v>
      </c>
      <c r="B58" s="2320">
        <v>709</v>
      </c>
      <c r="C58" s="2320">
        <v>407</v>
      </c>
      <c r="D58" s="3303">
        <v>397</v>
      </c>
      <c r="E58" s="2375">
        <v>249</v>
      </c>
      <c r="F58" s="3302"/>
      <c r="G58" s="2317"/>
      <c r="H58" s="2317"/>
      <c r="I58" s="2317"/>
      <c r="J58" s="2317"/>
      <c r="K58" s="2317"/>
    </row>
    <row r="59" spans="1:11" s="1396" customFormat="1">
      <c r="A59" s="2714" t="s">
        <v>713</v>
      </c>
      <c r="B59" s="2320">
        <v>318</v>
      </c>
      <c r="C59" s="2320">
        <v>172</v>
      </c>
      <c r="D59" s="3303">
        <v>209</v>
      </c>
      <c r="E59" s="2375">
        <v>155</v>
      </c>
      <c r="F59" s="3302"/>
      <c r="G59" s="2317"/>
      <c r="H59" s="2317"/>
      <c r="I59" s="2317"/>
      <c r="J59" s="2317"/>
      <c r="K59" s="2317"/>
    </row>
    <row r="60" spans="1:11" s="1396" customFormat="1">
      <c r="A60" s="2355" t="s">
        <v>8</v>
      </c>
      <c r="B60" s="2356">
        <f>SUM(B48:B59)</f>
        <v>10530</v>
      </c>
      <c r="C60" s="2356">
        <f>SUM(C48:C59)</f>
        <v>6235</v>
      </c>
      <c r="D60" s="2356">
        <f>SUM(D48:D59)</f>
        <v>5866</v>
      </c>
      <c r="E60" s="2357">
        <f>SUM(E48:E59)</f>
        <v>5031</v>
      </c>
      <c r="F60" s="3302"/>
      <c r="G60" s="2317"/>
      <c r="H60" s="2317"/>
      <c r="I60" s="2317"/>
      <c r="J60" s="2317"/>
      <c r="K60" s="2317"/>
    </row>
    <row r="61" spans="1:11" s="1396" customFormat="1">
      <c r="A61" s="2317"/>
      <c r="B61" s="2317"/>
      <c r="C61" s="3302"/>
      <c r="D61" s="2317"/>
      <c r="E61" s="2317"/>
      <c r="F61" s="3302"/>
      <c r="G61" s="2317"/>
      <c r="H61" s="2317"/>
      <c r="I61" s="2317"/>
      <c r="J61" s="2317"/>
      <c r="K61" s="2317"/>
    </row>
    <row r="62" spans="1:11" s="1396" customFormat="1">
      <c r="A62" s="2317"/>
      <c r="B62" s="2317"/>
      <c r="C62" s="3302"/>
      <c r="D62" s="2317"/>
      <c r="E62" s="2317"/>
      <c r="F62" s="3302"/>
      <c r="G62" s="2317"/>
      <c r="H62" s="2317"/>
      <c r="I62" s="2317"/>
      <c r="J62" s="2317"/>
      <c r="K62" s="2317"/>
    </row>
    <row r="63" spans="1:11" s="1396" customFormat="1">
      <c r="A63" s="2317"/>
      <c r="B63" s="2317"/>
      <c r="C63" s="3302"/>
      <c r="D63" s="2317"/>
      <c r="E63" s="2317"/>
      <c r="F63" s="3302"/>
      <c r="G63" s="2317"/>
      <c r="H63" s="2317"/>
      <c r="I63" s="2317"/>
      <c r="J63" s="2317"/>
      <c r="K63" s="2317"/>
    </row>
    <row r="65" spans="1:11" s="2354" customFormat="1" ht="15">
      <c r="A65" s="2422" t="s">
        <v>6083</v>
      </c>
      <c r="B65" s="2423" t="s">
        <v>6084</v>
      </c>
      <c r="C65" s="2423" t="s">
        <v>6085</v>
      </c>
      <c r="D65" s="2423" t="s">
        <v>6086</v>
      </c>
      <c r="E65" s="2423" t="s">
        <v>6087</v>
      </c>
      <c r="F65" s="2423" t="s">
        <v>6088</v>
      </c>
      <c r="G65" s="2423" t="s">
        <v>6089</v>
      </c>
      <c r="H65" s="2423" t="s">
        <v>6090</v>
      </c>
      <c r="I65" s="2423" t="s">
        <v>6091</v>
      </c>
      <c r="J65" s="2423" t="s">
        <v>8</v>
      </c>
      <c r="K65" s="2424" t="s">
        <v>6092</v>
      </c>
    </row>
    <row r="66" spans="1:11">
      <c r="A66" s="3343" t="s">
        <v>6093</v>
      </c>
      <c r="B66" s="1353">
        <v>0</v>
      </c>
      <c r="C66" s="1353">
        <v>0</v>
      </c>
      <c r="D66" s="1353">
        <v>0</v>
      </c>
      <c r="E66" s="1353">
        <v>0</v>
      </c>
      <c r="F66" s="1353">
        <v>0</v>
      </c>
      <c r="G66" s="1353">
        <v>0</v>
      </c>
      <c r="H66" s="1353">
        <v>0</v>
      </c>
      <c r="I66" s="1353">
        <v>1850</v>
      </c>
      <c r="J66" s="3304">
        <f t="shared" ref="J66:J77" si="0">SUM(B66:I66)</f>
        <v>1850</v>
      </c>
      <c r="K66" s="3344">
        <v>0</v>
      </c>
    </row>
    <row r="67" spans="1:11">
      <c r="A67" s="3345">
        <v>41699</v>
      </c>
      <c r="B67" s="1353">
        <v>163</v>
      </c>
      <c r="C67" s="1353">
        <v>0</v>
      </c>
      <c r="D67" s="1353">
        <v>62</v>
      </c>
      <c r="E67" s="1353">
        <v>1</v>
      </c>
      <c r="F67" s="1353">
        <v>224</v>
      </c>
      <c r="G67" s="1353">
        <v>23</v>
      </c>
      <c r="H67" s="1353">
        <v>67</v>
      </c>
      <c r="I67" s="1353">
        <v>2</v>
      </c>
      <c r="J67" s="3304">
        <f t="shared" si="0"/>
        <v>542</v>
      </c>
      <c r="K67" s="3344">
        <v>1594</v>
      </c>
    </row>
    <row r="68" spans="1:11">
      <c r="A68" s="3345">
        <v>41730</v>
      </c>
      <c r="B68" s="1353">
        <v>399</v>
      </c>
      <c r="C68" s="1353">
        <v>340</v>
      </c>
      <c r="D68" s="1353">
        <v>94</v>
      </c>
      <c r="E68" s="1353">
        <v>26</v>
      </c>
      <c r="F68" s="1353">
        <v>7</v>
      </c>
      <c r="G68" s="1353">
        <v>30</v>
      </c>
      <c r="H68" s="1353">
        <v>25</v>
      </c>
      <c r="I68" s="1353">
        <v>19</v>
      </c>
      <c r="J68" s="3304">
        <f t="shared" si="0"/>
        <v>940</v>
      </c>
      <c r="K68" s="3344">
        <v>2917</v>
      </c>
    </row>
    <row r="69" spans="1:11">
      <c r="A69" s="3345">
        <v>41760</v>
      </c>
      <c r="B69" s="2314">
        <v>244</v>
      </c>
      <c r="C69" s="2314">
        <v>290</v>
      </c>
      <c r="D69" s="2314">
        <v>16</v>
      </c>
      <c r="E69" s="2314">
        <v>2</v>
      </c>
      <c r="F69" s="2314">
        <v>147</v>
      </c>
      <c r="G69" s="2314">
        <v>202</v>
      </c>
      <c r="H69" s="2314">
        <v>109</v>
      </c>
      <c r="I69" s="2314">
        <v>19</v>
      </c>
      <c r="J69" s="3241">
        <f t="shared" si="0"/>
        <v>1029</v>
      </c>
      <c r="K69" s="3346">
        <v>3143</v>
      </c>
    </row>
    <row r="70" spans="1:11">
      <c r="A70" s="3345">
        <v>41791</v>
      </c>
      <c r="B70" s="1353">
        <v>287</v>
      </c>
      <c r="C70" s="1353">
        <v>330</v>
      </c>
      <c r="D70" s="1353">
        <v>17</v>
      </c>
      <c r="E70" s="1353">
        <v>6</v>
      </c>
      <c r="F70" s="1353">
        <v>55</v>
      </c>
      <c r="G70" s="1353">
        <v>251</v>
      </c>
      <c r="H70" s="1353">
        <v>20</v>
      </c>
      <c r="I70" s="1353">
        <v>4</v>
      </c>
      <c r="J70" s="3304">
        <f t="shared" si="0"/>
        <v>970</v>
      </c>
      <c r="K70" s="3344">
        <v>3130</v>
      </c>
    </row>
    <row r="71" spans="1:11">
      <c r="A71" s="3345">
        <v>41821</v>
      </c>
      <c r="B71" s="1353">
        <v>644</v>
      </c>
      <c r="C71" s="1353">
        <v>444</v>
      </c>
      <c r="D71" s="1353">
        <v>195</v>
      </c>
      <c r="E71" s="1353">
        <v>31</v>
      </c>
      <c r="F71" s="1353">
        <v>244</v>
      </c>
      <c r="G71" s="1353">
        <v>145</v>
      </c>
      <c r="H71" s="1353">
        <v>0</v>
      </c>
      <c r="I71" s="1353">
        <v>32</v>
      </c>
      <c r="J71" s="3304">
        <f t="shared" si="0"/>
        <v>1735</v>
      </c>
      <c r="K71" s="3344">
        <v>5465</v>
      </c>
    </row>
    <row r="72" spans="1:11">
      <c r="A72" s="3345">
        <v>41852</v>
      </c>
      <c r="B72" s="1353">
        <v>837</v>
      </c>
      <c r="C72" s="1353">
        <v>481</v>
      </c>
      <c r="D72" s="1353">
        <v>216</v>
      </c>
      <c r="E72" s="1353">
        <v>20</v>
      </c>
      <c r="F72" s="1353">
        <v>283</v>
      </c>
      <c r="G72" s="1353">
        <v>196</v>
      </c>
      <c r="H72" s="1353">
        <v>0</v>
      </c>
      <c r="I72" s="1353">
        <v>36</v>
      </c>
      <c r="J72" s="3304">
        <f t="shared" si="0"/>
        <v>2069</v>
      </c>
      <c r="K72" s="3344">
        <v>6660</v>
      </c>
    </row>
    <row r="73" spans="1:11">
      <c r="A73" s="3345">
        <v>41883</v>
      </c>
      <c r="B73" s="1353">
        <v>273</v>
      </c>
      <c r="C73" s="1353">
        <v>449</v>
      </c>
      <c r="D73" s="1353">
        <v>6</v>
      </c>
      <c r="E73" s="1353">
        <v>2</v>
      </c>
      <c r="F73" s="1353">
        <v>125</v>
      </c>
      <c r="G73" s="1353">
        <v>258</v>
      </c>
      <c r="H73" s="1353">
        <v>20</v>
      </c>
      <c r="I73" s="1353">
        <v>13</v>
      </c>
      <c r="J73" s="3304">
        <f t="shared" si="0"/>
        <v>1146</v>
      </c>
      <c r="K73" s="3344">
        <v>3640</v>
      </c>
    </row>
    <row r="74" spans="1:11">
      <c r="A74" s="3345">
        <v>41913</v>
      </c>
      <c r="B74" s="1353">
        <v>339</v>
      </c>
      <c r="C74" s="1353">
        <v>253</v>
      </c>
      <c r="D74" s="1353">
        <v>70</v>
      </c>
      <c r="E74" s="1353">
        <v>7</v>
      </c>
      <c r="F74" s="1353">
        <v>59</v>
      </c>
      <c r="G74" s="1353">
        <v>132</v>
      </c>
      <c r="H74" s="1353">
        <v>197</v>
      </c>
      <c r="I74" s="1353">
        <v>15</v>
      </c>
      <c r="J74" s="3304">
        <f t="shared" si="0"/>
        <v>1072</v>
      </c>
      <c r="K74" s="3344">
        <v>3215</v>
      </c>
    </row>
    <row r="75" spans="1:11">
      <c r="A75" s="3347" t="s">
        <v>6094</v>
      </c>
      <c r="B75" s="1353">
        <v>154</v>
      </c>
      <c r="C75" s="1353">
        <v>0</v>
      </c>
      <c r="D75" s="1353">
        <v>26</v>
      </c>
      <c r="E75" s="1353">
        <v>0</v>
      </c>
      <c r="F75" s="1353">
        <v>0</v>
      </c>
      <c r="G75" s="1353">
        <v>0</v>
      </c>
      <c r="H75" s="1353">
        <v>0</v>
      </c>
      <c r="I75" s="1353">
        <v>0</v>
      </c>
      <c r="J75" s="3304">
        <f t="shared" si="0"/>
        <v>180</v>
      </c>
      <c r="K75" s="3344">
        <v>1028</v>
      </c>
    </row>
    <row r="76" spans="1:11">
      <c r="A76" s="3345">
        <v>41944</v>
      </c>
      <c r="B76" s="1353">
        <v>284</v>
      </c>
      <c r="C76" s="1353">
        <v>194</v>
      </c>
      <c r="D76" s="1353">
        <v>28</v>
      </c>
      <c r="E76" s="1353">
        <v>2</v>
      </c>
      <c r="F76" s="1353">
        <v>53</v>
      </c>
      <c r="G76" s="1353">
        <v>122</v>
      </c>
      <c r="H76" s="1353">
        <v>20</v>
      </c>
      <c r="I76" s="1353">
        <v>6</v>
      </c>
      <c r="J76" s="3304">
        <f t="shared" si="0"/>
        <v>709</v>
      </c>
      <c r="K76" s="3344">
        <v>2335</v>
      </c>
    </row>
    <row r="77" spans="1:11">
      <c r="A77" s="3345">
        <v>41974</v>
      </c>
      <c r="B77" s="1353"/>
      <c r="C77" s="1353"/>
      <c r="D77" s="1353"/>
      <c r="E77" s="1353"/>
      <c r="F77" s="1353"/>
      <c r="G77" s="1353"/>
      <c r="H77" s="1353"/>
      <c r="I77" s="1353"/>
      <c r="J77" s="3304">
        <f t="shared" si="0"/>
        <v>0</v>
      </c>
      <c r="K77" s="3344"/>
    </row>
    <row r="78" spans="1:11">
      <c r="A78" s="2355" t="s">
        <v>8</v>
      </c>
      <c r="B78" s="2372">
        <f t="shared" ref="B78:K78" si="1">SUM(B66:B77)</f>
        <v>3624</v>
      </c>
      <c r="C78" s="2372">
        <f t="shared" si="1"/>
        <v>2781</v>
      </c>
      <c r="D78" s="2372">
        <f t="shared" si="1"/>
        <v>730</v>
      </c>
      <c r="E78" s="2372">
        <f t="shared" si="1"/>
        <v>97</v>
      </c>
      <c r="F78" s="2372">
        <f t="shared" si="1"/>
        <v>1197</v>
      </c>
      <c r="G78" s="2372">
        <f t="shared" si="1"/>
        <v>1359</v>
      </c>
      <c r="H78" s="2372">
        <f t="shared" si="1"/>
        <v>458</v>
      </c>
      <c r="I78" s="2372">
        <f t="shared" si="1"/>
        <v>1996</v>
      </c>
      <c r="J78" s="2372">
        <f t="shared" si="1"/>
        <v>12242</v>
      </c>
      <c r="K78" s="2373">
        <f t="shared" si="1"/>
        <v>33127</v>
      </c>
    </row>
    <row r="81" spans="1:10" ht="17.45" customHeight="1">
      <c r="A81" s="3349" t="s">
        <v>6095</v>
      </c>
      <c r="B81" s="3350"/>
      <c r="C81" s="3350"/>
      <c r="D81" s="3351"/>
      <c r="G81" s="4805" t="s">
        <v>217</v>
      </c>
      <c r="H81" s="4806"/>
      <c r="I81" s="4806"/>
      <c r="J81" s="4807"/>
    </row>
    <row r="82" spans="1:10">
      <c r="A82" s="3352" t="s">
        <v>6096</v>
      </c>
      <c r="B82" s="3353" t="s">
        <v>6097</v>
      </c>
      <c r="C82" s="3353" t="s">
        <v>6098</v>
      </c>
      <c r="D82" s="3354" t="s">
        <v>6099</v>
      </c>
      <c r="G82" s="4808" t="s">
        <v>6100</v>
      </c>
      <c r="H82" s="4809"/>
      <c r="I82" s="4809"/>
      <c r="J82" s="4810"/>
    </row>
    <row r="83" spans="1:10">
      <c r="A83" s="3345">
        <v>41699</v>
      </c>
      <c r="B83" s="1353">
        <f t="shared" ref="B83:B90" si="2">SUM(B67:F67,I67)</f>
        <v>452</v>
      </c>
      <c r="C83" s="1353">
        <f t="shared" ref="C83:D90" si="3">SUM(G67)</f>
        <v>23</v>
      </c>
      <c r="D83" s="2353">
        <f t="shared" si="3"/>
        <v>67</v>
      </c>
      <c r="G83" s="4811" t="s">
        <v>6101</v>
      </c>
      <c r="H83" s="4812"/>
      <c r="I83" s="4812"/>
      <c r="J83" s="4813"/>
    </row>
    <row r="84" spans="1:10">
      <c r="A84" s="3345">
        <v>41730</v>
      </c>
      <c r="B84" s="1353">
        <f t="shared" si="2"/>
        <v>885</v>
      </c>
      <c r="C84" s="1353">
        <f t="shared" si="3"/>
        <v>30</v>
      </c>
      <c r="D84" s="2353">
        <f t="shared" si="3"/>
        <v>25</v>
      </c>
      <c r="G84" s="4796"/>
      <c r="H84" s="4796"/>
      <c r="I84" s="4796"/>
      <c r="J84" s="4796"/>
    </row>
    <row r="85" spans="1:10">
      <c r="A85" s="3348">
        <v>41760</v>
      </c>
      <c r="B85" s="2314">
        <f t="shared" si="2"/>
        <v>718</v>
      </c>
      <c r="C85" s="2314">
        <f t="shared" si="3"/>
        <v>202</v>
      </c>
      <c r="D85" s="2686">
        <f t="shared" si="3"/>
        <v>109</v>
      </c>
      <c r="G85" s="4796"/>
      <c r="H85" s="4796"/>
      <c r="I85" s="4796"/>
      <c r="J85" s="4796"/>
    </row>
    <row r="86" spans="1:10">
      <c r="A86" s="3345">
        <v>41791</v>
      </c>
      <c r="B86" s="1353">
        <f t="shared" si="2"/>
        <v>699</v>
      </c>
      <c r="C86" s="1353">
        <f t="shared" si="3"/>
        <v>251</v>
      </c>
      <c r="D86" s="2353">
        <f t="shared" si="3"/>
        <v>20</v>
      </c>
      <c r="G86" s="4796"/>
      <c r="H86" s="4796"/>
      <c r="I86" s="4796"/>
      <c r="J86" s="4796"/>
    </row>
    <row r="87" spans="1:10">
      <c r="A87" s="3345">
        <v>41821</v>
      </c>
      <c r="B87" s="1353">
        <f t="shared" si="2"/>
        <v>1590</v>
      </c>
      <c r="C87" s="1353">
        <f t="shared" si="3"/>
        <v>145</v>
      </c>
      <c r="D87" s="2353">
        <f t="shared" si="3"/>
        <v>0</v>
      </c>
      <c r="G87" s="4796"/>
      <c r="H87" s="4796"/>
      <c r="I87" s="4796"/>
      <c r="J87" s="4796"/>
    </row>
    <row r="88" spans="1:10">
      <c r="A88" s="3345">
        <v>41852</v>
      </c>
      <c r="B88" s="1353">
        <f t="shared" si="2"/>
        <v>1873</v>
      </c>
      <c r="C88" s="1353">
        <f t="shared" si="3"/>
        <v>196</v>
      </c>
      <c r="D88" s="2353">
        <f t="shared" si="3"/>
        <v>0</v>
      </c>
      <c r="G88" s="4796"/>
      <c r="H88" s="4796"/>
      <c r="I88" s="4796"/>
      <c r="J88" s="4796"/>
    </row>
    <row r="89" spans="1:10">
      <c r="A89" s="3345">
        <v>41883</v>
      </c>
      <c r="B89" s="1353">
        <f t="shared" si="2"/>
        <v>868</v>
      </c>
      <c r="C89" s="1353">
        <f t="shared" si="3"/>
        <v>258</v>
      </c>
      <c r="D89" s="2353">
        <f t="shared" si="3"/>
        <v>20</v>
      </c>
      <c r="G89" s="4796"/>
      <c r="H89" s="4796"/>
      <c r="I89" s="4796"/>
      <c r="J89" s="4796"/>
    </row>
    <row r="90" spans="1:10">
      <c r="A90" s="3345">
        <v>41913</v>
      </c>
      <c r="B90" s="1353">
        <f t="shared" si="2"/>
        <v>743</v>
      </c>
      <c r="C90" s="1353">
        <f t="shared" si="3"/>
        <v>132</v>
      </c>
      <c r="D90" s="2353">
        <f t="shared" si="3"/>
        <v>197</v>
      </c>
      <c r="G90" s="4796"/>
      <c r="H90" s="4796"/>
      <c r="I90" s="4796"/>
      <c r="J90" s="4796"/>
    </row>
    <row r="91" spans="1:10">
      <c r="A91" s="3345">
        <v>41944</v>
      </c>
      <c r="B91" s="1353">
        <f>SUM(B76:F76,I76)</f>
        <v>567</v>
      </c>
      <c r="C91" s="1353">
        <f>SUM(G76)</f>
        <v>122</v>
      </c>
      <c r="D91" s="2353">
        <f>SUM(H76)</f>
        <v>20</v>
      </c>
      <c r="G91" s="4796"/>
      <c r="H91" s="4796"/>
      <c r="I91" s="4796"/>
      <c r="J91" s="4796"/>
    </row>
    <row r="92" spans="1:10">
      <c r="A92" s="3345">
        <v>41974</v>
      </c>
      <c r="B92" s="1353">
        <f>SUM(B77:F77,I77)</f>
        <v>0</v>
      </c>
      <c r="C92" s="1353">
        <f>SUM(G77)</f>
        <v>0</v>
      </c>
      <c r="D92" s="2353">
        <f>SUM(H77)</f>
        <v>0</v>
      </c>
      <c r="G92" s="4796"/>
      <c r="H92" s="4796"/>
      <c r="I92" s="4796"/>
      <c r="J92" s="4796"/>
    </row>
    <row r="93" spans="1:10">
      <c r="A93" s="2355" t="s">
        <v>8</v>
      </c>
      <c r="B93" s="2372">
        <f>SUM(B83:B92)</f>
        <v>8395</v>
      </c>
      <c r="C93" s="2372">
        <f>SUM(C83:C92)</f>
        <v>1359</v>
      </c>
      <c r="D93" s="2373">
        <f>SUM(D83:D92)</f>
        <v>458</v>
      </c>
      <c r="G93" s="4796"/>
      <c r="H93" s="4796"/>
      <c r="I93" s="4796"/>
      <c r="J93" s="4796"/>
    </row>
    <row r="94" spans="1:10">
      <c r="A94" s="3306"/>
    </row>
    <row r="95" spans="1:10">
      <c r="A95" s="3306"/>
    </row>
    <row r="96" spans="1:10" ht="15">
      <c r="A96" s="3438"/>
    </row>
    <row r="98" spans="1:11" ht="15">
      <c r="A98" s="3437" t="s">
        <v>6102</v>
      </c>
      <c r="B98" s="2415" t="s">
        <v>6084</v>
      </c>
      <c r="C98" s="2415" t="s">
        <v>6085</v>
      </c>
      <c r="D98" s="2415" t="s">
        <v>6086</v>
      </c>
      <c r="E98" s="2415" t="s">
        <v>6087</v>
      </c>
      <c r="F98" s="2415" t="s">
        <v>6088</v>
      </c>
      <c r="G98" s="2415" t="s">
        <v>6089</v>
      </c>
      <c r="H98" s="2415" t="s">
        <v>6090</v>
      </c>
      <c r="I98" s="2415" t="s">
        <v>6091</v>
      </c>
      <c r="J98" s="3374" t="s">
        <v>8</v>
      </c>
      <c r="K98" s="2416" t="s">
        <v>6092</v>
      </c>
    </row>
    <row r="99" spans="1:11">
      <c r="A99" s="3357">
        <v>42005</v>
      </c>
      <c r="B99" s="1353">
        <v>72</v>
      </c>
      <c r="C99" s="1353">
        <v>42</v>
      </c>
      <c r="D99" s="1353">
        <v>6</v>
      </c>
      <c r="E99" s="1353">
        <v>0</v>
      </c>
      <c r="F99" s="1353">
        <v>22</v>
      </c>
      <c r="G99" s="1353">
        <v>19</v>
      </c>
      <c r="H99" s="1353">
        <v>119</v>
      </c>
      <c r="I99" s="1353">
        <v>4</v>
      </c>
      <c r="J99" s="3362">
        <f>SUM(B99:I99)</f>
        <v>284</v>
      </c>
      <c r="K99" s="3344">
        <v>787</v>
      </c>
    </row>
    <row r="100" spans="1:11">
      <c r="A100" s="3357">
        <v>42036</v>
      </c>
      <c r="B100" s="1353">
        <v>107</v>
      </c>
      <c r="C100" s="1353">
        <v>59</v>
      </c>
      <c r="D100" s="1353">
        <v>23</v>
      </c>
      <c r="E100" s="1353">
        <v>5</v>
      </c>
      <c r="F100" s="1353">
        <v>30</v>
      </c>
      <c r="G100" s="1353">
        <v>0</v>
      </c>
      <c r="H100" s="1353">
        <v>7</v>
      </c>
      <c r="I100" s="1353">
        <v>10</v>
      </c>
      <c r="J100" s="3363">
        <f>SUM(B100:I100)</f>
        <v>241</v>
      </c>
      <c r="K100" s="3344">
        <v>755</v>
      </c>
    </row>
    <row r="101" spans="1:11">
      <c r="A101" s="3357">
        <v>42064</v>
      </c>
      <c r="B101" s="1353">
        <v>81</v>
      </c>
      <c r="C101" s="1353">
        <v>78</v>
      </c>
      <c r="D101" s="1353">
        <v>34</v>
      </c>
      <c r="E101" s="1353">
        <v>2</v>
      </c>
      <c r="F101" s="1353">
        <v>42</v>
      </c>
      <c r="G101" s="1353">
        <v>96</v>
      </c>
      <c r="H101" s="1353">
        <v>118</v>
      </c>
      <c r="I101" s="1353">
        <v>5</v>
      </c>
      <c r="J101" s="3363">
        <f t="shared" ref="J101:J110" si="4">SUM(B101:I101)</f>
        <v>456</v>
      </c>
      <c r="K101" s="3344">
        <v>1276</v>
      </c>
    </row>
    <row r="102" spans="1:11">
      <c r="A102" s="3357">
        <v>42095</v>
      </c>
      <c r="B102" s="2314">
        <v>170</v>
      </c>
      <c r="C102" s="2314">
        <v>141</v>
      </c>
      <c r="D102" s="2314">
        <v>183</v>
      </c>
      <c r="E102" s="2314">
        <v>8</v>
      </c>
      <c r="F102" s="2314">
        <v>57</v>
      </c>
      <c r="G102" s="2314">
        <v>144</v>
      </c>
      <c r="H102" s="2314">
        <v>0</v>
      </c>
      <c r="I102" s="2314">
        <v>9</v>
      </c>
      <c r="J102" s="3364">
        <f t="shared" si="4"/>
        <v>712</v>
      </c>
      <c r="K102" s="3346">
        <v>2072</v>
      </c>
    </row>
    <row r="103" spans="1:11">
      <c r="A103" s="3357">
        <v>42125</v>
      </c>
      <c r="B103" s="1353">
        <v>259</v>
      </c>
      <c r="C103" s="1353">
        <v>172</v>
      </c>
      <c r="D103" s="1353">
        <v>24</v>
      </c>
      <c r="E103" s="1353">
        <v>2</v>
      </c>
      <c r="F103" s="1353">
        <v>84</v>
      </c>
      <c r="G103" s="1353">
        <v>129</v>
      </c>
      <c r="H103" s="1353">
        <v>0</v>
      </c>
      <c r="I103" s="1353">
        <v>3</v>
      </c>
      <c r="J103" s="3363">
        <f t="shared" si="4"/>
        <v>673</v>
      </c>
      <c r="K103" s="3344">
        <v>2239</v>
      </c>
    </row>
    <row r="104" spans="1:11">
      <c r="A104" s="3357">
        <v>42156</v>
      </c>
      <c r="B104" s="1353">
        <v>168</v>
      </c>
      <c r="C104" s="1353">
        <v>202</v>
      </c>
      <c r="D104" s="1353">
        <v>14</v>
      </c>
      <c r="E104" s="1353">
        <v>3</v>
      </c>
      <c r="F104" s="1353">
        <v>21</v>
      </c>
      <c r="G104" s="1353">
        <v>137</v>
      </c>
      <c r="H104" s="1353">
        <v>0</v>
      </c>
      <c r="I104" s="1353">
        <v>3</v>
      </c>
      <c r="J104" s="3363">
        <f t="shared" si="4"/>
        <v>548</v>
      </c>
      <c r="K104" s="3344">
        <v>1776</v>
      </c>
    </row>
    <row r="105" spans="1:11">
      <c r="A105" s="3357">
        <v>42186</v>
      </c>
      <c r="B105" s="1353">
        <v>260</v>
      </c>
      <c r="C105" s="1353">
        <v>156</v>
      </c>
      <c r="D105" s="1353">
        <v>57</v>
      </c>
      <c r="E105" s="1353">
        <v>9</v>
      </c>
      <c r="F105" s="1353">
        <v>103</v>
      </c>
      <c r="G105" s="1353">
        <v>78</v>
      </c>
      <c r="H105" s="1353">
        <v>0</v>
      </c>
      <c r="I105" s="1353">
        <v>15</v>
      </c>
      <c r="J105" s="3363">
        <f t="shared" si="4"/>
        <v>678</v>
      </c>
      <c r="K105" s="3344">
        <v>2165</v>
      </c>
    </row>
    <row r="106" spans="1:11">
      <c r="A106" s="3357">
        <v>42217</v>
      </c>
      <c r="B106" s="1353">
        <v>259</v>
      </c>
      <c r="C106" s="1353">
        <v>172</v>
      </c>
      <c r="D106" s="1353">
        <v>76</v>
      </c>
      <c r="E106" s="1353">
        <v>14</v>
      </c>
      <c r="F106" s="1353">
        <v>92</v>
      </c>
      <c r="G106" s="1353">
        <v>58</v>
      </c>
      <c r="H106" s="1353">
        <v>0</v>
      </c>
      <c r="I106" s="1353">
        <v>16</v>
      </c>
      <c r="J106" s="3363">
        <f t="shared" si="4"/>
        <v>687</v>
      </c>
      <c r="K106" s="3344">
        <v>2176</v>
      </c>
    </row>
    <row r="107" spans="1:11">
      <c r="A107" s="3357">
        <v>42248</v>
      </c>
      <c r="B107" s="1353">
        <v>197</v>
      </c>
      <c r="C107" s="1353">
        <v>178</v>
      </c>
      <c r="D107" s="1353">
        <v>2</v>
      </c>
      <c r="E107" s="1353">
        <v>1</v>
      </c>
      <c r="F107" s="1353">
        <v>54</v>
      </c>
      <c r="G107" s="1353">
        <v>415</v>
      </c>
      <c r="H107" s="1353">
        <v>0</v>
      </c>
      <c r="I107" s="1353">
        <v>13</v>
      </c>
      <c r="J107" s="3363">
        <f>SUM(B107:I107)</f>
        <v>860</v>
      </c>
      <c r="K107" s="3344">
        <v>2441</v>
      </c>
    </row>
    <row r="108" spans="1:11">
      <c r="A108" s="3357">
        <v>42278</v>
      </c>
      <c r="B108" s="1353">
        <v>143</v>
      </c>
      <c r="C108" s="1353">
        <v>99</v>
      </c>
      <c r="D108" s="1353">
        <v>11</v>
      </c>
      <c r="E108" s="1353">
        <v>1</v>
      </c>
      <c r="F108" s="1353">
        <v>47</v>
      </c>
      <c r="G108" s="1353">
        <v>210</v>
      </c>
      <c r="H108" s="1353">
        <v>0</v>
      </c>
      <c r="I108" s="1353">
        <v>6</v>
      </c>
      <c r="J108" s="3363">
        <f t="shared" si="4"/>
        <v>517</v>
      </c>
      <c r="K108" s="3344">
        <v>1662</v>
      </c>
    </row>
    <row r="109" spans="1:11">
      <c r="A109" s="3357">
        <v>42309</v>
      </c>
      <c r="B109" s="1353">
        <v>178</v>
      </c>
      <c r="C109" s="1353">
        <v>97</v>
      </c>
      <c r="D109" s="1353">
        <v>29</v>
      </c>
      <c r="E109" s="1353">
        <v>6</v>
      </c>
      <c r="F109" s="1353">
        <v>74</v>
      </c>
      <c r="G109" s="1353">
        <v>18</v>
      </c>
      <c r="H109" s="1353">
        <v>0</v>
      </c>
      <c r="I109" s="1353">
        <v>5</v>
      </c>
      <c r="J109" s="3363">
        <f t="shared" si="4"/>
        <v>407</v>
      </c>
      <c r="K109" s="3344">
        <v>1337</v>
      </c>
    </row>
    <row r="110" spans="1:11">
      <c r="A110" s="3357">
        <v>42339</v>
      </c>
      <c r="B110" s="1353">
        <v>69</v>
      </c>
      <c r="C110" s="1353">
        <v>35</v>
      </c>
      <c r="D110" s="1353">
        <v>13</v>
      </c>
      <c r="E110" s="1353">
        <v>4</v>
      </c>
      <c r="F110" s="1353">
        <v>47</v>
      </c>
      <c r="G110" s="1353">
        <v>0</v>
      </c>
      <c r="H110" s="1353">
        <v>0</v>
      </c>
      <c r="I110" s="1353">
        <v>4</v>
      </c>
      <c r="J110" s="3363">
        <f t="shared" si="4"/>
        <v>172</v>
      </c>
      <c r="K110" s="3344">
        <v>548</v>
      </c>
    </row>
    <row r="111" spans="1:11">
      <c r="A111" s="2368" t="s">
        <v>8</v>
      </c>
      <c r="B111" s="2372">
        <f t="shared" ref="B111:K111" si="5">SUM(B99:B110)</f>
        <v>1963</v>
      </c>
      <c r="C111" s="2372">
        <f t="shared" si="5"/>
        <v>1431</v>
      </c>
      <c r="D111" s="2372">
        <f t="shared" si="5"/>
        <v>472</v>
      </c>
      <c r="E111" s="2372">
        <f t="shared" si="5"/>
        <v>55</v>
      </c>
      <c r="F111" s="2372">
        <f t="shared" si="5"/>
        <v>673</v>
      </c>
      <c r="G111" s="2372">
        <f t="shared" si="5"/>
        <v>1304</v>
      </c>
      <c r="H111" s="2372">
        <f t="shared" si="5"/>
        <v>244</v>
      </c>
      <c r="I111" s="2372">
        <f t="shared" si="5"/>
        <v>93</v>
      </c>
      <c r="J111" s="3365">
        <f t="shared" si="5"/>
        <v>6235</v>
      </c>
      <c r="K111" s="2373">
        <f t="shared" si="5"/>
        <v>19234</v>
      </c>
    </row>
    <row r="114" spans="1:10">
      <c r="A114" s="3359" t="s">
        <v>6095</v>
      </c>
      <c r="B114" s="3290"/>
      <c r="C114" s="3290"/>
      <c r="D114" s="3292"/>
      <c r="G114" s="4803"/>
      <c r="H114" s="4803"/>
      <c r="I114" s="4803"/>
      <c r="J114" s="4803"/>
    </row>
    <row r="115" spans="1:10">
      <c r="A115" s="3360" t="s">
        <v>6096</v>
      </c>
      <c r="B115" s="2393" t="s">
        <v>6097</v>
      </c>
      <c r="C115" s="2393" t="s">
        <v>6098</v>
      </c>
      <c r="D115" s="2394" t="s">
        <v>6099</v>
      </c>
      <c r="G115" s="4796"/>
      <c r="H115" s="4796"/>
      <c r="I115" s="4796"/>
      <c r="J115" s="4796"/>
    </row>
    <row r="116" spans="1:10">
      <c r="A116" s="3347">
        <v>42005</v>
      </c>
      <c r="B116" s="1353">
        <f t="shared" ref="B116:B127" si="6">SUM(B99:F99,I99)</f>
        <v>146</v>
      </c>
      <c r="C116" s="1353">
        <f t="shared" ref="C116:C127" si="7">SUM(G99)</f>
        <v>19</v>
      </c>
      <c r="D116" s="3358">
        <f t="shared" ref="D116:D127" si="8">SUM(H99)</f>
        <v>119</v>
      </c>
      <c r="G116" s="4796"/>
      <c r="H116" s="4796"/>
      <c r="I116" s="4796"/>
      <c r="J116" s="4796"/>
    </row>
    <row r="117" spans="1:10">
      <c r="A117" s="3347">
        <v>42036</v>
      </c>
      <c r="B117" s="1353">
        <f t="shared" si="6"/>
        <v>234</v>
      </c>
      <c r="C117" s="1353">
        <f t="shared" si="7"/>
        <v>0</v>
      </c>
      <c r="D117" s="3358">
        <f t="shared" si="8"/>
        <v>7</v>
      </c>
      <c r="G117" s="4796"/>
      <c r="H117" s="4796"/>
      <c r="I117" s="4796"/>
      <c r="J117" s="4796"/>
    </row>
    <row r="118" spans="1:10">
      <c r="A118" s="3347">
        <v>42064</v>
      </c>
      <c r="B118" s="1353">
        <f t="shared" si="6"/>
        <v>242</v>
      </c>
      <c r="C118" s="1353">
        <f t="shared" si="7"/>
        <v>96</v>
      </c>
      <c r="D118" s="3358">
        <f t="shared" si="8"/>
        <v>118</v>
      </c>
      <c r="G118" s="4796"/>
      <c r="H118" s="4796"/>
      <c r="I118" s="4796"/>
      <c r="J118" s="4796"/>
    </row>
    <row r="119" spans="1:10">
      <c r="A119" s="3347">
        <v>42095</v>
      </c>
      <c r="B119" s="1353">
        <f t="shared" si="6"/>
        <v>568</v>
      </c>
      <c r="C119" s="1353">
        <f t="shared" si="7"/>
        <v>144</v>
      </c>
      <c r="D119" s="3358">
        <f t="shared" si="8"/>
        <v>0</v>
      </c>
      <c r="G119" s="4796"/>
      <c r="H119" s="4796"/>
      <c r="I119" s="4796"/>
      <c r="J119" s="4796"/>
    </row>
    <row r="120" spans="1:10">
      <c r="A120" s="3347">
        <v>42125</v>
      </c>
      <c r="B120" s="1353">
        <f t="shared" si="6"/>
        <v>544</v>
      </c>
      <c r="C120" s="1353">
        <f t="shared" si="7"/>
        <v>129</v>
      </c>
      <c r="D120" s="3358">
        <f t="shared" si="8"/>
        <v>0</v>
      </c>
      <c r="G120" s="4796"/>
      <c r="H120" s="4796"/>
      <c r="I120" s="4796"/>
      <c r="J120" s="4796"/>
    </row>
    <row r="121" spans="1:10">
      <c r="A121" s="3347">
        <v>42156</v>
      </c>
      <c r="B121" s="1353">
        <f t="shared" si="6"/>
        <v>411</v>
      </c>
      <c r="C121" s="1353">
        <f t="shared" si="7"/>
        <v>137</v>
      </c>
      <c r="D121" s="3358">
        <f t="shared" si="8"/>
        <v>0</v>
      </c>
      <c r="G121" s="4796"/>
      <c r="H121" s="4796"/>
      <c r="I121" s="4796"/>
      <c r="J121" s="4796"/>
    </row>
    <row r="122" spans="1:10">
      <c r="A122" s="3347">
        <v>42186</v>
      </c>
      <c r="B122" s="1353">
        <f t="shared" si="6"/>
        <v>600</v>
      </c>
      <c r="C122" s="1353">
        <f t="shared" si="7"/>
        <v>78</v>
      </c>
      <c r="D122" s="3358">
        <f t="shared" si="8"/>
        <v>0</v>
      </c>
      <c r="E122" s="2320"/>
      <c r="F122" s="2320"/>
      <c r="G122" s="4796"/>
      <c r="H122" s="4796"/>
      <c r="I122" s="4796"/>
      <c r="J122" s="4796"/>
    </row>
    <row r="123" spans="1:10">
      <c r="A123" s="3347">
        <v>42217</v>
      </c>
      <c r="B123" s="1353">
        <f t="shared" si="6"/>
        <v>629</v>
      </c>
      <c r="C123" s="1353">
        <f t="shared" si="7"/>
        <v>58</v>
      </c>
      <c r="D123" s="3358">
        <f t="shared" si="8"/>
        <v>0</v>
      </c>
      <c r="F123" s="2354"/>
      <c r="G123" s="4796"/>
      <c r="H123" s="4796"/>
      <c r="I123" s="4796"/>
      <c r="J123" s="4796"/>
    </row>
    <row r="124" spans="1:10">
      <c r="A124" s="3347">
        <v>42248</v>
      </c>
      <c r="B124" s="1353">
        <f t="shared" si="6"/>
        <v>445</v>
      </c>
      <c r="C124" s="1353">
        <f t="shared" si="7"/>
        <v>415</v>
      </c>
      <c r="D124" s="3358">
        <f t="shared" si="8"/>
        <v>0</v>
      </c>
      <c r="E124" s="3307"/>
      <c r="F124" s="3308"/>
      <c r="G124" s="4796"/>
      <c r="H124" s="4796"/>
      <c r="I124" s="4796"/>
      <c r="J124" s="4796"/>
    </row>
    <row r="125" spans="1:10">
      <c r="A125" s="3347">
        <v>42278</v>
      </c>
      <c r="B125" s="1353">
        <f t="shared" si="6"/>
        <v>307</v>
      </c>
      <c r="C125" s="1353">
        <f t="shared" si="7"/>
        <v>210</v>
      </c>
      <c r="D125" s="3358">
        <f t="shared" si="8"/>
        <v>0</v>
      </c>
      <c r="G125" s="4796"/>
      <c r="H125" s="4796"/>
      <c r="I125" s="4796"/>
      <c r="J125" s="4796"/>
    </row>
    <row r="126" spans="1:10">
      <c r="A126" s="3347">
        <v>42309</v>
      </c>
      <c r="B126" s="1353">
        <f t="shared" si="6"/>
        <v>389</v>
      </c>
      <c r="C126" s="1353">
        <f t="shared" si="7"/>
        <v>18</v>
      </c>
      <c r="D126" s="3358">
        <f t="shared" si="8"/>
        <v>0</v>
      </c>
      <c r="G126" s="4796"/>
      <c r="H126" s="4796"/>
      <c r="I126" s="4796"/>
      <c r="J126" s="4796"/>
    </row>
    <row r="127" spans="1:10">
      <c r="A127" s="3347">
        <v>42339</v>
      </c>
      <c r="B127" s="1353">
        <f t="shared" si="6"/>
        <v>172</v>
      </c>
      <c r="C127" s="1353">
        <f t="shared" si="7"/>
        <v>0</v>
      </c>
      <c r="D127" s="3358">
        <f t="shared" si="8"/>
        <v>0</v>
      </c>
      <c r="G127" s="4796"/>
      <c r="H127" s="4796"/>
      <c r="I127" s="4796"/>
      <c r="J127" s="4796"/>
    </row>
    <row r="128" spans="1:10">
      <c r="A128" s="2355" t="s">
        <v>8</v>
      </c>
      <c r="B128" s="2372">
        <f>SUM(B116:B127)</f>
        <v>4687</v>
      </c>
      <c r="C128" s="2372">
        <f>SUM(C116:C127)</f>
        <v>1304</v>
      </c>
      <c r="D128" s="2373">
        <f>SUM(D116:D127)</f>
        <v>244</v>
      </c>
      <c r="G128" s="4796"/>
      <c r="H128" s="4796"/>
      <c r="I128" s="4796"/>
      <c r="J128" s="4796"/>
    </row>
    <row r="131" spans="1:10">
      <c r="A131" s="3355" t="s">
        <v>6103</v>
      </c>
      <c r="B131" s="2423" t="s">
        <v>6084</v>
      </c>
      <c r="C131" s="2423" t="s">
        <v>6085</v>
      </c>
      <c r="D131" s="2423" t="s">
        <v>6086</v>
      </c>
      <c r="E131" s="2423" t="s">
        <v>6087</v>
      </c>
      <c r="F131" s="2423" t="s">
        <v>6088</v>
      </c>
      <c r="G131" s="2423" t="s">
        <v>6089</v>
      </c>
      <c r="H131" s="2423" t="s">
        <v>6090</v>
      </c>
      <c r="I131" s="2423" t="s">
        <v>6091</v>
      </c>
      <c r="J131" s="3365" t="s">
        <v>8</v>
      </c>
    </row>
    <row r="132" spans="1:10">
      <c r="A132" s="3357">
        <v>42370</v>
      </c>
      <c r="B132" s="3303">
        <v>108</v>
      </c>
      <c r="C132" s="3303">
        <v>0</v>
      </c>
      <c r="D132" s="3303">
        <v>0</v>
      </c>
      <c r="E132" s="3303">
        <v>0</v>
      </c>
      <c r="F132" s="3303">
        <v>0</v>
      </c>
      <c r="G132" s="3303">
        <v>57</v>
      </c>
      <c r="H132" s="3303">
        <v>0</v>
      </c>
      <c r="I132" s="3303">
        <v>0</v>
      </c>
      <c r="J132" s="3366">
        <f>SUM(B132:I132)</f>
        <v>165</v>
      </c>
    </row>
    <row r="133" spans="1:10">
      <c r="A133" s="3357">
        <v>42401</v>
      </c>
      <c r="B133" s="3303">
        <v>81</v>
      </c>
      <c r="C133" s="3303">
        <v>50</v>
      </c>
      <c r="D133" s="3303">
        <v>9</v>
      </c>
      <c r="E133" s="3303">
        <v>0</v>
      </c>
      <c r="F133" s="3303">
        <v>28</v>
      </c>
      <c r="G133" s="3303">
        <v>0</v>
      </c>
      <c r="H133" s="3303">
        <v>8</v>
      </c>
      <c r="I133" s="3303">
        <v>0</v>
      </c>
      <c r="J133" s="3367">
        <f>SUM(B133:I133)</f>
        <v>176</v>
      </c>
    </row>
    <row r="134" spans="1:10">
      <c r="A134" s="3357">
        <v>42430</v>
      </c>
      <c r="B134" s="3303">
        <v>71</v>
      </c>
      <c r="C134" s="3303">
        <v>63</v>
      </c>
      <c r="D134" s="3303">
        <v>17</v>
      </c>
      <c r="E134" s="3303">
        <v>0</v>
      </c>
      <c r="F134" s="3303">
        <v>53</v>
      </c>
      <c r="G134" s="3303">
        <v>23</v>
      </c>
      <c r="H134" s="3303">
        <v>21</v>
      </c>
      <c r="I134" s="3303">
        <v>1</v>
      </c>
      <c r="J134" s="3367">
        <f t="shared" ref="J134:J143" si="9">SUM(B134:I134)</f>
        <v>249</v>
      </c>
    </row>
    <row r="135" spans="1:10">
      <c r="A135" s="3357">
        <v>42461</v>
      </c>
      <c r="B135" s="3303">
        <v>196</v>
      </c>
      <c r="C135" s="3303">
        <v>129</v>
      </c>
      <c r="D135" s="3303">
        <v>34</v>
      </c>
      <c r="E135" s="3303">
        <v>0</v>
      </c>
      <c r="F135" s="3303">
        <v>195</v>
      </c>
      <c r="G135" s="3303">
        <v>117</v>
      </c>
      <c r="H135" s="3303">
        <v>146</v>
      </c>
      <c r="I135" s="3303">
        <v>10</v>
      </c>
      <c r="J135" s="3368">
        <f t="shared" si="9"/>
        <v>827</v>
      </c>
    </row>
    <row r="136" spans="1:10">
      <c r="A136" s="3357">
        <v>42491</v>
      </c>
      <c r="B136" s="3303">
        <v>165</v>
      </c>
      <c r="C136" s="3303">
        <v>189</v>
      </c>
      <c r="D136" s="3303">
        <v>5</v>
      </c>
      <c r="E136" s="3303">
        <v>0</v>
      </c>
      <c r="F136" s="3303">
        <v>44</v>
      </c>
      <c r="G136" s="3303">
        <v>202</v>
      </c>
      <c r="H136" s="3303">
        <v>11</v>
      </c>
      <c r="I136" s="3303">
        <v>3</v>
      </c>
      <c r="J136" s="3367">
        <f t="shared" si="9"/>
        <v>619</v>
      </c>
    </row>
    <row r="137" spans="1:10">
      <c r="A137" s="3357">
        <v>42522</v>
      </c>
      <c r="B137" s="3303">
        <v>159</v>
      </c>
      <c r="C137" s="3303">
        <v>197</v>
      </c>
      <c r="D137" s="3303">
        <v>7</v>
      </c>
      <c r="E137" s="3303">
        <v>0</v>
      </c>
      <c r="F137" s="3303">
        <v>43</v>
      </c>
      <c r="G137" s="3303">
        <v>223</v>
      </c>
      <c r="H137" s="3303">
        <v>19</v>
      </c>
      <c r="I137" s="3303">
        <v>7</v>
      </c>
      <c r="J137" s="3367">
        <f t="shared" si="9"/>
        <v>655</v>
      </c>
    </row>
    <row r="138" spans="1:10">
      <c r="A138" s="3357">
        <v>42552</v>
      </c>
      <c r="B138" s="3303">
        <v>221</v>
      </c>
      <c r="C138" s="3303">
        <v>159</v>
      </c>
      <c r="D138" s="3303">
        <v>63</v>
      </c>
      <c r="E138" s="3303">
        <v>0</v>
      </c>
      <c r="F138" s="3303">
        <v>75</v>
      </c>
      <c r="G138" s="3303">
        <v>34</v>
      </c>
      <c r="H138" s="3303">
        <v>0</v>
      </c>
      <c r="I138" s="3303">
        <v>16</v>
      </c>
      <c r="J138" s="3367">
        <f t="shared" si="9"/>
        <v>568</v>
      </c>
    </row>
    <row r="139" spans="1:10">
      <c r="A139" s="3357">
        <v>42583</v>
      </c>
      <c r="B139" s="3303">
        <v>294</v>
      </c>
      <c r="C139" s="3303">
        <v>227</v>
      </c>
      <c r="D139" s="3303">
        <v>76</v>
      </c>
      <c r="E139" s="3303">
        <v>0</v>
      </c>
      <c r="F139" s="3303">
        <v>178</v>
      </c>
      <c r="G139" s="3303">
        <v>32</v>
      </c>
      <c r="H139" s="3303">
        <v>0</v>
      </c>
      <c r="I139" s="3303">
        <v>17</v>
      </c>
      <c r="J139" s="3367">
        <f t="shared" si="9"/>
        <v>824</v>
      </c>
    </row>
    <row r="140" spans="1:10">
      <c r="A140" s="3357">
        <v>42614</v>
      </c>
      <c r="B140" s="3303">
        <v>188</v>
      </c>
      <c r="C140" s="3303">
        <v>221</v>
      </c>
      <c r="D140" s="3303">
        <v>8</v>
      </c>
      <c r="E140" s="3303">
        <v>0</v>
      </c>
      <c r="F140" s="3303">
        <v>49</v>
      </c>
      <c r="G140" s="3303">
        <v>58</v>
      </c>
      <c r="H140" s="3303">
        <v>22</v>
      </c>
      <c r="I140" s="3303">
        <v>35</v>
      </c>
      <c r="J140" s="3367">
        <f>SUM(B140:I140)</f>
        <v>581</v>
      </c>
    </row>
    <row r="141" spans="1:10">
      <c r="A141" s="3357">
        <v>42644</v>
      </c>
      <c r="B141" s="3303">
        <v>109</v>
      </c>
      <c r="C141" s="3303">
        <v>210</v>
      </c>
      <c r="D141" s="3303">
        <v>20</v>
      </c>
      <c r="E141" s="3303">
        <v>0</v>
      </c>
      <c r="F141" s="3303">
        <v>73</v>
      </c>
      <c r="G141" s="3303">
        <v>177</v>
      </c>
      <c r="H141" s="3303">
        <v>2</v>
      </c>
      <c r="I141" s="3303">
        <v>5</v>
      </c>
      <c r="J141" s="3367">
        <f t="shared" si="9"/>
        <v>596</v>
      </c>
    </row>
    <row r="142" spans="1:10">
      <c r="A142" s="3357">
        <v>42675</v>
      </c>
      <c r="B142" s="3303">
        <v>150</v>
      </c>
      <c r="C142" s="3303">
        <v>150</v>
      </c>
      <c r="D142" s="3303">
        <v>23</v>
      </c>
      <c r="E142" s="3303">
        <v>0</v>
      </c>
      <c r="F142" s="3303">
        <v>67</v>
      </c>
      <c r="G142" s="3303">
        <v>0</v>
      </c>
      <c r="H142" s="3303">
        <v>4</v>
      </c>
      <c r="I142" s="3303">
        <v>3</v>
      </c>
      <c r="J142" s="3367">
        <f t="shared" si="9"/>
        <v>397</v>
      </c>
    </row>
    <row r="143" spans="1:10">
      <c r="A143" s="3357">
        <v>42705</v>
      </c>
      <c r="B143" s="3303">
        <v>60</v>
      </c>
      <c r="C143" s="3303">
        <v>84</v>
      </c>
      <c r="D143" s="3303">
        <v>9</v>
      </c>
      <c r="E143" s="3303">
        <v>0</v>
      </c>
      <c r="F143" s="3303">
        <v>51</v>
      </c>
      <c r="G143" s="3303">
        <v>0</v>
      </c>
      <c r="H143" s="3303">
        <v>1</v>
      </c>
      <c r="I143" s="3303">
        <v>4</v>
      </c>
      <c r="J143" s="3367">
        <f t="shared" si="9"/>
        <v>209</v>
      </c>
    </row>
    <row r="144" spans="1:10">
      <c r="A144" s="2436"/>
      <c r="B144" s="2320"/>
      <c r="C144" s="2320"/>
      <c r="D144" s="2320"/>
      <c r="E144" s="2320"/>
      <c r="F144" s="2320"/>
      <c r="G144" s="2320"/>
      <c r="H144" s="2320"/>
      <c r="I144" s="2320"/>
      <c r="J144" s="3369"/>
    </row>
    <row r="145" spans="1:10">
      <c r="A145" s="2368" t="s">
        <v>8</v>
      </c>
      <c r="B145" s="2356">
        <f t="shared" ref="B145:I145" si="10">SUM(B132:B143)</f>
        <v>1802</v>
      </c>
      <c r="C145" s="2356">
        <f t="shared" si="10"/>
        <v>1679</v>
      </c>
      <c r="D145" s="2356">
        <f t="shared" si="10"/>
        <v>271</v>
      </c>
      <c r="E145" s="2356">
        <f t="shared" si="10"/>
        <v>0</v>
      </c>
      <c r="F145" s="2356">
        <f t="shared" si="10"/>
        <v>856</v>
      </c>
      <c r="G145" s="2356">
        <f t="shared" si="10"/>
        <v>923</v>
      </c>
      <c r="H145" s="2356">
        <f t="shared" si="10"/>
        <v>234</v>
      </c>
      <c r="I145" s="2356">
        <f t="shared" si="10"/>
        <v>101</v>
      </c>
      <c r="J145" s="2368">
        <f>SUM(J132:J143)</f>
        <v>5866</v>
      </c>
    </row>
    <row r="148" spans="1:10">
      <c r="A148" s="3371" t="s">
        <v>6095</v>
      </c>
      <c r="B148" s="2415"/>
      <c r="C148" s="2415"/>
      <c r="D148" s="2416"/>
    </row>
    <row r="149" spans="1:10">
      <c r="A149" s="3372" t="s">
        <v>6096</v>
      </c>
      <c r="B149" s="2393" t="s">
        <v>6097</v>
      </c>
      <c r="C149" s="2393" t="s">
        <v>6098</v>
      </c>
      <c r="D149" s="2394" t="s">
        <v>6099</v>
      </c>
    </row>
    <row r="150" spans="1:10">
      <c r="A150" s="3357">
        <v>42005</v>
      </c>
      <c r="B150" s="3303">
        <f t="shared" ref="B150:B161" si="11">SUM(B133:F133,I133)</f>
        <v>168</v>
      </c>
      <c r="C150" s="3303">
        <f t="shared" ref="C150:D161" si="12">SUM(G133)</f>
        <v>0</v>
      </c>
      <c r="D150" s="3370">
        <f t="shared" si="12"/>
        <v>8</v>
      </c>
    </row>
    <row r="151" spans="1:10">
      <c r="A151" s="3357">
        <v>42036</v>
      </c>
      <c r="B151" s="3303">
        <f t="shared" si="11"/>
        <v>205</v>
      </c>
      <c r="C151" s="3303">
        <f t="shared" si="12"/>
        <v>23</v>
      </c>
      <c r="D151" s="3370">
        <f t="shared" si="12"/>
        <v>21</v>
      </c>
    </row>
    <row r="152" spans="1:10">
      <c r="A152" s="3357">
        <v>42064</v>
      </c>
      <c r="B152" s="3303">
        <f t="shared" si="11"/>
        <v>564</v>
      </c>
      <c r="C152" s="3303">
        <f t="shared" si="12"/>
        <v>117</v>
      </c>
      <c r="D152" s="3370">
        <f t="shared" si="12"/>
        <v>146</v>
      </c>
    </row>
    <row r="153" spans="1:10">
      <c r="A153" s="3357">
        <v>42095</v>
      </c>
      <c r="B153" s="3303">
        <f t="shared" si="11"/>
        <v>406</v>
      </c>
      <c r="C153" s="3303">
        <f t="shared" si="12"/>
        <v>202</v>
      </c>
      <c r="D153" s="3370">
        <f t="shared" si="12"/>
        <v>11</v>
      </c>
    </row>
    <row r="154" spans="1:10">
      <c r="A154" s="3357">
        <v>42125</v>
      </c>
      <c r="B154" s="3303">
        <f t="shared" si="11"/>
        <v>413</v>
      </c>
      <c r="C154" s="3303">
        <f t="shared" si="12"/>
        <v>223</v>
      </c>
      <c r="D154" s="3370">
        <f t="shared" si="12"/>
        <v>19</v>
      </c>
    </row>
    <row r="155" spans="1:10">
      <c r="A155" s="3357">
        <v>42156</v>
      </c>
      <c r="B155" s="3303">
        <f t="shared" si="11"/>
        <v>534</v>
      </c>
      <c r="C155" s="3303">
        <f t="shared" si="12"/>
        <v>34</v>
      </c>
      <c r="D155" s="3370">
        <f t="shared" si="12"/>
        <v>0</v>
      </c>
    </row>
    <row r="156" spans="1:10">
      <c r="A156" s="3357">
        <v>42186</v>
      </c>
      <c r="B156" s="3303">
        <f t="shared" si="11"/>
        <v>792</v>
      </c>
      <c r="C156" s="3303">
        <f t="shared" si="12"/>
        <v>32</v>
      </c>
      <c r="D156" s="3370">
        <f t="shared" si="12"/>
        <v>0</v>
      </c>
    </row>
    <row r="157" spans="1:10">
      <c r="A157" s="3357">
        <v>42217</v>
      </c>
      <c r="B157" s="3303">
        <f t="shared" si="11"/>
        <v>501</v>
      </c>
      <c r="C157" s="3303">
        <f t="shared" si="12"/>
        <v>58</v>
      </c>
      <c r="D157" s="3370">
        <f t="shared" si="12"/>
        <v>22</v>
      </c>
    </row>
    <row r="158" spans="1:10">
      <c r="A158" s="3357">
        <v>42248</v>
      </c>
      <c r="B158" s="3303">
        <f t="shared" si="11"/>
        <v>417</v>
      </c>
      <c r="C158" s="3303">
        <f t="shared" si="12"/>
        <v>177</v>
      </c>
      <c r="D158" s="3370">
        <f t="shared" si="12"/>
        <v>2</v>
      </c>
    </row>
    <row r="159" spans="1:10">
      <c r="A159" s="3357">
        <v>42278</v>
      </c>
      <c r="B159" s="3303">
        <f t="shared" si="11"/>
        <v>393</v>
      </c>
      <c r="C159" s="3303">
        <f t="shared" si="12"/>
        <v>0</v>
      </c>
      <c r="D159" s="3370">
        <f t="shared" si="12"/>
        <v>4</v>
      </c>
    </row>
    <row r="160" spans="1:10">
      <c r="A160" s="3357">
        <v>42309</v>
      </c>
      <c r="B160" s="3303">
        <f t="shared" si="11"/>
        <v>208</v>
      </c>
      <c r="C160" s="3303">
        <f t="shared" si="12"/>
        <v>0</v>
      </c>
      <c r="D160" s="3370">
        <f t="shared" si="12"/>
        <v>1</v>
      </c>
    </row>
    <row r="161" spans="1:15">
      <c r="A161" s="3357">
        <v>42339</v>
      </c>
      <c r="B161" s="3303">
        <f t="shared" si="11"/>
        <v>0</v>
      </c>
      <c r="C161" s="3303">
        <f t="shared" si="12"/>
        <v>0</v>
      </c>
      <c r="D161" s="3370">
        <f t="shared" si="12"/>
        <v>0</v>
      </c>
    </row>
    <row r="162" spans="1:15">
      <c r="A162" s="2368" t="s">
        <v>8</v>
      </c>
      <c r="B162" s="2356">
        <f>SUM(B150:B161)</f>
        <v>4601</v>
      </c>
      <c r="C162" s="2356">
        <f>SUM(C150:C161)</f>
        <v>866</v>
      </c>
      <c r="D162" s="2357">
        <f>SUM(D150:D161)</f>
        <v>234</v>
      </c>
    </row>
    <row r="170" spans="1:15">
      <c r="A170" s="3355" t="s">
        <v>6104</v>
      </c>
      <c r="B170" s="2393" t="s">
        <v>6084</v>
      </c>
      <c r="C170" s="2393" t="s">
        <v>6085</v>
      </c>
      <c r="D170" s="2393" t="s">
        <v>6086</v>
      </c>
      <c r="E170" s="2393" t="s">
        <v>6087</v>
      </c>
      <c r="F170" s="2393" t="s">
        <v>6088</v>
      </c>
      <c r="G170" s="2393" t="s">
        <v>6089</v>
      </c>
      <c r="H170" s="2393" t="s">
        <v>6090</v>
      </c>
      <c r="I170" s="2393" t="s">
        <v>6091</v>
      </c>
      <c r="J170" s="2394" t="s">
        <v>8</v>
      </c>
      <c r="O170" s="3309" t="s">
        <v>6092</v>
      </c>
    </row>
    <row r="171" spans="1:15" ht="10.15" customHeight="1">
      <c r="A171" s="3357">
        <v>42736</v>
      </c>
      <c r="B171" s="3303">
        <v>65</v>
      </c>
      <c r="C171" s="3303">
        <v>53</v>
      </c>
      <c r="D171" s="3303">
        <v>13</v>
      </c>
      <c r="E171" s="3303">
        <v>0</v>
      </c>
      <c r="F171" s="3303">
        <v>36</v>
      </c>
      <c r="G171" s="3303">
        <v>128</v>
      </c>
      <c r="H171" s="3303">
        <v>0</v>
      </c>
      <c r="I171" s="3303">
        <v>2</v>
      </c>
      <c r="J171" s="3361">
        <f>SUM(B171:I171)</f>
        <v>297</v>
      </c>
      <c r="O171" s="3310">
        <v>600</v>
      </c>
    </row>
    <row r="172" spans="1:15" ht="12" customHeight="1">
      <c r="A172" s="3357">
        <v>42767</v>
      </c>
      <c r="B172" s="3303">
        <v>64</v>
      </c>
      <c r="C172" s="3303">
        <v>59</v>
      </c>
      <c r="D172" s="3303">
        <v>3</v>
      </c>
      <c r="E172" s="3303">
        <v>0</v>
      </c>
      <c r="F172" s="3303">
        <v>16</v>
      </c>
      <c r="G172" s="3303">
        <v>35</v>
      </c>
      <c r="H172" s="3303">
        <v>3</v>
      </c>
      <c r="I172" s="3303">
        <v>7</v>
      </c>
      <c r="J172" s="3361">
        <f t="shared" ref="J172:J182" si="13">SUM(B172:I172)</f>
        <v>187</v>
      </c>
      <c r="O172" s="3311">
        <v>576</v>
      </c>
    </row>
    <row r="173" spans="1:15" ht="9" customHeight="1">
      <c r="A173" s="3357">
        <v>42795</v>
      </c>
      <c r="B173" s="3303">
        <v>56</v>
      </c>
      <c r="C173" s="3303">
        <v>110</v>
      </c>
      <c r="D173" s="3303">
        <v>3</v>
      </c>
      <c r="E173" s="3303">
        <v>0</v>
      </c>
      <c r="F173" s="3303">
        <v>11</v>
      </c>
      <c r="G173" s="3303">
        <v>52</v>
      </c>
      <c r="H173" s="3303">
        <v>66</v>
      </c>
      <c r="I173" s="3303">
        <v>3</v>
      </c>
      <c r="J173" s="3361">
        <f t="shared" si="13"/>
        <v>301</v>
      </c>
      <c r="O173" s="3311">
        <v>777</v>
      </c>
    </row>
    <row r="174" spans="1:15" ht="10.15" customHeight="1">
      <c r="A174" s="3357">
        <v>42826</v>
      </c>
      <c r="B174" s="3303">
        <v>119</v>
      </c>
      <c r="C174" s="3303">
        <v>135</v>
      </c>
      <c r="D174" s="3303">
        <v>29</v>
      </c>
      <c r="E174" s="3303">
        <v>0</v>
      </c>
      <c r="F174" s="3303">
        <v>76</v>
      </c>
      <c r="G174" s="3303">
        <v>21</v>
      </c>
      <c r="H174" s="3303">
        <v>98</v>
      </c>
      <c r="I174" s="3303">
        <v>6</v>
      </c>
      <c r="J174" s="3361">
        <f t="shared" si="13"/>
        <v>484</v>
      </c>
      <c r="O174" s="3312">
        <v>2317.6999999999998</v>
      </c>
    </row>
    <row r="175" spans="1:15" ht="10.15" customHeight="1">
      <c r="A175" s="3357">
        <v>42856</v>
      </c>
      <c r="B175" s="3303">
        <v>135</v>
      </c>
      <c r="C175" s="3303">
        <v>137</v>
      </c>
      <c r="D175" s="3303">
        <v>5</v>
      </c>
      <c r="E175" s="3303">
        <v>0</v>
      </c>
      <c r="F175" s="3303">
        <v>29</v>
      </c>
      <c r="G175" s="3303">
        <v>11</v>
      </c>
      <c r="H175" s="3303">
        <v>4</v>
      </c>
      <c r="I175" s="3303">
        <v>8</v>
      </c>
      <c r="J175" s="3361">
        <f t="shared" si="13"/>
        <v>329</v>
      </c>
      <c r="O175" s="3311">
        <v>1782</v>
      </c>
    </row>
    <row r="176" spans="1:15" ht="13.9" customHeight="1">
      <c r="A176" s="3357">
        <v>42887</v>
      </c>
      <c r="B176" s="3303">
        <v>174</v>
      </c>
      <c r="C176" s="3303">
        <v>99</v>
      </c>
      <c r="D176" s="3303">
        <v>6</v>
      </c>
      <c r="E176" s="3303">
        <v>0</v>
      </c>
      <c r="F176" s="3303">
        <v>66</v>
      </c>
      <c r="G176" s="3303">
        <v>32</v>
      </c>
      <c r="H176" s="3303">
        <v>27</v>
      </c>
      <c r="I176" s="3303">
        <v>112</v>
      </c>
      <c r="J176" s="3361">
        <f t="shared" si="13"/>
        <v>516</v>
      </c>
      <c r="O176" s="3311">
        <v>1909</v>
      </c>
    </row>
    <row r="177" spans="1:15" ht="13.15" customHeight="1">
      <c r="A177" s="3357">
        <v>42917</v>
      </c>
      <c r="B177" s="3303">
        <v>198</v>
      </c>
      <c r="C177" s="3303">
        <v>123</v>
      </c>
      <c r="D177" s="3303">
        <v>48</v>
      </c>
      <c r="E177" s="3303">
        <v>0</v>
      </c>
      <c r="F177" s="3303">
        <v>83</v>
      </c>
      <c r="G177" s="3303">
        <v>92</v>
      </c>
      <c r="H177" s="3303">
        <v>9</v>
      </c>
      <c r="I177" s="3303">
        <v>162</v>
      </c>
      <c r="J177" s="3361">
        <f t="shared" si="13"/>
        <v>715</v>
      </c>
      <c r="O177" s="3311">
        <v>1805</v>
      </c>
    </row>
    <row r="178" spans="1:15" ht="12" customHeight="1">
      <c r="A178" s="3357">
        <v>42948</v>
      </c>
      <c r="B178" s="3303">
        <v>263</v>
      </c>
      <c r="C178" s="3303">
        <v>191</v>
      </c>
      <c r="D178" s="3303">
        <v>98</v>
      </c>
      <c r="E178" s="3303">
        <v>0</v>
      </c>
      <c r="F178" s="3303">
        <v>129</v>
      </c>
      <c r="G178" s="3303">
        <v>56</v>
      </c>
      <c r="H178" s="3303">
        <v>6</v>
      </c>
      <c r="I178" s="3303">
        <v>198</v>
      </c>
      <c r="J178" s="3361">
        <f t="shared" si="13"/>
        <v>941</v>
      </c>
      <c r="O178" s="3311">
        <v>2635</v>
      </c>
    </row>
    <row r="179" spans="1:15" ht="11.45" customHeight="1">
      <c r="A179" s="3357">
        <v>42979</v>
      </c>
      <c r="B179" s="3303">
        <v>241</v>
      </c>
      <c r="C179" s="3303">
        <v>182</v>
      </c>
      <c r="D179" s="3303">
        <v>0</v>
      </c>
      <c r="E179" s="3303">
        <v>0</v>
      </c>
      <c r="F179" s="3303">
        <v>0</v>
      </c>
      <c r="G179" s="3303">
        <v>0</v>
      </c>
      <c r="H179" s="3303">
        <v>0</v>
      </c>
      <c r="I179" s="3303">
        <v>0</v>
      </c>
      <c r="J179" s="3361">
        <f t="shared" si="13"/>
        <v>423</v>
      </c>
      <c r="O179" s="3311">
        <v>0</v>
      </c>
    </row>
    <row r="180" spans="1:15" ht="11.45" customHeight="1">
      <c r="A180" s="3357">
        <v>43009</v>
      </c>
      <c r="B180" s="3303">
        <v>131</v>
      </c>
      <c r="C180" s="3303">
        <v>130</v>
      </c>
      <c r="D180" s="3303">
        <v>17</v>
      </c>
      <c r="E180" s="3303">
        <v>0</v>
      </c>
      <c r="F180" s="3303">
        <v>65</v>
      </c>
      <c r="G180" s="3303">
        <v>52</v>
      </c>
      <c r="H180" s="3303">
        <v>19</v>
      </c>
      <c r="I180" s="3303">
        <v>20</v>
      </c>
      <c r="J180" s="3361">
        <f t="shared" si="13"/>
        <v>434</v>
      </c>
      <c r="O180" s="3311">
        <v>0</v>
      </c>
    </row>
    <row r="181" spans="1:15" ht="11.45" customHeight="1">
      <c r="A181" s="3357">
        <v>43040</v>
      </c>
      <c r="B181" s="3303">
        <v>86</v>
      </c>
      <c r="C181" s="3303">
        <v>65</v>
      </c>
      <c r="D181" s="3303">
        <v>13</v>
      </c>
      <c r="E181" s="3303">
        <v>0</v>
      </c>
      <c r="F181" s="3303">
        <v>27</v>
      </c>
      <c r="G181" s="3303">
        <v>18</v>
      </c>
      <c r="H181" s="3303">
        <v>36</v>
      </c>
      <c r="I181" s="3303">
        <v>4</v>
      </c>
      <c r="J181" s="3361">
        <f t="shared" si="13"/>
        <v>249</v>
      </c>
      <c r="O181" s="3311">
        <v>0</v>
      </c>
    </row>
    <row r="182" spans="1:15">
      <c r="A182" s="3357">
        <v>43070</v>
      </c>
      <c r="B182" s="3303">
        <v>38</v>
      </c>
      <c r="C182" s="3303">
        <v>61</v>
      </c>
      <c r="D182" s="3303">
        <v>18</v>
      </c>
      <c r="E182" s="3303">
        <v>0</v>
      </c>
      <c r="F182" s="3303">
        <v>31</v>
      </c>
      <c r="G182" s="3303">
        <v>0</v>
      </c>
      <c r="H182" s="3303">
        <v>0</v>
      </c>
      <c r="I182" s="3303">
        <v>7</v>
      </c>
      <c r="J182" s="3361">
        <f t="shared" si="13"/>
        <v>155</v>
      </c>
      <c r="O182" s="3311">
        <v>0</v>
      </c>
    </row>
    <row r="183" spans="1:15">
      <c r="A183" s="2368" t="s">
        <v>8</v>
      </c>
      <c r="B183" s="2356">
        <f t="shared" ref="B183:I183" si="14">SUM(B171:B182)</f>
        <v>1570</v>
      </c>
      <c r="C183" s="2356">
        <f t="shared" si="14"/>
        <v>1345</v>
      </c>
      <c r="D183" s="2356">
        <f t="shared" si="14"/>
        <v>253</v>
      </c>
      <c r="E183" s="2356">
        <f t="shared" si="14"/>
        <v>0</v>
      </c>
      <c r="F183" s="2356">
        <f t="shared" si="14"/>
        <v>569</v>
      </c>
      <c r="G183" s="2356">
        <f t="shared" si="14"/>
        <v>497</v>
      </c>
      <c r="H183" s="2356">
        <f t="shared" si="14"/>
        <v>268</v>
      </c>
      <c r="I183" s="2356">
        <f t="shared" si="14"/>
        <v>529</v>
      </c>
      <c r="J183" s="2357">
        <f>SUM(J171:J182)</f>
        <v>5031</v>
      </c>
      <c r="O183" s="3311">
        <f>SUM(O171:O182)</f>
        <v>12401.7</v>
      </c>
    </row>
    <row r="188" spans="1:15">
      <c r="A188" s="3371" t="s">
        <v>6095</v>
      </c>
      <c r="B188" s="2415"/>
      <c r="C188" s="2415"/>
      <c r="D188" s="2416"/>
    </row>
    <row r="189" spans="1:15">
      <c r="A189" s="3356" t="s">
        <v>6096</v>
      </c>
      <c r="B189" s="3341" t="s">
        <v>6097</v>
      </c>
      <c r="C189" s="3341" t="s">
        <v>6098</v>
      </c>
      <c r="D189" s="3342" t="s">
        <v>6099</v>
      </c>
    </row>
    <row r="190" spans="1:15">
      <c r="A190" s="3357">
        <v>42736</v>
      </c>
      <c r="B190" s="3303">
        <v>169</v>
      </c>
      <c r="C190" s="3303">
        <v>128</v>
      </c>
      <c r="D190" s="3373">
        <v>0</v>
      </c>
    </row>
    <row r="191" spans="1:15">
      <c r="A191" s="3357">
        <v>42767</v>
      </c>
      <c r="B191" s="3303">
        <v>149</v>
      </c>
      <c r="C191" s="3303">
        <v>35</v>
      </c>
      <c r="D191" s="3373">
        <v>3</v>
      </c>
    </row>
    <row r="192" spans="1:15">
      <c r="A192" s="3357">
        <v>42795</v>
      </c>
      <c r="B192" s="3303">
        <v>183</v>
      </c>
      <c r="C192" s="3303">
        <v>52</v>
      </c>
      <c r="D192" s="3373">
        <v>66</v>
      </c>
    </row>
    <row r="193" spans="1:19">
      <c r="A193" s="3357">
        <v>42826</v>
      </c>
      <c r="B193" s="3303">
        <v>365</v>
      </c>
      <c r="C193" s="3303">
        <v>21</v>
      </c>
      <c r="D193" s="3373">
        <v>98</v>
      </c>
    </row>
    <row r="194" spans="1:19">
      <c r="A194" s="3357">
        <v>42856</v>
      </c>
      <c r="B194" s="3303">
        <v>314</v>
      </c>
      <c r="C194" s="3303">
        <v>11</v>
      </c>
      <c r="D194" s="3373">
        <v>4</v>
      </c>
    </row>
    <row r="195" spans="1:19">
      <c r="A195" s="3357">
        <v>42887</v>
      </c>
      <c r="B195" s="3303">
        <v>457</v>
      </c>
      <c r="C195" s="3303">
        <v>32</v>
      </c>
      <c r="D195" s="3373">
        <v>27</v>
      </c>
    </row>
    <row r="196" spans="1:19">
      <c r="A196" s="3357">
        <v>42917</v>
      </c>
      <c r="B196" s="3303">
        <v>614</v>
      </c>
      <c r="C196" s="3303">
        <v>92</v>
      </c>
      <c r="D196" s="3373">
        <v>9</v>
      </c>
    </row>
    <row r="197" spans="1:19">
      <c r="A197" s="3357">
        <v>42948</v>
      </c>
      <c r="B197" s="3303">
        <v>879</v>
      </c>
      <c r="C197" s="3303">
        <v>56</v>
      </c>
      <c r="D197" s="3373">
        <v>6</v>
      </c>
    </row>
    <row r="198" spans="1:19">
      <c r="A198" s="3357">
        <v>42979</v>
      </c>
      <c r="B198" s="3303">
        <v>423</v>
      </c>
      <c r="C198" s="3303">
        <v>0</v>
      </c>
      <c r="D198" s="3373">
        <v>0</v>
      </c>
    </row>
    <row r="199" spans="1:19">
      <c r="A199" s="3357">
        <v>43009</v>
      </c>
      <c r="B199" s="3303">
        <v>363</v>
      </c>
      <c r="C199" s="3303">
        <v>52</v>
      </c>
      <c r="D199" s="3373">
        <v>19</v>
      </c>
    </row>
    <row r="200" spans="1:19">
      <c r="A200" s="3357">
        <v>43040</v>
      </c>
      <c r="B200" s="3303">
        <v>195</v>
      </c>
      <c r="C200" s="3303">
        <v>18</v>
      </c>
      <c r="D200" s="3373">
        <v>36</v>
      </c>
    </row>
    <row r="201" spans="1:19">
      <c r="A201" s="3357">
        <v>43070</v>
      </c>
      <c r="B201" s="3303">
        <v>155</v>
      </c>
      <c r="C201" s="3303">
        <v>0</v>
      </c>
      <c r="D201" s="3373">
        <v>0</v>
      </c>
    </row>
    <row r="202" spans="1:19">
      <c r="A202" s="2368" t="s">
        <v>8</v>
      </c>
      <c r="B202" s="2356">
        <v>4266</v>
      </c>
      <c r="C202" s="2356">
        <v>497</v>
      </c>
      <c r="D202" s="2357">
        <v>268</v>
      </c>
    </row>
    <row r="207" spans="1:19" ht="15">
      <c r="A207" s="2465" t="s">
        <v>6105</v>
      </c>
      <c r="B207" s="2423" t="s">
        <v>6084</v>
      </c>
      <c r="C207" s="2423" t="s">
        <v>6085</v>
      </c>
      <c r="D207" s="2423" t="s">
        <v>6086</v>
      </c>
      <c r="E207" s="2423" t="s">
        <v>6087</v>
      </c>
      <c r="F207" s="2423" t="s">
        <v>6088</v>
      </c>
      <c r="G207" s="2423" t="s">
        <v>6089</v>
      </c>
      <c r="H207" s="2423" t="s">
        <v>6090</v>
      </c>
      <c r="I207" s="2423" t="s">
        <v>6091</v>
      </c>
      <c r="J207" s="3375" t="s">
        <v>8</v>
      </c>
      <c r="K207" s="2423" t="s">
        <v>6106</v>
      </c>
      <c r="L207" s="2423" t="s">
        <v>6107</v>
      </c>
      <c r="M207" s="2423" t="s">
        <v>6108</v>
      </c>
      <c r="N207" s="2423" t="s">
        <v>6109</v>
      </c>
      <c r="O207" s="2424" t="s">
        <v>6110</v>
      </c>
      <c r="R207" s="2320"/>
      <c r="S207" s="2320"/>
    </row>
    <row r="208" spans="1:19">
      <c r="A208" s="3357">
        <v>43101</v>
      </c>
      <c r="B208" s="2320">
        <v>52</v>
      </c>
      <c r="C208" s="2320">
        <v>36</v>
      </c>
      <c r="D208" s="2320">
        <v>5</v>
      </c>
      <c r="E208" s="2320">
        <v>0</v>
      </c>
      <c r="F208" s="2320">
        <v>18</v>
      </c>
      <c r="G208" s="2320">
        <v>0</v>
      </c>
      <c r="H208" s="2320">
        <v>3</v>
      </c>
      <c r="I208" s="2320">
        <v>6</v>
      </c>
      <c r="J208" s="3369">
        <f>SUM(B208:I208)</f>
        <v>120</v>
      </c>
      <c r="K208" s="2320">
        <v>165</v>
      </c>
      <c r="L208" s="2320">
        <v>297</v>
      </c>
      <c r="M208" s="3313">
        <f t="shared" ref="M208:M219" si="15">(L208-K208)/K208</f>
        <v>0.8</v>
      </c>
      <c r="N208" s="3313">
        <f t="shared" ref="N208:N219" si="16">(J208-L208)/L208</f>
        <v>-0.59595959595959591</v>
      </c>
      <c r="O208" s="3259">
        <f>208+108+10+54+6</f>
        <v>386</v>
      </c>
      <c r="R208" s="2320"/>
      <c r="S208" s="2320"/>
    </row>
    <row r="209" spans="1:19">
      <c r="A209" s="3357">
        <v>43132</v>
      </c>
      <c r="B209" s="2320">
        <v>69</v>
      </c>
      <c r="C209" s="2320">
        <v>40</v>
      </c>
      <c r="D209" s="2320">
        <v>16</v>
      </c>
      <c r="E209" s="2320">
        <v>0</v>
      </c>
      <c r="F209" s="2320">
        <v>22</v>
      </c>
      <c r="G209" s="2320">
        <v>0</v>
      </c>
      <c r="H209" s="2320">
        <v>0</v>
      </c>
      <c r="I209" s="2320">
        <v>2</v>
      </c>
      <c r="J209" s="3369">
        <f t="shared" ref="J209:J219" si="17">SUM(B209:I209)</f>
        <v>149</v>
      </c>
      <c r="K209" s="2320">
        <v>176</v>
      </c>
      <c r="L209" s="2320">
        <v>187</v>
      </c>
      <c r="M209" s="3313">
        <f t="shared" si="15"/>
        <v>6.25E-2</v>
      </c>
      <c r="N209" s="3313">
        <f t="shared" si="16"/>
        <v>-0.20320855614973263</v>
      </c>
      <c r="O209" s="3259">
        <f>276+120+32+66</f>
        <v>494</v>
      </c>
      <c r="R209" s="2320"/>
      <c r="S209" s="3314"/>
    </row>
    <row r="210" spans="1:19">
      <c r="A210" s="3357">
        <v>43160</v>
      </c>
      <c r="B210" s="2320">
        <v>127</v>
      </c>
      <c r="C210" s="2320">
        <v>96</v>
      </c>
      <c r="D210" s="2320">
        <v>5</v>
      </c>
      <c r="E210" s="2320">
        <v>0</v>
      </c>
      <c r="F210" s="2320">
        <v>35</v>
      </c>
      <c r="G210" s="2320">
        <v>9</v>
      </c>
      <c r="H210" s="2320">
        <v>167</v>
      </c>
      <c r="I210" s="2320">
        <v>11</v>
      </c>
      <c r="J210" s="3369">
        <f t="shared" si="17"/>
        <v>450</v>
      </c>
      <c r="K210" s="2320">
        <v>249</v>
      </c>
      <c r="L210" s="2320">
        <v>301</v>
      </c>
      <c r="M210" s="3313">
        <f t="shared" si="15"/>
        <v>0.20883534136546184</v>
      </c>
      <c r="N210" s="3313">
        <f t="shared" si="16"/>
        <v>0.49501661129568109</v>
      </c>
      <c r="O210" s="3259">
        <f>496+288+10+105+27+334</f>
        <v>1260</v>
      </c>
      <c r="R210" s="3315"/>
      <c r="S210" s="3316"/>
    </row>
    <row r="211" spans="1:19">
      <c r="A211" s="3357">
        <v>43191</v>
      </c>
      <c r="B211" s="2320">
        <v>160</v>
      </c>
      <c r="C211" s="2320">
        <v>136</v>
      </c>
      <c r="D211" s="2320">
        <v>36</v>
      </c>
      <c r="E211" s="2320">
        <v>0</v>
      </c>
      <c r="F211" s="2320">
        <v>50</v>
      </c>
      <c r="G211" s="2320">
        <v>20</v>
      </c>
      <c r="H211" s="2320">
        <v>15</v>
      </c>
      <c r="I211" s="2320">
        <v>5</v>
      </c>
      <c r="J211" s="3369">
        <f t="shared" si="17"/>
        <v>422</v>
      </c>
      <c r="K211" s="2320">
        <v>827</v>
      </c>
      <c r="L211" s="2320">
        <v>484</v>
      </c>
      <c r="M211" s="3313">
        <f t="shared" si="15"/>
        <v>-0.4147521160822249</v>
      </c>
      <c r="N211" s="3317">
        <f t="shared" si="16"/>
        <v>-0.128099173553719</v>
      </c>
      <c r="O211" s="3259">
        <f>640+408+72+150+60+30</f>
        <v>1360</v>
      </c>
    </row>
    <row r="212" spans="1:19">
      <c r="A212" s="3357">
        <v>43221</v>
      </c>
      <c r="B212" s="2320">
        <v>124</v>
      </c>
      <c r="C212" s="2320">
        <v>144</v>
      </c>
      <c r="D212" s="2320">
        <v>25</v>
      </c>
      <c r="E212" s="2320">
        <v>0</v>
      </c>
      <c r="F212" s="2320">
        <v>68</v>
      </c>
      <c r="G212" s="2320">
        <v>68</v>
      </c>
      <c r="H212" s="2320">
        <v>0</v>
      </c>
      <c r="I212" s="2320">
        <v>22</v>
      </c>
      <c r="J212" s="3369">
        <f t="shared" si="17"/>
        <v>451</v>
      </c>
      <c r="K212" s="2320">
        <v>619</v>
      </c>
      <c r="L212" s="2320">
        <v>329</v>
      </c>
      <c r="M212" s="3313">
        <f t="shared" si="15"/>
        <v>-0.46849757673667203</v>
      </c>
      <c r="N212" s="3313">
        <f t="shared" si="16"/>
        <v>0.37082066869300911</v>
      </c>
      <c r="O212" s="3259">
        <f>496+432+50+204+204</f>
        <v>1386</v>
      </c>
    </row>
    <row r="213" spans="1:19">
      <c r="A213" s="3357">
        <v>43252</v>
      </c>
      <c r="B213" s="2320">
        <v>136</v>
      </c>
      <c r="C213" s="2320">
        <v>188</v>
      </c>
      <c r="D213" s="2320">
        <v>4</v>
      </c>
      <c r="E213" s="2320">
        <v>0</v>
      </c>
      <c r="F213" s="2320">
        <v>37</v>
      </c>
      <c r="G213" s="2320">
        <v>0</v>
      </c>
      <c r="H213" s="2320">
        <v>0</v>
      </c>
      <c r="I213" s="2320">
        <v>1</v>
      </c>
      <c r="J213" s="3369">
        <f t="shared" si="17"/>
        <v>366</v>
      </c>
      <c r="K213" s="2320">
        <v>655</v>
      </c>
      <c r="L213" s="2320">
        <v>516</v>
      </c>
      <c r="M213" s="3313">
        <f t="shared" si="15"/>
        <v>-0.21221374045801528</v>
      </c>
      <c r="N213" s="3317">
        <f t="shared" si="16"/>
        <v>-0.29069767441860467</v>
      </c>
      <c r="O213" s="3259">
        <f>544+564+8+111</f>
        <v>1227</v>
      </c>
    </row>
    <row r="214" spans="1:19">
      <c r="A214" s="3357">
        <v>43282</v>
      </c>
      <c r="B214" s="2320">
        <v>224</v>
      </c>
      <c r="C214" s="2320">
        <v>151</v>
      </c>
      <c r="D214" s="2320">
        <v>70</v>
      </c>
      <c r="E214" s="2320">
        <v>0</v>
      </c>
      <c r="F214" s="2320">
        <v>79</v>
      </c>
      <c r="G214" s="2320">
        <v>51</v>
      </c>
      <c r="H214" s="2320">
        <v>2</v>
      </c>
      <c r="I214" s="2320">
        <v>7</v>
      </c>
      <c r="J214" s="3369">
        <f t="shared" si="17"/>
        <v>584</v>
      </c>
      <c r="K214" s="2320">
        <v>568</v>
      </c>
      <c r="L214" s="2320">
        <v>715</v>
      </c>
      <c r="M214" s="3313">
        <f t="shared" si="15"/>
        <v>0.25880281690140844</v>
      </c>
      <c r="N214" s="3313">
        <f t="shared" si="16"/>
        <v>-0.18321678321678322</v>
      </c>
      <c r="O214" s="3259">
        <f>896+453+140+237+153+4</f>
        <v>1883</v>
      </c>
    </row>
    <row r="215" spans="1:19">
      <c r="A215" s="3357">
        <v>43313</v>
      </c>
      <c r="B215" s="2320">
        <v>243</v>
      </c>
      <c r="C215" s="2320">
        <v>204</v>
      </c>
      <c r="D215" s="2320">
        <v>84</v>
      </c>
      <c r="E215" s="2320">
        <v>0</v>
      </c>
      <c r="F215" s="2320">
        <v>111</v>
      </c>
      <c r="G215" s="2320">
        <v>57</v>
      </c>
      <c r="H215" s="2320">
        <v>5</v>
      </c>
      <c r="I215" s="2320">
        <v>14</v>
      </c>
      <c r="J215" s="3369">
        <f t="shared" si="17"/>
        <v>718</v>
      </c>
      <c r="K215" s="2320">
        <v>824</v>
      </c>
      <c r="L215" s="2320">
        <v>941</v>
      </c>
      <c r="M215" s="3313">
        <f t="shared" si="15"/>
        <v>0.14199029126213591</v>
      </c>
      <c r="N215" s="3317">
        <f t="shared" si="16"/>
        <v>-0.23698193411264612</v>
      </c>
      <c r="O215" s="3259">
        <f>972+612+168+333+171+10</f>
        <v>2266</v>
      </c>
    </row>
    <row r="216" spans="1:19">
      <c r="A216" s="3357">
        <v>43344</v>
      </c>
      <c r="B216" s="2320">
        <v>127</v>
      </c>
      <c r="C216" s="2320">
        <v>193</v>
      </c>
      <c r="D216" s="2320">
        <v>17</v>
      </c>
      <c r="E216" s="2320">
        <v>0</v>
      </c>
      <c r="F216" s="2320">
        <v>51</v>
      </c>
      <c r="G216" s="2320">
        <v>55</v>
      </c>
      <c r="H216" s="2320">
        <v>3</v>
      </c>
      <c r="I216" s="2320">
        <v>6</v>
      </c>
      <c r="J216" s="3369">
        <f t="shared" si="17"/>
        <v>452</v>
      </c>
      <c r="K216" s="2320">
        <v>581</v>
      </c>
      <c r="L216" s="2320">
        <v>423</v>
      </c>
      <c r="M216" s="3313">
        <f t="shared" si="15"/>
        <v>-0.27194492254733221</v>
      </c>
      <c r="N216" s="3313">
        <f t="shared" si="16"/>
        <v>6.8557919621749411E-2</v>
      </c>
      <c r="O216" s="3259">
        <f>508+579+34+153+165+6</f>
        <v>1445</v>
      </c>
    </row>
    <row r="217" spans="1:19">
      <c r="A217" s="3357">
        <v>43374</v>
      </c>
      <c r="B217" s="2320">
        <v>86</v>
      </c>
      <c r="C217" s="2320">
        <v>169</v>
      </c>
      <c r="D217" s="2320">
        <v>18</v>
      </c>
      <c r="E217" s="2320">
        <v>0</v>
      </c>
      <c r="F217" s="2320">
        <v>50</v>
      </c>
      <c r="G217" s="2320">
        <v>21</v>
      </c>
      <c r="H217" s="2320">
        <v>50</v>
      </c>
      <c r="I217" s="2320">
        <v>6</v>
      </c>
      <c r="J217" s="3369">
        <f t="shared" si="17"/>
        <v>400</v>
      </c>
      <c r="K217" s="2320">
        <v>596</v>
      </c>
      <c r="L217" s="2320">
        <v>434</v>
      </c>
      <c r="M217" s="3313">
        <f t="shared" si="15"/>
        <v>-0.27181208053691275</v>
      </c>
      <c r="N217" s="3313">
        <f t="shared" si="16"/>
        <v>-7.8341013824884786E-2</v>
      </c>
      <c r="O217" s="3259">
        <f>344+507+36+150+63+100</f>
        <v>1200</v>
      </c>
    </row>
    <row r="218" spans="1:19">
      <c r="A218" s="3357">
        <v>43405</v>
      </c>
      <c r="B218" s="2320">
        <v>121</v>
      </c>
      <c r="C218" s="2320">
        <v>125</v>
      </c>
      <c r="D218" s="2320">
        <v>13</v>
      </c>
      <c r="E218" s="2320">
        <v>0</v>
      </c>
      <c r="F218" s="2320">
        <v>45</v>
      </c>
      <c r="G218" s="2320">
        <v>68</v>
      </c>
      <c r="H218" s="2320">
        <v>50</v>
      </c>
      <c r="I218" s="2320">
        <v>15</v>
      </c>
      <c r="J218" s="3369">
        <f t="shared" si="17"/>
        <v>437</v>
      </c>
      <c r="K218" s="2320">
        <v>397</v>
      </c>
      <c r="L218" s="2320">
        <v>249</v>
      </c>
      <c r="M218" s="3313">
        <f t="shared" si="15"/>
        <v>-0.37279596977329976</v>
      </c>
      <c r="N218" s="3313">
        <f t="shared" si="16"/>
        <v>0.75502008032128509</v>
      </c>
      <c r="O218" s="3259">
        <f>484+375+26+135+204+100</f>
        <v>1324</v>
      </c>
    </row>
    <row r="219" spans="1:19">
      <c r="A219" s="3357">
        <v>43435</v>
      </c>
      <c r="B219" s="2320">
        <v>55</v>
      </c>
      <c r="C219" s="2320">
        <v>52</v>
      </c>
      <c r="D219" s="2320">
        <v>12</v>
      </c>
      <c r="E219" s="2320">
        <v>0</v>
      </c>
      <c r="F219" s="2320">
        <v>35</v>
      </c>
      <c r="G219" s="2320">
        <v>10</v>
      </c>
      <c r="H219" s="2320">
        <v>3</v>
      </c>
      <c r="I219" s="2320">
        <v>0</v>
      </c>
      <c r="J219" s="3369">
        <f t="shared" si="17"/>
        <v>167</v>
      </c>
      <c r="K219" s="2320">
        <v>209</v>
      </c>
      <c r="L219" s="2320">
        <v>155</v>
      </c>
      <c r="M219" s="3313">
        <f t="shared" si="15"/>
        <v>-0.25837320574162681</v>
      </c>
      <c r="N219" s="3313">
        <f t="shared" si="16"/>
        <v>7.7419354838709681E-2</v>
      </c>
      <c r="O219" s="3259">
        <f>220+156+24+105+30</f>
        <v>535</v>
      </c>
    </row>
    <row r="220" spans="1:19">
      <c r="A220" s="2368" t="s">
        <v>8</v>
      </c>
      <c r="B220" s="2356">
        <f t="shared" ref="B220:J220" si="18">SUM(B208:B219)</f>
        <v>1524</v>
      </c>
      <c r="C220" s="2356">
        <f t="shared" si="18"/>
        <v>1534</v>
      </c>
      <c r="D220" s="2356">
        <f t="shared" si="18"/>
        <v>305</v>
      </c>
      <c r="E220" s="2356">
        <f t="shared" si="18"/>
        <v>0</v>
      </c>
      <c r="F220" s="2356">
        <f t="shared" si="18"/>
        <v>601</v>
      </c>
      <c r="G220" s="2356">
        <f t="shared" si="18"/>
        <v>359</v>
      </c>
      <c r="H220" s="2356">
        <f t="shared" si="18"/>
        <v>298</v>
      </c>
      <c r="I220" s="2356">
        <f t="shared" si="18"/>
        <v>95</v>
      </c>
      <c r="J220" s="2368">
        <f t="shared" si="18"/>
        <v>4716</v>
      </c>
      <c r="K220" s="2356">
        <f>SUM(K210:K219)</f>
        <v>5525</v>
      </c>
      <c r="L220" s="2356">
        <v>6235</v>
      </c>
      <c r="M220" s="2356">
        <f>(L220-K220)/K220</f>
        <v>0.12850678733031673</v>
      </c>
      <c r="N220" s="2356">
        <f>(J220-L220)/L220</f>
        <v>-0.24362469927826785</v>
      </c>
      <c r="O220" s="2357">
        <f>SUM(O208:O219)</f>
        <v>14766</v>
      </c>
    </row>
    <row r="222" spans="1:19" ht="33" customHeight="1"/>
    <row r="223" spans="1:19" ht="13.9" customHeight="1">
      <c r="A223" s="3359" t="s">
        <v>6095</v>
      </c>
      <c r="B223" s="3290"/>
      <c r="C223" s="3290"/>
      <c r="D223" s="3292"/>
      <c r="E223" s="2320"/>
      <c r="F223" s="3314" t="s">
        <v>6111</v>
      </c>
    </row>
    <row r="224" spans="1:19">
      <c r="A224" s="3360" t="s">
        <v>6096</v>
      </c>
      <c r="B224" s="2393" t="s">
        <v>6097</v>
      </c>
      <c r="C224" s="2393" t="s">
        <v>6098</v>
      </c>
      <c r="D224" s="2394" t="s">
        <v>6099</v>
      </c>
      <c r="E224" s="2320"/>
      <c r="F224" s="2320" t="s">
        <v>6112</v>
      </c>
    </row>
    <row r="225" spans="1:7">
      <c r="A225" s="3347">
        <v>43101</v>
      </c>
      <c r="B225" s="3303">
        <f t="shared" ref="B225:B236" si="19">SUM(B208:F208,I208)</f>
        <v>117</v>
      </c>
      <c r="C225" s="3303">
        <f t="shared" ref="C225:D236" si="20">SUM(G208)</f>
        <v>0</v>
      </c>
      <c r="D225" s="3373">
        <f t="shared" si="20"/>
        <v>3</v>
      </c>
      <c r="E225" s="2320"/>
      <c r="F225" s="2320"/>
    </row>
    <row r="226" spans="1:7">
      <c r="A226" s="3347">
        <v>43132</v>
      </c>
      <c r="B226" s="3303">
        <f t="shared" si="19"/>
        <v>149</v>
      </c>
      <c r="C226" s="3303">
        <f t="shared" si="20"/>
        <v>0</v>
      </c>
      <c r="D226" s="3373">
        <f t="shared" si="20"/>
        <v>0</v>
      </c>
      <c r="E226" s="2320"/>
      <c r="F226" s="2320"/>
    </row>
    <row r="227" spans="1:7">
      <c r="A227" s="3347">
        <v>43160</v>
      </c>
      <c r="B227" s="3303">
        <f t="shared" si="19"/>
        <v>274</v>
      </c>
      <c r="C227" s="3303">
        <f t="shared" si="20"/>
        <v>9</v>
      </c>
      <c r="D227" s="3373">
        <f t="shared" si="20"/>
        <v>167</v>
      </c>
      <c r="E227" s="2320"/>
      <c r="F227" s="2320"/>
    </row>
    <row r="228" spans="1:7">
      <c r="A228" s="3347">
        <v>43191</v>
      </c>
      <c r="B228" s="3303">
        <f t="shared" si="19"/>
        <v>387</v>
      </c>
      <c r="C228" s="3303">
        <f t="shared" si="20"/>
        <v>20</v>
      </c>
      <c r="D228" s="3373">
        <f t="shared" si="20"/>
        <v>15</v>
      </c>
      <c r="E228" s="2320"/>
      <c r="F228" s="2320"/>
    </row>
    <row r="229" spans="1:7">
      <c r="A229" s="3347">
        <v>43221</v>
      </c>
      <c r="B229" s="3303">
        <f t="shared" si="19"/>
        <v>383</v>
      </c>
      <c r="C229" s="3303">
        <f t="shared" si="20"/>
        <v>68</v>
      </c>
      <c r="D229" s="3373">
        <f t="shared" si="20"/>
        <v>0</v>
      </c>
      <c r="E229" s="2320"/>
      <c r="F229" s="2320"/>
    </row>
    <row r="230" spans="1:7">
      <c r="A230" s="3347">
        <v>43252</v>
      </c>
      <c r="B230" s="3303">
        <f t="shared" si="19"/>
        <v>366</v>
      </c>
      <c r="C230" s="3303">
        <f t="shared" si="20"/>
        <v>0</v>
      </c>
      <c r="D230" s="3373">
        <f t="shared" si="20"/>
        <v>0</v>
      </c>
      <c r="E230" s="2320"/>
      <c r="F230" s="2320"/>
    </row>
    <row r="231" spans="1:7">
      <c r="A231" s="3347">
        <v>43282</v>
      </c>
      <c r="B231" s="3303">
        <f t="shared" si="19"/>
        <v>531</v>
      </c>
      <c r="C231" s="3303">
        <f t="shared" si="20"/>
        <v>51</v>
      </c>
      <c r="D231" s="3373">
        <f t="shared" si="20"/>
        <v>2</v>
      </c>
      <c r="E231" s="2320"/>
      <c r="F231" s="2320"/>
    </row>
    <row r="232" spans="1:7">
      <c r="A232" s="3347">
        <v>43313</v>
      </c>
      <c r="B232" s="3303">
        <f t="shared" si="19"/>
        <v>656</v>
      </c>
      <c r="C232" s="3303">
        <f t="shared" si="20"/>
        <v>57</v>
      </c>
      <c r="D232" s="3373">
        <f t="shared" si="20"/>
        <v>5</v>
      </c>
      <c r="E232" s="2320"/>
      <c r="F232" s="3314"/>
    </row>
    <row r="233" spans="1:7">
      <c r="A233" s="3347">
        <v>43344</v>
      </c>
      <c r="B233" s="3303">
        <f t="shared" si="19"/>
        <v>394</v>
      </c>
      <c r="C233" s="3303">
        <f t="shared" si="20"/>
        <v>55</v>
      </c>
      <c r="D233" s="3373">
        <f t="shared" si="20"/>
        <v>3</v>
      </c>
      <c r="E233" s="3315"/>
      <c r="F233" s="3316"/>
    </row>
    <row r="234" spans="1:7">
      <c r="A234" s="3347">
        <v>43374</v>
      </c>
      <c r="B234" s="3303">
        <f t="shared" si="19"/>
        <v>329</v>
      </c>
      <c r="C234" s="3303">
        <f t="shared" si="20"/>
        <v>21</v>
      </c>
      <c r="D234" s="3373">
        <f t="shared" si="20"/>
        <v>50</v>
      </c>
      <c r="E234" s="2320"/>
      <c r="F234" s="2320"/>
    </row>
    <row r="235" spans="1:7">
      <c r="A235" s="3347">
        <v>43405</v>
      </c>
      <c r="B235" s="3303">
        <f t="shared" si="19"/>
        <v>319</v>
      </c>
      <c r="C235" s="3303">
        <f t="shared" si="20"/>
        <v>68</v>
      </c>
      <c r="D235" s="3373">
        <f t="shared" si="20"/>
        <v>50</v>
      </c>
      <c r="E235" s="2320"/>
      <c r="F235" s="2320"/>
    </row>
    <row r="236" spans="1:7">
      <c r="A236" s="3347">
        <v>43435</v>
      </c>
      <c r="B236" s="3303">
        <f t="shared" si="19"/>
        <v>154</v>
      </c>
      <c r="C236" s="3303">
        <f t="shared" si="20"/>
        <v>10</v>
      </c>
      <c r="D236" s="3373">
        <f t="shared" si="20"/>
        <v>3</v>
      </c>
      <c r="E236" s="2320"/>
      <c r="F236" s="2320"/>
    </row>
    <row r="237" spans="1:7">
      <c r="A237" s="2355" t="s">
        <v>8</v>
      </c>
      <c r="B237" s="2356">
        <f>SUM(B225:B236)</f>
        <v>4059</v>
      </c>
      <c r="C237" s="2356">
        <f>SUM(C225:C236)</f>
        <v>359</v>
      </c>
      <c r="D237" s="2357">
        <f>SUM(D225:D236)</f>
        <v>298</v>
      </c>
      <c r="E237" s="2320"/>
      <c r="F237" s="2320"/>
    </row>
    <row r="238" spans="1:7">
      <c r="A238" s="3306"/>
    </row>
    <row r="240" spans="1:7">
      <c r="A240" s="2358" t="s">
        <v>6113</v>
      </c>
      <c r="B240" s="2360"/>
      <c r="C240" s="2360"/>
      <c r="D240" s="2360"/>
      <c r="E240" s="2360"/>
      <c r="F240" s="2360"/>
      <c r="G240" s="2361">
        <v>12948</v>
      </c>
    </row>
    <row r="241" spans="1:7">
      <c r="A241" s="3380" t="s">
        <v>6114</v>
      </c>
      <c r="B241" s="3341" t="s">
        <v>6115</v>
      </c>
      <c r="C241" s="3341" t="s">
        <v>6116</v>
      </c>
      <c r="D241" s="3341" t="s">
        <v>6117</v>
      </c>
      <c r="E241" s="3341" t="s">
        <v>6118</v>
      </c>
      <c r="F241" s="3341" t="s">
        <v>6119</v>
      </c>
      <c r="G241" s="3381" t="s">
        <v>217</v>
      </c>
    </row>
    <row r="242" spans="1:7">
      <c r="A242" s="3318">
        <v>43221</v>
      </c>
      <c r="B242" s="3319" t="s">
        <v>6120</v>
      </c>
      <c r="C242" s="3319" t="s">
        <v>6121</v>
      </c>
      <c r="D242" s="2320" t="s">
        <v>6122</v>
      </c>
      <c r="E242" s="3303">
        <v>131</v>
      </c>
      <c r="F242" s="1353"/>
      <c r="G242" s="3320"/>
    </row>
    <row r="243" spans="1:7">
      <c r="A243" s="3318">
        <v>43225</v>
      </c>
      <c r="B243" s="1353" t="s">
        <v>6123</v>
      </c>
      <c r="C243" s="1353" t="s">
        <v>6121</v>
      </c>
      <c r="D243" s="3321" t="s">
        <v>6124</v>
      </c>
      <c r="E243" s="3303">
        <v>69</v>
      </c>
      <c r="F243" s="1353"/>
      <c r="G243" s="3305"/>
    </row>
    <row r="244" spans="1:7">
      <c r="A244" s="3318">
        <v>43226</v>
      </c>
      <c r="B244" s="1353" t="s">
        <v>6120</v>
      </c>
      <c r="C244" s="1353" t="s">
        <v>6121</v>
      </c>
      <c r="D244" s="3321" t="s">
        <v>6124</v>
      </c>
      <c r="E244" s="3303">
        <v>75</v>
      </c>
      <c r="F244" s="1353"/>
      <c r="G244" s="3305"/>
    </row>
    <row r="245" spans="1:7">
      <c r="A245" s="3318">
        <v>43230</v>
      </c>
      <c r="B245" s="1353" t="s">
        <v>6123</v>
      </c>
      <c r="C245" s="1353" t="s">
        <v>6121</v>
      </c>
      <c r="D245" s="3321" t="s">
        <v>6124</v>
      </c>
      <c r="E245" s="3303">
        <v>126</v>
      </c>
      <c r="F245" s="2320"/>
      <c r="G245" s="3305"/>
    </row>
    <row r="246" spans="1:7">
      <c r="A246" s="3318">
        <v>43231</v>
      </c>
      <c r="B246" s="1353" t="s">
        <v>6120</v>
      </c>
      <c r="C246" s="1353" t="s">
        <v>6121</v>
      </c>
      <c r="D246" s="3321" t="s">
        <v>6124</v>
      </c>
      <c r="E246" s="3303">
        <v>139</v>
      </c>
      <c r="F246" s="2320"/>
      <c r="G246" s="3259"/>
    </row>
    <row r="247" spans="1:7">
      <c r="A247" s="3318">
        <v>43232</v>
      </c>
      <c r="B247" s="1353" t="s">
        <v>6120</v>
      </c>
      <c r="C247" s="1353" t="s">
        <v>6121</v>
      </c>
      <c r="D247" s="3321" t="s">
        <v>6124</v>
      </c>
      <c r="E247" s="3303">
        <v>190</v>
      </c>
      <c r="F247" s="2320"/>
      <c r="G247" s="3259"/>
    </row>
    <row r="248" spans="1:7">
      <c r="A248" s="3318">
        <v>43233</v>
      </c>
      <c r="B248" s="1353" t="s">
        <v>6120</v>
      </c>
      <c r="C248" s="1353" t="s">
        <v>6121</v>
      </c>
      <c r="D248" s="3321" t="s">
        <v>6124</v>
      </c>
      <c r="E248" s="3303">
        <v>110</v>
      </c>
      <c r="F248" s="2320"/>
      <c r="G248" s="3259"/>
    </row>
    <row r="249" spans="1:7">
      <c r="A249" s="3318">
        <v>43239</v>
      </c>
      <c r="B249" s="3319" t="s">
        <v>6120</v>
      </c>
      <c r="C249" s="3319" t="s">
        <v>6121</v>
      </c>
      <c r="D249" s="3321" t="s">
        <v>6124</v>
      </c>
      <c r="E249" s="3303" t="s">
        <v>6125</v>
      </c>
      <c r="F249" s="1353"/>
      <c r="G249" s="3320"/>
    </row>
    <row r="250" spans="1:7">
      <c r="A250" s="3318">
        <v>43240</v>
      </c>
      <c r="B250" s="1353" t="s">
        <v>6120</v>
      </c>
      <c r="C250" s="1353" t="s">
        <v>6121</v>
      </c>
      <c r="D250" s="3321" t="s">
        <v>6124</v>
      </c>
      <c r="E250" s="3303">
        <v>194</v>
      </c>
      <c r="F250" s="1353"/>
      <c r="G250" s="3305"/>
    </row>
    <row r="251" spans="1:7">
      <c r="A251" s="3318">
        <v>43241</v>
      </c>
      <c r="B251" s="1353" t="s">
        <v>6120</v>
      </c>
      <c r="C251" s="1353" t="s">
        <v>6121</v>
      </c>
      <c r="D251" s="3321" t="s">
        <v>6122</v>
      </c>
      <c r="E251" s="3303">
        <v>189</v>
      </c>
      <c r="F251" s="1353"/>
      <c r="G251" s="3305"/>
    </row>
    <row r="252" spans="1:7">
      <c r="A252" s="3318">
        <v>43246</v>
      </c>
      <c r="B252" s="1353" t="s">
        <v>6123</v>
      </c>
      <c r="C252" s="1353" t="s">
        <v>6126</v>
      </c>
      <c r="D252" s="2320" t="s">
        <v>6124</v>
      </c>
      <c r="E252" s="3303">
        <v>15</v>
      </c>
      <c r="F252" s="2320"/>
      <c r="G252" s="3322" t="s">
        <v>6127</v>
      </c>
    </row>
    <row r="253" spans="1:7">
      <c r="A253" s="3318">
        <v>43247</v>
      </c>
      <c r="B253" s="1353" t="s">
        <v>6120</v>
      </c>
      <c r="C253" s="1353" t="s">
        <v>6121</v>
      </c>
      <c r="D253" s="2320" t="s">
        <v>6124</v>
      </c>
      <c r="E253" s="3303">
        <v>166</v>
      </c>
      <c r="F253" s="2320"/>
      <c r="G253" s="3305"/>
    </row>
    <row r="254" spans="1:7">
      <c r="A254" s="3382"/>
      <c r="B254" s="3383"/>
      <c r="C254" s="3383"/>
      <c r="D254" s="3384" t="s">
        <v>6128</v>
      </c>
      <c r="E254" s="3385">
        <v>1404</v>
      </c>
      <c r="F254" s="3386"/>
      <c r="G254" s="3387"/>
    </row>
    <row r="255" spans="1:7">
      <c r="A255" s="3318">
        <v>43253</v>
      </c>
      <c r="B255" s="1353" t="s">
        <v>6120</v>
      </c>
      <c r="C255" s="1353" t="s">
        <v>6121</v>
      </c>
      <c r="D255" s="2320" t="s">
        <v>6129</v>
      </c>
      <c r="E255" s="3303">
        <v>97</v>
      </c>
      <c r="F255" s="2320"/>
      <c r="G255" s="3259"/>
    </row>
    <row r="256" spans="1:7">
      <c r="A256" s="3318">
        <v>43254</v>
      </c>
      <c r="B256" s="1353" t="s">
        <v>6120</v>
      </c>
      <c r="C256" s="1353" t="s">
        <v>6130</v>
      </c>
      <c r="D256" s="2320" t="s">
        <v>6124</v>
      </c>
      <c r="E256" s="3303">
        <v>73</v>
      </c>
      <c r="F256" s="2320"/>
      <c r="G256" s="3259" t="s">
        <v>6071</v>
      </c>
    </row>
    <row r="257" spans="1:7">
      <c r="A257" s="3318">
        <v>43260</v>
      </c>
      <c r="B257" s="1353" t="s">
        <v>6123</v>
      </c>
      <c r="C257" s="1353" t="s">
        <v>6121</v>
      </c>
      <c r="D257" s="2320" t="s">
        <v>6124</v>
      </c>
      <c r="E257" s="3303">
        <v>133</v>
      </c>
      <c r="F257" s="2320"/>
      <c r="G257" s="3259"/>
    </row>
    <row r="258" spans="1:7">
      <c r="A258" s="3318">
        <v>43261</v>
      </c>
      <c r="B258" s="3319" t="s">
        <v>6120</v>
      </c>
      <c r="C258" s="3319" t="s">
        <v>6121</v>
      </c>
      <c r="D258" s="2320" t="s">
        <v>6122</v>
      </c>
      <c r="E258" s="3303">
        <v>145</v>
      </c>
      <c r="F258" s="1353"/>
      <c r="G258" s="3320"/>
    </row>
    <row r="259" spans="1:7">
      <c r="A259" s="3318">
        <v>43267</v>
      </c>
      <c r="B259" s="1353" t="s">
        <v>6120</v>
      </c>
      <c r="C259" s="1353" t="s">
        <v>6121</v>
      </c>
      <c r="D259" s="2320" t="s">
        <v>6122</v>
      </c>
      <c r="E259" s="3303">
        <v>91</v>
      </c>
      <c r="F259" s="1353"/>
      <c r="G259" s="3305"/>
    </row>
    <row r="260" spans="1:7">
      <c r="A260" s="3318">
        <v>43268</v>
      </c>
      <c r="B260" s="1353" t="s">
        <v>6120</v>
      </c>
      <c r="C260" s="1353" t="s">
        <v>6121</v>
      </c>
      <c r="D260" s="3321" t="s">
        <v>6124</v>
      </c>
      <c r="E260" s="3303">
        <v>143</v>
      </c>
      <c r="F260" s="1353"/>
      <c r="G260" s="3305"/>
    </row>
    <row r="261" spans="1:7">
      <c r="A261" s="3318">
        <v>43274</v>
      </c>
      <c r="B261" s="1353" t="s">
        <v>6131</v>
      </c>
      <c r="C261" s="1353" t="s">
        <v>6121</v>
      </c>
      <c r="D261" s="2320" t="s">
        <v>6124</v>
      </c>
      <c r="E261" s="3303">
        <v>68</v>
      </c>
      <c r="F261" s="2320"/>
      <c r="G261" s="3305"/>
    </row>
    <row r="262" spans="1:7">
      <c r="A262" s="3318">
        <v>43275</v>
      </c>
      <c r="B262" s="1353" t="s">
        <v>6120</v>
      </c>
      <c r="C262" s="1353" t="s">
        <v>6121</v>
      </c>
      <c r="D262" s="2320" t="s">
        <v>6124</v>
      </c>
      <c r="E262" s="3303">
        <v>78</v>
      </c>
      <c r="F262" s="2320"/>
      <c r="G262" s="3259"/>
    </row>
    <row r="263" spans="1:7">
      <c r="A263" s="3318">
        <v>43281</v>
      </c>
      <c r="B263" s="1353" t="s">
        <v>6131</v>
      </c>
      <c r="C263" s="1353" t="s">
        <v>6121</v>
      </c>
      <c r="D263" s="2320" t="s">
        <v>6124</v>
      </c>
      <c r="E263" s="3303">
        <v>138</v>
      </c>
      <c r="F263" s="2320"/>
      <c r="G263" s="3259"/>
    </row>
    <row r="264" spans="1:7">
      <c r="A264" s="3382"/>
      <c r="B264" s="3383"/>
      <c r="C264" s="3383"/>
      <c r="D264" s="3384" t="s">
        <v>6132</v>
      </c>
      <c r="E264" s="3385">
        <v>966</v>
      </c>
      <c r="F264" s="3386"/>
      <c r="G264" s="3388"/>
    </row>
    <row r="265" spans="1:7">
      <c r="A265" s="3318">
        <v>43282</v>
      </c>
      <c r="B265" s="1353" t="s">
        <v>6120</v>
      </c>
      <c r="C265" s="1353" t="s">
        <v>6121</v>
      </c>
      <c r="D265" s="2320" t="s">
        <v>6124</v>
      </c>
      <c r="E265" s="3303">
        <v>111</v>
      </c>
      <c r="F265" s="2320"/>
      <c r="G265" s="3305"/>
    </row>
    <row r="266" spans="1:7">
      <c r="A266" s="3318">
        <v>43283</v>
      </c>
      <c r="B266" s="1353" t="s">
        <v>6120</v>
      </c>
      <c r="C266" s="1353" t="s">
        <v>6121</v>
      </c>
      <c r="D266" s="2320" t="s">
        <v>6133</v>
      </c>
      <c r="E266" s="3303">
        <v>66</v>
      </c>
      <c r="F266" s="2320"/>
      <c r="G266" s="3259"/>
    </row>
    <row r="267" spans="1:7">
      <c r="A267" s="3318">
        <v>43284</v>
      </c>
      <c r="B267" s="1353" t="s">
        <v>6120</v>
      </c>
      <c r="C267" s="1353" t="s">
        <v>6121</v>
      </c>
      <c r="D267" s="2320" t="s">
        <v>6124</v>
      </c>
      <c r="E267" s="3303">
        <v>86</v>
      </c>
      <c r="F267" s="2320"/>
      <c r="G267" s="3305"/>
    </row>
    <row r="268" spans="1:7">
      <c r="A268" s="3318">
        <v>43285</v>
      </c>
      <c r="B268" s="3319" t="s">
        <v>6120</v>
      </c>
      <c r="C268" s="3319" t="s">
        <v>6121</v>
      </c>
      <c r="D268" s="2320" t="s">
        <v>6124</v>
      </c>
      <c r="E268" s="3303">
        <v>97</v>
      </c>
      <c r="F268" s="2320"/>
      <c r="G268" s="3259"/>
    </row>
    <row r="269" spans="1:7">
      <c r="A269" s="3318">
        <v>43286</v>
      </c>
      <c r="B269" s="1353" t="s">
        <v>6120</v>
      </c>
      <c r="C269" s="1353" t="s">
        <v>6121</v>
      </c>
      <c r="D269" s="2320" t="s">
        <v>6124</v>
      </c>
      <c r="E269" s="3303">
        <v>64</v>
      </c>
      <c r="F269" s="2320"/>
      <c r="G269" s="3259"/>
    </row>
    <row r="270" spans="1:7">
      <c r="A270" s="3318">
        <v>43287</v>
      </c>
      <c r="B270" s="1353" t="s">
        <v>6120</v>
      </c>
      <c r="C270" s="1353" t="s">
        <v>6121</v>
      </c>
      <c r="D270" s="3321" t="s">
        <v>6124</v>
      </c>
      <c r="E270" s="3303">
        <v>66</v>
      </c>
      <c r="F270" s="2320"/>
      <c r="G270" s="3259"/>
    </row>
    <row r="271" spans="1:7">
      <c r="A271" s="3318">
        <v>43288</v>
      </c>
      <c r="B271" s="1353" t="s">
        <v>6120</v>
      </c>
      <c r="C271" s="1353" t="s">
        <v>6121</v>
      </c>
      <c r="D271" s="2320" t="s">
        <v>6129</v>
      </c>
      <c r="E271" s="3303">
        <v>106</v>
      </c>
      <c r="F271" s="2320"/>
      <c r="G271" s="3259"/>
    </row>
    <row r="272" spans="1:7">
      <c r="A272" s="3318">
        <v>43289</v>
      </c>
      <c r="B272" s="1353" t="s">
        <v>6120</v>
      </c>
      <c r="C272" s="1353" t="s">
        <v>6121</v>
      </c>
      <c r="D272" s="2320" t="s">
        <v>6124</v>
      </c>
      <c r="E272" s="3303">
        <v>196</v>
      </c>
      <c r="F272" s="2320"/>
      <c r="G272" s="3259"/>
    </row>
    <row r="273" spans="1:7">
      <c r="A273" s="3318">
        <v>43290</v>
      </c>
      <c r="B273" s="1353" t="s">
        <v>6120</v>
      </c>
      <c r="C273" s="1353" t="s">
        <v>6121</v>
      </c>
      <c r="D273" s="2320" t="s">
        <v>6134</v>
      </c>
      <c r="E273" s="3303">
        <v>96</v>
      </c>
      <c r="F273" s="2320"/>
      <c r="G273" s="3259"/>
    </row>
    <row r="274" spans="1:7">
      <c r="A274" s="3318">
        <v>43291</v>
      </c>
      <c r="B274" s="1353" t="s">
        <v>6120</v>
      </c>
      <c r="C274" s="1353" t="s">
        <v>6121</v>
      </c>
      <c r="D274" s="2320" t="s">
        <v>6122</v>
      </c>
      <c r="E274" s="3303">
        <v>96</v>
      </c>
      <c r="F274" s="2320"/>
      <c r="G274" s="3259"/>
    </row>
    <row r="275" spans="1:7">
      <c r="A275" s="3318">
        <v>43292</v>
      </c>
      <c r="B275" s="1353" t="s">
        <v>6120</v>
      </c>
      <c r="C275" s="1353" t="s">
        <v>6121</v>
      </c>
      <c r="D275" s="2320" t="s">
        <v>6135</v>
      </c>
      <c r="E275" s="3303">
        <v>239</v>
      </c>
      <c r="F275" s="2320"/>
      <c r="G275" s="3259" t="s">
        <v>6136</v>
      </c>
    </row>
    <row r="276" spans="1:7">
      <c r="A276" s="3318">
        <v>43293</v>
      </c>
      <c r="B276" s="1353" t="s">
        <v>6120</v>
      </c>
      <c r="C276" s="1353" t="s">
        <v>6121</v>
      </c>
      <c r="D276" s="2320" t="s">
        <v>6137</v>
      </c>
      <c r="E276" s="3303">
        <v>143</v>
      </c>
      <c r="F276" s="2320"/>
      <c r="G276" s="3259" t="s">
        <v>6138</v>
      </c>
    </row>
    <row r="277" spans="1:7">
      <c r="A277" s="3318">
        <v>43294</v>
      </c>
      <c r="B277" s="1353" t="s">
        <v>6120</v>
      </c>
      <c r="C277" s="1353" t="s">
        <v>6121</v>
      </c>
      <c r="D277" s="2320" t="s">
        <v>6139</v>
      </c>
      <c r="E277" s="3303">
        <v>73</v>
      </c>
      <c r="F277" s="2320"/>
      <c r="G277" s="3259" t="s">
        <v>6140</v>
      </c>
    </row>
    <row r="278" spans="1:7">
      <c r="A278" s="3318">
        <v>43295</v>
      </c>
      <c r="B278" s="1353" t="s">
        <v>6120</v>
      </c>
      <c r="C278" s="1353" t="s">
        <v>6121</v>
      </c>
      <c r="D278" s="2320" t="s">
        <v>6133</v>
      </c>
      <c r="E278" s="3303">
        <v>105</v>
      </c>
      <c r="F278" s="2320"/>
      <c r="G278" s="3259"/>
    </row>
    <row r="279" spans="1:7">
      <c r="A279" s="3318">
        <v>43296</v>
      </c>
      <c r="B279" s="1353" t="s">
        <v>6120</v>
      </c>
      <c r="C279" s="1353" t="s">
        <v>6121</v>
      </c>
      <c r="D279" s="2320" t="s">
        <v>6122</v>
      </c>
      <c r="E279" s="3303">
        <v>94</v>
      </c>
      <c r="F279" s="2320"/>
      <c r="G279" s="3259" t="s">
        <v>6141</v>
      </c>
    </row>
    <row r="280" spans="1:7">
      <c r="A280" s="3318">
        <v>43297</v>
      </c>
      <c r="B280" s="1353" t="s">
        <v>6120</v>
      </c>
      <c r="C280" s="1353" t="s">
        <v>6121</v>
      </c>
      <c r="D280" s="2320" t="s">
        <v>6142</v>
      </c>
      <c r="E280" s="3303">
        <v>80</v>
      </c>
      <c r="F280" s="2320"/>
      <c r="G280" s="3259"/>
    </row>
    <row r="281" spans="1:7">
      <c r="A281" s="3318">
        <v>43298</v>
      </c>
      <c r="B281" s="1353" t="s">
        <v>6120</v>
      </c>
      <c r="C281" s="1353" t="s">
        <v>6143</v>
      </c>
      <c r="D281" s="2320" t="s">
        <v>6129</v>
      </c>
      <c r="E281" s="3303">
        <v>66</v>
      </c>
      <c r="F281" s="2320"/>
      <c r="G281" s="3259" t="s">
        <v>6144</v>
      </c>
    </row>
    <row r="282" spans="1:7">
      <c r="A282" s="3318">
        <v>43299</v>
      </c>
      <c r="B282" s="1353" t="s">
        <v>6120</v>
      </c>
      <c r="C282" s="1353" t="s">
        <v>6121</v>
      </c>
      <c r="D282" s="2320" t="s">
        <v>6145</v>
      </c>
      <c r="E282" s="3303">
        <v>205</v>
      </c>
      <c r="F282" s="2320"/>
      <c r="G282" s="3259"/>
    </row>
    <row r="283" spans="1:7">
      <c r="A283" s="3318">
        <v>43300</v>
      </c>
      <c r="B283" s="1353" t="s">
        <v>6120</v>
      </c>
      <c r="C283" s="1353" t="s">
        <v>6121</v>
      </c>
      <c r="D283" s="2320" t="s">
        <v>6133</v>
      </c>
      <c r="E283" s="3303">
        <v>117</v>
      </c>
      <c r="F283" s="2320"/>
      <c r="G283" s="3259"/>
    </row>
    <row r="284" spans="1:7">
      <c r="A284" s="3318">
        <v>43301</v>
      </c>
      <c r="B284" s="1353" t="s">
        <v>6120</v>
      </c>
      <c r="C284" s="1353" t="s">
        <v>6121</v>
      </c>
      <c r="D284" s="2320" t="s">
        <v>6146</v>
      </c>
      <c r="E284" s="3303">
        <v>109</v>
      </c>
      <c r="F284" s="2320"/>
      <c r="G284" s="3259"/>
    </row>
    <row r="285" spans="1:7">
      <c r="A285" s="3318">
        <v>43302</v>
      </c>
      <c r="B285" s="1353" t="s">
        <v>6120</v>
      </c>
      <c r="C285" s="1353" t="s">
        <v>6121</v>
      </c>
      <c r="D285" s="2320" t="s">
        <v>6147</v>
      </c>
      <c r="E285" s="3303">
        <v>180</v>
      </c>
      <c r="F285" s="2320"/>
      <c r="G285" s="3259"/>
    </row>
    <row r="286" spans="1:7">
      <c r="A286" s="3318">
        <v>43303</v>
      </c>
      <c r="B286" s="1353" t="s">
        <v>6120</v>
      </c>
      <c r="C286" s="1353" t="s">
        <v>6121</v>
      </c>
      <c r="D286" s="2320" t="s">
        <v>6148</v>
      </c>
      <c r="E286" s="3303">
        <v>148</v>
      </c>
      <c r="F286" s="2320"/>
      <c r="G286" s="3305"/>
    </row>
    <row r="287" spans="1:7">
      <c r="A287" s="3318">
        <v>43304</v>
      </c>
      <c r="B287" s="1353" t="s">
        <v>6120</v>
      </c>
      <c r="C287" s="1353" t="s">
        <v>6121</v>
      </c>
      <c r="D287" s="2320" t="s">
        <v>6145</v>
      </c>
      <c r="E287" s="3303">
        <v>145</v>
      </c>
      <c r="F287" s="2320"/>
      <c r="G287" s="3259"/>
    </row>
    <row r="288" spans="1:7">
      <c r="A288" s="3318">
        <v>43305</v>
      </c>
      <c r="B288" s="1353" t="s">
        <v>6120</v>
      </c>
      <c r="C288" s="1353" t="s">
        <v>6121</v>
      </c>
      <c r="D288" s="2320" t="s">
        <v>6129</v>
      </c>
      <c r="E288" s="3303">
        <v>162</v>
      </c>
      <c r="F288" s="2320"/>
      <c r="G288" s="3259"/>
    </row>
    <row r="289" spans="1:7">
      <c r="A289" s="3318">
        <v>43306</v>
      </c>
      <c r="B289" s="1353" t="s">
        <v>6120</v>
      </c>
      <c r="C289" s="1353" t="s">
        <v>6121</v>
      </c>
      <c r="D289" s="2320" t="s">
        <v>6145</v>
      </c>
      <c r="E289" s="3303">
        <v>99</v>
      </c>
      <c r="F289" s="2320"/>
      <c r="G289" s="3259"/>
    </row>
    <row r="290" spans="1:7">
      <c r="A290" s="3318">
        <v>43307</v>
      </c>
      <c r="B290" s="1353" t="s">
        <v>6120</v>
      </c>
      <c r="C290" s="1353" t="s">
        <v>6126</v>
      </c>
      <c r="D290" s="2320" t="s">
        <v>6149</v>
      </c>
      <c r="E290" s="3303">
        <v>78</v>
      </c>
      <c r="F290" s="2320"/>
      <c r="G290" s="3259" t="s">
        <v>6150</v>
      </c>
    </row>
    <row r="291" spans="1:7">
      <c r="A291" s="3318">
        <v>43308</v>
      </c>
      <c r="B291" s="1353" t="s">
        <v>6120</v>
      </c>
      <c r="C291" s="1353" t="s">
        <v>6121</v>
      </c>
      <c r="D291" s="2320" t="s">
        <v>6151</v>
      </c>
      <c r="E291" s="3303">
        <v>78</v>
      </c>
      <c r="F291" s="2320"/>
      <c r="G291" s="3259" t="s">
        <v>6152</v>
      </c>
    </row>
    <row r="292" spans="1:7">
      <c r="A292" s="3318">
        <v>43309</v>
      </c>
      <c r="B292" s="1353" t="s">
        <v>6120</v>
      </c>
      <c r="C292" s="1353" t="s">
        <v>6121</v>
      </c>
      <c r="D292" s="2320" t="s">
        <v>6153</v>
      </c>
      <c r="E292" s="3303">
        <v>132</v>
      </c>
      <c r="F292" s="2320"/>
      <c r="G292" s="3259"/>
    </row>
    <row r="293" spans="1:7">
      <c r="A293" s="3318">
        <v>43310</v>
      </c>
      <c r="B293" s="1353" t="s">
        <v>6120</v>
      </c>
      <c r="C293" s="1353" t="s">
        <v>6121</v>
      </c>
      <c r="D293" s="2320" t="s">
        <v>6154</v>
      </c>
      <c r="E293" s="3303">
        <v>165</v>
      </c>
      <c r="F293" s="2320"/>
      <c r="G293" s="3259"/>
    </row>
    <row r="294" spans="1:7">
      <c r="A294" s="3318">
        <v>43311</v>
      </c>
      <c r="B294" s="1353" t="s">
        <v>6120</v>
      </c>
      <c r="C294" s="1353" t="s">
        <v>6121</v>
      </c>
      <c r="D294" s="2320" t="s">
        <v>6134</v>
      </c>
      <c r="E294" s="3303">
        <v>204</v>
      </c>
      <c r="F294" s="2320"/>
      <c r="G294" s="3259"/>
    </row>
    <row r="295" spans="1:7">
      <c r="A295" s="3318">
        <v>43312</v>
      </c>
      <c r="B295" s="1353" t="s">
        <v>6120</v>
      </c>
      <c r="C295" s="1353" t="s">
        <v>6121</v>
      </c>
      <c r="D295" s="2320" t="s">
        <v>6137</v>
      </c>
      <c r="E295" s="3303">
        <v>107</v>
      </c>
      <c r="F295" s="2320"/>
      <c r="G295" s="3259"/>
    </row>
    <row r="296" spans="1:7">
      <c r="A296" s="3389"/>
      <c r="B296" s="3386"/>
      <c r="C296" s="3386"/>
      <c r="D296" s="3384" t="s">
        <v>6155</v>
      </c>
      <c r="E296" s="3385">
        <v>3713</v>
      </c>
      <c r="F296" s="3386"/>
      <c r="G296" s="3388"/>
    </row>
    <row r="297" spans="1:7">
      <c r="A297" s="3318">
        <v>43313</v>
      </c>
      <c r="B297" s="1353" t="s">
        <v>6120</v>
      </c>
      <c r="C297" s="1353" t="s">
        <v>6121</v>
      </c>
      <c r="D297" s="2320" t="s">
        <v>6156</v>
      </c>
      <c r="E297" s="3303">
        <v>139</v>
      </c>
      <c r="F297" s="1353"/>
      <c r="G297" s="3259"/>
    </row>
    <row r="298" spans="1:7">
      <c r="A298" s="3318">
        <v>43314</v>
      </c>
      <c r="B298" s="1353" t="s">
        <v>6120</v>
      </c>
      <c r="C298" s="1353" t="s">
        <v>6121</v>
      </c>
      <c r="D298" s="2320" t="s">
        <v>6157</v>
      </c>
      <c r="E298" s="3303">
        <v>145</v>
      </c>
      <c r="F298" s="2320"/>
      <c r="G298" s="3259"/>
    </row>
    <row r="299" spans="1:7">
      <c r="A299" s="3318">
        <v>43315</v>
      </c>
      <c r="B299" s="1353" t="s">
        <v>6120</v>
      </c>
      <c r="C299" s="1353" t="s">
        <v>6121</v>
      </c>
      <c r="D299" s="2320" t="s">
        <v>6158</v>
      </c>
      <c r="E299" s="3303">
        <v>86</v>
      </c>
      <c r="F299" s="2320"/>
      <c r="G299" s="3259"/>
    </row>
    <row r="300" spans="1:7">
      <c r="A300" s="3318">
        <v>43316</v>
      </c>
      <c r="B300" s="1353" t="s">
        <v>6159</v>
      </c>
      <c r="C300" s="1353" t="s">
        <v>6121</v>
      </c>
      <c r="D300" s="2320" t="s">
        <v>6160</v>
      </c>
      <c r="E300" s="3303">
        <v>180</v>
      </c>
      <c r="F300" s="2320"/>
      <c r="G300" s="3259" t="s">
        <v>6161</v>
      </c>
    </row>
    <row r="301" spans="1:7">
      <c r="A301" s="3398">
        <v>43317</v>
      </c>
      <c r="B301" s="3399"/>
      <c r="C301" s="3399"/>
      <c r="D301" s="3400"/>
      <c r="E301" s="3401"/>
      <c r="F301" s="3400"/>
      <c r="G301" s="3402" t="s">
        <v>6162</v>
      </c>
    </row>
    <row r="302" spans="1:7">
      <c r="A302" s="3318">
        <v>43318</v>
      </c>
      <c r="B302" s="1353" t="s">
        <v>6120</v>
      </c>
      <c r="C302" s="1353" t="s">
        <v>6121</v>
      </c>
      <c r="D302" s="2320" t="s">
        <v>6163</v>
      </c>
      <c r="E302" s="3303">
        <v>91</v>
      </c>
      <c r="F302" s="3323" t="s">
        <v>6164</v>
      </c>
      <c r="G302" s="3259"/>
    </row>
    <row r="303" spans="1:7">
      <c r="A303" s="3318">
        <v>43319</v>
      </c>
      <c r="B303" s="1353" t="s">
        <v>6120</v>
      </c>
      <c r="C303" s="1353" t="s">
        <v>6121</v>
      </c>
      <c r="D303" s="2320" t="s">
        <v>6165</v>
      </c>
      <c r="E303" s="3303">
        <v>137</v>
      </c>
      <c r="F303" s="2320"/>
      <c r="G303" s="3259"/>
    </row>
    <row r="304" spans="1:7">
      <c r="A304" s="3318">
        <v>43320</v>
      </c>
      <c r="B304" s="1353" t="s">
        <v>6120</v>
      </c>
      <c r="C304" s="1353" t="s">
        <v>6121</v>
      </c>
      <c r="D304" s="2320" t="s">
        <v>6134</v>
      </c>
      <c r="E304" s="3303">
        <v>310</v>
      </c>
      <c r="F304" s="2320"/>
      <c r="G304" s="3259"/>
    </row>
    <row r="305" spans="1:7">
      <c r="A305" s="3318">
        <v>43321</v>
      </c>
      <c r="B305" s="1353" t="s">
        <v>6120</v>
      </c>
      <c r="C305" s="1353" t="s">
        <v>6121</v>
      </c>
      <c r="D305" s="2320" t="s">
        <v>6166</v>
      </c>
      <c r="E305" s="3303">
        <v>115</v>
      </c>
      <c r="F305" s="2320"/>
      <c r="G305" s="3259"/>
    </row>
    <row r="306" spans="1:7">
      <c r="A306" s="3318">
        <v>43322</v>
      </c>
      <c r="B306" s="1353" t="s">
        <v>6120</v>
      </c>
      <c r="C306" s="1353" t="s">
        <v>6121</v>
      </c>
      <c r="D306" s="2320" t="s">
        <v>6167</v>
      </c>
      <c r="E306" s="3303">
        <v>88</v>
      </c>
      <c r="F306" s="2320"/>
      <c r="G306" s="3259"/>
    </row>
    <row r="307" spans="1:7">
      <c r="A307" s="3318">
        <v>43323</v>
      </c>
      <c r="B307" s="1353" t="s">
        <v>6143</v>
      </c>
      <c r="C307" s="1353" t="s">
        <v>6121</v>
      </c>
      <c r="D307" s="2320" t="s">
        <v>6168</v>
      </c>
      <c r="E307" s="3303">
        <v>110</v>
      </c>
      <c r="F307" s="2320"/>
      <c r="G307" s="3259"/>
    </row>
    <row r="308" spans="1:7">
      <c r="A308" s="3318">
        <v>43324</v>
      </c>
      <c r="B308" s="1353" t="s">
        <v>6120</v>
      </c>
      <c r="C308" s="1353" t="s">
        <v>6131</v>
      </c>
      <c r="D308" s="2320" t="s">
        <v>6154</v>
      </c>
      <c r="E308" s="3303">
        <v>48</v>
      </c>
      <c r="F308" s="2320"/>
      <c r="G308" s="3259" t="s">
        <v>6169</v>
      </c>
    </row>
    <row r="309" spans="1:7">
      <c r="A309" s="3395">
        <v>43325</v>
      </c>
      <c r="B309" s="3396"/>
      <c r="C309" s="3396"/>
      <c r="D309" s="3396"/>
      <c r="E309" s="3396"/>
      <c r="F309" s="3396"/>
      <c r="G309" s="3397"/>
    </row>
    <row r="310" spans="1:7">
      <c r="A310" s="3318">
        <v>43326</v>
      </c>
      <c r="B310" s="1353" t="s">
        <v>6120</v>
      </c>
      <c r="C310" s="1353" t="s">
        <v>6121</v>
      </c>
      <c r="D310" s="2320" t="s">
        <v>6160</v>
      </c>
      <c r="E310" s="3303">
        <v>166</v>
      </c>
      <c r="F310" s="2320"/>
      <c r="G310" s="3259"/>
    </row>
    <row r="311" spans="1:7">
      <c r="A311" s="3318">
        <v>43327</v>
      </c>
      <c r="B311" s="1353" t="s">
        <v>6120</v>
      </c>
      <c r="C311" s="1353" t="s">
        <v>6121</v>
      </c>
      <c r="D311" s="2320" t="s">
        <v>6170</v>
      </c>
      <c r="E311" s="3303">
        <v>129</v>
      </c>
      <c r="F311" s="2320"/>
      <c r="G311" s="3259" t="s">
        <v>6171</v>
      </c>
    </row>
    <row r="312" spans="1:7">
      <c r="A312" s="3318">
        <v>43328</v>
      </c>
      <c r="B312" s="1353" t="s">
        <v>6120</v>
      </c>
      <c r="C312" s="1353" t="s">
        <v>6121</v>
      </c>
      <c r="D312" s="2320" t="s">
        <v>6160</v>
      </c>
      <c r="E312" s="3303">
        <v>195</v>
      </c>
      <c r="F312" s="2320"/>
      <c r="G312" s="3259"/>
    </row>
    <row r="313" spans="1:7">
      <c r="A313" s="3318">
        <v>43329</v>
      </c>
      <c r="B313" s="1353" t="s">
        <v>6120</v>
      </c>
      <c r="C313" s="1353" t="s">
        <v>6121</v>
      </c>
      <c r="D313" s="2320" t="s">
        <v>6172</v>
      </c>
      <c r="E313" s="3303">
        <v>103</v>
      </c>
      <c r="F313" s="2320"/>
      <c r="G313" s="3259" t="s">
        <v>6173</v>
      </c>
    </row>
    <row r="314" spans="1:7">
      <c r="A314" s="3318">
        <v>43330</v>
      </c>
      <c r="B314" s="1353" t="s">
        <v>6143</v>
      </c>
      <c r="C314" s="1353" t="s">
        <v>6121</v>
      </c>
      <c r="D314" s="2320" t="s">
        <v>6160</v>
      </c>
      <c r="E314" s="3303">
        <v>105</v>
      </c>
      <c r="F314" s="2320"/>
      <c r="G314" s="3259" t="s">
        <v>6174</v>
      </c>
    </row>
    <row r="315" spans="1:7">
      <c r="A315" s="3318">
        <v>43331</v>
      </c>
      <c r="B315" s="1353" t="s">
        <v>6120</v>
      </c>
      <c r="C315" s="1353" t="s">
        <v>6121</v>
      </c>
      <c r="D315" s="2320" t="s">
        <v>6175</v>
      </c>
      <c r="E315" s="3303">
        <v>212</v>
      </c>
      <c r="F315" s="2320"/>
      <c r="G315" s="3259"/>
    </row>
    <row r="316" spans="1:7">
      <c r="A316" s="3318">
        <v>43332</v>
      </c>
      <c r="B316" s="1353" t="s">
        <v>6120</v>
      </c>
      <c r="C316" s="1353" t="s">
        <v>6121</v>
      </c>
      <c r="D316" s="2320" t="s">
        <v>6176</v>
      </c>
      <c r="E316" s="3303">
        <v>177</v>
      </c>
      <c r="F316" s="2320"/>
      <c r="G316" s="3259"/>
    </row>
    <row r="317" spans="1:7">
      <c r="A317" s="3318">
        <v>43333</v>
      </c>
      <c r="B317" s="1353" t="s">
        <v>6143</v>
      </c>
      <c r="C317" s="1353" t="s">
        <v>6121</v>
      </c>
      <c r="D317" s="2320" t="s">
        <v>6134</v>
      </c>
      <c r="E317" s="3303">
        <v>122</v>
      </c>
      <c r="F317" s="2320"/>
      <c r="G317" s="3259" t="s">
        <v>6177</v>
      </c>
    </row>
    <row r="318" spans="1:7">
      <c r="A318" s="3318">
        <v>43334</v>
      </c>
      <c r="B318" s="1353" t="s">
        <v>6120</v>
      </c>
      <c r="C318" s="1353" t="s">
        <v>6121</v>
      </c>
      <c r="D318" s="2320" t="s">
        <v>6178</v>
      </c>
      <c r="E318" s="3303">
        <v>114</v>
      </c>
      <c r="F318" s="2320"/>
      <c r="G318" s="3259"/>
    </row>
    <row r="319" spans="1:7">
      <c r="A319" s="3318">
        <v>43335</v>
      </c>
      <c r="B319" s="1353" t="s">
        <v>6120</v>
      </c>
      <c r="C319" s="1353" t="s">
        <v>6121</v>
      </c>
      <c r="D319" s="2320" t="s">
        <v>6172</v>
      </c>
      <c r="E319" s="3303">
        <v>157</v>
      </c>
      <c r="F319" s="3323" t="s">
        <v>6179</v>
      </c>
      <c r="G319" s="3259"/>
    </row>
    <row r="320" spans="1:7">
      <c r="A320" s="3318">
        <v>43336</v>
      </c>
      <c r="B320" s="1353" t="s">
        <v>6120</v>
      </c>
      <c r="C320" s="1353" t="s">
        <v>6121</v>
      </c>
      <c r="D320" s="2320" t="s">
        <v>6180</v>
      </c>
      <c r="E320" s="3303">
        <v>84</v>
      </c>
      <c r="F320" s="1353"/>
      <c r="G320" s="3322" t="s">
        <v>6181</v>
      </c>
    </row>
    <row r="321" spans="1:7">
      <c r="A321" s="3318">
        <v>43337</v>
      </c>
      <c r="B321" s="1353" t="s">
        <v>6182</v>
      </c>
      <c r="C321" s="1353" t="s">
        <v>6121</v>
      </c>
      <c r="D321" s="2320" t="s">
        <v>6183</v>
      </c>
      <c r="E321" s="3303">
        <v>158</v>
      </c>
      <c r="F321" s="2320"/>
      <c r="G321" s="3259" t="s">
        <v>6184</v>
      </c>
    </row>
    <row r="322" spans="1:7">
      <c r="A322" s="3318">
        <v>43338</v>
      </c>
      <c r="B322" s="1353" t="s">
        <v>6120</v>
      </c>
      <c r="C322" s="1353" t="s">
        <v>6121</v>
      </c>
      <c r="D322" s="2320" t="s">
        <v>6148</v>
      </c>
      <c r="E322" s="3303">
        <v>157</v>
      </c>
      <c r="F322" s="2320"/>
      <c r="G322" s="3259"/>
    </row>
    <row r="323" spans="1:7">
      <c r="A323" s="3318">
        <v>43339</v>
      </c>
      <c r="B323" s="1353" t="s">
        <v>6120</v>
      </c>
      <c r="C323" s="1353" t="s">
        <v>6121</v>
      </c>
      <c r="D323" s="2320" t="s">
        <v>6185</v>
      </c>
      <c r="E323" s="3303">
        <v>80</v>
      </c>
      <c r="F323" s="2320"/>
      <c r="G323" s="3259"/>
    </row>
    <row r="324" spans="1:7">
      <c r="A324" s="3318">
        <v>43340</v>
      </c>
      <c r="B324" s="1353" t="s">
        <v>6120</v>
      </c>
      <c r="C324" s="1353" t="s">
        <v>6121</v>
      </c>
      <c r="D324" s="2320" t="s">
        <v>6186</v>
      </c>
      <c r="E324" s="3303">
        <v>145</v>
      </c>
      <c r="F324" s="2320"/>
      <c r="G324" s="3259"/>
    </row>
    <row r="325" spans="1:7">
      <c r="A325" s="3318">
        <v>43341</v>
      </c>
      <c r="B325" s="1353" t="s">
        <v>6120</v>
      </c>
      <c r="C325" s="1353" t="s">
        <v>6121</v>
      </c>
      <c r="D325" s="2320" t="s">
        <v>6187</v>
      </c>
      <c r="E325" s="3303">
        <v>174</v>
      </c>
      <c r="F325" s="1353"/>
      <c r="G325" s="3259"/>
    </row>
    <row r="326" spans="1:7">
      <c r="A326" s="3318">
        <v>43342</v>
      </c>
      <c r="B326" s="1353" t="s">
        <v>6120</v>
      </c>
      <c r="C326" s="1353" t="s">
        <v>6121</v>
      </c>
      <c r="D326" s="2320" t="s">
        <v>6188</v>
      </c>
      <c r="E326" s="3303">
        <v>80</v>
      </c>
      <c r="F326" s="2320"/>
      <c r="G326" s="3259"/>
    </row>
    <row r="327" spans="1:7">
      <c r="A327" s="3318">
        <v>43343</v>
      </c>
      <c r="B327" s="1353" t="s">
        <v>6189</v>
      </c>
      <c r="C327" s="1353" t="s">
        <v>6121</v>
      </c>
      <c r="D327" s="2320" t="s">
        <v>6190</v>
      </c>
      <c r="E327" s="3303">
        <v>70</v>
      </c>
      <c r="F327" s="1353"/>
      <c r="G327" s="3259"/>
    </row>
    <row r="328" spans="1:7">
      <c r="A328" s="3389"/>
      <c r="B328" s="3386"/>
      <c r="C328" s="3386"/>
      <c r="D328" s="3384" t="s">
        <v>6191</v>
      </c>
      <c r="E328" s="3385">
        <v>3877</v>
      </c>
      <c r="F328" s="3386"/>
      <c r="G328" s="3388"/>
    </row>
    <row r="329" spans="1:7">
      <c r="A329" s="3324">
        <v>43344</v>
      </c>
      <c r="B329" s="3303" t="s">
        <v>6120</v>
      </c>
      <c r="C329" s="3303" t="s">
        <v>6121</v>
      </c>
      <c r="D329" s="2320" t="s">
        <v>6192</v>
      </c>
      <c r="E329" s="2320">
        <v>171</v>
      </c>
      <c r="F329" s="2320"/>
      <c r="G329" s="3259"/>
    </row>
    <row r="330" spans="1:7">
      <c r="A330" s="3324">
        <v>43345</v>
      </c>
      <c r="B330" s="3303" t="s">
        <v>6120</v>
      </c>
      <c r="C330" s="3303" t="s">
        <v>6121</v>
      </c>
      <c r="D330" s="2320" t="s">
        <v>6193</v>
      </c>
      <c r="E330" s="2320">
        <v>115</v>
      </c>
      <c r="F330" s="2320"/>
      <c r="G330" s="3259"/>
    </row>
    <row r="331" spans="1:7">
      <c r="A331" s="3324">
        <v>43348</v>
      </c>
      <c r="B331" s="3303"/>
      <c r="C331" s="3303"/>
      <c r="D331" s="2320"/>
      <c r="E331" s="2320"/>
      <c r="F331" s="3323" t="s">
        <v>6194</v>
      </c>
      <c r="G331" s="3259"/>
    </row>
    <row r="332" spans="1:7">
      <c r="A332" s="3324">
        <v>43351</v>
      </c>
      <c r="B332" s="3303" t="s">
        <v>6189</v>
      </c>
      <c r="C332" s="3303" t="s">
        <v>6121</v>
      </c>
      <c r="D332" s="2320" t="s">
        <v>6195</v>
      </c>
      <c r="E332" s="2320">
        <v>98</v>
      </c>
      <c r="F332" s="1353"/>
      <c r="G332" s="3259" t="s">
        <v>6184</v>
      </c>
    </row>
    <row r="333" spans="1:7">
      <c r="A333" s="3324">
        <v>43352</v>
      </c>
      <c r="B333" s="3303" t="s">
        <v>6120</v>
      </c>
      <c r="C333" s="3303" t="s">
        <v>6121</v>
      </c>
      <c r="D333" s="2320" t="s">
        <v>6168</v>
      </c>
      <c r="E333" s="2320">
        <v>197</v>
      </c>
      <c r="F333" s="2320"/>
      <c r="G333" s="3259" t="s">
        <v>6196</v>
      </c>
    </row>
    <row r="334" spans="1:7">
      <c r="A334" s="3324">
        <v>43358</v>
      </c>
      <c r="B334" s="3303" t="s">
        <v>6120</v>
      </c>
      <c r="C334" s="3303" t="s">
        <v>6121</v>
      </c>
      <c r="D334" s="2320" t="s">
        <v>6160</v>
      </c>
      <c r="E334" s="2320">
        <v>210</v>
      </c>
      <c r="F334" s="2320"/>
      <c r="G334" s="3305"/>
    </row>
    <row r="335" spans="1:7">
      <c r="A335" s="3324">
        <v>43359</v>
      </c>
      <c r="B335" s="3303" t="s">
        <v>6143</v>
      </c>
      <c r="C335" s="3303" t="s">
        <v>6121</v>
      </c>
      <c r="D335" s="2320" t="s">
        <v>6197</v>
      </c>
      <c r="E335" s="2320">
        <v>79</v>
      </c>
      <c r="F335" s="2320"/>
      <c r="G335" s="3259" t="s">
        <v>6177</v>
      </c>
    </row>
    <row r="336" spans="1:7">
      <c r="A336" s="3324">
        <v>43365</v>
      </c>
      <c r="B336" s="3303" t="s">
        <v>6120</v>
      </c>
      <c r="C336" s="3303" t="s">
        <v>6121</v>
      </c>
      <c r="D336" s="2320" t="s">
        <v>6198</v>
      </c>
      <c r="E336" s="2320">
        <v>157</v>
      </c>
      <c r="F336" s="2320"/>
      <c r="G336" s="3322" t="s">
        <v>6199</v>
      </c>
    </row>
    <row r="337" spans="1:7">
      <c r="A337" s="3324">
        <v>43366</v>
      </c>
      <c r="B337" s="3303"/>
      <c r="C337" s="3303"/>
      <c r="D337" s="2320"/>
      <c r="E337" s="2320"/>
      <c r="F337" s="1353"/>
      <c r="G337" s="3259"/>
    </row>
    <row r="338" spans="1:7">
      <c r="A338" s="3324">
        <v>43372</v>
      </c>
      <c r="B338" s="3303" t="s">
        <v>6120</v>
      </c>
      <c r="C338" s="3303" t="s">
        <v>6121</v>
      </c>
      <c r="D338" s="2320" t="s">
        <v>6188</v>
      </c>
      <c r="E338" s="2320">
        <v>98</v>
      </c>
      <c r="F338" s="2320"/>
      <c r="G338" s="3259"/>
    </row>
    <row r="339" spans="1:7">
      <c r="A339" s="3324">
        <v>43373</v>
      </c>
      <c r="B339" s="3303" t="s">
        <v>6189</v>
      </c>
      <c r="C339" s="3303" t="s">
        <v>6121</v>
      </c>
      <c r="D339" s="2320" t="s">
        <v>6148</v>
      </c>
      <c r="E339" s="2320">
        <v>141</v>
      </c>
      <c r="F339" s="2320"/>
      <c r="G339" s="3259" t="s">
        <v>6200</v>
      </c>
    </row>
    <row r="340" spans="1:7">
      <c r="A340" s="3382"/>
      <c r="B340" s="3386"/>
      <c r="C340" s="3386"/>
      <c r="D340" s="3384" t="s">
        <v>6201</v>
      </c>
      <c r="E340" s="3384">
        <v>1266</v>
      </c>
      <c r="F340" s="3386"/>
      <c r="G340" s="3388"/>
    </row>
    <row r="341" spans="1:7">
      <c r="A341" s="3324">
        <v>43379</v>
      </c>
      <c r="B341" s="3303" t="s">
        <v>6143</v>
      </c>
      <c r="C341" s="3303" t="s">
        <v>6121</v>
      </c>
      <c r="D341" s="2320" t="s">
        <v>6154</v>
      </c>
      <c r="E341" s="2320">
        <v>42</v>
      </c>
      <c r="F341" s="2320"/>
      <c r="G341" s="3259" t="s">
        <v>6184</v>
      </c>
    </row>
    <row r="342" spans="1:7">
      <c r="A342" s="3324">
        <v>43380</v>
      </c>
      <c r="B342" s="3303" t="s">
        <v>6123</v>
      </c>
      <c r="C342" s="3303" t="s">
        <v>6121</v>
      </c>
      <c r="D342" s="2320" t="s">
        <v>6163</v>
      </c>
      <c r="E342" s="2320">
        <v>108</v>
      </c>
      <c r="F342" s="2320"/>
      <c r="G342" s="3325" t="s">
        <v>6202</v>
      </c>
    </row>
    <row r="343" spans="1:7">
      <c r="A343" s="3324">
        <v>43383</v>
      </c>
      <c r="B343" s="3303"/>
      <c r="C343" s="3303"/>
      <c r="D343" s="2320"/>
      <c r="E343" s="2320"/>
      <c r="F343" s="3323" t="s">
        <v>6203</v>
      </c>
      <c r="G343" s="3325"/>
    </row>
    <row r="344" spans="1:7">
      <c r="A344" s="3324">
        <v>43386</v>
      </c>
      <c r="B344" s="3303" t="s">
        <v>6123</v>
      </c>
      <c r="C344" s="3303" t="s">
        <v>6126</v>
      </c>
      <c r="D344" s="2320" t="s">
        <v>6133</v>
      </c>
      <c r="E344" s="2320">
        <v>23</v>
      </c>
      <c r="F344" s="3326"/>
      <c r="G344" s="3259" t="s">
        <v>6204</v>
      </c>
    </row>
    <row r="345" spans="1:7">
      <c r="A345" s="3324">
        <v>43387</v>
      </c>
      <c r="B345" s="3303" t="s">
        <v>6120</v>
      </c>
      <c r="C345" s="3303" t="s">
        <v>6121</v>
      </c>
      <c r="D345" s="2320" t="s">
        <v>6148</v>
      </c>
      <c r="E345" s="2320">
        <v>80</v>
      </c>
      <c r="F345" s="3303"/>
      <c r="G345" s="3259"/>
    </row>
    <row r="346" spans="1:7">
      <c r="A346" s="3324">
        <v>43393</v>
      </c>
      <c r="B346" s="3303" t="s">
        <v>6120</v>
      </c>
      <c r="C346" s="3303" t="s">
        <v>6121</v>
      </c>
      <c r="D346" s="2320" t="s">
        <v>6165</v>
      </c>
      <c r="E346" s="2320">
        <v>211</v>
      </c>
      <c r="F346" s="3303"/>
      <c r="G346" s="3322" t="s">
        <v>6200</v>
      </c>
    </row>
    <row r="347" spans="1:7">
      <c r="A347" s="3324">
        <v>43394</v>
      </c>
      <c r="B347" s="3303" t="s">
        <v>6120</v>
      </c>
      <c r="C347" s="3303" t="s">
        <v>6121</v>
      </c>
      <c r="D347" s="2320" t="s">
        <v>6133</v>
      </c>
      <c r="E347" s="2320">
        <v>66</v>
      </c>
      <c r="F347" s="2320"/>
      <c r="G347" s="3259" t="s">
        <v>6205</v>
      </c>
    </row>
    <row r="348" spans="1:7">
      <c r="A348" s="3324">
        <v>43400</v>
      </c>
      <c r="B348" s="3303" t="s">
        <v>6143</v>
      </c>
      <c r="C348" s="3303" t="s">
        <v>6121</v>
      </c>
      <c r="D348" s="2320" t="s">
        <v>6134</v>
      </c>
      <c r="E348" s="2320">
        <v>33</v>
      </c>
      <c r="F348" s="2320"/>
      <c r="G348" s="3259" t="s">
        <v>6174</v>
      </c>
    </row>
    <row r="349" spans="1:7">
      <c r="A349" s="3324">
        <v>43401</v>
      </c>
      <c r="B349" s="3303" t="s">
        <v>6120</v>
      </c>
      <c r="C349" s="3303" t="s">
        <v>6121</v>
      </c>
      <c r="D349" s="2320" t="s">
        <v>6149</v>
      </c>
      <c r="E349" s="2320">
        <v>118</v>
      </c>
      <c r="F349" s="2320"/>
      <c r="G349" s="3259" t="s">
        <v>6200</v>
      </c>
    </row>
    <row r="350" spans="1:7">
      <c r="A350" s="3324">
        <v>43402</v>
      </c>
      <c r="B350" s="3303" t="s">
        <v>6120</v>
      </c>
      <c r="C350" s="3303" t="s">
        <v>6121</v>
      </c>
      <c r="D350" s="2320" t="s">
        <v>6206</v>
      </c>
      <c r="E350" s="2320">
        <v>114</v>
      </c>
      <c r="F350" s="3327" t="s">
        <v>6207</v>
      </c>
      <c r="G350" s="3259"/>
    </row>
    <row r="351" spans="1:7">
      <c r="A351" s="3324">
        <v>43403</v>
      </c>
      <c r="B351" s="3303" t="s">
        <v>6120</v>
      </c>
      <c r="C351" s="3303" t="s">
        <v>6121</v>
      </c>
      <c r="D351" s="2320" t="s">
        <v>6149</v>
      </c>
      <c r="E351" s="2320">
        <v>57</v>
      </c>
      <c r="F351" s="1353"/>
      <c r="G351" s="3259" t="s">
        <v>6208</v>
      </c>
    </row>
    <row r="352" spans="1:7">
      <c r="A352" s="3324">
        <v>43404</v>
      </c>
      <c r="B352" s="3303" t="s">
        <v>6120</v>
      </c>
      <c r="C352" s="3303" t="s">
        <v>6121</v>
      </c>
      <c r="D352" s="2320" t="s">
        <v>6158</v>
      </c>
      <c r="E352" s="2320">
        <v>103</v>
      </c>
      <c r="F352" s="2320"/>
      <c r="G352" s="3259" t="s">
        <v>6209</v>
      </c>
    </row>
    <row r="353" spans="1:7">
      <c r="A353" s="3257"/>
      <c r="B353" s="3303"/>
      <c r="C353" s="3303"/>
      <c r="D353" s="3314" t="s">
        <v>6210</v>
      </c>
      <c r="E353" s="3314">
        <v>955</v>
      </c>
      <c r="F353" s="2320"/>
      <c r="G353" s="3259"/>
    </row>
    <row r="354" spans="1:7">
      <c r="A354" s="3324">
        <v>43405</v>
      </c>
      <c r="B354" s="3303" t="s">
        <v>6120</v>
      </c>
      <c r="C354" s="3303" t="s">
        <v>6121</v>
      </c>
      <c r="D354" s="2320" t="s">
        <v>6211</v>
      </c>
      <c r="E354" s="2320">
        <v>202</v>
      </c>
      <c r="F354" s="2320"/>
      <c r="G354" s="3259"/>
    </row>
    <row r="355" spans="1:7">
      <c r="A355" s="3324">
        <v>43406</v>
      </c>
      <c r="B355" s="3303" t="s">
        <v>6120</v>
      </c>
      <c r="C355" s="3303" t="s">
        <v>6121</v>
      </c>
      <c r="D355" s="2320" t="s">
        <v>6212</v>
      </c>
      <c r="E355" s="2320">
        <v>126</v>
      </c>
      <c r="F355" s="2320"/>
      <c r="G355" s="3259"/>
    </row>
    <row r="356" spans="1:7">
      <c r="A356" s="3324">
        <v>43407</v>
      </c>
      <c r="B356" s="3303" t="s">
        <v>6120</v>
      </c>
      <c r="C356" s="3303" t="s">
        <v>6121</v>
      </c>
      <c r="D356" s="2320" t="s">
        <v>6160</v>
      </c>
      <c r="E356" s="2320">
        <v>155</v>
      </c>
      <c r="F356" s="2320"/>
      <c r="G356" s="3259"/>
    </row>
    <row r="357" spans="1:7">
      <c r="A357" s="3324">
        <v>43408</v>
      </c>
      <c r="B357" s="3303" t="s">
        <v>6120</v>
      </c>
      <c r="C357" s="3303" t="s">
        <v>6121</v>
      </c>
      <c r="D357" s="2320" t="s">
        <v>6211</v>
      </c>
      <c r="E357" s="2320">
        <v>91</v>
      </c>
      <c r="F357" s="2320"/>
      <c r="G357" s="3259"/>
    </row>
    <row r="358" spans="1:7">
      <c r="A358" s="3318">
        <v>43414</v>
      </c>
      <c r="B358" s="3303" t="s">
        <v>6213</v>
      </c>
      <c r="C358" s="3303" t="s">
        <v>6214</v>
      </c>
      <c r="D358" s="2320" t="s">
        <v>6215</v>
      </c>
      <c r="E358" s="2320">
        <v>99</v>
      </c>
      <c r="F358" s="1353"/>
      <c r="G358" s="3259" t="s">
        <v>6184</v>
      </c>
    </row>
    <row r="359" spans="1:7">
      <c r="A359" s="3318">
        <v>43415</v>
      </c>
      <c r="B359" s="3303" t="s">
        <v>6120</v>
      </c>
      <c r="C359" s="3303" t="s">
        <v>6121</v>
      </c>
      <c r="D359" s="2320" t="s">
        <v>6198</v>
      </c>
      <c r="E359" s="2320">
        <v>94</v>
      </c>
      <c r="F359" s="1353"/>
      <c r="G359" s="3259"/>
    </row>
    <row r="360" spans="1:7">
      <c r="A360" s="3318">
        <v>43418</v>
      </c>
      <c r="B360" s="2320"/>
      <c r="C360" s="2320"/>
      <c r="D360" s="2320"/>
      <c r="E360" s="2320"/>
      <c r="F360" s="3328" t="s">
        <v>6216</v>
      </c>
      <c r="G360" s="3259"/>
    </row>
    <row r="361" spans="1:7">
      <c r="A361" s="3389"/>
      <c r="B361" s="3386"/>
      <c r="C361" s="3386"/>
      <c r="D361" s="3384" t="s">
        <v>6217</v>
      </c>
      <c r="E361" s="3384">
        <v>767</v>
      </c>
      <c r="F361" s="3386"/>
      <c r="G361" s="3388"/>
    </row>
    <row r="362" spans="1:7" ht="13.5" thickBot="1">
      <c r="A362" s="3390"/>
      <c r="B362" s="3391"/>
      <c r="C362" s="3391"/>
      <c r="D362" s="3392" t="s">
        <v>6218</v>
      </c>
      <c r="E362" s="3392">
        <v>12948</v>
      </c>
      <c r="F362" s="3393" t="s">
        <v>6219</v>
      </c>
      <c r="G362" s="3394"/>
    </row>
    <row r="365" spans="1:7">
      <c r="A365" s="3405" t="s">
        <v>6220</v>
      </c>
      <c r="B365" s="2423" t="s">
        <v>6221</v>
      </c>
      <c r="C365" s="3406" t="s">
        <v>6222</v>
      </c>
      <c r="D365" s="3329"/>
    </row>
    <row r="366" spans="1:7">
      <c r="A366" s="3404" t="s">
        <v>6223</v>
      </c>
      <c r="B366" s="1828">
        <v>2355</v>
      </c>
      <c r="C366" s="3271"/>
    </row>
    <row r="367" spans="1:7">
      <c r="A367" s="3404" t="s">
        <v>6224</v>
      </c>
      <c r="B367" s="1828">
        <v>3555</v>
      </c>
      <c r="C367" s="3271"/>
    </row>
    <row r="368" spans="1:7">
      <c r="A368" s="3404" t="s">
        <v>6225</v>
      </c>
      <c r="B368" s="1828">
        <v>4563</v>
      </c>
      <c r="C368" s="3271"/>
    </row>
    <row r="369" spans="1:15">
      <c r="A369" s="3404" t="s">
        <v>6226</v>
      </c>
      <c r="B369" s="1828">
        <v>8650</v>
      </c>
      <c r="C369" s="3271"/>
    </row>
    <row r="370" spans="1:15">
      <c r="A370" s="3404" t="s">
        <v>6227</v>
      </c>
      <c r="B370" s="1828">
        <v>9244</v>
      </c>
      <c r="C370" s="3271"/>
    </row>
    <row r="371" spans="1:15">
      <c r="A371" s="3404" t="s">
        <v>6228</v>
      </c>
      <c r="B371" s="1828">
        <v>5584</v>
      </c>
      <c r="C371" s="3271"/>
    </row>
    <row r="372" spans="1:15">
      <c r="A372" s="3404" t="s">
        <v>6229</v>
      </c>
      <c r="B372" s="1828">
        <v>11133</v>
      </c>
      <c r="C372" s="3271"/>
    </row>
    <row r="373" spans="1:15">
      <c r="A373" s="3404" t="s">
        <v>6230</v>
      </c>
      <c r="B373" s="1828">
        <v>14983</v>
      </c>
      <c r="C373" s="3271"/>
    </row>
    <row r="374" spans="1:15">
      <c r="A374" s="3404" t="s">
        <v>6231</v>
      </c>
      <c r="B374" s="1828">
        <v>10220</v>
      </c>
      <c r="C374" s="3271"/>
    </row>
    <row r="375" spans="1:15">
      <c r="A375" s="3404" t="s">
        <v>6232</v>
      </c>
      <c r="B375" s="1828">
        <v>8068</v>
      </c>
      <c r="C375" s="3271"/>
    </row>
    <row r="376" spans="1:15">
      <c r="A376" s="3404" t="s">
        <v>6233</v>
      </c>
      <c r="B376" s="1828">
        <v>4725</v>
      </c>
      <c r="C376" s="3271"/>
    </row>
    <row r="377" spans="1:15">
      <c r="A377" s="3404" t="s">
        <v>6234</v>
      </c>
      <c r="B377" s="1828">
        <v>3837</v>
      </c>
      <c r="C377" s="3271"/>
    </row>
    <row r="378" spans="1:15">
      <c r="A378" s="2427" t="s">
        <v>165</v>
      </c>
      <c r="B378" s="2372">
        <f>SUM(B366:B377)</f>
        <v>86917</v>
      </c>
      <c r="C378" s="2373"/>
    </row>
    <row r="382" spans="1:15" ht="15">
      <c r="A382" s="624" t="s">
        <v>6235</v>
      </c>
    </row>
    <row r="384" spans="1:15">
      <c r="A384" s="4797" t="s">
        <v>6236</v>
      </c>
      <c r="B384" s="4798"/>
      <c r="C384" s="4798"/>
      <c r="D384" s="4798"/>
      <c r="E384" s="4798"/>
      <c r="F384" s="4798"/>
      <c r="G384" s="4798"/>
      <c r="H384" s="4798"/>
      <c r="I384" s="4798"/>
      <c r="J384" s="4798"/>
      <c r="K384" s="4798"/>
      <c r="L384" s="4798"/>
      <c r="M384" s="4798"/>
      <c r="N384" s="4798"/>
      <c r="O384" s="4799"/>
    </row>
    <row r="385" spans="1:15">
      <c r="A385" s="3411"/>
      <c r="B385" s="3411" t="s">
        <v>6084</v>
      </c>
      <c r="C385" s="3411" t="s">
        <v>6085</v>
      </c>
      <c r="D385" s="3411" t="s">
        <v>6086</v>
      </c>
      <c r="E385" s="3411" t="s">
        <v>6087</v>
      </c>
      <c r="F385" s="3411" t="s">
        <v>6088</v>
      </c>
      <c r="G385" s="3411" t="s">
        <v>6089</v>
      </c>
      <c r="H385" s="3411" t="s">
        <v>6090</v>
      </c>
      <c r="I385" s="3411" t="s">
        <v>6091</v>
      </c>
      <c r="J385" s="3374" t="s">
        <v>8</v>
      </c>
      <c r="K385" s="3276" t="s">
        <v>6107</v>
      </c>
      <c r="L385" s="3276" t="s">
        <v>6026</v>
      </c>
      <c r="M385" s="3276" t="s">
        <v>6109</v>
      </c>
      <c r="N385" s="3412" t="s">
        <v>6237</v>
      </c>
      <c r="O385" s="3413" t="s">
        <v>6238</v>
      </c>
    </row>
    <row r="386" spans="1:15">
      <c r="A386" s="3423">
        <v>43466</v>
      </c>
      <c r="B386" s="3407">
        <v>33</v>
      </c>
      <c r="C386" s="3407">
        <v>44</v>
      </c>
      <c r="D386" s="3407">
        <v>11</v>
      </c>
      <c r="E386" s="3407">
        <v>0</v>
      </c>
      <c r="F386" s="3407">
        <v>19</v>
      </c>
      <c r="G386" s="3407">
        <v>0</v>
      </c>
      <c r="H386" s="3407">
        <v>0</v>
      </c>
      <c r="I386" s="3407">
        <v>13</v>
      </c>
      <c r="J386" s="3428">
        <f t="shared" ref="J386:J397" si="21">SUM(B386:I386)</f>
        <v>120</v>
      </c>
      <c r="K386" s="3408">
        <v>297</v>
      </c>
      <c r="L386" s="3408">
        <v>120</v>
      </c>
      <c r="M386" s="3409">
        <f t="shared" ref="M386:M397" si="22">(L386-K386)/K386</f>
        <v>-0.59595959595959591</v>
      </c>
      <c r="N386" s="3410">
        <f t="shared" ref="N386:N397" si="23">(J386-L386)/L386</f>
        <v>0</v>
      </c>
      <c r="O386" s="3424">
        <f>208+108+10+54+6</f>
        <v>386</v>
      </c>
    </row>
    <row r="387" spans="1:15">
      <c r="A387" s="3336">
        <v>43497</v>
      </c>
      <c r="B387" s="3330">
        <v>36</v>
      </c>
      <c r="C387" s="3330">
        <v>31</v>
      </c>
      <c r="D387" s="3330">
        <v>8</v>
      </c>
      <c r="E387" s="3330">
        <v>0</v>
      </c>
      <c r="F387" s="3330">
        <v>22</v>
      </c>
      <c r="G387" s="3330">
        <v>64</v>
      </c>
      <c r="H387" s="3330">
        <v>0</v>
      </c>
      <c r="I387" s="3330">
        <v>5</v>
      </c>
      <c r="J387" s="3429">
        <f t="shared" si="21"/>
        <v>166</v>
      </c>
      <c r="K387" s="3334">
        <v>187</v>
      </c>
      <c r="L387" s="3331">
        <v>149</v>
      </c>
      <c r="M387" s="3332">
        <f t="shared" si="22"/>
        <v>-0.20320855614973263</v>
      </c>
      <c r="N387" s="3333">
        <f t="shared" si="23"/>
        <v>0.11409395973154363</v>
      </c>
      <c r="O387" s="3425">
        <f>276+120+32+66</f>
        <v>494</v>
      </c>
    </row>
    <row r="388" spans="1:15">
      <c r="A388" s="3336">
        <v>43525</v>
      </c>
      <c r="B388" s="3330">
        <v>67</v>
      </c>
      <c r="C388" s="3330">
        <v>46</v>
      </c>
      <c r="D388" s="3330">
        <v>18</v>
      </c>
      <c r="E388" s="3330">
        <v>0</v>
      </c>
      <c r="F388" s="3330">
        <v>27</v>
      </c>
      <c r="G388" s="3330">
        <v>21</v>
      </c>
      <c r="H388" s="3330">
        <v>0</v>
      </c>
      <c r="I388" s="3330">
        <v>3</v>
      </c>
      <c r="J388" s="3429">
        <f t="shared" si="21"/>
        <v>182</v>
      </c>
      <c r="K388" s="3334">
        <v>301</v>
      </c>
      <c r="L388" s="3331">
        <v>450</v>
      </c>
      <c r="M388" s="3332">
        <f t="shared" si="22"/>
        <v>0.49501661129568109</v>
      </c>
      <c r="N388" s="3333">
        <f t="shared" si="23"/>
        <v>-0.5955555555555555</v>
      </c>
      <c r="O388" s="3425">
        <f>496+288+10+105+27+334</f>
        <v>1260</v>
      </c>
    </row>
    <row r="389" spans="1:15">
      <c r="A389" s="3336">
        <v>43556</v>
      </c>
      <c r="B389" s="3330">
        <v>84</v>
      </c>
      <c r="C389" s="3330">
        <v>49</v>
      </c>
      <c r="D389" s="3330">
        <v>15</v>
      </c>
      <c r="E389" s="3330">
        <v>0</v>
      </c>
      <c r="F389" s="3330">
        <v>20</v>
      </c>
      <c r="G389" s="3330">
        <v>0</v>
      </c>
      <c r="H389" s="3330">
        <v>45</v>
      </c>
      <c r="I389" s="3330">
        <v>2</v>
      </c>
      <c r="J389" s="3429">
        <f t="shared" si="21"/>
        <v>215</v>
      </c>
      <c r="K389" s="3226">
        <v>484</v>
      </c>
      <c r="L389" s="3331">
        <v>422</v>
      </c>
      <c r="M389" s="3332">
        <f t="shared" si="22"/>
        <v>-0.128099173553719</v>
      </c>
      <c r="N389" s="3335">
        <f t="shared" si="23"/>
        <v>-0.49052132701421802</v>
      </c>
      <c r="O389" s="3425">
        <f>640+408+72+150+60+30</f>
        <v>1360</v>
      </c>
    </row>
    <row r="390" spans="1:15">
      <c r="A390" s="3336">
        <v>43586</v>
      </c>
      <c r="B390" s="3330">
        <v>86</v>
      </c>
      <c r="C390" s="3330">
        <v>95</v>
      </c>
      <c r="D390" s="3330">
        <v>11</v>
      </c>
      <c r="E390" s="3330">
        <v>0</v>
      </c>
      <c r="F390" s="3330">
        <v>19</v>
      </c>
      <c r="G390" s="3330">
        <v>17</v>
      </c>
      <c r="H390" s="3330">
        <v>0</v>
      </c>
      <c r="I390" s="3330">
        <v>8</v>
      </c>
      <c r="J390" s="3429">
        <f t="shared" si="21"/>
        <v>236</v>
      </c>
      <c r="K390" s="3334">
        <v>329</v>
      </c>
      <c r="L390" s="3331">
        <v>451</v>
      </c>
      <c r="M390" s="3332">
        <f t="shared" si="22"/>
        <v>0.37082066869300911</v>
      </c>
      <c r="N390" s="3333">
        <f t="shared" si="23"/>
        <v>-0.47671840354767187</v>
      </c>
      <c r="O390" s="3425">
        <f>496+432+50+204+204</f>
        <v>1386</v>
      </c>
    </row>
    <row r="391" spans="1:15">
      <c r="A391" s="3336">
        <v>43617</v>
      </c>
      <c r="B391" s="3330">
        <v>90</v>
      </c>
      <c r="C391" s="3330">
        <v>116</v>
      </c>
      <c r="D391" s="3330">
        <v>21</v>
      </c>
      <c r="E391" s="3330">
        <v>0</v>
      </c>
      <c r="F391" s="3330">
        <v>25</v>
      </c>
      <c r="G391" s="3330">
        <v>17</v>
      </c>
      <c r="H391" s="3330">
        <v>14</v>
      </c>
      <c r="I391" s="3330">
        <v>5</v>
      </c>
      <c r="J391" s="3429">
        <f t="shared" si="21"/>
        <v>288</v>
      </c>
      <c r="K391" s="3334">
        <v>516</v>
      </c>
      <c r="L391" s="3331">
        <v>366</v>
      </c>
      <c r="M391" s="3332">
        <f t="shared" si="22"/>
        <v>-0.29069767441860467</v>
      </c>
      <c r="N391" s="3335">
        <f t="shared" si="23"/>
        <v>-0.21311475409836064</v>
      </c>
      <c r="O391" s="3425">
        <f>544+564+8+111</f>
        <v>1227</v>
      </c>
    </row>
    <row r="392" spans="1:15">
      <c r="A392" s="3336">
        <v>43647</v>
      </c>
      <c r="B392" s="3330">
        <f>147+62</f>
        <v>209</v>
      </c>
      <c r="C392" s="3330">
        <v>94</v>
      </c>
      <c r="D392" s="3330">
        <v>44</v>
      </c>
      <c r="E392" s="3330">
        <v>0</v>
      </c>
      <c r="F392" s="3330">
        <v>39</v>
      </c>
      <c r="G392" s="3330">
        <v>19</v>
      </c>
      <c r="H392" s="3330">
        <v>6</v>
      </c>
      <c r="I392" s="3330">
        <v>12</v>
      </c>
      <c r="J392" s="3429">
        <f t="shared" si="21"/>
        <v>423</v>
      </c>
      <c r="K392" s="3334">
        <v>715</v>
      </c>
      <c r="L392" s="3331">
        <v>584</v>
      </c>
      <c r="M392" s="3332">
        <f t="shared" si="22"/>
        <v>-0.18321678321678322</v>
      </c>
      <c r="N392" s="3333">
        <f t="shared" si="23"/>
        <v>-0.27568493150684931</v>
      </c>
      <c r="O392" s="3425">
        <f>896+453+140+237+153+4</f>
        <v>1883</v>
      </c>
    </row>
    <row r="393" spans="1:15">
      <c r="A393" s="3336">
        <v>43678</v>
      </c>
      <c r="B393" s="3330">
        <f>178+146</f>
        <v>324</v>
      </c>
      <c r="C393" s="3330">
        <v>125</v>
      </c>
      <c r="D393" s="3330">
        <v>53</v>
      </c>
      <c r="E393" s="3330">
        <v>0</v>
      </c>
      <c r="F393" s="3330">
        <v>73</v>
      </c>
      <c r="G393" s="3330">
        <v>40</v>
      </c>
      <c r="H393" s="3330">
        <v>6</v>
      </c>
      <c r="I393" s="3330">
        <v>6</v>
      </c>
      <c r="J393" s="3429">
        <f t="shared" si="21"/>
        <v>627</v>
      </c>
      <c r="K393" s="3334">
        <v>941</v>
      </c>
      <c r="L393" s="3331">
        <v>718</v>
      </c>
      <c r="M393" s="3332">
        <f t="shared" si="22"/>
        <v>-0.23698193411264612</v>
      </c>
      <c r="N393" s="3335">
        <f t="shared" si="23"/>
        <v>-0.12674094707520892</v>
      </c>
      <c r="O393" s="3425">
        <f>972+612+168+333+171+10</f>
        <v>2266</v>
      </c>
    </row>
    <row r="394" spans="1:15">
      <c r="A394" s="3336">
        <v>43709</v>
      </c>
      <c r="B394" s="3330">
        <v>238</v>
      </c>
      <c r="C394" s="3330">
        <v>172</v>
      </c>
      <c r="D394" s="3330">
        <v>7</v>
      </c>
      <c r="E394" s="3330">
        <v>0</v>
      </c>
      <c r="F394" s="3330">
        <v>37</v>
      </c>
      <c r="G394" s="3330">
        <v>65</v>
      </c>
      <c r="H394" s="3330">
        <v>0</v>
      </c>
      <c r="I394" s="3330">
        <v>6</v>
      </c>
      <c r="J394" s="3429">
        <f t="shared" si="21"/>
        <v>525</v>
      </c>
      <c r="K394" s="3334">
        <v>423</v>
      </c>
      <c r="L394" s="3331">
        <v>452</v>
      </c>
      <c r="M394" s="3332">
        <f t="shared" si="22"/>
        <v>6.8557919621749411E-2</v>
      </c>
      <c r="N394" s="3333">
        <f t="shared" si="23"/>
        <v>0.16150442477876106</v>
      </c>
      <c r="O394" s="3425">
        <f>508+579+34+153+165+6</f>
        <v>1445</v>
      </c>
    </row>
    <row r="395" spans="1:15">
      <c r="A395" s="3336">
        <v>43739</v>
      </c>
      <c r="B395" s="3330">
        <v>228</v>
      </c>
      <c r="C395" s="3330">
        <v>73</v>
      </c>
      <c r="D395" s="3330">
        <v>21</v>
      </c>
      <c r="E395" s="3330">
        <v>0</v>
      </c>
      <c r="F395" s="3330">
        <v>32</v>
      </c>
      <c r="G395" s="3330">
        <v>0</v>
      </c>
      <c r="H395" s="3330">
        <v>54</v>
      </c>
      <c r="I395" s="3330">
        <v>3</v>
      </c>
      <c r="J395" s="3429">
        <f t="shared" si="21"/>
        <v>411</v>
      </c>
      <c r="K395" s="3334">
        <v>434</v>
      </c>
      <c r="L395" s="3331">
        <v>400</v>
      </c>
      <c r="M395" s="3332">
        <f t="shared" si="22"/>
        <v>-7.8341013824884786E-2</v>
      </c>
      <c r="N395" s="3333">
        <f t="shared" si="23"/>
        <v>2.75E-2</v>
      </c>
      <c r="O395" s="3425">
        <f>344+507+36+150+63+100</f>
        <v>1200</v>
      </c>
    </row>
    <row r="396" spans="1:15">
      <c r="A396" s="3336">
        <v>43770</v>
      </c>
      <c r="B396" s="3330">
        <v>182</v>
      </c>
      <c r="C396" s="3330">
        <v>92</v>
      </c>
      <c r="D396" s="3330">
        <v>17</v>
      </c>
      <c r="E396" s="3330">
        <v>0</v>
      </c>
      <c r="F396" s="3330">
        <v>33</v>
      </c>
      <c r="G396" s="3330">
        <v>0</v>
      </c>
      <c r="H396" s="3330">
        <v>11</v>
      </c>
      <c r="I396" s="3330">
        <v>2</v>
      </c>
      <c r="J396" s="3429">
        <f t="shared" si="21"/>
        <v>337</v>
      </c>
      <c r="K396" s="3334">
        <v>249</v>
      </c>
      <c r="L396" s="3331">
        <v>437</v>
      </c>
      <c r="M396" s="3332">
        <f t="shared" si="22"/>
        <v>0.75502008032128509</v>
      </c>
      <c r="N396" s="3333">
        <f t="shared" si="23"/>
        <v>-0.2288329519450801</v>
      </c>
      <c r="O396" s="3425">
        <f>484+375+26+135+204+100</f>
        <v>1324</v>
      </c>
    </row>
    <row r="397" spans="1:15">
      <c r="A397" s="3426">
        <v>43800</v>
      </c>
      <c r="B397" s="3414">
        <v>186</v>
      </c>
      <c r="C397" s="3414">
        <v>21</v>
      </c>
      <c r="D397" s="3414">
        <v>8</v>
      </c>
      <c r="E397" s="3414">
        <v>0</v>
      </c>
      <c r="F397" s="3414">
        <v>27</v>
      </c>
      <c r="G397" s="3414">
        <v>15</v>
      </c>
      <c r="H397" s="3414">
        <v>10</v>
      </c>
      <c r="I397" s="3414">
        <v>0</v>
      </c>
      <c r="J397" s="3430">
        <f t="shared" si="21"/>
        <v>267</v>
      </c>
      <c r="K397" s="3416">
        <v>155</v>
      </c>
      <c r="L397" s="3415">
        <v>167</v>
      </c>
      <c r="M397" s="3417">
        <f t="shared" si="22"/>
        <v>7.7419354838709681E-2</v>
      </c>
      <c r="N397" s="3418">
        <f t="shared" si="23"/>
        <v>0.59880239520958078</v>
      </c>
      <c r="O397" s="3427">
        <f>220+156+24+105+30</f>
        <v>535</v>
      </c>
    </row>
    <row r="398" spans="1:15">
      <c r="A398" s="3419" t="s">
        <v>8</v>
      </c>
      <c r="B398" s="3419">
        <f t="shared" ref="B398:I398" si="24">SUM(B386:B397)</f>
        <v>1763</v>
      </c>
      <c r="C398" s="3419">
        <f t="shared" si="24"/>
        <v>958</v>
      </c>
      <c r="D398" s="3419">
        <f t="shared" si="24"/>
        <v>234</v>
      </c>
      <c r="E398" s="3419">
        <f t="shared" si="24"/>
        <v>0</v>
      </c>
      <c r="F398" s="3419">
        <f t="shared" si="24"/>
        <v>373</v>
      </c>
      <c r="G398" s="3419">
        <f t="shared" si="24"/>
        <v>258</v>
      </c>
      <c r="H398" s="3419">
        <f t="shared" si="24"/>
        <v>146</v>
      </c>
      <c r="I398" s="3419">
        <f t="shared" si="24"/>
        <v>65</v>
      </c>
      <c r="J398" s="2700">
        <f>SUM(J386:J397)</f>
        <v>3797</v>
      </c>
      <c r="K398" s="3419">
        <f>SUM(K386:K397)</f>
        <v>5031</v>
      </c>
      <c r="L398" s="3419">
        <f>SUM(L386:L397)</f>
        <v>4716</v>
      </c>
      <c r="M398" s="3420">
        <f>(L398-K398)/K398</f>
        <v>-6.2611806797853303E-2</v>
      </c>
      <c r="N398" s="3421">
        <f>(J398-L398)/L398</f>
        <v>-0.1948685326547922</v>
      </c>
      <c r="O398" s="3422">
        <f>SUM(O386:O397)</f>
        <v>14766</v>
      </c>
    </row>
    <row r="400" spans="1:15">
      <c r="G400" s="2320"/>
      <c r="H400" s="2320"/>
      <c r="I400" s="2320"/>
      <c r="J400" s="2320"/>
      <c r="K400" s="2320"/>
    </row>
    <row r="401" spans="1:11">
      <c r="A401" s="4800" t="s">
        <v>6095</v>
      </c>
      <c r="B401" s="4801"/>
      <c r="C401" s="4801"/>
      <c r="D401" s="4802"/>
      <c r="G401" s="4803"/>
      <c r="H401" s="4803"/>
      <c r="I401" s="4803"/>
      <c r="J401" s="4803"/>
      <c r="K401" s="2320"/>
    </row>
    <row r="402" spans="1:11">
      <c r="A402" s="3431" t="s">
        <v>6096</v>
      </c>
      <c r="B402" s="1353" t="s">
        <v>6097</v>
      </c>
      <c r="C402" s="1353" t="s">
        <v>6098</v>
      </c>
      <c r="D402" s="3358" t="s">
        <v>6099</v>
      </c>
      <c r="G402" s="4796"/>
      <c r="H402" s="4796"/>
      <c r="I402" s="4796"/>
      <c r="J402" s="4796"/>
      <c r="K402" s="2320"/>
    </row>
    <row r="403" spans="1:11">
      <c r="A403" s="3357">
        <v>43466</v>
      </c>
      <c r="B403" s="3303">
        <f>SUM(B386:F386,I386)</f>
        <v>120</v>
      </c>
      <c r="C403" s="3303">
        <f t="shared" ref="C403:D408" si="25">SUM(G386)</f>
        <v>0</v>
      </c>
      <c r="D403" s="3373">
        <f t="shared" si="25"/>
        <v>0</v>
      </c>
      <c r="G403" s="4796"/>
      <c r="H403" s="4796"/>
      <c r="I403" s="4796"/>
      <c r="J403" s="4796"/>
      <c r="K403" s="2320"/>
    </row>
    <row r="404" spans="1:11">
      <c r="A404" s="3357">
        <v>43497</v>
      </c>
      <c r="B404" s="3303">
        <f>SUM(B387:F387,I387)</f>
        <v>102</v>
      </c>
      <c r="C404" s="3303">
        <f t="shared" si="25"/>
        <v>64</v>
      </c>
      <c r="D404" s="3373">
        <f t="shared" si="25"/>
        <v>0</v>
      </c>
      <c r="G404" s="4796"/>
      <c r="H404" s="4796"/>
      <c r="I404" s="4796"/>
      <c r="J404" s="4796"/>
      <c r="K404" s="2320"/>
    </row>
    <row r="405" spans="1:11">
      <c r="A405" s="3357">
        <v>43525</v>
      </c>
      <c r="B405" s="3303">
        <f t="shared" ref="B405:B414" si="26">SUM(B388:F388,I388)</f>
        <v>161</v>
      </c>
      <c r="C405" s="3303">
        <f t="shared" si="25"/>
        <v>21</v>
      </c>
      <c r="D405" s="3373">
        <f t="shared" si="25"/>
        <v>0</v>
      </c>
      <c r="G405" s="4796"/>
      <c r="H405" s="4796"/>
      <c r="I405" s="4796"/>
      <c r="J405" s="4796"/>
      <c r="K405" s="2320"/>
    </row>
    <row r="406" spans="1:11">
      <c r="A406" s="3357">
        <v>43556</v>
      </c>
      <c r="B406" s="3303">
        <f t="shared" si="26"/>
        <v>170</v>
      </c>
      <c r="C406" s="3303">
        <f t="shared" si="25"/>
        <v>0</v>
      </c>
      <c r="D406" s="3373">
        <f t="shared" si="25"/>
        <v>45</v>
      </c>
      <c r="G406" s="4796"/>
      <c r="H406" s="4796"/>
      <c r="I406" s="4796"/>
      <c r="J406" s="4796"/>
      <c r="K406" s="2320"/>
    </row>
    <row r="407" spans="1:11">
      <c r="A407" s="3357">
        <v>43586</v>
      </c>
      <c r="B407" s="3303">
        <f t="shared" si="26"/>
        <v>219</v>
      </c>
      <c r="C407" s="3303">
        <f t="shared" si="25"/>
        <v>17</v>
      </c>
      <c r="D407" s="3373">
        <f t="shared" si="25"/>
        <v>0</v>
      </c>
      <c r="G407" s="4796"/>
      <c r="H407" s="4796"/>
      <c r="I407" s="4796"/>
      <c r="J407" s="4796"/>
    </row>
    <row r="408" spans="1:11">
      <c r="A408" s="3357">
        <v>43617</v>
      </c>
      <c r="B408" s="3303">
        <f>SUM(B391:F391,I391)</f>
        <v>257</v>
      </c>
      <c r="C408" s="3303">
        <f t="shared" si="25"/>
        <v>17</v>
      </c>
      <c r="D408" s="3373">
        <f t="shared" si="25"/>
        <v>14</v>
      </c>
      <c r="G408" s="4796"/>
      <c r="H408" s="4796"/>
      <c r="I408" s="4796"/>
      <c r="J408" s="4796"/>
    </row>
    <row r="409" spans="1:11">
      <c r="A409" s="3357">
        <v>43647</v>
      </c>
      <c r="B409" s="3303">
        <f t="shared" si="26"/>
        <v>398</v>
      </c>
      <c r="C409" s="3303">
        <f t="shared" ref="C409:D414" si="27">SUM(G392)</f>
        <v>19</v>
      </c>
      <c r="D409" s="3373">
        <f t="shared" si="27"/>
        <v>6</v>
      </c>
      <c r="E409" s="2320"/>
      <c r="F409" s="2320"/>
      <c r="G409" s="4796"/>
      <c r="H409" s="4796"/>
      <c r="I409" s="4796"/>
      <c r="J409" s="4796"/>
    </row>
    <row r="410" spans="1:11">
      <c r="A410" s="3357">
        <v>43678</v>
      </c>
      <c r="B410" s="3303">
        <f t="shared" si="26"/>
        <v>581</v>
      </c>
      <c r="C410" s="3303">
        <f t="shared" si="27"/>
        <v>40</v>
      </c>
      <c r="D410" s="3373">
        <f t="shared" si="27"/>
        <v>6</v>
      </c>
      <c r="F410" s="2354"/>
      <c r="G410" s="4796"/>
      <c r="H410" s="4796"/>
      <c r="I410" s="4796"/>
      <c r="J410" s="4796"/>
    </row>
    <row r="411" spans="1:11">
      <c r="A411" s="3357">
        <v>43709</v>
      </c>
      <c r="B411" s="3303">
        <f t="shared" si="26"/>
        <v>460</v>
      </c>
      <c r="C411" s="3303">
        <f t="shared" si="27"/>
        <v>65</v>
      </c>
      <c r="D411" s="3373">
        <f t="shared" si="27"/>
        <v>0</v>
      </c>
      <c r="E411" s="3307"/>
      <c r="F411" s="3308"/>
      <c r="G411" s="4796"/>
      <c r="H411" s="4796"/>
      <c r="I411" s="4796"/>
      <c r="J411" s="4796"/>
    </row>
    <row r="412" spans="1:11">
      <c r="A412" s="3357">
        <v>43739</v>
      </c>
      <c r="B412" s="3303">
        <f t="shared" si="26"/>
        <v>357</v>
      </c>
      <c r="C412" s="3303">
        <f t="shared" si="27"/>
        <v>0</v>
      </c>
      <c r="D412" s="3373">
        <f t="shared" si="27"/>
        <v>54</v>
      </c>
      <c r="G412" s="4796"/>
      <c r="H412" s="4796"/>
      <c r="I412" s="4796"/>
      <c r="J412" s="4796"/>
    </row>
    <row r="413" spans="1:11">
      <c r="A413" s="3357">
        <v>43770</v>
      </c>
      <c r="B413" s="3303">
        <f t="shared" si="26"/>
        <v>326</v>
      </c>
      <c r="C413" s="3303">
        <f t="shared" si="27"/>
        <v>0</v>
      </c>
      <c r="D413" s="3373">
        <f t="shared" si="27"/>
        <v>11</v>
      </c>
      <c r="G413" s="4796"/>
      <c r="H413" s="4796"/>
      <c r="I413" s="4796"/>
      <c r="J413" s="4796"/>
    </row>
    <row r="414" spans="1:11">
      <c r="A414" s="3357">
        <v>43800</v>
      </c>
      <c r="B414" s="3303">
        <f t="shared" si="26"/>
        <v>242</v>
      </c>
      <c r="C414" s="3303">
        <f t="shared" si="27"/>
        <v>15</v>
      </c>
      <c r="D414" s="3373">
        <f t="shared" si="27"/>
        <v>10</v>
      </c>
      <c r="G414" s="4796"/>
      <c r="H414" s="4796"/>
      <c r="I414" s="4796"/>
      <c r="J414" s="4796"/>
    </row>
    <row r="415" spans="1:11">
      <c r="A415" s="3432" t="s">
        <v>8</v>
      </c>
      <c r="B415" s="3433">
        <f>SUM(B403:B414)</f>
        <v>3393</v>
      </c>
      <c r="C415" s="3433">
        <f>SUM(C403:C414)</f>
        <v>258</v>
      </c>
      <c r="D415" s="3434">
        <f>SUM(D403:D414)</f>
        <v>146</v>
      </c>
      <c r="G415" s="4796"/>
      <c r="H415" s="4796"/>
      <c r="I415" s="4796"/>
      <c r="J415" s="4796"/>
    </row>
    <row r="416" spans="1:11">
      <c r="A416" s="3306"/>
    </row>
    <row r="417" spans="1:4">
      <c r="A417" s="3306"/>
    </row>
    <row r="418" spans="1:4">
      <c r="A418" s="2358" t="s">
        <v>6239</v>
      </c>
      <c r="B418" s="2424"/>
    </row>
    <row r="419" spans="1:4">
      <c r="A419" s="2433" t="s">
        <v>6223</v>
      </c>
      <c r="B419" s="2353">
        <v>2363</v>
      </c>
      <c r="D419" s="3314" t="s">
        <v>6111</v>
      </c>
    </row>
    <row r="420" spans="1:4">
      <c r="A420" s="2433" t="s">
        <v>6224</v>
      </c>
      <c r="B420" s="2353">
        <v>3196</v>
      </c>
      <c r="D420" s="2320" t="s">
        <v>6112</v>
      </c>
    </row>
    <row r="421" spans="1:4">
      <c r="A421" s="2433" t="s">
        <v>6225</v>
      </c>
      <c r="B421" s="2353">
        <v>4719</v>
      </c>
    </row>
    <row r="422" spans="1:4">
      <c r="A422" s="2433" t="s">
        <v>6226</v>
      </c>
      <c r="B422" s="2353">
        <v>9933</v>
      </c>
    </row>
    <row r="423" spans="1:4">
      <c r="A423" s="2433" t="s">
        <v>6227</v>
      </c>
      <c r="B423" s="2353">
        <v>8084</v>
      </c>
    </row>
    <row r="424" spans="1:4">
      <c r="A424" s="2433" t="s">
        <v>6228</v>
      </c>
      <c r="B424" s="2353">
        <v>9171</v>
      </c>
    </row>
    <row r="425" spans="1:4">
      <c r="A425" s="2433" t="s">
        <v>6229</v>
      </c>
      <c r="B425" s="2353">
        <v>9049</v>
      </c>
    </row>
    <row r="426" spans="1:4">
      <c r="A426" s="2433" t="s">
        <v>6230</v>
      </c>
      <c r="B426" s="2353">
        <v>9970</v>
      </c>
    </row>
    <row r="427" spans="1:4">
      <c r="A427" s="2433" t="s">
        <v>6231</v>
      </c>
      <c r="B427" s="2353">
        <v>6476</v>
      </c>
    </row>
    <row r="428" spans="1:4">
      <c r="A428" s="2433" t="s">
        <v>6232</v>
      </c>
      <c r="B428" s="2353">
        <v>6048</v>
      </c>
    </row>
    <row r="429" spans="1:4">
      <c r="A429" s="2433" t="s">
        <v>6233</v>
      </c>
      <c r="B429" s="2353">
        <v>3679</v>
      </c>
    </row>
    <row r="430" spans="1:4">
      <c r="A430" s="2433" t="s">
        <v>6234</v>
      </c>
      <c r="B430" s="2353">
        <v>4218</v>
      </c>
    </row>
    <row r="431" spans="1:4">
      <c r="A431" s="3435" t="s">
        <v>165</v>
      </c>
      <c r="B431" s="3436">
        <f>SUM(B419:B430)</f>
        <v>76906</v>
      </c>
    </row>
    <row r="434" spans="1:11" ht="13.5" thickBot="1"/>
    <row r="435" spans="1:11">
      <c r="A435" s="3403" t="s">
        <v>6240</v>
      </c>
      <c r="B435" s="3439"/>
      <c r="C435" s="3439"/>
      <c r="D435" s="3439"/>
      <c r="E435" s="3439"/>
      <c r="F435" s="3439"/>
      <c r="G435" s="3439">
        <v>14358</v>
      </c>
      <c r="H435" s="3440" t="s">
        <v>6241</v>
      </c>
    </row>
    <row r="436" spans="1:11">
      <c r="A436" s="3441" t="s">
        <v>6114</v>
      </c>
      <c r="B436" s="3341" t="s">
        <v>6115</v>
      </c>
      <c r="C436" s="3341" t="s">
        <v>6116</v>
      </c>
      <c r="D436" s="3341" t="s">
        <v>6117</v>
      </c>
      <c r="E436" s="3341" t="s">
        <v>6118</v>
      </c>
      <c r="F436" s="3341" t="s">
        <v>6242</v>
      </c>
      <c r="G436" s="3341" t="s">
        <v>217</v>
      </c>
      <c r="H436" s="3442"/>
      <c r="K436" s="3337"/>
    </row>
    <row r="437" spans="1:11">
      <c r="A437" s="3338">
        <v>43562</v>
      </c>
      <c r="B437" s="1353" t="s">
        <v>6120</v>
      </c>
      <c r="C437" s="1353" t="s">
        <v>6121</v>
      </c>
      <c r="D437" s="1353" t="s">
        <v>6243</v>
      </c>
      <c r="E437" s="1353">
        <v>118</v>
      </c>
      <c r="F437" s="1353"/>
      <c r="G437" s="1353"/>
      <c r="H437" s="3259"/>
      <c r="K437" s="3337"/>
    </row>
    <row r="438" spans="1:11">
      <c r="A438" s="3338">
        <v>43563</v>
      </c>
      <c r="B438" s="1353">
        <v>10</v>
      </c>
      <c r="C438" s="1353">
        <v>17</v>
      </c>
      <c r="D438" s="1353" t="s">
        <v>6244</v>
      </c>
      <c r="E438" s="1353">
        <v>80</v>
      </c>
      <c r="F438" s="1353"/>
      <c r="G438" s="1353" t="s">
        <v>6245</v>
      </c>
      <c r="H438" s="3259"/>
      <c r="K438" s="3337"/>
    </row>
    <row r="439" spans="1:11">
      <c r="A439" s="3338">
        <v>43564</v>
      </c>
      <c r="B439" s="1353">
        <v>10</v>
      </c>
      <c r="C439" s="1353">
        <v>17</v>
      </c>
      <c r="D439" s="1353" t="s">
        <v>6246</v>
      </c>
      <c r="E439" s="1353">
        <v>116</v>
      </c>
      <c r="F439" s="1353"/>
      <c r="G439" s="1353"/>
      <c r="H439" s="3259"/>
      <c r="K439" s="3337"/>
    </row>
    <row r="440" spans="1:11">
      <c r="A440" s="3338">
        <v>43595</v>
      </c>
      <c r="B440" s="1353">
        <v>10</v>
      </c>
      <c r="C440" s="1353">
        <v>17</v>
      </c>
      <c r="D440" s="1353" t="s">
        <v>6247</v>
      </c>
      <c r="E440" s="1353">
        <v>55</v>
      </c>
      <c r="F440" s="1353"/>
      <c r="G440" s="1353" t="s">
        <v>6248</v>
      </c>
      <c r="H440" s="3259"/>
      <c r="K440" s="3337"/>
    </row>
    <row r="441" spans="1:11">
      <c r="A441" s="3338">
        <v>43566</v>
      </c>
      <c r="B441" s="1353">
        <v>10</v>
      </c>
      <c r="C441" s="1353">
        <v>17</v>
      </c>
      <c r="D441" s="1353" t="s">
        <v>6249</v>
      </c>
      <c r="E441" s="1353">
        <v>70</v>
      </c>
      <c r="F441" s="1353"/>
      <c r="G441" s="1353" t="s">
        <v>6250</v>
      </c>
      <c r="H441" s="3259"/>
      <c r="K441" s="3337"/>
    </row>
    <row r="442" spans="1:11">
      <c r="A442" s="3338">
        <v>43567</v>
      </c>
      <c r="B442" s="1353">
        <v>10</v>
      </c>
      <c r="C442" s="1353">
        <v>17</v>
      </c>
      <c r="D442" s="1353" t="s">
        <v>6251</v>
      </c>
      <c r="E442" s="1353">
        <v>91</v>
      </c>
      <c r="F442" s="1353"/>
      <c r="G442" s="1353" t="s">
        <v>6252</v>
      </c>
      <c r="H442" s="3259"/>
      <c r="K442" s="3337"/>
    </row>
    <row r="443" spans="1:11">
      <c r="A443" s="3338">
        <v>43569</v>
      </c>
      <c r="B443" s="1353">
        <v>10</v>
      </c>
      <c r="C443" s="1353">
        <v>17</v>
      </c>
      <c r="D443" s="1353" t="s">
        <v>6253</v>
      </c>
      <c r="E443" s="1353">
        <v>91</v>
      </c>
      <c r="F443" s="1353"/>
      <c r="G443" s="1353" t="s">
        <v>6254</v>
      </c>
      <c r="H443" s="3259"/>
      <c r="K443" s="3337"/>
    </row>
    <row r="444" spans="1:11">
      <c r="A444" s="3338">
        <v>43570</v>
      </c>
      <c r="B444" s="1353">
        <v>10</v>
      </c>
      <c r="C444" s="1353">
        <v>17</v>
      </c>
      <c r="D444" s="1353" t="s">
        <v>6244</v>
      </c>
      <c r="E444" s="1353">
        <v>81</v>
      </c>
      <c r="F444" s="1353"/>
      <c r="G444" s="1353"/>
      <c r="H444" s="3259"/>
      <c r="K444" s="3337"/>
    </row>
    <row r="445" spans="1:11">
      <c r="A445" s="3338">
        <v>43571</v>
      </c>
      <c r="B445" s="1353">
        <v>10</v>
      </c>
      <c r="C445" s="1353">
        <v>17</v>
      </c>
      <c r="D445" s="1353" t="s">
        <v>6251</v>
      </c>
      <c r="E445" s="1353">
        <v>63</v>
      </c>
      <c r="F445" s="1353"/>
      <c r="G445" s="1353" t="s">
        <v>6255</v>
      </c>
      <c r="H445" s="3259"/>
      <c r="K445" s="3337"/>
    </row>
    <row r="446" spans="1:11">
      <c r="A446" s="3338">
        <v>43572</v>
      </c>
      <c r="B446" s="1353">
        <v>10</v>
      </c>
      <c r="C446" s="1353">
        <v>17</v>
      </c>
      <c r="D446" s="1353" t="s">
        <v>6249</v>
      </c>
      <c r="E446" s="1353">
        <v>73</v>
      </c>
      <c r="F446" s="1353"/>
      <c r="G446" s="1353" t="s">
        <v>6256</v>
      </c>
      <c r="H446" s="3259"/>
      <c r="K446" s="3337"/>
    </row>
    <row r="447" spans="1:11">
      <c r="A447" s="3338">
        <v>43576</v>
      </c>
      <c r="B447" s="1353">
        <v>10</v>
      </c>
      <c r="C447" s="1353">
        <v>17</v>
      </c>
      <c r="D447" s="1353" t="s">
        <v>6253</v>
      </c>
      <c r="E447" s="1353">
        <v>116</v>
      </c>
      <c r="F447" s="1353"/>
      <c r="G447" s="1353" t="s">
        <v>6257</v>
      </c>
      <c r="H447" s="3259"/>
      <c r="K447" s="3337"/>
    </row>
    <row r="448" spans="1:11">
      <c r="A448" s="3338">
        <v>43577</v>
      </c>
      <c r="B448" s="1353">
        <v>10</v>
      </c>
      <c r="C448" s="1353">
        <v>17</v>
      </c>
      <c r="D448" s="1353" t="s">
        <v>6249</v>
      </c>
      <c r="E448" s="1353">
        <v>140</v>
      </c>
      <c r="F448" s="1353">
        <v>25</v>
      </c>
      <c r="G448" s="1353" t="s">
        <v>6258</v>
      </c>
      <c r="H448" s="3259"/>
      <c r="K448" s="3337"/>
    </row>
    <row r="449" spans="1:11">
      <c r="A449" s="3338">
        <v>43582</v>
      </c>
      <c r="B449" s="1353">
        <v>10</v>
      </c>
      <c r="C449" s="1353">
        <v>17</v>
      </c>
      <c r="D449" s="1353" t="s">
        <v>6259</v>
      </c>
      <c r="E449" s="1353">
        <v>77</v>
      </c>
      <c r="F449" s="1353"/>
      <c r="G449" s="1353" t="s">
        <v>6260</v>
      </c>
      <c r="H449" s="3259"/>
    </row>
    <row r="450" spans="1:11">
      <c r="A450" s="3338">
        <v>43583</v>
      </c>
      <c r="B450" s="1353">
        <v>10</v>
      </c>
      <c r="C450" s="1353">
        <v>17</v>
      </c>
      <c r="D450" s="1353" t="s">
        <v>6244</v>
      </c>
      <c r="E450" s="1353">
        <v>168</v>
      </c>
      <c r="F450" s="1353"/>
      <c r="G450" s="1353"/>
      <c r="H450" s="3259"/>
      <c r="K450" s="3337"/>
    </row>
    <row r="451" spans="1:11">
      <c r="A451" s="3443"/>
      <c r="B451" s="3383"/>
      <c r="C451" s="3383"/>
      <c r="D451" s="3383" t="s">
        <v>6261</v>
      </c>
      <c r="E451" s="3383">
        <f>SUM(E437:E450)</f>
        <v>1339</v>
      </c>
      <c r="F451" s="3383"/>
      <c r="G451" s="3383"/>
      <c r="H451" s="3388"/>
      <c r="K451" s="3337"/>
    </row>
    <row r="452" spans="1:11">
      <c r="A452" s="3338">
        <v>43586</v>
      </c>
      <c r="B452" s="1353" t="s">
        <v>6120</v>
      </c>
      <c r="C452" s="1353">
        <v>15</v>
      </c>
      <c r="D452" s="1353" t="s">
        <v>6262</v>
      </c>
      <c r="E452" s="1353">
        <v>34</v>
      </c>
      <c r="F452" s="1353"/>
      <c r="G452" s="1353" t="s">
        <v>6263</v>
      </c>
      <c r="H452" s="3259"/>
      <c r="K452" s="3337"/>
    </row>
    <row r="453" spans="1:11">
      <c r="A453" s="3338">
        <v>43589</v>
      </c>
      <c r="B453" s="1353">
        <v>10</v>
      </c>
      <c r="C453" s="1353">
        <v>17</v>
      </c>
      <c r="D453" s="1353" t="s">
        <v>6264</v>
      </c>
      <c r="E453" s="1353">
        <v>72</v>
      </c>
      <c r="F453" s="1353"/>
      <c r="G453" s="1353" t="s">
        <v>6265</v>
      </c>
      <c r="H453" s="3259"/>
      <c r="K453" s="3337"/>
    </row>
    <row r="454" spans="1:11">
      <c r="A454" s="3338">
        <v>43590</v>
      </c>
      <c r="B454" s="1353">
        <v>10</v>
      </c>
      <c r="C454" s="1353">
        <v>17</v>
      </c>
      <c r="D454" s="1353" t="s">
        <v>6244</v>
      </c>
      <c r="E454" s="1353">
        <v>81</v>
      </c>
      <c r="F454" s="1353">
        <v>94</v>
      </c>
      <c r="G454" s="1353" t="s">
        <v>6266</v>
      </c>
      <c r="H454" s="3259"/>
      <c r="K454" s="3337"/>
    </row>
    <row r="455" spans="1:11">
      <c r="A455" s="3338">
        <v>43596</v>
      </c>
      <c r="B455" s="1353">
        <v>10</v>
      </c>
      <c r="C455" s="1353">
        <v>17</v>
      </c>
      <c r="D455" s="1353" t="s">
        <v>6251</v>
      </c>
      <c r="E455" s="1353">
        <v>69</v>
      </c>
      <c r="F455" s="1353"/>
      <c r="G455" s="1353" t="s">
        <v>6267</v>
      </c>
      <c r="H455" s="3259"/>
      <c r="K455" s="3337"/>
    </row>
    <row r="456" spans="1:11">
      <c r="A456" s="3338">
        <v>43597</v>
      </c>
      <c r="B456" s="1353">
        <v>10</v>
      </c>
      <c r="C456" s="1353">
        <v>17</v>
      </c>
      <c r="D456" s="1353" t="s">
        <v>6253</v>
      </c>
      <c r="E456" s="1353">
        <v>79</v>
      </c>
      <c r="F456" s="1353"/>
      <c r="G456" s="1353" t="s">
        <v>6268</v>
      </c>
      <c r="H456" s="3259"/>
      <c r="K456" s="3337"/>
    </row>
    <row r="457" spans="1:11">
      <c r="A457" s="3338">
        <v>43603</v>
      </c>
      <c r="B457" s="1353">
        <v>10</v>
      </c>
      <c r="C457" s="1353">
        <v>17</v>
      </c>
      <c r="D457" s="1353" t="s">
        <v>6262</v>
      </c>
      <c r="E457" s="1353">
        <v>80</v>
      </c>
      <c r="F457" s="1353"/>
      <c r="G457" s="1353" t="s">
        <v>6269</v>
      </c>
      <c r="H457" s="3259"/>
      <c r="K457" s="3337"/>
    </row>
    <row r="458" spans="1:11">
      <c r="A458" s="3338">
        <v>43604</v>
      </c>
      <c r="B458" s="1353">
        <v>10</v>
      </c>
      <c r="C458" s="1353">
        <v>17</v>
      </c>
      <c r="D458" s="1353" t="s">
        <v>6264</v>
      </c>
      <c r="E458" s="1353">
        <v>75</v>
      </c>
      <c r="F458" s="1353">
        <v>102</v>
      </c>
      <c r="G458" s="1353" t="s">
        <v>6270</v>
      </c>
      <c r="H458" s="3259"/>
      <c r="K458" s="3337"/>
    </row>
    <row r="459" spans="1:11">
      <c r="A459" s="3338">
        <v>43610</v>
      </c>
      <c r="B459" s="1353">
        <v>10</v>
      </c>
      <c r="C459" s="1353">
        <v>15</v>
      </c>
      <c r="D459" s="1353" t="s">
        <v>855</v>
      </c>
      <c r="E459" s="1353">
        <v>8</v>
      </c>
      <c r="F459" s="1353"/>
      <c r="G459" s="1353" t="s">
        <v>6271</v>
      </c>
      <c r="H459" s="3259"/>
      <c r="K459" s="3337"/>
    </row>
    <row r="460" spans="1:11">
      <c r="A460" s="3338">
        <v>43611</v>
      </c>
      <c r="B460" s="1353">
        <v>10</v>
      </c>
      <c r="C460" s="1353">
        <v>17</v>
      </c>
      <c r="D460" s="1353" t="s">
        <v>6272</v>
      </c>
      <c r="E460" s="1353">
        <v>59</v>
      </c>
      <c r="F460" s="1353">
        <v>152</v>
      </c>
      <c r="G460" s="1353" t="s">
        <v>6273</v>
      </c>
      <c r="H460" s="3259"/>
      <c r="K460" s="3337"/>
    </row>
    <row r="461" spans="1:11">
      <c r="A461" s="3338">
        <v>43615</v>
      </c>
      <c r="B461" s="1353">
        <v>10</v>
      </c>
      <c r="C461" s="1353">
        <v>17</v>
      </c>
      <c r="D461" s="1353" t="s">
        <v>6274</v>
      </c>
      <c r="E461" s="1353">
        <v>133</v>
      </c>
      <c r="F461" s="1353"/>
      <c r="G461" s="1353" t="s">
        <v>6275</v>
      </c>
      <c r="H461" s="3259"/>
      <c r="K461" s="3337"/>
    </row>
    <row r="462" spans="1:11">
      <c r="A462" s="3338">
        <v>43616</v>
      </c>
      <c r="B462" s="1353">
        <v>10</v>
      </c>
      <c r="C462" s="1353">
        <v>17</v>
      </c>
      <c r="D462" s="1353" t="s">
        <v>6244</v>
      </c>
      <c r="E462" s="1353">
        <v>156</v>
      </c>
      <c r="F462" s="1353"/>
      <c r="G462" s="1353" t="s">
        <v>6276</v>
      </c>
      <c r="H462" s="3259"/>
      <c r="K462" s="3337"/>
    </row>
    <row r="463" spans="1:11">
      <c r="A463" s="3443"/>
      <c r="B463" s="3383"/>
      <c r="C463" s="3383"/>
      <c r="D463" s="3383" t="s">
        <v>6128</v>
      </c>
      <c r="E463" s="3383">
        <f>SUM(E452:E462)</f>
        <v>846</v>
      </c>
      <c r="F463" s="3383"/>
      <c r="G463" s="3383"/>
      <c r="H463" s="3388"/>
      <c r="K463" s="3337"/>
    </row>
    <row r="464" spans="1:11">
      <c r="A464" s="3338">
        <v>43617</v>
      </c>
      <c r="B464" s="1353">
        <v>10</v>
      </c>
      <c r="C464" s="1353">
        <v>17</v>
      </c>
      <c r="D464" s="1353" t="s">
        <v>6274</v>
      </c>
      <c r="E464" s="1353">
        <v>127</v>
      </c>
      <c r="F464" s="1353"/>
      <c r="G464" s="1353" t="s">
        <v>6277</v>
      </c>
      <c r="H464" s="3259"/>
      <c r="K464" s="3337"/>
    </row>
    <row r="465" spans="1:11">
      <c r="A465" s="3338">
        <v>43618</v>
      </c>
      <c r="B465" s="1353">
        <v>10</v>
      </c>
      <c r="C465" s="1353">
        <v>17</v>
      </c>
      <c r="D465" s="1353" t="s">
        <v>6278</v>
      </c>
      <c r="E465" s="1353">
        <v>141</v>
      </c>
      <c r="F465" s="1353"/>
      <c r="G465" s="1353"/>
      <c r="H465" s="3259"/>
      <c r="K465" s="3337"/>
    </row>
    <row r="466" spans="1:11">
      <c r="A466" s="3338">
        <v>43624</v>
      </c>
      <c r="B466" s="1353">
        <v>10</v>
      </c>
      <c r="C466" s="1353">
        <v>17</v>
      </c>
      <c r="D466" s="1353" t="s">
        <v>6262</v>
      </c>
      <c r="E466" s="1353">
        <v>143</v>
      </c>
      <c r="F466" s="1353"/>
      <c r="G466" s="1353" t="s">
        <v>6279</v>
      </c>
      <c r="H466" s="3259"/>
      <c r="K466" s="3337"/>
    </row>
    <row r="467" spans="1:11">
      <c r="A467" s="3338">
        <v>43625</v>
      </c>
      <c r="B467" s="1353">
        <v>10</v>
      </c>
      <c r="C467" s="1353">
        <v>17</v>
      </c>
      <c r="D467" s="1353" t="s">
        <v>6264</v>
      </c>
      <c r="E467" s="1353">
        <v>134</v>
      </c>
      <c r="F467" s="1353"/>
      <c r="G467" s="1353"/>
      <c r="H467" s="3259"/>
      <c r="K467" s="3337"/>
    </row>
    <row r="468" spans="1:11">
      <c r="A468" s="3338">
        <v>43626</v>
      </c>
      <c r="B468" s="1353">
        <v>10</v>
      </c>
      <c r="C468" s="1353">
        <v>17</v>
      </c>
      <c r="D468" s="1353" t="s">
        <v>6280</v>
      </c>
      <c r="E468" s="1353">
        <v>263</v>
      </c>
      <c r="F468" s="1353"/>
      <c r="G468" s="1353"/>
      <c r="H468" s="3259"/>
      <c r="K468" s="3337"/>
    </row>
    <row r="469" spans="1:11">
      <c r="A469" s="3338">
        <v>43628</v>
      </c>
      <c r="B469" s="1353">
        <v>10</v>
      </c>
      <c r="C469" s="1353">
        <v>17</v>
      </c>
      <c r="D469" s="1353" t="s">
        <v>6274</v>
      </c>
      <c r="E469" s="1353">
        <v>73</v>
      </c>
      <c r="F469" s="1353"/>
      <c r="G469" s="1353" t="s">
        <v>6281</v>
      </c>
      <c r="H469" s="3259"/>
      <c r="K469" s="3337"/>
    </row>
    <row r="470" spans="1:11">
      <c r="A470" s="3338">
        <v>43631</v>
      </c>
      <c r="B470" s="1353">
        <v>10</v>
      </c>
      <c r="C470" s="1353">
        <v>17</v>
      </c>
      <c r="D470" s="1353" t="s">
        <v>6280</v>
      </c>
      <c r="E470" s="1353">
        <v>94</v>
      </c>
      <c r="F470" s="1353"/>
      <c r="G470" s="1353" t="s">
        <v>6282</v>
      </c>
      <c r="H470" s="3259"/>
      <c r="K470" s="3337"/>
    </row>
    <row r="471" spans="1:11">
      <c r="A471" s="3338">
        <v>43632</v>
      </c>
      <c r="B471" s="1353">
        <v>10</v>
      </c>
      <c r="C471" s="1353">
        <v>17</v>
      </c>
      <c r="D471" s="1353" t="s">
        <v>6244</v>
      </c>
      <c r="E471" s="1353">
        <v>152</v>
      </c>
      <c r="F471" s="1353"/>
      <c r="G471" s="1353" t="s">
        <v>6283</v>
      </c>
      <c r="H471" s="3259"/>
      <c r="K471" s="3337"/>
    </row>
    <row r="472" spans="1:11">
      <c r="A472" s="3338">
        <v>43635</v>
      </c>
      <c r="B472" s="1353">
        <v>10</v>
      </c>
      <c r="C472" s="1353">
        <v>17</v>
      </c>
      <c r="D472" s="1353" t="s">
        <v>6262</v>
      </c>
      <c r="E472" s="1353">
        <v>132</v>
      </c>
      <c r="F472" s="1353"/>
      <c r="G472" s="1353" t="s">
        <v>6284</v>
      </c>
      <c r="H472" s="3259"/>
      <c r="K472" s="3337"/>
    </row>
    <row r="473" spans="1:11">
      <c r="A473" s="3338">
        <v>43638</v>
      </c>
      <c r="B473" s="1353">
        <v>10</v>
      </c>
      <c r="C473" s="1353">
        <v>17</v>
      </c>
      <c r="D473" s="1353" t="s">
        <v>6262</v>
      </c>
      <c r="E473" s="1353">
        <v>112</v>
      </c>
      <c r="F473" s="1353"/>
      <c r="G473" s="1353" t="s">
        <v>6285</v>
      </c>
      <c r="H473" s="3259"/>
      <c r="K473" s="3337"/>
    </row>
    <row r="474" spans="1:11">
      <c r="A474" s="3338">
        <v>43642</v>
      </c>
      <c r="B474" s="1353">
        <v>10</v>
      </c>
      <c r="C474" s="1353">
        <v>17</v>
      </c>
      <c r="D474" s="1353" t="s">
        <v>6278</v>
      </c>
      <c r="E474" s="1353">
        <v>199</v>
      </c>
      <c r="F474" s="1353"/>
      <c r="G474" s="1353"/>
      <c r="H474" s="3259"/>
      <c r="K474" s="3337"/>
    </row>
    <row r="475" spans="1:11">
      <c r="A475" s="3338">
        <v>43639</v>
      </c>
      <c r="B475" s="1353">
        <v>10</v>
      </c>
      <c r="C475" s="1353">
        <v>17</v>
      </c>
      <c r="D475" s="1353" t="s">
        <v>6272</v>
      </c>
      <c r="E475" s="1353">
        <v>98</v>
      </c>
      <c r="F475" s="1353"/>
      <c r="G475" s="1353"/>
      <c r="H475" s="3259"/>
      <c r="K475" s="3337"/>
    </row>
    <row r="476" spans="1:11">
      <c r="A476" s="3338">
        <v>43645</v>
      </c>
      <c r="B476" s="1353">
        <v>10</v>
      </c>
      <c r="C476" s="1353">
        <v>17</v>
      </c>
      <c r="D476" s="1353" t="s">
        <v>6244</v>
      </c>
      <c r="E476" s="1353">
        <v>57</v>
      </c>
      <c r="F476" s="1353"/>
      <c r="G476" s="1353"/>
      <c r="H476" s="3259"/>
      <c r="K476" s="3337"/>
    </row>
    <row r="477" spans="1:11">
      <c r="A477" s="3338">
        <v>43646</v>
      </c>
      <c r="B477" s="1353">
        <v>10</v>
      </c>
      <c r="C477" s="1353">
        <v>17</v>
      </c>
      <c r="D477" s="1353" t="s">
        <v>6274</v>
      </c>
      <c r="E477" s="1353">
        <v>86</v>
      </c>
      <c r="F477" s="1353"/>
      <c r="G477" s="1353" t="s">
        <v>6268</v>
      </c>
      <c r="H477" s="3259"/>
      <c r="K477" s="3337"/>
    </row>
    <row r="478" spans="1:11">
      <c r="A478" s="3443"/>
      <c r="B478" s="3383"/>
      <c r="C478" s="3383"/>
      <c r="D478" s="3383" t="s">
        <v>6132</v>
      </c>
      <c r="E478" s="3383">
        <f>SUM(E464:E477)</f>
        <v>1811</v>
      </c>
      <c r="F478" s="3383"/>
      <c r="G478" s="3383"/>
      <c r="H478" s="3388"/>
      <c r="K478" s="3337"/>
    </row>
    <row r="479" spans="1:11">
      <c r="A479" s="3338">
        <v>43648</v>
      </c>
      <c r="B479" s="1353" t="s">
        <v>6120</v>
      </c>
      <c r="C479" s="1353">
        <v>17</v>
      </c>
      <c r="D479" s="1353" t="s">
        <v>6278</v>
      </c>
      <c r="E479" s="1353">
        <v>77</v>
      </c>
      <c r="F479" s="1353"/>
      <c r="G479" s="1353"/>
      <c r="H479" s="3259"/>
      <c r="K479" s="3337"/>
    </row>
    <row r="480" spans="1:11">
      <c r="A480" s="3338">
        <v>43649</v>
      </c>
      <c r="B480" s="1353">
        <v>10</v>
      </c>
      <c r="C480" s="1353">
        <v>17</v>
      </c>
      <c r="D480" s="1353" t="s">
        <v>6262</v>
      </c>
      <c r="E480" s="1353">
        <v>119</v>
      </c>
      <c r="F480" s="1353"/>
      <c r="G480" s="1353" t="s">
        <v>6286</v>
      </c>
      <c r="H480" s="3259"/>
      <c r="K480" s="3337"/>
    </row>
    <row r="481" spans="1:11">
      <c r="A481" s="3338">
        <v>43650</v>
      </c>
      <c r="B481" s="1353" t="s">
        <v>6120</v>
      </c>
      <c r="C481" s="1353">
        <v>17</v>
      </c>
      <c r="D481" s="1353" t="s">
        <v>6280</v>
      </c>
      <c r="E481" s="1353">
        <v>70</v>
      </c>
      <c r="F481" s="1353"/>
      <c r="G481" s="1353"/>
      <c r="H481" s="3259"/>
      <c r="K481" s="3337"/>
    </row>
    <row r="482" spans="1:11">
      <c r="A482" s="3338">
        <v>43651</v>
      </c>
      <c r="B482" s="1353">
        <v>10</v>
      </c>
      <c r="C482" s="1353">
        <v>17</v>
      </c>
      <c r="D482" s="1353" t="s">
        <v>6244</v>
      </c>
      <c r="E482" s="1353">
        <v>77</v>
      </c>
      <c r="F482" s="1353"/>
      <c r="G482" s="1353" t="s">
        <v>6287</v>
      </c>
      <c r="H482" s="3259"/>
      <c r="K482" s="3337"/>
    </row>
    <row r="483" spans="1:11">
      <c r="A483" s="3338">
        <v>43652</v>
      </c>
      <c r="B483" s="1353" t="s">
        <v>6120</v>
      </c>
      <c r="C483" s="1353">
        <v>17</v>
      </c>
      <c r="D483" s="1353" t="s">
        <v>6288</v>
      </c>
      <c r="E483" s="1353">
        <v>63</v>
      </c>
      <c r="F483" s="1353"/>
      <c r="G483" s="1353"/>
      <c r="H483" s="3259"/>
      <c r="K483" s="3337"/>
    </row>
    <row r="484" spans="1:11">
      <c r="A484" s="3338">
        <v>43653</v>
      </c>
      <c r="B484" s="1353" t="s">
        <v>6120</v>
      </c>
      <c r="C484" s="1353">
        <v>17</v>
      </c>
      <c r="D484" s="1353" t="s">
        <v>6289</v>
      </c>
      <c r="E484" s="1353">
        <v>95</v>
      </c>
      <c r="F484" s="1353"/>
      <c r="G484" s="1353" t="s">
        <v>6275</v>
      </c>
      <c r="H484" s="3259"/>
      <c r="K484" s="3337"/>
    </row>
    <row r="485" spans="1:11">
      <c r="A485" s="3338">
        <v>43654</v>
      </c>
      <c r="B485" s="1353" t="s">
        <v>6120</v>
      </c>
      <c r="C485" s="1353">
        <v>17</v>
      </c>
      <c r="D485" s="1353" t="s">
        <v>6280</v>
      </c>
      <c r="E485" s="1353">
        <v>80</v>
      </c>
      <c r="F485" s="1353"/>
      <c r="G485" s="1353"/>
      <c r="H485" s="3259"/>
      <c r="K485" s="3337"/>
    </row>
    <row r="486" spans="1:11">
      <c r="A486" s="3338">
        <v>43655</v>
      </c>
      <c r="B486" s="1353">
        <v>10</v>
      </c>
      <c r="C486" s="1353">
        <v>17</v>
      </c>
      <c r="D486" s="1353" t="s">
        <v>6290</v>
      </c>
      <c r="E486" s="1353">
        <v>91</v>
      </c>
      <c r="F486" s="1353"/>
      <c r="G486" s="1353"/>
      <c r="H486" s="3259"/>
      <c r="K486" s="3337"/>
    </row>
    <row r="487" spans="1:11">
      <c r="A487" s="3338">
        <v>43656</v>
      </c>
      <c r="B487" s="1353">
        <v>10</v>
      </c>
      <c r="C487" s="1353">
        <v>17</v>
      </c>
      <c r="D487" s="1353" t="s">
        <v>6262</v>
      </c>
      <c r="E487" s="1353">
        <v>123</v>
      </c>
      <c r="F487" s="1353"/>
      <c r="G487" s="1353" t="s">
        <v>6291</v>
      </c>
      <c r="H487" s="3259"/>
      <c r="K487" s="3337"/>
    </row>
    <row r="488" spans="1:11">
      <c r="A488" s="3338">
        <v>43657</v>
      </c>
      <c r="B488" s="1353" t="s">
        <v>6120</v>
      </c>
      <c r="C488" s="1353">
        <v>17</v>
      </c>
      <c r="D488" s="1353" t="s">
        <v>6278</v>
      </c>
      <c r="E488" s="1353">
        <v>111</v>
      </c>
      <c r="F488" s="1353"/>
      <c r="G488" s="1353"/>
      <c r="H488" s="3259"/>
      <c r="K488" s="3337"/>
    </row>
    <row r="489" spans="1:11">
      <c r="A489" s="3338">
        <v>43658</v>
      </c>
      <c r="B489" s="1353">
        <v>10</v>
      </c>
      <c r="C489" s="1353">
        <v>17</v>
      </c>
      <c r="D489" s="1353" t="s">
        <v>6280</v>
      </c>
      <c r="E489" s="1353">
        <v>80</v>
      </c>
      <c r="F489" s="1353">
        <v>198.1</v>
      </c>
      <c r="G489" s="1353" t="s">
        <v>6292</v>
      </c>
      <c r="H489" s="3259"/>
      <c r="K489" s="3337"/>
    </row>
    <row r="490" spans="1:11">
      <c r="A490" s="3338">
        <v>43659</v>
      </c>
      <c r="B490" s="1353">
        <v>10</v>
      </c>
      <c r="C490" s="1353">
        <v>17</v>
      </c>
      <c r="D490" s="1353" t="s">
        <v>6244</v>
      </c>
      <c r="E490" s="1353">
        <v>127</v>
      </c>
      <c r="F490" s="1353"/>
      <c r="G490" s="1353" t="s">
        <v>6293</v>
      </c>
      <c r="H490" s="3259"/>
      <c r="K490" s="3337"/>
    </row>
    <row r="491" spans="1:11">
      <c r="A491" s="3338">
        <v>43660</v>
      </c>
      <c r="B491" s="1353">
        <v>13</v>
      </c>
      <c r="C491" s="1353">
        <v>17</v>
      </c>
      <c r="D491" s="1353" t="s">
        <v>6274</v>
      </c>
      <c r="E491" s="1353">
        <v>102</v>
      </c>
      <c r="F491" s="1353"/>
      <c r="G491" s="1353" t="s">
        <v>6294</v>
      </c>
      <c r="H491" s="3259"/>
      <c r="K491" s="3337"/>
    </row>
    <row r="492" spans="1:11">
      <c r="A492" s="3338">
        <v>43661</v>
      </c>
      <c r="B492" s="1353" t="s">
        <v>6120</v>
      </c>
      <c r="C492" s="1353">
        <v>17</v>
      </c>
      <c r="D492" s="1353" t="s">
        <v>6280</v>
      </c>
      <c r="E492" s="1353">
        <v>135</v>
      </c>
      <c r="F492" s="1353"/>
      <c r="G492" s="1353"/>
      <c r="H492" s="3259"/>
      <c r="K492" s="3337"/>
    </row>
    <row r="493" spans="1:11">
      <c r="A493" s="3338">
        <v>43662</v>
      </c>
      <c r="B493" s="1353" t="s">
        <v>6120</v>
      </c>
      <c r="C493" s="1353">
        <v>17</v>
      </c>
      <c r="D493" s="1353" t="s">
        <v>6288</v>
      </c>
      <c r="E493" s="1353">
        <v>93</v>
      </c>
      <c r="F493" s="1353"/>
      <c r="G493" s="1353"/>
      <c r="H493" s="3259"/>
      <c r="K493" s="3337"/>
    </row>
    <row r="494" spans="1:11">
      <c r="A494" s="3338">
        <v>43663</v>
      </c>
      <c r="B494" s="1353" t="s">
        <v>6120</v>
      </c>
      <c r="C494" s="1353">
        <v>17</v>
      </c>
      <c r="D494" s="1353" t="s">
        <v>6262</v>
      </c>
      <c r="E494" s="1353">
        <v>118</v>
      </c>
      <c r="F494" s="1353"/>
      <c r="G494" s="1353" t="s">
        <v>6295</v>
      </c>
      <c r="H494" s="3259"/>
      <c r="K494" s="3337"/>
    </row>
    <row r="495" spans="1:11">
      <c r="A495" s="3338">
        <v>43664</v>
      </c>
      <c r="B495" s="1353" t="s">
        <v>6120</v>
      </c>
      <c r="C495" s="1353">
        <v>17</v>
      </c>
      <c r="D495" s="1353" t="s">
        <v>6290</v>
      </c>
      <c r="E495" s="1353">
        <v>174</v>
      </c>
      <c r="F495" s="1353"/>
      <c r="G495" s="1353"/>
      <c r="H495" s="3259"/>
      <c r="K495" s="3337"/>
    </row>
    <row r="496" spans="1:11">
      <c r="A496" s="3338">
        <v>43665</v>
      </c>
      <c r="B496" s="1353" t="s">
        <v>6120</v>
      </c>
      <c r="C496" s="1353">
        <v>17</v>
      </c>
      <c r="D496" s="1353" t="s">
        <v>6278</v>
      </c>
      <c r="E496" s="1353">
        <v>143</v>
      </c>
      <c r="F496" s="1353"/>
      <c r="G496" s="1353" t="s">
        <v>6296</v>
      </c>
      <c r="H496" s="3259"/>
      <c r="K496" s="3337"/>
    </row>
    <row r="497" spans="1:11">
      <c r="A497" s="3338">
        <v>43666</v>
      </c>
      <c r="B497" s="1353" t="s">
        <v>6120</v>
      </c>
      <c r="C497" s="1353">
        <v>17</v>
      </c>
      <c r="D497" s="1353" t="s">
        <v>6274</v>
      </c>
      <c r="E497" s="1353">
        <v>109</v>
      </c>
      <c r="F497" s="1353"/>
      <c r="G497" s="1353"/>
      <c r="H497" s="3259"/>
      <c r="K497" s="3337"/>
    </row>
    <row r="498" spans="1:11">
      <c r="A498" s="3338">
        <v>43667</v>
      </c>
      <c r="B498" s="1353" t="s">
        <v>6120</v>
      </c>
      <c r="C498" s="1353">
        <v>17</v>
      </c>
      <c r="D498" s="1353" t="s">
        <v>6280</v>
      </c>
      <c r="E498" s="1353">
        <v>153</v>
      </c>
      <c r="F498" s="1353"/>
      <c r="G498" s="1353"/>
      <c r="H498" s="3259"/>
      <c r="K498" s="3337"/>
    </row>
    <row r="499" spans="1:11">
      <c r="A499" s="3338">
        <v>43668</v>
      </c>
      <c r="B499" s="1353" t="s">
        <v>6120</v>
      </c>
      <c r="C499" s="1353">
        <v>17</v>
      </c>
      <c r="D499" s="1353" t="s">
        <v>6244</v>
      </c>
      <c r="E499" s="1353">
        <v>82</v>
      </c>
      <c r="F499" s="1353"/>
      <c r="G499" s="1353"/>
      <c r="H499" s="3259"/>
      <c r="K499" s="3337"/>
    </row>
    <row r="500" spans="1:11">
      <c r="A500" s="3338">
        <v>43669</v>
      </c>
      <c r="B500" s="1353" t="s">
        <v>6120</v>
      </c>
      <c r="C500" s="1353">
        <v>17</v>
      </c>
      <c r="D500" s="1353" t="s">
        <v>6288</v>
      </c>
      <c r="E500" s="1353">
        <v>43</v>
      </c>
      <c r="F500" s="1353"/>
      <c r="G500" s="1353" t="s">
        <v>6297</v>
      </c>
      <c r="H500" s="3259"/>
      <c r="K500" s="3337"/>
    </row>
    <row r="501" spans="1:11">
      <c r="A501" s="3338">
        <v>43670</v>
      </c>
      <c r="B501" s="1353" t="s">
        <v>6120</v>
      </c>
      <c r="C501" s="1353">
        <v>17</v>
      </c>
      <c r="D501" s="1353" t="s">
        <v>6262</v>
      </c>
      <c r="E501" s="1353">
        <v>121</v>
      </c>
      <c r="F501" s="1353"/>
      <c r="G501" s="1353" t="s">
        <v>6298</v>
      </c>
      <c r="H501" s="3259"/>
      <c r="K501" s="3337"/>
    </row>
    <row r="502" spans="1:11">
      <c r="A502" s="3338">
        <v>43671</v>
      </c>
      <c r="B502" s="1353">
        <v>10</v>
      </c>
      <c r="C502" s="1353">
        <v>17</v>
      </c>
      <c r="D502" s="1353" t="s">
        <v>6299</v>
      </c>
      <c r="E502" s="1353">
        <v>73</v>
      </c>
      <c r="F502" s="1353"/>
      <c r="G502" s="1353"/>
      <c r="H502" s="3259"/>
      <c r="K502" s="3337"/>
    </row>
    <row r="503" spans="1:11">
      <c r="A503" s="3338">
        <v>43672</v>
      </c>
      <c r="B503" s="1353">
        <v>10</v>
      </c>
      <c r="C503" s="1353">
        <v>17</v>
      </c>
      <c r="D503" s="1353" t="s">
        <v>6290</v>
      </c>
      <c r="E503" s="1353">
        <v>216</v>
      </c>
      <c r="F503" s="1353"/>
      <c r="G503" s="1353"/>
      <c r="H503" s="3259"/>
      <c r="K503" s="3337"/>
    </row>
    <row r="504" spans="1:11">
      <c r="A504" s="3338" t="s">
        <v>6300</v>
      </c>
      <c r="B504" s="1353">
        <v>13</v>
      </c>
      <c r="C504" s="1353">
        <v>17</v>
      </c>
      <c r="D504" s="1353" t="s">
        <v>6244</v>
      </c>
      <c r="E504" s="1353">
        <v>98</v>
      </c>
      <c r="F504" s="1353"/>
      <c r="G504" s="1353" t="s">
        <v>6301</v>
      </c>
      <c r="H504" s="3259"/>
      <c r="K504" s="3337"/>
    </row>
    <row r="505" spans="1:11">
      <c r="A505" s="3338">
        <v>43674</v>
      </c>
      <c r="B505" s="1353" t="s">
        <v>6120</v>
      </c>
      <c r="C505" s="1353">
        <v>17</v>
      </c>
      <c r="D505" s="1353" t="s">
        <v>6278</v>
      </c>
      <c r="E505" s="1353">
        <v>355</v>
      </c>
      <c r="F505" s="1353">
        <v>247.42</v>
      </c>
      <c r="G505" s="1353" t="s">
        <v>6302</v>
      </c>
      <c r="H505" s="3259"/>
      <c r="K505" s="3337"/>
    </row>
    <row r="506" spans="1:11">
      <c r="A506" s="3338">
        <v>43675</v>
      </c>
      <c r="B506" s="1353" t="s">
        <v>6120</v>
      </c>
      <c r="C506" s="1353">
        <v>17</v>
      </c>
      <c r="D506" s="1353" t="s">
        <v>6280</v>
      </c>
      <c r="E506" s="1353">
        <v>105</v>
      </c>
      <c r="F506" s="1353">
        <v>51.14</v>
      </c>
      <c r="G506" s="1353" t="s">
        <v>6303</v>
      </c>
      <c r="H506" s="3259"/>
      <c r="K506" s="3337"/>
    </row>
    <row r="507" spans="1:11">
      <c r="A507" s="3338">
        <v>43676</v>
      </c>
      <c r="B507" s="1353" t="s">
        <v>6120</v>
      </c>
      <c r="C507" s="1353">
        <v>17</v>
      </c>
      <c r="D507" s="1353" t="s">
        <v>6280</v>
      </c>
      <c r="E507" s="1353">
        <v>149</v>
      </c>
      <c r="F507" s="1353">
        <v>336</v>
      </c>
      <c r="G507" s="1353" t="s">
        <v>6304</v>
      </c>
      <c r="H507" s="3259"/>
      <c r="K507" s="3337"/>
    </row>
    <row r="508" spans="1:11">
      <c r="A508" s="3338">
        <v>43677</v>
      </c>
      <c r="B508" s="1353" t="s">
        <v>6120</v>
      </c>
      <c r="C508" s="1353">
        <v>17</v>
      </c>
      <c r="D508" s="1353" t="s">
        <v>6262</v>
      </c>
      <c r="E508" s="1353">
        <v>175</v>
      </c>
      <c r="F508" s="1353"/>
      <c r="G508" s="1353"/>
      <c r="H508" s="3259"/>
      <c r="K508" s="3337"/>
    </row>
    <row r="509" spans="1:11">
      <c r="A509" s="3443"/>
      <c r="B509" s="3383"/>
      <c r="C509" s="3383"/>
      <c r="D509" s="3383" t="s">
        <v>6155</v>
      </c>
      <c r="E509" s="3383">
        <f>SUM(E479:E508)</f>
        <v>3557</v>
      </c>
      <c r="F509" s="3383"/>
      <c r="G509" s="3383"/>
      <c r="H509" s="3388"/>
      <c r="K509" s="3337"/>
    </row>
    <row r="510" spans="1:11">
      <c r="A510" s="3338">
        <v>43678</v>
      </c>
      <c r="B510" s="1353">
        <v>10</v>
      </c>
      <c r="C510" s="1353">
        <v>17</v>
      </c>
      <c r="D510" s="1353" t="s">
        <v>6244</v>
      </c>
      <c r="E510" s="1353">
        <v>103</v>
      </c>
      <c r="F510" s="1353"/>
      <c r="G510" s="1353" t="s">
        <v>6305</v>
      </c>
      <c r="H510" s="3259"/>
      <c r="K510" s="3337"/>
    </row>
    <row r="511" spans="1:11">
      <c r="A511" s="3338">
        <v>43679</v>
      </c>
      <c r="B511" s="1353">
        <v>10</v>
      </c>
      <c r="C511" s="1353">
        <v>17</v>
      </c>
      <c r="D511" s="1353" t="s">
        <v>6280</v>
      </c>
      <c r="E511" s="1353">
        <v>50</v>
      </c>
      <c r="F511" s="1353"/>
      <c r="G511" s="1353" t="s">
        <v>6306</v>
      </c>
      <c r="H511" s="3259"/>
      <c r="K511" s="3337"/>
    </row>
    <row r="512" spans="1:11">
      <c r="A512" s="3338">
        <v>43683</v>
      </c>
      <c r="B512" s="1353">
        <v>10</v>
      </c>
      <c r="C512" s="1353">
        <v>17</v>
      </c>
      <c r="D512" s="1353" t="s">
        <v>6299</v>
      </c>
      <c r="E512" s="1353">
        <v>211</v>
      </c>
      <c r="F512" s="1353"/>
      <c r="G512" s="1353" t="s">
        <v>6307</v>
      </c>
      <c r="H512" s="3259"/>
      <c r="K512" s="3337"/>
    </row>
    <row r="513" spans="1:11">
      <c r="A513" s="3338">
        <v>43684</v>
      </c>
      <c r="B513" s="1353">
        <v>10</v>
      </c>
      <c r="C513" s="1353">
        <v>17</v>
      </c>
      <c r="D513" s="1353" t="s">
        <v>6262</v>
      </c>
      <c r="E513" s="1353">
        <v>274</v>
      </c>
      <c r="F513" s="1353"/>
      <c r="G513" s="1353" t="s">
        <v>6308</v>
      </c>
      <c r="H513" s="3259"/>
      <c r="K513" s="3337"/>
    </row>
    <row r="514" spans="1:11">
      <c r="A514" s="3338">
        <v>43685</v>
      </c>
      <c r="B514" s="1353">
        <v>10</v>
      </c>
      <c r="C514" s="1353">
        <v>17</v>
      </c>
      <c r="D514" s="1353" t="s">
        <v>6244</v>
      </c>
      <c r="E514" s="1353">
        <v>109</v>
      </c>
      <c r="F514" s="1353"/>
      <c r="G514" s="1353" t="s">
        <v>6305</v>
      </c>
      <c r="H514" s="3259"/>
      <c r="K514" s="3337"/>
    </row>
    <row r="515" spans="1:11">
      <c r="A515" s="3338">
        <v>43687</v>
      </c>
      <c r="B515" s="1353">
        <v>10</v>
      </c>
      <c r="C515" s="1353">
        <v>17</v>
      </c>
      <c r="D515" s="1353" t="s">
        <v>6278</v>
      </c>
      <c r="E515" s="1353">
        <v>197</v>
      </c>
      <c r="F515" s="1353"/>
      <c r="G515" s="1353" t="s">
        <v>6309</v>
      </c>
      <c r="H515" s="3259"/>
      <c r="K515" s="3337"/>
    </row>
    <row r="516" spans="1:11">
      <c r="A516" s="3338">
        <v>43688</v>
      </c>
      <c r="B516" s="1353">
        <v>10</v>
      </c>
      <c r="C516" s="1353">
        <v>17</v>
      </c>
      <c r="D516" s="1353" t="s">
        <v>6289</v>
      </c>
      <c r="E516" s="1353">
        <v>125</v>
      </c>
      <c r="F516" s="1353"/>
      <c r="G516" s="1353" t="s">
        <v>6310</v>
      </c>
      <c r="H516" s="3259"/>
      <c r="K516" s="3337"/>
    </row>
    <row r="517" spans="1:11">
      <c r="A517" s="3338">
        <v>43689</v>
      </c>
      <c r="B517" s="1353">
        <v>10</v>
      </c>
      <c r="C517" s="1353">
        <v>17</v>
      </c>
      <c r="D517" s="1353" t="s">
        <v>6244</v>
      </c>
      <c r="E517" s="1353">
        <v>105</v>
      </c>
      <c r="F517" s="1353"/>
      <c r="G517" s="1353"/>
      <c r="H517" s="3259"/>
      <c r="K517" s="3337"/>
    </row>
    <row r="518" spans="1:11">
      <c r="A518" s="3338">
        <v>43690</v>
      </c>
      <c r="B518" s="1353">
        <v>10</v>
      </c>
      <c r="C518" s="1353">
        <v>17</v>
      </c>
      <c r="D518" s="1353" t="s">
        <v>6299</v>
      </c>
      <c r="E518" s="1353">
        <v>170</v>
      </c>
      <c r="F518" s="1353"/>
      <c r="G518" s="1353"/>
      <c r="H518" s="3259"/>
      <c r="K518" s="3337"/>
    </row>
    <row r="519" spans="1:11">
      <c r="A519" s="3338">
        <v>43691</v>
      </c>
      <c r="B519" s="1353">
        <v>10</v>
      </c>
      <c r="C519" s="1353">
        <v>17</v>
      </c>
      <c r="D519" s="1353" t="s">
        <v>6262</v>
      </c>
      <c r="E519" s="1353">
        <v>182</v>
      </c>
      <c r="F519" s="1353"/>
      <c r="G519" s="1353" t="s">
        <v>6311</v>
      </c>
      <c r="H519" s="3259"/>
      <c r="K519" s="3337"/>
    </row>
    <row r="520" spans="1:11">
      <c r="A520" s="3338">
        <v>43692</v>
      </c>
      <c r="B520" s="1353">
        <v>10</v>
      </c>
      <c r="C520" s="1353">
        <v>17</v>
      </c>
      <c r="D520" s="1353" t="s">
        <v>6290</v>
      </c>
      <c r="E520" s="1353">
        <v>234</v>
      </c>
      <c r="F520" s="1353"/>
      <c r="G520" s="1353"/>
      <c r="H520" s="3259"/>
      <c r="K520" s="3337"/>
    </row>
    <row r="521" spans="1:11">
      <c r="A521" s="3338">
        <v>43693</v>
      </c>
      <c r="B521" s="1353">
        <v>10</v>
      </c>
      <c r="C521" s="1353">
        <v>17</v>
      </c>
      <c r="D521" s="1353" t="s">
        <v>6278</v>
      </c>
      <c r="E521" s="1353">
        <v>225</v>
      </c>
      <c r="F521" s="1353"/>
      <c r="G521" s="1353" t="s">
        <v>6312</v>
      </c>
      <c r="H521" s="3259"/>
      <c r="K521" s="3337"/>
    </row>
    <row r="522" spans="1:11">
      <c r="A522" s="3338">
        <v>43694</v>
      </c>
      <c r="B522" s="1353">
        <v>10</v>
      </c>
      <c r="C522" s="1353">
        <v>17</v>
      </c>
      <c r="D522" s="1353" t="s">
        <v>6274</v>
      </c>
      <c r="E522" s="1353">
        <v>185</v>
      </c>
      <c r="F522" s="1353"/>
      <c r="G522" s="1353" t="s">
        <v>6313</v>
      </c>
      <c r="H522" s="3259"/>
      <c r="K522" s="3337"/>
    </row>
    <row r="523" spans="1:11">
      <c r="A523" s="3338">
        <v>43695</v>
      </c>
      <c r="B523" s="1353" t="s">
        <v>6314</v>
      </c>
      <c r="C523" s="1353">
        <v>17</v>
      </c>
      <c r="D523" s="1353" t="s">
        <v>6290</v>
      </c>
      <c r="E523" s="1353">
        <v>177</v>
      </c>
      <c r="F523" s="1353"/>
      <c r="G523" s="1353" t="s">
        <v>6315</v>
      </c>
      <c r="H523" s="3259"/>
      <c r="K523" s="3337"/>
    </row>
    <row r="524" spans="1:11">
      <c r="A524" s="3338">
        <v>43696</v>
      </c>
      <c r="B524" s="1353">
        <v>10</v>
      </c>
      <c r="C524" s="1353">
        <v>17</v>
      </c>
      <c r="D524" s="1353" t="s">
        <v>6299</v>
      </c>
      <c r="E524" s="1353">
        <v>166</v>
      </c>
      <c r="F524" s="1353"/>
      <c r="G524" s="1353"/>
      <c r="H524" s="3259"/>
      <c r="K524" s="3337"/>
    </row>
    <row r="525" spans="1:11">
      <c r="A525" s="3338">
        <v>43697</v>
      </c>
      <c r="B525" s="1353">
        <v>10</v>
      </c>
      <c r="C525" s="1353">
        <v>17</v>
      </c>
      <c r="D525" s="1353" t="s">
        <v>6278</v>
      </c>
      <c r="E525" s="1353">
        <v>156</v>
      </c>
      <c r="F525" s="1353"/>
      <c r="G525" s="1353" t="s">
        <v>6316</v>
      </c>
      <c r="H525" s="3259"/>
      <c r="K525" s="3337"/>
    </row>
    <row r="526" spans="1:11">
      <c r="A526" s="3338">
        <v>43698</v>
      </c>
      <c r="B526" s="1353">
        <v>10</v>
      </c>
      <c r="C526" s="1353">
        <v>17</v>
      </c>
      <c r="D526" s="1353" t="s">
        <v>6262</v>
      </c>
      <c r="E526" s="1353">
        <v>177</v>
      </c>
      <c r="F526" s="1353"/>
      <c r="G526" s="1353" t="s">
        <v>6317</v>
      </c>
      <c r="H526" s="3259"/>
      <c r="K526" s="3337"/>
    </row>
    <row r="527" spans="1:11">
      <c r="A527" s="3338">
        <v>43699</v>
      </c>
      <c r="B527" s="1353">
        <v>10</v>
      </c>
      <c r="C527" s="1353">
        <v>17</v>
      </c>
      <c r="D527" s="1353" t="s">
        <v>6318</v>
      </c>
      <c r="E527" s="1353">
        <v>107</v>
      </c>
      <c r="F527" s="1353"/>
      <c r="G527" s="1353"/>
      <c r="H527" s="3259"/>
      <c r="K527" s="3337"/>
    </row>
    <row r="528" spans="1:11">
      <c r="A528" s="3338">
        <v>43700</v>
      </c>
      <c r="B528" s="1353">
        <v>10</v>
      </c>
      <c r="C528" s="1353">
        <v>17</v>
      </c>
      <c r="D528" s="1353" t="s">
        <v>6244</v>
      </c>
      <c r="E528" s="1353">
        <v>147</v>
      </c>
      <c r="F528" s="1353"/>
      <c r="G528" s="1353" t="s">
        <v>6305</v>
      </c>
      <c r="H528" s="3259"/>
      <c r="K528" s="3337"/>
    </row>
    <row r="529" spans="1:11">
      <c r="A529" s="3338">
        <v>43701</v>
      </c>
      <c r="B529" s="1353">
        <v>10</v>
      </c>
      <c r="C529" s="1353">
        <v>17</v>
      </c>
      <c r="D529" s="1353" t="s">
        <v>6280</v>
      </c>
      <c r="E529" s="1353">
        <v>118</v>
      </c>
      <c r="F529" s="1353"/>
      <c r="G529" s="1353" t="s">
        <v>6319</v>
      </c>
      <c r="H529" s="3259"/>
      <c r="K529" s="3337"/>
    </row>
    <row r="530" spans="1:11">
      <c r="A530" s="3338">
        <v>43702</v>
      </c>
      <c r="B530" s="1353">
        <v>10</v>
      </c>
      <c r="C530" s="1353">
        <v>17</v>
      </c>
      <c r="D530" s="1353" t="s">
        <v>6278</v>
      </c>
      <c r="E530" s="1353">
        <v>155</v>
      </c>
      <c r="F530" s="1353">
        <v>159.63999999999999</v>
      </c>
      <c r="G530" s="1353" t="s">
        <v>6320</v>
      </c>
      <c r="H530" s="3259"/>
      <c r="K530" s="3337"/>
    </row>
    <row r="531" spans="1:11">
      <c r="A531" s="3338">
        <v>43703</v>
      </c>
      <c r="B531" s="1353">
        <v>10</v>
      </c>
      <c r="C531" s="1353">
        <v>17</v>
      </c>
      <c r="D531" s="1353" t="s">
        <v>6299</v>
      </c>
      <c r="E531" s="1353">
        <v>141</v>
      </c>
      <c r="F531" s="1353">
        <v>304</v>
      </c>
      <c r="G531" s="1353" t="s">
        <v>6321</v>
      </c>
      <c r="H531" s="3259"/>
      <c r="K531" s="3337"/>
    </row>
    <row r="532" spans="1:11">
      <c r="A532" s="3338">
        <v>43704</v>
      </c>
      <c r="B532" s="1353">
        <v>10</v>
      </c>
      <c r="C532" s="1353">
        <v>17</v>
      </c>
      <c r="D532" s="1353" t="s">
        <v>6290</v>
      </c>
      <c r="E532" s="1353">
        <v>77</v>
      </c>
      <c r="F532" s="1353"/>
      <c r="G532" s="1353" t="s">
        <v>6322</v>
      </c>
      <c r="H532" s="3259"/>
      <c r="K532" s="3337"/>
    </row>
    <row r="533" spans="1:11">
      <c r="A533" s="3338">
        <v>43705</v>
      </c>
      <c r="B533" s="1353">
        <v>10</v>
      </c>
      <c r="C533" s="1353">
        <v>17</v>
      </c>
      <c r="D533" s="1353" t="s">
        <v>6262</v>
      </c>
      <c r="E533" s="1353">
        <v>173</v>
      </c>
      <c r="F533" s="1353"/>
      <c r="G533" s="1353" t="s">
        <v>6323</v>
      </c>
      <c r="H533" s="3259"/>
      <c r="K533" s="3337"/>
    </row>
    <row r="534" spans="1:11">
      <c r="A534" s="3338">
        <v>43706</v>
      </c>
      <c r="B534" s="1353">
        <v>10</v>
      </c>
      <c r="C534" s="1353">
        <v>17</v>
      </c>
      <c r="D534" s="1353" t="s">
        <v>6274</v>
      </c>
      <c r="E534" s="1353">
        <v>97</v>
      </c>
      <c r="F534" s="1353"/>
      <c r="G534" s="1353" t="s">
        <v>6268</v>
      </c>
      <c r="H534" s="3259"/>
      <c r="K534" s="3337"/>
    </row>
    <row r="535" spans="1:11">
      <c r="A535" s="3338">
        <v>43707</v>
      </c>
      <c r="B535" s="1353">
        <v>10</v>
      </c>
      <c r="C535" s="1353">
        <v>17</v>
      </c>
      <c r="D535" s="1353" t="s">
        <v>6272</v>
      </c>
      <c r="E535" s="1353">
        <v>67</v>
      </c>
      <c r="F535" s="1353"/>
      <c r="G535" s="1353" t="s">
        <v>6309</v>
      </c>
      <c r="H535" s="3259"/>
      <c r="K535" s="3337"/>
    </row>
    <row r="536" spans="1:11">
      <c r="A536" s="3338">
        <v>43708</v>
      </c>
      <c r="B536" s="1353">
        <v>10</v>
      </c>
      <c r="C536" s="1353">
        <v>17</v>
      </c>
      <c r="D536" s="1353" t="s">
        <v>6244</v>
      </c>
      <c r="E536" s="1353">
        <v>45</v>
      </c>
      <c r="F536" s="1353"/>
      <c r="G536" s="1353" t="s">
        <v>6324</v>
      </c>
      <c r="H536" s="3259"/>
      <c r="K536" s="3337"/>
    </row>
    <row r="537" spans="1:11">
      <c r="A537" s="3443"/>
      <c r="B537" s="3383"/>
      <c r="C537" s="3383"/>
      <c r="D537" s="3383" t="s">
        <v>6325</v>
      </c>
      <c r="E537" s="3383">
        <f>SUM(E510:E536)</f>
        <v>3973</v>
      </c>
      <c r="F537" s="3383"/>
      <c r="G537" s="3383"/>
      <c r="H537" s="3388"/>
      <c r="K537" s="3337"/>
    </row>
    <row r="538" spans="1:11">
      <c r="A538" s="3338">
        <v>43709</v>
      </c>
      <c r="B538" s="1353">
        <v>10</v>
      </c>
      <c r="C538" s="1353">
        <v>17</v>
      </c>
      <c r="D538" s="1353" t="s">
        <v>6326</v>
      </c>
      <c r="E538" s="1353">
        <v>111</v>
      </c>
      <c r="F538" s="1353"/>
      <c r="G538" s="1353" t="s">
        <v>6327</v>
      </c>
      <c r="H538" s="3259"/>
      <c r="K538" s="3337"/>
    </row>
    <row r="539" spans="1:11">
      <c r="A539" s="3338">
        <v>43712</v>
      </c>
      <c r="B539" s="1353">
        <v>10</v>
      </c>
      <c r="C539" s="1353">
        <v>17</v>
      </c>
      <c r="D539" s="1353" t="s">
        <v>6262</v>
      </c>
      <c r="E539" s="1353">
        <v>146</v>
      </c>
      <c r="F539" s="1353"/>
      <c r="G539" s="1353" t="s">
        <v>6328</v>
      </c>
      <c r="H539" s="3259"/>
      <c r="K539" s="3337"/>
    </row>
    <row r="540" spans="1:11">
      <c r="A540" s="3338">
        <v>43715</v>
      </c>
      <c r="B540" s="1353">
        <v>13</v>
      </c>
      <c r="C540" s="1353">
        <v>17</v>
      </c>
      <c r="D540" s="1353" t="s">
        <v>6262</v>
      </c>
      <c r="E540" s="1353">
        <v>67</v>
      </c>
      <c r="F540" s="1353"/>
      <c r="G540" s="1353" t="s">
        <v>6329</v>
      </c>
      <c r="H540" s="3259"/>
      <c r="K540" s="3337"/>
    </row>
    <row r="541" spans="1:11">
      <c r="A541" s="3338">
        <v>43716</v>
      </c>
      <c r="B541" s="1353">
        <v>10</v>
      </c>
      <c r="C541" s="1353">
        <v>17</v>
      </c>
      <c r="D541" s="1353" t="s">
        <v>6244</v>
      </c>
      <c r="E541" s="1353">
        <v>305</v>
      </c>
      <c r="F541" s="1353"/>
      <c r="G541" s="1353" t="s">
        <v>6330</v>
      </c>
      <c r="H541" s="3259"/>
      <c r="K541" s="3337"/>
    </row>
    <row r="542" spans="1:11">
      <c r="A542" s="3338">
        <v>43719</v>
      </c>
      <c r="B542" s="1353">
        <v>10</v>
      </c>
      <c r="C542" s="1353">
        <v>17</v>
      </c>
      <c r="D542" s="1353" t="s">
        <v>6262</v>
      </c>
      <c r="E542" s="1353">
        <v>111</v>
      </c>
      <c r="F542" s="1353"/>
      <c r="G542" s="1353" t="s">
        <v>6331</v>
      </c>
      <c r="H542" s="3259"/>
      <c r="K542" s="3337"/>
    </row>
    <row r="543" spans="1:11">
      <c r="A543" s="3338">
        <v>43722</v>
      </c>
      <c r="B543" s="1353" t="s">
        <v>6332</v>
      </c>
      <c r="C543" s="1353">
        <v>17</v>
      </c>
      <c r="D543" s="1353" t="s">
        <v>6280</v>
      </c>
      <c r="E543" s="1353">
        <v>109</v>
      </c>
      <c r="F543" s="1353"/>
      <c r="G543" s="1353" t="s">
        <v>6333</v>
      </c>
      <c r="H543" s="3259"/>
      <c r="K543" s="3337"/>
    </row>
    <row r="544" spans="1:11">
      <c r="A544" s="3338">
        <v>43723</v>
      </c>
      <c r="B544" s="1353" t="s">
        <v>6332</v>
      </c>
      <c r="C544" s="1353">
        <v>17</v>
      </c>
      <c r="D544" s="1353" t="s">
        <v>6299</v>
      </c>
      <c r="E544" s="1353">
        <v>80</v>
      </c>
      <c r="F544" s="1353"/>
      <c r="G544" s="1353" t="s">
        <v>6334</v>
      </c>
      <c r="H544" s="3259"/>
      <c r="K544" s="3337"/>
    </row>
    <row r="545" spans="1:11">
      <c r="A545" s="3338">
        <v>43726</v>
      </c>
      <c r="B545" s="1353">
        <v>10</v>
      </c>
      <c r="C545" s="1353">
        <v>17</v>
      </c>
      <c r="D545" s="1353" t="s">
        <v>6262</v>
      </c>
      <c r="E545" s="1353">
        <v>121</v>
      </c>
      <c r="F545" s="1353"/>
      <c r="G545" s="1353" t="s">
        <v>6328</v>
      </c>
      <c r="H545" s="3259"/>
      <c r="K545" s="3337"/>
    </row>
    <row r="546" spans="1:11">
      <c r="A546" s="3338">
        <v>43729</v>
      </c>
      <c r="B546" s="1353" t="s">
        <v>6335</v>
      </c>
      <c r="C546" s="1353" t="s">
        <v>6336</v>
      </c>
      <c r="D546" s="1353" t="s">
        <v>6280</v>
      </c>
      <c r="E546" s="1353">
        <v>56</v>
      </c>
      <c r="F546" s="1353"/>
      <c r="G546" s="1353" t="s">
        <v>6337</v>
      </c>
      <c r="H546" s="3259"/>
      <c r="K546" s="3337"/>
    </row>
    <row r="547" spans="1:11">
      <c r="A547" s="3338">
        <v>43730</v>
      </c>
      <c r="B547" s="1353">
        <v>10</v>
      </c>
      <c r="C547" s="1353">
        <v>17</v>
      </c>
      <c r="D547" s="1353" t="s">
        <v>6244</v>
      </c>
      <c r="E547" s="1353">
        <v>100</v>
      </c>
      <c r="F547" s="1353"/>
      <c r="G547" s="1353" t="s">
        <v>6338</v>
      </c>
      <c r="H547" s="3259"/>
      <c r="K547" s="3337"/>
    </row>
    <row r="548" spans="1:11">
      <c r="A548" s="3338">
        <v>43733</v>
      </c>
      <c r="B548" s="1353">
        <v>10</v>
      </c>
      <c r="C548" s="1353">
        <v>15</v>
      </c>
      <c r="D548" s="1353" t="s">
        <v>6262</v>
      </c>
      <c r="E548" s="1353">
        <v>63</v>
      </c>
      <c r="F548" s="1353"/>
      <c r="G548" s="1353" t="s">
        <v>6339</v>
      </c>
      <c r="H548" s="3259"/>
      <c r="K548" s="3337"/>
    </row>
    <row r="549" spans="1:11">
      <c r="A549" s="3338">
        <v>43736</v>
      </c>
      <c r="B549" s="1353">
        <v>13</v>
      </c>
      <c r="C549" s="1353">
        <v>17</v>
      </c>
      <c r="D549" s="1353" t="s">
        <v>6244</v>
      </c>
      <c r="E549" s="1353">
        <v>102</v>
      </c>
      <c r="F549" s="1353"/>
      <c r="G549" s="1353" t="s">
        <v>6340</v>
      </c>
      <c r="H549" s="3259"/>
      <c r="K549" s="3337"/>
    </row>
    <row r="550" spans="1:11">
      <c r="A550" s="3338">
        <v>43737</v>
      </c>
      <c r="B550" s="1353">
        <v>10</v>
      </c>
      <c r="C550" s="1353">
        <v>17</v>
      </c>
      <c r="D550" s="1353" t="s">
        <v>6299</v>
      </c>
      <c r="E550" s="1353">
        <v>85</v>
      </c>
      <c r="F550" s="1353"/>
      <c r="G550" s="1353" t="s">
        <v>6331</v>
      </c>
      <c r="H550" s="3259"/>
      <c r="K550" s="3337"/>
    </row>
    <row r="551" spans="1:11">
      <c r="A551" s="3443"/>
      <c r="B551" s="3383"/>
      <c r="C551" s="3383"/>
      <c r="D551" s="3383" t="s">
        <v>6341</v>
      </c>
      <c r="E551" s="3383">
        <v>1456</v>
      </c>
      <c r="F551" s="3383"/>
      <c r="G551" s="3383"/>
      <c r="H551" s="3388"/>
      <c r="K551" s="3337"/>
    </row>
    <row r="552" spans="1:11">
      <c r="A552" s="3338">
        <v>43742</v>
      </c>
      <c r="B552" s="1353">
        <v>13</v>
      </c>
      <c r="C552" s="1353">
        <v>17</v>
      </c>
      <c r="D552" s="1353" t="s">
        <v>6262</v>
      </c>
      <c r="E552" s="1353">
        <v>75</v>
      </c>
      <c r="F552" s="1353"/>
      <c r="G552" s="1353" t="s">
        <v>6342</v>
      </c>
      <c r="H552" s="3259"/>
      <c r="K552" s="3337"/>
    </row>
    <row r="553" spans="1:11">
      <c r="A553" s="3338">
        <v>43744</v>
      </c>
      <c r="B553" s="1353">
        <v>10</v>
      </c>
      <c r="C553" s="1353">
        <v>14</v>
      </c>
      <c r="D553" s="1353" t="s">
        <v>6244</v>
      </c>
      <c r="E553" s="1353">
        <v>31</v>
      </c>
      <c r="F553" s="1353"/>
      <c r="G553" s="1353" t="s">
        <v>6343</v>
      </c>
      <c r="H553" s="3259"/>
      <c r="K553" s="3337"/>
    </row>
    <row r="554" spans="1:11">
      <c r="A554" s="3338">
        <v>43720</v>
      </c>
      <c r="B554" s="1353">
        <v>10</v>
      </c>
      <c r="C554" s="1353">
        <v>17</v>
      </c>
      <c r="D554" s="1353" t="s">
        <v>6280</v>
      </c>
      <c r="E554" s="1353">
        <v>40</v>
      </c>
      <c r="F554" s="1353"/>
      <c r="G554" s="1353" t="s">
        <v>6344</v>
      </c>
      <c r="H554" s="3259"/>
      <c r="K554" s="3337"/>
    </row>
    <row r="555" spans="1:11">
      <c r="A555" s="3338">
        <v>43751</v>
      </c>
      <c r="B555" s="1353">
        <v>10</v>
      </c>
      <c r="C555" s="1353">
        <v>17</v>
      </c>
      <c r="D555" s="1353" t="s">
        <v>6278</v>
      </c>
      <c r="E555" s="1353">
        <v>81</v>
      </c>
      <c r="F555" s="1353"/>
      <c r="G555" s="1353" t="s">
        <v>6345</v>
      </c>
      <c r="H555" s="3259"/>
      <c r="K555" s="3337"/>
    </row>
    <row r="556" spans="1:11">
      <c r="A556" s="3338">
        <v>43757</v>
      </c>
      <c r="B556" s="1353">
        <v>10</v>
      </c>
      <c r="C556" s="1353">
        <v>14</v>
      </c>
      <c r="D556" s="1353" t="s">
        <v>6290</v>
      </c>
      <c r="E556" s="1353">
        <v>31</v>
      </c>
      <c r="F556" s="1353"/>
      <c r="G556" s="1353" t="s">
        <v>6346</v>
      </c>
      <c r="H556" s="3259"/>
      <c r="K556" s="3337"/>
    </row>
    <row r="557" spans="1:11">
      <c r="A557" s="3338">
        <v>43758</v>
      </c>
      <c r="B557" s="1353">
        <v>12</v>
      </c>
      <c r="C557" s="1353">
        <v>14</v>
      </c>
      <c r="D557" s="1353" t="s">
        <v>6244</v>
      </c>
      <c r="E557" s="1353">
        <v>59</v>
      </c>
      <c r="F557" s="1353"/>
      <c r="G557" s="1353" t="s">
        <v>6347</v>
      </c>
      <c r="H557" s="3259"/>
      <c r="K557" s="3337"/>
    </row>
    <row r="558" spans="1:11">
      <c r="A558" s="3338">
        <v>43764</v>
      </c>
      <c r="B558" s="1353">
        <v>10</v>
      </c>
      <c r="C558" s="1353">
        <v>15</v>
      </c>
      <c r="D558" s="1353" t="s">
        <v>6280</v>
      </c>
      <c r="E558" s="1353">
        <v>8</v>
      </c>
      <c r="F558" s="1353"/>
      <c r="G558" s="1353" t="s">
        <v>6348</v>
      </c>
      <c r="H558" s="3259"/>
      <c r="K558" s="3337"/>
    </row>
    <row r="559" spans="1:11">
      <c r="A559" s="3338">
        <v>43765</v>
      </c>
      <c r="B559" s="1353">
        <v>13</v>
      </c>
      <c r="C559" s="1353">
        <v>17</v>
      </c>
      <c r="D559" s="1353" t="s">
        <v>6278</v>
      </c>
      <c r="E559" s="1353">
        <v>133</v>
      </c>
      <c r="F559" s="1353"/>
      <c r="G559" s="1353" t="s">
        <v>6349</v>
      </c>
      <c r="H559" s="3259"/>
      <c r="K559" s="3337"/>
    </row>
    <row r="560" spans="1:11">
      <c r="A560" s="3338">
        <v>43766</v>
      </c>
      <c r="B560" s="1353">
        <v>10</v>
      </c>
      <c r="C560" s="1353">
        <v>17</v>
      </c>
      <c r="D560" s="1353" t="s">
        <v>6290</v>
      </c>
      <c r="E560" s="1353">
        <v>79</v>
      </c>
      <c r="F560" s="1353"/>
      <c r="G560" s="1353"/>
      <c r="H560" s="3259"/>
      <c r="K560" s="3337"/>
    </row>
    <row r="561" spans="1:11">
      <c r="A561" s="3338">
        <v>43767</v>
      </c>
      <c r="B561" s="1353">
        <v>10</v>
      </c>
      <c r="C561" s="1353">
        <v>17</v>
      </c>
      <c r="D561" s="1353" t="s">
        <v>6280</v>
      </c>
      <c r="E561" s="1353">
        <v>66</v>
      </c>
      <c r="F561" s="1353"/>
      <c r="G561" s="1353"/>
      <c r="H561" s="3259"/>
      <c r="K561" s="3337"/>
    </row>
    <row r="562" spans="1:11">
      <c r="A562" s="3338">
        <v>43768</v>
      </c>
      <c r="B562" s="1353">
        <v>10</v>
      </c>
      <c r="C562" s="1353">
        <v>17</v>
      </c>
      <c r="D562" s="1353" t="s">
        <v>6262</v>
      </c>
      <c r="E562" s="1353">
        <v>105</v>
      </c>
      <c r="F562" s="1353"/>
      <c r="G562" s="1353" t="s">
        <v>6350</v>
      </c>
      <c r="H562" s="3259"/>
      <c r="K562" s="3337"/>
    </row>
    <row r="563" spans="1:11">
      <c r="A563" s="3338">
        <v>43769</v>
      </c>
      <c r="B563" s="1353">
        <v>10</v>
      </c>
      <c r="C563" s="1353">
        <v>17</v>
      </c>
      <c r="D563" s="1353" t="s">
        <v>6244</v>
      </c>
      <c r="E563" s="1353">
        <v>82</v>
      </c>
      <c r="F563" s="1353"/>
      <c r="G563" s="1353"/>
      <c r="H563" s="3259"/>
      <c r="K563" s="3337"/>
    </row>
    <row r="564" spans="1:11">
      <c r="A564" s="3443"/>
      <c r="B564" s="3383"/>
      <c r="C564" s="3383"/>
      <c r="D564" s="3383" t="s">
        <v>6351</v>
      </c>
      <c r="E564" s="3383">
        <f>SUM(E552:E563)</f>
        <v>790</v>
      </c>
      <c r="F564" s="3383"/>
      <c r="G564" s="3383"/>
      <c r="H564" s="3388"/>
      <c r="K564" s="3337"/>
    </row>
    <row r="565" spans="1:11">
      <c r="A565" s="3338">
        <v>43770</v>
      </c>
      <c r="B565" s="1353">
        <v>10</v>
      </c>
      <c r="C565" s="1353">
        <v>17</v>
      </c>
      <c r="D565" s="1353" t="s">
        <v>6262</v>
      </c>
      <c r="E565" s="1353">
        <v>166</v>
      </c>
      <c r="F565" s="1353"/>
      <c r="G565" s="1353" t="s">
        <v>6281</v>
      </c>
      <c r="H565" s="3259"/>
      <c r="K565" s="3337"/>
    </row>
    <row r="566" spans="1:11">
      <c r="A566" s="3338">
        <v>43771</v>
      </c>
      <c r="B566" s="1353">
        <v>10</v>
      </c>
      <c r="C566" s="1353">
        <v>17</v>
      </c>
      <c r="D566" s="1353" t="s">
        <v>6278</v>
      </c>
      <c r="E566" s="1353">
        <v>126</v>
      </c>
      <c r="F566" s="1353">
        <v>166.5</v>
      </c>
      <c r="G566" s="1353" t="s">
        <v>6352</v>
      </c>
      <c r="H566" s="3259"/>
      <c r="K566" s="3337"/>
    </row>
    <row r="567" spans="1:11">
      <c r="A567" s="3338">
        <v>43772</v>
      </c>
      <c r="B567" s="1353">
        <v>10</v>
      </c>
      <c r="C567" s="1353">
        <v>17</v>
      </c>
      <c r="D567" s="1353" t="s">
        <v>6290</v>
      </c>
      <c r="E567" s="1353">
        <v>41</v>
      </c>
      <c r="F567" s="1353">
        <v>64.97</v>
      </c>
      <c r="G567" s="1353" t="s">
        <v>6353</v>
      </c>
      <c r="H567" s="3259"/>
      <c r="K567" s="3337"/>
    </row>
    <row r="568" spans="1:11">
      <c r="A568" s="3338">
        <v>43778</v>
      </c>
      <c r="B568" s="1353">
        <v>13</v>
      </c>
      <c r="C568" s="1353">
        <v>17</v>
      </c>
      <c r="D568" s="1353" t="s">
        <v>6244</v>
      </c>
      <c r="E568" s="1353">
        <v>97</v>
      </c>
      <c r="F568" s="1353"/>
      <c r="G568" s="1353" t="s">
        <v>6354</v>
      </c>
      <c r="H568" s="3259"/>
      <c r="K568" s="3337"/>
    </row>
    <row r="569" spans="1:11">
      <c r="A569" s="3338">
        <v>43779</v>
      </c>
      <c r="B569" s="1353">
        <v>10</v>
      </c>
      <c r="C569" s="1353">
        <v>17</v>
      </c>
      <c r="D569" s="1353" t="s">
        <v>6280</v>
      </c>
      <c r="E569" s="1353">
        <v>78</v>
      </c>
      <c r="F569" s="1353"/>
      <c r="G569" s="1353" t="s">
        <v>6355</v>
      </c>
      <c r="H569" s="3259"/>
      <c r="K569" s="3337"/>
    </row>
    <row r="570" spans="1:11">
      <c r="A570" s="3338">
        <v>43780</v>
      </c>
      <c r="B570" s="1353">
        <v>10</v>
      </c>
      <c r="C570" s="1353">
        <v>17</v>
      </c>
      <c r="D570" s="1353" t="s">
        <v>6262</v>
      </c>
      <c r="E570" s="1353">
        <v>78</v>
      </c>
      <c r="F570" s="1353"/>
      <c r="G570" s="1353" t="s">
        <v>6281</v>
      </c>
      <c r="H570" s="3259"/>
      <c r="K570" s="3337"/>
    </row>
    <row r="571" spans="1:11">
      <c r="A571" s="3338"/>
      <c r="B571" s="1353"/>
      <c r="C571" s="1353"/>
      <c r="D571" s="1353"/>
      <c r="E571" s="1353"/>
      <c r="F571" s="1353"/>
      <c r="G571" s="1353" t="s">
        <v>6356</v>
      </c>
      <c r="H571" s="3259"/>
      <c r="K571" s="3337"/>
    </row>
    <row r="572" spans="1:11">
      <c r="A572" s="3443"/>
      <c r="B572" s="3383"/>
      <c r="C572" s="3383"/>
      <c r="D572" s="3383" t="s">
        <v>6357</v>
      </c>
      <c r="E572" s="3383">
        <f>SUM(E565:E570)</f>
        <v>586</v>
      </c>
      <c r="F572" s="3383"/>
      <c r="G572" s="3383"/>
      <c r="H572" s="3388"/>
      <c r="K572" s="3337"/>
    </row>
    <row r="573" spans="1:11">
      <c r="A573" s="3376"/>
      <c r="B573" s="3377"/>
      <c r="C573" s="3377"/>
      <c r="D573" s="3378" t="s">
        <v>6358</v>
      </c>
      <c r="E573" s="3378">
        <f>SUM(E572+E564+E551+E537+E509+E478+E463+E451)</f>
        <v>14358</v>
      </c>
      <c r="F573" s="3378">
        <f>SUM(F437:F570)</f>
        <v>1900.7699999999998</v>
      </c>
      <c r="G573" s="3377"/>
      <c r="H573" s="3379"/>
    </row>
    <row r="576" spans="1:11">
      <c r="A576" s="3603" t="s">
        <v>7310</v>
      </c>
    </row>
    <row r="578" spans="1:6">
      <c r="A578" s="3687" t="s">
        <v>7283</v>
      </c>
      <c r="B578" s="3633" t="s">
        <v>7284</v>
      </c>
      <c r="C578" s="3633" t="s">
        <v>6221</v>
      </c>
      <c r="D578" s="3633" t="s">
        <v>7285</v>
      </c>
      <c r="E578" s="3649"/>
      <c r="F578" s="3649"/>
    </row>
    <row r="579" spans="1:6">
      <c r="A579" s="3678" t="s">
        <v>6223</v>
      </c>
      <c r="B579" s="3679"/>
      <c r="C579" s="3679">
        <v>3051</v>
      </c>
      <c r="D579" s="3679"/>
      <c r="E579" s="3649"/>
      <c r="F579" s="3649"/>
    </row>
    <row r="580" spans="1:6">
      <c r="A580" s="3680" t="s">
        <v>6224</v>
      </c>
      <c r="B580" s="3681"/>
      <c r="C580" s="3681">
        <v>3542</v>
      </c>
      <c r="D580" s="3681"/>
      <c r="E580" s="3649"/>
      <c r="F580" s="3649"/>
    </row>
    <row r="581" spans="1:6">
      <c r="A581" s="3678" t="s">
        <v>6225</v>
      </c>
      <c r="B581" s="3679"/>
      <c r="C581" s="3682">
        <v>103</v>
      </c>
      <c r="D581" s="3679"/>
      <c r="E581" s="3649"/>
      <c r="F581" s="3649"/>
    </row>
    <row r="582" spans="1:6">
      <c r="A582" s="3680" t="s">
        <v>6226</v>
      </c>
      <c r="B582" s="3681"/>
      <c r="C582" s="3682">
        <v>84</v>
      </c>
      <c r="D582" s="3681"/>
      <c r="E582" s="3649"/>
      <c r="F582" s="3649"/>
    </row>
    <row r="583" spans="1:6">
      <c r="A583" s="3678" t="s">
        <v>6227</v>
      </c>
      <c r="B583" s="3679"/>
      <c r="C583" s="3682">
        <v>278</v>
      </c>
      <c r="D583" s="3679"/>
      <c r="E583" s="3649"/>
      <c r="F583" s="3649"/>
    </row>
    <row r="584" spans="1:6">
      <c r="A584" s="3680" t="s">
        <v>6228</v>
      </c>
      <c r="B584" s="3681"/>
      <c r="C584" s="3681">
        <v>3444</v>
      </c>
      <c r="D584" s="3681"/>
      <c r="E584" s="3649"/>
      <c r="F584" s="3649"/>
    </row>
    <row r="585" spans="1:6">
      <c r="A585" s="3678" t="s">
        <v>6229</v>
      </c>
      <c r="B585" s="3679"/>
      <c r="C585" s="3679">
        <v>8254</v>
      </c>
      <c r="D585" s="3679"/>
      <c r="E585" s="3649"/>
      <c r="F585" s="3649"/>
    </row>
    <row r="586" spans="1:6">
      <c r="A586" s="3680" t="s">
        <v>6230</v>
      </c>
      <c r="B586" s="3681"/>
      <c r="C586" s="3681">
        <v>2732</v>
      </c>
      <c r="D586" s="3681"/>
      <c r="E586" s="3649"/>
      <c r="F586" s="3649"/>
    </row>
    <row r="587" spans="1:6">
      <c r="A587" s="3678" t="s">
        <v>6231</v>
      </c>
      <c r="B587" s="3679"/>
      <c r="C587" s="3682">
        <v>0</v>
      </c>
      <c r="D587" s="3679"/>
      <c r="E587" s="3649"/>
      <c r="F587" s="3649"/>
    </row>
    <row r="588" spans="1:6">
      <c r="A588" s="3680" t="s">
        <v>6232</v>
      </c>
      <c r="B588" s="3681"/>
      <c r="C588" s="3682">
        <v>863</v>
      </c>
      <c r="D588" s="3681"/>
      <c r="E588" s="3649"/>
      <c r="F588" s="3649"/>
    </row>
    <row r="589" spans="1:6">
      <c r="A589" s="3678" t="s">
        <v>6233</v>
      </c>
      <c r="B589" s="3679"/>
      <c r="C589" s="3679">
        <v>2158</v>
      </c>
      <c r="D589" s="3679"/>
      <c r="E589" s="3649"/>
      <c r="F589" s="3649"/>
    </row>
    <row r="590" spans="1:6">
      <c r="A590" s="3680" t="s">
        <v>6234</v>
      </c>
      <c r="B590" s="3681"/>
      <c r="C590" s="3681">
        <v>2450</v>
      </c>
      <c r="D590" s="3681"/>
      <c r="E590" s="3649"/>
      <c r="F590" s="3649"/>
    </row>
    <row r="591" spans="1:6">
      <c r="A591" s="3683" t="s">
        <v>165</v>
      </c>
      <c r="B591" s="3625">
        <f>SUM(B579:B590)</f>
        <v>0</v>
      </c>
      <c r="C591" s="3625">
        <f>SUM(C579:C590)</f>
        <v>26959</v>
      </c>
      <c r="D591" s="3625">
        <f>SUM(D579:D590)</f>
        <v>0</v>
      </c>
      <c r="E591" s="3649"/>
      <c r="F591" s="3649"/>
    </row>
    <row r="592" spans="1:6">
      <c r="A592" s="3684" t="s">
        <v>7286</v>
      </c>
      <c r="B592" s="3685"/>
      <c r="C592" s="3686"/>
      <c r="D592" s="3685"/>
      <c r="E592" s="3685"/>
      <c r="F592" s="3649"/>
    </row>
    <row r="593" spans="1:18">
      <c r="A593" s="3685" t="s">
        <v>7287</v>
      </c>
      <c r="B593" s="3685"/>
      <c r="C593" s="3685"/>
      <c r="D593" s="3685"/>
      <c r="E593" s="3685"/>
      <c r="F593" s="3649"/>
    </row>
    <row r="596" spans="1:18">
      <c r="A596" s="3633" t="s">
        <v>7288</v>
      </c>
      <c r="B596" s="3633" t="s">
        <v>6084</v>
      </c>
      <c r="C596" s="3633" t="s">
        <v>6085</v>
      </c>
      <c r="D596" s="3633" t="s">
        <v>6086</v>
      </c>
      <c r="E596" s="3633" t="s">
        <v>6087</v>
      </c>
      <c r="F596" s="3633" t="s">
        <v>6088</v>
      </c>
      <c r="G596" s="3633" t="s">
        <v>6089</v>
      </c>
      <c r="H596" s="3633" t="s">
        <v>6090</v>
      </c>
      <c r="I596" s="3633" t="s">
        <v>6091</v>
      </c>
      <c r="J596" s="3634" t="s">
        <v>8</v>
      </c>
      <c r="K596" s="3633" t="s">
        <v>6107</v>
      </c>
      <c r="L596" s="3633" t="s">
        <v>6026</v>
      </c>
      <c r="M596" s="3633" t="s">
        <v>7289</v>
      </c>
      <c r="N596" s="3633" t="s">
        <v>7290</v>
      </c>
      <c r="O596" s="3633" t="s">
        <v>6109</v>
      </c>
      <c r="P596" s="3633" t="s">
        <v>6237</v>
      </c>
      <c r="Q596" s="3633" t="s">
        <v>6238</v>
      </c>
      <c r="R596" s="3633" t="s">
        <v>7291</v>
      </c>
    </row>
    <row r="597" spans="1:18">
      <c r="A597" s="3627">
        <v>43831</v>
      </c>
      <c r="B597" s="3628">
        <v>53</v>
      </c>
      <c r="C597" s="3628">
        <v>24</v>
      </c>
      <c r="D597" s="3628">
        <v>12</v>
      </c>
      <c r="E597" s="3628"/>
      <c r="F597" s="3628">
        <v>7</v>
      </c>
      <c r="G597" s="3628">
        <v>0</v>
      </c>
      <c r="H597" s="3628"/>
      <c r="I597" s="3628">
        <v>3</v>
      </c>
      <c r="J597" s="3635">
        <v>99</v>
      </c>
      <c r="K597" s="3636">
        <v>297</v>
      </c>
      <c r="L597" s="3636">
        <v>120</v>
      </c>
      <c r="M597" s="3636">
        <v>120</v>
      </c>
      <c r="N597" s="3636"/>
      <c r="O597" s="3637">
        <v>-0.59595959595959591</v>
      </c>
      <c r="P597" s="3637">
        <v>-0.17499999999999999</v>
      </c>
      <c r="Q597" s="3638">
        <v>386</v>
      </c>
      <c r="R597" s="3639">
        <v>329</v>
      </c>
    </row>
    <row r="598" spans="1:18">
      <c r="A598" s="3627">
        <v>43862</v>
      </c>
      <c r="B598" s="3628">
        <v>69</v>
      </c>
      <c r="C598" s="3628">
        <v>48</v>
      </c>
      <c r="D598" s="3628">
        <v>35</v>
      </c>
      <c r="E598" s="3628"/>
      <c r="F598" s="3628">
        <v>38</v>
      </c>
      <c r="G598" s="3628">
        <v>0</v>
      </c>
      <c r="H598" s="3628">
        <v>1</v>
      </c>
      <c r="I598" s="3628">
        <v>9</v>
      </c>
      <c r="J598" s="3635">
        <v>200</v>
      </c>
      <c r="K598" s="3640">
        <v>187</v>
      </c>
      <c r="L598" s="3636">
        <v>149</v>
      </c>
      <c r="M598" s="3636">
        <v>166</v>
      </c>
      <c r="N598" s="3636"/>
      <c r="O598" s="3637">
        <v>-0.20320855614973263</v>
      </c>
      <c r="P598" s="3637">
        <v>0.34228187919463088</v>
      </c>
      <c r="Q598" s="1383">
        <v>494</v>
      </c>
      <c r="R598" s="3641">
        <v>606</v>
      </c>
    </row>
    <row r="599" spans="1:18">
      <c r="A599" s="3627">
        <v>43891</v>
      </c>
      <c r="B599" s="3628">
        <v>16</v>
      </c>
      <c r="C599" s="3628">
        <v>12</v>
      </c>
      <c r="D599" s="3628">
        <v>2</v>
      </c>
      <c r="E599" s="3628"/>
      <c r="F599" s="3628">
        <v>6</v>
      </c>
      <c r="G599" s="3628">
        <v>0</v>
      </c>
      <c r="H599" s="3628"/>
      <c r="I599" s="3628">
        <v>1</v>
      </c>
      <c r="J599" s="3635">
        <v>37</v>
      </c>
      <c r="K599" s="3640">
        <v>301</v>
      </c>
      <c r="L599" s="3636">
        <v>450</v>
      </c>
      <c r="M599" s="3636">
        <v>182</v>
      </c>
      <c r="N599" s="3636"/>
      <c r="O599" s="3637">
        <v>0.49501661129568109</v>
      </c>
      <c r="P599" s="3637">
        <v>-0.9177777777777778</v>
      </c>
      <c r="Q599" s="1383">
        <v>1260</v>
      </c>
      <c r="R599" s="3641">
        <v>122</v>
      </c>
    </row>
    <row r="600" spans="1:18">
      <c r="A600" s="3627">
        <v>43922</v>
      </c>
      <c r="B600" s="3628">
        <v>0</v>
      </c>
      <c r="C600" s="3628">
        <v>0</v>
      </c>
      <c r="D600" s="3628">
        <v>0</v>
      </c>
      <c r="E600" s="3628">
        <v>0</v>
      </c>
      <c r="F600" s="3628">
        <v>0</v>
      </c>
      <c r="G600" s="3628">
        <v>0</v>
      </c>
      <c r="H600" s="3628">
        <v>0</v>
      </c>
      <c r="I600" s="3628">
        <v>0</v>
      </c>
      <c r="J600" s="3635">
        <v>0</v>
      </c>
      <c r="K600" s="3642">
        <v>484</v>
      </c>
      <c r="L600" s="3636">
        <v>422</v>
      </c>
      <c r="M600" s="3636">
        <v>215</v>
      </c>
      <c r="N600" s="3636"/>
      <c r="O600" s="3637">
        <v>-0.128099173553719</v>
      </c>
      <c r="P600" s="3643">
        <v>-1</v>
      </c>
      <c r="Q600" s="1383">
        <v>1360</v>
      </c>
      <c r="R600" s="3641">
        <v>0</v>
      </c>
    </row>
    <row r="601" spans="1:18">
      <c r="A601" s="3627">
        <v>43952</v>
      </c>
      <c r="B601" s="3628">
        <v>0</v>
      </c>
      <c r="C601" s="3628">
        <v>0</v>
      </c>
      <c r="D601" s="3628">
        <v>0</v>
      </c>
      <c r="E601" s="3628">
        <v>0</v>
      </c>
      <c r="F601" s="3628">
        <v>0</v>
      </c>
      <c r="G601" s="3628">
        <v>0</v>
      </c>
      <c r="H601" s="3628">
        <v>0</v>
      </c>
      <c r="I601" s="3628">
        <v>0</v>
      </c>
      <c r="J601" s="3635">
        <v>0</v>
      </c>
      <c r="K601" s="3640">
        <v>329</v>
      </c>
      <c r="L601" s="3636">
        <v>451</v>
      </c>
      <c r="M601" s="3636">
        <v>236</v>
      </c>
      <c r="N601" s="3636"/>
      <c r="O601" s="3637">
        <v>0.37082066869300911</v>
      </c>
      <c r="P601" s="3637">
        <v>-1</v>
      </c>
      <c r="Q601" s="1383">
        <v>1386</v>
      </c>
      <c r="R601" s="3641">
        <v>0</v>
      </c>
    </row>
    <row r="602" spans="1:18">
      <c r="A602" s="3627">
        <v>43983</v>
      </c>
      <c r="B602" s="3628">
        <v>26</v>
      </c>
      <c r="C602" s="3628">
        <v>25</v>
      </c>
      <c r="D602" s="3628">
        <v>6</v>
      </c>
      <c r="E602" s="3628">
        <v>0</v>
      </c>
      <c r="F602" s="3628">
        <v>17</v>
      </c>
      <c r="G602" s="3628">
        <v>0</v>
      </c>
      <c r="H602" s="3628">
        <v>0</v>
      </c>
      <c r="I602" s="3628">
        <v>0</v>
      </c>
      <c r="J602" s="3635">
        <v>74</v>
      </c>
      <c r="K602" s="3640">
        <v>516</v>
      </c>
      <c r="L602" s="3636">
        <v>366</v>
      </c>
      <c r="M602" s="3636">
        <v>288</v>
      </c>
      <c r="N602" s="3636"/>
      <c r="O602" s="3637">
        <v>-0.29069767441860467</v>
      </c>
      <c r="P602" s="3643">
        <v>-0.79781420765027322</v>
      </c>
      <c r="Q602" s="1383">
        <v>1227</v>
      </c>
      <c r="R602" s="3641">
        <v>242</v>
      </c>
    </row>
    <row r="603" spans="1:18">
      <c r="A603" s="3627">
        <v>44013</v>
      </c>
      <c r="B603" s="3628">
        <v>110</v>
      </c>
      <c r="C603" s="3628">
        <v>43</v>
      </c>
      <c r="D603" s="3628">
        <v>57</v>
      </c>
      <c r="E603" s="3628"/>
      <c r="F603" s="3628">
        <v>55</v>
      </c>
      <c r="G603" s="3628"/>
      <c r="H603" s="3628">
        <v>2</v>
      </c>
      <c r="I603" s="3628">
        <v>2</v>
      </c>
      <c r="J603" s="3635">
        <v>269</v>
      </c>
      <c r="K603" s="3640">
        <v>715</v>
      </c>
      <c r="L603" s="3636">
        <v>584</v>
      </c>
      <c r="M603" s="3636">
        <v>423</v>
      </c>
      <c r="N603" s="3636"/>
      <c r="O603" s="3637">
        <v>-0.18321678321678322</v>
      </c>
      <c r="P603" s="3637">
        <v>-0.53938356164383561</v>
      </c>
      <c r="Q603" s="1383">
        <v>1883</v>
      </c>
      <c r="R603" s="3641">
        <v>852</v>
      </c>
    </row>
    <row r="604" spans="1:18">
      <c r="A604" s="3627">
        <v>44044</v>
      </c>
      <c r="B604" s="3628">
        <v>179</v>
      </c>
      <c r="C604" s="3628">
        <v>66</v>
      </c>
      <c r="D604" s="3628">
        <v>50</v>
      </c>
      <c r="E604" s="3628">
        <v>0</v>
      </c>
      <c r="F604" s="3628">
        <v>38</v>
      </c>
      <c r="G604" s="3628"/>
      <c r="H604" s="3628">
        <v>9</v>
      </c>
      <c r="I604" s="3628">
        <v>5</v>
      </c>
      <c r="J604" s="3635">
        <v>347</v>
      </c>
      <c r="K604" s="3640">
        <v>941</v>
      </c>
      <c r="L604" s="3636">
        <v>718</v>
      </c>
      <c r="M604" s="3636">
        <v>627</v>
      </c>
      <c r="N604" s="3636"/>
      <c r="O604" s="3637">
        <v>-0.23698193411264612</v>
      </c>
      <c r="P604" s="3643">
        <v>-0.51671309192200554</v>
      </c>
      <c r="Q604" s="1383">
        <v>2266</v>
      </c>
      <c r="R604" s="3641">
        <v>1146</v>
      </c>
    </row>
    <row r="605" spans="1:18">
      <c r="A605" s="3627">
        <v>44075</v>
      </c>
      <c r="B605" s="3628">
        <v>104</v>
      </c>
      <c r="C605" s="3628">
        <v>93</v>
      </c>
      <c r="D605" s="3628">
        <v>7</v>
      </c>
      <c r="E605" s="3628">
        <v>0</v>
      </c>
      <c r="F605" s="3628">
        <v>45</v>
      </c>
      <c r="G605" s="3628">
        <v>20</v>
      </c>
      <c r="H605" s="3628">
        <v>2</v>
      </c>
      <c r="I605" s="3628">
        <v>4</v>
      </c>
      <c r="J605" s="3635">
        <v>275</v>
      </c>
      <c r="K605" s="3640">
        <v>423</v>
      </c>
      <c r="L605" s="3636">
        <v>452</v>
      </c>
      <c r="M605" s="3636">
        <v>525</v>
      </c>
      <c r="N605" s="3636"/>
      <c r="O605" s="3637">
        <v>6.8557919621749411E-2</v>
      </c>
      <c r="P605" s="3637">
        <v>-0.3915929203539823</v>
      </c>
      <c r="Q605" s="1383">
        <v>1445</v>
      </c>
      <c r="R605" s="3641">
        <v>974</v>
      </c>
    </row>
    <row r="606" spans="1:18">
      <c r="A606" s="3627">
        <v>44105</v>
      </c>
      <c r="B606" s="3628">
        <v>67</v>
      </c>
      <c r="C606" s="3628">
        <v>42</v>
      </c>
      <c r="D606" s="3628">
        <v>7</v>
      </c>
      <c r="E606" s="3628">
        <v>0</v>
      </c>
      <c r="F606" s="3628">
        <v>31</v>
      </c>
      <c r="G606" s="3628">
        <v>0</v>
      </c>
      <c r="H606" s="3628">
        <v>1</v>
      </c>
      <c r="I606" s="3628">
        <v>3</v>
      </c>
      <c r="J606" s="3635">
        <v>151</v>
      </c>
      <c r="K606" s="3640">
        <v>434</v>
      </c>
      <c r="L606" s="3636">
        <v>400</v>
      </c>
      <c r="M606" s="3636">
        <v>411</v>
      </c>
      <c r="N606" s="3636"/>
      <c r="O606" s="3637">
        <v>-7.8341013824884786E-2</v>
      </c>
      <c r="P606" s="3637">
        <v>-0.62250000000000005</v>
      </c>
      <c r="Q606" s="1383">
        <v>1200</v>
      </c>
      <c r="R606" s="3641">
        <v>499</v>
      </c>
    </row>
    <row r="607" spans="1:18">
      <c r="A607" s="3627">
        <v>44136</v>
      </c>
      <c r="B607" s="3644">
        <v>0</v>
      </c>
      <c r="C607" s="3644">
        <v>0</v>
      </c>
      <c r="D607" s="3644">
        <v>0</v>
      </c>
      <c r="E607" s="3644">
        <v>0</v>
      </c>
      <c r="F607" s="3644">
        <v>0</v>
      </c>
      <c r="G607" s="3644">
        <v>0</v>
      </c>
      <c r="H607" s="3644">
        <v>0</v>
      </c>
      <c r="I607" s="3644">
        <v>0</v>
      </c>
      <c r="J607" s="3635">
        <v>0</v>
      </c>
      <c r="K607" s="3640">
        <v>249</v>
      </c>
      <c r="L607" s="3636">
        <v>437</v>
      </c>
      <c r="M607" s="3636">
        <v>337</v>
      </c>
      <c r="N607" s="3636"/>
      <c r="O607" s="3637">
        <v>0.75502008032128509</v>
      </c>
      <c r="P607" s="3637">
        <v>-1</v>
      </c>
      <c r="Q607" s="1383">
        <v>1324</v>
      </c>
      <c r="R607" s="3641"/>
    </row>
    <row r="608" spans="1:18">
      <c r="A608" s="3627">
        <v>44166</v>
      </c>
      <c r="B608" s="3628">
        <v>42</v>
      </c>
      <c r="C608" s="3628">
        <v>13</v>
      </c>
      <c r="D608" s="3628">
        <v>22</v>
      </c>
      <c r="E608" s="3628">
        <v>0</v>
      </c>
      <c r="F608" s="3628">
        <v>18</v>
      </c>
      <c r="G608" s="3628">
        <v>0</v>
      </c>
      <c r="H608" s="3628">
        <v>1</v>
      </c>
      <c r="I608" s="3628">
        <v>7</v>
      </c>
      <c r="J608" s="3635">
        <v>103</v>
      </c>
      <c r="K608" s="3640">
        <v>155</v>
      </c>
      <c r="L608" s="3636">
        <v>167</v>
      </c>
      <c r="M608" s="3636">
        <v>267</v>
      </c>
      <c r="N608" s="3636"/>
      <c r="O608" s="3637">
        <v>7.7419354838709681E-2</v>
      </c>
      <c r="P608" s="3637">
        <v>-0.38323353293413176</v>
      </c>
      <c r="Q608" s="1383">
        <v>535</v>
      </c>
      <c r="R608" s="3641"/>
    </row>
    <row r="609" spans="1:18">
      <c r="A609" s="3645" t="s">
        <v>8</v>
      </c>
      <c r="B609" s="3645">
        <v>666</v>
      </c>
      <c r="C609" s="3645">
        <v>366</v>
      </c>
      <c r="D609" s="3645">
        <v>198</v>
      </c>
      <c r="E609" s="3645">
        <v>0</v>
      </c>
      <c r="F609" s="3645">
        <v>255</v>
      </c>
      <c r="G609" s="3645">
        <v>20</v>
      </c>
      <c r="H609" s="3645">
        <v>16</v>
      </c>
      <c r="I609" s="3645">
        <v>34</v>
      </c>
      <c r="J609" s="3645">
        <v>1555</v>
      </c>
      <c r="K609" s="3645">
        <v>5031</v>
      </c>
      <c r="L609" s="3645">
        <v>4716</v>
      </c>
      <c r="M609" s="3645">
        <v>3797</v>
      </c>
      <c r="N609" s="3645"/>
      <c r="O609" s="3645">
        <v>-6.2611806797853303E-2</v>
      </c>
      <c r="P609" s="3645">
        <v>-0.67027141645462252</v>
      </c>
      <c r="Q609" s="3645">
        <v>14766</v>
      </c>
      <c r="R609" s="3646">
        <v>4770</v>
      </c>
    </row>
    <row r="610" spans="1:18" ht="15">
      <c r="A610"/>
      <c r="B610"/>
      <c r="C610"/>
      <c r="D610"/>
      <c r="E610"/>
      <c r="F610"/>
      <c r="G610"/>
      <c r="H610"/>
      <c r="I610"/>
      <c r="J610"/>
      <c r="K610"/>
      <c r="L610"/>
      <c r="M610"/>
      <c r="N610"/>
      <c r="O610" t="s">
        <v>7292</v>
      </c>
      <c r="P610" t="s">
        <v>7293</v>
      </c>
      <c r="Q610"/>
      <c r="R610"/>
    </row>
    <row r="611" spans="1:18" ht="15.75" thickBot="1">
      <c r="A611"/>
      <c r="B611"/>
      <c r="C611"/>
      <c r="D611"/>
      <c r="E611"/>
      <c r="F611"/>
      <c r="G611"/>
      <c r="H611"/>
      <c r="I611"/>
      <c r="J611"/>
      <c r="K611"/>
      <c r="L611"/>
      <c r="M611"/>
      <c r="N611"/>
      <c r="O611"/>
      <c r="P611"/>
      <c r="Q611"/>
      <c r="R611"/>
    </row>
    <row r="612" spans="1:18" ht="15" customHeight="1">
      <c r="A612" s="2879" t="s">
        <v>6095</v>
      </c>
      <c r="B612" s="2879"/>
      <c r="C612" s="2879"/>
      <c r="D612" s="2879"/>
      <c r="E612"/>
      <c r="F612"/>
      <c r="G612" s="4814"/>
      <c r="H612" s="4815"/>
      <c r="I612" s="4815"/>
      <c r="J612" s="4816"/>
      <c r="K612"/>
      <c r="L612"/>
      <c r="M612"/>
      <c r="N612"/>
      <c r="O612"/>
      <c r="P612"/>
      <c r="Q612"/>
      <c r="R612"/>
    </row>
    <row r="613" spans="1:18" ht="15">
      <c r="A613" s="3625" t="s">
        <v>6096</v>
      </c>
      <c r="B613" s="3625" t="s">
        <v>6097</v>
      </c>
      <c r="C613" s="3625" t="s">
        <v>6098</v>
      </c>
      <c r="D613" s="3626" t="s">
        <v>6099</v>
      </c>
      <c r="E613"/>
      <c r="F613"/>
      <c r="G613" s="4817"/>
      <c r="H613" s="4818"/>
      <c r="I613" s="4818"/>
      <c r="J613" s="4819"/>
      <c r="K613"/>
      <c r="L613"/>
      <c r="M613"/>
      <c r="N613"/>
      <c r="O613"/>
      <c r="P613"/>
      <c r="Q613"/>
      <c r="R613"/>
    </row>
    <row r="614" spans="1:18" ht="15">
      <c r="A614" s="3627">
        <v>43831</v>
      </c>
      <c r="B614" s="3628">
        <v>99</v>
      </c>
      <c r="C614" s="3628">
        <v>0</v>
      </c>
      <c r="D614" s="3629">
        <v>0</v>
      </c>
      <c r="E614"/>
      <c r="F614"/>
      <c r="G614" s="4817"/>
      <c r="H614" s="4818"/>
      <c r="I614" s="4818"/>
      <c r="J614" s="4819"/>
      <c r="K614"/>
      <c r="L614"/>
      <c r="M614"/>
      <c r="N614"/>
      <c r="O614"/>
      <c r="P614"/>
      <c r="Q614"/>
      <c r="R614"/>
    </row>
    <row r="615" spans="1:18" ht="15">
      <c r="A615" s="3627">
        <v>43862</v>
      </c>
      <c r="B615" s="3628">
        <v>199</v>
      </c>
      <c r="C615" s="3628">
        <v>0</v>
      </c>
      <c r="D615" s="3629">
        <v>1</v>
      </c>
      <c r="E615"/>
      <c r="F615"/>
      <c r="G615" s="4817"/>
      <c r="H615" s="4818"/>
      <c r="I615" s="4818"/>
      <c r="J615" s="4819"/>
      <c r="K615"/>
      <c r="L615"/>
      <c r="M615"/>
      <c r="N615"/>
      <c r="O615"/>
      <c r="P615"/>
      <c r="Q615"/>
      <c r="R615"/>
    </row>
    <row r="616" spans="1:18" ht="15">
      <c r="A616" s="3627">
        <v>43891</v>
      </c>
      <c r="B616" s="3628">
        <v>37</v>
      </c>
      <c r="C616" s="3628">
        <v>0</v>
      </c>
      <c r="D616" s="3629">
        <v>0</v>
      </c>
      <c r="E616"/>
      <c r="F616"/>
      <c r="G616" s="4817"/>
      <c r="H616" s="4818"/>
      <c r="I616" s="4818"/>
      <c r="J616" s="4819"/>
      <c r="K616"/>
      <c r="L616"/>
      <c r="M616"/>
      <c r="N616"/>
      <c r="O616"/>
      <c r="P616"/>
      <c r="Q616"/>
      <c r="R616"/>
    </row>
    <row r="617" spans="1:18" ht="15">
      <c r="A617" s="3627">
        <v>43922</v>
      </c>
      <c r="B617" s="3628">
        <v>0</v>
      </c>
      <c r="C617" s="3628">
        <v>0</v>
      </c>
      <c r="D617" s="3629">
        <v>0</v>
      </c>
      <c r="E617"/>
      <c r="F617"/>
      <c r="G617" s="4820"/>
      <c r="H617" s="4821"/>
      <c r="I617" s="4821"/>
      <c r="J617" s="4822"/>
      <c r="K617"/>
      <c r="L617"/>
      <c r="M617"/>
      <c r="N617"/>
      <c r="O617"/>
      <c r="P617"/>
      <c r="Q617"/>
      <c r="R617"/>
    </row>
    <row r="618" spans="1:18" ht="15">
      <c r="A618" s="3627">
        <v>43952</v>
      </c>
      <c r="B618" s="3628">
        <v>0</v>
      </c>
      <c r="C618" s="3628">
        <v>0</v>
      </c>
      <c r="D618" s="3629">
        <v>0</v>
      </c>
      <c r="E618"/>
      <c r="F618"/>
      <c r="G618" s="4823"/>
      <c r="H618" s="4823"/>
      <c r="I618" s="4823"/>
      <c r="J618" s="4823"/>
      <c r="K618"/>
      <c r="L618"/>
      <c r="M618"/>
      <c r="N618"/>
      <c r="O618"/>
      <c r="P618"/>
      <c r="Q618"/>
      <c r="R618"/>
    </row>
    <row r="619" spans="1:18" ht="15">
      <c r="A619" s="3627">
        <v>43983</v>
      </c>
      <c r="B619" s="3628">
        <v>74</v>
      </c>
      <c r="C619" s="3628">
        <v>0</v>
      </c>
      <c r="D619" s="3629">
        <v>0</v>
      </c>
      <c r="E619"/>
      <c r="F619"/>
      <c r="G619" s="4818"/>
      <c r="H619" s="4818"/>
      <c r="I619" s="4818"/>
      <c r="J619" s="4818"/>
      <c r="K619"/>
      <c r="L619"/>
      <c r="M619"/>
      <c r="N619"/>
      <c r="O619"/>
      <c r="P619"/>
      <c r="Q619"/>
      <c r="R619"/>
    </row>
    <row r="620" spans="1:18" ht="15">
      <c r="A620" s="3627">
        <v>44013</v>
      </c>
      <c r="B620" s="3628">
        <v>267</v>
      </c>
      <c r="C620" s="3628">
        <v>0</v>
      </c>
      <c r="D620" s="3629">
        <v>2</v>
      </c>
      <c r="E620" s="3598"/>
      <c r="F620" s="570"/>
      <c r="G620" s="4818"/>
      <c r="H620" s="4818"/>
      <c r="I620" s="4818"/>
      <c r="J620" s="4818"/>
      <c r="K620"/>
      <c r="L620"/>
      <c r="M620"/>
      <c r="N620"/>
      <c r="O620"/>
      <c r="P620"/>
      <c r="Q620"/>
      <c r="R620"/>
    </row>
    <row r="621" spans="1:18" ht="15">
      <c r="A621" s="3627">
        <v>44044</v>
      </c>
      <c r="B621" s="3628">
        <v>338</v>
      </c>
      <c r="C621" s="3628">
        <v>0</v>
      </c>
      <c r="D621" s="3629">
        <v>9</v>
      </c>
      <c r="E621"/>
      <c r="F621" s="3599"/>
      <c r="G621" s="4818"/>
      <c r="H621" s="4818"/>
      <c r="I621" s="4818"/>
      <c r="J621" s="4818"/>
      <c r="K621"/>
      <c r="L621"/>
      <c r="M621"/>
      <c r="N621"/>
      <c r="O621"/>
      <c r="P621"/>
      <c r="Q621"/>
      <c r="R621"/>
    </row>
    <row r="622" spans="1:18" ht="15">
      <c r="A622" s="3627">
        <v>44075</v>
      </c>
      <c r="B622" s="3628">
        <v>253</v>
      </c>
      <c r="C622" s="3628">
        <v>20</v>
      </c>
      <c r="D622" s="3629">
        <v>2</v>
      </c>
      <c r="E622" s="3600"/>
      <c r="F622" s="3601"/>
      <c r="G622" s="4818"/>
      <c r="H622" s="4818"/>
      <c r="I622" s="4818"/>
      <c r="J622" s="4818"/>
      <c r="K622"/>
      <c r="L622"/>
      <c r="M622"/>
      <c r="N622"/>
      <c r="O622"/>
      <c r="P622"/>
      <c r="Q622"/>
      <c r="R622"/>
    </row>
    <row r="623" spans="1:18" ht="15">
      <c r="A623" s="3627">
        <v>44105</v>
      </c>
      <c r="B623" s="3628">
        <v>150</v>
      </c>
      <c r="C623" s="3628">
        <v>0</v>
      </c>
      <c r="D623" s="3629">
        <v>1</v>
      </c>
      <c r="E623"/>
      <c r="F623"/>
      <c r="G623" s="4818"/>
      <c r="H623" s="4818"/>
      <c r="I623" s="4818"/>
      <c r="J623" s="4818"/>
      <c r="K623"/>
      <c r="L623"/>
      <c r="M623"/>
      <c r="N623"/>
      <c r="O623"/>
      <c r="P623"/>
      <c r="Q623"/>
      <c r="R623"/>
    </row>
    <row r="624" spans="1:18" ht="15">
      <c r="A624" s="3627">
        <v>44136</v>
      </c>
      <c r="B624" s="3628">
        <v>0</v>
      </c>
      <c r="C624" s="3628">
        <v>0</v>
      </c>
      <c r="D624" s="3629">
        <v>1</v>
      </c>
      <c r="E624"/>
      <c r="F624"/>
      <c r="G624" s="4818"/>
      <c r="H624" s="4818"/>
      <c r="I624" s="4818"/>
      <c r="J624" s="4818"/>
      <c r="K624"/>
      <c r="L624"/>
      <c r="M624"/>
      <c r="N624"/>
      <c r="O624"/>
      <c r="P624"/>
      <c r="Q624"/>
      <c r="R624"/>
    </row>
    <row r="625" spans="1:18" ht="15">
      <c r="A625" s="3627">
        <v>44166</v>
      </c>
      <c r="B625" s="3628">
        <v>103</v>
      </c>
      <c r="C625" s="3628">
        <v>0</v>
      </c>
      <c r="D625" s="3629">
        <v>0</v>
      </c>
      <c r="E625"/>
      <c r="F625"/>
      <c r="G625" s="4818"/>
      <c r="H625" s="4818"/>
      <c r="I625" s="4818"/>
      <c r="J625" s="4818"/>
      <c r="K625"/>
      <c r="L625"/>
      <c r="M625"/>
      <c r="N625"/>
      <c r="O625"/>
      <c r="P625"/>
      <c r="Q625"/>
      <c r="R625"/>
    </row>
    <row r="626" spans="1:18" ht="15">
      <c r="A626" s="3630"/>
      <c r="B626" s="3580"/>
      <c r="C626" s="3580"/>
      <c r="D626" s="3580"/>
      <c r="E626"/>
      <c r="F626"/>
      <c r="G626" s="4818"/>
      <c r="H626" s="4818"/>
      <c r="I626" s="4818"/>
      <c r="J626" s="4818"/>
      <c r="K626"/>
      <c r="L626"/>
      <c r="M626"/>
      <c r="N626"/>
      <c r="O626"/>
      <c r="P626"/>
      <c r="Q626"/>
      <c r="R626"/>
    </row>
    <row r="627" spans="1:18" ht="15">
      <c r="A627" s="3631" t="s">
        <v>8</v>
      </c>
      <c r="B627" s="3632">
        <v>1520</v>
      </c>
      <c r="C627" s="3632">
        <v>20</v>
      </c>
      <c r="D627" s="3632">
        <v>16</v>
      </c>
      <c r="E627"/>
      <c r="F627"/>
      <c r="G627" s="4818"/>
      <c r="H627" s="4818"/>
      <c r="I627" s="4818"/>
      <c r="J627" s="4818"/>
      <c r="K627"/>
      <c r="L627"/>
      <c r="M627"/>
      <c r="N627"/>
      <c r="O627"/>
      <c r="P627"/>
      <c r="Q627"/>
      <c r="R627"/>
    </row>
    <row r="628" spans="1:18" ht="15">
      <c r="A628" s="3602"/>
      <c r="B628"/>
      <c r="C628"/>
      <c r="D628"/>
      <c r="E628"/>
      <c r="F628"/>
      <c r="G628"/>
      <c r="H628"/>
      <c r="I628"/>
      <c r="J628"/>
      <c r="K628"/>
      <c r="L628"/>
      <c r="M628"/>
      <c r="N628"/>
      <c r="O628"/>
      <c r="P628"/>
      <c r="Q628"/>
      <c r="R628"/>
    </row>
    <row r="631" spans="1:18" ht="19.5" customHeight="1">
      <c r="A631" s="3648"/>
      <c r="B631" s="3648"/>
      <c r="C631" s="3648"/>
      <c r="D631" s="3648"/>
      <c r="E631" s="3648"/>
      <c r="F631" s="3648"/>
      <c r="G631" s="3648"/>
    </row>
    <row r="632" spans="1:18" s="3647" customFormat="1" ht="11.25">
      <c r="A632" s="3633" t="s">
        <v>7294</v>
      </c>
      <c r="B632" s="3633"/>
      <c r="C632" s="3633"/>
      <c r="D632" s="3633"/>
      <c r="E632" s="3633"/>
      <c r="F632" s="3633"/>
      <c r="G632" s="3633">
        <v>7107</v>
      </c>
    </row>
    <row r="633" spans="1:18" s="3647" customFormat="1" ht="11.25">
      <c r="A633" s="3667" t="s">
        <v>6114</v>
      </c>
      <c r="B633" s="3668" t="s">
        <v>6115</v>
      </c>
      <c r="C633" s="3668" t="s">
        <v>6116</v>
      </c>
      <c r="D633" s="3668" t="s">
        <v>6117</v>
      </c>
      <c r="E633" s="3668" t="s">
        <v>6118</v>
      </c>
      <c r="F633" s="3668" t="s">
        <v>6119</v>
      </c>
      <c r="G633" s="3669" t="s">
        <v>217</v>
      </c>
      <c r="H633" s="3650"/>
      <c r="I633" s="3650"/>
      <c r="J633" s="3650"/>
    </row>
    <row r="634" spans="1:18" s="3647" customFormat="1" ht="11.25">
      <c r="A634" s="3661">
        <v>43995</v>
      </c>
      <c r="B634" s="1439">
        <v>10</v>
      </c>
      <c r="C634" s="1439">
        <v>17</v>
      </c>
      <c r="D634" s="1383" t="s">
        <v>6139</v>
      </c>
      <c r="E634" s="1348">
        <v>24</v>
      </c>
      <c r="F634" s="3653"/>
      <c r="G634" s="3662"/>
      <c r="H634" s="3650"/>
      <c r="I634" s="3650"/>
      <c r="J634" s="3650"/>
    </row>
    <row r="635" spans="1:18" s="3647" customFormat="1" ht="11.25">
      <c r="A635" s="3661">
        <v>43996</v>
      </c>
      <c r="B635" s="1439">
        <v>10</v>
      </c>
      <c r="C635" s="1439">
        <v>17</v>
      </c>
      <c r="D635" s="3654" t="s">
        <v>6148</v>
      </c>
      <c r="E635" s="1348">
        <v>34</v>
      </c>
      <c r="F635" s="3653"/>
      <c r="G635" s="3663"/>
      <c r="H635" s="3650"/>
      <c r="I635" s="3650"/>
      <c r="J635" s="3650"/>
    </row>
    <row r="636" spans="1:18" s="3647" customFormat="1" ht="11.25">
      <c r="A636" s="3661">
        <v>44002</v>
      </c>
      <c r="B636" s="1439">
        <v>10</v>
      </c>
      <c r="C636" s="1439">
        <v>17</v>
      </c>
      <c r="D636" s="3654" t="s">
        <v>7295</v>
      </c>
      <c r="E636" s="1348">
        <v>50</v>
      </c>
      <c r="F636" s="3653"/>
      <c r="G636" s="3662"/>
      <c r="H636" s="3650"/>
      <c r="I636" s="3650"/>
      <c r="J636" s="3650"/>
    </row>
    <row r="637" spans="1:18" s="3647" customFormat="1" ht="11.25">
      <c r="A637" s="3661">
        <v>44003</v>
      </c>
      <c r="B637" s="1439">
        <v>10</v>
      </c>
      <c r="C637" s="1439">
        <v>17</v>
      </c>
      <c r="D637" s="3654" t="s">
        <v>6133</v>
      </c>
      <c r="E637" s="1348">
        <v>69</v>
      </c>
      <c r="F637" s="3653"/>
      <c r="G637" s="3663"/>
      <c r="H637" s="3650"/>
      <c r="I637" s="3650"/>
      <c r="J637" s="3650"/>
    </row>
    <row r="638" spans="1:18" s="3647" customFormat="1" ht="11.25">
      <c r="A638" s="3661">
        <v>44009</v>
      </c>
      <c r="B638" s="1439">
        <v>10</v>
      </c>
      <c r="C638" s="1439">
        <v>17</v>
      </c>
      <c r="D638" s="3654" t="s">
        <v>6133</v>
      </c>
      <c r="E638" s="1348">
        <v>88</v>
      </c>
      <c r="F638" s="3651"/>
      <c r="G638" s="3663"/>
      <c r="H638" s="3650"/>
      <c r="I638" s="3650"/>
      <c r="J638" s="3650"/>
    </row>
    <row r="639" spans="1:18" s="3647" customFormat="1" ht="11.25">
      <c r="A639" s="3661">
        <v>44010</v>
      </c>
      <c r="B639" s="1439">
        <v>10</v>
      </c>
      <c r="C639" s="1439">
        <v>17</v>
      </c>
      <c r="D639" s="3654" t="s">
        <v>6148</v>
      </c>
      <c r="E639" s="1348">
        <v>119</v>
      </c>
      <c r="F639" s="3651"/>
      <c r="G639" s="3663"/>
      <c r="H639" s="3650"/>
      <c r="I639" s="3650"/>
      <c r="J639" s="3650"/>
    </row>
    <row r="640" spans="1:18" s="3647" customFormat="1" ht="11.25">
      <c r="A640" s="3655"/>
      <c r="B640" s="3656"/>
      <c r="C640" s="3656"/>
      <c r="D640" s="3657" t="s">
        <v>6132</v>
      </c>
      <c r="E640" s="3658">
        <v>384</v>
      </c>
      <c r="F640" s="3659"/>
      <c r="G640" s="3660"/>
      <c r="H640" s="3650"/>
      <c r="I640" s="3650"/>
      <c r="J640" s="3650"/>
    </row>
    <row r="641" spans="1:10" s="3647" customFormat="1" ht="11.25">
      <c r="A641" s="3661">
        <v>44013</v>
      </c>
      <c r="B641" s="1348">
        <v>10</v>
      </c>
      <c r="C641" s="1348">
        <v>17</v>
      </c>
      <c r="D641" s="1383" t="s">
        <v>6139</v>
      </c>
      <c r="E641" s="3652">
        <v>47</v>
      </c>
      <c r="F641" s="3651"/>
      <c r="G641" s="3641" t="s">
        <v>7296</v>
      </c>
      <c r="H641" s="3650"/>
      <c r="I641" s="3650"/>
      <c r="J641" s="3650"/>
    </row>
    <row r="642" spans="1:10" s="3647" customFormat="1" ht="11.25">
      <c r="A642" s="3661">
        <v>44014</v>
      </c>
      <c r="B642" s="1348">
        <v>10</v>
      </c>
      <c r="C642" s="1348">
        <v>17</v>
      </c>
      <c r="D642" s="1383" t="s">
        <v>6149</v>
      </c>
      <c r="E642" s="3652">
        <v>65</v>
      </c>
      <c r="F642" s="3651"/>
      <c r="G642" s="3641"/>
      <c r="H642" s="3650"/>
      <c r="I642" s="3650"/>
      <c r="J642" s="3650"/>
    </row>
    <row r="643" spans="1:10" s="3647" customFormat="1" ht="11.25">
      <c r="A643" s="3661">
        <v>44015</v>
      </c>
      <c r="B643" s="1348">
        <v>10</v>
      </c>
      <c r="C643" s="1348">
        <v>17</v>
      </c>
      <c r="D643" s="1383" t="s">
        <v>6139</v>
      </c>
      <c r="E643" s="3652">
        <v>54</v>
      </c>
      <c r="F643" s="3651"/>
      <c r="G643" s="3664"/>
      <c r="H643" s="3650"/>
      <c r="I643" s="3650"/>
      <c r="J643" s="3650"/>
    </row>
    <row r="644" spans="1:10" s="3647" customFormat="1" ht="11.25">
      <c r="A644" s="3661">
        <v>44016</v>
      </c>
      <c r="B644" s="1348">
        <v>10</v>
      </c>
      <c r="C644" s="1439">
        <v>17</v>
      </c>
      <c r="D644" s="1383" t="s">
        <v>7297</v>
      </c>
      <c r="E644" s="3652">
        <v>112</v>
      </c>
      <c r="F644" s="3653"/>
      <c r="G644" s="3662" t="s">
        <v>6281</v>
      </c>
      <c r="H644" s="3650"/>
      <c r="I644" s="3650"/>
      <c r="J644" s="3650"/>
    </row>
    <row r="645" spans="1:10" s="3647" customFormat="1" ht="11.25">
      <c r="A645" s="3661">
        <v>44017</v>
      </c>
      <c r="B645" s="1348">
        <v>10</v>
      </c>
      <c r="C645" s="1348">
        <v>17</v>
      </c>
      <c r="D645" s="1383" t="s">
        <v>6133</v>
      </c>
      <c r="E645" s="3652">
        <v>87</v>
      </c>
      <c r="F645" s="3653"/>
      <c r="G645" s="3663"/>
      <c r="H645" s="3650"/>
      <c r="I645" s="3650"/>
      <c r="J645" s="3650"/>
    </row>
    <row r="646" spans="1:10" s="3647" customFormat="1" ht="11.25">
      <c r="A646" s="3661">
        <v>44018</v>
      </c>
      <c r="B646" s="1348">
        <v>10</v>
      </c>
      <c r="C646" s="1348">
        <v>17</v>
      </c>
      <c r="D646" s="3654" t="s">
        <v>6129</v>
      </c>
      <c r="E646" s="3652">
        <v>63</v>
      </c>
      <c r="F646" s="3653"/>
      <c r="G646" s="3663"/>
      <c r="H646" s="3650"/>
      <c r="I646" s="3650"/>
      <c r="J646" s="3650"/>
    </row>
    <row r="647" spans="1:10" s="3647" customFormat="1" ht="11.25">
      <c r="A647" s="3661">
        <v>44019</v>
      </c>
      <c r="B647" s="1348">
        <v>10</v>
      </c>
      <c r="C647" s="1348">
        <v>17</v>
      </c>
      <c r="D647" s="1383" t="s">
        <v>6148</v>
      </c>
      <c r="E647" s="3652">
        <v>74</v>
      </c>
      <c r="F647" s="3651"/>
      <c r="G647" s="3664"/>
      <c r="H647" s="3650"/>
      <c r="I647" s="3650"/>
      <c r="J647" s="3650"/>
    </row>
    <row r="648" spans="1:10" s="3647" customFormat="1" ht="11.25">
      <c r="A648" s="3661">
        <v>44020</v>
      </c>
      <c r="B648" s="1348">
        <v>10</v>
      </c>
      <c r="C648" s="1348">
        <v>17</v>
      </c>
      <c r="D648" s="1383" t="s">
        <v>7297</v>
      </c>
      <c r="E648" s="3652">
        <v>76</v>
      </c>
      <c r="F648" s="3651"/>
      <c r="G648" s="3663" t="s">
        <v>6281</v>
      </c>
      <c r="H648" s="3650"/>
      <c r="I648" s="3650"/>
      <c r="J648" s="3650"/>
    </row>
    <row r="649" spans="1:10" s="3647" customFormat="1" ht="11.25">
      <c r="A649" s="3661">
        <v>44021</v>
      </c>
      <c r="B649" s="1348">
        <v>10</v>
      </c>
      <c r="C649" s="1348">
        <v>17</v>
      </c>
      <c r="D649" s="1383" t="s">
        <v>6243</v>
      </c>
      <c r="E649" s="3652">
        <v>130</v>
      </c>
      <c r="F649" s="3651"/>
      <c r="G649" s="3664"/>
      <c r="H649" s="3650"/>
      <c r="I649" s="3650"/>
      <c r="J649" s="3650"/>
    </row>
    <row r="650" spans="1:10" s="3647" customFormat="1" ht="11.25">
      <c r="A650" s="3661">
        <v>44022</v>
      </c>
      <c r="B650" s="1348">
        <v>10</v>
      </c>
      <c r="C650" s="1348">
        <v>17</v>
      </c>
      <c r="D650" s="1383" t="s">
        <v>6139</v>
      </c>
      <c r="E650" s="3652">
        <v>63</v>
      </c>
      <c r="F650" s="3651"/>
      <c r="G650" s="3663"/>
      <c r="H650" s="3650"/>
      <c r="I650" s="3650"/>
      <c r="J650" s="3650"/>
    </row>
    <row r="651" spans="1:10" s="3647" customFormat="1" ht="11.25">
      <c r="A651" s="3661">
        <v>44023</v>
      </c>
      <c r="B651" s="1348">
        <v>10</v>
      </c>
      <c r="C651" s="1348">
        <v>17</v>
      </c>
      <c r="D651" s="1383" t="s">
        <v>6149</v>
      </c>
      <c r="E651" s="3652">
        <v>80</v>
      </c>
      <c r="F651" s="3651"/>
      <c r="G651" s="3663"/>
      <c r="H651" s="3650"/>
      <c r="I651" s="3650"/>
      <c r="J651" s="3650"/>
    </row>
    <row r="652" spans="1:10" s="3647" customFormat="1" ht="11.25">
      <c r="A652" s="3661">
        <v>44024</v>
      </c>
      <c r="B652" s="1348">
        <v>10</v>
      </c>
      <c r="C652" s="1348">
        <v>17</v>
      </c>
      <c r="D652" s="1383" t="s">
        <v>6148</v>
      </c>
      <c r="E652" s="3652">
        <v>51</v>
      </c>
      <c r="F652" s="3651"/>
      <c r="G652" s="3663"/>
      <c r="H652" s="3650"/>
      <c r="I652" s="3650"/>
      <c r="J652" s="3650"/>
    </row>
    <row r="653" spans="1:10" s="3647" customFormat="1" ht="11.25">
      <c r="A653" s="3661">
        <v>44025</v>
      </c>
      <c r="B653" s="1348">
        <v>10</v>
      </c>
      <c r="C653" s="1348">
        <v>17</v>
      </c>
      <c r="D653" s="1383" t="s">
        <v>6149</v>
      </c>
      <c r="E653" s="3652">
        <v>54</v>
      </c>
      <c r="F653" s="3651"/>
      <c r="G653" s="3663" t="s">
        <v>7298</v>
      </c>
      <c r="H653" s="3650"/>
      <c r="I653" s="3650"/>
      <c r="J653" s="3650"/>
    </row>
    <row r="654" spans="1:10" s="3647" customFormat="1" ht="11.25">
      <c r="A654" s="3661">
        <v>44026</v>
      </c>
      <c r="B654" s="1348">
        <v>10</v>
      </c>
      <c r="C654" s="1348">
        <v>17</v>
      </c>
      <c r="D654" s="1383" t="s">
        <v>7297</v>
      </c>
      <c r="E654" s="3652">
        <v>153</v>
      </c>
      <c r="F654" s="3651"/>
      <c r="G654" s="3663" t="s">
        <v>6281</v>
      </c>
      <c r="H654" s="3650"/>
      <c r="I654" s="3650"/>
      <c r="J654" s="3650"/>
    </row>
    <row r="655" spans="1:10" s="3647" customFormat="1" ht="11.25">
      <c r="A655" s="3661">
        <v>44027</v>
      </c>
      <c r="B655" s="1348">
        <v>10</v>
      </c>
      <c r="C655" s="1348">
        <v>17</v>
      </c>
      <c r="D655" s="1383" t="s">
        <v>6139</v>
      </c>
      <c r="E655" s="3652">
        <v>72</v>
      </c>
      <c r="F655" s="3651"/>
      <c r="G655" s="3663"/>
      <c r="H655" s="3650"/>
      <c r="I655" s="3650"/>
      <c r="J655" s="3650"/>
    </row>
    <row r="656" spans="1:10" s="3647" customFormat="1" ht="11.25">
      <c r="A656" s="3661">
        <v>44028</v>
      </c>
      <c r="B656" s="1348">
        <v>10</v>
      </c>
      <c r="C656" s="1348">
        <v>17</v>
      </c>
      <c r="D656" s="1383" t="s">
        <v>6133</v>
      </c>
      <c r="E656" s="3652">
        <v>104</v>
      </c>
      <c r="F656" s="3651"/>
      <c r="G656" s="3663"/>
      <c r="H656" s="3650"/>
      <c r="I656" s="3650"/>
      <c r="J656" s="3650"/>
    </row>
    <row r="657" spans="1:10" s="3647" customFormat="1" ht="11.25">
      <c r="A657" s="3661">
        <v>44029</v>
      </c>
      <c r="B657" s="1348">
        <v>10</v>
      </c>
      <c r="C657" s="1348">
        <v>17</v>
      </c>
      <c r="D657" s="1383" t="s">
        <v>6129</v>
      </c>
      <c r="E657" s="3652">
        <v>72</v>
      </c>
      <c r="F657" s="3651"/>
      <c r="G657" s="3663"/>
      <c r="H657" s="3650"/>
      <c r="I657" s="3650"/>
      <c r="J657" s="3650"/>
    </row>
    <row r="658" spans="1:10" s="3647" customFormat="1" ht="11.25">
      <c r="A658" s="3661">
        <v>44030</v>
      </c>
      <c r="B658" s="1348">
        <v>10</v>
      </c>
      <c r="C658" s="1348">
        <v>17</v>
      </c>
      <c r="D658" s="1383" t="s">
        <v>6149</v>
      </c>
      <c r="E658" s="3652">
        <v>129</v>
      </c>
      <c r="F658" s="3651"/>
      <c r="G658" s="3663"/>
      <c r="H658" s="3650"/>
      <c r="I658" s="3650"/>
      <c r="J658" s="3650"/>
    </row>
    <row r="659" spans="1:10" s="3647" customFormat="1" ht="11.25">
      <c r="A659" s="3661">
        <v>44031</v>
      </c>
      <c r="B659" s="1348">
        <v>10</v>
      </c>
      <c r="C659" s="1348">
        <v>17</v>
      </c>
      <c r="D659" s="1383" t="s">
        <v>6133</v>
      </c>
      <c r="E659" s="3652">
        <v>135</v>
      </c>
      <c r="F659" s="3651"/>
      <c r="G659" s="3663"/>
      <c r="H659" s="3650"/>
      <c r="I659" s="3650"/>
      <c r="J659" s="3650"/>
    </row>
    <row r="660" spans="1:10" s="3647" customFormat="1" ht="11.25">
      <c r="A660" s="3661">
        <v>44032</v>
      </c>
      <c r="B660" s="1348">
        <v>10</v>
      </c>
      <c r="C660" s="1348">
        <v>17</v>
      </c>
      <c r="D660" s="1383" t="s">
        <v>6133</v>
      </c>
      <c r="E660" s="3652">
        <v>114</v>
      </c>
      <c r="F660" s="3651"/>
      <c r="G660" s="3663"/>
      <c r="H660" s="3650"/>
      <c r="I660" s="3650"/>
      <c r="J660" s="3650"/>
    </row>
    <row r="661" spans="1:10" s="3647" customFormat="1" ht="11.25">
      <c r="A661" s="3661">
        <v>44033</v>
      </c>
      <c r="B661" s="1348">
        <v>10</v>
      </c>
      <c r="C661" s="1348">
        <v>17</v>
      </c>
      <c r="D661" s="1383" t="s">
        <v>6129</v>
      </c>
      <c r="E661" s="3652">
        <v>77</v>
      </c>
      <c r="F661" s="3651"/>
      <c r="G661" s="3663"/>
      <c r="H661" s="3650"/>
      <c r="I661" s="3650"/>
      <c r="J661" s="3650"/>
    </row>
    <row r="662" spans="1:10" s="3647" customFormat="1" ht="11.25">
      <c r="A662" s="3661">
        <v>44034</v>
      </c>
      <c r="B662" s="1348">
        <v>10</v>
      </c>
      <c r="C662" s="1348">
        <v>17</v>
      </c>
      <c r="D662" s="1383" t="s">
        <v>6139</v>
      </c>
      <c r="E662" s="3652">
        <v>131</v>
      </c>
      <c r="F662" s="3651"/>
      <c r="G662" s="3663"/>
      <c r="H662" s="3650"/>
      <c r="I662" s="3650"/>
      <c r="J662" s="3650"/>
    </row>
    <row r="663" spans="1:10" s="3647" customFormat="1" ht="11.25">
      <c r="A663" s="3661">
        <v>44035</v>
      </c>
      <c r="B663" s="1348">
        <v>10</v>
      </c>
      <c r="C663" s="1348">
        <v>17</v>
      </c>
      <c r="D663" s="1383" t="s">
        <v>6148</v>
      </c>
      <c r="E663" s="3652">
        <v>111</v>
      </c>
      <c r="F663" s="3651"/>
      <c r="G663" s="3663"/>
      <c r="H663" s="3650"/>
      <c r="I663" s="3650"/>
      <c r="J663" s="3650"/>
    </row>
    <row r="664" spans="1:10" s="3647" customFormat="1" ht="11.25">
      <c r="A664" s="3661">
        <v>44036</v>
      </c>
      <c r="B664" s="1348">
        <v>10</v>
      </c>
      <c r="C664" s="1348">
        <v>17</v>
      </c>
      <c r="D664" s="1383" t="s">
        <v>6148</v>
      </c>
      <c r="E664" s="3652">
        <v>163</v>
      </c>
      <c r="F664" s="3651"/>
      <c r="G664" s="3663"/>
      <c r="H664" s="3650"/>
      <c r="I664" s="3650"/>
      <c r="J664" s="3650"/>
    </row>
    <row r="665" spans="1:10" s="3647" customFormat="1" ht="11.25">
      <c r="A665" s="3661">
        <v>44037</v>
      </c>
      <c r="B665" s="1348">
        <v>10</v>
      </c>
      <c r="C665" s="1348">
        <v>17</v>
      </c>
      <c r="D665" s="1383" t="s">
        <v>7297</v>
      </c>
      <c r="E665" s="3652">
        <v>130</v>
      </c>
      <c r="F665" s="3651"/>
      <c r="G665" s="3663"/>
      <c r="H665" s="3650"/>
      <c r="I665" s="3650"/>
      <c r="J665" s="3650"/>
    </row>
    <row r="666" spans="1:10" s="3647" customFormat="1" ht="11.25">
      <c r="A666" s="3661">
        <v>44038</v>
      </c>
      <c r="B666" s="1348">
        <v>10</v>
      </c>
      <c r="C666" s="1348">
        <v>17</v>
      </c>
      <c r="D666" s="1383" t="s">
        <v>6148</v>
      </c>
      <c r="E666" s="3652">
        <v>159</v>
      </c>
      <c r="F666" s="3651"/>
      <c r="G666" s="3663"/>
      <c r="H666" s="3650"/>
      <c r="I666" s="3650"/>
      <c r="J666" s="3650"/>
    </row>
    <row r="667" spans="1:10" s="3647" customFormat="1" ht="11.25">
      <c r="A667" s="3661">
        <v>44039</v>
      </c>
      <c r="B667" s="1348">
        <v>10</v>
      </c>
      <c r="C667" s="1348">
        <v>17</v>
      </c>
      <c r="D667" s="1383" t="s">
        <v>6148</v>
      </c>
      <c r="E667" s="3652">
        <v>96</v>
      </c>
      <c r="F667" s="3651"/>
      <c r="G667" s="3663"/>
      <c r="H667" s="3650"/>
      <c r="I667" s="3650"/>
      <c r="J667" s="3650"/>
    </row>
    <row r="668" spans="1:10" s="3647" customFormat="1" ht="11.25">
      <c r="A668" s="3661">
        <v>44040</v>
      </c>
      <c r="B668" s="1348">
        <v>10</v>
      </c>
      <c r="C668" s="1348">
        <v>17</v>
      </c>
      <c r="D668" s="1383" t="s">
        <v>7297</v>
      </c>
      <c r="E668" s="3652">
        <v>102</v>
      </c>
      <c r="F668" s="3651"/>
      <c r="G668" s="3663" t="s">
        <v>7299</v>
      </c>
      <c r="H668" s="3650"/>
      <c r="I668" s="3650"/>
      <c r="J668" s="3650"/>
    </row>
    <row r="669" spans="1:10" s="3647" customFormat="1" ht="11.25">
      <c r="A669" s="3661">
        <v>44041</v>
      </c>
      <c r="B669" s="1348">
        <v>10</v>
      </c>
      <c r="C669" s="1348">
        <v>17</v>
      </c>
      <c r="D669" s="1383" t="s">
        <v>6139</v>
      </c>
      <c r="E669" s="3652">
        <v>119</v>
      </c>
      <c r="F669" s="3651"/>
      <c r="G669" s="3663"/>
      <c r="H669" s="3650"/>
      <c r="I669" s="3650"/>
      <c r="J669" s="3650"/>
    </row>
    <row r="670" spans="1:10" s="3647" customFormat="1" ht="11.25">
      <c r="A670" s="3661">
        <v>44042</v>
      </c>
      <c r="B670" s="1348">
        <v>10</v>
      </c>
      <c r="C670" s="1348">
        <v>17</v>
      </c>
      <c r="D670" s="1383" t="s">
        <v>6129</v>
      </c>
      <c r="E670" s="3652">
        <v>60</v>
      </c>
      <c r="F670" s="3651"/>
      <c r="G670" s="3663"/>
      <c r="H670" s="3650"/>
      <c r="I670" s="3650"/>
      <c r="J670" s="3650"/>
    </row>
    <row r="671" spans="1:10" s="3647" customFormat="1" ht="11.25">
      <c r="A671" s="3661">
        <v>44043</v>
      </c>
      <c r="B671" s="1348">
        <v>10</v>
      </c>
      <c r="C671" s="1348">
        <v>17</v>
      </c>
      <c r="D671" s="1383" t="s">
        <v>6133</v>
      </c>
      <c r="E671" s="3652">
        <v>54</v>
      </c>
      <c r="F671" s="3651"/>
      <c r="G671" s="3663"/>
      <c r="H671" s="3650"/>
      <c r="I671" s="3650"/>
      <c r="J671" s="3650"/>
    </row>
    <row r="672" spans="1:10" s="3647" customFormat="1" ht="11.25">
      <c r="A672" s="3670"/>
      <c r="B672" s="3671"/>
      <c r="C672" s="3671"/>
      <c r="D672" s="3672" t="s">
        <v>6155</v>
      </c>
      <c r="E672" s="3673">
        <v>2937</v>
      </c>
      <c r="F672" s="3674"/>
      <c r="G672" s="3675"/>
      <c r="H672" s="3650"/>
      <c r="I672" s="3650"/>
      <c r="J672" s="3650"/>
    </row>
    <row r="673" spans="1:10" s="3647" customFormat="1" ht="11.25">
      <c r="A673" s="3661">
        <v>44044</v>
      </c>
      <c r="B673" s="1348">
        <v>10</v>
      </c>
      <c r="C673" s="1348">
        <v>17</v>
      </c>
      <c r="D673" s="1383" t="s">
        <v>6148</v>
      </c>
      <c r="E673" s="3652">
        <v>98</v>
      </c>
      <c r="F673" s="3651"/>
      <c r="G673" s="3663" t="s">
        <v>235</v>
      </c>
      <c r="H673" s="3650"/>
      <c r="I673" s="3650"/>
      <c r="J673" s="3650"/>
    </row>
    <row r="674" spans="1:10" s="3647" customFormat="1" ht="11.25">
      <c r="A674" s="3661">
        <v>44045</v>
      </c>
      <c r="B674" s="1348">
        <v>10</v>
      </c>
      <c r="C674" s="1348">
        <v>17</v>
      </c>
      <c r="D674" s="1383" t="s">
        <v>6129</v>
      </c>
      <c r="E674" s="3652">
        <v>74</v>
      </c>
      <c r="F674" s="3651"/>
      <c r="G674" s="3663"/>
      <c r="H674" s="3650"/>
      <c r="I674" s="3650"/>
      <c r="J674" s="3650"/>
    </row>
    <row r="675" spans="1:10" s="3647" customFormat="1" ht="11.25">
      <c r="A675" s="3661">
        <v>44046</v>
      </c>
      <c r="B675" s="1348">
        <v>10</v>
      </c>
      <c r="C675" s="1348">
        <v>17</v>
      </c>
      <c r="D675" s="1383" t="s">
        <v>6148</v>
      </c>
      <c r="E675" s="3652">
        <v>112</v>
      </c>
      <c r="F675" s="3651"/>
      <c r="G675" s="3663"/>
      <c r="H675" s="3650"/>
      <c r="I675" s="3650"/>
      <c r="J675" s="3650"/>
    </row>
    <row r="676" spans="1:10" s="3647" customFormat="1" ht="11.25">
      <c r="A676" s="3661">
        <v>44047</v>
      </c>
      <c r="B676" s="1348">
        <v>10</v>
      </c>
      <c r="C676" s="1348">
        <v>17</v>
      </c>
      <c r="D676" s="1383" t="s">
        <v>6133</v>
      </c>
      <c r="E676" s="3652">
        <v>82</v>
      </c>
      <c r="F676" s="3651"/>
      <c r="G676" s="3664"/>
      <c r="H676" s="3650"/>
      <c r="I676" s="3650"/>
      <c r="J676" s="3650"/>
    </row>
    <row r="677" spans="1:10" s="3647" customFormat="1" ht="11.25">
      <c r="A677" s="3661">
        <v>44048</v>
      </c>
      <c r="B677" s="1348">
        <v>10</v>
      </c>
      <c r="C677" s="1348">
        <v>17</v>
      </c>
      <c r="D677" s="1383" t="s">
        <v>6139</v>
      </c>
      <c r="E677" s="3652">
        <v>78</v>
      </c>
      <c r="F677" s="3651"/>
      <c r="G677" s="3665" t="s">
        <v>7300</v>
      </c>
      <c r="H677" s="3650"/>
      <c r="I677" s="3650"/>
      <c r="J677" s="3650"/>
    </row>
    <row r="678" spans="1:10" s="3647" customFormat="1" ht="11.25">
      <c r="A678" s="3661">
        <v>44049</v>
      </c>
      <c r="B678" s="1348">
        <v>10</v>
      </c>
      <c r="C678" s="1348">
        <v>17</v>
      </c>
      <c r="D678" s="1383" t="s">
        <v>6129</v>
      </c>
      <c r="E678" s="3652">
        <v>117</v>
      </c>
      <c r="F678" s="3651"/>
      <c r="G678" s="3665"/>
      <c r="H678" s="3650"/>
      <c r="I678" s="3650"/>
      <c r="J678" s="3650"/>
    </row>
    <row r="679" spans="1:10" s="3647" customFormat="1" ht="11.25">
      <c r="A679" s="3661">
        <v>44050</v>
      </c>
      <c r="B679" s="1348">
        <v>10</v>
      </c>
      <c r="C679" s="1348">
        <v>17</v>
      </c>
      <c r="D679" s="1383" t="s">
        <v>6148</v>
      </c>
      <c r="E679" s="3652">
        <v>88</v>
      </c>
      <c r="F679" s="3651"/>
      <c r="G679" s="3665"/>
      <c r="H679" s="3650"/>
      <c r="I679" s="3650"/>
      <c r="J679" s="3650"/>
    </row>
    <row r="680" spans="1:10" s="3647" customFormat="1" ht="11.25">
      <c r="A680" s="3661">
        <v>44051</v>
      </c>
      <c r="B680" s="1348">
        <v>10</v>
      </c>
      <c r="C680" s="1348">
        <v>17</v>
      </c>
      <c r="D680" s="1383" t="s">
        <v>6133</v>
      </c>
      <c r="E680" s="3652">
        <v>65</v>
      </c>
      <c r="F680" s="3651"/>
      <c r="G680" s="3665"/>
      <c r="H680" s="3650"/>
      <c r="I680" s="3650"/>
      <c r="J680" s="3650"/>
    </row>
    <row r="681" spans="1:10" s="3647" customFormat="1" ht="11.25">
      <c r="A681" s="3661">
        <v>44052</v>
      </c>
      <c r="B681" s="1348">
        <v>10</v>
      </c>
      <c r="C681" s="1348">
        <v>17</v>
      </c>
      <c r="D681" s="1383" t="s">
        <v>7297</v>
      </c>
      <c r="E681" s="3652">
        <v>61</v>
      </c>
      <c r="F681" s="3651"/>
      <c r="G681" s="3665" t="s">
        <v>7300</v>
      </c>
      <c r="H681" s="3650"/>
      <c r="I681" s="3650"/>
      <c r="J681" s="3650"/>
    </row>
    <row r="682" spans="1:10" s="3647" customFormat="1" ht="11.25">
      <c r="A682" s="3661">
        <v>44053</v>
      </c>
      <c r="B682" s="1348">
        <v>10</v>
      </c>
      <c r="C682" s="1348">
        <v>17</v>
      </c>
      <c r="D682" s="1383" t="s">
        <v>6129</v>
      </c>
      <c r="E682" s="3652">
        <v>53</v>
      </c>
      <c r="F682" s="3651"/>
      <c r="G682" s="3665"/>
      <c r="H682" s="3650"/>
      <c r="I682" s="3650"/>
      <c r="J682" s="3650"/>
    </row>
    <row r="683" spans="1:10" s="3647" customFormat="1" ht="11.25">
      <c r="A683" s="3661">
        <v>44054</v>
      </c>
      <c r="B683" s="1348">
        <v>10</v>
      </c>
      <c r="C683" s="1348">
        <v>17</v>
      </c>
      <c r="D683" s="1383" t="s">
        <v>6133</v>
      </c>
      <c r="E683" s="3652">
        <v>96</v>
      </c>
      <c r="F683" s="3651"/>
      <c r="G683" s="3665"/>
      <c r="H683" s="3650"/>
      <c r="I683" s="3650"/>
      <c r="J683" s="3650"/>
    </row>
    <row r="684" spans="1:10" s="3647" customFormat="1" ht="11.25">
      <c r="A684" s="3661">
        <v>44055</v>
      </c>
      <c r="B684" s="1348">
        <v>10</v>
      </c>
      <c r="C684" s="1348">
        <v>17</v>
      </c>
      <c r="D684" s="1383" t="s">
        <v>7297</v>
      </c>
      <c r="E684" s="3652">
        <v>46</v>
      </c>
      <c r="F684" s="3651"/>
      <c r="G684" s="3665" t="s">
        <v>7300</v>
      </c>
      <c r="H684" s="3650"/>
      <c r="I684" s="3650"/>
      <c r="J684" s="3650"/>
    </row>
    <row r="685" spans="1:10" s="3647" customFormat="1" ht="11.25">
      <c r="A685" s="3661">
        <v>44056</v>
      </c>
      <c r="B685" s="1348">
        <v>10</v>
      </c>
      <c r="C685" s="1348">
        <v>17</v>
      </c>
      <c r="D685" s="1383" t="s">
        <v>6148</v>
      </c>
      <c r="E685" s="3652">
        <v>123</v>
      </c>
      <c r="F685" s="3651"/>
      <c r="G685" s="3665"/>
      <c r="H685" s="3650"/>
      <c r="I685" s="3650"/>
      <c r="J685" s="3650"/>
    </row>
    <row r="686" spans="1:10" s="3647" customFormat="1" ht="11.25">
      <c r="A686" s="3661">
        <v>44057</v>
      </c>
      <c r="B686" s="1348">
        <v>10</v>
      </c>
      <c r="C686" s="1348">
        <v>17</v>
      </c>
      <c r="D686" s="1383" t="s">
        <v>6149</v>
      </c>
      <c r="E686" s="3652">
        <v>117</v>
      </c>
      <c r="F686" s="3651"/>
      <c r="G686" s="3665"/>
      <c r="H686" s="3650"/>
      <c r="I686" s="3650"/>
      <c r="J686" s="3650"/>
    </row>
    <row r="687" spans="1:10" s="3647" customFormat="1" ht="11.25">
      <c r="A687" s="3661">
        <v>44058</v>
      </c>
      <c r="B687" s="1348">
        <v>10</v>
      </c>
      <c r="C687" s="1348">
        <v>17</v>
      </c>
      <c r="D687" s="1383" t="s">
        <v>6148</v>
      </c>
      <c r="E687" s="3652">
        <v>147</v>
      </c>
      <c r="F687" s="3651"/>
      <c r="G687" s="3665"/>
      <c r="H687" s="3650"/>
      <c r="I687" s="3650"/>
      <c r="J687" s="3650"/>
    </row>
    <row r="688" spans="1:10" s="3647" customFormat="1" ht="11.25">
      <c r="A688" s="3661">
        <v>44059</v>
      </c>
      <c r="B688" s="1348">
        <v>10</v>
      </c>
      <c r="C688" s="1348">
        <v>17</v>
      </c>
      <c r="D688" s="1383" t="s">
        <v>6133</v>
      </c>
      <c r="E688" s="3652">
        <v>55</v>
      </c>
      <c r="F688" s="3651"/>
      <c r="G688" s="3665"/>
      <c r="H688" s="3650"/>
      <c r="I688" s="3650"/>
      <c r="J688" s="3650"/>
    </row>
    <row r="689" spans="1:10" s="3647" customFormat="1" ht="11.25">
      <c r="A689" s="3661">
        <v>44060</v>
      </c>
      <c r="B689" s="1348">
        <v>10</v>
      </c>
      <c r="C689" s="1348">
        <v>17</v>
      </c>
      <c r="D689" s="1383" t="s">
        <v>6149</v>
      </c>
      <c r="E689" s="3652">
        <v>119</v>
      </c>
      <c r="F689" s="3651"/>
      <c r="G689" s="3665" t="s">
        <v>7301</v>
      </c>
      <c r="H689" s="3650"/>
      <c r="I689" s="3650"/>
      <c r="J689" s="3650"/>
    </row>
    <row r="690" spans="1:10" s="3647" customFormat="1" ht="11.25">
      <c r="A690" s="3661">
        <v>44061</v>
      </c>
      <c r="B690" s="1348">
        <v>10</v>
      </c>
      <c r="C690" s="1348">
        <v>17</v>
      </c>
      <c r="D690" s="1383" t="s">
        <v>7297</v>
      </c>
      <c r="E690" s="3652">
        <v>68</v>
      </c>
      <c r="F690" s="3651"/>
      <c r="G690" s="3665" t="s">
        <v>7302</v>
      </c>
      <c r="H690" s="3650"/>
      <c r="I690" s="3650"/>
      <c r="J690" s="3650"/>
    </row>
    <row r="691" spans="1:10" s="3647" customFormat="1" ht="11.25">
      <c r="A691" s="3661">
        <v>44062</v>
      </c>
      <c r="B691" s="1348">
        <v>10</v>
      </c>
      <c r="C691" s="1348">
        <v>17</v>
      </c>
      <c r="D691" s="1383" t="s">
        <v>6139</v>
      </c>
      <c r="E691" s="3652">
        <v>92</v>
      </c>
      <c r="F691" s="3651"/>
      <c r="G691" s="3665"/>
      <c r="H691" s="3650"/>
      <c r="I691" s="3650"/>
      <c r="J691" s="3650"/>
    </row>
    <row r="692" spans="1:10" s="3647" customFormat="1" ht="11.25">
      <c r="A692" s="3661">
        <v>44063</v>
      </c>
      <c r="B692" s="1348">
        <v>10</v>
      </c>
      <c r="C692" s="1348">
        <v>17</v>
      </c>
      <c r="D692" s="1383" t="s">
        <v>6149</v>
      </c>
      <c r="E692" s="3652">
        <v>90</v>
      </c>
      <c r="F692" s="3651"/>
      <c r="G692" s="3665"/>
      <c r="H692" s="3650"/>
      <c r="I692" s="3650"/>
      <c r="J692" s="3650"/>
    </row>
    <row r="693" spans="1:10" s="3647" customFormat="1" ht="11.25">
      <c r="A693" s="3661">
        <v>44064</v>
      </c>
      <c r="B693" s="1348">
        <v>10</v>
      </c>
      <c r="C693" s="1348">
        <v>17</v>
      </c>
      <c r="D693" s="1383" t="s">
        <v>7297</v>
      </c>
      <c r="E693" s="3652">
        <v>76</v>
      </c>
      <c r="F693" s="3651"/>
      <c r="G693" s="3665"/>
      <c r="H693" s="3650"/>
      <c r="I693" s="3650"/>
      <c r="J693" s="3650"/>
    </row>
    <row r="694" spans="1:10" s="3647" customFormat="1" ht="11.25">
      <c r="A694" s="3661">
        <v>44065</v>
      </c>
      <c r="B694" s="1348">
        <v>13</v>
      </c>
      <c r="C694" s="1348">
        <v>17</v>
      </c>
      <c r="D694" s="1383" t="s">
        <v>6149</v>
      </c>
      <c r="E694" s="3652">
        <v>79</v>
      </c>
      <c r="F694" s="3651"/>
      <c r="G694" s="3665" t="s">
        <v>7303</v>
      </c>
      <c r="H694" s="3650"/>
      <c r="I694" s="3650"/>
      <c r="J694" s="3650"/>
    </row>
    <row r="695" spans="1:10" s="3647" customFormat="1" ht="11.25">
      <c r="A695" s="3661">
        <v>44066</v>
      </c>
      <c r="B695" s="1348">
        <v>10</v>
      </c>
      <c r="C695" s="1348">
        <v>17</v>
      </c>
      <c r="D695" s="1383" t="s">
        <v>7297</v>
      </c>
      <c r="E695" s="3652">
        <v>162</v>
      </c>
      <c r="F695" s="3651"/>
      <c r="G695" s="3665"/>
      <c r="H695" s="3650"/>
      <c r="I695" s="3650"/>
      <c r="J695" s="3650"/>
    </row>
    <row r="696" spans="1:10" s="3647" customFormat="1" ht="11.25">
      <c r="A696" s="3661">
        <v>44067</v>
      </c>
      <c r="B696" s="1348">
        <v>10</v>
      </c>
      <c r="C696" s="1348">
        <v>17</v>
      </c>
      <c r="D696" s="1383" t="s">
        <v>6133</v>
      </c>
      <c r="E696" s="3652">
        <v>58</v>
      </c>
      <c r="F696" s="3651"/>
      <c r="G696" s="3665"/>
      <c r="H696" s="3650"/>
      <c r="I696" s="3650"/>
      <c r="J696" s="3650"/>
    </row>
    <row r="697" spans="1:10" s="3647" customFormat="1" ht="11.25">
      <c r="A697" s="3661">
        <v>44068</v>
      </c>
      <c r="B697" s="1348">
        <v>10</v>
      </c>
      <c r="C697" s="1348">
        <v>17</v>
      </c>
      <c r="D697" s="1383" t="s">
        <v>6129</v>
      </c>
      <c r="E697" s="3652">
        <v>77</v>
      </c>
      <c r="F697" s="3651"/>
      <c r="G697" s="3665"/>
      <c r="H697" s="3650"/>
      <c r="I697" s="3650"/>
      <c r="J697" s="3650"/>
    </row>
    <row r="698" spans="1:10" s="3647" customFormat="1" ht="11.25">
      <c r="A698" s="3661">
        <v>44069</v>
      </c>
      <c r="B698" s="1348">
        <v>10</v>
      </c>
      <c r="C698" s="1348">
        <v>17</v>
      </c>
      <c r="D698" s="1383" t="s">
        <v>6139</v>
      </c>
      <c r="E698" s="3652">
        <v>110</v>
      </c>
      <c r="F698" s="3651"/>
      <c r="G698" s="3665"/>
      <c r="H698" s="3650"/>
      <c r="I698" s="3650"/>
      <c r="J698" s="3650"/>
    </row>
    <row r="699" spans="1:10" s="3647" customFormat="1" ht="11.25">
      <c r="A699" s="3661">
        <v>44070</v>
      </c>
      <c r="B699" s="1348">
        <v>10</v>
      </c>
      <c r="C699" s="1348">
        <v>17</v>
      </c>
      <c r="D699" s="1383" t="s">
        <v>6148</v>
      </c>
      <c r="E699" s="3652">
        <v>79</v>
      </c>
      <c r="F699" s="3651"/>
      <c r="G699" s="3665"/>
      <c r="H699" s="3650"/>
      <c r="I699" s="3650"/>
      <c r="J699" s="3650"/>
    </row>
    <row r="700" spans="1:10" s="3647" customFormat="1" ht="11.25">
      <c r="A700" s="3661">
        <v>44071</v>
      </c>
      <c r="B700" s="1348">
        <v>11</v>
      </c>
      <c r="C700" s="1348">
        <v>17</v>
      </c>
      <c r="D700" s="1383" t="s">
        <v>6149</v>
      </c>
      <c r="E700" s="3652">
        <v>44</v>
      </c>
      <c r="F700" s="3651"/>
      <c r="G700" s="3665"/>
      <c r="H700" s="3650"/>
      <c r="I700" s="3650"/>
      <c r="J700" s="3650"/>
    </row>
    <row r="701" spans="1:10" s="3647" customFormat="1" ht="11.25">
      <c r="A701" s="3661">
        <v>44072</v>
      </c>
      <c r="B701" s="1348">
        <v>10</v>
      </c>
      <c r="C701" s="1348">
        <v>17</v>
      </c>
      <c r="D701" s="1383" t="s">
        <v>6129</v>
      </c>
      <c r="E701" s="3652">
        <v>72</v>
      </c>
      <c r="F701" s="3651"/>
      <c r="G701" s="3641"/>
      <c r="H701" s="3650"/>
      <c r="I701" s="3650"/>
      <c r="J701" s="3650"/>
    </row>
    <row r="702" spans="1:10" s="3647" customFormat="1" ht="11.25">
      <c r="A702" s="3661">
        <v>44073</v>
      </c>
      <c r="B702" s="1348">
        <v>10</v>
      </c>
      <c r="C702" s="1348">
        <v>17</v>
      </c>
      <c r="D702" s="1383" t="s">
        <v>6133</v>
      </c>
      <c r="E702" s="3652">
        <v>81</v>
      </c>
      <c r="F702" s="3651"/>
      <c r="G702" s="3641"/>
      <c r="H702" s="3650"/>
      <c r="I702" s="3650"/>
      <c r="J702" s="3650"/>
    </row>
    <row r="703" spans="1:10" s="3647" customFormat="1" ht="11.25">
      <c r="A703" s="3661">
        <v>44074</v>
      </c>
      <c r="B703" s="1348">
        <v>5</v>
      </c>
      <c r="C703" s="1348">
        <v>47</v>
      </c>
      <c r="D703" s="1383" t="s">
        <v>6149</v>
      </c>
      <c r="E703" s="3652">
        <v>52</v>
      </c>
      <c r="F703" s="3651"/>
      <c r="G703" s="3641"/>
      <c r="H703" s="3650"/>
      <c r="I703" s="3650"/>
      <c r="J703" s="3650"/>
    </row>
    <row r="704" spans="1:10" s="3647" customFormat="1" ht="11.25">
      <c r="A704" s="3670"/>
      <c r="B704" s="3671"/>
      <c r="C704" s="3671"/>
      <c r="D704" s="3672" t="s">
        <v>7304</v>
      </c>
      <c r="E704" s="3673">
        <v>2671</v>
      </c>
      <c r="F704" s="3674"/>
      <c r="G704" s="3676"/>
      <c r="H704" s="3650"/>
      <c r="I704" s="3650"/>
      <c r="J704" s="3650"/>
    </row>
    <row r="705" spans="1:10" s="3647" customFormat="1" ht="11.25">
      <c r="A705" s="3666">
        <v>44076</v>
      </c>
      <c r="B705" s="1348">
        <v>10</v>
      </c>
      <c r="C705" s="1348">
        <v>17</v>
      </c>
      <c r="D705" s="3654" t="s">
        <v>6139</v>
      </c>
      <c r="E705" s="3652">
        <v>70</v>
      </c>
      <c r="F705" s="1348"/>
      <c r="G705" s="3663"/>
      <c r="H705" s="3650"/>
      <c r="I705" s="3650"/>
      <c r="J705" s="3650"/>
    </row>
    <row r="706" spans="1:10" s="3647" customFormat="1" ht="11.25">
      <c r="A706" s="3661">
        <v>44079</v>
      </c>
      <c r="B706" s="1348">
        <v>10</v>
      </c>
      <c r="C706" s="1348">
        <v>17</v>
      </c>
      <c r="D706" s="1383" t="s">
        <v>6149</v>
      </c>
      <c r="E706" s="3652">
        <v>110</v>
      </c>
      <c r="F706" s="3651"/>
      <c r="G706" s="3641"/>
      <c r="H706" s="3650"/>
      <c r="I706" s="3650"/>
      <c r="J706" s="3650"/>
    </row>
    <row r="707" spans="1:10" s="3647" customFormat="1" ht="11.25">
      <c r="A707" s="3661">
        <v>44080</v>
      </c>
      <c r="B707" s="1348">
        <v>10</v>
      </c>
      <c r="C707" s="1348">
        <v>17</v>
      </c>
      <c r="D707" s="1383" t="s">
        <v>6148</v>
      </c>
      <c r="E707" s="3652">
        <v>123</v>
      </c>
      <c r="F707" s="3651"/>
      <c r="G707" s="3663"/>
      <c r="H707" s="3650"/>
      <c r="I707" s="3650"/>
      <c r="J707" s="3650"/>
    </row>
    <row r="708" spans="1:10" s="3647" customFormat="1" ht="11.25">
      <c r="A708" s="3661">
        <v>44083</v>
      </c>
      <c r="B708" s="1348">
        <v>10</v>
      </c>
      <c r="C708" s="1348">
        <v>17</v>
      </c>
      <c r="D708" s="1383" t="s">
        <v>7297</v>
      </c>
      <c r="E708" s="3652">
        <v>80</v>
      </c>
      <c r="F708" s="3651"/>
      <c r="G708" s="3641"/>
      <c r="H708" s="3650"/>
      <c r="I708" s="3650"/>
      <c r="J708" s="3650"/>
    </row>
    <row r="709" spans="1:10" s="3647" customFormat="1" ht="11.25">
      <c r="A709" s="3661">
        <v>44086</v>
      </c>
      <c r="B709" s="1348" t="s">
        <v>7305</v>
      </c>
      <c r="C709" s="1348">
        <v>17</v>
      </c>
      <c r="D709" s="3654" t="s">
        <v>6139</v>
      </c>
      <c r="E709" s="3652">
        <v>114</v>
      </c>
      <c r="F709" s="3651"/>
      <c r="G709" s="3664"/>
      <c r="H709" s="3650"/>
      <c r="I709" s="3650"/>
      <c r="J709" s="3650"/>
    </row>
    <row r="710" spans="1:10" s="3647" customFormat="1" ht="11.25">
      <c r="A710" s="3661">
        <v>44087</v>
      </c>
      <c r="B710" s="1348">
        <v>10</v>
      </c>
      <c r="C710" s="1348">
        <v>17</v>
      </c>
      <c r="D710" s="3654" t="s">
        <v>6133</v>
      </c>
      <c r="E710" s="3652">
        <v>162</v>
      </c>
      <c r="F710" s="3651"/>
      <c r="G710" s="3641"/>
      <c r="H710" s="3650"/>
      <c r="I710" s="3650"/>
      <c r="J710" s="3650"/>
    </row>
    <row r="711" spans="1:10" s="3647" customFormat="1" ht="11.25">
      <c r="A711" s="3661">
        <v>44090</v>
      </c>
      <c r="B711" s="1348">
        <v>10</v>
      </c>
      <c r="C711" s="1348">
        <v>17</v>
      </c>
      <c r="D711" s="3654" t="s">
        <v>6129</v>
      </c>
      <c r="E711" s="3652">
        <v>102</v>
      </c>
      <c r="F711" s="3651"/>
      <c r="G711" s="3641"/>
      <c r="H711" s="3650"/>
      <c r="I711" s="3650"/>
      <c r="J711" s="3650"/>
    </row>
    <row r="712" spans="1:10" s="3647" customFormat="1" ht="11.25">
      <c r="A712" s="3661">
        <v>44093</v>
      </c>
      <c r="B712" s="1348">
        <v>10</v>
      </c>
      <c r="C712" s="1348">
        <v>17</v>
      </c>
      <c r="D712" s="3654" t="s">
        <v>6129</v>
      </c>
      <c r="E712" s="3652">
        <v>77</v>
      </c>
      <c r="F712" s="3651"/>
      <c r="G712" s="3641"/>
      <c r="H712" s="3650"/>
      <c r="I712" s="3650"/>
      <c r="J712" s="3650"/>
    </row>
    <row r="713" spans="1:10" s="3647" customFormat="1" ht="11.25">
      <c r="A713" s="3661">
        <v>44094</v>
      </c>
      <c r="B713" s="1348">
        <v>10</v>
      </c>
      <c r="C713" s="1348">
        <v>17</v>
      </c>
      <c r="D713" s="3654" t="s">
        <v>6148</v>
      </c>
      <c r="E713" s="3652">
        <v>137</v>
      </c>
      <c r="F713" s="3651"/>
      <c r="G713" s="3641"/>
      <c r="H713" s="3650"/>
      <c r="I713" s="3650"/>
      <c r="J713" s="3650"/>
    </row>
    <row r="714" spans="1:10" s="3647" customFormat="1" ht="11.25">
      <c r="A714" s="3661">
        <v>44097</v>
      </c>
      <c r="B714" s="1348">
        <v>10</v>
      </c>
      <c r="C714" s="1348">
        <v>17</v>
      </c>
      <c r="D714" s="3654" t="s">
        <v>6139</v>
      </c>
      <c r="E714" s="3652">
        <v>52</v>
      </c>
      <c r="F714" s="3651"/>
      <c r="G714" s="3641"/>
      <c r="H714" s="3650"/>
      <c r="I714" s="3650"/>
      <c r="J714" s="3650"/>
    </row>
    <row r="715" spans="1:10" s="3647" customFormat="1" ht="11.25">
      <c r="A715" s="3661">
        <v>44100</v>
      </c>
      <c r="B715" s="1348">
        <v>10</v>
      </c>
      <c r="C715" s="1348">
        <v>17</v>
      </c>
      <c r="D715" s="3654" t="s">
        <v>6149</v>
      </c>
      <c r="E715" s="3652">
        <v>69</v>
      </c>
      <c r="F715" s="3651"/>
      <c r="G715" s="3641"/>
      <c r="H715" s="3650"/>
      <c r="I715" s="3650"/>
      <c r="J715" s="3650"/>
    </row>
    <row r="716" spans="1:10" s="3647" customFormat="1" ht="11.25">
      <c r="A716" s="3661">
        <v>44101</v>
      </c>
      <c r="B716" s="1348">
        <v>10</v>
      </c>
      <c r="C716" s="1348">
        <v>17</v>
      </c>
      <c r="D716" s="3654" t="s">
        <v>6133</v>
      </c>
      <c r="E716" s="3652">
        <v>51</v>
      </c>
      <c r="F716" s="3651"/>
      <c r="G716" s="3641"/>
      <c r="H716" s="3650"/>
      <c r="I716" s="3650"/>
      <c r="J716" s="3650"/>
    </row>
    <row r="717" spans="1:10" s="3647" customFormat="1" ht="11.25">
      <c r="A717" s="3661">
        <v>44104</v>
      </c>
      <c r="B717" s="1348">
        <v>10</v>
      </c>
      <c r="C717" s="1348">
        <v>17</v>
      </c>
      <c r="D717" s="3654" t="s">
        <v>7297</v>
      </c>
      <c r="E717" s="3652">
        <v>38</v>
      </c>
      <c r="F717" s="3651"/>
      <c r="G717" s="3664"/>
      <c r="H717" s="3650"/>
      <c r="I717" s="3650"/>
      <c r="J717" s="3650"/>
    </row>
    <row r="718" spans="1:10" s="3647" customFormat="1" ht="11.25">
      <c r="A718" s="3670"/>
      <c r="B718" s="3671"/>
      <c r="C718" s="3671"/>
      <c r="D718" s="3677" t="s">
        <v>7306</v>
      </c>
      <c r="E718" s="3673">
        <v>1115</v>
      </c>
      <c r="F718" s="3674"/>
      <c r="G718" s="3676"/>
      <c r="H718" s="3650"/>
      <c r="I718" s="3650"/>
      <c r="J718" s="3650"/>
    </row>
    <row r="719" spans="1:10" s="3647" customFormat="1" ht="11.25">
      <c r="A719" s="3666">
        <v>44107</v>
      </c>
      <c r="B719" s="1348">
        <v>10</v>
      </c>
      <c r="C719" s="1348">
        <v>17</v>
      </c>
      <c r="D719" s="3654" t="s">
        <v>6139</v>
      </c>
      <c r="E719" s="3652">
        <v>48</v>
      </c>
      <c r="F719" s="1348"/>
      <c r="G719" s="3663"/>
      <c r="H719" s="3650"/>
      <c r="I719" s="3650"/>
      <c r="J719" s="3650"/>
    </row>
    <row r="720" spans="1:10" s="3647" customFormat="1" ht="11.25">
      <c r="A720" s="3661">
        <v>44108</v>
      </c>
      <c r="B720" s="1348">
        <v>10</v>
      </c>
      <c r="C720" s="1348">
        <v>17</v>
      </c>
      <c r="D720" s="1383" t="s">
        <v>6148</v>
      </c>
      <c r="E720" s="3652">
        <v>68</v>
      </c>
      <c r="F720" s="3651">
        <v>346</v>
      </c>
      <c r="G720" s="3641" t="s">
        <v>7307</v>
      </c>
      <c r="H720" s="3650"/>
      <c r="I720" s="3650"/>
      <c r="J720" s="3650"/>
    </row>
    <row r="721" spans="1:18" s="3647" customFormat="1" ht="11.25">
      <c r="A721" s="3661">
        <v>44114</v>
      </c>
      <c r="B721" s="1348">
        <v>10</v>
      </c>
      <c r="C721" s="1348">
        <v>17</v>
      </c>
      <c r="D721" s="1383" t="s">
        <v>6139</v>
      </c>
      <c r="E721" s="3652">
        <v>32</v>
      </c>
      <c r="F721" s="3651"/>
      <c r="G721" s="3663"/>
      <c r="H721" s="3650"/>
      <c r="I721" s="3650"/>
      <c r="J721" s="3650"/>
    </row>
    <row r="722" spans="1:18" s="3647" customFormat="1" ht="11.25">
      <c r="A722" s="3661">
        <v>44115</v>
      </c>
      <c r="B722" s="1348">
        <v>10</v>
      </c>
      <c r="C722" s="1348">
        <v>17</v>
      </c>
      <c r="D722" s="1383" t="s">
        <v>7297</v>
      </c>
      <c r="E722" s="3652">
        <v>26</v>
      </c>
      <c r="F722" s="3651">
        <v>94.17</v>
      </c>
      <c r="G722" s="3641" t="s">
        <v>7308</v>
      </c>
      <c r="H722" s="3650"/>
      <c r="I722" s="3650"/>
      <c r="J722" s="3650"/>
    </row>
    <row r="723" spans="1:18" s="3647" customFormat="1" ht="11.25">
      <c r="A723" s="3661">
        <v>44121</v>
      </c>
      <c r="B723" s="1348">
        <v>10</v>
      </c>
      <c r="C723" s="1348">
        <v>17</v>
      </c>
      <c r="D723" s="3654" t="s">
        <v>6139</v>
      </c>
      <c r="E723" s="3652">
        <v>35</v>
      </c>
      <c r="F723" s="3651"/>
      <c r="G723" s="3664"/>
      <c r="H723" s="3650"/>
      <c r="I723" s="3650"/>
      <c r="J723" s="3650"/>
    </row>
    <row r="724" spans="1:18" s="3647" customFormat="1" ht="11.25">
      <c r="A724" s="3661">
        <v>44122</v>
      </c>
      <c r="B724" s="1348">
        <v>10</v>
      </c>
      <c r="C724" s="1348">
        <v>17</v>
      </c>
      <c r="D724" s="3654" t="s">
        <v>6129</v>
      </c>
      <c r="E724" s="3652">
        <v>66</v>
      </c>
      <c r="F724" s="3651"/>
      <c r="G724" s="3641"/>
      <c r="H724" s="3650"/>
      <c r="I724" s="3650"/>
      <c r="J724" s="3650"/>
    </row>
    <row r="725" spans="1:18" s="3647" customFormat="1" ht="11.25">
      <c r="A725" s="3661">
        <v>44128</v>
      </c>
      <c r="B725" s="1348">
        <v>10</v>
      </c>
      <c r="C725" s="1348">
        <v>17</v>
      </c>
      <c r="D725" s="3654" t="s">
        <v>6149</v>
      </c>
      <c r="E725" s="3652">
        <v>59</v>
      </c>
      <c r="F725" s="3651"/>
      <c r="G725" s="3641"/>
      <c r="H725" s="3650"/>
      <c r="I725" s="3650"/>
      <c r="J725" s="3650"/>
    </row>
    <row r="726" spans="1:18" s="3647" customFormat="1" ht="11.25">
      <c r="A726" s="3661">
        <v>44129</v>
      </c>
      <c r="B726" s="1348">
        <v>10</v>
      </c>
      <c r="C726" s="1348">
        <v>17</v>
      </c>
      <c r="D726" s="3654" t="s">
        <v>6133</v>
      </c>
      <c r="E726" s="3652">
        <v>32</v>
      </c>
      <c r="F726" s="3651"/>
      <c r="G726" s="3641"/>
      <c r="H726" s="3650"/>
      <c r="I726" s="3650"/>
      <c r="J726" s="3650"/>
    </row>
    <row r="727" spans="1:18" s="3647" customFormat="1" ht="11.25">
      <c r="A727" s="3666">
        <v>44135</v>
      </c>
      <c r="B727" s="1348"/>
      <c r="C727" s="1348"/>
      <c r="D727" s="3654"/>
      <c r="E727" s="3652"/>
      <c r="F727" s="3651"/>
      <c r="G727" s="3641"/>
      <c r="H727" s="3650"/>
      <c r="I727" s="3650"/>
      <c r="J727" s="3650"/>
    </row>
    <row r="728" spans="1:18" s="3647" customFormat="1" ht="11.25">
      <c r="A728" s="3670"/>
      <c r="B728" s="3671"/>
      <c r="C728" s="3671"/>
      <c r="D728" s="3677" t="s">
        <v>7309</v>
      </c>
      <c r="E728" s="3673">
        <v>318</v>
      </c>
      <c r="F728" s="3674"/>
      <c r="G728" s="3676"/>
      <c r="H728" s="3650"/>
      <c r="I728" s="3650"/>
      <c r="J728" s="3650"/>
    </row>
    <row r="729" spans="1:18" s="3647" customFormat="1" ht="11.25">
      <c r="A729" s="1383"/>
      <c r="B729" s="1383"/>
      <c r="C729" s="1383"/>
      <c r="D729" s="1383"/>
      <c r="E729" s="1383"/>
      <c r="F729" s="1383"/>
      <c r="G729" s="1383"/>
      <c r="H729" s="3650"/>
      <c r="I729" s="3650"/>
      <c r="J729" s="3650"/>
    </row>
    <row r="730" spans="1:18">
      <c r="A730" s="2320"/>
      <c r="B730" s="2320"/>
      <c r="C730" s="2320"/>
      <c r="D730" s="2320"/>
      <c r="E730" s="2320"/>
      <c r="F730" s="2320"/>
      <c r="G730" s="2320"/>
      <c r="H730" s="2320"/>
      <c r="I730" s="2320"/>
      <c r="J730" s="2320"/>
    </row>
    <row r="731" spans="1:18" s="3649" customFormat="1" ht="10.5">
      <c r="A731" s="4787" t="s">
        <v>8033</v>
      </c>
      <c r="B731" s="4788"/>
      <c r="C731" s="4788"/>
      <c r="D731" s="4788"/>
      <c r="E731" s="4788"/>
      <c r="F731" s="4788"/>
      <c r="G731" s="4788"/>
      <c r="H731" s="4788"/>
      <c r="I731" s="4788"/>
      <c r="J731" s="4788"/>
      <c r="K731" s="4788"/>
      <c r="L731" s="4788"/>
      <c r="M731" s="4788"/>
      <c r="N731" s="4788"/>
      <c r="O731" s="4788"/>
      <c r="P731" s="4788"/>
      <c r="Q731" s="4788"/>
      <c r="R731" s="4789"/>
    </row>
    <row r="732" spans="1:18" s="3649" customFormat="1" ht="10.5">
      <c r="A732" s="3625"/>
      <c r="B732" s="3625" t="s">
        <v>6084</v>
      </c>
      <c r="C732" s="3625" t="s">
        <v>6085</v>
      </c>
      <c r="D732" s="3625" t="s">
        <v>6086</v>
      </c>
      <c r="E732" s="3625" t="s">
        <v>6087</v>
      </c>
      <c r="F732" s="3625" t="s">
        <v>6088</v>
      </c>
      <c r="G732" s="3625" t="s">
        <v>6089</v>
      </c>
      <c r="H732" s="3625" t="s">
        <v>6090</v>
      </c>
      <c r="I732" s="3625" t="s">
        <v>6091</v>
      </c>
      <c r="J732" s="4246" t="s">
        <v>8</v>
      </c>
      <c r="K732" s="4246" t="s">
        <v>6107</v>
      </c>
      <c r="L732" s="4246" t="s">
        <v>6026</v>
      </c>
      <c r="M732" s="4246" t="s">
        <v>7289</v>
      </c>
      <c r="N732" s="4246" t="s">
        <v>7290</v>
      </c>
      <c r="O732" s="4246"/>
      <c r="P732" s="4246" t="s">
        <v>6109</v>
      </c>
      <c r="Q732" s="4246" t="s">
        <v>6237</v>
      </c>
      <c r="R732" s="4247" t="s">
        <v>6238</v>
      </c>
    </row>
    <row r="733" spans="1:18" s="3649" customFormat="1" ht="10.5">
      <c r="A733" s="3627">
        <v>44197</v>
      </c>
      <c r="B733" s="3628">
        <v>33</v>
      </c>
      <c r="C733" s="3628">
        <v>17</v>
      </c>
      <c r="D733" s="3628">
        <v>12</v>
      </c>
      <c r="E733" s="3628">
        <v>0</v>
      </c>
      <c r="F733" s="3628">
        <v>23</v>
      </c>
      <c r="G733" s="3628">
        <v>0</v>
      </c>
      <c r="H733" s="3628">
        <v>0</v>
      </c>
      <c r="I733" s="3628"/>
      <c r="J733" s="3636">
        <f>SUM(B733:I733)</f>
        <v>85</v>
      </c>
      <c r="K733" s="3636">
        <v>297</v>
      </c>
      <c r="L733" s="3636">
        <v>120</v>
      </c>
      <c r="M733" s="3636">
        <v>120</v>
      </c>
      <c r="N733" s="3636">
        <v>99</v>
      </c>
      <c r="O733" s="3636"/>
      <c r="P733" s="3637">
        <f t="shared" ref="P733:P744" si="28">(L733-K733)/K733</f>
        <v>-0.59595959595959591</v>
      </c>
      <c r="Q733" s="3637">
        <f t="shared" ref="Q733:Q744" si="29">(J733-L733)/L733</f>
        <v>-0.29166666666666669</v>
      </c>
      <c r="R733" s="3649">
        <f>208+108+10+54+6</f>
        <v>386</v>
      </c>
    </row>
    <row r="734" spans="1:18" s="3649" customFormat="1" ht="10.5">
      <c r="A734" s="3627">
        <v>44228</v>
      </c>
      <c r="B734" s="3628">
        <v>53</v>
      </c>
      <c r="C734" s="3628">
        <v>18</v>
      </c>
      <c r="D734" s="3628">
        <v>32</v>
      </c>
      <c r="E734" s="3628">
        <v>0</v>
      </c>
      <c r="F734" s="3628">
        <v>26</v>
      </c>
      <c r="G734" s="3628">
        <v>0</v>
      </c>
      <c r="H734" s="3628">
        <v>0</v>
      </c>
      <c r="I734" s="3628">
        <v>2</v>
      </c>
      <c r="J734" s="3636">
        <f t="shared" ref="J734:J745" si="30">SUM(B734:I734)</f>
        <v>131</v>
      </c>
      <c r="K734" s="3640">
        <v>187</v>
      </c>
      <c r="L734" s="3636">
        <v>149</v>
      </c>
      <c r="M734" s="3636">
        <v>166</v>
      </c>
      <c r="N734" s="3636">
        <v>200</v>
      </c>
      <c r="O734" s="3636"/>
      <c r="P734" s="3637">
        <f t="shared" si="28"/>
        <v>-0.20320855614973263</v>
      </c>
      <c r="Q734" s="3637">
        <f t="shared" si="29"/>
        <v>-0.12080536912751678</v>
      </c>
      <c r="R734" s="3649">
        <f>276+120+32+66</f>
        <v>494</v>
      </c>
    </row>
    <row r="735" spans="1:18" s="3649" customFormat="1" ht="10.5">
      <c r="A735" s="3627">
        <v>44256</v>
      </c>
      <c r="B735" s="3628">
        <v>35</v>
      </c>
      <c r="C735" s="3628">
        <v>27</v>
      </c>
      <c r="D735" s="3628">
        <v>0</v>
      </c>
      <c r="E735" s="3628">
        <v>0</v>
      </c>
      <c r="F735" s="3628">
        <v>12</v>
      </c>
      <c r="G735" s="3628">
        <v>0</v>
      </c>
      <c r="H735" s="3628">
        <v>0</v>
      </c>
      <c r="I735" s="3628">
        <v>3</v>
      </c>
      <c r="J735" s="3636">
        <f t="shared" si="30"/>
        <v>77</v>
      </c>
      <c r="K735" s="3640">
        <v>301</v>
      </c>
      <c r="L735" s="3636">
        <v>450</v>
      </c>
      <c r="M735" s="3636">
        <v>182</v>
      </c>
      <c r="N735" s="3636">
        <v>37</v>
      </c>
      <c r="O735" s="3636"/>
      <c r="P735" s="3637">
        <f t="shared" si="28"/>
        <v>0.49501661129568109</v>
      </c>
      <c r="Q735" s="3637">
        <f t="shared" si="29"/>
        <v>-0.8288888888888889</v>
      </c>
      <c r="R735" s="3649">
        <f>496+288+10+105+27+334</f>
        <v>1260</v>
      </c>
    </row>
    <row r="736" spans="1:18" s="3649" customFormat="1" ht="10.5">
      <c r="A736" s="3627">
        <v>44287</v>
      </c>
      <c r="B736" s="3628">
        <v>101</v>
      </c>
      <c r="C736" s="3628">
        <v>19</v>
      </c>
      <c r="D736" s="3628">
        <v>76</v>
      </c>
      <c r="E736" s="3628"/>
      <c r="F736" s="3628">
        <v>64</v>
      </c>
      <c r="G736" s="3628">
        <v>0</v>
      </c>
      <c r="H736" s="3628">
        <v>1</v>
      </c>
      <c r="I736" s="3628">
        <v>9</v>
      </c>
      <c r="J736" s="3636">
        <f t="shared" si="30"/>
        <v>270</v>
      </c>
      <c r="K736" s="3642">
        <v>484</v>
      </c>
      <c r="L736" s="3636">
        <v>422</v>
      </c>
      <c r="M736" s="3636">
        <v>215</v>
      </c>
      <c r="N736" s="3636">
        <v>0</v>
      </c>
      <c r="O736" s="3636"/>
      <c r="P736" s="3637">
        <f t="shared" si="28"/>
        <v>-0.128099173553719</v>
      </c>
      <c r="Q736" s="3643">
        <f t="shared" si="29"/>
        <v>-0.36018957345971564</v>
      </c>
      <c r="R736" s="3649">
        <f>640+408+72+150+60+30</f>
        <v>1360</v>
      </c>
    </row>
    <row r="737" spans="1:18" s="3649" customFormat="1" ht="10.5">
      <c r="A737" s="3627">
        <v>44317</v>
      </c>
      <c r="B737" s="3628">
        <v>73</v>
      </c>
      <c r="C737" s="3628">
        <v>35</v>
      </c>
      <c r="D737" s="3628">
        <v>14</v>
      </c>
      <c r="E737" s="3628">
        <v>0</v>
      </c>
      <c r="F737" s="3628">
        <v>46</v>
      </c>
      <c r="G737" s="3628">
        <v>0</v>
      </c>
      <c r="H737" s="3628">
        <v>60</v>
      </c>
      <c r="I737" s="3628">
        <v>9</v>
      </c>
      <c r="J737" s="3636">
        <f t="shared" si="30"/>
        <v>237</v>
      </c>
      <c r="K737" s="3640">
        <v>329</v>
      </c>
      <c r="L737" s="3636">
        <v>451</v>
      </c>
      <c r="M737" s="3636">
        <v>236</v>
      </c>
      <c r="N737" s="3636">
        <v>0</v>
      </c>
      <c r="O737" s="3636"/>
      <c r="P737" s="3637">
        <f t="shared" si="28"/>
        <v>0.37082066869300911</v>
      </c>
      <c r="Q737" s="3637">
        <f t="shared" si="29"/>
        <v>-0.4745011086474501</v>
      </c>
      <c r="R737" s="3649">
        <f>496+432+50+204+204</f>
        <v>1386</v>
      </c>
    </row>
    <row r="738" spans="1:18" s="3649" customFormat="1" ht="10.5">
      <c r="A738" s="3627">
        <v>44348</v>
      </c>
      <c r="B738" s="3628">
        <v>73</v>
      </c>
      <c r="C738" s="3628">
        <v>79</v>
      </c>
      <c r="D738" s="3628">
        <v>2</v>
      </c>
      <c r="E738" s="3628">
        <v>7</v>
      </c>
      <c r="F738" s="3628">
        <v>29</v>
      </c>
      <c r="G738" s="3628">
        <v>0</v>
      </c>
      <c r="H738" s="3628">
        <v>0</v>
      </c>
      <c r="I738" s="3628">
        <v>0</v>
      </c>
      <c r="J738" s="3636">
        <f t="shared" si="30"/>
        <v>190</v>
      </c>
      <c r="K738" s="3640">
        <v>516</v>
      </c>
      <c r="L738" s="3636">
        <v>366</v>
      </c>
      <c r="M738" s="3636">
        <v>288</v>
      </c>
      <c r="N738" s="3636">
        <v>74</v>
      </c>
      <c r="O738" s="3636"/>
      <c r="P738" s="3637">
        <f t="shared" si="28"/>
        <v>-0.29069767441860467</v>
      </c>
      <c r="Q738" s="3643">
        <f t="shared" si="29"/>
        <v>-0.48087431693989069</v>
      </c>
      <c r="R738" s="3649">
        <f>544+564+8+111</f>
        <v>1227</v>
      </c>
    </row>
    <row r="739" spans="1:18" s="3649" customFormat="1" ht="10.5">
      <c r="A739" s="3627">
        <v>44378</v>
      </c>
      <c r="B739" s="3628">
        <v>143</v>
      </c>
      <c r="C739" s="3628">
        <v>68</v>
      </c>
      <c r="D739" s="3628">
        <v>57</v>
      </c>
      <c r="E739" s="3628"/>
      <c r="F739" s="3628">
        <v>46</v>
      </c>
      <c r="G739" s="3628">
        <v>20</v>
      </c>
      <c r="H739" s="3628">
        <v>4</v>
      </c>
      <c r="I739" s="3628">
        <v>6</v>
      </c>
      <c r="J739" s="3636">
        <f t="shared" si="30"/>
        <v>344</v>
      </c>
      <c r="K739" s="3640">
        <v>715</v>
      </c>
      <c r="L739" s="3636">
        <v>584</v>
      </c>
      <c r="M739" s="3636">
        <v>423</v>
      </c>
      <c r="N739" s="3636">
        <v>269</v>
      </c>
      <c r="O739" s="3636"/>
      <c r="P739" s="3637">
        <f t="shared" si="28"/>
        <v>-0.18321678321678322</v>
      </c>
      <c r="Q739" s="3637">
        <f t="shared" si="29"/>
        <v>-0.41095890410958902</v>
      </c>
      <c r="R739" s="3649">
        <f>896+453+140+237+153+4</f>
        <v>1883</v>
      </c>
    </row>
    <row r="740" spans="1:18" s="3649" customFormat="1" ht="10.5">
      <c r="A740" s="3627">
        <v>44409</v>
      </c>
      <c r="B740" s="3628">
        <v>191</v>
      </c>
      <c r="C740" s="3628">
        <v>79</v>
      </c>
      <c r="D740" s="3628">
        <v>92</v>
      </c>
      <c r="E740" s="3628">
        <v>0</v>
      </c>
      <c r="F740" s="3628">
        <v>45</v>
      </c>
      <c r="G740" s="3628">
        <v>0</v>
      </c>
      <c r="H740" s="3628">
        <v>3</v>
      </c>
      <c r="I740" s="3628">
        <v>39</v>
      </c>
      <c r="J740" s="3636">
        <f t="shared" si="30"/>
        <v>449</v>
      </c>
      <c r="K740" s="3640">
        <v>941</v>
      </c>
      <c r="L740" s="3636">
        <v>718</v>
      </c>
      <c r="M740" s="3636">
        <v>627</v>
      </c>
      <c r="N740" s="3636">
        <v>347</v>
      </c>
      <c r="O740" s="3636"/>
      <c r="P740" s="3637">
        <f t="shared" si="28"/>
        <v>-0.23698193411264612</v>
      </c>
      <c r="Q740" s="3643">
        <f t="shared" si="29"/>
        <v>-0.37465181058495822</v>
      </c>
      <c r="R740" s="3649">
        <f>972+612+168+333+171+10</f>
        <v>2266</v>
      </c>
    </row>
    <row r="741" spans="1:18" s="3649" customFormat="1" ht="10.5">
      <c r="A741" s="3627">
        <v>44440</v>
      </c>
      <c r="B741" s="3628">
        <v>76</v>
      </c>
      <c r="C741" s="3628">
        <v>99</v>
      </c>
      <c r="D741" s="3628">
        <v>3</v>
      </c>
      <c r="E741" s="3628">
        <v>0</v>
      </c>
      <c r="F741" s="3628">
        <v>14</v>
      </c>
      <c r="G741" s="3628">
        <v>0</v>
      </c>
      <c r="H741" s="3628">
        <v>2</v>
      </c>
      <c r="I741" s="3628">
        <v>5</v>
      </c>
      <c r="J741" s="3636">
        <f t="shared" si="30"/>
        <v>199</v>
      </c>
      <c r="K741" s="3640">
        <v>423</v>
      </c>
      <c r="L741" s="3636">
        <v>452</v>
      </c>
      <c r="M741" s="3636">
        <v>525</v>
      </c>
      <c r="N741" s="3636">
        <v>275</v>
      </c>
      <c r="O741" s="3636"/>
      <c r="P741" s="3637">
        <f t="shared" si="28"/>
        <v>6.8557919621749411E-2</v>
      </c>
      <c r="Q741" s="3637">
        <f t="shared" si="29"/>
        <v>-0.55973451327433632</v>
      </c>
      <c r="R741" s="3649">
        <f>508+579+34+153+165+6</f>
        <v>1445</v>
      </c>
    </row>
    <row r="742" spans="1:18" s="3649" customFormat="1" ht="10.5">
      <c r="A742" s="3627">
        <v>44470</v>
      </c>
      <c r="B742" s="3628">
        <v>88</v>
      </c>
      <c r="C742" s="3628">
        <v>48</v>
      </c>
      <c r="D742" s="3628">
        <v>15</v>
      </c>
      <c r="E742" s="3628"/>
      <c r="F742" s="3628">
        <v>21</v>
      </c>
      <c r="G742" s="3628"/>
      <c r="H742" s="3628"/>
      <c r="I742" s="3628"/>
      <c r="J742" s="3636">
        <f t="shared" si="30"/>
        <v>172</v>
      </c>
      <c r="K742" s="3640">
        <v>434</v>
      </c>
      <c r="L742" s="3636">
        <v>400</v>
      </c>
      <c r="M742" s="3636">
        <v>411</v>
      </c>
      <c r="N742" s="3636">
        <v>151</v>
      </c>
      <c r="O742" s="3636"/>
      <c r="P742" s="3637">
        <f t="shared" si="28"/>
        <v>-7.8341013824884786E-2</v>
      </c>
      <c r="Q742" s="3637">
        <f t="shared" si="29"/>
        <v>-0.56999999999999995</v>
      </c>
      <c r="R742" s="3649">
        <f>344+507+36+150+63+100</f>
        <v>1200</v>
      </c>
    </row>
    <row r="743" spans="1:18" s="3649" customFormat="1" ht="10.5">
      <c r="A743" s="3627">
        <v>44501</v>
      </c>
      <c r="B743" s="3644">
        <v>44</v>
      </c>
      <c r="C743" s="3644">
        <v>48</v>
      </c>
      <c r="D743" s="3644">
        <v>11</v>
      </c>
      <c r="E743" s="3644"/>
      <c r="F743" s="3644">
        <v>10</v>
      </c>
      <c r="G743" s="3644"/>
      <c r="H743" s="3644"/>
      <c r="I743" s="3644">
        <v>3</v>
      </c>
      <c r="J743" s="3636">
        <f t="shared" si="30"/>
        <v>116</v>
      </c>
      <c r="K743" s="3640">
        <v>249</v>
      </c>
      <c r="L743" s="3636">
        <v>437</v>
      </c>
      <c r="M743" s="3636">
        <v>337</v>
      </c>
      <c r="N743" s="3636">
        <v>150</v>
      </c>
      <c r="O743" s="3636"/>
      <c r="P743" s="3637">
        <f t="shared" si="28"/>
        <v>0.75502008032128509</v>
      </c>
      <c r="Q743" s="3637">
        <f t="shared" si="29"/>
        <v>-0.73455377574370706</v>
      </c>
      <c r="R743" s="3649">
        <f>484+375+26+135+204+100</f>
        <v>1324</v>
      </c>
    </row>
    <row r="744" spans="1:18" s="3649" customFormat="1" ht="10.5">
      <c r="A744" s="3627">
        <v>44531</v>
      </c>
      <c r="B744" s="3628">
        <v>60</v>
      </c>
      <c r="C744" s="3628">
        <v>13</v>
      </c>
      <c r="D744" s="3628">
        <v>17</v>
      </c>
      <c r="E744" s="3628">
        <v>0</v>
      </c>
      <c r="F744" s="3628">
        <v>12</v>
      </c>
      <c r="G744" s="3628"/>
      <c r="H744" s="3628">
        <v>1</v>
      </c>
      <c r="I744" s="3628">
        <v>1</v>
      </c>
      <c r="J744" s="3636">
        <f t="shared" si="30"/>
        <v>104</v>
      </c>
      <c r="K744" s="3640">
        <v>155</v>
      </c>
      <c r="L744" s="3636">
        <v>167</v>
      </c>
      <c r="M744" s="3636">
        <v>267</v>
      </c>
      <c r="N744" s="3636">
        <v>103</v>
      </c>
      <c r="O744" s="3636"/>
      <c r="P744" s="3637">
        <f t="shared" si="28"/>
        <v>7.7419354838709681E-2</v>
      </c>
      <c r="Q744" s="3637">
        <f t="shared" si="29"/>
        <v>-0.3772455089820359</v>
      </c>
      <c r="R744" s="3649">
        <f>220+156+24+105+30</f>
        <v>535</v>
      </c>
    </row>
    <row r="745" spans="1:18" s="3649" customFormat="1" ht="10.5">
      <c r="A745" s="3580"/>
      <c r="B745" s="3580"/>
      <c r="C745" s="3580"/>
      <c r="D745" s="3580"/>
      <c r="E745" s="3580"/>
      <c r="F745" s="3580"/>
      <c r="G745" s="3580"/>
      <c r="H745" s="3580"/>
      <c r="I745" s="3580"/>
      <c r="J745" s="3636">
        <f t="shared" si="30"/>
        <v>0</v>
      </c>
      <c r="K745" s="3580"/>
      <c r="L745" s="3580"/>
      <c r="M745" s="3580"/>
      <c r="N745" s="3580"/>
      <c r="O745" s="3580"/>
      <c r="P745" s="3637"/>
      <c r="Q745" s="3637"/>
    </row>
    <row r="746" spans="1:18" s="3649" customFormat="1" ht="10.5">
      <c r="A746" s="3640" t="s">
        <v>8</v>
      </c>
      <c r="B746" s="3640">
        <f t="shared" ref="B746:L746" si="31">SUM(B733:B744)</f>
        <v>970</v>
      </c>
      <c r="C746" s="3640">
        <f t="shared" si="31"/>
        <v>550</v>
      </c>
      <c r="D746" s="3640">
        <f t="shared" si="31"/>
        <v>331</v>
      </c>
      <c r="E746" s="3640">
        <f t="shared" si="31"/>
        <v>7</v>
      </c>
      <c r="F746" s="3640">
        <f t="shared" si="31"/>
        <v>348</v>
      </c>
      <c r="G746" s="3640">
        <f t="shared" si="31"/>
        <v>20</v>
      </c>
      <c r="H746" s="3640">
        <f t="shared" si="31"/>
        <v>71</v>
      </c>
      <c r="I746" s="3640">
        <f t="shared" si="31"/>
        <v>77</v>
      </c>
      <c r="J746" s="3640">
        <f t="shared" si="31"/>
        <v>2374</v>
      </c>
      <c r="K746" s="3640">
        <f t="shared" si="31"/>
        <v>5031</v>
      </c>
      <c r="L746" s="3640">
        <f t="shared" si="31"/>
        <v>4716</v>
      </c>
      <c r="M746" s="3640">
        <v>3797</v>
      </c>
      <c r="N746" s="3640">
        <f>SUM(N733:N745)</f>
        <v>1705</v>
      </c>
      <c r="O746" s="3640"/>
      <c r="P746" s="3637">
        <f t="shared" ref="P746" si="32">(L746-K746)/K746</f>
        <v>-6.2611806797853303E-2</v>
      </c>
      <c r="Q746" s="3637">
        <f t="shared" ref="Q746" si="33">(J746-L746)/L746</f>
        <v>-0.49660729431721801</v>
      </c>
      <c r="R746" s="3649">
        <f>SUM(R733:R744)</f>
        <v>14766</v>
      </c>
    </row>
    <row r="747" spans="1:18" s="3649" customFormat="1" ht="10.5">
      <c r="P747" s="3649" t="s">
        <v>7292</v>
      </c>
      <c r="Q747" s="3649" t="s">
        <v>7293</v>
      </c>
    </row>
    <row r="748" spans="1:18" s="3649" customFormat="1" ht="10.5"/>
    <row r="749" spans="1:18" s="3649" customFormat="1" ht="10.5">
      <c r="A749" s="4790" t="s">
        <v>6095</v>
      </c>
      <c r="B749" s="4791"/>
      <c r="C749" s="4791"/>
      <c r="D749" s="4792"/>
      <c r="G749" s="4793"/>
      <c r="H749" s="4794"/>
      <c r="I749" s="4794"/>
      <c r="J749" s="4795"/>
    </row>
    <row r="750" spans="1:18" s="3649" customFormat="1" ht="10.5">
      <c r="A750" s="3625" t="s">
        <v>6096</v>
      </c>
      <c r="B750" s="3625" t="s">
        <v>6097</v>
      </c>
      <c r="C750" s="3625" t="s">
        <v>6098</v>
      </c>
      <c r="D750" s="3626" t="s">
        <v>6099</v>
      </c>
      <c r="G750" s="4781"/>
      <c r="H750" s="4779"/>
      <c r="I750" s="4779"/>
      <c r="J750" s="4782"/>
    </row>
    <row r="751" spans="1:18" s="3649" customFormat="1" ht="10.5">
      <c r="A751" s="3627">
        <v>44197</v>
      </c>
      <c r="B751" s="3628">
        <f>SUM(B733:F733,I733)</f>
        <v>85</v>
      </c>
      <c r="C751" s="3628">
        <f>SUM(G733)</f>
        <v>0</v>
      </c>
      <c r="D751" s="3629">
        <f>SUM(H733)</f>
        <v>0</v>
      </c>
      <c r="G751" s="4781"/>
      <c r="H751" s="4779"/>
      <c r="I751" s="4779"/>
      <c r="J751" s="4782"/>
    </row>
    <row r="752" spans="1:18" s="3649" customFormat="1" ht="10.5">
      <c r="A752" s="3627">
        <v>44228</v>
      </c>
      <c r="B752" s="3628">
        <f>SUM(B734:F734,I734)</f>
        <v>131</v>
      </c>
      <c r="C752" s="3628">
        <f t="shared" ref="C752:D752" si="34">SUM(G734)</f>
        <v>0</v>
      </c>
      <c r="D752" s="3629">
        <f t="shared" si="34"/>
        <v>0</v>
      </c>
      <c r="G752" s="4781"/>
      <c r="H752" s="4779"/>
      <c r="I752" s="4779"/>
      <c r="J752" s="4782"/>
    </row>
    <row r="753" spans="1:10" s="3649" customFormat="1" ht="10.5">
      <c r="A753" s="3627">
        <v>44256</v>
      </c>
      <c r="B753" s="3628">
        <f t="shared" ref="B753:B760" si="35">SUM(B735:F735,I735)</f>
        <v>77</v>
      </c>
      <c r="C753" s="3628">
        <f t="shared" ref="C753:D753" si="36">SUM(G735)</f>
        <v>0</v>
      </c>
      <c r="D753" s="3629">
        <f t="shared" si="36"/>
        <v>0</v>
      </c>
      <c r="G753" s="4781"/>
      <c r="H753" s="4779"/>
      <c r="I753" s="4779"/>
      <c r="J753" s="4782"/>
    </row>
    <row r="754" spans="1:10" s="3649" customFormat="1" ht="10.5">
      <c r="A754" s="3627">
        <v>44287</v>
      </c>
      <c r="B754" s="3628">
        <f t="shared" si="35"/>
        <v>269</v>
      </c>
      <c r="C754" s="3628">
        <f t="shared" ref="C754:D755" si="37">SUM(G736)</f>
        <v>0</v>
      </c>
      <c r="D754" s="3629">
        <f t="shared" si="37"/>
        <v>1</v>
      </c>
      <c r="G754" s="4783"/>
      <c r="H754" s="4784"/>
      <c r="I754" s="4784"/>
      <c r="J754" s="4785"/>
    </row>
    <row r="755" spans="1:10" s="3649" customFormat="1" ht="10.5">
      <c r="A755" s="3627">
        <v>44317</v>
      </c>
      <c r="B755" s="3628">
        <f t="shared" si="35"/>
        <v>177</v>
      </c>
      <c r="C755" s="3628">
        <f t="shared" si="37"/>
        <v>0</v>
      </c>
      <c r="D755" s="3629">
        <f t="shared" si="37"/>
        <v>60</v>
      </c>
      <c r="G755" s="4786"/>
      <c r="H755" s="4786"/>
      <c r="I755" s="4786"/>
      <c r="J755" s="4786"/>
    </row>
    <row r="756" spans="1:10" s="3649" customFormat="1" ht="10.5">
      <c r="A756" s="3627">
        <v>44348</v>
      </c>
      <c r="B756" s="3628">
        <f>SUM(B738:F738,I738)</f>
        <v>190</v>
      </c>
      <c r="C756" s="3628">
        <f t="shared" ref="C756:D756" si="38">SUM(G738)</f>
        <v>0</v>
      </c>
      <c r="D756" s="3629">
        <f t="shared" si="38"/>
        <v>0</v>
      </c>
      <c r="G756" s="4779"/>
      <c r="H756" s="4779"/>
      <c r="I756" s="4779"/>
      <c r="J756" s="4779"/>
    </row>
    <row r="757" spans="1:10" s="3649" customFormat="1" ht="10.5">
      <c r="A757" s="3627">
        <v>44378</v>
      </c>
      <c r="B757" s="3628">
        <f t="shared" si="35"/>
        <v>320</v>
      </c>
      <c r="C757" s="3628">
        <f t="shared" ref="C757:D760" si="39">SUM(G739)</f>
        <v>20</v>
      </c>
      <c r="D757" s="3629">
        <f t="shared" si="39"/>
        <v>4</v>
      </c>
      <c r="E757" s="4248"/>
      <c r="F757" s="1383"/>
      <c r="G757" s="4779"/>
      <c r="H757" s="4779"/>
      <c r="I757" s="4779"/>
      <c r="J757" s="4779"/>
    </row>
    <row r="758" spans="1:10" s="3649" customFormat="1" ht="10.5">
      <c r="A758" s="3627">
        <v>44409</v>
      </c>
      <c r="B758" s="3628">
        <f t="shared" si="35"/>
        <v>446</v>
      </c>
      <c r="C758" s="3628">
        <f t="shared" si="39"/>
        <v>0</v>
      </c>
      <c r="D758" s="3629">
        <f t="shared" si="39"/>
        <v>3</v>
      </c>
      <c r="F758" s="4249"/>
      <c r="G758" s="4779"/>
      <c r="H758" s="4779"/>
      <c r="I758" s="4779"/>
      <c r="J758" s="4779"/>
    </row>
    <row r="759" spans="1:10" s="3649" customFormat="1" ht="10.5">
      <c r="A759" s="3627">
        <v>44440</v>
      </c>
      <c r="B759" s="3628">
        <f t="shared" si="35"/>
        <v>197</v>
      </c>
      <c r="C759" s="3628">
        <f t="shared" si="39"/>
        <v>0</v>
      </c>
      <c r="D759" s="3629">
        <f t="shared" si="39"/>
        <v>2</v>
      </c>
      <c r="E759" s="4250"/>
      <c r="F759" s="4251"/>
      <c r="G759" s="4779"/>
      <c r="H759" s="4779"/>
      <c r="I759" s="4779"/>
      <c r="J759" s="4779"/>
    </row>
    <row r="760" spans="1:10" s="3649" customFormat="1" ht="10.5">
      <c r="A760" s="3627">
        <v>44470</v>
      </c>
      <c r="B760" s="3628">
        <f t="shared" si="35"/>
        <v>172</v>
      </c>
      <c r="C760" s="3628">
        <f t="shared" si="39"/>
        <v>0</v>
      </c>
      <c r="D760" s="3629">
        <f t="shared" si="39"/>
        <v>0</v>
      </c>
      <c r="G760" s="4779"/>
      <c r="H760" s="4779"/>
      <c r="I760" s="4779"/>
      <c r="J760" s="4779"/>
    </row>
    <row r="761" spans="1:10" s="3649" customFormat="1" ht="10.5">
      <c r="A761" s="3627">
        <v>44501</v>
      </c>
      <c r="B761" s="3628">
        <v>0</v>
      </c>
      <c r="C761" s="3628">
        <f>SUM(G744)</f>
        <v>0</v>
      </c>
      <c r="D761" s="3629">
        <f>SUM(H744)</f>
        <v>1</v>
      </c>
      <c r="G761" s="4779"/>
      <c r="H761" s="4779"/>
      <c r="I761" s="4779"/>
      <c r="J761" s="4779"/>
    </row>
    <row r="762" spans="1:10" s="3649" customFormat="1" ht="10.5">
      <c r="A762" s="3627">
        <v>44531</v>
      </c>
      <c r="B762" s="3628">
        <v>103</v>
      </c>
      <c r="C762" s="3628">
        <v>0</v>
      </c>
      <c r="D762" s="3629">
        <v>0</v>
      </c>
      <c r="G762" s="4779"/>
      <c r="H762" s="4779"/>
      <c r="I762" s="4779"/>
      <c r="J762" s="4779"/>
    </row>
    <row r="763" spans="1:10" s="3649" customFormat="1" ht="10.5">
      <c r="A763" s="3630"/>
      <c r="B763" s="3580"/>
      <c r="C763" s="3580"/>
      <c r="D763" s="3580"/>
      <c r="G763" s="4779"/>
      <c r="H763" s="4779"/>
      <c r="I763" s="4779"/>
      <c r="J763" s="4779"/>
    </row>
    <row r="764" spans="1:10" s="3649" customFormat="1" ht="10.5">
      <c r="A764" s="4252" t="s">
        <v>8</v>
      </c>
      <c r="B764" s="3640">
        <f>SUM(B751:B762)</f>
        <v>2167</v>
      </c>
      <c r="C764" s="3640">
        <f t="shared" ref="C764:D764" si="40">SUM(C751:C762)</f>
        <v>20</v>
      </c>
      <c r="D764" s="3640">
        <f t="shared" si="40"/>
        <v>71</v>
      </c>
      <c r="G764" s="4779"/>
      <c r="H764" s="4779"/>
      <c r="I764" s="4779"/>
      <c r="J764" s="4779"/>
    </row>
    <row r="765" spans="1:10" s="3649" customFormat="1" ht="10.5">
      <c r="A765" s="4253"/>
    </row>
    <row r="766" spans="1:10" s="3649" customFormat="1" ht="10.5">
      <c r="A766" s="4253"/>
    </row>
    <row r="767" spans="1:10" s="3649" customFormat="1" ht="10.5">
      <c r="A767" s="4253"/>
    </row>
    <row r="768" spans="1:10" s="3649" customFormat="1" ht="10.5"/>
    <row r="769" s="3649" customFormat="1" ht="10.5"/>
    <row r="770" s="3649" customFormat="1" ht="10.5"/>
    <row r="771" s="3649" customFormat="1" ht="10.5"/>
    <row r="772" s="3649" customFormat="1" ht="10.5"/>
    <row r="773" s="3649" customFormat="1" ht="10.5"/>
    <row r="774" s="3649" customFormat="1" ht="10.5"/>
    <row r="775" s="3649" customFormat="1" ht="10.5"/>
    <row r="776" s="3649" customFormat="1" ht="10.5"/>
    <row r="777" s="3649" customFormat="1" ht="10.5"/>
    <row r="778" s="3649" customFormat="1" ht="10.5"/>
    <row r="779" s="3649" customFormat="1" ht="10.5"/>
    <row r="780" s="3649" customFormat="1" ht="10.5"/>
    <row r="781" s="3649" customFormat="1" ht="10.5"/>
    <row r="782" s="3649" customFormat="1" ht="10.5"/>
    <row r="783" s="3649" customFormat="1" ht="10.5"/>
    <row r="784" s="3649" customFormat="1" ht="10.5"/>
    <row r="785" spans="1:2" s="3649" customFormat="1" ht="10.5"/>
    <row r="786" spans="1:2" s="3649" customFormat="1" ht="10.5"/>
    <row r="787" spans="1:2" s="3649" customFormat="1" ht="10.5"/>
    <row r="788" spans="1:2" s="3649" customFormat="1" ht="10.5"/>
    <row r="789" spans="1:2" s="3649" customFormat="1" ht="10.5"/>
    <row r="790" spans="1:2" s="3649" customFormat="1" ht="10.5"/>
    <row r="791" spans="1:2" s="3649" customFormat="1" ht="10.5"/>
    <row r="792" spans="1:2" s="3649" customFormat="1" ht="10.5"/>
    <row r="793" spans="1:2" s="3649" customFormat="1" ht="10.5"/>
    <row r="794" spans="1:2" s="3649" customFormat="1" ht="10.5"/>
    <row r="795" spans="1:2" s="3649" customFormat="1" ht="10.5"/>
    <row r="796" spans="1:2" s="3649" customFormat="1" ht="10.5"/>
    <row r="797" spans="1:2" s="3649" customFormat="1" ht="10.5">
      <c r="A797" s="3580" t="s">
        <v>8034</v>
      </c>
      <c r="B797" s="3580"/>
    </row>
    <row r="798" spans="1:2" s="3649" customFormat="1" ht="10.5">
      <c r="A798" s="3580" t="s">
        <v>8035</v>
      </c>
      <c r="B798" s="3580" t="s">
        <v>8036</v>
      </c>
    </row>
    <row r="799" spans="1:2" s="3649" customFormat="1" ht="10.5">
      <c r="A799" s="3580" t="s">
        <v>8037</v>
      </c>
      <c r="B799" s="3580">
        <v>4717</v>
      </c>
    </row>
    <row r="800" spans="1:2" s="3649" customFormat="1" ht="10.5">
      <c r="A800" s="3580" t="s">
        <v>8038</v>
      </c>
      <c r="B800" s="3580">
        <v>1310</v>
      </c>
    </row>
    <row r="801" spans="1:7" s="3649" customFormat="1" ht="10.5">
      <c r="A801" s="3630" t="s">
        <v>8039</v>
      </c>
      <c r="B801" s="3580">
        <v>3130</v>
      </c>
    </row>
    <row r="802" spans="1:7" s="3649" customFormat="1" ht="10.5">
      <c r="A802" s="3580" t="s">
        <v>8040</v>
      </c>
      <c r="B802" s="3580">
        <v>3512</v>
      </c>
    </row>
    <row r="803" spans="1:7" s="3649" customFormat="1" ht="10.5">
      <c r="A803" s="3580" t="s">
        <v>8041</v>
      </c>
      <c r="B803" s="3580">
        <v>1728</v>
      </c>
    </row>
    <row r="804" spans="1:7" s="3649" customFormat="1" ht="10.5">
      <c r="A804" s="3580" t="s">
        <v>8042</v>
      </c>
      <c r="B804" s="3580">
        <v>2138</v>
      </c>
    </row>
    <row r="805" spans="1:7" s="3649" customFormat="1" ht="10.5">
      <c r="A805" s="3580" t="s">
        <v>8043</v>
      </c>
      <c r="B805" s="3580">
        <v>1564</v>
      </c>
    </row>
    <row r="806" spans="1:7" s="3649" customFormat="1" ht="10.5">
      <c r="A806" s="3580" t="s">
        <v>8044</v>
      </c>
      <c r="B806" s="3580">
        <v>1272</v>
      </c>
    </row>
    <row r="807" spans="1:7" s="3649" customFormat="1" ht="10.5">
      <c r="A807" s="3580"/>
      <c r="B807" s="3580">
        <f>SUM(B799:B806)</f>
        <v>19371</v>
      </c>
    </row>
    <row r="808" spans="1:7" s="3649" customFormat="1" ht="10.5"/>
    <row r="809" spans="1:7" s="3649" customFormat="1" ht="10.5"/>
    <row r="810" spans="1:7" s="3649" customFormat="1" ht="10.5"/>
    <row r="811" spans="1:7" s="3649" customFormat="1" ht="10.5"/>
    <row r="812" spans="1:7" s="3649" customFormat="1" ht="10.5"/>
    <row r="813" spans="1:7" s="3649" customFormat="1" ht="10.5"/>
    <row r="814" spans="1:7" s="3649" customFormat="1" ht="10.5"/>
    <row r="815" spans="1:7" s="3649" customFormat="1" ht="10.5"/>
    <row r="816" spans="1:7" s="3649" customFormat="1" ht="10.5">
      <c r="A816" s="4780" t="s">
        <v>8045</v>
      </c>
      <c r="B816" s="4780"/>
      <c r="C816" s="4780"/>
      <c r="D816" s="4780"/>
      <c r="E816" s="4780"/>
      <c r="F816" s="4780"/>
      <c r="G816" s="4254" t="s">
        <v>235</v>
      </c>
    </row>
    <row r="817" spans="1:7" s="3649" customFormat="1" ht="10.5"/>
    <row r="818" spans="1:7" s="3649" customFormat="1" ht="10.5">
      <c r="A818" s="4246" t="s">
        <v>6114</v>
      </c>
      <c r="B818" s="4246" t="s">
        <v>6115</v>
      </c>
      <c r="C818" s="4246" t="s">
        <v>6116</v>
      </c>
      <c r="D818" s="4246" t="s">
        <v>6117</v>
      </c>
      <c r="E818" s="4255" t="s">
        <v>6118</v>
      </c>
      <c r="F818" s="4246" t="s">
        <v>6119</v>
      </c>
      <c r="G818" s="4246" t="s">
        <v>217</v>
      </c>
    </row>
    <row r="819" spans="1:7" s="3649" customFormat="1" ht="10.5">
      <c r="A819" s="4256">
        <v>44289</v>
      </c>
      <c r="B819" s="4257">
        <v>10</v>
      </c>
      <c r="C819" s="4257">
        <v>17</v>
      </c>
      <c r="D819" s="3580" t="s">
        <v>6122</v>
      </c>
      <c r="E819" s="4258">
        <v>101</v>
      </c>
      <c r="F819" s="4259"/>
      <c r="G819" s="4260"/>
    </row>
    <row r="820" spans="1:7" s="3649" customFormat="1" ht="10.5">
      <c r="A820" s="4256">
        <v>44290</v>
      </c>
      <c r="B820" s="4257">
        <v>10</v>
      </c>
      <c r="C820" s="4257">
        <v>17</v>
      </c>
      <c r="D820" s="4261" t="s">
        <v>8046</v>
      </c>
      <c r="E820" s="4258">
        <v>67</v>
      </c>
      <c r="F820" s="4259"/>
      <c r="G820" s="3625"/>
    </row>
    <row r="821" spans="1:7" s="3649" customFormat="1" ht="10.5">
      <c r="A821" s="4256">
        <v>44291</v>
      </c>
      <c r="B821" s="4257">
        <v>10</v>
      </c>
      <c r="C821" s="4257">
        <v>17</v>
      </c>
      <c r="D821" s="4261" t="s">
        <v>6133</v>
      </c>
      <c r="E821" s="4258">
        <v>116</v>
      </c>
      <c r="F821" s="4259"/>
      <c r="G821" s="4260"/>
    </row>
    <row r="822" spans="1:7" s="3649" customFormat="1" ht="10.5">
      <c r="A822" s="4256">
        <v>44292</v>
      </c>
      <c r="B822" s="4257">
        <v>10</v>
      </c>
      <c r="C822" s="4257">
        <v>17</v>
      </c>
      <c r="D822" s="4261" t="s">
        <v>6149</v>
      </c>
      <c r="E822" s="4258">
        <v>145</v>
      </c>
      <c r="F822" s="4259"/>
      <c r="G822" s="3625"/>
    </row>
    <row r="823" spans="1:7" s="3649" customFormat="1" ht="10.5">
      <c r="A823" s="4256">
        <v>44293</v>
      </c>
      <c r="B823" s="4257">
        <v>10</v>
      </c>
      <c r="C823" s="4257">
        <v>17</v>
      </c>
      <c r="D823" s="4261" t="s">
        <v>6129</v>
      </c>
      <c r="E823" s="4258">
        <v>112</v>
      </c>
      <c r="F823" s="4262"/>
      <c r="G823" s="3625"/>
    </row>
    <row r="824" spans="1:7" s="3649" customFormat="1" ht="10.5">
      <c r="A824" s="4256">
        <v>44294</v>
      </c>
      <c r="B824" s="4257">
        <v>10</v>
      </c>
      <c r="C824" s="4257">
        <v>17</v>
      </c>
      <c r="D824" s="4261" t="s">
        <v>6148</v>
      </c>
      <c r="E824" s="4258">
        <v>106</v>
      </c>
      <c r="F824" s="4262"/>
      <c r="G824" s="3625"/>
    </row>
    <row r="825" spans="1:7" s="3649" customFormat="1" ht="10.5">
      <c r="A825" s="4256">
        <v>44295</v>
      </c>
      <c r="B825" s="3625">
        <v>10</v>
      </c>
      <c r="C825" s="3625">
        <v>17</v>
      </c>
      <c r="D825" s="3580" t="s">
        <v>6139</v>
      </c>
      <c r="E825" s="4258">
        <v>90</v>
      </c>
      <c r="F825" s="4262"/>
      <c r="G825" s="3625"/>
    </row>
    <row r="826" spans="1:7" s="3649" customFormat="1" ht="10.5">
      <c r="A826" s="4256">
        <v>44296</v>
      </c>
      <c r="B826" s="3625">
        <v>10</v>
      </c>
      <c r="C826" s="3625">
        <v>17</v>
      </c>
      <c r="D826" s="3580" t="s">
        <v>6148</v>
      </c>
      <c r="E826" s="4258">
        <v>87</v>
      </c>
      <c r="F826" s="4262"/>
      <c r="G826" s="3625"/>
    </row>
    <row r="827" spans="1:7" s="3649" customFormat="1" ht="10.5">
      <c r="A827" s="4256">
        <v>44297</v>
      </c>
      <c r="B827" s="4257">
        <v>10</v>
      </c>
      <c r="C827" s="4257">
        <v>17</v>
      </c>
      <c r="D827" s="3580" t="s">
        <v>6133</v>
      </c>
      <c r="E827" s="4258">
        <v>72</v>
      </c>
      <c r="F827" s="4262"/>
      <c r="G827" s="3625"/>
    </row>
    <row r="828" spans="1:7" s="3649" customFormat="1" ht="10.5">
      <c r="A828" s="4256">
        <v>44298</v>
      </c>
      <c r="B828" s="4257">
        <v>10</v>
      </c>
      <c r="C828" s="4257">
        <v>12</v>
      </c>
      <c r="D828" s="3580" t="s">
        <v>8046</v>
      </c>
      <c r="E828" s="4258">
        <v>48</v>
      </c>
      <c r="F828" s="4262"/>
      <c r="G828" s="3625" t="s">
        <v>8047</v>
      </c>
    </row>
    <row r="829" spans="1:7" s="3649" customFormat="1" ht="10.5">
      <c r="A829" s="4256">
        <v>44299</v>
      </c>
      <c r="B829" s="4257">
        <v>10</v>
      </c>
      <c r="C829" s="4257">
        <v>17</v>
      </c>
      <c r="D829" s="3580" t="s">
        <v>6129</v>
      </c>
      <c r="E829" s="4258">
        <v>59</v>
      </c>
      <c r="F829" s="4262"/>
      <c r="G829" s="3625"/>
    </row>
    <row r="830" spans="1:7" s="3649" customFormat="1" ht="10.5">
      <c r="A830" s="4256">
        <v>44300</v>
      </c>
      <c r="B830" s="4257">
        <v>10</v>
      </c>
      <c r="C830" s="4257">
        <v>17</v>
      </c>
      <c r="D830" s="3580" t="s">
        <v>8046</v>
      </c>
      <c r="E830" s="4258">
        <v>40</v>
      </c>
      <c r="F830" s="4262"/>
      <c r="G830" s="3625"/>
    </row>
    <row r="831" spans="1:7" s="3649" customFormat="1" ht="10.5">
      <c r="A831" s="4256">
        <v>44301</v>
      </c>
      <c r="B831" s="4257">
        <v>10</v>
      </c>
      <c r="C831" s="4257">
        <v>17</v>
      </c>
      <c r="D831" s="3580" t="s">
        <v>6149</v>
      </c>
      <c r="E831" s="4258">
        <v>90</v>
      </c>
      <c r="F831" s="4262"/>
      <c r="G831" s="3625"/>
    </row>
    <row r="832" spans="1:7" s="3649" customFormat="1" ht="10.5">
      <c r="A832" s="4256">
        <v>44302</v>
      </c>
      <c r="B832" s="4257">
        <v>10</v>
      </c>
      <c r="C832" s="4257">
        <v>17</v>
      </c>
      <c r="D832" s="3580" t="s">
        <v>6139</v>
      </c>
      <c r="E832" s="4258">
        <v>54</v>
      </c>
      <c r="F832" s="4262"/>
      <c r="G832" s="3625"/>
    </row>
    <row r="833" spans="1:7" s="3649" customFormat="1" ht="10.5">
      <c r="A833" s="4256">
        <v>44303</v>
      </c>
      <c r="B833" s="4257">
        <v>10</v>
      </c>
      <c r="C833" s="4257">
        <v>17</v>
      </c>
      <c r="D833" s="3580" t="s">
        <v>6149</v>
      </c>
      <c r="E833" s="4258">
        <v>61</v>
      </c>
      <c r="F833" s="4262"/>
      <c r="G833" s="3625"/>
    </row>
    <row r="834" spans="1:7" s="3649" customFormat="1" ht="10.5">
      <c r="A834" s="4256">
        <v>44304</v>
      </c>
      <c r="B834" s="4257">
        <v>10</v>
      </c>
      <c r="C834" s="4257">
        <v>17</v>
      </c>
      <c r="D834" s="3580" t="s">
        <v>6133</v>
      </c>
      <c r="E834" s="4258">
        <v>56</v>
      </c>
      <c r="F834" s="4262"/>
      <c r="G834" s="3625"/>
    </row>
    <row r="835" spans="1:7" s="3649" customFormat="1" ht="10.5">
      <c r="A835" s="4256">
        <v>44310</v>
      </c>
      <c r="B835" s="4257">
        <v>10</v>
      </c>
      <c r="C835" s="4257">
        <v>17</v>
      </c>
      <c r="D835" s="3580" t="s">
        <v>6149</v>
      </c>
      <c r="E835" s="4258">
        <v>44</v>
      </c>
      <c r="F835" s="4262"/>
      <c r="G835" s="3625"/>
    </row>
    <row r="836" spans="1:7" s="3649" customFormat="1" ht="10.5">
      <c r="A836" s="4256">
        <v>44311</v>
      </c>
      <c r="B836" s="4257">
        <v>10</v>
      </c>
      <c r="C836" s="4257">
        <v>17</v>
      </c>
      <c r="D836" s="3580" t="s">
        <v>6129</v>
      </c>
      <c r="E836" s="4258">
        <v>55</v>
      </c>
      <c r="F836" s="4262"/>
      <c r="G836" s="3625" t="s">
        <v>8048</v>
      </c>
    </row>
    <row r="837" spans="1:7" s="3649" customFormat="1" ht="10.5">
      <c r="A837" s="4263"/>
      <c r="B837" s="4264"/>
      <c r="C837" s="4264"/>
      <c r="D837" s="3640" t="s">
        <v>6261</v>
      </c>
      <c r="E837" s="4265" t="s">
        <v>8049</v>
      </c>
      <c r="F837" s="4266"/>
      <c r="G837" s="4267"/>
    </row>
    <row r="838" spans="1:7" s="3649" customFormat="1" ht="10.5">
      <c r="A838" s="4263"/>
      <c r="B838" s="4264"/>
      <c r="C838" s="4264"/>
      <c r="D838" s="3640"/>
      <c r="E838" s="4265"/>
      <c r="F838" s="4266"/>
      <c r="G838" s="4267"/>
    </row>
    <row r="839" spans="1:7" s="3649" customFormat="1" ht="10.5">
      <c r="A839" s="4246" t="s">
        <v>6114</v>
      </c>
      <c r="B839" s="4246" t="s">
        <v>6115</v>
      </c>
      <c r="C839" s="4246" t="s">
        <v>6116</v>
      </c>
      <c r="D839" s="4246" t="s">
        <v>6117</v>
      </c>
      <c r="E839" s="4255" t="s">
        <v>6118</v>
      </c>
      <c r="F839" s="4246" t="s">
        <v>6119</v>
      </c>
      <c r="G839" s="4246" t="s">
        <v>217</v>
      </c>
    </row>
    <row r="840" spans="1:7" s="3649" customFormat="1" ht="10.5">
      <c r="A840" s="4256">
        <v>44317</v>
      </c>
      <c r="B840" s="4257">
        <v>10</v>
      </c>
      <c r="C840" s="4257">
        <v>17</v>
      </c>
      <c r="D840" s="3580" t="s">
        <v>6139</v>
      </c>
      <c r="E840" s="4258">
        <v>34</v>
      </c>
      <c r="F840" s="4262"/>
      <c r="G840" s="3625"/>
    </row>
    <row r="841" spans="1:7" s="3649" customFormat="1" ht="10.5">
      <c r="A841" s="4256">
        <v>44318</v>
      </c>
      <c r="B841" s="4257">
        <v>10</v>
      </c>
      <c r="C841" s="4257">
        <v>17</v>
      </c>
      <c r="D841" s="3580" t="s">
        <v>6148</v>
      </c>
      <c r="E841" s="4258">
        <v>48</v>
      </c>
      <c r="F841" s="4262"/>
      <c r="G841" s="3625"/>
    </row>
    <row r="842" spans="1:7" s="3649" customFormat="1" ht="10.5">
      <c r="A842" s="4256">
        <v>44324</v>
      </c>
      <c r="B842" s="4257">
        <v>10</v>
      </c>
      <c r="C842" s="4257">
        <v>17</v>
      </c>
      <c r="D842" s="3580" t="s">
        <v>6149</v>
      </c>
      <c r="E842" s="4258">
        <v>37</v>
      </c>
      <c r="F842" s="4262"/>
      <c r="G842" s="3625"/>
    </row>
    <row r="843" spans="1:7" s="3649" customFormat="1" ht="10.5">
      <c r="A843" s="4256">
        <v>44325</v>
      </c>
      <c r="B843" s="4257">
        <v>10</v>
      </c>
      <c r="C843" s="4257">
        <v>17</v>
      </c>
      <c r="D843" s="3580" t="s">
        <v>7297</v>
      </c>
      <c r="E843" s="4258">
        <v>34</v>
      </c>
      <c r="F843" s="4262"/>
      <c r="G843" s="3625"/>
    </row>
    <row r="844" spans="1:7" s="3649" customFormat="1" ht="10.5">
      <c r="A844" s="4256">
        <v>44329</v>
      </c>
      <c r="B844" s="4257">
        <v>10</v>
      </c>
      <c r="C844" s="4257">
        <v>17</v>
      </c>
      <c r="D844" s="3580" t="s">
        <v>6129</v>
      </c>
      <c r="E844" s="4258">
        <v>124</v>
      </c>
      <c r="F844" s="4262"/>
      <c r="G844" s="3625"/>
    </row>
    <row r="845" spans="1:7" s="3649" customFormat="1" ht="10.5">
      <c r="A845" s="4256">
        <v>44330</v>
      </c>
      <c r="B845" s="4257">
        <v>10</v>
      </c>
      <c r="C845" s="4257">
        <v>17</v>
      </c>
      <c r="D845" s="3580" t="s">
        <v>6139</v>
      </c>
      <c r="E845" s="4258">
        <v>131</v>
      </c>
      <c r="F845" s="4262"/>
      <c r="G845" s="3625"/>
    </row>
    <row r="846" spans="1:7" s="3649" customFormat="1" ht="10.5">
      <c r="A846" s="4256">
        <v>44331</v>
      </c>
      <c r="B846" s="4257">
        <v>10</v>
      </c>
      <c r="C846" s="4257">
        <v>17</v>
      </c>
      <c r="D846" s="3580" t="s">
        <v>6133</v>
      </c>
      <c r="E846" s="4258">
        <v>198</v>
      </c>
      <c r="F846" s="4262"/>
      <c r="G846" s="3625"/>
    </row>
    <row r="847" spans="1:7" s="3649" customFormat="1" ht="10.5">
      <c r="A847" s="4256">
        <v>44332</v>
      </c>
      <c r="B847" s="4257">
        <v>10</v>
      </c>
      <c r="C847" s="4257">
        <v>17</v>
      </c>
      <c r="D847" s="3580" t="s">
        <v>6148</v>
      </c>
      <c r="E847" s="4258">
        <v>97</v>
      </c>
      <c r="F847" s="4262"/>
      <c r="G847" s="3625"/>
    </row>
    <row r="848" spans="1:7" s="3649" customFormat="1" ht="10.5">
      <c r="A848" s="4256">
        <v>44338</v>
      </c>
      <c r="B848" s="4257">
        <v>10</v>
      </c>
      <c r="C848" s="4257">
        <v>17</v>
      </c>
      <c r="D848" s="3580" t="s">
        <v>6148</v>
      </c>
      <c r="E848" s="4258">
        <v>60</v>
      </c>
      <c r="F848" s="4262"/>
      <c r="G848" s="3625"/>
    </row>
    <row r="849" spans="1:7" s="3649" customFormat="1" ht="10.5">
      <c r="A849" s="4256">
        <v>44339</v>
      </c>
      <c r="B849" s="4257">
        <v>10</v>
      </c>
      <c r="C849" s="4257">
        <v>17</v>
      </c>
      <c r="D849" s="3580" t="s">
        <v>6129</v>
      </c>
      <c r="E849" s="4258">
        <v>96</v>
      </c>
      <c r="F849" s="4262"/>
      <c r="G849" s="3625"/>
    </row>
    <row r="850" spans="1:7" s="3649" customFormat="1" ht="10.5">
      <c r="A850" s="4256">
        <v>44340</v>
      </c>
      <c r="B850" s="4257">
        <v>10</v>
      </c>
      <c r="C850" s="4257">
        <v>17</v>
      </c>
      <c r="D850" s="3580" t="s">
        <v>6149</v>
      </c>
      <c r="E850" s="4258">
        <v>213</v>
      </c>
      <c r="F850" s="4262"/>
      <c r="G850" s="3625"/>
    </row>
    <row r="851" spans="1:7" s="3649" customFormat="1" ht="10.5">
      <c r="A851" s="4256">
        <v>44345</v>
      </c>
      <c r="B851" s="4257">
        <v>10</v>
      </c>
      <c r="C851" s="4257">
        <v>17</v>
      </c>
      <c r="D851" s="3580" t="s">
        <v>6133</v>
      </c>
      <c r="E851" s="4258">
        <v>38</v>
      </c>
      <c r="F851" s="4262"/>
      <c r="G851" s="3625"/>
    </row>
    <row r="852" spans="1:7" s="3649" customFormat="1" ht="10.5">
      <c r="A852" s="4256">
        <v>44346</v>
      </c>
      <c r="B852" s="4257">
        <v>10</v>
      </c>
      <c r="C852" s="4257">
        <v>17</v>
      </c>
      <c r="D852" s="3580" t="s">
        <v>7297</v>
      </c>
      <c r="E852" s="4258">
        <v>67</v>
      </c>
      <c r="F852" s="4262"/>
      <c r="G852" s="3625"/>
    </row>
    <row r="853" spans="1:7" s="3649" customFormat="1" ht="10.5">
      <c r="A853" s="4268"/>
      <c r="B853" s="1439"/>
      <c r="C853" s="1439"/>
      <c r="D853" s="3640" t="s">
        <v>6128</v>
      </c>
      <c r="E853" s="4269">
        <f>SUM(E840:E852)</f>
        <v>1177</v>
      </c>
      <c r="F853" s="3651"/>
      <c r="G853" s="1348"/>
    </row>
    <row r="854" spans="1:7" s="3649" customFormat="1" ht="10.5">
      <c r="A854" s="4268"/>
      <c r="B854" s="1439"/>
      <c r="C854" s="1439"/>
      <c r="D854" s="3640"/>
      <c r="E854" s="4269"/>
      <c r="F854" s="3651"/>
      <c r="G854" s="1348"/>
    </row>
    <row r="855" spans="1:7" s="3649" customFormat="1" ht="10.5">
      <c r="A855" s="4246" t="s">
        <v>6114</v>
      </c>
      <c r="B855" s="4246" t="s">
        <v>6115</v>
      </c>
      <c r="C855" s="4246" t="s">
        <v>6116</v>
      </c>
      <c r="D855" s="4246" t="s">
        <v>6117</v>
      </c>
      <c r="E855" s="4255" t="s">
        <v>6118</v>
      </c>
      <c r="F855" s="4246" t="s">
        <v>6119</v>
      </c>
      <c r="G855" s="4246" t="s">
        <v>217</v>
      </c>
    </row>
    <row r="856" spans="1:7" s="3649" customFormat="1" ht="10.5">
      <c r="A856" s="4256">
        <v>44352</v>
      </c>
      <c r="B856" s="4257">
        <v>10</v>
      </c>
      <c r="C856" s="4257">
        <v>17</v>
      </c>
      <c r="D856" s="3580" t="s">
        <v>6139</v>
      </c>
      <c r="E856" s="4258">
        <f>26+48</f>
        <v>74</v>
      </c>
      <c r="F856" s="4262"/>
      <c r="G856" s="3625"/>
    </row>
    <row r="857" spans="1:7" s="3649" customFormat="1" ht="10.5">
      <c r="A857" s="4256">
        <v>44353</v>
      </c>
      <c r="B857" s="4257">
        <v>10</v>
      </c>
      <c r="C857" s="4257">
        <v>17</v>
      </c>
      <c r="D857" s="3580" t="s">
        <v>6129</v>
      </c>
      <c r="E857" s="4258">
        <v>75</v>
      </c>
      <c r="F857" s="4262"/>
      <c r="G857" s="3625"/>
    </row>
    <row r="858" spans="1:7" s="3649" customFormat="1" ht="10.5">
      <c r="A858" s="4256">
        <v>44359</v>
      </c>
      <c r="B858" s="4257">
        <v>10</v>
      </c>
      <c r="C858" s="4257">
        <v>17</v>
      </c>
      <c r="D858" s="3580" t="s">
        <v>8050</v>
      </c>
      <c r="E858" s="4258">
        <f>9+35</f>
        <v>44</v>
      </c>
      <c r="F858" s="4262"/>
      <c r="G858" s="3625"/>
    </row>
    <row r="859" spans="1:7" s="3649" customFormat="1" ht="10.5">
      <c r="A859" s="4256">
        <v>44360</v>
      </c>
      <c r="B859" s="4257">
        <v>10</v>
      </c>
      <c r="C859" s="4257">
        <v>17</v>
      </c>
      <c r="D859" s="3580" t="s">
        <v>7297</v>
      </c>
      <c r="E859" s="4258">
        <v>47</v>
      </c>
      <c r="F859" s="4262"/>
      <c r="G859" s="3625"/>
    </row>
    <row r="860" spans="1:7" s="3649" customFormat="1" ht="10.5">
      <c r="A860" s="4256">
        <v>44366</v>
      </c>
      <c r="B860" s="4257">
        <v>10</v>
      </c>
      <c r="C860" s="4257" t="s">
        <v>6130</v>
      </c>
      <c r="D860" s="3580" t="s">
        <v>6149</v>
      </c>
      <c r="E860" s="4258">
        <f>42+12</f>
        <v>54</v>
      </c>
      <c r="F860" s="4262"/>
      <c r="G860" s="3625"/>
    </row>
    <row r="861" spans="1:7" s="3649" customFormat="1" ht="10.5">
      <c r="A861" s="4256">
        <v>44367</v>
      </c>
      <c r="B861" s="4257">
        <v>10</v>
      </c>
      <c r="C861" s="4257">
        <v>17</v>
      </c>
      <c r="D861" s="3580" t="s">
        <v>6148</v>
      </c>
      <c r="E861" s="4258">
        <f>20+40</f>
        <v>60</v>
      </c>
      <c r="F861" s="4262"/>
      <c r="G861" s="3625"/>
    </row>
    <row r="862" spans="1:7" s="3649" customFormat="1" ht="10.5">
      <c r="A862" s="4256">
        <v>44373</v>
      </c>
      <c r="B862" s="4257">
        <v>10</v>
      </c>
      <c r="C862" s="4257">
        <v>17</v>
      </c>
      <c r="D862" s="3580" t="s">
        <v>6133</v>
      </c>
      <c r="E862" s="4258">
        <v>67</v>
      </c>
      <c r="F862" s="4262"/>
      <c r="G862" s="3625"/>
    </row>
    <row r="863" spans="1:7" s="3649" customFormat="1" ht="10.5">
      <c r="A863" s="4268"/>
      <c r="B863" s="1439"/>
      <c r="C863" s="1439"/>
      <c r="D863" s="4270" t="s">
        <v>6132</v>
      </c>
      <c r="E863" s="4269">
        <f>SUM(E856:E862)</f>
        <v>421</v>
      </c>
      <c r="F863" s="3651"/>
      <c r="G863" s="1348"/>
    </row>
    <row r="864" spans="1:7" s="3649" customFormat="1" ht="10.5">
      <c r="A864" s="4268"/>
      <c r="B864" s="1439"/>
      <c r="C864" s="1439"/>
      <c r="D864" s="4270"/>
      <c r="E864" s="4269"/>
      <c r="F864" s="3651"/>
      <c r="G864" s="1348"/>
    </row>
    <row r="865" spans="1:7" s="3649" customFormat="1" ht="10.5">
      <c r="A865" s="4246" t="s">
        <v>6114</v>
      </c>
      <c r="B865" s="4246" t="s">
        <v>6115</v>
      </c>
      <c r="C865" s="4246" t="s">
        <v>6116</v>
      </c>
      <c r="D865" s="4246" t="s">
        <v>6117</v>
      </c>
      <c r="E865" s="4255" t="s">
        <v>6118</v>
      </c>
      <c r="F865" s="4246" t="s">
        <v>6119</v>
      </c>
      <c r="G865" s="4246" t="s">
        <v>217</v>
      </c>
    </row>
    <row r="866" spans="1:7" s="3649" customFormat="1" ht="10.5">
      <c r="A866" s="4256">
        <v>44378</v>
      </c>
      <c r="B866" s="3625">
        <v>13</v>
      </c>
      <c r="C866" s="3625">
        <v>17</v>
      </c>
      <c r="D866" s="3580" t="s">
        <v>6129</v>
      </c>
      <c r="E866" s="4258">
        <v>12</v>
      </c>
      <c r="F866" s="4262"/>
      <c r="G866" s="3625"/>
    </row>
    <row r="867" spans="1:7" s="3649" customFormat="1" ht="10.5">
      <c r="A867" s="4256">
        <v>44379</v>
      </c>
      <c r="B867" s="3625">
        <v>10</v>
      </c>
      <c r="C867" s="3625">
        <v>17</v>
      </c>
      <c r="D867" s="3580" t="s">
        <v>6149</v>
      </c>
      <c r="E867" s="4258">
        <v>38</v>
      </c>
      <c r="F867" s="4262"/>
      <c r="G867" s="3625"/>
    </row>
    <row r="868" spans="1:7" s="3649" customFormat="1" ht="10.5">
      <c r="A868" s="4256">
        <v>44380</v>
      </c>
      <c r="B868" s="3625">
        <v>10</v>
      </c>
      <c r="C868" s="3625">
        <v>17</v>
      </c>
      <c r="D868" s="3580" t="s">
        <v>6148</v>
      </c>
      <c r="E868" s="4258">
        <v>44</v>
      </c>
      <c r="F868" s="4262"/>
      <c r="G868" s="3625"/>
    </row>
    <row r="869" spans="1:7" s="3649" customFormat="1" ht="10.5">
      <c r="A869" s="4256">
        <v>44381</v>
      </c>
      <c r="B869" s="3625">
        <v>10</v>
      </c>
      <c r="C869" s="4257">
        <v>17</v>
      </c>
      <c r="D869" s="3580"/>
      <c r="E869" s="4258"/>
      <c r="F869" s="4259"/>
      <c r="G869" s="4260"/>
    </row>
    <row r="870" spans="1:7" s="3649" customFormat="1" ht="10.5">
      <c r="A870" s="4256">
        <v>44382</v>
      </c>
      <c r="B870" s="3625">
        <v>10</v>
      </c>
      <c r="C870" s="3625">
        <v>17</v>
      </c>
      <c r="D870" s="3580" t="s">
        <v>6148</v>
      </c>
      <c r="E870" s="4258">
        <v>87</v>
      </c>
      <c r="F870" s="4259"/>
      <c r="G870" s="3625"/>
    </row>
    <row r="871" spans="1:7" s="3649" customFormat="1" ht="10.5">
      <c r="A871" s="4256">
        <v>44383</v>
      </c>
      <c r="B871" s="3625">
        <v>10</v>
      </c>
      <c r="C871" s="3625">
        <v>17</v>
      </c>
      <c r="D871" s="4261" t="s">
        <v>6133</v>
      </c>
      <c r="E871" s="4258">
        <v>93</v>
      </c>
      <c r="F871" s="4259"/>
      <c r="G871" s="3625"/>
    </row>
    <row r="872" spans="1:7" s="3649" customFormat="1" ht="10.5">
      <c r="A872" s="4256">
        <v>44384</v>
      </c>
      <c r="B872" s="3625">
        <v>10</v>
      </c>
      <c r="C872" s="3625">
        <v>17</v>
      </c>
      <c r="D872" s="3580" t="s">
        <v>8051</v>
      </c>
      <c r="E872" s="4258">
        <v>73</v>
      </c>
      <c r="F872" s="4262"/>
      <c r="G872" s="4271"/>
    </row>
    <row r="873" spans="1:7" s="3649" customFormat="1" ht="10.5">
      <c r="A873" s="4256">
        <v>44385</v>
      </c>
      <c r="B873" s="3625">
        <v>10</v>
      </c>
      <c r="C873" s="3625">
        <v>17</v>
      </c>
      <c r="D873" s="3580" t="s">
        <v>6149</v>
      </c>
      <c r="E873" s="4258">
        <v>38</v>
      </c>
      <c r="F873" s="4262"/>
      <c r="G873" s="3625"/>
    </row>
    <row r="874" spans="1:7" s="3649" customFormat="1" ht="10.5">
      <c r="A874" s="4256">
        <v>44386</v>
      </c>
      <c r="B874" s="3625">
        <v>10</v>
      </c>
      <c r="C874" s="3625">
        <v>17</v>
      </c>
      <c r="D874" s="3580" t="s">
        <v>6148</v>
      </c>
      <c r="E874" s="4258">
        <v>75</v>
      </c>
      <c r="F874" s="4262"/>
      <c r="G874" s="4271"/>
    </row>
    <row r="875" spans="1:7" s="3649" customFormat="1" ht="10.5">
      <c r="A875" s="4256">
        <v>44387</v>
      </c>
      <c r="B875" s="3625">
        <v>10</v>
      </c>
      <c r="C875" s="3625">
        <v>17</v>
      </c>
      <c r="D875" s="3580" t="s">
        <v>6129</v>
      </c>
      <c r="E875" s="4258">
        <v>90</v>
      </c>
      <c r="F875" s="4262"/>
      <c r="G875" s="3625"/>
    </row>
    <row r="876" spans="1:7" s="3649" customFormat="1" ht="10.5">
      <c r="A876" s="4256">
        <v>44388</v>
      </c>
      <c r="B876" s="3625">
        <v>10</v>
      </c>
      <c r="C876" s="3625">
        <v>17</v>
      </c>
      <c r="D876" s="3580" t="s">
        <v>6133</v>
      </c>
      <c r="E876" s="4258">
        <v>49</v>
      </c>
      <c r="F876" s="4262"/>
      <c r="G876" s="3625"/>
    </row>
    <row r="877" spans="1:7" s="3649" customFormat="1" ht="10.5">
      <c r="A877" s="4256">
        <v>44389</v>
      </c>
      <c r="B877" s="3625">
        <v>10</v>
      </c>
      <c r="C877" s="3625">
        <v>17</v>
      </c>
      <c r="D877" s="3580" t="s">
        <v>8051</v>
      </c>
      <c r="E877" s="4258">
        <v>76</v>
      </c>
      <c r="F877" s="4262"/>
      <c r="G877" s="3625"/>
    </row>
    <row r="878" spans="1:7" s="3649" customFormat="1" ht="10.5">
      <c r="A878" s="4256">
        <v>44390</v>
      </c>
      <c r="B878" s="3625">
        <v>10</v>
      </c>
      <c r="C878" s="3625">
        <v>17</v>
      </c>
      <c r="D878" s="3580" t="s">
        <v>6129</v>
      </c>
      <c r="E878" s="4258">
        <v>80</v>
      </c>
      <c r="F878" s="4262"/>
      <c r="G878" s="3625"/>
    </row>
    <row r="879" spans="1:7" s="3649" customFormat="1" ht="10.5">
      <c r="A879" s="4256">
        <v>44391</v>
      </c>
      <c r="B879" s="3625">
        <v>10</v>
      </c>
      <c r="C879" s="3625">
        <v>17</v>
      </c>
      <c r="D879" s="3580" t="s">
        <v>8052</v>
      </c>
      <c r="E879" s="4258">
        <v>115</v>
      </c>
      <c r="F879" s="4262"/>
      <c r="G879" s="3625"/>
    </row>
    <row r="880" spans="1:7" s="3649" customFormat="1" ht="10.5">
      <c r="A880" s="4256">
        <v>44392</v>
      </c>
      <c r="B880" s="3625">
        <v>10</v>
      </c>
      <c r="C880" s="3625">
        <v>17</v>
      </c>
      <c r="D880" s="3580" t="s">
        <v>6148</v>
      </c>
      <c r="E880" s="4258">
        <v>104</v>
      </c>
      <c r="F880" s="4262"/>
      <c r="G880" s="3625"/>
    </row>
    <row r="881" spans="1:7" s="3649" customFormat="1" ht="10.5">
      <c r="A881" s="4256">
        <v>44393</v>
      </c>
      <c r="B881" s="3625">
        <v>10</v>
      </c>
      <c r="C881" s="3625">
        <v>17</v>
      </c>
      <c r="D881" s="3580" t="s">
        <v>6148</v>
      </c>
      <c r="E881" s="4258">
        <v>79</v>
      </c>
      <c r="F881" s="4262"/>
      <c r="G881" s="3625"/>
    </row>
    <row r="882" spans="1:7" s="3649" customFormat="1" ht="10.5">
      <c r="A882" s="4256">
        <v>44394</v>
      </c>
      <c r="B882" s="3625">
        <v>10</v>
      </c>
      <c r="C882" s="3625">
        <v>17</v>
      </c>
      <c r="D882" s="3580" t="s">
        <v>6133</v>
      </c>
      <c r="E882" s="4258">
        <v>75</v>
      </c>
      <c r="F882" s="4262"/>
      <c r="G882" s="3625"/>
    </row>
    <row r="883" spans="1:7" s="3649" customFormat="1" ht="10.5">
      <c r="A883" s="4256">
        <v>44395</v>
      </c>
      <c r="B883" s="3625">
        <v>10</v>
      </c>
      <c r="C883" s="3625">
        <v>17</v>
      </c>
      <c r="D883" s="3580" t="s">
        <v>6129</v>
      </c>
      <c r="E883" s="4258">
        <v>73</v>
      </c>
      <c r="F883" s="4262"/>
      <c r="G883" s="3625"/>
    </row>
    <row r="884" spans="1:7" s="3649" customFormat="1" ht="10.5">
      <c r="A884" s="4256">
        <v>44396</v>
      </c>
      <c r="B884" s="3625">
        <v>10</v>
      </c>
      <c r="C884" s="3625">
        <v>17</v>
      </c>
      <c r="D884" s="3580" t="s">
        <v>6149</v>
      </c>
      <c r="E884" s="4258">
        <v>74</v>
      </c>
      <c r="F884" s="4262"/>
      <c r="G884" s="3625"/>
    </row>
    <row r="885" spans="1:7" s="3649" customFormat="1" ht="10.5">
      <c r="A885" s="4256">
        <v>44397</v>
      </c>
      <c r="B885" s="3625">
        <v>14</v>
      </c>
      <c r="C885" s="3625">
        <v>17</v>
      </c>
      <c r="D885" s="3580" t="s">
        <v>8051</v>
      </c>
      <c r="E885" s="4258">
        <v>53</v>
      </c>
      <c r="F885" s="4262"/>
      <c r="G885" s="3625"/>
    </row>
    <row r="886" spans="1:7" s="3649" customFormat="1" ht="10.5">
      <c r="A886" s="4256">
        <v>44398</v>
      </c>
      <c r="B886" s="3625">
        <v>10</v>
      </c>
      <c r="C886" s="3625">
        <v>17</v>
      </c>
      <c r="D886" s="3580" t="s">
        <v>6148</v>
      </c>
      <c r="E886" s="4258">
        <v>92</v>
      </c>
      <c r="F886" s="4262"/>
      <c r="G886" s="3625"/>
    </row>
    <row r="887" spans="1:7" s="3649" customFormat="1" ht="10.5">
      <c r="A887" s="4256">
        <v>44399</v>
      </c>
      <c r="B887" s="3625">
        <v>10</v>
      </c>
      <c r="C887" s="3625">
        <v>17</v>
      </c>
      <c r="D887" s="3580" t="s">
        <v>6133</v>
      </c>
      <c r="E887" s="4258">
        <v>96</v>
      </c>
      <c r="F887" s="4262"/>
      <c r="G887" s="3625"/>
    </row>
    <row r="888" spans="1:7" s="3649" customFormat="1" ht="10.5">
      <c r="A888" s="4256">
        <v>44400</v>
      </c>
      <c r="B888" s="3625">
        <v>10</v>
      </c>
      <c r="C888" s="3625">
        <v>17</v>
      </c>
      <c r="D888" s="3580" t="s">
        <v>6129</v>
      </c>
      <c r="E888" s="4258">
        <v>80</v>
      </c>
      <c r="F888" s="4262"/>
      <c r="G888" s="3625"/>
    </row>
    <row r="889" spans="1:7" s="3649" customFormat="1" ht="10.5">
      <c r="A889" s="4256">
        <v>44401</v>
      </c>
      <c r="B889" s="3625">
        <v>10</v>
      </c>
      <c r="C889" s="3625">
        <v>17</v>
      </c>
      <c r="D889" s="3580" t="s">
        <v>7297</v>
      </c>
      <c r="E889" s="4258">
        <v>132</v>
      </c>
      <c r="F889" s="4262"/>
      <c r="G889" s="3625"/>
    </row>
    <row r="890" spans="1:7" s="3649" customFormat="1" ht="10.5">
      <c r="A890" s="4256">
        <v>44402</v>
      </c>
      <c r="B890" s="3625">
        <v>10</v>
      </c>
      <c r="C890" s="3625">
        <v>17</v>
      </c>
      <c r="D890" s="3580" t="s">
        <v>6148</v>
      </c>
      <c r="E890" s="4258">
        <v>116</v>
      </c>
      <c r="F890" s="4262"/>
      <c r="G890" s="3625"/>
    </row>
    <row r="891" spans="1:7" s="3649" customFormat="1" ht="10.5">
      <c r="A891" s="4256">
        <v>44403</v>
      </c>
      <c r="B891" s="3625">
        <v>10</v>
      </c>
      <c r="C891" s="3625">
        <v>17</v>
      </c>
      <c r="D891" s="3580" t="s">
        <v>6133</v>
      </c>
      <c r="E891" s="4258">
        <v>136</v>
      </c>
      <c r="F891" s="4262"/>
      <c r="G891" s="3625"/>
    </row>
    <row r="892" spans="1:7" s="3649" customFormat="1" ht="10.5">
      <c r="A892" s="4256">
        <v>44404</v>
      </c>
      <c r="B892" s="3625">
        <v>10</v>
      </c>
      <c r="C892" s="3625">
        <v>17</v>
      </c>
      <c r="D892" s="3580" t="s">
        <v>6149</v>
      </c>
      <c r="E892" s="4258">
        <v>110</v>
      </c>
      <c r="F892" s="4262"/>
      <c r="G892" s="3625"/>
    </row>
    <row r="893" spans="1:7" s="3649" customFormat="1" ht="10.5">
      <c r="A893" s="4256">
        <v>44405</v>
      </c>
      <c r="B893" s="3625">
        <v>10</v>
      </c>
      <c r="C893" s="3625">
        <v>17</v>
      </c>
      <c r="D893" s="3580" t="s">
        <v>6129</v>
      </c>
      <c r="E893" s="4258">
        <v>146</v>
      </c>
      <c r="F893" s="4262"/>
      <c r="G893" s="3625"/>
    </row>
    <row r="894" spans="1:7" s="3649" customFormat="1" ht="10.5">
      <c r="A894" s="4256">
        <v>44406</v>
      </c>
      <c r="B894" s="3625">
        <v>10</v>
      </c>
      <c r="C894" s="3625">
        <v>17</v>
      </c>
      <c r="D894" s="3580" t="s">
        <v>7297</v>
      </c>
      <c r="E894" s="4258">
        <v>83</v>
      </c>
      <c r="F894" s="4262"/>
      <c r="G894" s="3625"/>
    </row>
    <row r="895" spans="1:7" s="3649" customFormat="1" ht="10.5">
      <c r="A895" s="4256">
        <v>44407</v>
      </c>
      <c r="B895" s="3625">
        <v>10</v>
      </c>
      <c r="C895" s="3625">
        <v>17</v>
      </c>
      <c r="D895" s="3580" t="s">
        <v>6133</v>
      </c>
      <c r="E895" s="4258">
        <v>105</v>
      </c>
      <c r="F895" s="4262"/>
      <c r="G895" s="3625"/>
    </row>
    <row r="896" spans="1:7" s="3649" customFormat="1" ht="10.5">
      <c r="A896" s="4256">
        <v>44408</v>
      </c>
      <c r="B896" s="3625">
        <v>10</v>
      </c>
      <c r="C896" s="3625">
        <v>17</v>
      </c>
      <c r="D896" s="3580" t="s">
        <v>6149</v>
      </c>
      <c r="E896" s="4258">
        <v>60</v>
      </c>
      <c r="F896" s="4262"/>
      <c r="G896" s="3625"/>
    </row>
    <row r="897" spans="1:7" s="3649" customFormat="1" ht="10.5">
      <c r="A897" s="4263"/>
      <c r="B897" s="4267"/>
      <c r="C897" s="4267"/>
      <c r="D897" s="3640" t="s">
        <v>6155</v>
      </c>
      <c r="E897" s="4255">
        <f>SUM(E869:E896)</f>
        <v>2390</v>
      </c>
      <c r="F897" s="4266"/>
      <c r="G897" s="4267"/>
    </row>
    <row r="898" spans="1:7" s="3649" customFormat="1" ht="10.5">
      <c r="A898" s="4263"/>
      <c r="B898" s="4267"/>
      <c r="C898" s="4267"/>
      <c r="E898" s="4272"/>
      <c r="F898" s="4266"/>
      <c r="G898" s="4267"/>
    </row>
    <row r="899" spans="1:7" s="3649" customFormat="1" ht="10.5">
      <c r="A899" s="4246" t="s">
        <v>6114</v>
      </c>
      <c r="B899" s="4246" t="s">
        <v>6115</v>
      </c>
      <c r="C899" s="4246" t="s">
        <v>6116</v>
      </c>
      <c r="D899" s="4246" t="s">
        <v>6117</v>
      </c>
      <c r="E899" s="4255" t="s">
        <v>6118</v>
      </c>
      <c r="F899" s="4246" t="s">
        <v>6119</v>
      </c>
      <c r="G899" s="4246" t="s">
        <v>217</v>
      </c>
    </row>
    <row r="900" spans="1:7" s="3649" customFormat="1" ht="10.5">
      <c r="A900" s="4256">
        <v>44409</v>
      </c>
      <c r="B900" s="3625">
        <v>10</v>
      </c>
      <c r="C900" s="3625">
        <v>17</v>
      </c>
      <c r="D900" s="3580" t="s">
        <v>6129</v>
      </c>
      <c r="E900" s="4258">
        <v>0</v>
      </c>
      <c r="F900" s="4262"/>
      <c r="G900" s="3625" t="s">
        <v>2217</v>
      </c>
    </row>
    <row r="901" spans="1:7" s="3649" customFormat="1" ht="10.5">
      <c r="A901" s="4256">
        <v>44410</v>
      </c>
      <c r="B901" s="3625">
        <v>10</v>
      </c>
      <c r="C901" s="3625">
        <v>17</v>
      </c>
      <c r="D901" s="3580" t="s">
        <v>7295</v>
      </c>
      <c r="E901" s="4258">
        <v>85</v>
      </c>
      <c r="F901" s="4262"/>
      <c r="G901" s="3625"/>
    </row>
    <row r="902" spans="1:7" s="3649" customFormat="1" ht="10.5">
      <c r="A902" s="4256">
        <v>44411</v>
      </c>
      <c r="B902" s="3625">
        <v>10</v>
      </c>
      <c r="C902" s="3625">
        <v>17</v>
      </c>
      <c r="D902" s="3580" t="s">
        <v>6133</v>
      </c>
      <c r="E902" s="4258">
        <v>117</v>
      </c>
      <c r="F902" s="4262"/>
      <c r="G902" s="3625"/>
    </row>
    <row r="903" spans="1:7" s="3649" customFormat="1" ht="10.5">
      <c r="A903" s="4256">
        <v>44412</v>
      </c>
      <c r="B903" s="3625">
        <v>10</v>
      </c>
      <c r="C903" s="3625">
        <v>17</v>
      </c>
      <c r="D903" s="3580" t="s">
        <v>8051</v>
      </c>
      <c r="E903" s="4258">
        <v>118</v>
      </c>
      <c r="F903" s="4262"/>
      <c r="G903" s="4271"/>
    </row>
    <row r="904" spans="1:7" s="3649" customFormat="1" ht="10.5">
      <c r="A904" s="4256">
        <v>44413</v>
      </c>
      <c r="B904" s="3625">
        <v>10</v>
      </c>
      <c r="C904" s="3625">
        <v>17</v>
      </c>
      <c r="D904" s="3580" t="s">
        <v>6148</v>
      </c>
      <c r="E904" s="4258">
        <v>121</v>
      </c>
      <c r="F904" s="4262"/>
      <c r="G904" s="4273"/>
    </row>
    <row r="905" spans="1:7" s="3649" customFormat="1" ht="10.5">
      <c r="A905" s="4256">
        <v>44414</v>
      </c>
      <c r="B905" s="3625">
        <v>10</v>
      </c>
      <c r="C905" s="3625">
        <v>17</v>
      </c>
      <c r="D905" s="3580" t="s">
        <v>7295</v>
      </c>
      <c r="E905" s="4258">
        <v>105</v>
      </c>
      <c r="F905" s="4262">
        <v>110</v>
      </c>
      <c r="G905" s="4273"/>
    </row>
    <row r="906" spans="1:7" s="3649" customFormat="1" ht="10.5">
      <c r="A906" s="4256">
        <v>44415</v>
      </c>
      <c r="B906" s="3625">
        <v>10</v>
      </c>
      <c r="C906" s="3625">
        <v>17</v>
      </c>
      <c r="D906" s="3580" t="s">
        <v>7295</v>
      </c>
      <c r="E906" s="4258">
        <v>133</v>
      </c>
      <c r="F906" s="4262"/>
      <c r="G906" s="4273"/>
    </row>
    <row r="907" spans="1:7" s="3649" customFormat="1" ht="10.5">
      <c r="A907" s="4256">
        <v>44416</v>
      </c>
      <c r="B907" s="3625">
        <v>10</v>
      </c>
      <c r="C907" s="3625">
        <v>17</v>
      </c>
      <c r="D907" s="3580" t="s">
        <v>6133</v>
      </c>
      <c r="E907" s="4258">
        <v>90</v>
      </c>
      <c r="F907" s="4262"/>
      <c r="G907" s="4273"/>
    </row>
    <row r="908" spans="1:7" s="3649" customFormat="1" ht="10.5">
      <c r="A908" s="4256">
        <v>44417</v>
      </c>
      <c r="B908" s="3625">
        <v>10</v>
      </c>
      <c r="C908" s="3625">
        <v>17</v>
      </c>
      <c r="D908" s="3580" t="s">
        <v>6149</v>
      </c>
      <c r="E908" s="4258">
        <v>70</v>
      </c>
      <c r="F908" s="4262"/>
      <c r="G908" s="4273"/>
    </row>
    <row r="909" spans="1:7" s="3649" customFormat="1" ht="10.5">
      <c r="A909" s="4256">
        <v>44418</v>
      </c>
      <c r="B909" s="3625">
        <v>10</v>
      </c>
      <c r="C909" s="3625">
        <v>17</v>
      </c>
      <c r="D909" s="3580" t="s">
        <v>8051</v>
      </c>
      <c r="E909" s="4258">
        <v>164</v>
      </c>
      <c r="F909" s="4262"/>
      <c r="G909" s="4273"/>
    </row>
    <row r="910" spans="1:7" s="3649" customFormat="1" ht="10.5">
      <c r="A910" s="4256">
        <v>44419</v>
      </c>
      <c r="B910" s="3625">
        <v>10</v>
      </c>
      <c r="C910" s="3625">
        <v>17</v>
      </c>
      <c r="D910" s="3580" t="s">
        <v>6148</v>
      </c>
      <c r="E910" s="4258">
        <v>198</v>
      </c>
      <c r="F910" s="4262"/>
      <c r="G910" s="4273"/>
    </row>
    <row r="911" spans="1:7" s="3649" customFormat="1" ht="10.5">
      <c r="A911" s="4256">
        <v>44420</v>
      </c>
      <c r="B911" s="3625">
        <v>10</v>
      </c>
      <c r="C911" s="3625">
        <v>17</v>
      </c>
      <c r="D911" s="3580" t="s">
        <v>6129</v>
      </c>
      <c r="E911" s="4258">
        <v>68</v>
      </c>
      <c r="F911" s="4262"/>
      <c r="G911" s="4273"/>
    </row>
    <row r="912" spans="1:7" s="3649" customFormat="1" ht="10.5">
      <c r="A912" s="4256">
        <v>44421</v>
      </c>
      <c r="B912" s="3625">
        <v>10</v>
      </c>
      <c r="C912" s="3625">
        <v>17</v>
      </c>
      <c r="D912" s="3580" t="s">
        <v>8053</v>
      </c>
      <c r="E912" s="4258">
        <v>93</v>
      </c>
      <c r="F912" s="4262"/>
      <c r="G912" s="4273"/>
    </row>
    <row r="913" spans="1:7" s="3649" customFormat="1" ht="10.5">
      <c r="A913" s="4256">
        <v>44422</v>
      </c>
      <c r="B913" s="3625">
        <v>10</v>
      </c>
      <c r="C913" s="3625">
        <v>17</v>
      </c>
      <c r="D913" s="3580" t="s">
        <v>6149</v>
      </c>
      <c r="E913" s="4258">
        <v>121</v>
      </c>
      <c r="F913" s="4262"/>
      <c r="G913" s="4273"/>
    </row>
    <row r="914" spans="1:7" s="3649" customFormat="1" ht="10.5">
      <c r="A914" s="4256">
        <v>44423</v>
      </c>
      <c r="B914" s="3625">
        <v>10</v>
      </c>
      <c r="C914" s="3625">
        <v>17</v>
      </c>
      <c r="D914" s="3580" t="s">
        <v>6133</v>
      </c>
      <c r="E914" s="4258">
        <v>114</v>
      </c>
      <c r="F914" s="4262"/>
      <c r="G914" s="4273"/>
    </row>
    <row r="915" spans="1:7" s="3649" customFormat="1" ht="10.5">
      <c r="A915" s="4256">
        <v>44424</v>
      </c>
      <c r="B915" s="3625">
        <v>10</v>
      </c>
      <c r="C915" s="3625">
        <v>17</v>
      </c>
      <c r="D915" s="3580" t="s">
        <v>6129</v>
      </c>
      <c r="E915" s="4258">
        <v>112</v>
      </c>
      <c r="F915" s="4262"/>
      <c r="G915" s="4273"/>
    </row>
    <row r="916" spans="1:7" s="3649" customFormat="1" ht="10.5">
      <c r="A916" s="4256">
        <v>44425</v>
      </c>
      <c r="B916" s="3625">
        <v>10</v>
      </c>
      <c r="C916" s="3625">
        <v>17</v>
      </c>
      <c r="D916" s="3580" t="s">
        <v>8051</v>
      </c>
      <c r="E916" s="4258">
        <v>204</v>
      </c>
      <c r="F916" s="4262"/>
      <c r="G916" s="4273"/>
    </row>
    <row r="917" spans="1:7" s="3649" customFormat="1" ht="10.5">
      <c r="A917" s="4256">
        <v>44426</v>
      </c>
      <c r="B917" s="3625">
        <v>10</v>
      </c>
      <c r="C917" s="3625">
        <v>17</v>
      </c>
      <c r="D917" s="3580" t="s">
        <v>7295</v>
      </c>
      <c r="E917" s="4258">
        <v>158</v>
      </c>
      <c r="F917" s="4262"/>
      <c r="G917" s="4273"/>
    </row>
    <row r="918" spans="1:7" s="3649" customFormat="1" ht="10.5">
      <c r="A918" s="4256">
        <v>44427</v>
      </c>
      <c r="B918" s="3625">
        <v>10</v>
      </c>
      <c r="C918" s="3625">
        <v>17</v>
      </c>
      <c r="D918" s="3580" t="s">
        <v>6148</v>
      </c>
      <c r="E918" s="4258">
        <v>120</v>
      </c>
      <c r="F918" s="4262"/>
      <c r="G918" s="4273"/>
    </row>
    <row r="919" spans="1:7" s="3649" customFormat="1" ht="10.5">
      <c r="A919" s="4256">
        <v>44428</v>
      </c>
      <c r="B919" s="3625">
        <v>10</v>
      </c>
      <c r="C919" s="3625">
        <v>17</v>
      </c>
      <c r="D919" s="3580" t="s">
        <v>7295</v>
      </c>
      <c r="E919" s="4258">
        <v>93</v>
      </c>
      <c r="F919" s="4262"/>
      <c r="G919" s="4273"/>
    </row>
    <row r="920" spans="1:7" s="3649" customFormat="1" ht="10.5">
      <c r="A920" s="4256">
        <v>44429</v>
      </c>
      <c r="B920" s="3625">
        <v>10</v>
      </c>
      <c r="C920" s="3625">
        <v>17</v>
      </c>
      <c r="D920" s="3580" t="s">
        <v>6129</v>
      </c>
      <c r="E920" s="4258">
        <v>101</v>
      </c>
      <c r="F920" s="4262"/>
      <c r="G920" s="4273"/>
    </row>
    <row r="921" spans="1:7" s="3649" customFormat="1" ht="10.5">
      <c r="A921" s="4256">
        <v>44430</v>
      </c>
      <c r="B921" s="3625">
        <v>13</v>
      </c>
      <c r="C921" s="3625">
        <v>17</v>
      </c>
      <c r="D921" s="3580" t="s">
        <v>7295</v>
      </c>
      <c r="E921" s="4258">
        <v>132</v>
      </c>
      <c r="F921" s="4262"/>
      <c r="G921" s="4273"/>
    </row>
    <row r="922" spans="1:7" s="3649" customFormat="1" ht="10.5">
      <c r="A922" s="4256">
        <v>44431</v>
      </c>
      <c r="B922" s="3625">
        <v>10</v>
      </c>
      <c r="C922" s="3625">
        <v>17</v>
      </c>
      <c r="D922" s="3580" t="s">
        <v>8054</v>
      </c>
      <c r="E922" s="4258">
        <v>73</v>
      </c>
      <c r="F922" s="4262"/>
      <c r="G922" s="4273"/>
    </row>
    <row r="923" spans="1:7" s="3649" customFormat="1" ht="10.5">
      <c r="A923" s="4256">
        <v>44432</v>
      </c>
      <c r="B923" s="3625">
        <v>10</v>
      </c>
      <c r="C923" s="3625">
        <v>17</v>
      </c>
      <c r="D923" s="3580" t="s">
        <v>8051</v>
      </c>
      <c r="E923" s="4258">
        <v>30</v>
      </c>
      <c r="F923" s="4262"/>
      <c r="G923" s="4273"/>
    </row>
    <row r="924" spans="1:7" s="3649" customFormat="1" ht="10.5">
      <c r="A924" s="4256">
        <v>44433</v>
      </c>
      <c r="B924" s="3625">
        <v>10</v>
      </c>
      <c r="C924" s="3625">
        <v>17</v>
      </c>
      <c r="D924" s="3580" t="s">
        <v>7295</v>
      </c>
      <c r="E924" s="4258">
        <v>119</v>
      </c>
      <c r="F924" s="4262"/>
      <c r="G924" s="4273"/>
    </row>
    <row r="925" spans="1:7" s="3649" customFormat="1" ht="10.5">
      <c r="A925" s="4256">
        <v>44434</v>
      </c>
      <c r="B925" s="3625">
        <v>10</v>
      </c>
      <c r="C925" s="3625">
        <v>17</v>
      </c>
      <c r="D925" s="3580" t="s">
        <v>6133</v>
      </c>
      <c r="E925" s="4258">
        <v>155</v>
      </c>
      <c r="F925" s="4262"/>
      <c r="G925" s="4273"/>
    </row>
    <row r="926" spans="1:7" s="3649" customFormat="1" ht="10.5">
      <c r="A926" s="4256">
        <v>44435</v>
      </c>
      <c r="B926" s="3625">
        <v>10</v>
      </c>
      <c r="C926" s="3625">
        <v>17</v>
      </c>
      <c r="D926" s="3580" t="s">
        <v>8052</v>
      </c>
      <c r="E926" s="4258">
        <v>116</v>
      </c>
      <c r="F926" s="4262"/>
      <c r="G926" s="4273"/>
    </row>
    <row r="927" spans="1:7" s="3649" customFormat="1" ht="10.5">
      <c r="A927" s="4256">
        <v>44436</v>
      </c>
      <c r="B927" s="3625">
        <v>11</v>
      </c>
      <c r="C927" s="3625">
        <v>17</v>
      </c>
      <c r="D927" s="3580" t="s">
        <v>6149</v>
      </c>
      <c r="E927" s="4258">
        <v>90</v>
      </c>
      <c r="F927" s="4262"/>
      <c r="G927" s="4273"/>
    </row>
    <row r="928" spans="1:7" s="3649" customFormat="1" ht="10.5">
      <c r="A928" s="4256">
        <v>44437</v>
      </c>
      <c r="B928" s="3625">
        <v>10</v>
      </c>
      <c r="C928" s="3625">
        <v>17</v>
      </c>
      <c r="D928" s="3580" t="s">
        <v>6148</v>
      </c>
      <c r="E928" s="4258">
        <v>143</v>
      </c>
      <c r="F928" s="4262"/>
      <c r="G928" s="3580"/>
    </row>
    <row r="929" spans="1:7" s="3649" customFormat="1" ht="10.5">
      <c r="A929" s="4256">
        <v>44438</v>
      </c>
      <c r="B929" s="3625">
        <v>10</v>
      </c>
      <c r="C929" s="3625">
        <v>17</v>
      </c>
      <c r="D929" s="3580" t="s">
        <v>6133</v>
      </c>
      <c r="E929" s="4258">
        <v>61</v>
      </c>
      <c r="F929" s="4262"/>
      <c r="G929" s="3580"/>
    </row>
    <row r="930" spans="1:7" s="3649" customFormat="1" ht="10.5">
      <c r="A930" s="4256">
        <v>44439</v>
      </c>
      <c r="B930" s="3625">
        <v>5</v>
      </c>
      <c r="C930" s="3625">
        <v>47</v>
      </c>
      <c r="D930" s="3580" t="s">
        <v>8051</v>
      </c>
      <c r="E930" s="4258">
        <v>60</v>
      </c>
      <c r="F930" s="4262"/>
      <c r="G930" s="3580"/>
    </row>
    <row r="931" spans="1:7" s="3649" customFormat="1" ht="10.5">
      <c r="A931" s="4263"/>
      <c r="B931" s="4267"/>
      <c r="C931" s="4267"/>
      <c r="D931" s="3640" t="s">
        <v>7304</v>
      </c>
      <c r="E931" s="4255">
        <f>SUM(E900:E930)</f>
        <v>3364</v>
      </c>
      <c r="F931" s="4266"/>
    </row>
    <row r="932" spans="1:7" s="3649" customFormat="1" ht="10.5">
      <c r="E932" s="4272"/>
      <c r="F932" s="4266"/>
    </row>
    <row r="933" spans="1:7" s="3649" customFormat="1" ht="10.5">
      <c r="A933" s="4246" t="s">
        <v>6114</v>
      </c>
      <c r="B933" s="4246" t="s">
        <v>6115</v>
      </c>
      <c r="C933" s="4246" t="s">
        <v>6116</v>
      </c>
      <c r="D933" s="4246" t="s">
        <v>6117</v>
      </c>
      <c r="E933" s="4255" t="s">
        <v>6118</v>
      </c>
      <c r="F933" s="4246" t="s">
        <v>6119</v>
      </c>
      <c r="G933" s="4246" t="s">
        <v>217</v>
      </c>
    </row>
    <row r="934" spans="1:7" s="3649" customFormat="1" ht="10.5">
      <c r="A934" s="4274">
        <v>44441</v>
      </c>
      <c r="B934" s="3625">
        <v>10</v>
      </c>
      <c r="C934" s="3625">
        <v>17</v>
      </c>
      <c r="D934" s="4261"/>
      <c r="E934" s="4258"/>
      <c r="F934" s="3625">
        <f>84.5+31</f>
        <v>115.5</v>
      </c>
      <c r="G934" s="3625"/>
    </row>
    <row r="935" spans="1:7" s="3649" customFormat="1" ht="10.5">
      <c r="A935" s="4256">
        <v>44443</v>
      </c>
      <c r="B935" s="3625">
        <v>10</v>
      </c>
      <c r="C935" s="3625">
        <v>17</v>
      </c>
      <c r="D935" s="3580"/>
      <c r="E935" s="4258"/>
      <c r="F935" s="4262"/>
      <c r="G935" s="3580"/>
    </row>
    <row r="936" spans="1:7" s="3649" customFormat="1" ht="10.5">
      <c r="A936" s="4256">
        <v>44444</v>
      </c>
      <c r="B936" s="3625">
        <v>10</v>
      </c>
      <c r="C936" s="3625">
        <v>17</v>
      </c>
      <c r="D936" s="3580" t="s">
        <v>6133</v>
      </c>
      <c r="E936" s="4258">
        <v>81</v>
      </c>
      <c r="F936" s="4262"/>
      <c r="G936" s="3625"/>
    </row>
    <row r="937" spans="1:7" s="3649" customFormat="1" ht="10.5">
      <c r="A937" s="4256">
        <v>44450</v>
      </c>
      <c r="B937" s="3625">
        <v>10</v>
      </c>
      <c r="C937" s="3625">
        <v>17</v>
      </c>
      <c r="D937" s="3580" t="s">
        <v>6149</v>
      </c>
      <c r="E937" s="4258">
        <v>117</v>
      </c>
      <c r="F937" s="4262"/>
      <c r="G937" s="3580"/>
    </row>
    <row r="938" spans="1:7" s="3649" customFormat="1" ht="10.5">
      <c r="A938" s="4256">
        <v>44451</v>
      </c>
      <c r="B938" s="3625">
        <v>10</v>
      </c>
      <c r="C938" s="3625">
        <v>17</v>
      </c>
      <c r="D938" s="4261" t="s">
        <v>7297</v>
      </c>
      <c r="E938" s="4258">
        <v>155</v>
      </c>
      <c r="F938" s="4262"/>
      <c r="G938" s="4271"/>
    </row>
    <row r="939" spans="1:7" s="3649" customFormat="1" ht="10.5">
      <c r="A939" s="4256">
        <v>44457</v>
      </c>
      <c r="B939" s="3625">
        <v>10</v>
      </c>
      <c r="C939" s="3625">
        <v>17</v>
      </c>
      <c r="D939" s="4261" t="s">
        <v>6129</v>
      </c>
      <c r="E939" s="4258">
        <v>83</v>
      </c>
      <c r="F939" s="4262"/>
      <c r="G939" s="3580"/>
    </row>
    <row r="940" spans="1:7" s="3649" customFormat="1" ht="10.5">
      <c r="A940" s="4256">
        <v>44458</v>
      </c>
      <c r="B940" s="3625">
        <v>10</v>
      </c>
      <c r="C940" s="3625">
        <v>17</v>
      </c>
      <c r="D940" s="4261" t="s">
        <v>7297</v>
      </c>
      <c r="E940" s="4258">
        <v>77</v>
      </c>
      <c r="F940" s="4262"/>
      <c r="G940" s="3580" t="s">
        <v>8055</v>
      </c>
    </row>
    <row r="941" spans="1:7" s="3649" customFormat="1" ht="10.5">
      <c r="A941" s="4256">
        <v>44464</v>
      </c>
      <c r="B941" s="3625">
        <v>10</v>
      </c>
      <c r="C941" s="3625">
        <v>17</v>
      </c>
      <c r="D941" s="4261" t="s">
        <v>6149</v>
      </c>
      <c r="E941" s="4258">
        <v>157</v>
      </c>
      <c r="F941" s="4262"/>
      <c r="G941" s="3580"/>
    </row>
    <row r="942" spans="1:7" s="3649" customFormat="1" ht="10.5">
      <c r="A942" s="4256">
        <v>44465</v>
      </c>
      <c r="B942" s="3625">
        <v>10</v>
      </c>
      <c r="C942" s="3625">
        <v>17</v>
      </c>
      <c r="D942" s="4261" t="s">
        <v>6148</v>
      </c>
      <c r="E942" s="4275"/>
      <c r="F942" s="4262"/>
      <c r="G942" s="4276" t="s">
        <v>8056</v>
      </c>
    </row>
    <row r="943" spans="1:7" s="3649" customFormat="1" ht="10.5">
      <c r="A943" s="4263"/>
      <c r="B943" s="4267"/>
      <c r="C943" s="4267"/>
      <c r="D943" s="4277" t="s">
        <v>7306</v>
      </c>
      <c r="E943" s="4255">
        <f>SUM(E935:E942)</f>
        <v>670</v>
      </c>
      <c r="F943" s="4266"/>
    </row>
    <row r="944" spans="1:7" s="3649" customFormat="1" ht="10.5">
      <c r="E944" s="4272"/>
      <c r="F944" s="4266"/>
    </row>
    <row r="945" spans="1:7" s="3649" customFormat="1" ht="10.5">
      <c r="A945" s="4246" t="s">
        <v>6114</v>
      </c>
      <c r="B945" s="4246" t="s">
        <v>6115</v>
      </c>
      <c r="C945" s="4246" t="s">
        <v>6116</v>
      </c>
      <c r="D945" s="4246" t="s">
        <v>6117</v>
      </c>
      <c r="E945" s="4255" t="s">
        <v>6118</v>
      </c>
      <c r="F945" s="4246" t="s">
        <v>6119</v>
      </c>
      <c r="G945" s="4246" t="s">
        <v>217</v>
      </c>
    </row>
    <row r="946" spans="1:7" s="3649" customFormat="1" ht="10.5">
      <c r="A946" s="4278">
        <v>44471</v>
      </c>
      <c r="B946" s="4246">
        <v>10</v>
      </c>
      <c r="C946" s="4246">
        <v>17</v>
      </c>
      <c r="D946" s="3625" t="s">
        <v>8051</v>
      </c>
      <c r="E946" s="4258">
        <v>67</v>
      </c>
      <c r="F946" s="4246"/>
      <c r="G946" s="3625" t="s">
        <v>8057</v>
      </c>
    </row>
    <row r="947" spans="1:7" s="3649" customFormat="1" ht="10.5">
      <c r="A947" s="4274">
        <v>44472</v>
      </c>
      <c r="B947" s="3625">
        <v>10</v>
      </c>
      <c r="C947" s="3625">
        <v>17</v>
      </c>
      <c r="D947" s="4261" t="s">
        <v>7297</v>
      </c>
      <c r="E947" s="4258">
        <v>24</v>
      </c>
      <c r="F947" s="3625"/>
      <c r="G947" s="3625" t="s">
        <v>8058</v>
      </c>
    </row>
    <row r="948" spans="1:7" s="3649" customFormat="1" ht="10.5">
      <c r="A948" s="4256">
        <v>44478</v>
      </c>
      <c r="B948" s="3625">
        <v>10</v>
      </c>
      <c r="C948" s="3625">
        <v>17</v>
      </c>
      <c r="D948" s="3580" t="s">
        <v>6148</v>
      </c>
      <c r="E948" s="4258">
        <v>46</v>
      </c>
      <c r="F948" s="4262"/>
      <c r="G948" s="3625" t="s">
        <v>8059</v>
      </c>
    </row>
    <row r="949" spans="1:7" s="3649" customFormat="1" ht="10.5">
      <c r="A949" s="4256">
        <v>44479</v>
      </c>
      <c r="B949" s="3625">
        <v>10</v>
      </c>
      <c r="C949" s="3625">
        <v>17</v>
      </c>
      <c r="D949" s="3580" t="s">
        <v>6133</v>
      </c>
      <c r="E949" s="4258">
        <v>104</v>
      </c>
      <c r="F949" s="4262"/>
      <c r="G949" s="3580"/>
    </row>
    <row r="950" spans="1:7" s="3649" customFormat="1" ht="10.5">
      <c r="A950" s="4256">
        <v>44485</v>
      </c>
      <c r="B950" s="3625">
        <v>10</v>
      </c>
      <c r="C950" s="3625">
        <v>17</v>
      </c>
      <c r="D950" s="4261" t="s">
        <v>6149</v>
      </c>
      <c r="E950" s="4258">
        <v>73</v>
      </c>
      <c r="F950" s="4262"/>
      <c r="G950" s="4279" t="s">
        <v>8060</v>
      </c>
    </row>
    <row r="951" spans="1:7" s="3649" customFormat="1" ht="10.5">
      <c r="A951" s="4256">
        <v>44486</v>
      </c>
      <c r="B951" s="3625">
        <v>10</v>
      </c>
      <c r="C951" s="3625">
        <v>17</v>
      </c>
      <c r="D951" s="4261" t="s">
        <v>7297</v>
      </c>
      <c r="E951" s="4258">
        <v>61</v>
      </c>
      <c r="F951" s="4262">
        <v>49</v>
      </c>
      <c r="G951" s="3580"/>
    </row>
    <row r="952" spans="1:7" s="3649" customFormat="1" ht="10.5">
      <c r="A952" s="4256">
        <v>44492</v>
      </c>
      <c r="B952" s="3625">
        <v>10</v>
      </c>
      <c r="C952" s="3625">
        <v>17</v>
      </c>
      <c r="D952" s="4261" t="s">
        <v>6129</v>
      </c>
      <c r="E952" s="4258">
        <v>87</v>
      </c>
      <c r="F952" s="4262"/>
      <c r="G952" s="3580"/>
    </row>
    <row r="953" spans="1:7" s="3649" customFormat="1" ht="10.5">
      <c r="A953" s="4256">
        <v>44493</v>
      </c>
      <c r="B953" s="3625">
        <v>10</v>
      </c>
      <c r="C953" s="3625">
        <v>17</v>
      </c>
      <c r="D953" s="4261" t="s">
        <v>8051</v>
      </c>
      <c r="E953" s="4258">
        <v>99</v>
      </c>
      <c r="F953" s="4262"/>
      <c r="G953" s="3580"/>
    </row>
    <row r="954" spans="1:7" s="3649" customFormat="1" ht="10.5">
      <c r="A954" s="4274">
        <v>44499</v>
      </c>
      <c r="B954" s="3625">
        <v>10</v>
      </c>
      <c r="C954" s="3625">
        <v>17</v>
      </c>
      <c r="D954" s="4261" t="s">
        <v>7297</v>
      </c>
      <c r="E954" s="4258">
        <v>37</v>
      </c>
      <c r="F954" s="4262"/>
      <c r="G954" s="3580"/>
    </row>
    <row r="955" spans="1:7" s="3649" customFormat="1" ht="10.5">
      <c r="A955" s="4280">
        <v>44500</v>
      </c>
      <c r="B955" s="3625">
        <v>10</v>
      </c>
      <c r="C955" s="3625">
        <v>17</v>
      </c>
      <c r="D955" s="4261"/>
      <c r="E955" s="4258"/>
      <c r="F955" s="3651"/>
      <c r="G955" s="1383"/>
    </row>
    <row r="956" spans="1:7" s="3649" customFormat="1" ht="10.5">
      <c r="A956" s="4280"/>
      <c r="B956" s="3625"/>
      <c r="C956" s="3625"/>
      <c r="D956" s="4277" t="s">
        <v>7309</v>
      </c>
      <c r="E956" s="4255">
        <f>SUM(E948:E954)</f>
        <v>507</v>
      </c>
      <c r="F956" s="3651"/>
      <c r="G956" s="1383"/>
    </row>
    <row r="957" spans="1:7" s="3649" customFormat="1" ht="10.5">
      <c r="A957" s="4280"/>
      <c r="B957" s="3625"/>
      <c r="C957" s="3625"/>
      <c r="D957" s="4277"/>
      <c r="E957" s="4255"/>
      <c r="F957" s="3651"/>
      <c r="G957" s="1383"/>
    </row>
    <row r="958" spans="1:7" s="3649" customFormat="1" ht="10.5">
      <c r="A958" s="4280">
        <v>44501</v>
      </c>
      <c r="B958" s="3625">
        <v>10</v>
      </c>
      <c r="C958" s="3625">
        <v>17</v>
      </c>
      <c r="D958" s="4261" t="s">
        <v>6133</v>
      </c>
      <c r="E958" s="4258">
        <v>85</v>
      </c>
      <c r="F958" s="3651"/>
      <c r="G958" s="1383"/>
    </row>
    <row r="959" spans="1:7" s="3649" customFormat="1" ht="10.5">
      <c r="A959" s="4280">
        <v>44502</v>
      </c>
      <c r="B959" s="3625">
        <v>10</v>
      </c>
      <c r="C959" s="3625">
        <v>17</v>
      </c>
      <c r="D959" s="4261" t="s">
        <v>8052</v>
      </c>
      <c r="E959" s="4258">
        <v>86</v>
      </c>
      <c r="F959" s="3651"/>
      <c r="G959" s="1383"/>
    </row>
    <row r="960" spans="1:7" s="3649" customFormat="1" ht="10.5">
      <c r="A960" s="4280">
        <v>44503</v>
      </c>
      <c r="B960" s="3625">
        <v>10</v>
      </c>
      <c r="C960" s="3625">
        <v>17</v>
      </c>
      <c r="D960" s="4261" t="s">
        <v>7297</v>
      </c>
      <c r="E960" s="4258">
        <v>73</v>
      </c>
      <c r="F960" s="3651"/>
      <c r="G960" s="1383"/>
    </row>
    <row r="961" spans="1:7" s="3649" customFormat="1" ht="10.5">
      <c r="A961" s="4280">
        <v>44504</v>
      </c>
      <c r="B961" s="3625">
        <v>10</v>
      </c>
      <c r="C961" s="3625">
        <v>17</v>
      </c>
      <c r="D961" s="4261" t="s">
        <v>6149</v>
      </c>
      <c r="E961" s="4258">
        <v>53</v>
      </c>
      <c r="F961" s="3651"/>
      <c r="G961" s="1383"/>
    </row>
    <row r="962" spans="1:7" s="3649" customFormat="1" ht="10.5">
      <c r="A962" s="4280">
        <v>44505</v>
      </c>
      <c r="B962" s="3625">
        <v>10</v>
      </c>
      <c r="C962" s="3625">
        <v>17</v>
      </c>
      <c r="D962" s="4261" t="s">
        <v>8052</v>
      </c>
      <c r="E962" s="4258">
        <v>85</v>
      </c>
      <c r="F962" s="3651"/>
      <c r="G962" s="1383"/>
    </row>
    <row r="963" spans="1:7" s="3649" customFormat="1" ht="10.5">
      <c r="A963" s="4280">
        <v>44506</v>
      </c>
      <c r="B963" s="3625">
        <v>10</v>
      </c>
      <c r="C963" s="3625">
        <v>17</v>
      </c>
      <c r="D963" s="4261"/>
      <c r="E963" s="4258">
        <v>0</v>
      </c>
      <c r="F963" s="3651"/>
      <c r="G963" s="1383"/>
    </row>
    <row r="964" spans="1:7" s="3649" customFormat="1" ht="10.5">
      <c r="A964" s="4280">
        <v>44507</v>
      </c>
      <c r="B964" s="3625">
        <v>10</v>
      </c>
      <c r="C964" s="3625">
        <v>17</v>
      </c>
      <c r="D964" s="4261" t="s">
        <v>6148</v>
      </c>
      <c r="E964" s="4258">
        <v>84</v>
      </c>
      <c r="F964" s="3651"/>
      <c r="G964" s="1383"/>
    </row>
    <row r="965" spans="1:7" s="3649" customFormat="1" ht="10.5">
      <c r="A965" s="4263">
        <v>44511</v>
      </c>
      <c r="B965" s="4267">
        <v>10</v>
      </c>
      <c r="C965" s="4267">
        <v>17</v>
      </c>
      <c r="D965" s="3649" t="s">
        <v>8052</v>
      </c>
      <c r="E965" s="4272">
        <v>78</v>
      </c>
      <c r="F965" s="4266"/>
    </row>
    <row r="966" spans="1:7" s="3649" customFormat="1" ht="10.5">
      <c r="A966" s="4263">
        <v>44513</v>
      </c>
      <c r="B966" s="4267">
        <v>10</v>
      </c>
      <c r="C966" s="4267">
        <v>17</v>
      </c>
      <c r="D966" s="3649" t="s">
        <v>6129</v>
      </c>
      <c r="E966" s="4272">
        <v>80</v>
      </c>
      <c r="F966" s="4266"/>
    </row>
    <row r="967" spans="1:7" s="3649" customFormat="1" ht="10.5">
      <c r="A967" s="4263">
        <v>44514</v>
      </c>
      <c r="B967" s="4267">
        <v>10</v>
      </c>
      <c r="C967" s="4267">
        <v>17</v>
      </c>
      <c r="D967" s="3649" t="s">
        <v>7297</v>
      </c>
      <c r="E967" s="4272">
        <v>96</v>
      </c>
      <c r="F967" s="4266"/>
      <c r="G967" s="3649" t="s">
        <v>8061</v>
      </c>
    </row>
    <row r="968" spans="1:7" s="3649" customFormat="1" ht="10.5">
      <c r="A968" s="4263">
        <v>44547</v>
      </c>
      <c r="B968" s="4267">
        <v>10</v>
      </c>
      <c r="C968" s="4267">
        <v>19</v>
      </c>
      <c r="D968" s="3649" t="s">
        <v>8062</v>
      </c>
      <c r="E968" s="4272">
        <v>62</v>
      </c>
      <c r="F968" s="4266"/>
    </row>
    <row r="969" spans="1:7" s="3649" customFormat="1" ht="10.5"/>
  </sheetData>
  <mergeCells count="82">
    <mergeCell ref="G627:J627"/>
    <mergeCell ref="G620:J620"/>
    <mergeCell ref="G621:J621"/>
    <mergeCell ref="G622:J622"/>
    <mergeCell ref="G623:J623"/>
    <mergeCell ref="G624:J624"/>
    <mergeCell ref="G617:J617"/>
    <mergeCell ref="G618:J618"/>
    <mergeCell ref="G619:J619"/>
    <mergeCell ref="G625:J625"/>
    <mergeCell ref="G626:J626"/>
    <mergeCell ref="G612:J612"/>
    <mergeCell ref="G613:J613"/>
    <mergeCell ref="G614:J614"/>
    <mergeCell ref="G615:J615"/>
    <mergeCell ref="G616:J616"/>
    <mergeCell ref="G85:J85"/>
    <mergeCell ref="J23:J28"/>
    <mergeCell ref="G81:J81"/>
    <mergeCell ref="G82:J82"/>
    <mergeCell ref="G83:J83"/>
    <mergeCell ref="G84:J84"/>
    <mergeCell ref="G116:J116"/>
    <mergeCell ref="G86:J86"/>
    <mergeCell ref="G87:J87"/>
    <mergeCell ref="G88:J88"/>
    <mergeCell ref="G89:J89"/>
    <mergeCell ref="G90:J90"/>
    <mergeCell ref="G91:J91"/>
    <mergeCell ref="G92:J92"/>
    <mergeCell ref="G93:J93"/>
    <mergeCell ref="G114:J114"/>
    <mergeCell ref="G115:J115"/>
    <mergeCell ref="G117:J117"/>
    <mergeCell ref="G118:J118"/>
    <mergeCell ref="G119:J119"/>
    <mergeCell ref="G120:J120"/>
    <mergeCell ref="G121:J121"/>
    <mergeCell ref="G122:J122"/>
    <mergeCell ref="G414:J414"/>
    <mergeCell ref="G415:J415"/>
    <mergeCell ref="G404:J404"/>
    <mergeCell ref="G405:J405"/>
    <mergeCell ref="G406:J406"/>
    <mergeCell ref="G407:J407"/>
    <mergeCell ref="G408:J408"/>
    <mergeCell ref="G409:J409"/>
    <mergeCell ref="A1:F1"/>
    <mergeCell ref="G410:J410"/>
    <mergeCell ref="G411:J411"/>
    <mergeCell ref="G412:J412"/>
    <mergeCell ref="G413:J413"/>
    <mergeCell ref="G128:J128"/>
    <mergeCell ref="A384:O384"/>
    <mergeCell ref="A401:D401"/>
    <mergeCell ref="G401:J401"/>
    <mergeCell ref="G402:J402"/>
    <mergeCell ref="G403:J403"/>
    <mergeCell ref="G123:J123"/>
    <mergeCell ref="G124:J124"/>
    <mergeCell ref="G125:J125"/>
    <mergeCell ref="G126:J126"/>
    <mergeCell ref="G127:J127"/>
    <mergeCell ref="A731:R731"/>
    <mergeCell ref="A749:D749"/>
    <mergeCell ref="G749:J749"/>
    <mergeCell ref="G750:J750"/>
    <mergeCell ref="G751:J751"/>
    <mergeCell ref="G752:J752"/>
    <mergeCell ref="G753:J753"/>
    <mergeCell ref="G754:J754"/>
    <mergeCell ref="G755:J755"/>
    <mergeCell ref="G756:J756"/>
    <mergeCell ref="G762:J762"/>
    <mergeCell ref="G763:J763"/>
    <mergeCell ref="G764:J764"/>
    <mergeCell ref="A816:F816"/>
    <mergeCell ref="G757:J757"/>
    <mergeCell ref="G758:J758"/>
    <mergeCell ref="G759:J759"/>
    <mergeCell ref="G760:J760"/>
    <mergeCell ref="G761:J761"/>
  </mergeCells>
  <conditionalFormatting sqref="M208:M219 M386:N398">
    <cfRule type="cellIs" dxfId="7" priority="4" operator="greaterThan">
      <formula>0</formula>
    </cfRule>
  </conditionalFormatting>
  <conditionalFormatting sqref="N208:N219">
    <cfRule type="cellIs" dxfId="6" priority="3" operator="greaterThan">
      <formula>0</formula>
    </cfRule>
  </conditionalFormatting>
  <conditionalFormatting sqref="P733:P746">
    <cfRule type="cellIs" dxfId="5" priority="2" operator="greaterThan">
      <formula>0</formula>
    </cfRule>
  </conditionalFormatting>
  <conditionalFormatting sqref="Q733:Q746">
    <cfRule type="cellIs" dxfId="4" priority="1" operator="greaterThan">
      <formula>0</formula>
    </cfRule>
  </conditionalFormatting>
  <hyperlinks>
    <hyperlink ref="A1" location="Inhoudstafel!A1" display="Vrij Vaderland" xr:uid="{00000000-0004-0000-1E00-000000000000}"/>
    <hyperlink ref="A1:F1" location="'VRIJE TIJD'!A1" display="VIZIT VEURNE" xr:uid="{00000000-0004-0000-1E00-000001000000}"/>
  </hyperlinks>
  <pageMargins left="0.7" right="0.7" top="0.75" bottom="0.75" header="0.3" footer="0.3"/>
  <pageSetup paperSize="9" orientation="landscape"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Y150"/>
  <sheetViews>
    <sheetView workbookViewId="0">
      <selection sqref="A1:L1"/>
    </sheetView>
  </sheetViews>
  <sheetFormatPr defaultColWidth="9.140625" defaultRowHeight="12.75"/>
  <cols>
    <col min="1" max="1" width="19.5703125" style="593" customWidth="1"/>
    <col min="2" max="2" width="5.5703125" style="593" bestFit="1" customWidth="1"/>
    <col min="3" max="3" width="6.42578125" style="593" customWidth="1"/>
    <col min="4" max="4" width="12.140625" style="593" customWidth="1"/>
    <col min="5" max="5" width="9" style="593" customWidth="1"/>
    <col min="6" max="6" width="9.140625" style="593" customWidth="1"/>
    <col min="7" max="7" width="13.85546875" style="593" customWidth="1"/>
    <col min="8" max="8" width="14.28515625" style="593" customWidth="1"/>
    <col min="9" max="9" width="9.5703125" style="593" customWidth="1"/>
    <col min="10" max="10" width="8.85546875" style="593" customWidth="1"/>
    <col min="11" max="11" width="9" style="593" customWidth="1"/>
    <col min="12" max="12" width="8.7109375" style="593" customWidth="1"/>
    <col min="13" max="13" width="9.5703125" style="593" customWidth="1"/>
    <col min="14" max="14" width="17.42578125" style="593" bestFit="1" customWidth="1"/>
    <col min="15" max="16384" width="9.140625" style="593"/>
  </cols>
  <sheetData>
    <row r="1" spans="1:17" ht="21">
      <c r="A1" s="4757" t="s">
        <v>6048</v>
      </c>
      <c r="B1" s="4758"/>
      <c r="C1" s="4758"/>
      <c r="D1" s="4758"/>
      <c r="E1" s="4758"/>
      <c r="F1" s="4758"/>
      <c r="G1" s="4758"/>
      <c r="H1" s="4758"/>
      <c r="I1" s="4758"/>
      <c r="J1" s="4758"/>
      <c r="K1" s="4758"/>
      <c r="L1" s="4758"/>
    </row>
    <row r="3" spans="1:17">
      <c r="A3" s="2354" t="s">
        <v>4</v>
      </c>
    </row>
    <row r="5" spans="1:17">
      <c r="A5" s="3444"/>
      <c r="B5" s="4404">
        <v>2014</v>
      </c>
      <c r="C5" s="4404">
        <v>2015</v>
      </c>
      <c r="D5" s="4404">
        <v>2016</v>
      </c>
      <c r="E5" s="4404">
        <v>2017</v>
      </c>
      <c r="F5" s="4404">
        <v>2018</v>
      </c>
      <c r="G5" s="4406">
        <v>2019</v>
      </c>
      <c r="H5" s="4404">
        <v>2020</v>
      </c>
      <c r="I5" s="4404">
        <v>2021</v>
      </c>
      <c r="J5" s="4405">
        <v>2022</v>
      </c>
    </row>
    <row r="6" spans="1:17">
      <c r="A6" s="3300" t="s">
        <v>4060</v>
      </c>
      <c r="B6" s="2426">
        <v>16</v>
      </c>
      <c r="C6" s="2426">
        <v>18</v>
      </c>
      <c r="D6" s="3445">
        <v>17</v>
      </c>
      <c r="E6" s="3445">
        <v>15</v>
      </c>
      <c r="F6" s="3445">
        <v>7</v>
      </c>
      <c r="G6" s="3445">
        <v>16</v>
      </c>
      <c r="H6" s="2446">
        <v>27</v>
      </c>
      <c r="I6" s="2446">
        <v>15</v>
      </c>
      <c r="J6" s="4401"/>
    </row>
    <row r="9" spans="1:17">
      <c r="A9" s="2354" t="s">
        <v>7</v>
      </c>
    </row>
    <row r="10" spans="1:17">
      <c r="B10" s="2320"/>
      <c r="C10" s="2320"/>
      <c r="D10" s="2320"/>
      <c r="E10" s="2320"/>
      <c r="F10" s="2320"/>
      <c r="G10" s="2320"/>
      <c r="H10" s="2320"/>
      <c r="I10" s="2320"/>
      <c r="J10" s="2320"/>
      <c r="K10" s="2320"/>
      <c r="L10" s="2320"/>
      <c r="M10" s="2320"/>
      <c r="N10" s="2320"/>
    </row>
    <row r="11" spans="1:17" s="1396" customFormat="1">
      <c r="A11" s="3444"/>
      <c r="B11" s="4404">
        <v>2007</v>
      </c>
      <c r="C11" s="4404">
        <v>2008</v>
      </c>
      <c r="D11" s="4404">
        <v>2009</v>
      </c>
      <c r="E11" s="4404">
        <v>2010</v>
      </c>
      <c r="F11" s="4404">
        <v>2011</v>
      </c>
      <c r="G11" s="4404">
        <v>2012</v>
      </c>
      <c r="H11" s="4404">
        <v>2013</v>
      </c>
      <c r="I11" s="4404">
        <v>2014</v>
      </c>
      <c r="J11" s="4404">
        <v>2015</v>
      </c>
      <c r="K11" s="4404">
        <v>2016</v>
      </c>
      <c r="L11" s="4404">
        <v>2017</v>
      </c>
      <c r="M11" s="4404">
        <v>2018</v>
      </c>
      <c r="N11" s="4404">
        <v>2019</v>
      </c>
      <c r="O11" s="4404">
        <v>2020</v>
      </c>
      <c r="P11" s="4404">
        <v>2021</v>
      </c>
      <c r="Q11" s="4405">
        <v>2022</v>
      </c>
    </row>
    <row r="12" spans="1:17" s="2340" customFormat="1">
      <c r="A12" s="2699" t="s">
        <v>5778</v>
      </c>
      <c r="B12" s="2314">
        <v>15</v>
      </c>
      <c r="C12" s="2314">
        <v>28</v>
      </c>
      <c r="D12" s="2314">
        <v>33</v>
      </c>
      <c r="E12" s="2314">
        <v>35</v>
      </c>
      <c r="F12" s="2314">
        <v>35</v>
      </c>
      <c r="G12" s="2314">
        <v>42</v>
      </c>
      <c r="H12" s="2314">
        <v>46</v>
      </c>
      <c r="I12" s="2329">
        <v>40</v>
      </c>
      <c r="J12" s="2314">
        <v>46</v>
      </c>
      <c r="K12" s="2329">
        <v>41</v>
      </c>
      <c r="L12" s="2329">
        <v>36</v>
      </c>
      <c r="M12" s="2329">
        <v>41</v>
      </c>
      <c r="N12" s="2329">
        <v>55</v>
      </c>
      <c r="O12" s="4067">
        <v>49</v>
      </c>
      <c r="P12" s="4402">
        <v>46</v>
      </c>
      <c r="Q12" s="4068">
        <v>54</v>
      </c>
    </row>
    <row r="13" spans="1:17" s="1396" customFormat="1">
      <c r="A13" s="3447" t="s">
        <v>5779</v>
      </c>
      <c r="B13" s="3448">
        <v>560</v>
      </c>
      <c r="C13" s="3448">
        <v>4374</v>
      </c>
      <c r="D13" s="3448">
        <v>3974</v>
      </c>
      <c r="E13" s="3448">
        <v>4200</v>
      </c>
      <c r="F13" s="3448">
        <v>3634</v>
      </c>
      <c r="G13" s="3448">
        <v>4207</v>
      </c>
      <c r="H13" s="3448">
        <v>4453</v>
      </c>
      <c r="I13" s="2426">
        <v>4166</v>
      </c>
      <c r="J13" s="3448">
        <v>4025</v>
      </c>
      <c r="K13" s="2426">
        <v>4541</v>
      </c>
      <c r="L13" s="3445">
        <v>4452</v>
      </c>
      <c r="M13" s="2426">
        <v>1060</v>
      </c>
      <c r="N13" s="3445">
        <v>1241</v>
      </c>
      <c r="O13" s="2449">
        <v>972</v>
      </c>
      <c r="P13" s="2449">
        <v>1058</v>
      </c>
      <c r="Q13" s="2450">
        <v>1430</v>
      </c>
    </row>
    <row r="17" spans="1:25" ht="32.25" hidden="1" customHeight="1">
      <c r="A17" s="3469"/>
      <c r="B17" s="3449"/>
      <c r="C17" s="3464" t="s">
        <v>6004</v>
      </c>
      <c r="D17" s="3450" t="s">
        <v>6005</v>
      </c>
      <c r="E17" s="3450" t="s">
        <v>6006</v>
      </c>
      <c r="F17" s="3449" t="s">
        <v>6007</v>
      </c>
      <c r="G17" s="3451" t="s">
        <v>6008</v>
      </c>
      <c r="H17" s="3451" t="s">
        <v>6009</v>
      </c>
      <c r="I17" s="3450" t="s">
        <v>6010</v>
      </c>
      <c r="J17" s="3451" t="s">
        <v>6011</v>
      </c>
      <c r="K17" s="3451" t="s">
        <v>6012</v>
      </c>
      <c r="L17" s="3451" t="s">
        <v>6013</v>
      </c>
      <c r="M17" s="3451" t="s">
        <v>6014</v>
      </c>
      <c r="N17" s="3464" t="s">
        <v>6015</v>
      </c>
      <c r="O17" s="3449" t="s">
        <v>6016</v>
      </c>
      <c r="P17" s="3449" t="s">
        <v>6017</v>
      </c>
      <c r="Q17" s="3449" t="s">
        <v>6018</v>
      </c>
      <c r="R17" s="3449" t="s">
        <v>6019</v>
      </c>
      <c r="S17" s="3449" t="s">
        <v>6020</v>
      </c>
      <c r="T17" s="3449" t="s">
        <v>6021</v>
      </c>
      <c r="U17" s="3449" t="s">
        <v>6022</v>
      </c>
      <c r="V17" s="3449" t="s">
        <v>6023</v>
      </c>
      <c r="W17" s="3464" t="s">
        <v>6024</v>
      </c>
      <c r="X17" s="3467" t="s">
        <v>6025</v>
      </c>
      <c r="Y17" s="1396"/>
    </row>
    <row r="18" spans="1:25" hidden="1">
      <c r="A18" s="3452" t="s">
        <v>6026</v>
      </c>
      <c r="B18" s="2320"/>
      <c r="C18" s="3465">
        <v>1906.5</v>
      </c>
      <c r="D18" s="3453">
        <v>417.03333333333336</v>
      </c>
      <c r="E18" s="3453">
        <v>105.33333333333333</v>
      </c>
      <c r="F18" s="3453">
        <v>149.5</v>
      </c>
      <c r="G18" s="3453">
        <v>72.5</v>
      </c>
      <c r="H18" s="3453">
        <v>74</v>
      </c>
      <c r="I18" s="3453">
        <v>2591.583333333333</v>
      </c>
      <c r="J18" s="3453">
        <v>2648.25</v>
      </c>
      <c r="K18" s="3453">
        <v>221</v>
      </c>
      <c r="L18" s="3453">
        <v>2814.6666666666665</v>
      </c>
      <c r="M18" s="3453">
        <v>1868.1333333333328</v>
      </c>
      <c r="N18" s="3466">
        <v>10962.000000000002</v>
      </c>
      <c r="O18" s="3453">
        <v>2555.75</v>
      </c>
      <c r="P18" s="3453">
        <v>1045.8333333333337</v>
      </c>
      <c r="Q18" s="3453">
        <v>1893.7333333333279</v>
      </c>
      <c r="R18" s="3453">
        <v>178.83333333333331</v>
      </c>
      <c r="S18" s="3453">
        <v>63</v>
      </c>
      <c r="T18" s="3453">
        <v>18</v>
      </c>
      <c r="U18" s="3453">
        <v>7</v>
      </c>
      <c r="V18" s="3453">
        <v>1580.4666666666665</v>
      </c>
      <c r="W18" s="3466">
        <v>7342.6166666666386</v>
      </c>
      <c r="X18" s="3468">
        <v>20211.116666666665</v>
      </c>
      <c r="Y18" s="1396"/>
    </row>
    <row r="19" spans="1:25" hidden="1">
      <c r="A19" s="3454">
        <v>2018</v>
      </c>
      <c r="B19" s="3455" t="s">
        <v>724</v>
      </c>
      <c r="C19" s="3465">
        <v>177.08333333333331</v>
      </c>
      <c r="D19" s="3453">
        <v>46.750000000000007</v>
      </c>
      <c r="E19" s="3453">
        <v>15.5</v>
      </c>
      <c r="F19" s="3453">
        <v>20</v>
      </c>
      <c r="G19" s="3453">
        <v>11</v>
      </c>
      <c r="H19" s="3453">
        <v>10</v>
      </c>
      <c r="I19" s="3453">
        <v>385.41666666666669</v>
      </c>
      <c r="J19" s="3453">
        <v>390</v>
      </c>
      <c r="K19" s="3453">
        <v>45</v>
      </c>
      <c r="L19" s="3453">
        <v>428.08333333333331</v>
      </c>
      <c r="M19" s="3453">
        <v>303.50000000000006</v>
      </c>
      <c r="N19" s="3466">
        <v>1655.25</v>
      </c>
      <c r="O19" s="3453">
        <v>312.75</v>
      </c>
      <c r="P19" s="3453">
        <v>157.83333333333334</v>
      </c>
      <c r="Q19" s="3453">
        <v>269.08333333333343</v>
      </c>
      <c r="R19" s="3453">
        <v>7.25</v>
      </c>
      <c r="S19" s="3453">
        <v>4</v>
      </c>
      <c r="T19" s="3453">
        <v>1</v>
      </c>
      <c r="U19" s="3453"/>
      <c r="V19" s="3453">
        <v>165.25</v>
      </c>
      <c r="W19" s="3466">
        <v>917.16666666666731</v>
      </c>
      <c r="X19" s="3468">
        <v>2749.5</v>
      </c>
      <c r="Y19" s="1396"/>
    </row>
    <row r="20" spans="1:25" hidden="1">
      <c r="A20" s="3454">
        <v>2018</v>
      </c>
      <c r="B20" s="2320" t="s">
        <v>723</v>
      </c>
      <c r="C20" s="3465">
        <v>150.16666666666669</v>
      </c>
      <c r="D20" s="3453">
        <v>59.750000000000007</v>
      </c>
      <c r="E20" s="3453">
        <v>9.5</v>
      </c>
      <c r="F20" s="3453">
        <v>16</v>
      </c>
      <c r="G20" s="3453">
        <v>8</v>
      </c>
      <c r="H20" s="3453">
        <v>8</v>
      </c>
      <c r="I20" s="3453">
        <v>408.75</v>
      </c>
      <c r="J20" s="3453">
        <v>367</v>
      </c>
      <c r="K20" s="3453">
        <v>36</v>
      </c>
      <c r="L20" s="3453">
        <v>413.08333333333331</v>
      </c>
      <c r="M20" s="3453">
        <v>294.38333333333333</v>
      </c>
      <c r="N20" s="3466">
        <v>1620.4666666666662</v>
      </c>
      <c r="O20" s="3453">
        <v>264.91666666666669</v>
      </c>
      <c r="P20" s="3453">
        <v>139.83333333333331</v>
      </c>
      <c r="Q20" s="3453">
        <v>220.16666666666677</v>
      </c>
      <c r="R20" s="3453">
        <v>8.8333333333333321</v>
      </c>
      <c r="S20" s="3453">
        <v>3</v>
      </c>
      <c r="T20" s="3453"/>
      <c r="U20" s="3453"/>
      <c r="V20" s="3453">
        <v>162.05000000000001</v>
      </c>
      <c r="W20" s="3466">
        <v>798.8000000000003</v>
      </c>
      <c r="X20" s="3468">
        <v>2569.4333333333334</v>
      </c>
      <c r="Y20" s="1396"/>
    </row>
    <row r="21" spans="1:25" hidden="1">
      <c r="A21" s="3454">
        <v>2018</v>
      </c>
      <c r="B21" s="3455" t="s">
        <v>722</v>
      </c>
      <c r="C21" s="3465">
        <v>180.66666666666666</v>
      </c>
      <c r="D21" s="3453">
        <v>82</v>
      </c>
      <c r="E21" s="3453">
        <v>14.5</v>
      </c>
      <c r="F21" s="3453">
        <v>19</v>
      </c>
      <c r="G21" s="3453">
        <v>8</v>
      </c>
      <c r="H21" s="3453">
        <v>8</v>
      </c>
      <c r="I21" s="3453">
        <v>415.5</v>
      </c>
      <c r="J21" s="3453">
        <v>371</v>
      </c>
      <c r="K21" s="3453">
        <v>36</v>
      </c>
      <c r="L21" s="3453">
        <v>432.5</v>
      </c>
      <c r="M21" s="3453">
        <v>260.58333333333331</v>
      </c>
      <c r="N21" s="3466">
        <v>1647.0833333333335</v>
      </c>
      <c r="O21" s="3453">
        <v>326.4166666666668</v>
      </c>
      <c r="P21" s="3453">
        <v>163.5</v>
      </c>
      <c r="Q21" s="3453">
        <v>247.41666666666683</v>
      </c>
      <c r="R21" s="3453">
        <v>12.666666666666666</v>
      </c>
      <c r="S21" s="3453">
        <v>8</v>
      </c>
      <c r="T21" s="3453">
        <v>3</v>
      </c>
      <c r="U21" s="3453">
        <v>6</v>
      </c>
      <c r="V21" s="3453">
        <v>154</v>
      </c>
      <c r="W21" s="3466">
        <v>921.00000000000034</v>
      </c>
      <c r="X21" s="3468">
        <v>2748.7499999999995</v>
      </c>
      <c r="Y21" s="1396"/>
    </row>
    <row r="22" spans="1:25" hidden="1">
      <c r="A22" s="3454">
        <v>2018</v>
      </c>
      <c r="B22" s="3455" t="s">
        <v>721</v>
      </c>
      <c r="C22" s="3465">
        <v>233</v>
      </c>
      <c r="D22" s="3453">
        <v>120.75</v>
      </c>
      <c r="E22" s="3453">
        <v>10.5</v>
      </c>
      <c r="F22" s="3453">
        <v>20</v>
      </c>
      <c r="G22" s="3453">
        <v>8</v>
      </c>
      <c r="H22" s="3453">
        <v>9</v>
      </c>
      <c r="I22" s="3453">
        <v>87</v>
      </c>
      <c r="J22" s="3453">
        <v>82</v>
      </c>
      <c r="K22" s="3453"/>
      <c r="L22" s="3453">
        <v>115</v>
      </c>
      <c r="M22" s="3453">
        <v>147.5</v>
      </c>
      <c r="N22" s="3466">
        <v>599.75</v>
      </c>
      <c r="O22" s="3453">
        <v>283.99999999999994</v>
      </c>
      <c r="P22" s="3453">
        <v>115.66666666666666</v>
      </c>
      <c r="Q22" s="3453">
        <v>148.5</v>
      </c>
      <c r="R22" s="3453">
        <v>23</v>
      </c>
      <c r="S22" s="3453">
        <v>10</v>
      </c>
      <c r="T22" s="3453">
        <v>4</v>
      </c>
      <c r="U22" s="3453">
        <v>1</v>
      </c>
      <c r="V22" s="3453">
        <v>164</v>
      </c>
      <c r="W22" s="3466">
        <v>750.16666666666686</v>
      </c>
      <c r="X22" s="3468">
        <v>1582.9166666666663</v>
      </c>
      <c r="Y22" s="1396"/>
    </row>
    <row r="23" spans="1:25" hidden="1">
      <c r="A23" s="3454">
        <v>2018</v>
      </c>
      <c r="B23" s="3455" t="s">
        <v>720</v>
      </c>
      <c r="C23" s="3465">
        <v>190.5</v>
      </c>
      <c r="D23" s="3453">
        <v>5.25</v>
      </c>
      <c r="E23" s="3453">
        <v>5.5</v>
      </c>
      <c r="F23" s="3453">
        <v>24</v>
      </c>
      <c r="G23" s="3453">
        <v>11</v>
      </c>
      <c r="H23" s="3453">
        <v>10</v>
      </c>
      <c r="I23" s="3453">
        <v>62.5</v>
      </c>
      <c r="J23" s="3453">
        <v>44.5</v>
      </c>
      <c r="K23" s="3453"/>
      <c r="L23" s="3453">
        <v>48.5</v>
      </c>
      <c r="M23" s="3453">
        <v>122.16666666666666</v>
      </c>
      <c r="N23" s="3466">
        <v>333.41666666666663</v>
      </c>
      <c r="O23" s="3453">
        <v>331.08333333333331</v>
      </c>
      <c r="P23" s="3453">
        <v>111.58333333333333</v>
      </c>
      <c r="Q23" s="3453">
        <v>253.23333333333338</v>
      </c>
      <c r="R23" s="3453">
        <v>21.75</v>
      </c>
      <c r="S23" s="3453">
        <v>4</v>
      </c>
      <c r="T23" s="3453">
        <v>2</v>
      </c>
      <c r="U23" s="3453"/>
      <c r="V23" s="3453">
        <v>90.333333333333329</v>
      </c>
      <c r="W23" s="3466">
        <v>813.98333333333414</v>
      </c>
      <c r="X23" s="3468">
        <v>1337.8999999999992</v>
      </c>
      <c r="Y23" s="1396"/>
    </row>
    <row r="24" spans="1:25" hidden="1">
      <c r="A24" s="3454">
        <v>2018</v>
      </c>
      <c r="B24" s="3455" t="s">
        <v>719</v>
      </c>
      <c r="C24" s="3465">
        <v>210.5</v>
      </c>
      <c r="D24" s="3453"/>
      <c r="E24" s="3453">
        <v>1</v>
      </c>
      <c r="F24" s="3453">
        <v>17.5</v>
      </c>
      <c r="G24" s="3453">
        <v>9.5</v>
      </c>
      <c r="H24" s="3453">
        <v>8</v>
      </c>
      <c r="I24" s="3453">
        <v>38</v>
      </c>
      <c r="J24" s="3453">
        <v>20</v>
      </c>
      <c r="K24" s="3453"/>
      <c r="L24" s="3453">
        <v>19</v>
      </c>
      <c r="M24" s="3453">
        <v>123.5</v>
      </c>
      <c r="N24" s="3466">
        <v>236.5</v>
      </c>
      <c r="O24" s="3453">
        <v>267.74999999999994</v>
      </c>
      <c r="P24" s="3453">
        <v>67.916666666666671</v>
      </c>
      <c r="Q24" s="3453">
        <v>201.16666666666677</v>
      </c>
      <c r="R24" s="3453">
        <v>17.833333333333332</v>
      </c>
      <c r="S24" s="3453">
        <v>4</v>
      </c>
      <c r="T24" s="3453">
        <v>5</v>
      </c>
      <c r="U24" s="3453"/>
      <c r="V24" s="3453">
        <v>133.58333333333334</v>
      </c>
      <c r="W24" s="3466">
        <v>697.25000000000011</v>
      </c>
      <c r="X24" s="3468">
        <v>1144.2499999999998</v>
      </c>
      <c r="Y24" s="1396"/>
    </row>
    <row r="25" spans="1:25" hidden="1">
      <c r="A25" s="3454">
        <v>2018</v>
      </c>
      <c r="B25" s="3455" t="s">
        <v>718</v>
      </c>
      <c r="C25" s="3465">
        <v>129</v>
      </c>
      <c r="D25" s="3453">
        <v>7.5</v>
      </c>
      <c r="E25" s="3453"/>
      <c r="F25" s="3453">
        <v>4</v>
      </c>
      <c r="G25" s="3453"/>
      <c r="H25" s="3453"/>
      <c r="I25" s="3453">
        <v>2.5</v>
      </c>
      <c r="J25" s="3453">
        <v>1</v>
      </c>
      <c r="K25" s="3453"/>
      <c r="L25" s="3453"/>
      <c r="M25" s="3453">
        <v>79.5</v>
      </c>
      <c r="N25" s="3466">
        <v>94.5</v>
      </c>
      <c r="O25" s="3453">
        <v>35.5</v>
      </c>
      <c r="P25" s="3453"/>
      <c r="Q25" s="3453">
        <v>2</v>
      </c>
      <c r="R25" s="3453">
        <v>14</v>
      </c>
      <c r="S25" s="3453">
        <v>6.5</v>
      </c>
      <c r="T25" s="3453"/>
      <c r="U25" s="3453"/>
      <c r="V25" s="3453">
        <v>162.5</v>
      </c>
      <c r="W25" s="3466">
        <v>220.5</v>
      </c>
      <c r="X25" s="3468">
        <v>444</v>
      </c>
      <c r="Y25" s="1396"/>
    </row>
    <row r="26" spans="1:25" hidden="1">
      <c r="A26" s="3454">
        <v>2018</v>
      </c>
      <c r="B26" s="3455" t="s">
        <v>717</v>
      </c>
      <c r="C26" s="3465">
        <v>190</v>
      </c>
      <c r="D26" s="3453"/>
      <c r="E26" s="3453">
        <v>8.5</v>
      </c>
      <c r="F26" s="3453">
        <v>5</v>
      </c>
      <c r="G26" s="3453"/>
      <c r="H26" s="3453"/>
      <c r="I26" s="3453">
        <v>17</v>
      </c>
      <c r="J26" s="3453">
        <v>14.5</v>
      </c>
      <c r="K26" s="3453"/>
      <c r="L26" s="3453">
        <v>12.5</v>
      </c>
      <c r="M26" s="3453">
        <v>86.75</v>
      </c>
      <c r="N26" s="3466">
        <v>144.25</v>
      </c>
      <c r="O26" s="3453">
        <v>43.5</v>
      </c>
      <c r="P26" s="3453">
        <v>3</v>
      </c>
      <c r="Q26" s="3453">
        <v>9</v>
      </c>
      <c r="R26" s="3453">
        <v>14</v>
      </c>
      <c r="S26" s="3453">
        <v>2</v>
      </c>
      <c r="T26" s="3453"/>
      <c r="U26" s="3453"/>
      <c r="V26" s="3453">
        <v>217</v>
      </c>
      <c r="W26" s="3466">
        <v>288.5</v>
      </c>
      <c r="X26" s="3468">
        <v>622.75</v>
      </c>
      <c r="Y26" s="1396"/>
    </row>
    <row r="27" spans="1:25" hidden="1">
      <c r="A27" s="3454">
        <v>2018</v>
      </c>
      <c r="B27" s="3455" t="s">
        <v>716</v>
      </c>
      <c r="C27" s="3465">
        <v>101.5</v>
      </c>
      <c r="D27" s="3453">
        <v>16.833333333333332</v>
      </c>
      <c r="E27" s="3453">
        <v>1.3333333333333333</v>
      </c>
      <c r="F27" s="3453">
        <v>1</v>
      </c>
      <c r="G27" s="3453">
        <v>4</v>
      </c>
      <c r="H27" s="3453">
        <v>4</v>
      </c>
      <c r="I27" s="3453">
        <v>55.5</v>
      </c>
      <c r="J27" s="3453">
        <v>66</v>
      </c>
      <c r="K27" s="3453"/>
      <c r="L27" s="3453">
        <v>50.5</v>
      </c>
      <c r="M27" s="3453">
        <v>275.5</v>
      </c>
      <c r="N27" s="3466">
        <v>474.66666666666663</v>
      </c>
      <c r="O27" s="3453">
        <v>129.74999999999997</v>
      </c>
      <c r="P27" s="3453">
        <v>71.583333333333329</v>
      </c>
      <c r="Q27" s="3453">
        <v>61.833333333333343</v>
      </c>
      <c r="R27" s="3453">
        <v>14.5</v>
      </c>
      <c r="S27" s="3453">
        <v>4</v>
      </c>
      <c r="T27" s="3453"/>
      <c r="U27" s="3453"/>
      <c r="V27" s="3453">
        <v>52.5</v>
      </c>
      <c r="W27" s="3466">
        <v>334.16666666666652</v>
      </c>
      <c r="X27" s="3468">
        <v>910.3333333333336</v>
      </c>
      <c r="Y27" s="1396"/>
    </row>
    <row r="28" spans="1:25" hidden="1">
      <c r="A28" s="3454">
        <v>2018</v>
      </c>
      <c r="B28" s="3455" t="s">
        <v>715</v>
      </c>
      <c r="C28" s="3465">
        <v>140.08333333333331</v>
      </c>
      <c r="D28" s="3453">
        <v>27.7</v>
      </c>
      <c r="E28" s="3453">
        <v>13</v>
      </c>
      <c r="F28" s="3453">
        <v>7</v>
      </c>
      <c r="G28" s="3453">
        <v>5</v>
      </c>
      <c r="H28" s="3453">
        <v>6</v>
      </c>
      <c r="I28" s="3453">
        <v>379.25</v>
      </c>
      <c r="J28" s="3453">
        <v>438.75</v>
      </c>
      <c r="K28" s="3453">
        <v>32</v>
      </c>
      <c r="L28" s="3453">
        <v>447.5</v>
      </c>
      <c r="M28" s="3453">
        <v>48.75</v>
      </c>
      <c r="N28" s="3466">
        <v>1404.95</v>
      </c>
      <c r="O28" s="3453">
        <v>190.74999999999997</v>
      </c>
      <c r="P28" s="3453">
        <v>63.333333333333336</v>
      </c>
      <c r="Q28" s="3453">
        <v>155</v>
      </c>
      <c r="R28" s="3453">
        <v>15</v>
      </c>
      <c r="S28" s="3453">
        <v>4</v>
      </c>
      <c r="T28" s="3453">
        <v>1</v>
      </c>
      <c r="U28" s="3453"/>
      <c r="V28" s="3453">
        <v>93.5</v>
      </c>
      <c r="W28" s="3466">
        <v>522.58333333333348</v>
      </c>
      <c r="X28" s="3468">
        <v>2067.6166666666677</v>
      </c>
      <c r="Y28" s="1396"/>
    </row>
    <row r="29" spans="1:25" hidden="1">
      <c r="A29" s="3454">
        <v>2018</v>
      </c>
      <c r="B29" s="3455" t="s">
        <v>714</v>
      </c>
      <c r="C29" s="3465">
        <v>90.25</v>
      </c>
      <c r="D29" s="3453">
        <v>28.25</v>
      </c>
      <c r="E29" s="3453">
        <v>20.5</v>
      </c>
      <c r="F29" s="3453">
        <v>7</v>
      </c>
      <c r="G29" s="3453">
        <v>4</v>
      </c>
      <c r="H29" s="3453">
        <v>5</v>
      </c>
      <c r="I29" s="3453">
        <v>367.16666666666669</v>
      </c>
      <c r="J29" s="3453">
        <v>424.75</v>
      </c>
      <c r="K29" s="3453">
        <v>32</v>
      </c>
      <c r="L29" s="3453">
        <v>417.5</v>
      </c>
      <c r="M29" s="3453">
        <v>63</v>
      </c>
      <c r="N29" s="3466">
        <v>1369.1666666666665</v>
      </c>
      <c r="O29" s="3453">
        <v>193.16666666666663</v>
      </c>
      <c r="P29" s="3453">
        <v>81.5</v>
      </c>
      <c r="Q29" s="3453">
        <v>167.91666666666666</v>
      </c>
      <c r="R29" s="3453">
        <v>14</v>
      </c>
      <c r="S29" s="3453">
        <v>8.5</v>
      </c>
      <c r="T29" s="3453"/>
      <c r="U29" s="3453"/>
      <c r="V29" s="3453">
        <v>83.25</v>
      </c>
      <c r="W29" s="3466">
        <v>548.33333333333348</v>
      </c>
      <c r="X29" s="3468">
        <v>2007.7500000000007</v>
      </c>
      <c r="Y29" s="1396"/>
    </row>
    <row r="30" spans="1:25" hidden="1">
      <c r="A30" s="3454">
        <v>2018</v>
      </c>
      <c r="B30" s="3455" t="s">
        <v>713</v>
      </c>
      <c r="C30" s="3465">
        <v>113.75</v>
      </c>
      <c r="D30" s="3453">
        <v>22.25</v>
      </c>
      <c r="E30" s="3453">
        <v>5.5</v>
      </c>
      <c r="F30" s="3453">
        <v>9</v>
      </c>
      <c r="G30" s="3453">
        <v>4</v>
      </c>
      <c r="H30" s="3453">
        <v>6</v>
      </c>
      <c r="I30" s="3453">
        <v>373</v>
      </c>
      <c r="J30" s="3453">
        <v>428.75</v>
      </c>
      <c r="K30" s="3453">
        <v>40</v>
      </c>
      <c r="L30" s="3453">
        <v>430.5</v>
      </c>
      <c r="M30" s="3453">
        <v>63</v>
      </c>
      <c r="N30" s="3466">
        <v>1382</v>
      </c>
      <c r="O30" s="3453">
        <v>176.16666666666663</v>
      </c>
      <c r="P30" s="3453">
        <v>70.083333333333343</v>
      </c>
      <c r="Q30" s="3453">
        <v>158.41666666666663</v>
      </c>
      <c r="R30" s="3453">
        <v>16</v>
      </c>
      <c r="S30" s="3453">
        <v>5</v>
      </c>
      <c r="T30" s="3453">
        <v>2</v>
      </c>
      <c r="U30" s="3453"/>
      <c r="V30" s="3453">
        <v>102.5</v>
      </c>
      <c r="W30" s="3466">
        <v>530.16666666666663</v>
      </c>
      <c r="X30" s="3468">
        <v>2025.916666666667</v>
      </c>
      <c r="Y30" s="1396"/>
    </row>
    <row r="31" spans="1:25" hidden="1">
      <c r="A31" s="3459" t="s">
        <v>6025</v>
      </c>
      <c r="B31" s="3433"/>
      <c r="C31" s="3460">
        <v>1906.5</v>
      </c>
      <c r="D31" s="3461">
        <v>417.03333333333336</v>
      </c>
      <c r="E31" s="3461">
        <v>105.33333333333333</v>
      </c>
      <c r="F31" s="3461">
        <v>149.5</v>
      </c>
      <c r="G31" s="3461">
        <v>72.5</v>
      </c>
      <c r="H31" s="3461">
        <v>74</v>
      </c>
      <c r="I31" s="3461">
        <v>2591.583333333333</v>
      </c>
      <c r="J31" s="3461">
        <v>2648.25</v>
      </c>
      <c r="K31" s="3461">
        <v>221</v>
      </c>
      <c r="L31" s="3461">
        <v>2814.6666666666665</v>
      </c>
      <c r="M31" s="3461">
        <v>1868.1333333333328</v>
      </c>
      <c r="N31" s="3462">
        <v>10962.000000000002</v>
      </c>
      <c r="O31" s="3461">
        <v>2555.75</v>
      </c>
      <c r="P31" s="3461">
        <v>1045.8333333333337</v>
      </c>
      <c r="Q31" s="3461">
        <v>1893.7333333333279</v>
      </c>
      <c r="R31" s="3461">
        <v>178.83333333333331</v>
      </c>
      <c r="S31" s="3461">
        <v>63</v>
      </c>
      <c r="T31" s="3461">
        <v>18</v>
      </c>
      <c r="U31" s="3461">
        <v>7</v>
      </c>
      <c r="V31" s="3461">
        <v>1580.4666666666665</v>
      </c>
      <c r="W31" s="3462">
        <v>7342.6166666666386</v>
      </c>
      <c r="X31" s="3463">
        <v>20211.116666666665</v>
      </c>
      <c r="Y31" s="1396"/>
    </row>
    <row r="32" spans="1:25" hidden="1">
      <c r="A32" s="1395"/>
      <c r="B32" s="1395"/>
      <c r="C32" s="1395"/>
      <c r="D32" s="1395"/>
      <c r="E32" s="1395"/>
      <c r="F32" s="1395"/>
      <c r="G32" s="3456"/>
      <c r="H32" s="1395"/>
      <c r="I32" s="1395"/>
      <c r="J32" s="1395"/>
      <c r="K32" s="1395"/>
      <c r="L32" s="1396"/>
      <c r="M32" s="1396"/>
      <c r="N32" s="1396"/>
      <c r="O32" s="1396"/>
      <c r="P32" s="1396"/>
      <c r="Q32" s="1396"/>
      <c r="R32" s="1396"/>
      <c r="S32" s="1396"/>
      <c r="T32" s="1396"/>
      <c r="U32" s="1396"/>
      <c r="V32" s="1396"/>
      <c r="W32" s="1396"/>
      <c r="X32" s="1396"/>
      <c r="Y32" s="1396"/>
    </row>
    <row r="33" spans="1:25">
      <c r="A33" s="1395"/>
      <c r="B33" s="1395"/>
      <c r="C33" s="1395"/>
      <c r="D33" s="1395"/>
      <c r="E33" s="1395"/>
      <c r="F33" s="1395"/>
      <c r="G33" s="1395"/>
      <c r="H33" s="1395"/>
      <c r="I33" s="1395"/>
      <c r="J33" s="1395"/>
      <c r="K33" s="1395"/>
      <c r="L33" s="1396"/>
      <c r="M33" s="1396"/>
      <c r="N33" s="1396"/>
      <c r="O33" s="1396"/>
      <c r="P33" s="1396"/>
      <c r="Q33" s="1396"/>
      <c r="R33" s="1396"/>
      <c r="S33" s="1396"/>
      <c r="T33" s="1396"/>
      <c r="U33" s="1396"/>
      <c r="V33" s="1396"/>
      <c r="W33" s="1396"/>
      <c r="X33" s="1396"/>
      <c r="Y33" s="1396"/>
    </row>
    <row r="34" spans="1:25">
      <c r="A34" s="2351" t="s">
        <v>6027</v>
      </c>
      <c r="B34" s="1395"/>
      <c r="C34" s="1395"/>
      <c r="D34" s="1395"/>
      <c r="F34" s="1395"/>
      <c r="G34" s="2351" t="s">
        <v>6003</v>
      </c>
      <c r="H34" s="2335"/>
      <c r="I34" s="2335"/>
      <c r="J34" s="2335"/>
      <c r="K34" s="1395"/>
      <c r="L34" s="1396"/>
      <c r="M34" s="1396"/>
      <c r="N34" s="1396"/>
      <c r="O34" s="1396"/>
      <c r="P34" s="1396"/>
      <c r="Q34" s="1396"/>
      <c r="R34" s="1396"/>
      <c r="S34" s="1396"/>
      <c r="T34" s="1396"/>
      <c r="U34" s="1396"/>
      <c r="V34" s="1396"/>
      <c r="W34" s="1396"/>
      <c r="X34" s="1396"/>
      <c r="Y34" s="1396"/>
    </row>
    <row r="35" spans="1:25">
      <c r="A35" s="1395"/>
      <c r="B35" s="1395"/>
      <c r="C35" s="1395"/>
      <c r="D35" s="1395"/>
      <c r="E35" s="1395"/>
      <c r="F35" s="1395"/>
      <c r="G35" s="1395"/>
      <c r="H35" s="1395"/>
      <c r="I35" s="1395"/>
      <c r="J35" s="1395"/>
      <c r="K35" s="1395"/>
      <c r="L35" s="1396"/>
      <c r="M35" s="2312">
        <v>2021</v>
      </c>
      <c r="N35" s="1396"/>
      <c r="O35" s="1396"/>
      <c r="P35" s="1396"/>
      <c r="Q35" s="1396"/>
      <c r="R35" s="1396"/>
      <c r="S35" s="1396"/>
      <c r="T35" s="1396"/>
      <c r="U35" s="1396"/>
      <c r="V35" s="2351">
        <v>2022</v>
      </c>
      <c r="W35" s="1396"/>
      <c r="Y35" s="1396"/>
    </row>
    <row r="36" spans="1:25">
      <c r="A36" s="3483"/>
      <c r="B36" s="2702" t="s">
        <v>6028</v>
      </c>
      <c r="C36" s="2702" t="s">
        <v>6029</v>
      </c>
      <c r="D36" s="2702" t="s">
        <v>6030</v>
      </c>
      <c r="E36" s="3484" t="s">
        <v>6025</v>
      </c>
      <c r="F36" s="1395"/>
      <c r="G36" s="3483"/>
      <c r="H36" s="2702" t="s">
        <v>6028</v>
      </c>
      <c r="I36" s="2702" t="s">
        <v>6029</v>
      </c>
      <c r="J36" s="2702" t="s">
        <v>6030</v>
      </c>
      <c r="K36" s="3484" t="s">
        <v>6025</v>
      </c>
      <c r="L36" s="1396"/>
      <c r="N36" s="1396"/>
      <c r="O36" s="1396"/>
      <c r="P36" s="1396"/>
      <c r="Q36" s="1396"/>
      <c r="R36" s="1396"/>
      <c r="S36" s="1396"/>
      <c r="T36" s="1396"/>
      <c r="V36" s="2351"/>
      <c r="W36" s="1396"/>
      <c r="X36" s="1396"/>
      <c r="Y36" s="1396"/>
    </row>
    <row r="37" spans="1:25">
      <c r="A37" s="3470" t="s">
        <v>6031</v>
      </c>
      <c r="B37" s="2372">
        <f>SUM(B38:B49)</f>
        <v>482</v>
      </c>
      <c r="C37" s="2372">
        <f>SUM(C38:C49)</f>
        <v>2195</v>
      </c>
      <c r="D37" s="2372">
        <f>SUM(D38:D49)</f>
        <v>1846</v>
      </c>
      <c r="E37" s="2700">
        <f>SUM(E38:E49)</f>
        <v>4523</v>
      </c>
      <c r="F37" s="1395"/>
      <c r="G37" s="3470" t="s">
        <v>6031</v>
      </c>
      <c r="H37" s="3479">
        <f>SUM(H38:H49)</f>
        <v>1245.32</v>
      </c>
      <c r="I37" s="3479">
        <f>SUM(I38:I49)</f>
        <v>4730.7000000000007</v>
      </c>
      <c r="J37" s="3479">
        <f>SUM(J38:J49)</f>
        <v>3672.4900000000002</v>
      </c>
      <c r="K37" s="3574">
        <f>SUM(K38:K49)</f>
        <v>9648.51</v>
      </c>
      <c r="L37" s="1396"/>
      <c r="M37" s="1396"/>
      <c r="N37" s="1396"/>
      <c r="O37" s="1396"/>
      <c r="P37" s="1396"/>
      <c r="Q37" s="1396"/>
      <c r="R37" s="1396"/>
      <c r="S37" s="1396"/>
      <c r="T37" s="1396"/>
      <c r="U37" s="1396"/>
      <c r="V37" s="1396"/>
      <c r="W37" s="1396"/>
      <c r="X37" s="1396"/>
      <c r="Y37" s="1396"/>
    </row>
    <row r="38" spans="1:25">
      <c r="A38" s="3471" t="s">
        <v>724</v>
      </c>
      <c r="B38" s="1355">
        <v>42</v>
      </c>
      <c r="C38" s="1355">
        <v>261</v>
      </c>
      <c r="D38" s="1355">
        <v>176</v>
      </c>
      <c r="E38" s="3475">
        <f>SUM(B38:D38)</f>
        <v>479</v>
      </c>
      <c r="F38" s="1395"/>
      <c r="G38" s="3471" t="s">
        <v>724</v>
      </c>
      <c r="H38" s="3275">
        <v>116.75</v>
      </c>
      <c r="I38" s="3275">
        <v>489.87</v>
      </c>
      <c r="J38" s="3275">
        <v>303.5</v>
      </c>
      <c r="K38" s="3480">
        <f>SUM(H38:J38)</f>
        <v>910.12</v>
      </c>
      <c r="L38" s="1396"/>
      <c r="M38" s="1396"/>
      <c r="N38" s="1396"/>
      <c r="O38" s="1396"/>
      <c r="P38" s="1396"/>
      <c r="Q38" s="1396"/>
      <c r="R38" s="1396"/>
      <c r="S38" s="1396"/>
      <c r="T38" s="1396"/>
      <c r="U38" s="1396"/>
      <c r="V38" s="1396"/>
      <c r="W38" s="1396"/>
      <c r="X38" s="1396"/>
      <c r="Y38" s="1396"/>
    </row>
    <row r="39" spans="1:25">
      <c r="A39" s="3472" t="s">
        <v>723</v>
      </c>
      <c r="B39" s="1355">
        <v>49</v>
      </c>
      <c r="C39" s="1355">
        <v>257</v>
      </c>
      <c r="D39" s="1355">
        <v>183</v>
      </c>
      <c r="E39" s="3368">
        <f>SUM(B39:D39)</f>
        <v>489</v>
      </c>
      <c r="F39" s="1395"/>
      <c r="G39" s="3472" t="s">
        <v>723</v>
      </c>
      <c r="H39" s="3275">
        <v>97.75</v>
      </c>
      <c r="I39" s="3275">
        <v>514.91999999999996</v>
      </c>
      <c r="J39" s="3275">
        <v>286.83</v>
      </c>
      <c r="K39" s="3481">
        <f>SUM(H39:J39)</f>
        <v>899.5</v>
      </c>
      <c r="L39" s="1396"/>
      <c r="M39" s="1396"/>
      <c r="N39" s="1396"/>
      <c r="O39" s="1396"/>
      <c r="P39" s="1396"/>
      <c r="Q39" s="1396"/>
      <c r="R39" s="1396"/>
      <c r="S39" s="1396"/>
      <c r="T39" s="1396"/>
      <c r="U39" s="1396"/>
      <c r="V39" s="1396"/>
      <c r="W39" s="1396"/>
      <c r="X39" s="1396"/>
      <c r="Y39" s="1396"/>
    </row>
    <row r="40" spans="1:25">
      <c r="A40" s="3472" t="s">
        <v>722</v>
      </c>
      <c r="B40" s="1355">
        <v>70</v>
      </c>
      <c r="C40" s="1355">
        <v>214</v>
      </c>
      <c r="D40" s="1355">
        <v>174</v>
      </c>
      <c r="E40" s="3368">
        <f t="shared" ref="E40:E48" si="0">SUM(B40:D40)</f>
        <v>458</v>
      </c>
      <c r="F40" s="1395"/>
      <c r="G40" s="3472" t="s">
        <v>722</v>
      </c>
      <c r="H40" s="3275">
        <v>126.17</v>
      </c>
      <c r="I40" s="3275">
        <v>405.25</v>
      </c>
      <c r="J40" s="3275">
        <v>296.17</v>
      </c>
      <c r="K40" s="3481">
        <f t="shared" ref="K40:K48" si="1">SUM(H40:J40)</f>
        <v>827.58999999999992</v>
      </c>
      <c r="L40" s="1396"/>
      <c r="M40" s="1396"/>
      <c r="N40" s="1396"/>
      <c r="O40" s="1396"/>
      <c r="P40" s="1396"/>
      <c r="Q40" s="1396"/>
      <c r="R40" s="1396"/>
      <c r="S40" s="1396"/>
      <c r="T40" s="1396"/>
      <c r="U40" s="1396"/>
      <c r="V40" s="1396"/>
      <c r="W40" s="1396"/>
      <c r="X40" s="1396"/>
      <c r="Y40" s="1396"/>
    </row>
    <row r="41" spans="1:25">
      <c r="A41" s="3472" t="s">
        <v>721</v>
      </c>
      <c r="B41" s="1355">
        <v>40</v>
      </c>
      <c r="C41" s="1355">
        <v>92</v>
      </c>
      <c r="D41" s="1355">
        <v>113</v>
      </c>
      <c r="E41" s="3368">
        <f t="shared" si="0"/>
        <v>245</v>
      </c>
      <c r="F41" s="1395"/>
      <c r="G41" s="3472" t="s">
        <v>721</v>
      </c>
      <c r="H41" s="3275">
        <v>118.83</v>
      </c>
      <c r="I41" s="3275">
        <v>175.75</v>
      </c>
      <c r="J41" s="3275">
        <v>231.92</v>
      </c>
      <c r="K41" s="3481">
        <f t="shared" si="1"/>
        <v>526.5</v>
      </c>
      <c r="L41" s="1396"/>
      <c r="M41" s="1396"/>
      <c r="N41" s="1396"/>
      <c r="O41" s="1396"/>
      <c r="P41" s="1396"/>
      <c r="Q41" s="1396"/>
      <c r="R41" s="1396"/>
      <c r="S41" s="1396"/>
      <c r="T41" s="1396"/>
      <c r="U41" s="1396"/>
      <c r="V41" s="1396"/>
      <c r="W41" s="1396"/>
      <c r="X41" s="1396"/>
      <c r="Y41" s="1396"/>
    </row>
    <row r="42" spans="1:25">
      <c r="A42" s="3472" t="s">
        <v>720</v>
      </c>
      <c r="B42" s="1355">
        <v>42</v>
      </c>
      <c r="C42" s="1355">
        <v>121</v>
      </c>
      <c r="D42" s="1355">
        <v>118</v>
      </c>
      <c r="E42" s="3368">
        <f t="shared" si="0"/>
        <v>281</v>
      </c>
      <c r="F42" s="1395"/>
      <c r="G42" s="3472" t="s">
        <v>720</v>
      </c>
      <c r="H42" s="3275">
        <v>106.42</v>
      </c>
      <c r="I42" s="3275">
        <v>309.67</v>
      </c>
      <c r="J42" s="3275">
        <v>220.67</v>
      </c>
      <c r="K42" s="3481">
        <f t="shared" si="1"/>
        <v>636.76</v>
      </c>
      <c r="L42" s="1396"/>
      <c r="M42" s="1396"/>
      <c r="N42" s="1396"/>
      <c r="O42" s="1396"/>
      <c r="P42" s="1396"/>
      <c r="Q42" s="1396"/>
      <c r="R42" s="1396"/>
      <c r="S42" s="1396"/>
      <c r="T42" s="1396"/>
      <c r="U42" s="1396"/>
      <c r="V42" s="1396"/>
      <c r="W42" s="1396"/>
      <c r="X42" s="1396"/>
      <c r="Y42" s="1396"/>
    </row>
    <row r="43" spans="1:25">
      <c r="A43" s="3472" t="s">
        <v>719</v>
      </c>
      <c r="B43" s="1355">
        <v>34</v>
      </c>
      <c r="C43" s="1355">
        <v>81</v>
      </c>
      <c r="D43" s="1355">
        <v>88</v>
      </c>
      <c r="E43" s="3368">
        <f t="shared" si="0"/>
        <v>203</v>
      </c>
      <c r="F43" s="1395"/>
      <c r="G43" s="3472" t="s">
        <v>719</v>
      </c>
      <c r="H43" s="3275">
        <v>69.150000000000006</v>
      </c>
      <c r="I43" s="3275">
        <v>163.4</v>
      </c>
      <c r="J43" s="3275">
        <v>132.4</v>
      </c>
      <c r="K43" s="3481">
        <f t="shared" si="1"/>
        <v>364.95000000000005</v>
      </c>
      <c r="L43" s="1396"/>
      <c r="M43" s="1396"/>
      <c r="N43" s="1396"/>
      <c r="O43" s="1396"/>
      <c r="P43" s="1396"/>
      <c r="Q43" s="1396"/>
      <c r="R43" s="1396"/>
      <c r="S43" s="1396"/>
      <c r="T43" s="1396"/>
      <c r="U43" s="1396"/>
      <c r="V43" s="1396"/>
      <c r="W43" s="1396"/>
      <c r="X43" s="1396"/>
      <c r="Y43" s="1396"/>
    </row>
    <row r="44" spans="1:25">
      <c r="A44" s="3472" t="s">
        <v>718</v>
      </c>
      <c r="B44" s="1355">
        <v>31</v>
      </c>
      <c r="C44" s="1355">
        <v>39</v>
      </c>
      <c r="D44" s="1355">
        <v>51</v>
      </c>
      <c r="E44" s="3368">
        <f t="shared" si="0"/>
        <v>121</v>
      </c>
      <c r="F44" s="1395"/>
      <c r="G44" s="3472" t="s">
        <v>718</v>
      </c>
      <c r="H44" s="3275">
        <v>108</v>
      </c>
      <c r="I44" s="3275">
        <v>98.5</v>
      </c>
      <c r="J44" s="3275">
        <v>160.75</v>
      </c>
      <c r="K44" s="3481">
        <f t="shared" si="1"/>
        <v>367.25</v>
      </c>
      <c r="L44" s="1396"/>
      <c r="M44" s="1396"/>
      <c r="N44" s="1396"/>
      <c r="O44" s="1396"/>
      <c r="P44" s="1396"/>
      <c r="Q44" s="1396"/>
      <c r="R44" s="1396"/>
      <c r="S44" s="1396"/>
      <c r="T44" s="1396"/>
      <c r="U44" s="1396"/>
      <c r="V44" s="1396"/>
      <c r="W44" s="1396"/>
      <c r="X44" s="1396"/>
      <c r="Y44" s="1396"/>
    </row>
    <row r="45" spans="1:25">
      <c r="A45" s="3472" t="s">
        <v>717</v>
      </c>
      <c r="B45" s="1355">
        <v>12</v>
      </c>
      <c r="C45" s="1355">
        <v>48</v>
      </c>
      <c r="D45" s="1355">
        <v>74</v>
      </c>
      <c r="E45" s="3368">
        <f t="shared" si="0"/>
        <v>134</v>
      </c>
      <c r="F45" s="1395"/>
      <c r="G45" s="3472" t="s">
        <v>717</v>
      </c>
      <c r="H45" s="3275">
        <v>66</v>
      </c>
      <c r="I45" s="3275">
        <v>125.5</v>
      </c>
      <c r="J45" s="3275">
        <v>396</v>
      </c>
      <c r="K45" s="3481">
        <f t="shared" si="1"/>
        <v>587.5</v>
      </c>
      <c r="L45" s="1396"/>
      <c r="M45" s="1396"/>
      <c r="N45" s="1396"/>
      <c r="O45" s="1396"/>
      <c r="P45" s="1396"/>
      <c r="Q45" s="1396"/>
      <c r="R45" s="1396"/>
      <c r="S45" s="1396"/>
      <c r="T45" s="1396"/>
      <c r="U45" s="1396"/>
      <c r="V45" s="1396"/>
      <c r="W45" s="1396"/>
      <c r="X45" s="1396"/>
      <c r="Y45" s="1396"/>
    </row>
    <row r="46" spans="1:25">
      <c r="A46" s="3472" t="s">
        <v>716</v>
      </c>
      <c r="B46" s="1355">
        <v>37</v>
      </c>
      <c r="C46" s="1355">
        <v>96</v>
      </c>
      <c r="D46" s="1355">
        <v>97</v>
      </c>
      <c r="E46" s="3368">
        <f t="shared" si="0"/>
        <v>230</v>
      </c>
      <c r="F46" s="1395"/>
      <c r="G46" s="3472" t="s">
        <v>716</v>
      </c>
      <c r="H46" s="3275">
        <v>111.25</v>
      </c>
      <c r="I46" s="3275">
        <v>226.67</v>
      </c>
      <c r="J46" s="3275">
        <v>207.67</v>
      </c>
      <c r="K46" s="3481">
        <f t="shared" si="1"/>
        <v>545.58999999999992</v>
      </c>
      <c r="L46" s="1396"/>
      <c r="M46" s="1396"/>
      <c r="N46" s="1396"/>
      <c r="O46" s="1396"/>
      <c r="P46" s="1396"/>
      <c r="Q46" s="1396"/>
      <c r="R46" s="1396"/>
      <c r="S46" s="1396"/>
      <c r="T46" s="1396"/>
      <c r="U46" s="1396"/>
      <c r="V46" s="1396"/>
      <c r="W46" s="1396"/>
      <c r="X46" s="1396"/>
      <c r="Y46" s="1396"/>
    </row>
    <row r="47" spans="1:25">
      <c r="A47" s="3472" t="s">
        <v>715</v>
      </c>
      <c r="B47" s="1355">
        <v>35</v>
      </c>
      <c r="C47" s="1355">
        <v>236</v>
      </c>
      <c r="D47" s="1355">
        <v>193</v>
      </c>
      <c r="E47" s="3368">
        <f t="shared" si="0"/>
        <v>464</v>
      </c>
      <c r="F47" s="1395"/>
      <c r="G47" s="3472" t="s">
        <v>715</v>
      </c>
      <c r="H47" s="3275">
        <v>104.08</v>
      </c>
      <c r="I47" s="3275">
        <v>567.91999999999996</v>
      </c>
      <c r="J47" s="3275">
        <v>369.58</v>
      </c>
      <c r="K47" s="3481">
        <f t="shared" si="1"/>
        <v>1041.58</v>
      </c>
      <c r="L47" s="1396"/>
      <c r="M47" s="1396"/>
      <c r="N47" s="1396"/>
      <c r="O47" s="1396"/>
      <c r="P47" s="1396"/>
      <c r="Q47" s="1396"/>
      <c r="R47" s="1396"/>
      <c r="S47" s="1396"/>
      <c r="T47" s="1396"/>
      <c r="U47" s="1396"/>
      <c r="V47" s="1396"/>
      <c r="W47" s="1396"/>
      <c r="X47" s="1396"/>
      <c r="Y47" s="1396"/>
    </row>
    <row r="48" spans="1:25">
      <c r="A48" s="3472" t="s">
        <v>714</v>
      </c>
      <c r="B48" s="1355">
        <v>34</v>
      </c>
      <c r="C48" s="1355">
        <v>266</v>
      </c>
      <c r="D48" s="1355">
        <v>219</v>
      </c>
      <c r="E48" s="3368">
        <f t="shared" si="0"/>
        <v>519</v>
      </c>
      <c r="F48" s="1395"/>
      <c r="G48" s="3472" t="s">
        <v>714</v>
      </c>
      <c r="H48" s="3275">
        <v>77.17</v>
      </c>
      <c r="I48" s="3275">
        <v>576.41999999999996</v>
      </c>
      <c r="J48" s="3275">
        <v>368.5</v>
      </c>
      <c r="K48" s="3481">
        <f t="shared" si="1"/>
        <v>1022.0899999999999</v>
      </c>
      <c r="L48" s="1396"/>
      <c r="M48" s="1396"/>
      <c r="N48" s="1396"/>
      <c r="O48" s="1396"/>
      <c r="P48" s="1396"/>
      <c r="Q48" s="1396"/>
      <c r="R48" s="1396"/>
      <c r="S48" s="1396"/>
      <c r="T48" s="1396"/>
      <c r="U48" s="1396"/>
      <c r="V48" s="1396"/>
      <c r="W48" s="1396"/>
      <c r="X48" s="1396"/>
      <c r="Y48" s="1396"/>
    </row>
    <row r="49" spans="1:25">
      <c r="A49" s="3474" t="s">
        <v>713</v>
      </c>
      <c r="B49" s="3285">
        <v>56</v>
      </c>
      <c r="C49" s="3285">
        <v>484</v>
      </c>
      <c r="D49" s="3285">
        <v>360</v>
      </c>
      <c r="E49" s="3477">
        <f>SUM(B49:D49)</f>
        <v>900</v>
      </c>
      <c r="F49" s="1395"/>
      <c r="G49" s="3473" t="s">
        <v>713</v>
      </c>
      <c r="H49" s="3478">
        <v>143.75</v>
      </c>
      <c r="I49" s="3478">
        <v>1076.83</v>
      </c>
      <c r="J49" s="3478">
        <v>698.5</v>
      </c>
      <c r="K49" s="3482">
        <f>SUM(H49:J49)</f>
        <v>1919.08</v>
      </c>
      <c r="L49" s="1396"/>
      <c r="M49" s="1396"/>
      <c r="N49" s="1396"/>
      <c r="O49" s="1396"/>
      <c r="P49" s="1396"/>
      <c r="Q49" s="1396"/>
      <c r="R49" s="1396"/>
      <c r="S49" s="1396"/>
      <c r="T49" s="1396"/>
      <c r="U49" s="1396"/>
      <c r="V49" s="1396"/>
      <c r="W49" s="1396"/>
      <c r="X49" s="1396"/>
      <c r="Y49" s="1396"/>
    </row>
    <row r="50" spans="1:25">
      <c r="A50" s="3470" t="s">
        <v>7225</v>
      </c>
      <c r="B50" s="2372">
        <f>SUM(B51:B62)</f>
        <v>857</v>
      </c>
      <c r="C50" s="2372">
        <f>SUM(C51:C62)</f>
        <v>3328</v>
      </c>
      <c r="D50" s="2373">
        <f>SUM(D51:D62)</f>
        <v>2985</v>
      </c>
      <c r="E50" s="4063">
        <f>SUM(B50:D50)</f>
        <v>7170</v>
      </c>
      <c r="F50" s="1395"/>
      <c r="G50" s="3470" t="s">
        <v>7225</v>
      </c>
      <c r="H50" s="3479">
        <f>SUM(H51:H62)</f>
        <v>2048.0100000000002</v>
      </c>
      <c r="I50" s="3479">
        <f>SUM(I51:I61)</f>
        <v>7106.35</v>
      </c>
      <c r="J50" s="3479">
        <f>SUM(J51:J62)</f>
        <v>5407.33</v>
      </c>
      <c r="K50" s="3574">
        <f>SUM(K51:K62)</f>
        <v>15237.61</v>
      </c>
      <c r="L50" s="1396"/>
      <c r="M50" s="1396"/>
      <c r="N50" s="1396"/>
      <c r="O50" s="1396"/>
      <c r="P50" s="1396"/>
      <c r="Q50" s="1396"/>
      <c r="R50" s="1396"/>
      <c r="S50" s="1396"/>
      <c r="T50" s="1396"/>
      <c r="U50" s="1396"/>
      <c r="V50" s="1396"/>
      <c r="W50" s="1396"/>
      <c r="X50" s="1396"/>
      <c r="Y50" s="1396"/>
    </row>
    <row r="51" spans="1:25">
      <c r="A51" s="3471" t="s">
        <v>724</v>
      </c>
      <c r="B51" s="1355">
        <v>93</v>
      </c>
      <c r="C51" s="1355">
        <v>532</v>
      </c>
      <c r="D51" s="1355">
        <v>411</v>
      </c>
      <c r="E51" s="3475">
        <f>SUM(B51:D51)</f>
        <v>1036</v>
      </c>
      <c r="F51" s="1395"/>
      <c r="G51" s="3471" t="s">
        <v>724</v>
      </c>
      <c r="H51" s="3275">
        <v>204.83</v>
      </c>
      <c r="I51" s="3275">
        <v>1132.92</v>
      </c>
      <c r="J51" s="3275">
        <v>743.5</v>
      </c>
      <c r="K51" s="3480">
        <f>SUM(H51:J51)</f>
        <v>2081.25</v>
      </c>
      <c r="L51" s="1396"/>
      <c r="M51" s="1396"/>
      <c r="N51" s="1396"/>
      <c r="O51" s="1396"/>
      <c r="P51" s="1396"/>
      <c r="Q51" s="1396"/>
      <c r="R51" s="1396"/>
      <c r="S51" s="1396"/>
      <c r="T51" s="1396"/>
      <c r="U51" s="1396"/>
      <c r="V51" s="1396"/>
      <c r="W51" s="1396"/>
      <c r="X51" s="1396"/>
      <c r="Y51" s="1396"/>
    </row>
    <row r="52" spans="1:25">
      <c r="A52" s="3472" t="s">
        <v>723</v>
      </c>
      <c r="B52" s="1355">
        <v>99</v>
      </c>
      <c r="C52" s="1355">
        <v>580</v>
      </c>
      <c r="D52" s="1355">
        <v>412</v>
      </c>
      <c r="E52" s="3368">
        <f>SUM(B52:D52)</f>
        <v>1091</v>
      </c>
      <c r="F52" s="1395"/>
      <c r="G52" s="3472" t="s">
        <v>723</v>
      </c>
      <c r="H52" s="3275">
        <v>198.25</v>
      </c>
      <c r="I52" s="3275">
        <v>1385.58</v>
      </c>
      <c r="J52" s="3275">
        <v>783.58</v>
      </c>
      <c r="K52" s="3481">
        <f>SUM(H52:J52)</f>
        <v>2367.41</v>
      </c>
      <c r="L52" s="1396"/>
      <c r="N52" s="1396"/>
      <c r="O52" s="1396"/>
      <c r="P52" s="1396"/>
      <c r="Q52" s="1396"/>
      <c r="R52" s="1396"/>
      <c r="S52" s="1396"/>
      <c r="T52" s="1396"/>
      <c r="U52" s="1396"/>
      <c r="V52" s="2312"/>
      <c r="W52" s="1396"/>
      <c r="X52" s="2312"/>
      <c r="Y52" s="1396"/>
    </row>
    <row r="53" spans="1:25">
      <c r="A53" s="3472" t="s">
        <v>722</v>
      </c>
      <c r="B53" s="1355">
        <v>110</v>
      </c>
      <c r="C53" s="1355">
        <v>496</v>
      </c>
      <c r="D53" s="1355">
        <v>465</v>
      </c>
      <c r="E53" s="3368">
        <f t="shared" ref="E53:E61" si="2">SUM(B53:D53)</f>
        <v>1071</v>
      </c>
      <c r="F53" s="1395"/>
      <c r="G53" s="3472" t="s">
        <v>722</v>
      </c>
      <c r="H53" s="3275">
        <v>210.58</v>
      </c>
      <c r="I53" s="3275">
        <v>1270.17</v>
      </c>
      <c r="J53" s="3275">
        <v>830.75</v>
      </c>
      <c r="K53" s="3481">
        <f t="shared" ref="K53:K61" si="3">SUM(H53:J53)</f>
        <v>2311.5</v>
      </c>
      <c r="L53" s="1396"/>
      <c r="M53" s="1396"/>
      <c r="N53" s="1396"/>
      <c r="O53" s="1396"/>
      <c r="P53" s="1396"/>
      <c r="Q53" s="1396"/>
      <c r="R53" s="1396"/>
      <c r="S53" s="1396"/>
      <c r="T53" s="1396"/>
      <c r="U53" s="1396"/>
      <c r="W53" s="1396"/>
      <c r="X53" s="1396"/>
      <c r="Y53" s="1396"/>
    </row>
    <row r="54" spans="1:25">
      <c r="A54" s="3472" t="s">
        <v>721</v>
      </c>
      <c r="B54" s="1355">
        <v>72</v>
      </c>
      <c r="C54" s="1355">
        <v>202</v>
      </c>
      <c r="D54" s="1355">
        <v>210</v>
      </c>
      <c r="E54" s="3368">
        <f>SUM(B54:D54)</f>
        <v>484</v>
      </c>
      <c r="F54" s="1395"/>
      <c r="G54" s="3472" t="s">
        <v>721</v>
      </c>
      <c r="H54" s="3275">
        <v>183.25</v>
      </c>
      <c r="I54" s="3275">
        <v>574.16999999999996</v>
      </c>
      <c r="J54" s="3275">
        <v>395</v>
      </c>
      <c r="K54" s="3481">
        <f t="shared" si="3"/>
        <v>1152.42</v>
      </c>
      <c r="L54" s="1396"/>
      <c r="M54" s="2312">
        <v>2021</v>
      </c>
      <c r="N54" s="1396"/>
      <c r="O54" s="1396"/>
      <c r="P54" s="1396"/>
      <c r="Q54" s="1396"/>
      <c r="R54" s="1396"/>
      <c r="S54" s="1396"/>
      <c r="T54" s="1396"/>
      <c r="U54" s="1396"/>
      <c r="V54" s="3457">
        <v>2022</v>
      </c>
      <c r="W54" s="1396"/>
      <c r="X54" s="1396"/>
      <c r="Y54" s="1396"/>
    </row>
    <row r="55" spans="1:25">
      <c r="A55" s="3472" t="s">
        <v>720</v>
      </c>
      <c r="B55" s="1355">
        <v>82</v>
      </c>
      <c r="C55" s="1355">
        <v>148</v>
      </c>
      <c r="D55" s="1355">
        <v>142</v>
      </c>
      <c r="E55" s="3368">
        <f t="shared" si="2"/>
        <v>372</v>
      </c>
      <c r="F55" s="1395"/>
      <c r="G55" s="3472" t="s">
        <v>720</v>
      </c>
      <c r="H55" s="3275">
        <v>172</v>
      </c>
      <c r="I55" s="3275">
        <v>391</v>
      </c>
      <c r="J55" s="3275">
        <v>248.5</v>
      </c>
      <c r="K55" s="3481">
        <f t="shared" si="3"/>
        <v>811.5</v>
      </c>
      <c r="L55" s="1396"/>
      <c r="M55" s="1396"/>
      <c r="N55" s="1396"/>
      <c r="O55" s="1396"/>
      <c r="P55" s="1396"/>
      <c r="Q55" s="1396"/>
      <c r="R55" s="1396"/>
      <c r="S55" s="1396"/>
      <c r="T55" s="1396"/>
      <c r="U55" s="1396"/>
      <c r="V55" s="1396"/>
      <c r="W55" s="1396"/>
      <c r="X55" s="1396"/>
      <c r="Y55" s="1396"/>
    </row>
    <row r="56" spans="1:25">
      <c r="A56" s="3472" t="s">
        <v>719</v>
      </c>
      <c r="B56" s="1355">
        <v>108</v>
      </c>
      <c r="C56" s="1355">
        <v>82</v>
      </c>
      <c r="D56" s="1355">
        <v>146</v>
      </c>
      <c r="E56" s="3368">
        <f t="shared" si="2"/>
        <v>336</v>
      </c>
      <c r="F56" s="1395"/>
      <c r="G56" s="3472" t="s">
        <v>719</v>
      </c>
      <c r="H56" s="3275">
        <v>223.75</v>
      </c>
      <c r="I56" s="3275">
        <v>166.42</v>
      </c>
      <c r="J56" s="3275">
        <v>218.5</v>
      </c>
      <c r="K56" s="3481">
        <f t="shared" si="3"/>
        <v>608.66999999999996</v>
      </c>
      <c r="L56" s="1396"/>
      <c r="M56" s="1396"/>
      <c r="N56" s="1396"/>
      <c r="O56" s="1396"/>
      <c r="P56" s="1396"/>
      <c r="Q56" s="1396"/>
      <c r="R56" s="1396"/>
      <c r="S56" s="1396"/>
      <c r="T56" s="1396"/>
      <c r="U56" s="1396"/>
      <c r="V56" s="1396"/>
      <c r="W56" s="1396"/>
      <c r="X56" s="1396"/>
      <c r="Y56" s="1396"/>
    </row>
    <row r="57" spans="1:25">
      <c r="A57" s="3472" t="s">
        <v>718</v>
      </c>
      <c r="B57" s="1355">
        <v>33</v>
      </c>
      <c r="C57" s="1355">
        <v>102</v>
      </c>
      <c r="D57" s="1355">
        <v>149</v>
      </c>
      <c r="E57" s="3368">
        <f t="shared" si="2"/>
        <v>284</v>
      </c>
      <c r="F57" s="1395"/>
      <c r="G57" s="3472" t="s">
        <v>718</v>
      </c>
      <c r="H57" s="3275">
        <v>157.75</v>
      </c>
      <c r="I57" s="3275">
        <v>280.5</v>
      </c>
      <c r="J57" s="3275">
        <v>436.5</v>
      </c>
      <c r="K57" s="3481">
        <f t="shared" si="3"/>
        <v>874.75</v>
      </c>
      <c r="L57" s="1396"/>
      <c r="M57" s="1396"/>
      <c r="N57" s="1396"/>
      <c r="O57" s="1396"/>
      <c r="P57" s="1396"/>
      <c r="Q57" s="1396"/>
      <c r="R57" s="1396"/>
      <c r="S57" s="1396"/>
      <c r="T57" s="1396"/>
      <c r="U57" s="1396"/>
      <c r="V57" s="1396"/>
      <c r="W57" s="1396"/>
      <c r="X57" s="1396"/>
      <c r="Y57" s="1396"/>
    </row>
    <row r="58" spans="1:25">
      <c r="A58" s="3472" t="s">
        <v>717</v>
      </c>
      <c r="B58" s="1355">
        <v>16</v>
      </c>
      <c r="C58" s="1355">
        <v>59</v>
      </c>
      <c r="D58" s="1355">
        <v>107</v>
      </c>
      <c r="E58" s="3368">
        <f t="shared" si="2"/>
        <v>182</v>
      </c>
      <c r="F58" s="1395"/>
      <c r="G58" s="3472" t="s">
        <v>717</v>
      </c>
      <c r="H58" s="3275">
        <v>38.5</v>
      </c>
      <c r="I58" s="3275">
        <v>171.67</v>
      </c>
      <c r="J58" s="3275">
        <v>283</v>
      </c>
      <c r="K58" s="3481">
        <f t="shared" si="3"/>
        <v>493.16999999999996</v>
      </c>
      <c r="L58" s="1396"/>
      <c r="M58" s="1396"/>
      <c r="N58" s="1396"/>
      <c r="O58" s="1396"/>
      <c r="P58" s="1396"/>
      <c r="Q58" s="1396"/>
      <c r="R58" s="1396"/>
      <c r="S58" s="1396"/>
      <c r="T58" s="1396"/>
      <c r="U58" s="1396"/>
      <c r="V58" s="1396"/>
      <c r="W58" s="1396"/>
      <c r="X58" s="1396"/>
      <c r="Y58" s="1396"/>
    </row>
    <row r="59" spans="1:25">
      <c r="A59" s="3472" t="s">
        <v>716</v>
      </c>
      <c r="B59" s="1355">
        <v>51</v>
      </c>
      <c r="C59" s="1355">
        <v>150</v>
      </c>
      <c r="D59" s="1355">
        <v>136</v>
      </c>
      <c r="E59" s="3368">
        <f t="shared" si="2"/>
        <v>337</v>
      </c>
      <c r="F59" s="1395"/>
      <c r="G59" s="3472" t="s">
        <v>716</v>
      </c>
      <c r="H59" s="3275">
        <v>161.25</v>
      </c>
      <c r="I59" s="3275">
        <v>312.5</v>
      </c>
      <c r="J59" s="3275">
        <v>261.17</v>
      </c>
      <c r="K59" s="3481">
        <f t="shared" si="3"/>
        <v>734.92000000000007</v>
      </c>
      <c r="L59" s="1396"/>
      <c r="M59" s="1396"/>
      <c r="N59" s="1396"/>
      <c r="O59" s="1396"/>
      <c r="P59" s="1396"/>
      <c r="Q59" s="1396"/>
      <c r="R59" s="1396"/>
      <c r="S59" s="1396"/>
      <c r="T59" s="1396"/>
      <c r="U59" s="1396"/>
      <c r="V59" s="1396"/>
      <c r="W59" s="1396"/>
      <c r="X59" s="1396"/>
      <c r="Y59" s="1396"/>
    </row>
    <row r="60" spans="1:25">
      <c r="A60" s="3472" t="s">
        <v>715</v>
      </c>
      <c r="B60" s="1355">
        <v>59</v>
      </c>
      <c r="C60" s="1355">
        <v>332</v>
      </c>
      <c r="D60" s="1355">
        <v>275</v>
      </c>
      <c r="E60" s="3368">
        <f t="shared" si="2"/>
        <v>666</v>
      </c>
      <c r="F60" s="1395"/>
      <c r="G60" s="3472" t="s">
        <v>715</v>
      </c>
      <c r="H60" s="3275">
        <v>147.75</v>
      </c>
      <c r="I60" s="3275">
        <v>739.42</v>
      </c>
      <c r="J60" s="3275">
        <v>470.83</v>
      </c>
      <c r="K60" s="3481">
        <f t="shared" si="3"/>
        <v>1358</v>
      </c>
      <c r="L60" s="1396"/>
      <c r="M60" s="1396"/>
      <c r="N60" s="1396"/>
      <c r="O60" s="1396"/>
      <c r="P60" s="1396"/>
      <c r="Q60" s="1396"/>
      <c r="R60" s="1396"/>
      <c r="S60" s="1396"/>
      <c r="T60" s="1396"/>
      <c r="U60" s="1396"/>
      <c r="V60" s="1396"/>
      <c r="W60" s="1396"/>
      <c r="X60" s="1396"/>
      <c r="Y60" s="1396"/>
    </row>
    <row r="61" spans="1:25">
      <c r="A61" s="3472" t="s">
        <v>714</v>
      </c>
      <c r="B61" s="1355">
        <v>58</v>
      </c>
      <c r="C61" s="1355">
        <v>324</v>
      </c>
      <c r="D61" s="1355">
        <v>273</v>
      </c>
      <c r="E61" s="3368">
        <f t="shared" si="2"/>
        <v>655</v>
      </c>
      <c r="F61" s="1395"/>
      <c r="G61" s="3472" t="s">
        <v>714</v>
      </c>
      <c r="H61" s="3275">
        <v>162.91999999999999</v>
      </c>
      <c r="I61" s="3275">
        <v>682</v>
      </c>
      <c r="J61" s="3275">
        <v>517.25</v>
      </c>
      <c r="K61" s="3481">
        <f t="shared" si="3"/>
        <v>1362.17</v>
      </c>
      <c r="L61" s="1396"/>
      <c r="M61" s="1396"/>
      <c r="N61" s="1396"/>
      <c r="O61" s="1396"/>
      <c r="P61" s="1396"/>
      <c r="Q61" s="1396"/>
      <c r="R61" s="1396"/>
      <c r="S61" s="1396"/>
      <c r="T61" s="1396"/>
      <c r="U61" s="1396"/>
      <c r="V61" s="1396"/>
      <c r="W61" s="1396"/>
      <c r="X61" s="1396"/>
      <c r="Y61" s="1396"/>
    </row>
    <row r="62" spans="1:25">
      <c r="A62" s="4061" t="s">
        <v>713</v>
      </c>
      <c r="B62" s="1349">
        <v>76</v>
      </c>
      <c r="C62" s="1349">
        <v>321</v>
      </c>
      <c r="D62" s="1349">
        <v>259</v>
      </c>
      <c r="E62" s="4062">
        <f>SUM(B62:D62)</f>
        <v>656</v>
      </c>
      <c r="F62" s="1395"/>
      <c r="G62" s="3473" t="s">
        <v>713</v>
      </c>
      <c r="H62" s="3478">
        <v>187.18</v>
      </c>
      <c r="I62" s="4407">
        <v>675.92</v>
      </c>
      <c r="J62" s="3478">
        <v>218.75</v>
      </c>
      <c r="K62" s="3482">
        <f>SUM(H62:J62)</f>
        <v>1081.8499999999999</v>
      </c>
      <c r="L62" s="1396"/>
      <c r="M62" s="1396"/>
      <c r="N62" s="1396"/>
      <c r="O62" s="1396"/>
      <c r="P62" s="1396"/>
      <c r="Q62" s="1396"/>
      <c r="R62" s="1396"/>
      <c r="S62" s="1396"/>
      <c r="T62" s="1396"/>
      <c r="U62" s="1396"/>
      <c r="V62" s="1396"/>
      <c r="W62" s="1396"/>
      <c r="X62" s="1396"/>
      <c r="Y62" s="1396"/>
    </row>
    <row r="63" spans="1:25">
      <c r="A63" s="3470" t="s">
        <v>7640</v>
      </c>
      <c r="B63" s="2372">
        <f>SUM(B64:B75)</f>
        <v>808</v>
      </c>
      <c r="C63" s="2372">
        <f>SUM(C64:C75)</f>
        <v>2456</v>
      </c>
      <c r="D63" s="2373">
        <f>SUM(D64:D75)</f>
        <v>2663</v>
      </c>
      <c r="E63" s="4063">
        <f>SUM(B63:D63)</f>
        <v>5927</v>
      </c>
      <c r="F63" s="1395"/>
      <c r="G63" s="3470" t="s">
        <v>7640</v>
      </c>
      <c r="H63" s="2401">
        <f>SUM(H64:H75)</f>
        <v>1801.4300000000003</v>
      </c>
      <c r="I63" s="2401">
        <f>SUM(I64:I75)</f>
        <v>5742.77</v>
      </c>
      <c r="J63" s="4403">
        <f>SUM(J64:J75)</f>
        <v>5079.82</v>
      </c>
      <c r="K63" s="3482">
        <f t="shared" ref="K63:K75" si="4">SUM(H63:J63)</f>
        <v>12624.02</v>
      </c>
      <c r="L63" s="1396"/>
      <c r="M63" s="1396"/>
      <c r="N63" s="1396"/>
      <c r="O63" s="1396"/>
      <c r="P63" s="1396"/>
      <c r="Q63" s="1396"/>
      <c r="R63" s="1396"/>
      <c r="S63" s="1396"/>
      <c r="T63" s="1396"/>
      <c r="U63" s="1396"/>
      <c r="V63" s="1396"/>
      <c r="W63" s="1396"/>
      <c r="X63" s="1396"/>
      <c r="Y63" s="1396"/>
    </row>
    <row r="64" spans="1:25">
      <c r="A64" s="3472" t="s">
        <v>724</v>
      </c>
      <c r="B64" s="1355">
        <v>69</v>
      </c>
      <c r="C64" s="1355">
        <v>363</v>
      </c>
      <c r="D64" s="1355">
        <v>353</v>
      </c>
      <c r="E64" s="3368">
        <f>SUM(B64:D64)</f>
        <v>785</v>
      </c>
      <c r="F64" s="1395"/>
      <c r="G64" s="4064" t="s">
        <v>724</v>
      </c>
      <c r="H64" s="3275">
        <v>127.67</v>
      </c>
      <c r="I64" s="3275">
        <v>689.45</v>
      </c>
      <c r="J64" s="3275">
        <v>577.91999999999996</v>
      </c>
      <c r="K64" s="3480">
        <f t="shared" si="4"/>
        <v>1395.04</v>
      </c>
      <c r="L64" s="1396"/>
      <c r="M64" s="1396"/>
      <c r="N64" s="1396"/>
      <c r="O64" s="1396"/>
      <c r="P64" s="1396"/>
      <c r="Q64" s="1396"/>
      <c r="R64" s="1396"/>
      <c r="S64" s="1396"/>
      <c r="T64" s="1396"/>
      <c r="U64" s="1396"/>
      <c r="V64" s="1396"/>
      <c r="W64" s="1396"/>
      <c r="X64" s="1396"/>
      <c r="Y64" s="1396"/>
    </row>
    <row r="65" spans="1:11">
      <c r="A65" s="3472" t="s">
        <v>723</v>
      </c>
      <c r="B65" s="1355">
        <v>59</v>
      </c>
      <c r="C65" s="1355">
        <v>312</v>
      </c>
      <c r="D65" s="1355">
        <v>299</v>
      </c>
      <c r="E65" s="3368">
        <f t="shared" ref="E65:E75" si="5">SUM(B65:D65)</f>
        <v>670</v>
      </c>
      <c r="G65" s="4064" t="s">
        <v>723</v>
      </c>
      <c r="H65" s="3275">
        <v>117.92</v>
      </c>
      <c r="I65" s="3275">
        <v>608.83000000000004</v>
      </c>
      <c r="J65" s="3275">
        <v>543.58000000000004</v>
      </c>
      <c r="K65" s="3481">
        <f t="shared" si="4"/>
        <v>1270.33</v>
      </c>
    </row>
    <row r="66" spans="1:11">
      <c r="A66" s="3472" t="s">
        <v>722</v>
      </c>
      <c r="B66" s="1355">
        <v>68</v>
      </c>
      <c r="C66" s="1355">
        <v>355</v>
      </c>
      <c r="D66" s="1355">
        <v>372</v>
      </c>
      <c r="E66" s="3368">
        <f t="shared" si="5"/>
        <v>795</v>
      </c>
      <c r="G66" s="4064" t="s">
        <v>722</v>
      </c>
      <c r="H66" s="3275">
        <v>131.5</v>
      </c>
      <c r="I66" s="3275">
        <v>697.83</v>
      </c>
      <c r="J66" s="3275">
        <v>611.16999999999996</v>
      </c>
      <c r="K66" s="3481">
        <f t="shared" si="4"/>
        <v>1440.5</v>
      </c>
    </row>
    <row r="67" spans="1:11">
      <c r="A67" s="3472" t="s">
        <v>721</v>
      </c>
      <c r="B67" s="1355">
        <v>71</v>
      </c>
      <c r="C67" s="1355">
        <v>158</v>
      </c>
      <c r="D67" s="1355">
        <v>233</v>
      </c>
      <c r="E67" s="3368">
        <f t="shared" si="5"/>
        <v>462</v>
      </c>
      <c r="G67" s="4064" t="s">
        <v>721</v>
      </c>
      <c r="H67" s="3275">
        <v>201.5</v>
      </c>
      <c r="I67" s="3275">
        <v>416.17</v>
      </c>
      <c r="J67" s="3275">
        <v>536.5</v>
      </c>
      <c r="K67" s="3481">
        <f t="shared" si="4"/>
        <v>1154.17</v>
      </c>
    </row>
    <row r="68" spans="1:11">
      <c r="A68" s="3472" t="s">
        <v>720</v>
      </c>
      <c r="B68" s="1355">
        <v>74</v>
      </c>
      <c r="C68" s="1355">
        <v>55</v>
      </c>
      <c r="D68" s="1355">
        <v>146</v>
      </c>
      <c r="E68" s="3368">
        <f t="shared" si="5"/>
        <v>275</v>
      </c>
      <c r="G68" s="4064" t="s">
        <v>720</v>
      </c>
      <c r="H68" s="3275">
        <v>181.25</v>
      </c>
      <c r="I68" s="3275">
        <v>125</v>
      </c>
      <c r="J68" s="3275">
        <v>260.5</v>
      </c>
      <c r="K68" s="3481">
        <f t="shared" si="4"/>
        <v>566.75</v>
      </c>
    </row>
    <row r="69" spans="1:11">
      <c r="A69" s="3472" t="s">
        <v>719</v>
      </c>
      <c r="B69" s="1355">
        <v>108</v>
      </c>
      <c r="C69" s="1355">
        <v>73</v>
      </c>
      <c r="D69" s="1355">
        <v>142</v>
      </c>
      <c r="E69" s="3368">
        <f t="shared" si="5"/>
        <v>323</v>
      </c>
      <c r="G69" s="4064" t="s">
        <v>719</v>
      </c>
      <c r="H69" s="3275">
        <v>213.5</v>
      </c>
      <c r="I69" s="3275">
        <v>119.42</v>
      </c>
      <c r="J69" s="3275">
        <v>206.5</v>
      </c>
      <c r="K69" s="3481">
        <f t="shared" si="4"/>
        <v>539.42000000000007</v>
      </c>
    </row>
    <row r="70" spans="1:11">
      <c r="A70" s="3472" t="s">
        <v>718</v>
      </c>
      <c r="B70" s="1355">
        <v>40</v>
      </c>
      <c r="C70" s="1355">
        <v>63</v>
      </c>
      <c r="D70" s="1355">
        <v>98</v>
      </c>
      <c r="E70" s="3368">
        <f t="shared" si="5"/>
        <v>201</v>
      </c>
      <c r="G70" s="4064" t="s">
        <v>718</v>
      </c>
      <c r="H70" s="3275">
        <v>111.5</v>
      </c>
      <c r="I70" s="3275">
        <v>253.07</v>
      </c>
      <c r="J70" s="3275">
        <v>291.89999999999998</v>
      </c>
      <c r="K70" s="3481">
        <f t="shared" si="4"/>
        <v>656.47</v>
      </c>
    </row>
    <row r="71" spans="1:11">
      <c r="A71" s="3472" t="s">
        <v>717</v>
      </c>
      <c r="B71" s="1355">
        <v>19</v>
      </c>
      <c r="C71" s="1355">
        <v>44</v>
      </c>
      <c r="D71" s="1355">
        <v>90</v>
      </c>
      <c r="E71" s="3368">
        <f t="shared" si="5"/>
        <v>153</v>
      </c>
      <c r="G71" s="4064" t="s">
        <v>717</v>
      </c>
      <c r="H71" s="3275">
        <v>51.17</v>
      </c>
      <c r="I71" s="3275">
        <v>167.33</v>
      </c>
      <c r="J71" s="3275">
        <v>280</v>
      </c>
      <c r="K71" s="3481">
        <f t="shared" si="4"/>
        <v>498.5</v>
      </c>
    </row>
    <row r="72" spans="1:11">
      <c r="A72" s="3472" t="s">
        <v>716</v>
      </c>
      <c r="B72" s="1355">
        <v>56</v>
      </c>
      <c r="C72" s="1355">
        <v>97</v>
      </c>
      <c r="D72" s="1355">
        <v>149</v>
      </c>
      <c r="E72" s="3368">
        <f t="shared" si="5"/>
        <v>302</v>
      </c>
      <c r="G72" s="4064" t="s">
        <v>716</v>
      </c>
      <c r="H72" s="3275">
        <v>158.5</v>
      </c>
      <c r="I72" s="3275">
        <v>233.33</v>
      </c>
      <c r="J72" s="3275">
        <v>330.5</v>
      </c>
      <c r="K72" s="3481">
        <f t="shared" si="4"/>
        <v>722.33</v>
      </c>
    </row>
    <row r="73" spans="1:11">
      <c r="A73" s="3472" t="s">
        <v>715</v>
      </c>
      <c r="B73" s="1355">
        <v>73</v>
      </c>
      <c r="C73" s="1355">
        <v>269</v>
      </c>
      <c r="D73" s="1355">
        <v>248</v>
      </c>
      <c r="E73" s="3368">
        <f t="shared" si="5"/>
        <v>590</v>
      </c>
      <c r="G73" s="4064" t="s">
        <v>715</v>
      </c>
      <c r="H73" s="3275">
        <v>161</v>
      </c>
      <c r="I73" s="3275">
        <v>735.75</v>
      </c>
      <c r="J73" s="3275">
        <v>448.83</v>
      </c>
      <c r="K73" s="3481">
        <f t="shared" si="4"/>
        <v>1345.58</v>
      </c>
    </row>
    <row r="74" spans="1:11">
      <c r="A74" s="3472" t="s">
        <v>714</v>
      </c>
      <c r="B74" s="1355">
        <v>85</v>
      </c>
      <c r="C74" s="1355">
        <v>325</v>
      </c>
      <c r="D74" s="1355">
        <v>256</v>
      </c>
      <c r="E74" s="3368">
        <f t="shared" si="5"/>
        <v>666</v>
      </c>
      <c r="G74" s="4064" t="s">
        <v>714</v>
      </c>
      <c r="H74" s="3275">
        <v>173.5</v>
      </c>
      <c r="I74" s="3275">
        <v>838.17</v>
      </c>
      <c r="J74" s="3275">
        <v>480.5</v>
      </c>
      <c r="K74" s="3481">
        <f t="shared" si="4"/>
        <v>1492.17</v>
      </c>
    </row>
    <row r="75" spans="1:11">
      <c r="A75" s="3474" t="s">
        <v>713</v>
      </c>
      <c r="B75" s="3285">
        <v>86</v>
      </c>
      <c r="C75" s="3285">
        <v>342</v>
      </c>
      <c r="D75" s="3285">
        <v>277</v>
      </c>
      <c r="E75" s="3476">
        <f t="shared" si="5"/>
        <v>705</v>
      </c>
      <c r="G75" s="4065" t="s">
        <v>713</v>
      </c>
      <c r="H75" s="4066">
        <v>172.42</v>
      </c>
      <c r="I75" s="4066">
        <v>858.42</v>
      </c>
      <c r="J75" s="4066">
        <v>511.92</v>
      </c>
      <c r="K75" s="3482">
        <f t="shared" si="4"/>
        <v>1542.76</v>
      </c>
    </row>
    <row r="76" spans="1:11">
      <c r="A76" s="3470" t="s">
        <v>8159</v>
      </c>
      <c r="B76" s="2372">
        <f>SUM(B77:B88)</f>
        <v>1036</v>
      </c>
      <c r="C76" s="2372">
        <f>SUM(C77:C88)</f>
        <v>2227</v>
      </c>
      <c r="D76" s="2373">
        <f>SUM(D77:D88)</f>
        <v>2435</v>
      </c>
      <c r="E76" s="4063">
        <f>SUM(B76:D76)</f>
        <v>5698</v>
      </c>
      <c r="G76" s="3470" t="s">
        <v>8159</v>
      </c>
      <c r="H76" s="2401">
        <f>SUM(H77:H88)</f>
        <v>2305.2399999999998</v>
      </c>
      <c r="I76" s="2401">
        <f>SUM(I77:I88)</f>
        <v>5625.21</v>
      </c>
      <c r="J76" s="4403">
        <f>SUM(J77:J88)</f>
        <v>4437.79</v>
      </c>
      <c r="K76" s="3482">
        <f t="shared" ref="K76:K88" si="6">SUM(H76:J76)</f>
        <v>12368.24</v>
      </c>
    </row>
    <row r="77" spans="1:11">
      <c r="A77" s="3472" t="s">
        <v>724</v>
      </c>
      <c r="B77" s="1355">
        <v>100</v>
      </c>
      <c r="C77" s="1355">
        <v>336</v>
      </c>
      <c r="D77" s="1355">
        <v>282</v>
      </c>
      <c r="E77" s="3368">
        <f>SUM(B77:D77)</f>
        <v>718</v>
      </c>
      <c r="G77" s="4064" t="s">
        <v>724</v>
      </c>
      <c r="H77" s="3275">
        <v>237.67</v>
      </c>
      <c r="I77" s="3275">
        <v>815.58</v>
      </c>
      <c r="J77" s="3275">
        <v>485.5</v>
      </c>
      <c r="K77" s="3480">
        <f t="shared" si="6"/>
        <v>1538.75</v>
      </c>
    </row>
    <row r="78" spans="1:11">
      <c r="A78" s="3472" t="s">
        <v>723</v>
      </c>
      <c r="B78" s="1355">
        <v>90</v>
      </c>
      <c r="C78" s="1355">
        <v>349</v>
      </c>
      <c r="D78" s="1355">
        <v>278</v>
      </c>
      <c r="E78" s="3368">
        <f t="shared" ref="E78:E88" si="7">SUM(B78:D78)</f>
        <v>717</v>
      </c>
      <c r="G78" s="4064" t="s">
        <v>723</v>
      </c>
      <c r="H78" s="3275">
        <v>206.33</v>
      </c>
      <c r="I78" s="3275">
        <v>842</v>
      </c>
      <c r="J78" s="3275">
        <v>466.58</v>
      </c>
      <c r="K78" s="3481">
        <f t="shared" si="6"/>
        <v>1514.9099999999999</v>
      </c>
    </row>
    <row r="79" spans="1:11">
      <c r="A79" s="3472" t="s">
        <v>722</v>
      </c>
      <c r="B79" s="1355">
        <v>130</v>
      </c>
      <c r="C79" s="1355">
        <v>361</v>
      </c>
      <c r="D79" s="1355">
        <v>337</v>
      </c>
      <c r="E79" s="3368">
        <f t="shared" si="7"/>
        <v>828</v>
      </c>
      <c r="G79" s="4064" t="s">
        <v>722</v>
      </c>
      <c r="H79" s="3275">
        <v>262.08</v>
      </c>
      <c r="I79" s="3275">
        <v>909.67</v>
      </c>
      <c r="J79" s="3275">
        <v>554.75</v>
      </c>
      <c r="K79" s="3481">
        <f t="shared" si="6"/>
        <v>1726.5</v>
      </c>
    </row>
    <row r="80" spans="1:11">
      <c r="A80" s="3472" t="s">
        <v>721</v>
      </c>
      <c r="B80" s="1355">
        <v>92</v>
      </c>
      <c r="C80" s="1355">
        <v>129</v>
      </c>
      <c r="D80" s="1355">
        <v>199</v>
      </c>
      <c r="E80" s="3368">
        <f t="shared" si="7"/>
        <v>420</v>
      </c>
      <c r="G80" s="4064" t="s">
        <v>721</v>
      </c>
      <c r="H80" s="3275">
        <v>214.75</v>
      </c>
      <c r="I80" s="3275">
        <v>364.23</v>
      </c>
      <c r="J80" s="3275">
        <v>403.4</v>
      </c>
      <c r="K80" s="3481">
        <f t="shared" si="6"/>
        <v>982.38</v>
      </c>
    </row>
    <row r="81" spans="1:11">
      <c r="A81" s="3472" t="s">
        <v>720</v>
      </c>
      <c r="B81" s="1355">
        <v>87</v>
      </c>
      <c r="C81" s="1355">
        <v>65</v>
      </c>
      <c r="D81" s="1355">
        <v>169</v>
      </c>
      <c r="E81" s="3368">
        <f t="shared" si="7"/>
        <v>321</v>
      </c>
      <c r="G81" s="4064" t="s">
        <v>720</v>
      </c>
      <c r="H81" s="3275">
        <v>196.08</v>
      </c>
      <c r="I81" s="3275">
        <v>134.4</v>
      </c>
      <c r="J81" s="3275">
        <v>253.48</v>
      </c>
      <c r="K81" s="3481">
        <f t="shared" si="6"/>
        <v>583.96</v>
      </c>
    </row>
    <row r="82" spans="1:11">
      <c r="A82" s="3472" t="s">
        <v>719</v>
      </c>
      <c r="B82" s="1355">
        <v>89</v>
      </c>
      <c r="C82" s="1355">
        <v>57</v>
      </c>
      <c r="D82" s="1355">
        <v>170</v>
      </c>
      <c r="E82" s="3368">
        <f t="shared" si="7"/>
        <v>316</v>
      </c>
      <c r="G82" s="4064" t="s">
        <v>719</v>
      </c>
      <c r="H82" s="3275">
        <v>227.08</v>
      </c>
      <c r="I82" s="3275">
        <v>203.5</v>
      </c>
      <c r="J82" s="3275">
        <v>312.58</v>
      </c>
      <c r="K82" s="3481">
        <f t="shared" si="6"/>
        <v>743.16000000000008</v>
      </c>
    </row>
    <row r="83" spans="1:11">
      <c r="A83" s="3472" t="s">
        <v>718</v>
      </c>
      <c r="B83" s="1355">
        <v>31</v>
      </c>
      <c r="C83" s="1355">
        <v>23</v>
      </c>
      <c r="D83" s="1355">
        <v>74</v>
      </c>
      <c r="E83" s="3368">
        <f t="shared" si="7"/>
        <v>128</v>
      </c>
      <c r="G83" s="4064" t="s">
        <v>718</v>
      </c>
      <c r="H83" s="3275">
        <v>99.83</v>
      </c>
      <c r="I83" s="3275">
        <v>98.5</v>
      </c>
      <c r="J83" s="3275">
        <v>191</v>
      </c>
      <c r="K83" s="3481">
        <f t="shared" si="6"/>
        <v>389.33</v>
      </c>
    </row>
    <row r="84" spans="1:11">
      <c r="A84" s="3472" t="s">
        <v>717</v>
      </c>
      <c r="B84" s="1355">
        <v>25</v>
      </c>
      <c r="C84" s="1355">
        <v>31</v>
      </c>
      <c r="D84" s="1355">
        <v>62</v>
      </c>
      <c r="E84" s="3368">
        <f t="shared" si="7"/>
        <v>118</v>
      </c>
      <c r="G84" s="4064" t="s">
        <v>717</v>
      </c>
      <c r="H84" s="3275">
        <v>66.17</v>
      </c>
      <c r="I84" s="3275">
        <v>78.58</v>
      </c>
      <c r="J84" s="3275">
        <v>202.5</v>
      </c>
      <c r="K84" s="3481">
        <f t="shared" si="6"/>
        <v>347.25</v>
      </c>
    </row>
    <row r="85" spans="1:11">
      <c r="A85" s="3472" t="s">
        <v>716</v>
      </c>
      <c r="B85" s="1355">
        <v>79</v>
      </c>
      <c r="C85" s="1355">
        <v>102</v>
      </c>
      <c r="D85" s="1355">
        <v>108</v>
      </c>
      <c r="E85" s="3368">
        <f t="shared" si="7"/>
        <v>289</v>
      </c>
      <c r="G85" s="4064" t="s">
        <v>716</v>
      </c>
      <c r="H85" s="3275">
        <v>181.92</v>
      </c>
      <c r="I85" s="3275">
        <v>259.08</v>
      </c>
      <c r="J85" s="3275">
        <v>250.5</v>
      </c>
      <c r="K85" s="3481">
        <f t="shared" si="6"/>
        <v>691.5</v>
      </c>
    </row>
    <row r="86" spans="1:11">
      <c r="A86" s="3472" t="s">
        <v>715</v>
      </c>
      <c r="B86" s="1355">
        <v>97</v>
      </c>
      <c r="C86" s="1355">
        <v>212</v>
      </c>
      <c r="D86" s="1355">
        <v>203</v>
      </c>
      <c r="E86" s="3368">
        <f t="shared" si="7"/>
        <v>512</v>
      </c>
      <c r="G86" s="4064" t="s">
        <v>715</v>
      </c>
      <c r="H86" s="3275">
        <v>192.25</v>
      </c>
      <c r="I86" s="3275">
        <v>560.75</v>
      </c>
      <c r="J86" s="3275">
        <v>348.25</v>
      </c>
      <c r="K86" s="3481">
        <f t="shared" si="6"/>
        <v>1101.25</v>
      </c>
    </row>
    <row r="87" spans="1:11">
      <c r="A87" s="3472" t="s">
        <v>714</v>
      </c>
      <c r="B87" s="1355">
        <v>109</v>
      </c>
      <c r="C87" s="1355">
        <v>260</v>
      </c>
      <c r="D87" s="1355">
        <v>289</v>
      </c>
      <c r="E87" s="3368">
        <f t="shared" si="7"/>
        <v>658</v>
      </c>
      <c r="G87" s="4064" t="s">
        <v>714</v>
      </c>
      <c r="H87" s="3275">
        <v>199.83</v>
      </c>
      <c r="I87" s="3275">
        <v>654.91999999999996</v>
      </c>
      <c r="J87" s="3275">
        <v>480.75</v>
      </c>
      <c r="K87" s="3481">
        <f t="shared" si="6"/>
        <v>1335.5</v>
      </c>
    </row>
    <row r="88" spans="1:11">
      <c r="A88" s="3474" t="s">
        <v>713</v>
      </c>
      <c r="B88" s="3285">
        <v>107</v>
      </c>
      <c r="C88" s="3285">
        <v>302</v>
      </c>
      <c r="D88" s="3285">
        <v>264</v>
      </c>
      <c r="E88" s="3476">
        <f t="shared" si="7"/>
        <v>673</v>
      </c>
      <c r="G88" s="4065" t="s">
        <v>713</v>
      </c>
      <c r="H88" s="4066">
        <v>221.25</v>
      </c>
      <c r="I88" s="4066">
        <v>704</v>
      </c>
      <c r="J88" s="4066">
        <v>488.5</v>
      </c>
      <c r="K88" s="3482">
        <f t="shared" si="6"/>
        <v>1413.75</v>
      </c>
    </row>
    <row r="93" spans="1:11">
      <c r="A93" s="3405" t="s">
        <v>79</v>
      </c>
      <c r="B93" s="2430" t="s">
        <v>6032</v>
      </c>
      <c r="C93" s="2430" t="s">
        <v>4060</v>
      </c>
      <c r="D93" s="2431" t="s">
        <v>6034</v>
      </c>
      <c r="G93" s="3405" t="s">
        <v>79</v>
      </c>
      <c r="H93" s="3405" t="s">
        <v>6032</v>
      </c>
      <c r="I93" s="3405" t="s">
        <v>4060</v>
      </c>
      <c r="J93" s="2703" t="s">
        <v>6034</v>
      </c>
    </row>
    <row r="94" spans="1:11">
      <c r="A94" s="2240" t="s">
        <v>7640</v>
      </c>
      <c r="B94" s="3575">
        <f>SUM(B95:B148)</f>
        <v>46</v>
      </c>
      <c r="C94" s="3575">
        <f>SUM(C95:C142)</f>
        <v>1058</v>
      </c>
      <c r="D94" s="3576">
        <v>592</v>
      </c>
      <c r="G94" s="2240" t="s">
        <v>8159</v>
      </c>
      <c r="H94" s="2240">
        <v>54</v>
      </c>
      <c r="I94" s="2240">
        <f>SUM(I95:I147)</f>
        <v>1430</v>
      </c>
      <c r="J94" s="2700">
        <v>735</v>
      </c>
    </row>
    <row r="95" spans="1:11">
      <c r="A95" s="2433" t="s">
        <v>7226</v>
      </c>
      <c r="B95" s="3458">
        <v>1</v>
      </c>
      <c r="C95" s="3458">
        <v>9</v>
      </c>
      <c r="D95" s="3271"/>
      <c r="G95" s="2433" t="s">
        <v>8160</v>
      </c>
      <c r="H95" s="3458">
        <v>1</v>
      </c>
      <c r="I95" s="3458">
        <v>10</v>
      </c>
      <c r="J95" s="3271"/>
    </row>
    <row r="96" spans="1:11">
      <c r="A96" s="2433" t="s">
        <v>7780</v>
      </c>
      <c r="B96" s="3458">
        <v>1</v>
      </c>
      <c r="C96" s="3458">
        <v>7</v>
      </c>
      <c r="D96" s="3271"/>
      <c r="G96" s="2433" t="s">
        <v>8161</v>
      </c>
      <c r="H96" s="3458">
        <v>1</v>
      </c>
      <c r="I96" s="3458">
        <v>10</v>
      </c>
      <c r="J96" s="3271"/>
    </row>
    <row r="97" spans="1:10">
      <c r="A97" s="2433" t="s">
        <v>7227</v>
      </c>
      <c r="B97" s="3458">
        <v>1</v>
      </c>
      <c r="C97" s="3458">
        <v>23</v>
      </c>
      <c r="D97" s="3271"/>
      <c r="G97" s="2433" t="s">
        <v>6037</v>
      </c>
      <c r="H97" s="3458">
        <v>1</v>
      </c>
      <c r="I97" s="3458">
        <v>42</v>
      </c>
      <c r="J97" s="3271"/>
    </row>
    <row r="98" spans="1:10">
      <c r="A98" s="2433" t="s">
        <v>6037</v>
      </c>
      <c r="B98" s="3458">
        <v>1</v>
      </c>
      <c r="C98" s="3458">
        <v>48</v>
      </c>
      <c r="D98" s="3271"/>
      <c r="G98" s="2433" t="s">
        <v>5878</v>
      </c>
      <c r="H98" s="3458">
        <v>1</v>
      </c>
      <c r="I98" s="3458">
        <v>21</v>
      </c>
      <c r="J98" s="3271"/>
    </row>
    <row r="99" spans="1:10">
      <c r="A99" s="2433" t="s">
        <v>5878</v>
      </c>
      <c r="B99" s="3458">
        <v>1</v>
      </c>
      <c r="C99" s="3458">
        <v>19</v>
      </c>
      <c r="D99" s="3271"/>
      <c r="G99" s="2433" t="s">
        <v>8162</v>
      </c>
      <c r="H99" s="3458">
        <v>1</v>
      </c>
      <c r="I99" s="3458">
        <v>1</v>
      </c>
      <c r="J99" s="3271"/>
    </row>
    <row r="100" spans="1:10">
      <c r="A100" s="2433" t="s">
        <v>7781</v>
      </c>
      <c r="B100" s="3458">
        <v>1</v>
      </c>
      <c r="C100" s="3458">
        <v>10</v>
      </c>
      <c r="D100" s="3271"/>
      <c r="G100" s="2433" t="s">
        <v>7781</v>
      </c>
      <c r="H100" s="3458">
        <v>1</v>
      </c>
      <c r="I100" s="3458">
        <v>11</v>
      </c>
      <c r="J100" s="3271"/>
    </row>
    <row r="101" spans="1:10">
      <c r="A101" s="2433" t="s">
        <v>7782</v>
      </c>
      <c r="B101" s="3458">
        <v>1</v>
      </c>
      <c r="C101" s="3458">
        <v>15</v>
      </c>
      <c r="D101" s="3271"/>
      <c r="G101" s="2433" t="s">
        <v>7782</v>
      </c>
      <c r="H101" s="3458">
        <v>1</v>
      </c>
      <c r="I101" s="3458">
        <v>15</v>
      </c>
      <c r="J101" s="3271"/>
    </row>
    <row r="102" spans="1:10">
      <c r="A102" s="2433" t="s">
        <v>7228</v>
      </c>
      <c r="B102" s="3458">
        <v>1</v>
      </c>
      <c r="C102" s="3458">
        <v>17</v>
      </c>
      <c r="D102" s="3271"/>
      <c r="G102" s="2433" t="s">
        <v>7228</v>
      </c>
      <c r="H102" s="3458">
        <v>1</v>
      </c>
      <c r="I102" s="3458">
        <v>15</v>
      </c>
      <c r="J102" s="3271"/>
    </row>
    <row r="103" spans="1:10">
      <c r="A103" s="2433" t="s">
        <v>7783</v>
      </c>
      <c r="B103" s="3458">
        <v>1</v>
      </c>
      <c r="C103" s="3458">
        <v>6</v>
      </c>
      <c r="D103" s="3271"/>
      <c r="G103" s="2433" t="s">
        <v>8163</v>
      </c>
      <c r="H103" s="3458">
        <v>1</v>
      </c>
      <c r="I103" s="3458">
        <v>87</v>
      </c>
      <c r="J103" s="3271"/>
    </row>
    <row r="104" spans="1:10">
      <c r="A104" s="2433" t="s">
        <v>7801</v>
      </c>
      <c r="B104" s="3458">
        <v>1</v>
      </c>
      <c r="C104" s="3458">
        <v>1</v>
      </c>
      <c r="D104" s="3271"/>
      <c r="G104" s="2433" t="s">
        <v>7229</v>
      </c>
      <c r="H104" s="3458">
        <v>1</v>
      </c>
      <c r="I104" s="3458">
        <v>27</v>
      </c>
      <c r="J104" s="3271"/>
    </row>
    <row r="105" spans="1:10">
      <c r="A105" s="2433" t="s">
        <v>7229</v>
      </c>
      <c r="B105" s="3458">
        <v>1</v>
      </c>
      <c r="C105" s="3458">
        <v>21</v>
      </c>
      <c r="D105" s="3271"/>
      <c r="G105" s="2433" t="s">
        <v>7230</v>
      </c>
      <c r="H105" s="3458">
        <v>1</v>
      </c>
      <c r="I105" s="3458">
        <v>23</v>
      </c>
      <c r="J105" s="3271"/>
    </row>
    <row r="106" spans="1:10">
      <c r="A106" s="2433" t="s">
        <v>7230</v>
      </c>
      <c r="B106" s="3458">
        <v>1</v>
      </c>
      <c r="C106" s="3458">
        <v>16</v>
      </c>
      <c r="D106" s="3271"/>
      <c r="G106" s="2433" t="s">
        <v>8164</v>
      </c>
      <c r="H106" s="3458">
        <v>1</v>
      </c>
      <c r="I106" s="3458">
        <v>26</v>
      </c>
      <c r="J106" s="3271"/>
    </row>
    <row r="107" spans="1:10">
      <c r="A107" s="2433" t="s">
        <v>6038</v>
      </c>
      <c r="B107" s="3458">
        <v>1</v>
      </c>
      <c r="C107" s="3458">
        <v>40</v>
      </c>
      <c r="D107" s="3271"/>
      <c r="G107" s="2433" t="s">
        <v>8165</v>
      </c>
      <c r="H107" s="3458">
        <v>1</v>
      </c>
      <c r="I107" s="3458">
        <v>17</v>
      </c>
      <c r="J107" s="3271"/>
    </row>
    <row r="108" spans="1:10">
      <c r="A108" s="2433" t="s">
        <v>7784</v>
      </c>
      <c r="B108" s="3458">
        <v>1</v>
      </c>
      <c r="C108" s="3458">
        <v>15</v>
      </c>
      <c r="D108" s="3271"/>
      <c r="G108" s="2433" t="s">
        <v>8166</v>
      </c>
      <c r="H108" s="3458">
        <v>2</v>
      </c>
      <c r="I108" s="3458">
        <v>39</v>
      </c>
      <c r="J108" s="3271"/>
    </row>
    <row r="109" spans="1:10">
      <c r="A109" s="2433" t="s">
        <v>7785</v>
      </c>
      <c r="B109" s="3458">
        <v>1</v>
      </c>
      <c r="C109" s="3458">
        <v>17</v>
      </c>
      <c r="D109" s="3271"/>
      <c r="G109" s="2433" t="s">
        <v>6039</v>
      </c>
      <c r="H109" s="3458">
        <v>1</v>
      </c>
      <c r="I109" s="3458">
        <v>44</v>
      </c>
      <c r="J109" s="3271"/>
    </row>
    <row r="110" spans="1:10">
      <c r="A110" s="2433" t="s">
        <v>7786</v>
      </c>
      <c r="B110" s="3458">
        <v>1</v>
      </c>
      <c r="C110" s="3458">
        <v>11</v>
      </c>
      <c r="D110" s="3271"/>
      <c r="G110" s="2433" t="s">
        <v>7789</v>
      </c>
      <c r="H110" s="3458">
        <v>1</v>
      </c>
      <c r="I110" s="3458">
        <v>43</v>
      </c>
      <c r="J110" s="3271"/>
    </row>
    <row r="111" spans="1:10">
      <c r="A111" s="2433" t="s">
        <v>6039</v>
      </c>
      <c r="B111" s="3458">
        <v>1</v>
      </c>
      <c r="C111" s="3458">
        <v>22</v>
      </c>
      <c r="D111" s="3271"/>
      <c r="G111" s="2433" t="s">
        <v>8167</v>
      </c>
      <c r="H111" s="3458">
        <v>1</v>
      </c>
      <c r="I111" s="3458">
        <v>74</v>
      </c>
      <c r="J111" s="3271"/>
    </row>
    <row r="112" spans="1:10">
      <c r="A112" s="2433" t="s">
        <v>7787</v>
      </c>
      <c r="B112" s="3458">
        <v>1</v>
      </c>
      <c r="C112" s="3458">
        <v>30</v>
      </c>
      <c r="D112" s="3271"/>
      <c r="G112" s="2433" t="s">
        <v>6041</v>
      </c>
      <c r="H112" s="3458">
        <v>1</v>
      </c>
      <c r="I112" s="3458">
        <v>26</v>
      </c>
      <c r="J112" s="3271"/>
    </row>
    <row r="113" spans="1:10">
      <c r="A113" s="2433" t="s">
        <v>7788</v>
      </c>
      <c r="B113" s="3458">
        <v>1</v>
      </c>
      <c r="C113" s="3458">
        <v>60</v>
      </c>
      <c r="D113" s="3271"/>
      <c r="G113" s="2433" t="s">
        <v>6042</v>
      </c>
      <c r="H113" s="3458">
        <v>1</v>
      </c>
      <c r="I113" s="3458">
        <v>19</v>
      </c>
      <c r="J113" s="3271"/>
    </row>
    <row r="114" spans="1:10">
      <c r="A114" s="2433" t="s">
        <v>7789</v>
      </c>
      <c r="B114" s="3458">
        <v>1</v>
      </c>
      <c r="C114" s="3458">
        <v>42</v>
      </c>
      <c r="D114" s="3271"/>
      <c r="G114" s="2433" t="s">
        <v>6043</v>
      </c>
      <c r="H114" s="3458">
        <v>1</v>
      </c>
      <c r="I114" s="3458">
        <v>14</v>
      </c>
      <c r="J114" s="3271"/>
    </row>
    <row r="115" spans="1:10">
      <c r="A115" s="2433" t="s">
        <v>6041</v>
      </c>
      <c r="B115" s="3458">
        <v>1</v>
      </c>
      <c r="C115" s="3458">
        <v>42</v>
      </c>
      <c r="D115" s="3271"/>
      <c r="G115" s="2433" t="s">
        <v>8168</v>
      </c>
      <c r="H115" s="3458">
        <v>1</v>
      </c>
      <c r="I115" s="3458">
        <v>33</v>
      </c>
      <c r="J115" s="3271"/>
    </row>
    <row r="116" spans="1:10">
      <c r="A116" s="2433" t="s">
        <v>6042</v>
      </c>
      <c r="B116" s="3458">
        <v>1</v>
      </c>
      <c r="C116" s="3458">
        <v>31</v>
      </c>
      <c r="D116" s="3271"/>
      <c r="G116" s="2433" t="s">
        <v>8169</v>
      </c>
      <c r="H116" s="3458">
        <v>1</v>
      </c>
      <c r="I116" s="3458">
        <v>65</v>
      </c>
      <c r="J116" s="3271"/>
    </row>
    <row r="117" spans="1:10">
      <c r="A117" s="2433" t="s">
        <v>6043</v>
      </c>
      <c r="B117" s="3458">
        <v>1</v>
      </c>
      <c r="C117" s="3458">
        <v>21</v>
      </c>
      <c r="D117" s="3271"/>
      <c r="G117" s="2433" t="s">
        <v>7790</v>
      </c>
      <c r="H117" s="3458">
        <v>1</v>
      </c>
      <c r="I117" s="3458">
        <v>23</v>
      </c>
      <c r="J117" s="3271"/>
    </row>
    <row r="118" spans="1:10">
      <c r="A118" s="2433" t="s">
        <v>6040</v>
      </c>
      <c r="B118" s="3458">
        <v>1</v>
      </c>
      <c r="C118" s="3458">
        <v>41</v>
      </c>
      <c r="D118" s="3271"/>
      <c r="G118" s="2433" t="s">
        <v>8170</v>
      </c>
      <c r="H118" s="3458">
        <v>1</v>
      </c>
      <c r="I118" s="3458">
        <v>43</v>
      </c>
      <c r="J118" s="3271"/>
    </row>
    <row r="119" spans="1:10">
      <c r="A119" s="2433" t="s">
        <v>7790</v>
      </c>
      <c r="B119" s="3458">
        <v>1</v>
      </c>
      <c r="C119" s="3458">
        <v>25</v>
      </c>
      <c r="D119" s="3271"/>
      <c r="G119" s="2433" t="s">
        <v>8171</v>
      </c>
      <c r="H119" s="3458">
        <v>1</v>
      </c>
      <c r="I119" s="3458">
        <v>13</v>
      </c>
      <c r="J119" s="3271"/>
    </row>
    <row r="120" spans="1:10">
      <c r="A120" s="2433" t="s">
        <v>7802</v>
      </c>
      <c r="B120" s="3458">
        <v>1</v>
      </c>
      <c r="C120" s="3458">
        <v>12</v>
      </c>
      <c r="D120" s="3271"/>
      <c r="G120" s="2433" t="s">
        <v>6036</v>
      </c>
      <c r="H120" s="3458">
        <v>1</v>
      </c>
      <c r="I120" s="3458">
        <v>12</v>
      </c>
      <c r="J120" s="3271"/>
    </row>
    <row r="121" spans="1:10">
      <c r="A121" s="2433" t="s">
        <v>7803</v>
      </c>
      <c r="B121" s="3458">
        <v>1</v>
      </c>
      <c r="C121" s="3458">
        <v>17</v>
      </c>
      <c r="D121" s="3271"/>
      <c r="G121" s="2433" t="s">
        <v>8172</v>
      </c>
      <c r="H121" s="3458">
        <v>1</v>
      </c>
      <c r="I121" s="3458">
        <v>23</v>
      </c>
      <c r="J121" s="3271"/>
    </row>
    <row r="122" spans="1:10">
      <c r="A122" s="2433" t="s">
        <v>7804</v>
      </c>
      <c r="B122" s="3458">
        <v>1</v>
      </c>
      <c r="C122" s="3458">
        <v>16</v>
      </c>
      <c r="D122" s="3271"/>
      <c r="G122" s="2433" t="s">
        <v>8173</v>
      </c>
      <c r="H122" s="3458">
        <v>1</v>
      </c>
      <c r="I122" s="3458">
        <v>16</v>
      </c>
      <c r="J122" s="3271"/>
    </row>
    <row r="123" spans="1:10">
      <c r="A123" s="2433" t="s">
        <v>7791</v>
      </c>
      <c r="B123" s="3458">
        <v>1</v>
      </c>
      <c r="C123" s="3458">
        <v>9</v>
      </c>
      <c r="D123" s="3271"/>
      <c r="G123" s="2433" t="s">
        <v>8174</v>
      </c>
      <c r="H123" s="3458">
        <v>1</v>
      </c>
      <c r="I123" s="3458">
        <v>25</v>
      </c>
      <c r="J123" s="3271"/>
    </row>
    <row r="124" spans="1:10">
      <c r="A124" s="2433" t="s">
        <v>7805</v>
      </c>
      <c r="B124" s="3458">
        <v>1</v>
      </c>
      <c r="C124" s="3458">
        <v>10</v>
      </c>
      <c r="D124" s="3271"/>
      <c r="G124" s="2433" t="s">
        <v>8175</v>
      </c>
      <c r="H124" s="3458">
        <v>1</v>
      </c>
      <c r="I124" s="3458">
        <v>10</v>
      </c>
      <c r="J124" s="3271"/>
    </row>
    <row r="125" spans="1:10">
      <c r="A125" s="2433" t="s">
        <v>7806</v>
      </c>
      <c r="B125" s="3458">
        <v>1</v>
      </c>
      <c r="C125" s="3458">
        <v>10</v>
      </c>
      <c r="D125" s="3271"/>
      <c r="G125" s="2433" t="s">
        <v>8176</v>
      </c>
      <c r="H125" s="3458">
        <v>1</v>
      </c>
      <c r="I125" s="3458">
        <v>76</v>
      </c>
      <c r="J125" s="3271"/>
    </row>
    <row r="126" spans="1:10">
      <c r="A126" s="2433" t="s">
        <v>7792</v>
      </c>
      <c r="B126" s="3458">
        <v>1</v>
      </c>
      <c r="C126" s="3458">
        <v>17</v>
      </c>
      <c r="D126" s="3271"/>
      <c r="G126" s="2433" t="s">
        <v>6044</v>
      </c>
      <c r="H126" s="3458">
        <v>1</v>
      </c>
      <c r="I126" s="3458">
        <v>42</v>
      </c>
      <c r="J126" s="3271"/>
    </row>
    <row r="127" spans="1:10">
      <c r="A127" s="2433" t="s">
        <v>6044</v>
      </c>
      <c r="B127" s="3458">
        <v>1</v>
      </c>
      <c r="C127" s="3458">
        <v>33</v>
      </c>
      <c r="D127" s="3271"/>
      <c r="G127" s="2433" t="s">
        <v>8177</v>
      </c>
      <c r="H127" s="3458">
        <v>1</v>
      </c>
      <c r="I127" s="3458">
        <v>16</v>
      </c>
      <c r="J127" s="3271"/>
    </row>
    <row r="128" spans="1:10">
      <c r="A128" s="2433" t="s">
        <v>7793</v>
      </c>
      <c r="B128" s="3458">
        <v>1</v>
      </c>
      <c r="C128" s="3458">
        <v>67</v>
      </c>
      <c r="D128" s="3271"/>
      <c r="G128" s="2433" t="s">
        <v>8178</v>
      </c>
      <c r="H128" s="3458">
        <v>1</v>
      </c>
      <c r="I128" s="3458">
        <v>12</v>
      </c>
      <c r="J128" s="3271"/>
    </row>
    <row r="129" spans="1:10">
      <c r="A129" s="2433" t="s">
        <v>6047</v>
      </c>
      <c r="B129" s="3458">
        <v>1</v>
      </c>
      <c r="C129" s="3458">
        <v>67</v>
      </c>
      <c r="D129" s="3271"/>
      <c r="G129" s="2433" t="s">
        <v>8179</v>
      </c>
      <c r="H129" s="3458">
        <v>1</v>
      </c>
      <c r="I129" s="3458">
        <v>13</v>
      </c>
      <c r="J129" s="3271"/>
    </row>
    <row r="130" spans="1:10">
      <c r="A130" s="2433" t="s">
        <v>7794</v>
      </c>
      <c r="B130" s="3458">
        <v>1</v>
      </c>
      <c r="C130" s="3458">
        <v>62</v>
      </c>
      <c r="D130" s="3271"/>
      <c r="G130" s="2433" t="s">
        <v>8180</v>
      </c>
      <c r="H130" s="3458">
        <v>1</v>
      </c>
      <c r="I130" s="3458">
        <v>37</v>
      </c>
      <c r="J130" s="3271"/>
    </row>
    <row r="131" spans="1:10">
      <c r="A131" s="2433" t="s">
        <v>7231</v>
      </c>
      <c r="B131" s="3458">
        <v>1</v>
      </c>
      <c r="C131" s="3458">
        <v>11</v>
      </c>
      <c r="D131" s="3271"/>
      <c r="G131" s="2433" t="s">
        <v>6045</v>
      </c>
      <c r="H131" s="3458">
        <v>1</v>
      </c>
      <c r="I131" s="3458">
        <v>106</v>
      </c>
      <c r="J131" s="3271"/>
    </row>
    <row r="132" spans="1:10">
      <c r="A132" s="2433" t="s">
        <v>7795</v>
      </c>
      <c r="B132" s="3458">
        <v>1</v>
      </c>
      <c r="C132" s="3458">
        <v>11</v>
      </c>
      <c r="D132" s="3271"/>
      <c r="G132" s="2433" t="s">
        <v>6046</v>
      </c>
      <c r="H132" s="3458">
        <v>1</v>
      </c>
      <c r="I132" s="3458">
        <v>69</v>
      </c>
      <c r="J132" s="3271"/>
    </row>
    <row r="133" spans="1:10">
      <c r="A133" s="2433" t="s">
        <v>7232</v>
      </c>
      <c r="B133" s="3458">
        <v>1</v>
      </c>
      <c r="C133" s="3458">
        <v>10</v>
      </c>
      <c r="D133" s="3271"/>
      <c r="G133" s="2433" t="s">
        <v>6047</v>
      </c>
      <c r="H133" s="3458">
        <v>1</v>
      </c>
      <c r="I133" s="3458">
        <v>77</v>
      </c>
      <c r="J133" s="3271"/>
    </row>
    <row r="134" spans="1:10">
      <c r="A134" s="2433" t="s">
        <v>7796</v>
      </c>
      <c r="B134" s="3458">
        <v>1</v>
      </c>
      <c r="C134" s="3458">
        <v>36</v>
      </c>
      <c r="D134" s="3271"/>
      <c r="G134" s="2433" t="s">
        <v>8181</v>
      </c>
      <c r="H134" s="3458">
        <v>1</v>
      </c>
      <c r="I134" s="3458">
        <v>8</v>
      </c>
      <c r="J134" s="3271"/>
    </row>
    <row r="135" spans="1:10">
      <c r="A135" s="2433" t="s">
        <v>7797</v>
      </c>
      <c r="B135" s="3458">
        <v>1</v>
      </c>
      <c r="C135" s="3458">
        <v>12</v>
      </c>
      <c r="D135" s="3271"/>
      <c r="G135" s="2433" t="s">
        <v>8182</v>
      </c>
      <c r="H135" s="3458">
        <v>1</v>
      </c>
      <c r="I135" s="3458">
        <v>9</v>
      </c>
      <c r="J135" s="3271"/>
    </row>
    <row r="136" spans="1:10">
      <c r="A136" s="2433" t="s">
        <v>7798</v>
      </c>
      <c r="B136" s="3458">
        <v>1</v>
      </c>
      <c r="C136" s="3458">
        <v>12</v>
      </c>
      <c r="D136" s="3271"/>
      <c r="G136" s="2433" t="s">
        <v>8183</v>
      </c>
      <c r="H136" s="3458">
        <v>1</v>
      </c>
      <c r="I136" s="3458">
        <v>8</v>
      </c>
      <c r="J136" s="3271"/>
    </row>
    <row r="137" spans="1:10">
      <c r="A137" s="2433" t="s">
        <v>7233</v>
      </c>
      <c r="B137" s="3458">
        <v>1</v>
      </c>
      <c r="C137" s="3458">
        <v>16</v>
      </c>
      <c r="D137" s="3271"/>
      <c r="G137" s="2433" t="s">
        <v>8184</v>
      </c>
      <c r="H137" s="3458">
        <v>1</v>
      </c>
      <c r="I137" s="3458">
        <v>16</v>
      </c>
      <c r="J137" s="3271"/>
    </row>
    <row r="138" spans="1:10">
      <c r="A138" s="2433" t="s">
        <v>7234</v>
      </c>
      <c r="B138" s="3458">
        <v>1</v>
      </c>
      <c r="C138" s="3458">
        <v>16</v>
      </c>
      <c r="D138" s="3271"/>
      <c r="G138" s="2433" t="s">
        <v>8185</v>
      </c>
      <c r="H138" s="3458">
        <v>1</v>
      </c>
      <c r="I138" s="3458">
        <v>9</v>
      </c>
      <c r="J138" s="3271"/>
    </row>
    <row r="139" spans="1:10">
      <c r="A139" s="2433" t="s">
        <v>7799</v>
      </c>
      <c r="B139" s="3458">
        <v>1</v>
      </c>
      <c r="C139" s="3458">
        <v>11</v>
      </c>
      <c r="D139" s="3271"/>
      <c r="G139" s="2433" t="s">
        <v>8186</v>
      </c>
      <c r="H139" s="3458">
        <v>1</v>
      </c>
      <c r="I139" s="3458">
        <v>9</v>
      </c>
      <c r="J139" s="3271"/>
    </row>
    <row r="140" spans="1:10">
      <c r="A140" s="2456" t="s">
        <v>7800</v>
      </c>
      <c r="B140" s="3485">
        <v>1</v>
      </c>
      <c r="C140" s="3485">
        <v>14</v>
      </c>
      <c r="D140" s="3446"/>
      <c r="G140" s="2433" t="s">
        <v>8187</v>
      </c>
      <c r="H140" s="3458">
        <v>1</v>
      </c>
      <c r="I140" s="3458">
        <v>11</v>
      </c>
      <c r="J140" s="3271"/>
    </row>
    <row r="141" spans="1:10">
      <c r="G141" s="2433" t="s">
        <v>8188</v>
      </c>
      <c r="H141" s="3458">
        <v>1</v>
      </c>
      <c r="I141" s="3458">
        <v>10</v>
      </c>
      <c r="J141" s="3271"/>
    </row>
    <row r="142" spans="1:10">
      <c r="G142" s="2433" t="s">
        <v>8189</v>
      </c>
      <c r="H142" s="3458">
        <v>1</v>
      </c>
      <c r="I142" s="3458">
        <v>11</v>
      </c>
      <c r="J142" s="3271"/>
    </row>
    <row r="143" spans="1:10">
      <c r="G143" s="2433" t="s">
        <v>8190</v>
      </c>
      <c r="H143" s="3458">
        <v>1</v>
      </c>
      <c r="I143" s="3458">
        <v>10</v>
      </c>
      <c r="J143" s="3271"/>
    </row>
    <row r="144" spans="1:10">
      <c r="G144" s="2433" t="s">
        <v>8191</v>
      </c>
      <c r="H144" s="3458">
        <v>1</v>
      </c>
      <c r="I144" s="3458">
        <v>10</v>
      </c>
      <c r="J144" s="3271"/>
    </row>
    <row r="145" spans="1:11">
      <c r="G145" s="2433" t="s">
        <v>8192</v>
      </c>
      <c r="H145" s="3458">
        <v>1</v>
      </c>
      <c r="I145" s="3458">
        <v>13</v>
      </c>
      <c r="J145" s="3271"/>
    </row>
    <row r="146" spans="1:11" ht="15">
      <c r="F146" s="2320"/>
      <c r="G146" s="2433" t="s">
        <v>8193</v>
      </c>
      <c r="H146" s="3458">
        <v>1</v>
      </c>
      <c r="I146" s="3458">
        <v>15</v>
      </c>
      <c r="J146" s="3572"/>
      <c r="K146" s="3571"/>
    </row>
    <row r="147" spans="1:11" ht="15">
      <c r="F147" s="2320"/>
      <c r="G147" s="2456" t="s">
        <v>8194</v>
      </c>
      <c r="H147" s="3485">
        <v>1</v>
      </c>
      <c r="I147" s="3485">
        <v>16</v>
      </c>
      <c r="J147" s="3573"/>
      <c r="K147" s="3571"/>
    </row>
    <row r="148" spans="1:11">
      <c r="J148" s="3570"/>
      <c r="K148" s="1395"/>
    </row>
    <row r="149" spans="1:11">
      <c r="G149" s="1396"/>
      <c r="H149" s="1395"/>
      <c r="I149" s="1395"/>
      <c r="J149" s="1395"/>
      <c r="K149" s="1395"/>
    </row>
    <row r="150" spans="1:11">
      <c r="A150" s="1396"/>
      <c r="B150" s="1395"/>
      <c r="C150" s="1395"/>
      <c r="D150" s="1395"/>
      <c r="E150" s="1395"/>
      <c r="F150" s="1395"/>
      <c r="G150" s="1396"/>
      <c r="H150" s="1395"/>
      <c r="I150" s="1395"/>
      <c r="J150" s="1395"/>
    </row>
  </sheetData>
  <mergeCells count="1">
    <mergeCell ref="A1:L1"/>
  </mergeCells>
  <hyperlinks>
    <hyperlink ref="A1:L1" location="'VRIJE TIJD'!A1" display="VT-SPORT" xr:uid="{00000000-0004-0000-1F00-000000000000}"/>
  </hyperlinks>
  <pageMargins left="0.7" right="0.7" top="0.75" bottom="0.75" header="0.3" footer="0.3"/>
  <pageSetup paperSize="9" orientation="landscape" r:id="rId1"/>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5" tint="0.39997558519241921"/>
  </sheetPr>
  <dimension ref="A1:M8"/>
  <sheetViews>
    <sheetView workbookViewId="0">
      <selection activeCell="P28" sqref="P28"/>
    </sheetView>
  </sheetViews>
  <sheetFormatPr defaultRowHeight="15"/>
  <cols>
    <col min="1" max="1" width="15.28515625" customWidth="1"/>
  </cols>
  <sheetData>
    <row r="1" spans="1:13" ht="18.75">
      <c r="A1" s="4771" t="s">
        <v>5764</v>
      </c>
      <c r="B1" s="4772"/>
      <c r="C1" s="4772"/>
      <c r="D1" s="4772"/>
      <c r="E1" s="4772"/>
      <c r="F1" s="4772"/>
      <c r="G1" s="4772"/>
      <c r="H1" s="4772"/>
      <c r="I1" s="4772"/>
      <c r="J1" s="4772"/>
      <c r="K1" s="4772"/>
      <c r="L1" s="4772"/>
      <c r="M1" s="4772"/>
    </row>
    <row r="3" spans="1:13" ht="15.75" thickBot="1"/>
    <row r="4" spans="1:13" ht="15.75" thickBot="1">
      <c r="A4" s="1359"/>
      <c r="B4" s="4408">
        <v>2011</v>
      </c>
      <c r="C4" s="4408">
        <v>2012</v>
      </c>
      <c r="D4" s="4408">
        <v>2013</v>
      </c>
      <c r="E4" s="4408">
        <v>2014</v>
      </c>
      <c r="F4" s="4408">
        <v>2015</v>
      </c>
      <c r="G4" s="4408">
        <v>2016</v>
      </c>
      <c r="H4" s="4408">
        <v>2017</v>
      </c>
      <c r="I4" s="4408">
        <v>2018</v>
      </c>
      <c r="J4" s="4408">
        <v>2019</v>
      </c>
      <c r="K4" s="4408">
        <v>2020</v>
      </c>
      <c r="L4" s="4438">
        <v>2021</v>
      </c>
      <c r="M4" s="4411">
        <v>2022</v>
      </c>
    </row>
    <row r="5" spans="1:13">
      <c r="A5" s="1360" t="s">
        <v>5761</v>
      </c>
      <c r="B5" s="1468">
        <v>18974</v>
      </c>
      <c r="C5" s="1468">
        <v>18676</v>
      </c>
      <c r="D5" s="1468">
        <v>19878</v>
      </c>
      <c r="E5" s="1468">
        <v>19687</v>
      </c>
      <c r="F5" s="1468">
        <v>18839</v>
      </c>
      <c r="G5" s="1468">
        <v>21565</v>
      </c>
      <c r="H5" s="1468">
        <v>16453</v>
      </c>
      <c r="I5" s="1468">
        <v>17361</v>
      </c>
      <c r="J5" s="1468">
        <v>18513</v>
      </c>
      <c r="K5" s="4433">
        <v>10610</v>
      </c>
      <c r="L5" s="4436">
        <v>12340</v>
      </c>
      <c r="M5" s="3975">
        <v>15838</v>
      </c>
    </row>
    <row r="6" spans="1:13">
      <c r="A6" s="1360" t="s">
        <v>5762</v>
      </c>
      <c r="B6" s="1468">
        <v>38643</v>
      </c>
      <c r="C6" s="1468">
        <v>40771</v>
      </c>
      <c r="D6" s="1468">
        <v>41594</v>
      </c>
      <c r="E6" s="1468">
        <v>38194</v>
      </c>
      <c r="F6" s="1468">
        <v>39565</v>
      </c>
      <c r="G6" s="1468">
        <v>41162</v>
      </c>
      <c r="H6" s="1468">
        <v>27261</v>
      </c>
      <c r="I6" s="1468">
        <v>27421</v>
      </c>
      <c r="J6" s="1468">
        <v>26252</v>
      </c>
      <c r="K6" s="4433">
        <v>14200</v>
      </c>
      <c r="L6" s="4436">
        <v>21567</v>
      </c>
      <c r="M6" s="3975">
        <v>23652</v>
      </c>
    </row>
    <row r="7" spans="1:13" ht="15.75" thickBot="1">
      <c r="A7" s="1360" t="s">
        <v>5763</v>
      </c>
      <c r="B7" s="1468">
        <v>13440</v>
      </c>
      <c r="C7" s="1468">
        <v>13500</v>
      </c>
      <c r="D7" s="1468">
        <v>13720</v>
      </c>
      <c r="E7" s="1468">
        <v>13814</v>
      </c>
      <c r="F7" s="1468">
        <v>13752</v>
      </c>
      <c r="G7" s="1468">
        <v>14223</v>
      </c>
      <c r="H7" s="1468">
        <v>14349</v>
      </c>
      <c r="I7" s="1468">
        <v>14530</v>
      </c>
      <c r="J7" s="1468">
        <v>13800</v>
      </c>
      <c r="K7" s="4433">
        <v>4335</v>
      </c>
      <c r="L7" s="4436">
        <v>10413</v>
      </c>
      <c r="M7" s="3975">
        <v>11100</v>
      </c>
    </row>
    <row r="8" spans="1:13" ht="15.75" thickBot="1">
      <c r="A8" s="1361" t="s">
        <v>8</v>
      </c>
      <c r="B8" s="4434">
        <f>SUM(B5:B7)</f>
        <v>71057</v>
      </c>
      <c r="C8" s="4434">
        <f>SUM(C5:C7)</f>
        <v>72947</v>
      </c>
      <c r="D8" s="4434">
        <v>75192</v>
      </c>
      <c r="E8" s="4434">
        <f t="shared" ref="E8:J8" si="0">SUM(E5:E7)</f>
        <v>71695</v>
      </c>
      <c r="F8" s="4434">
        <f t="shared" si="0"/>
        <v>72156</v>
      </c>
      <c r="G8" s="4434">
        <f t="shared" si="0"/>
        <v>76950</v>
      </c>
      <c r="H8" s="4434">
        <f t="shared" si="0"/>
        <v>58063</v>
      </c>
      <c r="I8" s="4434">
        <f t="shared" si="0"/>
        <v>59312</v>
      </c>
      <c r="J8" s="4434">
        <f t="shared" si="0"/>
        <v>58565</v>
      </c>
      <c r="K8" s="4434">
        <f>SUM(K5:K7)</f>
        <v>29145</v>
      </c>
      <c r="L8" s="4437">
        <f>SUM(L4:L7)</f>
        <v>46341</v>
      </c>
      <c r="M8" s="4435">
        <v>52612</v>
      </c>
    </row>
  </sheetData>
  <mergeCells count="1">
    <mergeCell ref="A1:M1"/>
  </mergeCells>
  <hyperlinks>
    <hyperlink ref="A1:M1" location="'VRIJE TIJD'!A1" display="AANTAL ZWEMMERS IN STEDELIJK ZWEMBAD" xr:uid="{00000000-0004-0000-2000-000000000000}"/>
  </hyperlink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5DC384"/>
  </sheetPr>
  <dimension ref="A1:G167"/>
  <sheetViews>
    <sheetView zoomScaleNormal="100" workbookViewId="0"/>
  </sheetViews>
  <sheetFormatPr defaultColWidth="9.140625" defaultRowHeight="12.75"/>
  <cols>
    <col min="1" max="1" width="37.28515625" style="2" customWidth="1"/>
    <col min="2" max="2" width="87.7109375" style="1" customWidth="1"/>
    <col min="3" max="6" width="9.140625" style="1"/>
    <col min="7" max="7" width="34.7109375" style="1" customWidth="1"/>
    <col min="8" max="16384" width="9.140625" style="1"/>
  </cols>
  <sheetData>
    <row r="1" spans="1:2" ht="27.75" customHeight="1">
      <c r="A1" s="3159"/>
      <c r="B1" s="3160" t="s">
        <v>7149</v>
      </c>
    </row>
    <row r="2" spans="1:2">
      <c r="A2" s="3161"/>
      <c r="B2" s="3162"/>
    </row>
    <row r="3" spans="1:2" s="4" customFormat="1" ht="21.75" customHeight="1">
      <c r="A3" s="4744" t="s">
        <v>66</v>
      </c>
      <c r="B3" s="4745"/>
    </row>
    <row r="4" spans="1:2" ht="15">
      <c r="A4" s="3163" t="s">
        <v>71</v>
      </c>
      <c r="B4" s="3164" t="s">
        <v>5523</v>
      </c>
    </row>
    <row r="5" spans="1:2" ht="15">
      <c r="A5" s="3163" t="s">
        <v>72</v>
      </c>
      <c r="B5" s="3164" t="s">
        <v>5560</v>
      </c>
    </row>
    <row r="6" spans="1:2" ht="15">
      <c r="A6" s="3163" t="s">
        <v>5614</v>
      </c>
      <c r="B6" s="3164" t="s">
        <v>5613</v>
      </c>
    </row>
    <row r="7" spans="1:2" ht="15">
      <c r="A7" s="3163" t="s">
        <v>73</v>
      </c>
      <c r="B7" s="3164" t="s">
        <v>5561</v>
      </c>
    </row>
    <row r="8" spans="1:2" ht="15">
      <c r="A8" s="3163" t="s">
        <v>74</v>
      </c>
      <c r="B8" s="3164" t="s">
        <v>5562</v>
      </c>
    </row>
    <row r="9" spans="1:2" ht="15">
      <c r="A9" s="3163" t="s">
        <v>7043</v>
      </c>
      <c r="B9" s="3164" t="s">
        <v>9</v>
      </c>
    </row>
    <row r="10" spans="1:2">
      <c r="A10" s="3165"/>
      <c r="B10" s="3166"/>
    </row>
    <row r="11" spans="1:2" ht="22.5" customHeight="1">
      <c r="A11" s="4742" t="s">
        <v>67</v>
      </c>
      <c r="B11" s="4743"/>
    </row>
    <row r="12" spans="1:2" ht="15">
      <c r="A12" s="3167" t="s">
        <v>101</v>
      </c>
      <c r="B12" s="3164" t="s">
        <v>25</v>
      </c>
    </row>
    <row r="13" spans="1:2">
      <c r="A13" s="3168"/>
      <c r="B13" s="3164" t="s">
        <v>6365</v>
      </c>
    </row>
    <row r="14" spans="1:2">
      <c r="A14" s="3168"/>
      <c r="B14" s="3164" t="s">
        <v>26</v>
      </c>
    </row>
    <row r="15" spans="1:2">
      <c r="A15" s="3168"/>
      <c r="B15" s="3164" t="s">
        <v>27</v>
      </c>
    </row>
    <row r="16" spans="1:2">
      <c r="A16" s="3168"/>
      <c r="B16" s="3164" t="s">
        <v>28</v>
      </c>
    </row>
    <row r="17" spans="1:7">
      <c r="A17" s="3168"/>
      <c r="B17" s="3164" t="s">
        <v>29</v>
      </c>
      <c r="G17" s="3"/>
    </row>
    <row r="18" spans="1:7">
      <c r="A18" s="3168"/>
      <c r="B18" s="3164" t="s">
        <v>30</v>
      </c>
      <c r="G18" s="1472"/>
    </row>
    <row r="19" spans="1:7">
      <c r="A19" s="3168"/>
      <c r="B19" s="3164" t="s">
        <v>6739</v>
      </c>
      <c r="G19" s="3"/>
    </row>
    <row r="20" spans="1:7">
      <c r="A20" s="3169"/>
      <c r="B20" s="3170"/>
      <c r="G20" s="3"/>
    </row>
    <row r="21" spans="1:7" ht="15">
      <c r="A21" s="3171" t="s">
        <v>77</v>
      </c>
      <c r="B21" s="3164" t="s">
        <v>14</v>
      </c>
      <c r="G21" s="3"/>
    </row>
    <row r="22" spans="1:7">
      <c r="A22" s="3168"/>
      <c r="B22" s="3164" t="s">
        <v>22</v>
      </c>
      <c r="G22" s="3"/>
    </row>
    <row r="23" spans="1:7">
      <c r="A23" s="3168"/>
      <c r="B23" s="3164" t="s">
        <v>15</v>
      </c>
      <c r="G23" s="3"/>
    </row>
    <row r="24" spans="1:7">
      <c r="A24" s="3168"/>
      <c r="B24" s="3162"/>
      <c r="G24" s="3"/>
    </row>
    <row r="25" spans="1:7" ht="15">
      <c r="A25" s="3171" t="s">
        <v>100</v>
      </c>
      <c r="B25" s="3164" t="s">
        <v>13</v>
      </c>
      <c r="G25" s="3"/>
    </row>
    <row r="26" spans="1:7">
      <c r="A26" s="3168"/>
      <c r="B26" s="3164" t="s">
        <v>21</v>
      </c>
      <c r="G26" s="3"/>
    </row>
    <row r="27" spans="1:7">
      <c r="A27" s="3168"/>
      <c r="B27" s="3164" t="s">
        <v>23</v>
      </c>
      <c r="G27" s="3"/>
    </row>
    <row r="28" spans="1:7">
      <c r="A28" s="3169"/>
      <c r="B28" s="3170"/>
      <c r="G28" s="3"/>
    </row>
    <row r="29" spans="1:7" ht="15">
      <c r="A29" s="3171" t="s">
        <v>75</v>
      </c>
      <c r="B29" s="3172" t="s">
        <v>16</v>
      </c>
      <c r="G29" s="3"/>
    </row>
    <row r="30" spans="1:7">
      <c r="A30" s="3168"/>
      <c r="B30" s="3172" t="s">
        <v>17</v>
      </c>
      <c r="G30" s="3"/>
    </row>
    <row r="31" spans="1:7">
      <c r="A31" s="3168"/>
      <c r="B31" s="3172" t="s">
        <v>64</v>
      </c>
      <c r="G31" s="3"/>
    </row>
    <row r="32" spans="1:7">
      <c r="A32" s="3168"/>
      <c r="B32" s="3172" t="s">
        <v>2</v>
      </c>
      <c r="G32" s="3"/>
    </row>
    <row r="33" spans="1:7">
      <c r="A33" s="3169"/>
      <c r="B33" s="3172" t="s">
        <v>65</v>
      </c>
      <c r="G33" s="3"/>
    </row>
    <row r="34" spans="1:7">
      <c r="A34" s="3169"/>
      <c r="B34" s="3173"/>
      <c r="G34" s="3"/>
    </row>
    <row r="35" spans="1:7" ht="15">
      <c r="A35" s="3171" t="s">
        <v>76</v>
      </c>
      <c r="B35" s="3172" t="s">
        <v>63</v>
      </c>
    </row>
    <row r="36" spans="1:7">
      <c r="A36" s="3168"/>
      <c r="B36" s="3172" t="s">
        <v>11</v>
      </c>
    </row>
    <row r="37" spans="1:7">
      <c r="A37" s="3168"/>
      <c r="B37" s="3172" t="s">
        <v>62</v>
      </c>
    </row>
    <row r="38" spans="1:7">
      <c r="A38" s="3168"/>
      <c r="B38" s="3172" t="s">
        <v>12</v>
      </c>
    </row>
    <row r="39" spans="1:7">
      <c r="A39" s="3168"/>
      <c r="B39" s="3164" t="s">
        <v>10</v>
      </c>
    </row>
    <row r="40" spans="1:7">
      <c r="A40" s="3168"/>
      <c r="B40" s="3162"/>
    </row>
    <row r="41" spans="1:7" s="4" customFormat="1" ht="22.5" customHeight="1">
      <c r="A41" s="4742" t="s">
        <v>68</v>
      </c>
      <c r="B41" s="4743"/>
    </row>
    <row r="42" spans="1:7">
      <c r="A42" s="3174" t="s">
        <v>83</v>
      </c>
      <c r="B42" s="3164" t="s">
        <v>31</v>
      </c>
    </row>
    <row r="43" spans="1:7">
      <c r="A43" s="3174"/>
      <c r="B43" s="3162"/>
    </row>
    <row r="44" spans="1:7" ht="14.25" customHeight="1">
      <c r="A44" s="3174" t="s">
        <v>88</v>
      </c>
      <c r="B44" s="3164" t="s">
        <v>18</v>
      </c>
    </row>
    <row r="45" spans="1:7" ht="12.75" customHeight="1">
      <c r="A45" s="3174"/>
      <c r="B45" s="3164" t="s">
        <v>24</v>
      </c>
    </row>
    <row r="46" spans="1:7">
      <c r="A46" s="3174"/>
      <c r="B46" s="3162"/>
    </row>
    <row r="47" spans="1:7">
      <c r="A47" s="3174" t="s">
        <v>81</v>
      </c>
      <c r="B47" s="3164" t="s">
        <v>3</v>
      </c>
    </row>
    <row r="48" spans="1:7">
      <c r="A48" s="3174"/>
      <c r="B48" s="3164" t="s">
        <v>5</v>
      </c>
    </row>
    <row r="49" spans="1:2">
      <c r="A49" s="3174"/>
      <c r="B49" s="3164" t="s">
        <v>6</v>
      </c>
    </row>
    <row r="50" spans="1:2">
      <c r="A50" s="3174"/>
      <c r="B50" s="3162"/>
    </row>
    <row r="51" spans="1:2">
      <c r="A51" s="3174" t="s">
        <v>79</v>
      </c>
      <c r="B51" s="3164" t="s">
        <v>7</v>
      </c>
    </row>
    <row r="52" spans="1:2">
      <c r="A52" s="3174"/>
      <c r="B52" s="3164" t="s">
        <v>4</v>
      </c>
    </row>
    <row r="53" spans="1:2">
      <c r="A53" s="3174"/>
      <c r="B53" s="3164" t="s">
        <v>7235</v>
      </c>
    </row>
    <row r="54" spans="1:2">
      <c r="A54" s="3174"/>
      <c r="B54" s="3164" t="s">
        <v>7236</v>
      </c>
    </row>
    <row r="55" spans="1:2">
      <c r="A55" s="3174"/>
      <c r="B55" s="3162"/>
    </row>
    <row r="56" spans="1:2">
      <c r="A56" s="3174" t="s">
        <v>80</v>
      </c>
      <c r="B56" s="3164" t="s">
        <v>6360</v>
      </c>
    </row>
    <row r="57" spans="1:2">
      <c r="A57" s="3174"/>
      <c r="B57" s="3164" t="s">
        <v>20</v>
      </c>
    </row>
    <row r="58" spans="1:2">
      <c r="A58" s="3174"/>
      <c r="B58" s="3162"/>
    </row>
    <row r="59" spans="1:2">
      <c r="A59" s="3174" t="s">
        <v>82</v>
      </c>
      <c r="B59" s="3164" t="s">
        <v>19</v>
      </c>
    </row>
    <row r="60" spans="1:2">
      <c r="A60" s="3165"/>
      <c r="B60" s="3162"/>
    </row>
    <row r="61" spans="1:2" ht="21.75" customHeight="1">
      <c r="A61" s="4742" t="s">
        <v>70</v>
      </c>
      <c r="B61" s="4743"/>
    </row>
    <row r="62" spans="1:2">
      <c r="A62" s="3175"/>
      <c r="B62" s="3176"/>
    </row>
    <row r="63" spans="1:2">
      <c r="A63" s="3174" t="s">
        <v>84</v>
      </c>
      <c r="B63" s="3164" t="s">
        <v>209</v>
      </c>
    </row>
    <row r="64" spans="1:2">
      <c r="A64" s="3174"/>
      <c r="B64" s="3164" t="s">
        <v>53</v>
      </c>
    </row>
    <row r="65" spans="1:2">
      <c r="A65" s="3174"/>
      <c r="B65" s="3162"/>
    </row>
    <row r="66" spans="1:2">
      <c r="A66" s="3174" t="s">
        <v>110</v>
      </c>
      <c r="B66" s="3164" t="s">
        <v>41</v>
      </c>
    </row>
    <row r="67" spans="1:2">
      <c r="A67" s="3174"/>
      <c r="B67" s="3164" t="s">
        <v>111</v>
      </c>
    </row>
    <row r="68" spans="1:2">
      <c r="A68" s="3174"/>
      <c r="B68" s="3162"/>
    </row>
    <row r="69" spans="1:2">
      <c r="A69" s="3177" t="s">
        <v>69</v>
      </c>
      <c r="B69" s="3178" t="s">
        <v>2464</v>
      </c>
    </row>
    <row r="70" spans="1:2">
      <c r="A70" s="3177"/>
      <c r="B70" s="3178" t="s">
        <v>1000</v>
      </c>
    </row>
    <row r="71" spans="1:2">
      <c r="A71" s="3177"/>
      <c r="B71" s="3178" t="s">
        <v>2465</v>
      </c>
    </row>
    <row r="72" spans="1:2">
      <c r="A72" s="3177"/>
      <c r="B72" s="3178" t="s">
        <v>2526</v>
      </c>
    </row>
    <row r="73" spans="1:2">
      <c r="A73" s="3177"/>
      <c r="B73" s="3178" t="s">
        <v>2527</v>
      </c>
    </row>
    <row r="74" spans="1:2">
      <c r="A74" s="3177"/>
      <c r="B74" s="3178" t="s">
        <v>2528</v>
      </c>
    </row>
    <row r="75" spans="1:2">
      <c r="A75" s="3177"/>
      <c r="B75" s="3178" t="s">
        <v>7065</v>
      </c>
    </row>
    <row r="76" spans="1:2">
      <c r="A76" s="3177"/>
      <c r="B76" s="3178" t="s">
        <v>2529</v>
      </c>
    </row>
    <row r="77" spans="1:2">
      <c r="A77" s="3177"/>
      <c r="B77" s="3178" t="s">
        <v>2530</v>
      </c>
    </row>
    <row r="78" spans="1:2">
      <c r="A78" s="3177"/>
      <c r="B78" s="3178" t="s">
        <v>2531</v>
      </c>
    </row>
    <row r="79" spans="1:2">
      <c r="A79" s="3174"/>
      <c r="B79" s="3178" t="s">
        <v>55</v>
      </c>
    </row>
    <row r="80" spans="1:2">
      <c r="A80" s="3174"/>
      <c r="B80" s="3178" t="s">
        <v>57</v>
      </c>
    </row>
    <row r="81" spans="1:2">
      <c r="A81" s="3174"/>
      <c r="B81" s="3164" t="s">
        <v>43</v>
      </c>
    </row>
    <row r="82" spans="1:2">
      <c r="A82" s="3174"/>
      <c r="B82" s="3164" t="s">
        <v>45</v>
      </c>
    </row>
    <row r="83" spans="1:2">
      <c r="A83" s="3174"/>
      <c r="B83" s="3164" t="s">
        <v>49</v>
      </c>
    </row>
    <row r="84" spans="1:2">
      <c r="A84" s="3174"/>
      <c r="B84" s="3178" t="s">
        <v>59</v>
      </c>
    </row>
    <row r="85" spans="1:2">
      <c r="A85" s="3174"/>
      <c r="B85" s="3164" t="s">
        <v>54</v>
      </c>
    </row>
    <row r="86" spans="1:2">
      <c r="A86" s="3174"/>
      <c r="B86" s="3178" t="s">
        <v>56</v>
      </c>
    </row>
    <row r="87" spans="1:2">
      <c r="A87" s="3174"/>
      <c r="B87" s="3162"/>
    </row>
    <row r="88" spans="1:2">
      <c r="A88" s="3174" t="s">
        <v>90</v>
      </c>
      <c r="B88" s="3162"/>
    </row>
    <row r="89" spans="1:2">
      <c r="A89" s="3174"/>
      <c r="B89" s="3162"/>
    </row>
    <row r="90" spans="1:2">
      <c r="A90" s="3174" t="s">
        <v>86</v>
      </c>
      <c r="B90" s="3164" t="s">
        <v>44</v>
      </c>
    </row>
    <row r="91" spans="1:2">
      <c r="A91" s="3174"/>
      <c r="B91" s="3164" t="s">
        <v>7122</v>
      </c>
    </row>
    <row r="92" spans="1:2">
      <c r="A92" s="3174"/>
      <c r="B92" s="3164" t="s">
        <v>42</v>
      </c>
    </row>
    <row r="93" spans="1:2">
      <c r="A93" s="3174"/>
      <c r="B93" s="3164" t="s">
        <v>48</v>
      </c>
    </row>
    <row r="94" spans="1:2">
      <c r="A94" s="3174"/>
      <c r="B94" s="3162"/>
    </row>
    <row r="95" spans="1:2">
      <c r="A95" s="3174" t="s">
        <v>112</v>
      </c>
      <c r="B95" s="3162"/>
    </row>
    <row r="96" spans="1:2">
      <c r="A96" s="3174"/>
      <c r="B96" s="3162"/>
    </row>
    <row r="97" spans="1:2">
      <c r="A97" s="3174" t="s">
        <v>93</v>
      </c>
      <c r="B97" s="3162"/>
    </row>
    <row r="98" spans="1:2">
      <c r="A98" s="3174"/>
      <c r="B98" s="3162"/>
    </row>
    <row r="99" spans="1:2">
      <c r="A99" s="3174" t="s">
        <v>91</v>
      </c>
      <c r="B99" s="3162"/>
    </row>
    <row r="100" spans="1:2">
      <c r="A100" s="3174"/>
      <c r="B100" s="3162"/>
    </row>
    <row r="101" spans="1:2">
      <c r="A101" s="3174" t="s">
        <v>92</v>
      </c>
      <c r="B101" s="3162"/>
    </row>
    <row r="102" spans="1:2">
      <c r="A102" s="3174"/>
      <c r="B102" s="3162"/>
    </row>
    <row r="103" spans="1:2">
      <c r="A103" s="3174" t="s">
        <v>94</v>
      </c>
      <c r="B103" s="3162"/>
    </row>
    <row r="104" spans="1:2">
      <c r="A104" s="3179"/>
      <c r="B104" s="3162"/>
    </row>
    <row r="105" spans="1:2">
      <c r="A105" s="3174" t="s">
        <v>87</v>
      </c>
      <c r="B105" s="3164" t="s">
        <v>50</v>
      </c>
    </row>
    <row r="106" spans="1:2">
      <c r="A106" s="3174"/>
      <c r="B106" s="3164" t="s">
        <v>32</v>
      </c>
    </row>
    <row r="107" spans="1:2">
      <c r="A107" s="3174"/>
      <c r="B107" s="3164" t="s">
        <v>39</v>
      </c>
    </row>
    <row r="108" spans="1:2">
      <c r="A108" s="3174"/>
      <c r="B108" s="3164" t="s">
        <v>102</v>
      </c>
    </row>
    <row r="109" spans="1:2">
      <c r="A109" s="3174"/>
      <c r="B109" s="3180" t="s">
        <v>33</v>
      </c>
    </row>
    <row r="110" spans="1:2">
      <c r="A110" s="3174"/>
      <c r="B110" s="3180" t="s">
        <v>34</v>
      </c>
    </row>
    <row r="111" spans="1:2">
      <c r="A111" s="3174"/>
      <c r="B111" s="3180" t="s">
        <v>35</v>
      </c>
    </row>
    <row r="112" spans="1:2">
      <c r="A112" s="3174"/>
      <c r="B112" s="3180" t="s">
        <v>36</v>
      </c>
    </row>
    <row r="113" spans="1:2">
      <c r="A113" s="3174"/>
      <c r="B113" s="3180" t="s">
        <v>113</v>
      </c>
    </row>
    <row r="114" spans="1:2">
      <c r="A114" s="3174"/>
      <c r="B114" s="3180" t="s">
        <v>37</v>
      </c>
    </row>
    <row r="115" spans="1:2">
      <c r="A115" s="3174"/>
      <c r="B115" s="3180" t="s">
        <v>38</v>
      </c>
    </row>
    <row r="116" spans="1:2">
      <c r="A116" s="3174"/>
      <c r="B116" s="3180" t="s">
        <v>114</v>
      </c>
    </row>
    <row r="117" spans="1:2">
      <c r="A117" s="3174"/>
      <c r="B117" s="3180" t="s">
        <v>39</v>
      </c>
    </row>
    <row r="118" spans="1:2">
      <c r="A118" s="3174"/>
      <c r="B118" s="3180" t="s">
        <v>40</v>
      </c>
    </row>
    <row r="119" spans="1:2">
      <c r="A119" s="3174"/>
      <c r="B119" s="3180" t="s">
        <v>51</v>
      </c>
    </row>
    <row r="120" spans="1:2">
      <c r="A120" s="3174"/>
      <c r="B120" s="3180" t="s">
        <v>52</v>
      </c>
    </row>
    <row r="121" spans="1:2">
      <c r="A121" s="3174"/>
      <c r="B121" s="3181"/>
    </row>
    <row r="122" spans="1:2">
      <c r="A122" s="3174" t="s">
        <v>89</v>
      </c>
      <c r="B122" s="3164" t="s">
        <v>7123</v>
      </c>
    </row>
    <row r="123" spans="1:2">
      <c r="A123" s="3174"/>
      <c r="B123" s="3164" t="s">
        <v>60</v>
      </c>
    </row>
    <row r="124" spans="1:2">
      <c r="A124" s="3174"/>
      <c r="B124" s="3164" t="s">
        <v>61</v>
      </c>
    </row>
    <row r="125" spans="1:2">
      <c r="A125" s="3174"/>
      <c r="B125" s="3162"/>
    </row>
    <row r="126" spans="1:2" ht="25.5">
      <c r="A126" s="3182" t="s">
        <v>7049</v>
      </c>
      <c r="B126" s="3162"/>
    </row>
    <row r="127" spans="1:2">
      <c r="A127" s="3182"/>
      <c r="B127" s="3162"/>
    </row>
    <row r="128" spans="1:2">
      <c r="A128" s="3174"/>
      <c r="B128" s="3162"/>
    </row>
    <row r="129" spans="1:2">
      <c r="A129" s="3177" t="s">
        <v>5484</v>
      </c>
      <c r="B129" s="3183" t="s">
        <v>7124</v>
      </c>
    </row>
    <row r="130" spans="1:2">
      <c r="A130" s="3177"/>
      <c r="B130" s="3183" t="s">
        <v>46</v>
      </c>
    </row>
    <row r="131" spans="1:2">
      <c r="A131" s="3177"/>
      <c r="B131" s="3183" t="s">
        <v>58</v>
      </c>
    </row>
    <row r="132" spans="1:2">
      <c r="A132" s="3177"/>
      <c r="B132" s="3162"/>
    </row>
    <row r="133" spans="1:2">
      <c r="A133" s="3177" t="s">
        <v>980</v>
      </c>
      <c r="B133" s="3162" t="s">
        <v>8317</v>
      </c>
    </row>
    <row r="134" spans="1:2">
      <c r="A134" s="3177"/>
      <c r="B134" s="3162" t="s">
        <v>8382</v>
      </c>
    </row>
    <row r="135" spans="1:2">
      <c r="A135" s="3177"/>
      <c r="B135" s="3162"/>
    </row>
    <row r="136" spans="1:2">
      <c r="A136" s="3177" t="s">
        <v>7046</v>
      </c>
      <c r="B136" s="3164" t="s">
        <v>7125</v>
      </c>
    </row>
    <row r="137" spans="1:2">
      <c r="A137" s="3177"/>
      <c r="B137" s="3164" t="s">
        <v>7126</v>
      </c>
    </row>
    <row r="138" spans="1:2">
      <c r="A138" s="3177"/>
      <c r="B138" s="3164"/>
    </row>
    <row r="139" spans="1:2">
      <c r="A139" s="3177" t="s">
        <v>7140</v>
      </c>
      <c r="B139" s="3164" t="s">
        <v>7134</v>
      </c>
    </row>
    <row r="140" spans="1:2">
      <c r="A140" s="3177"/>
      <c r="B140" s="3164" t="s">
        <v>7141</v>
      </c>
    </row>
    <row r="141" spans="1:2">
      <c r="A141" s="3177"/>
      <c r="B141" s="3164" t="s">
        <v>7143</v>
      </c>
    </row>
    <row r="142" spans="1:2">
      <c r="A142" s="3184"/>
      <c r="B142" s="3166"/>
    </row>
    <row r="143" spans="1:2" ht="21.75" customHeight="1">
      <c r="A143" s="4742" t="s">
        <v>78</v>
      </c>
      <c r="B143" s="4743"/>
    </row>
    <row r="144" spans="1:2">
      <c r="A144" s="3177" t="s">
        <v>5646</v>
      </c>
      <c r="B144" s="3183" t="s">
        <v>5726</v>
      </c>
    </row>
    <row r="145" spans="1:2">
      <c r="A145" s="3177"/>
      <c r="B145" s="3183" t="s">
        <v>5727</v>
      </c>
    </row>
    <row r="146" spans="1:2">
      <c r="A146" s="3177" t="s">
        <v>96</v>
      </c>
      <c r="B146" s="3183"/>
    </row>
    <row r="147" spans="1:2">
      <c r="A147" s="3177" t="s">
        <v>97</v>
      </c>
      <c r="B147" s="3183"/>
    </row>
    <row r="148" spans="1:2">
      <c r="A148" s="3177" t="s">
        <v>99</v>
      </c>
      <c r="B148" s="3183"/>
    </row>
    <row r="149" spans="1:2">
      <c r="A149" s="3177" t="s">
        <v>98</v>
      </c>
      <c r="B149" s="3162"/>
    </row>
    <row r="150" spans="1:2">
      <c r="A150" s="3177"/>
      <c r="B150" s="3162"/>
    </row>
    <row r="151" spans="1:2" ht="15.75">
      <c r="A151" s="4742" t="s">
        <v>3015</v>
      </c>
      <c r="B151" s="4743"/>
    </row>
    <row r="152" spans="1:2">
      <c r="A152" s="3177" t="s">
        <v>7761</v>
      </c>
      <c r="B152" s="3162"/>
    </row>
    <row r="153" spans="1:2">
      <c r="A153" s="3177" t="s">
        <v>7762</v>
      </c>
      <c r="B153" s="3162"/>
    </row>
    <row r="154" spans="1:2">
      <c r="A154" s="3177" t="s">
        <v>7763</v>
      </c>
      <c r="B154" s="3162"/>
    </row>
    <row r="155" spans="1:2">
      <c r="A155" s="3177" t="s">
        <v>7764</v>
      </c>
      <c r="B155" s="3162"/>
    </row>
    <row r="156" spans="1:2">
      <c r="A156" s="3177" t="s">
        <v>7765</v>
      </c>
      <c r="B156" s="3162"/>
    </row>
    <row r="157" spans="1:2">
      <c r="A157" s="3177"/>
      <c r="B157" s="3162"/>
    </row>
    <row r="158" spans="1:2" ht="32.25" customHeight="1">
      <c r="A158" s="4740"/>
      <c r="B158" s="4741"/>
    </row>
    <row r="166" spans="2:3">
      <c r="B166" s="3"/>
    </row>
    <row r="167" spans="2:3" ht="15.75">
      <c r="C167" s="4"/>
    </row>
  </sheetData>
  <mergeCells count="7">
    <mergeCell ref="A158:B158"/>
    <mergeCell ref="A61:B61"/>
    <mergeCell ref="A3:B3"/>
    <mergeCell ref="A143:B143"/>
    <mergeCell ref="A41:B41"/>
    <mergeCell ref="A11:B11"/>
    <mergeCell ref="A151:B151"/>
  </mergeCells>
  <hyperlinks>
    <hyperlink ref="A3:B3" location="WELZIJN!A1" display="WELZIJN" xr:uid="{00000000-0004-0000-0100-000000000000}"/>
    <hyperlink ref="A11:B11" location="BURGER!A1" display="BURGER" xr:uid="{00000000-0004-0000-0100-000001000000}"/>
    <hyperlink ref="A41:B41" location="'VRIJE TIJD'!A1" display="VRIJE TIJD" xr:uid="{00000000-0004-0000-0100-000002000000}"/>
    <hyperlink ref="A61:B61" location="FINANCIËN!A1" display="FINANCIËN" xr:uid="{00000000-0004-0000-0100-000003000000}"/>
    <hyperlink ref="A143:B143" location="PERSONEEL!A1" display="PERSONEEL" xr:uid="{00000000-0004-0000-0100-000004000000}"/>
    <hyperlink ref="B63" location="'F-Belast.'!A1" display="Belastingen en retributies" xr:uid="{00000000-0004-0000-0100-000005000000}"/>
    <hyperlink ref="B64" location="'F-Bel. regl.'!A1" display="Belastingreglementen" xr:uid="{00000000-0004-0000-0100-000006000000}"/>
    <hyperlink ref="B66" location="'F-Beleg. div.'!A1" display="Beleggingen" xr:uid="{00000000-0004-0000-0100-000007000000}"/>
    <hyperlink ref="B67" location="'F-Beleg. div.'!A1" display="Dividenden" xr:uid="{00000000-0004-0000-0100-000008000000}"/>
    <hyperlink ref="B69" location="'F-Afval'!A1" display="Cijfers: Afval" xr:uid="{00000000-0004-0000-0100-000009000000}"/>
    <hyperlink ref="B70" location="'F- BIB'!A1" display="Cijfers: BIB" xr:uid="{00000000-0004-0000-0100-00000A000000}"/>
    <hyperlink ref="B71" location="'F-BKO'!A1" display="Cijfers: BKO" xr:uid="{00000000-0004-0000-0100-00000B000000}"/>
    <hyperlink ref="B72" location="'F-Cult &amp; Arch'!A1" display="Cijfers: cultuur &amp; erfgoed" xr:uid="{00000000-0004-0000-0100-00000C000000}"/>
    <hyperlink ref="B73" location="'F-Dorpshuizen'!A1" display="Cijfers: Dorpshuizen" xr:uid="{00000000-0004-0000-0100-00000D000000}"/>
    <hyperlink ref="B74" location="'F-School'!A1" display="Cijfers: Gemeenteschool" xr:uid="{00000000-0004-0000-0100-00000E000000}"/>
    <hyperlink ref="B75" location="'F-Groendienst'!A1" display="Cijfers: Groendienst" xr:uid="{00000000-0004-0000-0100-00000F000000}"/>
    <hyperlink ref="B76" location="'F-SAMWD'!A1" display="Cijfers: SAMWD" xr:uid="{00000000-0004-0000-0100-000010000000}"/>
    <hyperlink ref="B77" location="'F-Sport'!A1" display="Cijfers: Sport" xr:uid="{00000000-0004-0000-0100-000011000000}"/>
    <hyperlink ref="B78" location="'F-Toerisme'!A1" display="Cijfers: Toerisme" xr:uid="{00000000-0004-0000-0100-000012000000}"/>
    <hyperlink ref="B79" location="'F-eco groepen'!A1" display="Economische groepen " xr:uid="{00000000-0004-0000-0100-000013000000}"/>
    <hyperlink ref="B80" location="'F-energie'!A1" display="Energiekosten" xr:uid="{00000000-0004-0000-0100-000014000000}"/>
    <hyperlink ref="B81" location="'F-fact ontv'!A1" display="Facturatie ontvangsten" xr:uid="{00000000-0004-0000-0100-000015000000}"/>
    <hyperlink ref="B82" location="'F- ontv vs uitg'!A1" display="Ontvangsten vs. Uitgaven" xr:uid="{00000000-0004-0000-0100-000016000000}"/>
    <hyperlink ref="B83" location="'F-matrix ontv'!A1" display="Interne controle Matrix ontvangsten" xr:uid="{00000000-0004-0000-0100-000017000000}"/>
    <hyperlink ref="B84" location="'F- fin. overb.'!A1" display="Financiering via overboekingen" xr:uid="{00000000-0004-0000-0100-000018000000}"/>
    <hyperlink ref="B85" location="'F-AFM'!A1" display="Saldo eigen dienstjaar/autofinancieringsmarge" xr:uid="{00000000-0004-0000-0100-000019000000}"/>
    <hyperlink ref="B86" location="'F-eigen aandeel inv'!A1" display="Investeringen - Eigen aandeel investeringen" xr:uid="{00000000-0004-0000-0100-00001A000000}"/>
    <hyperlink ref="A88" location="'F-Fisc.'!A1" display="FISCALITEIT" xr:uid="{00000000-0004-0000-0100-00001B000000}"/>
    <hyperlink ref="B90" location="'F-Gem fonds ber'!A1" display="Gemeentefonds - berekening" xr:uid="{00000000-0004-0000-0100-00001C000000}"/>
    <hyperlink ref="B92" location="'F-Fonds'!A1" display="Plattelandsfonds" xr:uid="{00000000-0004-0000-0100-00001D000000}"/>
    <hyperlink ref="B91" location="'F-Fonds'!A1" display="Gemeentefonds" xr:uid="{00000000-0004-0000-0100-00001E000000}"/>
    <hyperlink ref="B93" location="'F-Fonds'!A1" display="Reservefondsen" xr:uid="{00000000-0004-0000-0100-00001F000000}"/>
    <hyperlink ref="A90" location="'F-Fonds'!A1" display="FONDSEN" xr:uid="{00000000-0004-0000-0100-000020000000}"/>
    <hyperlink ref="A95" location="'F-GSV'!A1" display="GEMEENTELIJKE SANERINGSVERGOEDING" xr:uid="{00000000-0004-0000-0100-000021000000}"/>
    <hyperlink ref="A97" location="'F-KI'!A1" display="KADASTRAAL INKOMEN" xr:uid="{00000000-0004-0000-0100-000022000000}"/>
    <hyperlink ref="A99" location="'F-KF'!A1" display="KERKFABRIEKEN" xr:uid="{00000000-0004-0000-0100-000023000000}"/>
    <hyperlink ref="A101" location="'F-Kohier'!A1" display="KOHIEREN" xr:uid="{00000000-0004-0000-0100-000024000000}"/>
    <hyperlink ref="B141" location="'F-processen fin'!A1" display="PROCESSEN FIN" xr:uid="{00000000-0004-0000-0100-000025000000}"/>
    <hyperlink ref="A103" location="'F.retr bz'!A1" display="RETRIBUTIE BLAUWE ZONE" xr:uid="{00000000-0004-0000-0100-000026000000}"/>
    <hyperlink ref="B105" location="'F- inv subs'!A1" display="Investeringssubsidies" xr:uid="{00000000-0004-0000-0100-000027000000}"/>
    <hyperlink ref="B106" location="'F-Pers&amp;Werk sub'!A1" display="Personeels-en werkingssubsidies" xr:uid="{00000000-0004-0000-0100-000028000000}"/>
    <hyperlink ref="B109" location="'F-subsidies'!A1" display="Subsidies socio-culturele verengingen" xr:uid="{00000000-0004-0000-0100-000029000000}"/>
    <hyperlink ref="B108" location="'F-subsidies'!A1" display="Subsidies - onderdeel van vrije tijd:" xr:uid="{00000000-0004-0000-0100-00002A000000}"/>
    <hyperlink ref="B110" location="'F-subsidies'!A1" display="Gebouwensubsidies" xr:uid="{00000000-0004-0000-0100-00002B000000}"/>
    <hyperlink ref="B111" location="'F-subsidies'!A1" display="Impulssubsidies" xr:uid="{00000000-0004-0000-0100-00002C000000}"/>
    <hyperlink ref="B112" location="'F-subsidies'!A1" display="Basis- en beleidssubsidie" xr:uid="{00000000-0004-0000-0100-00002D000000}"/>
    <hyperlink ref="B113" location="'F-subsidies'!A1" display="Subsidies recreatie- en comptetitiesport" xr:uid="{00000000-0004-0000-0100-00002E000000}"/>
    <hyperlink ref="B114" location="'F-subsidies'!A1" display="Subsidies jeugd" xr:uid="{00000000-0004-0000-0100-00002F000000}"/>
    <hyperlink ref="B115" location="'F-subsidies'!A1" display="Kadervorming subsidie jeugd" xr:uid="{00000000-0004-0000-0100-000030000000}"/>
    <hyperlink ref="B116" location="'F-subsidies'!A1" display="Werkingssubsidie feestraden" xr:uid="{00000000-0004-0000-0100-000031000000}"/>
    <hyperlink ref="B117" location="'F-subsidies'!A1" display="Projectsubsidies" xr:uid="{00000000-0004-0000-0100-000032000000}"/>
    <hyperlink ref="B118" location="'F-subsidies'!A1" display="Projectsubsidies samenwerkingsverbanden" xr:uid="{00000000-0004-0000-0100-000033000000}"/>
    <hyperlink ref="B119" location="'F-subsidies'!A1" display="Subsidies projecten jeugd feestraden en socia-culturele verenigingen" xr:uid="{00000000-0004-0000-0100-000034000000}"/>
    <hyperlink ref="B120" location="'F-subsidies'!A1" display="Subsidies projectinvesteringen feestraden en socia-culturele verenigingen" xr:uid="{00000000-0004-0000-0100-000035000000}"/>
    <hyperlink ref="B122" location="'F-verz brand'!A1" display="Uitsplitsing patrimoniumpolis" xr:uid="{00000000-0004-0000-0100-000036000000}"/>
    <hyperlink ref="B123" location="'F- verz alle risico'!A1" display="Verzekeringen - diversen" xr:uid="{00000000-0004-0000-0100-000037000000}"/>
    <hyperlink ref="B124" location="'F-verz voertuigen'!A1" display="Verzekeringen - voertuigen" xr:uid="{00000000-0004-0000-0100-000038000000}"/>
    <hyperlink ref="A126" location="F.dotatie!A1" display="OCMW, POLITIEZONE SPOORKIN EN HVZ WESTHOEK = dotaties" xr:uid="{00000000-0004-0000-0100-000039000000}"/>
    <hyperlink ref="B129" location="'F-evolutie schuld stad &amp; agb'!A1" display="Schuld en evolutie schuld T4 AGB en stad" xr:uid="{00000000-0004-0000-0100-00003A000000}"/>
    <hyperlink ref="B130" location="'F-schuld stad oud'!A1" display="Financiële schulden OUD STAD " xr:uid="{00000000-0004-0000-0100-00003B000000}"/>
    <hyperlink ref="B131" location="'F-leningen'!A1" display="Inventaris leningen" xr:uid="{00000000-0004-0000-0100-00003C000000}"/>
    <hyperlink ref="B136" location="'F-Werkingskr'!A1" display="Werkingskredieten" xr:uid="{00000000-0004-0000-0100-00003D000000}"/>
    <hyperlink ref="B137" location="'F-Werkingskr evolutie'!A1" display="Werkingskredieten evolutie" xr:uid="{00000000-0004-0000-0100-00003E000000}"/>
    <hyperlink ref="A12" location="'B-Burgerzaken'!A1" display="BURGERZAKEN" xr:uid="{00000000-0004-0000-0100-00003F000000}"/>
    <hyperlink ref="B12" location="'B-Burgerzaken'!A1" display="Aflevering documenten" xr:uid="{00000000-0004-0000-0100-000040000000}"/>
    <hyperlink ref="B13" location="'B-Burgerzaken'!A1" display="Bevolkingsgegevens" xr:uid="{00000000-0004-0000-0100-000041000000}"/>
    <hyperlink ref="B14" location="'B-Burgerzaken'!A1" display="Registratie akten" xr:uid="{00000000-0004-0000-0100-000042000000}"/>
    <hyperlink ref="B15" location="'B-Burgerzaken'!A1" display="Begravingen in Veurne" xr:uid="{00000000-0004-0000-0100-000043000000}"/>
    <hyperlink ref="B16" location="'B-Burgerzaken'!A1" display="Wijzigingen in huwelijksvermogenstelsels" xr:uid="{00000000-0004-0000-0100-000044000000}"/>
    <hyperlink ref="B17" location="'B-Burgerzaken'!A1" display="Aantal vreemdelingen" xr:uid="{00000000-0004-0000-0100-000045000000}"/>
    <hyperlink ref="B18" location="'B-Burgerzaken'!A1" display="GAS-inbreuken" xr:uid="{00000000-0004-0000-0100-000046000000}"/>
    <hyperlink ref="B19" location="'B-Burgerzaken'!A1" display="e-loketformulier" xr:uid="{00000000-0004-0000-0100-000047000000}"/>
    <hyperlink ref="A21" location="'B-milieu'!A1" display="MILIEU EN AFVAL" xr:uid="{00000000-0004-0000-0100-000048000000}"/>
    <hyperlink ref="B21" location="'B-milieu'!A1" display="Aantal milieuvergunningen" xr:uid="{00000000-0004-0000-0100-000049000000}"/>
    <hyperlink ref="B22" location="'B-milieu'!A1" display="Aantal premieaanvragen" xr:uid="{00000000-0004-0000-0100-00004A000000}"/>
    <hyperlink ref="B23" location="'B-milieu'!A1" display="Selectieve afvalinzameling Veurne" xr:uid="{00000000-0004-0000-0100-00004B000000}"/>
    <hyperlink ref="A25" location="'B-Mobiliteit'!A1" display="MOBILITEIT" xr:uid="{00000000-0004-0000-0100-00004C000000}"/>
    <hyperlink ref="B25" location="'B-Mobiliteit'!A1" display="Tijdelijk parkeerverbod" xr:uid="{00000000-0004-0000-0100-00004D000000}"/>
    <hyperlink ref="B26" location="'B-Mobiliteit'!A1" display="Inname openbaar domein" xr:uid="{00000000-0004-0000-0100-00004E000000}"/>
    <hyperlink ref="B27" location="'B-Mobiliteit'!A1" display="wegen en onderhoud" xr:uid="{00000000-0004-0000-0100-00004F000000}"/>
    <hyperlink ref="A29" location="'B-onderwijs&amp;opvang'!A1" display="ONDERWIJS EN OPVANG" xr:uid="{00000000-0004-0000-0100-000050000000}"/>
    <hyperlink ref="B29" location="'B-onderwijs&amp;opvang'!A1" display="Onderwijscheques" xr:uid="{00000000-0004-0000-0100-000051000000}"/>
    <hyperlink ref="B30" location="'B-onderwijs&amp;opvang'!A1" display="Aantal onderwijscheques per school" xr:uid="{00000000-0004-0000-0100-000052000000}"/>
    <hyperlink ref="B31" location="'B-onderwijs&amp;opvang'!A1" display="schoolbevolking StAPwest" xr:uid="{00000000-0004-0000-0100-000053000000}"/>
    <hyperlink ref="B32" location="'B-onderwijs&amp;opvang'!A1" display="Opvang totaal aantal kinder per deelgemeente" xr:uid="{00000000-0004-0000-0100-000054000000}"/>
    <hyperlink ref="B33" location="'B-onderwijs&amp;opvang'!A1" display="Sociaal pedagogische toelage voor gezinnen met gehandicapte kinderen" xr:uid="{00000000-0004-0000-0100-000055000000}"/>
    <hyperlink ref="A35" location="'B-wonen'!A1" display="WONEN" xr:uid="{00000000-0004-0000-0100-000056000000}"/>
    <hyperlink ref="B35" location="'B-wonen'!A1" display="Inwoners per deelgemeente (algemeen beleid)" xr:uid="{00000000-0004-0000-0100-000057000000}"/>
    <hyperlink ref="B36" location="'B-wonen'!A1" display="Vergunningen Ruimtelijke ordening" xr:uid="{00000000-0004-0000-0100-000058000000}"/>
    <hyperlink ref="B37" location="'B-wonen'!A1" display="Aantal afgeleverde vergunningen RO" xr:uid="{00000000-0004-0000-0100-000059000000}"/>
    <hyperlink ref="B39" location="'B-wonen'!A1" display="Aantal onbebouwde percelen" xr:uid="{00000000-0004-0000-0100-00005A000000}"/>
    <hyperlink ref="B38" location="'B-wonen'!A1" display="Woningen ongeschikt/onbewoonbaar" xr:uid="{00000000-0004-0000-0100-00005B000000}"/>
    <hyperlink ref="B4" location="'W-WZC TL'!A1" display="Gepresteerde eenheden WZC Ter Linden" xr:uid="{00000000-0004-0000-0100-00005C000000}"/>
    <hyperlink ref="B9" location="'W-PP'!A1" display="Bezetting Oostduinkerke - Brussel" xr:uid="{00000000-0004-0000-0100-00005D000000}"/>
    <hyperlink ref="B8" location="'W-ZW'!A1" display="Gepresteerde eenheden Zonnewende" xr:uid="{00000000-0004-0000-0100-00005E000000}"/>
    <hyperlink ref="B7" location="'W-ZB'!A1" display="Gepresteerde eenheden Zonnebloem" xr:uid="{00000000-0004-0000-0100-00005F000000}"/>
    <hyperlink ref="B5" location="'W-GEZINSHULP'!A1" display="Gepresteerde eenheden Gezinshulp" xr:uid="{00000000-0004-0000-0100-000060000000}"/>
    <hyperlink ref="B6" location="'W-SD'!A1" display="Gepresteerde eenheden sociale dienst" xr:uid="{00000000-0004-0000-0100-000061000000}"/>
    <hyperlink ref="A4" location="'W-WZC TL'!A1" display="WZC TER LINDEN" xr:uid="{00000000-0004-0000-0100-000062000000}"/>
    <hyperlink ref="A5" location="'W-GEZINSHULP'!A1" display="GEZINSHULP" xr:uid="{00000000-0004-0000-0100-000063000000}"/>
    <hyperlink ref="A6" location="'W-SD'!A1" display="SOCIALE DIENST" xr:uid="{00000000-0004-0000-0100-000064000000}"/>
    <hyperlink ref="A7" location="'W-ZB'!A1" display="ZONNEBLOEM" xr:uid="{00000000-0004-0000-0100-000065000000}"/>
    <hyperlink ref="A8" location="'W-ZW'!A1" display="ZONNEWENDE" xr:uid="{00000000-0004-0000-0100-000066000000}"/>
    <hyperlink ref="A9" location="'W-PP'!A1" display="BRUSSEL-ODK" xr:uid="{00000000-0004-0000-0100-000067000000}"/>
    <hyperlink ref="B144" location="'P-pers alg OCMW'!A1" display="Gepresteerde eenheden: Personeelscijfers algemeen" xr:uid="{00000000-0004-0000-0100-000068000000}"/>
    <hyperlink ref="B145" location="'P-tewerkstelling'!A1" display="Gepresteerde eenheden: gemiddelde tewerkstelling" xr:uid="{00000000-0004-0000-0100-000069000000}"/>
    <hyperlink ref="A146" location="'P-hospitalisatie'!A1" display="HOSPITALISATIEVERZEKERING" xr:uid="{00000000-0004-0000-0100-00006A000000}"/>
    <hyperlink ref="A147" location="'P-Resp bijdrage'!A1" display="RESPONSABILISERINGSBIJDRAGE" xr:uid="{00000000-0004-0000-0100-00006B000000}"/>
    <hyperlink ref="A148" location="'P-Soc zek bijdr'!A1" display="SOCIALE ZEKERHEIDSBIJDRAGE" xr:uid="{00000000-0004-0000-0100-00006C000000}"/>
    <hyperlink ref="A149" location="'P-TM1 pers'!A1" display="TM1 PERSONEEL" xr:uid="{00000000-0004-0000-0100-00006D000000}"/>
    <hyperlink ref="A42" location="'VT-BIB'!A1" display="BIBLIOTHEEK" xr:uid="{00000000-0004-0000-0100-00006E000000}"/>
    <hyperlink ref="A44:A45" location="'VT-FEEST'!A1" display="EVENEMENT OF PRIVE FEEST ORGANISEREN" xr:uid="{00000000-0004-0000-0100-00006F000000}"/>
    <hyperlink ref="A47" location="'VT-JEUGD'!A1" display="JEUGD" xr:uid="{00000000-0004-0000-0100-000070000000}"/>
    <hyperlink ref="A51" location="'VT-SPORT'!A1" display="SPORT" xr:uid="{00000000-0004-0000-0100-000071000000}"/>
    <hyperlink ref="A56" location="'VT-VISIT VEURNE'!A1" display="VISIT VEURNE" xr:uid="{00000000-0004-0000-0100-000072000000}"/>
    <hyperlink ref="A59" location="'VT-ZWEMBAD'!A1" display="ZWEMBAD" xr:uid="{00000000-0004-0000-0100-000073000000}"/>
    <hyperlink ref="B42" location="'VT-BIB'!A1" display="Evolutie Bibliotheek AGB" xr:uid="{00000000-0004-0000-0100-000074000000}"/>
    <hyperlink ref="B44" location="'VT-FEEST'!A1" display="Overzicht gebruik Furnevent en OC's = Gebruik OC" xr:uid="{00000000-0004-0000-0100-000075000000}"/>
    <hyperlink ref="B45" location="'VT-FEEST'!A1" display="Huur feestmateriaal (infrastructuur, natuur en milieu)" xr:uid="{00000000-0004-0000-0100-000076000000}"/>
    <hyperlink ref="B47" location="'VT-JEUGD'!A1" display="Gemiddeld aantal deelnemers per activiteit Briekeljong" xr:uid="{00000000-0004-0000-0100-000077000000}"/>
    <hyperlink ref="B48" location="'VT-JEUGD'!A1" display="Jeugdcheques" xr:uid="{00000000-0004-0000-0100-000078000000}"/>
    <hyperlink ref="B49" location="'VT-JEUGD'!A1" display="Taxicheques" xr:uid="{00000000-0004-0000-0100-000079000000}"/>
    <hyperlink ref="B51" location="'VT-SPORT'!A1" display="Sportactiviteiten" xr:uid="{00000000-0004-0000-0100-00007A000000}"/>
    <hyperlink ref="B52" location="'VT-SPORT'!A1" display="Sportcheques" xr:uid="{00000000-0004-0000-0100-00007B000000}"/>
    <hyperlink ref="B56" location="'VT-VISIT VEURNE'!A1" display="Aantal bezoekers aan de balie dienst toerisme" xr:uid="{00000000-0004-0000-0100-00007C000000}"/>
    <hyperlink ref="B57" location="'VT-VISIT VEURNE'!A1" display="Vrij Vaderland" xr:uid="{00000000-0004-0000-0100-00007D000000}"/>
    <hyperlink ref="B59" location="'VT-ZWEMBAD'!A1" display="Aantal zwemmers in stedelijk zwembad" xr:uid="{00000000-0004-0000-0100-00007E000000}"/>
    <hyperlink ref="B139" location="'F-DEXIA'!A1" display="DEXIA" xr:uid="{00000000-0004-0000-0100-00007F000000}"/>
    <hyperlink ref="B140" location="'F-RIZIVBEWONERS'!A1" display="RIZIV bewoners" xr:uid="{00000000-0004-0000-0100-000080000000}"/>
    <hyperlink ref="B1" location="BOORDTABELLEN!A1" display="INDELING BOORDTABELLEN" xr:uid="{00000000-0004-0000-0100-000081000000}"/>
    <hyperlink ref="B53" location="'VT-SPORT'!A1" display="Aantal reservaties per categorie zaal sporthal" xr:uid="{00000000-0004-0000-0100-000082000000}"/>
    <hyperlink ref="B54" location="'VT-SPORT'!A1" display="Aantal gereserveerde uren per categorie zaal " xr:uid="{00000000-0004-0000-0100-000083000000}"/>
    <hyperlink ref="B107" location="'F-projectsubsidies'!A1" display="Projectsubsidies" xr:uid="{00000000-0004-0000-0100-000084000000}"/>
    <hyperlink ref="A152" location="'ICT-cijfers'!A1" display="AANTAL ASSETS" xr:uid="{00000000-0004-0000-0100-000085000000}"/>
    <hyperlink ref="A153" location="'ICT-cijfers'!A1" display="AANTAL DESKTOPS PER WERKPOST" xr:uid="{00000000-0004-0000-0100-000086000000}"/>
    <hyperlink ref="A154" location="'ICT-cijfers'!A1" display="AANTAL LAPTOPS PER WERKPOST" xr:uid="{00000000-0004-0000-0100-000087000000}"/>
    <hyperlink ref="A155" location="'ICT-cijfers'!A1" display="AANTAL SMARTPHONES PER WERKPOST" xr:uid="{00000000-0004-0000-0100-000088000000}"/>
    <hyperlink ref="A156" location="'ICT-cijfers'!A1" display="AANTAL BEHANDELDE TICKETS" xr:uid="{00000000-0004-0000-0100-000089000000}"/>
    <hyperlink ref="B134" location="'F. Staat O en K'!A1" display="Staat van kosten en opbrengsten" xr:uid="{10A06801-4A0D-4E77-8F96-01B57A468935}"/>
  </hyperlinks>
  <pageMargins left="0.7" right="0.7" top="0.75" bottom="0.75" header="0.3" footer="0.3"/>
  <pageSetup paperSize="9"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AB8AA"/>
  </sheetPr>
  <dimension ref="A1:N83"/>
  <sheetViews>
    <sheetView workbookViewId="0">
      <pane ySplit="4" topLeftCell="A5" activePane="bottomLeft" state="frozen"/>
      <selection activeCell="E37" sqref="E37"/>
      <selection pane="bottomLeft" activeCell="A4" sqref="A4"/>
    </sheetView>
  </sheetViews>
  <sheetFormatPr defaultColWidth="9.140625" defaultRowHeight="12.75"/>
  <cols>
    <col min="1" max="1" width="40.7109375" style="1211" customWidth="1"/>
    <col min="2" max="6" width="13.7109375" style="1211" customWidth="1"/>
    <col min="7" max="10" width="12.7109375" style="1211" customWidth="1"/>
    <col min="11" max="16384" width="9.140625" style="1211"/>
  </cols>
  <sheetData>
    <row r="1" spans="1:9" ht="18.75">
      <c r="A1" s="4824" t="s">
        <v>5523</v>
      </c>
      <c r="B1" s="4825"/>
      <c r="C1" s="4825"/>
      <c r="D1" s="4825"/>
      <c r="E1" s="4825"/>
      <c r="F1" s="4825"/>
      <c r="G1" s="4825"/>
      <c r="H1" s="4825"/>
      <c r="I1" s="4826"/>
    </row>
    <row r="4" spans="1:9">
      <c r="A4" s="2746"/>
      <c r="B4" s="2745">
        <v>2017</v>
      </c>
      <c r="C4" s="2745">
        <v>2018</v>
      </c>
      <c r="D4" s="2745" t="s">
        <v>7169</v>
      </c>
      <c r="E4" s="2745">
        <v>2020</v>
      </c>
      <c r="F4" s="2745">
        <v>2021</v>
      </c>
      <c r="G4" s="2745">
        <v>2022</v>
      </c>
      <c r="H4" s="1210"/>
    </row>
    <row r="5" spans="1:9">
      <c r="A5" s="1212" t="s">
        <v>8308</v>
      </c>
      <c r="B5" s="1213">
        <v>1</v>
      </c>
      <c r="C5" s="1213">
        <v>1</v>
      </c>
      <c r="D5" s="1213">
        <v>1</v>
      </c>
      <c r="E5" s="1213">
        <v>1</v>
      </c>
      <c r="F5" s="1213">
        <v>1</v>
      </c>
      <c r="G5" s="1213">
        <v>1</v>
      </c>
      <c r="H5" s="1210"/>
    </row>
    <row r="6" spans="1:9">
      <c r="A6" s="1214" t="s">
        <v>8310</v>
      </c>
      <c r="B6" s="1215">
        <v>159</v>
      </c>
      <c r="C6" s="1215">
        <v>159</v>
      </c>
      <c r="D6" s="1215">
        <v>159</v>
      </c>
      <c r="E6" s="1215">
        <v>159</v>
      </c>
      <c r="F6" s="1215">
        <v>159</v>
      </c>
      <c r="G6" s="1215">
        <v>159</v>
      </c>
      <c r="H6" s="1210"/>
    </row>
    <row r="7" spans="1:9">
      <c r="A7" s="1214" t="s">
        <v>5499</v>
      </c>
      <c r="B7" s="1216">
        <v>83.84</v>
      </c>
      <c r="C7" s="1216">
        <v>82.74</v>
      </c>
      <c r="D7" s="1216">
        <v>92.33</v>
      </c>
      <c r="E7" s="1216">
        <v>87.98</v>
      </c>
      <c r="F7" s="1216">
        <v>95.89</v>
      </c>
      <c r="G7" s="1216">
        <v>99.45</v>
      </c>
      <c r="H7" s="1210"/>
    </row>
    <row r="8" spans="1:9">
      <c r="A8" s="1214" t="s">
        <v>8309</v>
      </c>
      <c r="B8" s="1216">
        <v>97.63</v>
      </c>
      <c r="C8" s="1216">
        <v>98.99</v>
      </c>
      <c r="D8" s="1216">
        <v>99.28</v>
      </c>
      <c r="E8" s="1216">
        <v>98.48</v>
      </c>
      <c r="F8" s="1216">
        <v>86.96</v>
      </c>
      <c r="G8" s="1216">
        <v>98.23</v>
      </c>
      <c r="H8" s="1210"/>
    </row>
    <row r="9" spans="1:9">
      <c r="A9" s="1214" t="s">
        <v>8068</v>
      </c>
      <c r="B9" s="1216">
        <v>97.54</v>
      </c>
      <c r="C9" s="1216">
        <v>98.89</v>
      </c>
      <c r="D9" s="1216">
        <v>99.24</v>
      </c>
      <c r="E9" s="1216">
        <v>98.41</v>
      </c>
      <c r="F9" s="1216">
        <v>87.01</v>
      </c>
      <c r="G9" s="1216">
        <v>98.23</v>
      </c>
      <c r="H9" s="1210"/>
    </row>
    <row r="10" spans="1:9">
      <c r="A10" s="1214" t="s">
        <v>8069</v>
      </c>
      <c r="B10" s="1215">
        <v>57640</v>
      </c>
      <c r="C10" s="1215">
        <v>58687</v>
      </c>
      <c r="D10" s="1215">
        <v>58824</v>
      </c>
      <c r="E10" s="1215">
        <v>58742</v>
      </c>
      <c r="F10" s="1215">
        <v>51387</v>
      </c>
      <c r="G10" s="1215">
        <v>57967</v>
      </c>
      <c r="H10" s="1210"/>
    </row>
    <row r="11" spans="1:9">
      <c r="A11" s="1214" t="s">
        <v>5500</v>
      </c>
      <c r="B11" s="1215">
        <v>1016</v>
      </c>
      <c r="C11" s="1215">
        <v>839</v>
      </c>
      <c r="D11" s="1215">
        <v>933</v>
      </c>
      <c r="E11" s="1215">
        <v>737</v>
      </c>
      <c r="F11" s="1215">
        <v>639</v>
      </c>
      <c r="G11" s="1215">
        <v>740</v>
      </c>
      <c r="H11" s="1210"/>
    </row>
    <row r="12" spans="1:9">
      <c r="A12" s="1214" t="s">
        <v>5501</v>
      </c>
      <c r="B12" s="1215">
        <v>195</v>
      </c>
      <c r="C12" s="1215">
        <v>92</v>
      </c>
      <c r="D12" s="1215">
        <v>92</v>
      </c>
      <c r="E12" s="1215">
        <v>15</v>
      </c>
      <c r="F12" s="1215">
        <v>49</v>
      </c>
      <c r="G12" s="1215">
        <v>132</v>
      </c>
      <c r="H12" s="1210"/>
    </row>
    <row r="13" spans="1:9">
      <c r="A13" s="1217" t="s">
        <v>5502</v>
      </c>
      <c r="B13" s="1216">
        <f>(8365795.81)/B10</f>
        <v>145.13871981263011</v>
      </c>
      <c r="C13" s="1216">
        <f>8731682.4/C10</f>
        <v>148.78392829757868</v>
      </c>
      <c r="D13" s="1216">
        <f>8872602.61/D10</f>
        <v>150.83303770569833</v>
      </c>
      <c r="E13" s="1216">
        <f>9530654.16/E10</f>
        <v>162.24599366722276</v>
      </c>
      <c r="F13" s="1216">
        <f>9399976.71/F10</f>
        <v>182.92518944480122</v>
      </c>
      <c r="G13" s="1216">
        <f>10882307.38/G10</f>
        <v>187.73280280159403</v>
      </c>
      <c r="H13" s="1210"/>
    </row>
    <row r="14" spans="1:9">
      <c r="A14" s="1214" t="s">
        <v>5503</v>
      </c>
      <c r="B14" s="1216">
        <v>49.56</v>
      </c>
      <c r="C14" s="1216">
        <v>50.15</v>
      </c>
      <c r="D14" s="1216">
        <v>51.22</v>
      </c>
      <c r="E14" s="1216">
        <v>52.06</v>
      </c>
      <c r="F14" s="1216">
        <v>52.66</v>
      </c>
      <c r="G14" s="1216">
        <v>56.09</v>
      </c>
      <c r="H14" s="1210"/>
    </row>
    <row r="15" spans="1:9">
      <c r="A15" s="1214" t="s">
        <v>8067</v>
      </c>
      <c r="B15" s="1216">
        <f>4261665.68/56966</f>
        <v>74.810688480848214</v>
      </c>
      <c r="C15" s="1216">
        <f>4406110.34/57749</f>
        <v>76.297604114356957</v>
      </c>
      <c r="D15" s="1216">
        <f>4657109.55/57955</f>
        <v>80.357338452247433</v>
      </c>
      <c r="E15" s="1216">
        <f>4838991.45/57629</f>
        <v>83.967992677297886</v>
      </c>
      <c r="F15" s="1216">
        <f>4420257.26/50816</f>
        <v>86.98554116813601</v>
      </c>
      <c r="G15" s="1216">
        <f>5471034.05/57368</f>
        <v>95.367348521824013</v>
      </c>
      <c r="H15" s="1210"/>
    </row>
    <row r="16" spans="1:9">
      <c r="A16" s="1214" t="s">
        <v>8066</v>
      </c>
      <c r="B16" s="1216">
        <v>75.42</v>
      </c>
      <c r="C16" s="1216">
        <v>77.3</v>
      </c>
      <c r="D16" s="1216">
        <v>83.49</v>
      </c>
      <c r="E16" s="1216">
        <v>84.1</v>
      </c>
      <c r="F16" s="1216">
        <v>90.32</v>
      </c>
      <c r="G16" s="1216">
        <v>100.79</v>
      </c>
      <c r="H16" s="1210"/>
    </row>
    <row r="17" spans="1:9">
      <c r="A17" s="1214" t="s">
        <v>5504</v>
      </c>
      <c r="B17" s="1215">
        <f>27*3+3</f>
        <v>84</v>
      </c>
      <c r="C17" s="1215">
        <f>27*2+24</f>
        <v>78</v>
      </c>
      <c r="D17" s="1215">
        <v>72</v>
      </c>
      <c r="E17" s="1215">
        <v>71</v>
      </c>
      <c r="F17" s="1215">
        <v>79</v>
      </c>
      <c r="G17" s="1215">
        <v>58</v>
      </c>
      <c r="H17" s="1210"/>
    </row>
    <row r="18" spans="1:9">
      <c r="A18" s="1214" t="s">
        <v>5505</v>
      </c>
      <c r="B18" s="1215">
        <f>34*2+17</f>
        <v>85</v>
      </c>
      <c r="C18" s="1215">
        <f>34*2+9</f>
        <v>77</v>
      </c>
      <c r="D18" s="1215">
        <v>74</v>
      </c>
      <c r="E18" s="1215">
        <v>67</v>
      </c>
      <c r="F18" s="1215">
        <v>76</v>
      </c>
      <c r="G18" s="1215">
        <v>61</v>
      </c>
      <c r="H18" s="1210"/>
    </row>
    <row r="19" spans="1:9">
      <c r="A19" s="1214" t="s">
        <v>5506</v>
      </c>
      <c r="B19" s="1215">
        <v>163</v>
      </c>
      <c r="C19" s="1215">
        <v>162</v>
      </c>
      <c r="D19" s="1215">
        <v>164</v>
      </c>
      <c r="E19" s="1215">
        <v>162</v>
      </c>
      <c r="F19" s="1215">
        <v>159</v>
      </c>
      <c r="G19" s="1215">
        <v>160</v>
      </c>
      <c r="H19" s="1210"/>
    </row>
    <row r="20" spans="1:9">
      <c r="A20" s="1214" t="s">
        <v>5507</v>
      </c>
      <c r="B20" s="1218">
        <v>0.27939999999999998</v>
      </c>
      <c r="C20" s="1218">
        <v>0.27500000000000002</v>
      </c>
      <c r="D20" s="1218">
        <v>0.34749999999999998</v>
      </c>
      <c r="E20" s="1218">
        <v>0.33329999999999999</v>
      </c>
      <c r="F20" s="1218">
        <v>0.32200000000000001</v>
      </c>
      <c r="G20" s="1218">
        <v>0.3211</v>
      </c>
      <c r="H20" s="1210"/>
    </row>
    <row r="21" spans="1:9">
      <c r="A21" s="1214" t="s">
        <v>5508</v>
      </c>
      <c r="B21" s="1218">
        <v>0.72060000000000002</v>
      </c>
      <c r="C21" s="1218">
        <v>0.72499999999999998</v>
      </c>
      <c r="D21" s="1218">
        <v>0.65249999999999997</v>
      </c>
      <c r="E21" s="1218">
        <v>0.66669999999999996</v>
      </c>
      <c r="F21" s="1218">
        <v>0.67800000000000005</v>
      </c>
      <c r="G21" s="1218">
        <v>0.67889999999999995</v>
      </c>
      <c r="H21" s="1210"/>
    </row>
    <row r="22" spans="1:9">
      <c r="A22" s="1214" t="s">
        <v>5509</v>
      </c>
      <c r="B22" s="1215">
        <v>85.67</v>
      </c>
      <c r="C22" s="1215">
        <v>85.66</v>
      </c>
      <c r="D22" s="1215">
        <v>85.44</v>
      </c>
      <c r="E22" s="1215">
        <v>86.05</v>
      </c>
      <c r="F22" s="1215">
        <v>86.54</v>
      </c>
      <c r="G22" s="1215">
        <v>86.94</v>
      </c>
      <c r="H22" s="1210"/>
    </row>
    <row r="23" spans="1:9">
      <c r="A23" s="1214" t="s">
        <v>5510</v>
      </c>
      <c r="B23" s="1215">
        <v>81.94</v>
      </c>
      <c r="C23" s="1215">
        <v>81.98</v>
      </c>
      <c r="D23" s="1215">
        <v>82.75</v>
      </c>
      <c r="E23" s="1215">
        <v>83.73</v>
      </c>
      <c r="F23" s="1215">
        <v>83.83</v>
      </c>
      <c r="G23" s="1215">
        <v>83.66</v>
      </c>
      <c r="H23" s="1210"/>
    </row>
    <row r="24" spans="1:9">
      <c r="A24" s="1214" t="s">
        <v>5511</v>
      </c>
      <c r="B24" s="1215">
        <v>87.12</v>
      </c>
      <c r="C24" s="1215">
        <v>87.06</v>
      </c>
      <c r="D24" s="1215">
        <v>86.88</v>
      </c>
      <c r="E24" s="1215">
        <v>87.21</v>
      </c>
      <c r="F24" s="1215">
        <v>87.82</v>
      </c>
      <c r="G24" s="1215">
        <v>88.49</v>
      </c>
      <c r="H24" s="1210"/>
    </row>
    <row r="25" spans="1:9">
      <c r="A25" s="1214" t="s">
        <v>5512</v>
      </c>
      <c r="B25" s="1219">
        <v>986</v>
      </c>
      <c r="C25" s="1219">
        <v>914</v>
      </c>
      <c r="D25" s="1219">
        <v>966</v>
      </c>
      <c r="E25" s="1219">
        <v>1034</v>
      </c>
      <c r="F25" s="1219">
        <v>966</v>
      </c>
      <c r="G25" s="1219">
        <v>982</v>
      </c>
      <c r="H25" s="1210"/>
    </row>
    <row r="26" spans="1:9">
      <c r="A26" s="1214" t="s">
        <v>5513</v>
      </c>
      <c r="B26" s="1219">
        <v>623</v>
      </c>
      <c r="C26" s="1219">
        <v>594</v>
      </c>
      <c r="D26" s="1219">
        <v>618</v>
      </c>
      <c r="E26" s="1219">
        <v>757</v>
      </c>
      <c r="F26" s="1219">
        <v>685</v>
      </c>
      <c r="G26" s="1219">
        <v>730</v>
      </c>
      <c r="H26" s="1210"/>
    </row>
    <row r="27" spans="1:9">
      <c r="A27" s="1220" t="s">
        <v>5514</v>
      </c>
      <c r="B27" s="1221">
        <v>1127</v>
      </c>
      <c r="C27" s="1221">
        <v>1036</v>
      </c>
      <c r="D27" s="1221">
        <v>1152</v>
      </c>
      <c r="E27" s="1221">
        <v>1172</v>
      </c>
      <c r="F27" s="1221">
        <v>1100</v>
      </c>
      <c r="G27" s="1221">
        <v>1101</v>
      </c>
      <c r="H27" s="1210"/>
    </row>
    <row r="29" spans="1:9">
      <c r="F29" s="1222"/>
      <c r="H29" s="1222" t="s">
        <v>8064</v>
      </c>
      <c r="I29" s="1222">
        <f>30*3+13+57</f>
        <v>160</v>
      </c>
    </row>
    <row r="30" spans="1:9">
      <c r="H30" s="1222" t="s">
        <v>8065</v>
      </c>
      <c r="I30" s="1222">
        <v>2</v>
      </c>
    </row>
    <row r="31" spans="1:9">
      <c r="H31" s="1223" t="s">
        <v>5515</v>
      </c>
      <c r="I31" s="1222">
        <f>I29+I30*2</f>
        <v>164</v>
      </c>
    </row>
    <row r="32" spans="1:9">
      <c r="H32" s="1222"/>
    </row>
    <row r="33" spans="6:9">
      <c r="H33" s="1222"/>
    </row>
    <row r="34" spans="6:9">
      <c r="F34" s="1222"/>
      <c r="G34" s="1222"/>
      <c r="H34" s="1222"/>
    </row>
    <row r="46" spans="6:9">
      <c r="F46" s="1222"/>
      <c r="G46" s="1222"/>
      <c r="H46" s="1222"/>
      <c r="I46" s="1222"/>
    </row>
    <row r="52" spans="6:10">
      <c r="F52" s="1222"/>
      <c r="G52" s="1222"/>
      <c r="H52" s="1222"/>
      <c r="I52" s="1222"/>
      <c r="J52" s="1222"/>
    </row>
    <row r="77" spans="8:14">
      <c r="H77" s="2749" t="s">
        <v>5516</v>
      </c>
      <c r="I77" s="2750">
        <f t="shared" ref="I77:N77" si="0">B4</f>
        <v>2017</v>
      </c>
      <c r="J77" s="2750">
        <f t="shared" si="0"/>
        <v>2018</v>
      </c>
      <c r="K77" s="2750" t="str">
        <f t="shared" si="0"/>
        <v>2019</v>
      </c>
      <c r="L77" s="2750">
        <f t="shared" si="0"/>
        <v>2020</v>
      </c>
      <c r="M77" s="2751">
        <f t="shared" si="0"/>
        <v>2021</v>
      </c>
      <c r="N77" s="2751">
        <f t="shared" si="0"/>
        <v>2022</v>
      </c>
    </row>
    <row r="78" spans="8:14">
      <c r="H78" s="2747" t="s">
        <v>5517</v>
      </c>
      <c r="I78" s="2752">
        <v>49.75</v>
      </c>
      <c r="J78" s="2752">
        <v>50.51</v>
      </c>
      <c r="K78" s="2752">
        <v>51.7</v>
      </c>
      <c r="L78" s="2752">
        <v>52.11</v>
      </c>
      <c r="M78" s="4517">
        <v>52.58</v>
      </c>
      <c r="N78" s="4519">
        <v>58.5</v>
      </c>
    </row>
    <row r="79" spans="8:14">
      <c r="H79" s="2747" t="s">
        <v>5518</v>
      </c>
      <c r="I79" s="2752">
        <v>39.75</v>
      </c>
      <c r="J79" s="2752">
        <v>40.35</v>
      </c>
      <c r="K79" s="2752">
        <v>41.3</v>
      </c>
      <c r="L79" s="2752">
        <v>41.63</v>
      </c>
      <c r="M79" s="4517">
        <v>42</v>
      </c>
      <c r="N79" s="4519">
        <v>46.89</v>
      </c>
    </row>
    <row r="80" spans="8:14">
      <c r="H80" s="2747" t="s">
        <v>5519</v>
      </c>
      <c r="I80" s="2752">
        <v>52</v>
      </c>
      <c r="J80" s="2752">
        <v>52.79</v>
      </c>
      <c r="K80" s="2752">
        <v>54.04</v>
      </c>
      <c r="L80" s="2752">
        <v>54.47</v>
      </c>
      <c r="M80" s="4517">
        <v>54.96</v>
      </c>
      <c r="N80" s="4519">
        <v>61.03</v>
      </c>
    </row>
    <row r="81" spans="8:14">
      <c r="H81" s="2747" t="s">
        <v>5520</v>
      </c>
      <c r="I81" s="2752">
        <v>53.25</v>
      </c>
      <c r="J81" s="2752">
        <v>54.06</v>
      </c>
      <c r="K81" s="2752">
        <v>55.34</v>
      </c>
      <c r="L81" s="2752">
        <v>55.78</v>
      </c>
      <c r="M81" s="4517">
        <v>56.28</v>
      </c>
      <c r="N81" s="4519">
        <v>62.48</v>
      </c>
    </row>
    <row r="82" spans="8:14">
      <c r="H82" s="2747" t="s">
        <v>5521</v>
      </c>
      <c r="I82" s="2752">
        <v>46.75</v>
      </c>
      <c r="J82" s="2752">
        <v>47.46</v>
      </c>
      <c r="K82" s="2752">
        <v>48.58</v>
      </c>
      <c r="L82" s="2752">
        <v>48.97</v>
      </c>
      <c r="M82" s="4517">
        <v>49.41</v>
      </c>
      <c r="N82" s="4519">
        <v>54.94</v>
      </c>
    </row>
    <row r="83" spans="8:14">
      <c r="H83" s="2748" t="s">
        <v>5522</v>
      </c>
      <c r="I83" s="2753">
        <v>40.5</v>
      </c>
      <c r="J83" s="2753">
        <v>41.12</v>
      </c>
      <c r="K83" s="2753">
        <v>42.09</v>
      </c>
      <c r="L83" s="2753">
        <v>42.43</v>
      </c>
      <c r="M83" s="4518">
        <v>42.81</v>
      </c>
      <c r="N83" s="4520">
        <v>47.69</v>
      </c>
    </row>
  </sheetData>
  <sheetProtection formatCells="0"/>
  <mergeCells count="1">
    <mergeCell ref="A1:I1"/>
  </mergeCells>
  <hyperlinks>
    <hyperlink ref="A1:I1" location="WELZIJN!A1" display="Gepresteerde eenheden WZC Ter Linden" xr:uid="{00000000-0004-0000-2100-000000000000}"/>
  </hyperlinks>
  <printOptions horizontalCentered="1"/>
  <pageMargins left="0.78740157480314965" right="0.78740157480314965" top="0.78740157480314965" bottom="0.78740157480314965" header="0.51181102362204722" footer="0.51181102362204722"/>
  <pageSetup paperSize="9" orientation="portrait" r:id="rId1"/>
  <headerFooter alignWithMargins="0"/>
  <rowBreaks count="3" manualBreakCount="3">
    <brk id="28" max="8" man="1"/>
    <brk id="128" max="8" man="1"/>
    <brk id="160" max="8"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AB8AA"/>
  </sheetPr>
  <dimension ref="A1:G86"/>
  <sheetViews>
    <sheetView workbookViewId="0">
      <pane ySplit="3" topLeftCell="A4" activePane="bottomLeft" state="frozen"/>
      <selection activeCell="E37" sqref="E37"/>
      <selection pane="bottomLeft" activeCell="A3" sqref="A3"/>
    </sheetView>
  </sheetViews>
  <sheetFormatPr defaultColWidth="9.140625" defaultRowHeight="12.75"/>
  <cols>
    <col min="1" max="1" width="40.7109375" style="1224" customWidth="1"/>
    <col min="2" max="7" width="13.7109375" style="1224" customWidth="1"/>
    <col min="8" max="16384" width="9.140625" style="1224"/>
  </cols>
  <sheetData>
    <row r="1" spans="1:7" ht="18.75">
      <c r="A1" s="4771" t="s">
        <v>5540</v>
      </c>
      <c r="B1" s="4772"/>
      <c r="C1" s="4772"/>
      <c r="D1" s="4772"/>
      <c r="E1" s="4772"/>
      <c r="F1" s="4772"/>
      <c r="G1" s="4772"/>
    </row>
    <row r="3" spans="1:7">
      <c r="A3" s="2754" t="s">
        <v>5524</v>
      </c>
      <c r="B3" s="2745">
        <v>2017</v>
      </c>
      <c r="C3" s="2745">
        <v>2018</v>
      </c>
      <c r="D3" s="2745" t="s">
        <v>7169</v>
      </c>
      <c r="E3" s="2745">
        <v>2020</v>
      </c>
      <c r="F3" s="2745">
        <v>2021</v>
      </c>
      <c r="G3" s="2745">
        <v>2022</v>
      </c>
    </row>
    <row r="4" spans="1:7">
      <c r="A4" s="1225" t="s">
        <v>5525</v>
      </c>
      <c r="B4" s="1226">
        <v>64</v>
      </c>
      <c r="C4" s="1226">
        <v>134</v>
      </c>
      <c r="D4" s="1226">
        <v>164</v>
      </c>
      <c r="E4" s="1226">
        <v>203</v>
      </c>
      <c r="F4" s="1226">
        <v>219</v>
      </c>
      <c r="G4" s="1226">
        <v>190</v>
      </c>
    </row>
    <row r="5" spans="1:7">
      <c r="A5" s="1227" t="s">
        <v>5526</v>
      </c>
      <c r="B5" s="1228">
        <v>4188</v>
      </c>
      <c r="C5" s="1228">
        <v>5871</v>
      </c>
      <c r="D5" s="1228">
        <v>9120</v>
      </c>
      <c r="E5" s="1228">
        <v>5360</v>
      </c>
      <c r="F5" s="1228">
        <v>9794</v>
      </c>
      <c r="G5" s="1228">
        <v>10913</v>
      </c>
    </row>
    <row r="20" spans="1:7">
      <c r="A20" s="1233"/>
      <c r="B20" s="1229"/>
      <c r="C20" s="1229"/>
      <c r="D20" s="1229"/>
      <c r="E20" s="1229"/>
      <c r="F20" s="1230"/>
    </row>
    <row r="21" spans="1:7">
      <c r="A21" s="2754" t="s">
        <v>5537</v>
      </c>
      <c r="B21" s="2745">
        <f t="shared" ref="B21:G21" si="0">B3</f>
        <v>2017</v>
      </c>
      <c r="C21" s="2745">
        <f t="shared" si="0"/>
        <v>2018</v>
      </c>
      <c r="D21" s="2745" t="str">
        <f t="shared" si="0"/>
        <v>2019</v>
      </c>
      <c r="E21" s="2745">
        <f t="shared" si="0"/>
        <v>2020</v>
      </c>
      <c r="F21" s="2745">
        <f t="shared" si="0"/>
        <v>2021</v>
      </c>
      <c r="G21" s="2745">
        <f t="shared" si="0"/>
        <v>2022</v>
      </c>
    </row>
    <row r="22" spans="1:7">
      <c r="A22" s="1231" t="s">
        <v>5538</v>
      </c>
      <c r="B22" s="1232">
        <v>48</v>
      </c>
      <c r="C22" s="1232">
        <v>110</v>
      </c>
      <c r="D22" s="1232">
        <v>113</v>
      </c>
      <c r="E22" s="1232">
        <v>116</v>
      </c>
      <c r="F22" s="1232">
        <v>132</v>
      </c>
      <c r="G22" s="1232">
        <v>144</v>
      </c>
    </row>
    <row r="23" spans="1:7">
      <c r="A23" s="1243" t="s">
        <v>5539</v>
      </c>
      <c r="B23" s="1228">
        <f>47+14</f>
        <v>61</v>
      </c>
      <c r="C23" s="1228">
        <v>120</v>
      </c>
      <c r="D23" s="1228">
        <v>147</v>
      </c>
      <c r="E23" s="1228">
        <v>138</v>
      </c>
      <c r="F23" s="1228">
        <v>152</v>
      </c>
      <c r="G23" s="1228">
        <v>172</v>
      </c>
    </row>
    <row r="24" spans="1:7">
      <c r="A24" s="1233"/>
      <c r="B24" s="1229"/>
      <c r="C24" s="1229"/>
      <c r="D24" s="1229"/>
      <c r="E24" s="1229"/>
      <c r="F24" s="1230"/>
    </row>
    <row r="25" spans="1:7">
      <c r="A25" s="1233"/>
      <c r="B25" s="1229"/>
      <c r="C25" s="1229"/>
      <c r="D25" s="1229"/>
      <c r="E25" s="1229"/>
      <c r="F25" s="1230"/>
    </row>
    <row r="26" spans="1:7">
      <c r="A26" s="1233"/>
      <c r="B26" s="1229"/>
      <c r="C26" s="1229"/>
      <c r="D26" s="1229"/>
      <c r="E26" s="1229"/>
      <c r="F26" s="1230"/>
    </row>
    <row r="27" spans="1:7">
      <c r="A27" s="1233"/>
      <c r="B27" s="1229"/>
      <c r="C27" s="1229"/>
      <c r="D27" s="1229"/>
      <c r="E27" s="1229"/>
      <c r="F27" s="1230"/>
    </row>
    <row r="28" spans="1:7">
      <c r="A28" s="1233"/>
      <c r="B28" s="1229"/>
      <c r="C28" s="1229"/>
      <c r="D28" s="1229"/>
      <c r="E28" s="1229"/>
      <c r="F28" s="1230"/>
    </row>
    <row r="29" spans="1:7" s="1244" customFormat="1">
      <c r="A29" s="1233"/>
      <c r="B29" s="1229"/>
      <c r="C29" s="1229"/>
      <c r="D29" s="1229"/>
      <c r="E29" s="1229"/>
      <c r="F29" s="1230"/>
    </row>
    <row r="30" spans="1:7" s="1244" customFormat="1">
      <c r="A30" s="1233"/>
      <c r="B30" s="1229"/>
      <c r="C30" s="1229"/>
      <c r="D30" s="1229"/>
      <c r="E30" s="1229"/>
      <c r="F30" s="1230"/>
    </row>
    <row r="31" spans="1:7" s="1244" customFormat="1"/>
    <row r="32" spans="1:7" s="1244" customFormat="1"/>
    <row r="33" spans="1:6" s="1244" customFormat="1"/>
    <row r="34" spans="1:6" s="1244" customFormat="1"/>
    <row r="38" spans="1:6">
      <c r="A38" s="1252" t="s">
        <v>7637</v>
      </c>
    </row>
    <row r="40" spans="1:6">
      <c r="A40" s="2754" t="s">
        <v>5530</v>
      </c>
      <c r="B40" s="2745">
        <f>B3</f>
        <v>2017</v>
      </c>
      <c r="C40" s="2745">
        <f>C3</f>
        <v>2018</v>
      </c>
      <c r="D40" s="2745" t="str">
        <f>D3</f>
        <v>2019</v>
      </c>
      <c r="E40" s="2745">
        <f>E3</f>
        <v>2020</v>
      </c>
      <c r="F40" s="2745">
        <f>F3</f>
        <v>2021</v>
      </c>
    </row>
    <row r="41" spans="1:6">
      <c r="A41" s="1234" t="s">
        <v>5531</v>
      </c>
      <c r="B41" s="1232">
        <f>87+13</f>
        <v>100</v>
      </c>
      <c r="C41" s="1232">
        <v>108</v>
      </c>
      <c r="D41" s="1232">
        <f>72+7</f>
        <v>79</v>
      </c>
      <c r="E41" s="1232">
        <v>62</v>
      </c>
      <c r="F41" s="1232">
        <v>0</v>
      </c>
    </row>
    <row r="42" spans="1:6">
      <c r="A42" s="1234" t="s">
        <v>5532</v>
      </c>
      <c r="B42" s="1232">
        <v>73</v>
      </c>
      <c r="C42" s="1232">
        <v>72</v>
      </c>
      <c r="D42" s="1232">
        <v>60</v>
      </c>
      <c r="E42" s="1232">
        <v>0</v>
      </c>
      <c r="F42" s="1232">
        <v>0</v>
      </c>
    </row>
    <row r="43" spans="1:6" s="1237" customFormat="1">
      <c r="A43" s="1235" t="s">
        <v>5533</v>
      </c>
      <c r="B43" s="1232">
        <v>8206.5</v>
      </c>
      <c r="C43" s="1232">
        <v>8165.5</v>
      </c>
      <c r="D43" s="1232">
        <v>6858.5</v>
      </c>
      <c r="E43" s="1232">
        <v>4190.75</v>
      </c>
      <c r="F43" s="1232">
        <v>0</v>
      </c>
    </row>
    <row r="44" spans="1:6" s="1237" customFormat="1">
      <c r="A44" s="1235" t="s">
        <v>5534</v>
      </c>
      <c r="B44" s="1232">
        <f>B43-B45</f>
        <v>7279</v>
      </c>
      <c r="C44" s="1232">
        <f>C43-C45</f>
        <v>7578.5</v>
      </c>
      <c r="D44" s="1232">
        <f>D43-D45</f>
        <v>6097.5</v>
      </c>
      <c r="E44" s="1232">
        <f>E43-E45</f>
        <v>3667.25</v>
      </c>
      <c r="F44" s="1232">
        <f>F43-F45</f>
        <v>0</v>
      </c>
    </row>
    <row r="45" spans="1:6" s="1237" customFormat="1">
      <c r="A45" s="1235" t="s">
        <v>5535</v>
      </c>
      <c r="B45" s="1232">
        <f>367.5+314.5+230+15.5</f>
        <v>927.5</v>
      </c>
      <c r="C45" s="1232">
        <f>114.5+322.5+144+6</f>
        <v>587</v>
      </c>
      <c r="D45" s="1232">
        <f>140.25+301.5+162+153.25+4</f>
        <v>761</v>
      </c>
      <c r="E45" s="1232">
        <f>95+97.25+62+2+11.25+256</f>
        <v>523.5</v>
      </c>
      <c r="F45" s="1232">
        <v>0</v>
      </c>
    </row>
    <row r="46" spans="1:6">
      <c r="A46" s="1238" t="s">
        <v>5536</v>
      </c>
      <c r="B46" s="1239">
        <f>(72809.25)/B43</f>
        <v>8.8721440321696221</v>
      </c>
      <c r="C46" s="1239">
        <f>(78015.47)/C43</f>
        <v>9.5542795909619738</v>
      </c>
      <c r="D46" s="1239">
        <f>(67672.6)/D43</f>
        <v>9.8669679959174754</v>
      </c>
      <c r="E46" s="1239">
        <f>(41180.75)/E43</f>
        <v>9.8265823539939152</v>
      </c>
      <c r="F46" s="1239">
        <v>0</v>
      </c>
    </row>
    <row r="47" spans="1:6">
      <c r="A47" s="1240"/>
      <c r="B47" s="1241"/>
      <c r="C47" s="1241"/>
      <c r="D47" s="1241"/>
      <c r="E47" s="1229"/>
      <c r="F47" s="1230"/>
    </row>
    <row r="48" spans="1:6">
      <c r="A48" s="1240"/>
      <c r="B48" s="1241"/>
      <c r="C48" s="1241"/>
      <c r="D48" s="1241"/>
      <c r="E48" s="1229"/>
      <c r="F48" s="1230"/>
    </row>
    <row r="49" spans="1:6">
      <c r="A49" s="1240"/>
      <c r="B49" s="1241"/>
      <c r="C49" s="1241"/>
      <c r="D49" s="1241"/>
      <c r="E49" s="1229"/>
      <c r="F49" s="1230"/>
    </row>
    <row r="50" spans="1:6">
      <c r="A50" s="1240"/>
      <c r="B50" s="1241"/>
      <c r="C50" s="1241"/>
      <c r="D50" s="1241"/>
      <c r="E50" s="1229"/>
      <c r="F50" s="1230"/>
    </row>
    <row r="51" spans="1:6">
      <c r="A51" s="1240"/>
      <c r="B51" s="1241"/>
      <c r="C51" s="1241"/>
      <c r="D51" s="1241"/>
      <c r="E51" s="1229"/>
      <c r="F51" s="1230"/>
    </row>
    <row r="52" spans="1:6">
      <c r="A52" s="1240"/>
      <c r="B52" s="1241"/>
      <c r="C52" s="1241"/>
      <c r="D52" s="1241"/>
      <c r="E52" s="1229"/>
      <c r="F52" s="1230"/>
    </row>
    <row r="53" spans="1:6">
      <c r="A53" s="1240"/>
      <c r="B53" s="1241"/>
      <c r="C53" s="1241"/>
      <c r="D53" s="1241"/>
      <c r="E53" s="1229"/>
    </row>
    <row r="54" spans="1:6">
      <c r="A54" s="1240"/>
      <c r="B54" s="1241"/>
      <c r="C54" s="1241"/>
      <c r="D54" s="1241"/>
      <c r="E54" s="1229"/>
      <c r="F54" s="1230"/>
    </row>
    <row r="55" spans="1:6">
      <c r="A55" s="1240"/>
      <c r="B55" s="1241"/>
      <c r="C55" s="1241"/>
      <c r="D55" s="1241"/>
      <c r="E55" s="1229"/>
      <c r="F55" s="1230"/>
    </row>
    <row r="56" spans="1:6">
      <c r="A56" s="1240"/>
      <c r="B56" s="1241"/>
      <c r="C56" s="1241"/>
      <c r="D56" s="1241"/>
      <c r="E56" s="1229"/>
      <c r="F56" s="1230"/>
    </row>
    <row r="57" spans="1:6">
      <c r="A57" s="1240"/>
      <c r="B57" s="1241"/>
      <c r="C57" s="1241"/>
      <c r="D57" s="1241"/>
      <c r="E57" s="1229"/>
      <c r="F57" s="1230"/>
    </row>
    <row r="58" spans="1:6">
      <c r="A58" s="1240"/>
      <c r="B58" s="1241"/>
      <c r="C58" s="1241"/>
      <c r="D58" s="1241"/>
      <c r="E58" s="1229"/>
      <c r="F58" s="1230"/>
    </row>
    <row r="59" spans="1:6">
      <c r="A59" s="1240"/>
      <c r="B59" s="1241"/>
      <c r="C59" s="1241"/>
      <c r="D59" s="1241"/>
      <c r="E59" s="1229"/>
      <c r="F59" s="1230"/>
    </row>
    <row r="60" spans="1:6">
      <c r="A60" s="1240"/>
      <c r="B60" s="1241"/>
      <c r="C60" s="1241"/>
      <c r="D60" s="1241"/>
      <c r="E60" s="1229"/>
      <c r="F60" s="1230"/>
    </row>
    <row r="61" spans="1:6">
      <c r="A61" s="1240"/>
      <c r="B61" s="1241"/>
      <c r="C61" s="1241"/>
      <c r="D61" s="1241"/>
      <c r="E61" s="1229"/>
      <c r="F61" s="1230"/>
    </row>
    <row r="62" spans="1:6">
      <c r="A62" s="1240"/>
      <c r="B62" s="1241"/>
      <c r="C62" s="1241"/>
      <c r="D62" s="1241"/>
      <c r="E62" s="1229"/>
      <c r="F62" s="1230"/>
    </row>
    <row r="63" spans="1:6">
      <c r="A63" s="1240"/>
      <c r="B63" s="1241"/>
      <c r="C63" s="1241"/>
      <c r="D63" s="1241"/>
      <c r="E63" s="1229"/>
      <c r="F63" s="1230"/>
    </row>
    <row r="64" spans="1:6">
      <c r="A64" s="1240"/>
      <c r="B64" s="1241"/>
      <c r="C64" s="1241"/>
      <c r="D64" s="1241"/>
      <c r="E64" s="1229"/>
      <c r="F64" s="1230"/>
    </row>
    <row r="65" spans="1:6">
      <c r="A65" s="1240"/>
      <c r="B65" s="1241"/>
      <c r="C65" s="1241"/>
      <c r="D65" s="1241"/>
      <c r="E65" s="1229"/>
      <c r="F65" s="1230"/>
    </row>
    <row r="66" spans="1:6">
      <c r="A66" s="1240"/>
      <c r="B66" s="1241"/>
      <c r="C66" s="1241"/>
      <c r="D66" s="1241"/>
      <c r="E66" s="1229"/>
      <c r="F66" s="1230"/>
    </row>
    <row r="67" spans="1:6">
      <c r="A67" s="1240"/>
      <c r="B67" s="1241"/>
      <c r="C67" s="1241"/>
      <c r="D67" s="1241"/>
      <c r="E67" s="1229"/>
      <c r="F67" s="1230"/>
    </row>
    <row r="68" spans="1:6">
      <c r="A68" s="1240"/>
      <c r="B68" s="1241"/>
      <c r="C68" s="1241"/>
      <c r="D68" s="1241"/>
      <c r="E68" s="1229"/>
      <c r="F68" s="1230"/>
    </row>
    <row r="69" spans="1:6">
      <c r="A69" s="1240"/>
      <c r="B69" s="1241"/>
      <c r="C69" s="1241"/>
      <c r="D69" s="1241"/>
      <c r="E69" s="1229"/>
      <c r="F69" s="1230"/>
    </row>
    <row r="70" spans="1:6">
      <c r="A70" s="1233"/>
      <c r="B70" s="1229"/>
      <c r="C70" s="1229"/>
      <c r="D70" s="1229"/>
      <c r="E70" s="1229"/>
      <c r="F70" s="1230"/>
    </row>
    <row r="71" spans="1:6">
      <c r="A71" s="2754" t="s">
        <v>5527</v>
      </c>
      <c r="B71" s="2745">
        <f>B3</f>
        <v>2017</v>
      </c>
      <c r="C71" s="2745">
        <f>C3</f>
        <v>2018</v>
      </c>
      <c r="D71" s="2745" t="str">
        <f>D3</f>
        <v>2019</v>
      </c>
      <c r="E71" s="2745">
        <f>E3</f>
        <v>2020</v>
      </c>
      <c r="F71" s="2745">
        <f>F3</f>
        <v>2021</v>
      </c>
    </row>
    <row r="72" spans="1:6">
      <c r="A72" s="1231" t="s">
        <v>5528</v>
      </c>
      <c r="B72" s="1232">
        <v>105</v>
      </c>
      <c r="C72" s="1232">
        <v>0</v>
      </c>
      <c r="D72" s="1232">
        <v>0</v>
      </c>
      <c r="E72" s="1232">
        <v>0</v>
      </c>
      <c r="F72" s="1232">
        <v>0</v>
      </c>
    </row>
    <row r="73" spans="1:6">
      <c r="A73" s="1227" t="s">
        <v>5529</v>
      </c>
      <c r="B73" s="1228">
        <f>6+41+7+49+2</f>
        <v>105</v>
      </c>
      <c r="C73" s="1228">
        <v>0</v>
      </c>
      <c r="D73" s="1228">
        <v>0</v>
      </c>
      <c r="E73" s="1228">
        <v>0</v>
      </c>
      <c r="F73" s="1228">
        <v>0</v>
      </c>
    </row>
    <row r="74" spans="1:6">
      <c r="A74" s="1233"/>
      <c r="B74" s="1229"/>
      <c r="C74" s="1229"/>
      <c r="D74" s="1229"/>
      <c r="E74" s="1229"/>
      <c r="F74" s="1230"/>
    </row>
    <row r="75" spans="1:6">
      <c r="A75" s="1233"/>
      <c r="B75" s="1229"/>
      <c r="C75" s="1229"/>
      <c r="D75" s="1229"/>
      <c r="E75" s="1229"/>
      <c r="F75" s="1230"/>
    </row>
    <row r="76" spans="1:6">
      <c r="A76" s="1233"/>
      <c r="B76" s="1229"/>
      <c r="C76" s="1229"/>
      <c r="D76" s="1229"/>
      <c r="E76" s="1229"/>
      <c r="F76" s="1230"/>
    </row>
    <row r="77" spans="1:6">
      <c r="A77" s="1233"/>
      <c r="B77" s="1229"/>
      <c r="C77" s="1229"/>
      <c r="D77" s="1229"/>
      <c r="E77" s="1229"/>
      <c r="F77" s="1230"/>
    </row>
    <row r="78" spans="1:6">
      <c r="A78" s="1233"/>
      <c r="B78" s="1229"/>
      <c r="C78" s="1229"/>
      <c r="D78" s="1229"/>
      <c r="E78" s="1229"/>
      <c r="F78" s="1230"/>
    </row>
    <row r="79" spans="1:6">
      <c r="A79" s="1233"/>
      <c r="B79" s="1229"/>
      <c r="C79" s="1229"/>
      <c r="D79" s="1229"/>
      <c r="E79" s="1229"/>
      <c r="F79" s="1230"/>
    </row>
    <row r="80" spans="1:6">
      <c r="A80" s="1233"/>
      <c r="B80" s="1229"/>
      <c r="C80" s="1229"/>
      <c r="D80" s="1229"/>
      <c r="E80" s="1229"/>
      <c r="F80" s="1230"/>
    </row>
    <row r="81" spans="1:6">
      <c r="A81" s="1233"/>
      <c r="B81" s="1229"/>
      <c r="C81" s="1229"/>
      <c r="D81" s="1229"/>
      <c r="E81" s="1229"/>
      <c r="F81" s="1230"/>
    </row>
    <row r="82" spans="1:6">
      <c r="A82" s="1233"/>
      <c r="B82" s="1229"/>
      <c r="C82" s="1229"/>
      <c r="D82" s="1229"/>
      <c r="E82" s="1229"/>
      <c r="F82" s="1230"/>
    </row>
    <row r="83" spans="1:6">
      <c r="A83" s="1233"/>
      <c r="B83" s="1229"/>
      <c r="C83" s="1229"/>
      <c r="D83" s="1229"/>
      <c r="E83" s="1229"/>
      <c r="F83" s="1230"/>
    </row>
    <row r="84" spans="1:6">
      <c r="A84" s="1233"/>
      <c r="B84" s="1229"/>
      <c r="C84" s="1229"/>
      <c r="D84" s="1229"/>
      <c r="E84" s="1229"/>
      <c r="F84" s="1230"/>
    </row>
    <row r="85" spans="1:6">
      <c r="A85" s="1233"/>
      <c r="B85" s="1229"/>
      <c r="C85" s="1229"/>
      <c r="D85" s="1229"/>
      <c r="E85" s="1229"/>
      <c r="F85" s="1230"/>
    </row>
    <row r="86" spans="1:6">
      <c r="A86" s="1233"/>
      <c r="B86" s="1229"/>
      <c r="C86" s="1229"/>
      <c r="D86" s="1229"/>
      <c r="E86" s="1229"/>
      <c r="F86" s="1230"/>
    </row>
  </sheetData>
  <sheetProtection formatCells="0"/>
  <mergeCells count="1">
    <mergeCell ref="A1:G1"/>
  </mergeCells>
  <hyperlinks>
    <hyperlink ref="A1:F1" location="WELZIJN!A1" display="GEZINSHULP" xr:uid="{00000000-0004-0000-2200-000000000000}"/>
  </hyperlinks>
  <printOptions horizontalCentered="1"/>
  <pageMargins left="0.78740157480314965" right="0.78740157480314965" top="0.78740157480314965" bottom="0.78740157480314965" header="0.51181102362204722" footer="0.51181102362204722"/>
  <pageSetup paperSize="9" orientation="landscape" r:id="rId1"/>
  <headerFooter alignWithMargins="0"/>
  <rowBreaks count="1" manualBreakCount="1">
    <brk id="39" max="16383"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AB8AA"/>
  </sheetPr>
  <dimension ref="A1:P198"/>
  <sheetViews>
    <sheetView workbookViewId="0">
      <pane ySplit="3" topLeftCell="A4" activePane="bottomLeft" state="frozen"/>
      <selection activeCell="E37" sqref="E37"/>
      <selection pane="bottomLeft" sqref="A1:J1"/>
    </sheetView>
  </sheetViews>
  <sheetFormatPr defaultColWidth="9.140625" defaultRowHeight="12.75"/>
  <cols>
    <col min="1" max="1" width="47.140625" style="1224" bestFit="1" customWidth="1"/>
    <col min="2" max="7" width="15.7109375" style="1224" customWidth="1"/>
    <col min="8" max="10" width="11.7109375" style="1224" customWidth="1"/>
    <col min="11" max="16384" width="9.140625" style="1224"/>
  </cols>
  <sheetData>
    <row r="1" spans="1:16" ht="18.75">
      <c r="A1" s="4824" t="s">
        <v>5615</v>
      </c>
      <c r="B1" s="4825"/>
      <c r="C1" s="4825"/>
      <c r="D1" s="4825"/>
      <c r="E1" s="4825"/>
      <c r="F1" s="4825"/>
      <c r="G1" s="4825"/>
      <c r="H1" s="4825"/>
      <c r="I1" s="4825"/>
      <c r="J1" s="4826"/>
    </row>
    <row r="3" spans="1:16">
      <c r="A3" s="2754" t="s">
        <v>5563</v>
      </c>
      <c r="B3" s="2745">
        <v>2017</v>
      </c>
      <c r="C3" s="2745">
        <v>2018</v>
      </c>
      <c r="D3" s="2745">
        <v>2019</v>
      </c>
      <c r="E3" s="2745">
        <v>2020</v>
      </c>
      <c r="F3" s="2745">
        <v>2021</v>
      </c>
      <c r="G3" s="2745">
        <v>2022</v>
      </c>
    </row>
    <row r="4" spans="1:16">
      <c r="A4" s="1249" t="s">
        <v>5564</v>
      </c>
      <c r="B4" s="1232">
        <v>68</v>
      </c>
      <c r="C4" s="1232">
        <v>92</v>
      </c>
      <c r="D4" s="1232">
        <v>32</v>
      </c>
      <c r="E4" s="1232">
        <v>40</v>
      </c>
      <c r="F4" s="1232">
        <v>27</v>
      </c>
      <c r="G4" s="1232">
        <v>37</v>
      </c>
      <c r="K4" s="1237"/>
      <c r="L4" s="1237"/>
      <c r="M4" s="1237"/>
      <c r="N4" s="1237"/>
      <c r="O4" s="1237"/>
      <c r="P4" s="1237"/>
    </row>
    <row r="5" spans="1:16">
      <c r="A5" s="1249" t="s">
        <v>5565</v>
      </c>
      <c r="B5" s="1232">
        <f>SUM(B7:B8)</f>
        <v>110</v>
      </c>
      <c r="C5" s="1232">
        <f>SUM(C7:C8)</f>
        <v>158</v>
      </c>
      <c r="D5" s="1232">
        <f>SUM(D7:D8)</f>
        <v>135</v>
      </c>
      <c r="E5" s="1232">
        <f>SUM(E7:E8)</f>
        <v>113</v>
      </c>
      <c r="F5" s="1232">
        <f t="shared" ref="F5:G5" si="0">SUM(F7:F8)</f>
        <v>111</v>
      </c>
      <c r="G5" s="1232">
        <f t="shared" si="0"/>
        <v>92</v>
      </c>
    </row>
    <row r="6" spans="1:16">
      <c r="A6" s="1261" t="s">
        <v>5566</v>
      </c>
      <c r="B6" s="1232"/>
      <c r="C6" s="1232"/>
      <c r="D6" s="1232"/>
      <c r="E6" s="1232"/>
      <c r="F6" s="1232"/>
      <c r="G6" s="1232"/>
    </row>
    <row r="7" spans="1:16">
      <c r="A7" s="1262" t="s">
        <v>5567</v>
      </c>
      <c r="B7" s="1232">
        <f>28+33+6</f>
        <v>67</v>
      </c>
      <c r="C7" s="1232">
        <v>91</v>
      </c>
      <c r="D7" s="1232">
        <f>17+39+18</f>
        <v>74</v>
      </c>
      <c r="E7" s="1232">
        <v>59</v>
      </c>
      <c r="F7" s="1232">
        <v>48</v>
      </c>
      <c r="G7" s="1232">
        <v>32</v>
      </c>
    </row>
    <row r="8" spans="1:16">
      <c r="A8" s="1262" t="s">
        <v>5568</v>
      </c>
      <c r="B8" s="1232">
        <f>12+10+21</f>
        <v>43</v>
      </c>
      <c r="C8" s="1232">
        <v>67</v>
      </c>
      <c r="D8" s="1232">
        <f>13+22+26</f>
        <v>61</v>
      </c>
      <c r="E8" s="1232">
        <v>54</v>
      </c>
      <c r="F8" s="1232">
        <v>63</v>
      </c>
      <c r="G8" s="1232">
        <v>60</v>
      </c>
    </row>
    <row r="9" spans="1:16">
      <c r="A9" s="1261" t="s">
        <v>5569</v>
      </c>
      <c r="B9" s="1232"/>
      <c r="C9" s="1232"/>
      <c r="D9" s="1232"/>
      <c r="E9" s="1232"/>
      <c r="F9" s="1232"/>
      <c r="G9" s="1232"/>
      <c r="J9" s="1237"/>
      <c r="K9" s="1237"/>
    </row>
    <row r="10" spans="1:16">
      <c r="A10" s="1263" t="s">
        <v>5570</v>
      </c>
      <c r="B10" s="1232">
        <v>48</v>
      </c>
      <c r="C10" s="1232">
        <v>64</v>
      </c>
      <c r="D10" s="1232">
        <v>42</v>
      </c>
      <c r="E10" s="1232">
        <f>10+16+6</f>
        <v>32</v>
      </c>
      <c r="F10" s="1232">
        <v>41</v>
      </c>
      <c r="G10" s="1232">
        <v>20</v>
      </c>
    </row>
    <row r="11" spans="1:16">
      <c r="A11" s="1262" t="s">
        <v>5571</v>
      </c>
      <c r="B11" s="1232">
        <v>61</v>
      </c>
      <c r="C11" s="1232">
        <v>90</v>
      </c>
      <c r="D11" s="1232">
        <v>87</v>
      </c>
      <c r="E11" s="1232">
        <f>11+36+31</f>
        <v>78</v>
      </c>
      <c r="F11" s="1232">
        <v>69</v>
      </c>
      <c r="G11" s="1232">
        <v>65</v>
      </c>
    </row>
    <row r="12" spans="1:16">
      <c r="A12" s="1264" t="s">
        <v>5572</v>
      </c>
      <c r="B12" s="1228">
        <v>1</v>
      </c>
      <c r="C12" s="1228">
        <v>4</v>
      </c>
      <c r="D12" s="1228">
        <v>6</v>
      </c>
      <c r="E12" s="1228">
        <f>1+2+0</f>
        <v>3</v>
      </c>
      <c r="F12" s="1228">
        <v>1</v>
      </c>
      <c r="G12" s="1228">
        <v>7</v>
      </c>
    </row>
    <row r="13" spans="1:16">
      <c r="A13" s="1265"/>
      <c r="B13" s="1265"/>
      <c r="C13" s="1266"/>
      <c r="D13" s="1241"/>
      <c r="E13" s="1241"/>
      <c r="F13" s="1241"/>
    </row>
    <row r="14" spans="1:16">
      <c r="A14" s="1267"/>
      <c r="B14" s="1267"/>
      <c r="C14" s="1241"/>
      <c r="D14" s="1241"/>
      <c r="E14" s="1241"/>
      <c r="F14" s="1241"/>
    </row>
    <row r="15" spans="1:16">
      <c r="A15" s="1267"/>
      <c r="B15" s="1267"/>
      <c r="C15" s="1241"/>
      <c r="D15" s="1241"/>
      <c r="E15" s="1241"/>
      <c r="F15" s="1241"/>
    </row>
    <row r="16" spans="1:16">
      <c r="A16" s="1267"/>
      <c r="B16" s="1267"/>
      <c r="C16" s="1241"/>
      <c r="D16" s="1241"/>
      <c r="E16" s="1241"/>
      <c r="F16" s="1241"/>
    </row>
    <row r="17" spans="1:7">
      <c r="A17" s="1267"/>
      <c r="B17" s="1267"/>
      <c r="C17" s="1241"/>
      <c r="D17" s="1241"/>
      <c r="E17" s="1241"/>
      <c r="F17" s="1241"/>
    </row>
    <row r="18" spans="1:7">
      <c r="A18" s="1267"/>
      <c r="B18" s="1267"/>
      <c r="C18" s="1241"/>
      <c r="D18" s="1241"/>
      <c r="E18" s="1241"/>
      <c r="F18" s="1241"/>
    </row>
    <row r="19" spans="1:7">
      <c r="A19" s="1267"/>
      <c r="B19" s="1267"/>
      <c r="C19" s="1241"/>
      <c r="D19" s="1241"/>
      <c r="E19" s="1241"/>
      <c r="F19" s="1241"/>
    </row>
    <row r="20" spans="1:7">
      <c r="A20" s="1267"/>
      <c r="B20" s="1267"/>
      <c r="C20" s="1241"/>
      <c r="D20" s="1241"/>
      <c r="E20" s="1241"/>
      <c r="F20" s="1241"/>
    </row>
    <row r="21" spans="1:7">
      <c r="A21" s="1267"/>
      <c r="B21" s="1267"/>
      <c r="C21" s="1241"/>
      <c r="D21" s="1241"/>
      <c r="E21" s="1241"/>
      <c r="F21" s="1241"/>
    </row>
    <row r="22" spans="1:7">
      <c r="A22" s="1267"/>
      <c r="B22" s="1267"/>
      <c r="C22" s="1241"/>
      <c r="D22" s="1241"/>
      <c r="E22" s="1241"/>
      <c r="F22" s="1241"/>
    </row>
    <row r="23" spans="1:7">
      <c r="A23" s="1267"/>
      <c r="B23" s="1267"/>
      <c r="C23" s="1241"/>
      <c r="D23" s="1241"/>
      <c r="E23" s="1241"/>
      <c r="F23" s="1241"/>
    </row>
    <row r="24" spans="1:7">
      <c r="A24" s="1267"/>
      <c r="B24" s="1267"/>
      <c r="C24" s="1241"/>
      <c r="D24" s="1241"/>
      <c r="E24" s="1241"/>
      <c r="F24" s="1241"/>
    </row>
    <row r="25" spans="1:7">
      <c r="A25" s="1267"/>
      <c r="B25" s="1267"/>
      <c r="C25" s="1241"/>
      <c r="D25" s="1241"/>
      <c r="E25" s="1241"/>
      <c r="F25" s="1241"/>
    </row>
    <row r="26" spans="1:7">
      <c r="A26" s="1267"/>
      <c r="B26" s="1267"/>
      <c r="C26" s="1241"/>
      <c r="D26" s="1241"/>
      <c r="E26" s="1241"/>
      <c r="F26" s="1241"/>
    </row>
    <row r="27" spans="1:7">
      <c r="A27" s="1267"/>
      <c r="B27" s="1267"/>
      <c r="C27" s="1241"/>
      <c r="D27" s="1241"/>
      <c r="E27" s="1241"/>
      <c r="F27" s="1241"/>
    </row>
    <row r="28" spans="1:7">
      <c r="A28" s="1267"/>
      <c r="B28" s="1267"/>
      <c r="C28" s="1241"/>
      <c r="D28" s="1241"/>
      <c r="E28" s="1241"/>
      <c r="F28" s="1241"/>
    </row>
    <row r="29" spans="1:7">
      <c r="A29" s="1267"/>
      <c r="B29" s="1267"/>
      <c r="C29" s="1241"/>
      <c r="D29" s="1241"/>
      <c r="E29" s="1241"/>
      <c r="F29" s="1241"/>
    </row>
    <row r="30" spans="1:7">
      <c r="A30" s="1267"/>
      <c r="B30" s="1267"/>
      <c r="C30" s="1241"/>
      <c r="D30" s="1241"/>
      <c r="E30" s="1241"/>
      <c r="F30" s="1241"/>
    </row>
    <row r="31" spans="1:7" ht="12" customHeight="1">
      <c r="A31" s="1267"/>
      <c r="B31" s="1267"/>
      <c r="C31" s="1241"/>
      <c r="D31" s="1241"/>
      <c r="E31" s="1241"/>
      <c r="F31" s="1241"/>
    </row>
    <row r="32" spans="1:7" ht="12" customHeight="1">
      <c r="A32" s="2754" t="s">
        <v>5573</v>
      </c>
      <c r="B32" s="2745">
        <f>B3</f>
        <v>2017</v>
      </c>
      <c r="C32" s="2745">
        <f>C3</f>
        <v>2018</v>
      </c>
      <c r="D32" s="2745">
        <f>D3</f>
        <v>2019</v>
      </c>
      <c r="E32" s="2745">
        <f>E3</f>
        <v>2020</v>
      </c>
      <c r="F32" s="2745">
        <v>2021</v>
      </c>
      <c r="G32" s="2745">
        <f>G3</f>
        <v>2022</v>
      </c>
    </row>
    <row r="33" spans="1:10">
      <c r="A33" s="1268" t="s">
        <v>5574</v>
      </c>
      <c r="B33" s="1226"/>
      <c r="C33" s="1226"/>
      <c r="D33" s="1226"/>
      <c r="E33" s="3565"/>
      <c r="F33" s="3565"/>
      <c r="G33" s="4523"/>
    </row>
    <row r="34" spans="1:10">
      <c r="A34" s="1249" t="s">
        <v>5575</v>
      </c>
      <c r="B34" s="1232">
        <f>5+3+2+1+3</f>
        <v>14</v>
      </c>
      <c r="C34" s="1232">
        <v>55</v>
      </c>
      <c r="D34" s="1232">
        <f>24+2+9+6+3</f>
        <v>44</v>
      </c>
      <c r="E34" s="1232">
        <v>37</v>
      </c>
      <c r="F34" s="1232">
        <v>43</v>
      </c>
      <c r="G34" s="1232">
        <f>107+23</f>
        <v>130</v>
      </c>
    </row>
    <row r="35" spans="1:10">
      <c r="A35" s="1249" t="s">
        <v>5576</v>
      </c>
      <c r="B35" s="1232">
        <v>21</v>
      </c>
      <c r="C35" s="1232">
        <v>43</v>
      </c>
      <c r="D35" s="1232">
        <v>21</v>
      </c>
      <c r="E35" s="1232">
        <v>12</v>
      </c>
      <c r="F35" s="1232">
        <v>12</v>
      </c>
      <c r="G35" s="1232">
        <v>27</v>
      </c>
    </row>
    <row r="36" spans="1:10">
      <c r="A36" s="1249" t="s">
        <v>5577</v>
      </c>
      <c r="B36" s="1232">
        <v>34</v>
      </c>
      <c r="C36" s="1232">
        <v>36</v>
      </c>
      <c r="D36" s="1232">
        <v>30</v>
      </c>
      <c r="E36" s="1232">
        <v>30</v>
      </c>
      <c r="F36" s="1232">
        <v>24</v>
      </c>
      <c r="G36" s="1232">
        <v>24</v>
      </c>
    </row>
    <row r="37" spans="1:10">
      <c r="A37" s="1249" t="s">
        <v>5578</v>
      </c>
      <c r="B37" s="1232">
        <v>6</v>
      </c>
      <c r="C37" s="1232">
        <v>3</v>
      </c>
      <c r="D37" s="1232">
        <v>3</v>
      </c>
      <c r="E37" s="1232">
        <v>4</v>
      </c>
      <c r="F37" s="1232">
        <v>4</v>
      </c>
      <c r="G37" s="1232">
        <v>3</v>
      </c>
    </row>
    <row r="38" spans="1:10">
      <c r="A38" s="1249" t="s">
        <v>5537</v>
      </c>
      <c r="B38" s="1232">
        <f>'W-GEZINSHULP'!B23</f>
        <v>61</v>
      </c>
      <c r="C38" s="1232">
        <f>'W-GEZINSHULP'!C23</f>
        <v>120</v>
      </c>
      <c r="D38" s="1232">
        <f>'W-GEZINSHULP'!D23</f>
        <v>147</v>
      </c>
      <c r="E38" s="1232">
        <f>'W-GEZINSHULP'!E23</f>
        <v>138</v>
      </c>
      <c r="F38" s="1232">
        <f>'W-GEZINSHULP'!F23</f>
        <v>152</v>
      </c>
      <c r="G38" s="1232">
        <f>'W-GEZINSHULP'!G23</f>
        <v>172</v>
      </c>
    </row>
    <row r="39" spans="1:10">
      <c r="A39" s="1249" t="s">
        <v>7715</v>
      </c>
      <c r="B39" s="1232"/>
      <c r="C39" s="1232"/>
      <c r="D39" s="1232"/>
      <c r="E39" s="1232"/>
      <c r="F39" s="1232">
        <v>55</v>
      </c>
      <c r="G39" s="1232">
        <v>84</v>
      </c>
    </row>
    <row r="40" spans="1:10">
      <c r="A40" s="1249" t="s">
        <v>7714</v>
      </c>
      <c r="B40" s="1232"/>
      <c r="C40" s="1232"/>
      <c r="D40" s="1232"/>
      <c r="E40" s="1232"/>
      <c r="F40" s="1232">
        <v>0</v>
      </c>
      <c r="G40" s="1232">
        <v>1</v>
      </c>
    </row>
    <row r="41" spans="1:10">
      <c r="A41" s="1249" t="s">
        <v>7713</v>
      </c>
      <c r="B41" s="1232"/>
      <c r="C41" s="1232"/>
      <c r="D41" s="1232"/>
      <c r="E41" s="1232"/>
      <c r="F41" s="1232">
        <v>3</v>
      </c>
      <c r="G41" s="1232">
        <v>0</v>
      </c>
    </row>
    <row r="42" spans="1:10">
      <c r="A42" s="1249"/>
      <c r="B42" s="1232"/>
      <c r="C42" s="1232"/>
      <c r="D42" s="1232"/>
      <c r="E42" s="1232"/>
      <c r="F42" s="1232"/>
      <c r="G42" s="1232"/>
      <c r="J42" s="1269"/>
    </row>
    <row r="43" spans="1:10">
      <c r="A43" s="1270" t="s">
        <v>5579</v>
      </c>
      <c r="B43" s="1232"/>
      <c r="C43" s="1232"/>
      <c r="D43" s="1232"/>
      <c r="E43" s="1232"/>
      <c r="F43" s="1232"/>
      <c r="G43" s="1232"/>
    </row>
    <row r="44" spans="1:10">
      <c r="A44" s="1249" t="s">
        <v>7711</v>
      </c>
      <c r="B44" s="1232"/>
      <c r="C44" s="1232"/>
      <c r="D44" s="1232"/>
      <c r="E44" s="1232"/>
      <c r="F44" s="1232">
        <v>5</v>
      </c>
      <c r="G44" s="1232">
        <v>11</v>
      </c>
    </row>
    <row r="45" spans="1:10">
      <c r="A45" s="1249" t="s">
        <v>7710</v>
      </c>
      <c r="B45" s="1232"/>
      <c r="C45" s="1232"/>
      <c r="D45" s="1232"/>
      <c r="E45" s="1232"/>
      <c r="F45" s="1232">
        <v>13</v>
      </c>
      <c r="G45" s="1232">
        <v>12</v>
      </c>
    </row>
    <row r="46" spans="1:10">
      <c r="A46" s="1249" t="s">
        <v>8075</v>
      </c>
      <c r="B46" s="1232"/>
      <c r="C46" s="1232"/>
      <c r="D46" s="1232"/>
      <c r="E46" s="1232"/>
      <c r="F46" s="1232">
        <v>6</v>
      </c>
      <c r="G46" s="1232">
        <v>9</v>
      </c>
    </row>
    <row r="47" spans="1:10">
      <c r="A47" s="1249" t="s">
        <v>7712</v>
      </c>
      <c r="B47" s="1232"/>
      <c r="C47" s="1232"/>
      <c r="D47" s="1232"/>
      <c r="E47" s="1232"/>
      <c r="F47" s="1232">
        <v>1</v>
      </c>
      <c r="G47" s="1232">
        <v>6</v>
      </c>
    </row>
    <row r="48" spans="1:10">
      <c r="A48" s="1270"/>
      <c r="B48" s="1232"/>
      <c r="C48" s="1232"/>
      <c r="D48" s="1232"/>
      <c r="E48" s="1232"/>
      <c r="F48" s="1232"/>
      <c r="G48" s="1232"/>
    </row>
    <row r="49" spans="1:13">
      <c r="A49" s="1270" t="s">
        <v>5580</v>
      </c>
      <c r="B49" s="1232"/>
      <c r="C49" s="1232"/>
      <c r="D49" s="1232"/>
      <c r="E49" s="1232"/>
      <c r="F49" s="1232"/>
      <c r="G49" s="1232"/>
    </row>
    <row r="50" spans="1:13">
      <c r="A50" s="1249" t="s">
        <v>8074</v>
      </c>
      <c r="B50" s="1232">
        <f t="shared" ref="B50:G50" si="1">B52+B54</f>
        <v>7</v>
      </c>
      <c r="C50" s="1232">
        <f t="shared" si="1"/>
        <v>11</v>
      </c>
      <c r="D50" s="1232">
        <f t="shared" si="1"/>
        <v>11</v>
      </c>
      <c r="E50" s="1232">
        <f t="shared" si="1"/>
        <v>9</v>
      </c>
      <c r="F50" s="1232">
        <f t="shared" si="1"/>
        <v>8</v>
      </c>
      <c r="G50" s="1232">
        <f t="shared" si="1"/>
        <v>8</v>
      </c>
    </row>
    <row r="51" spans="1:13">
      <c r="A51" s="1249" t="s">
        <v>5581</v>
      </c>
      <c r="B51" s="1232">
        <v>4</v>
      </c>
      <c r="C51" s="1232">
        <v>7</v>
      </c>
      <c r="D51" s="1232">
        <v>6</v>
      </c>
      <c r="E51" s="1232">
        <v>6</v>
      </c>
      <c r="F51" s="1232">
        <v>3</v>
      </c>
      <c r="G51" s="1232">
        <v>6</v>
      </c>
    </row>
    <row r="52" spans="1:13">
      <c r="A52" s="1249" t="s">
        <v>5582</v>
      </c>
      <c r="B52" s="1232">
        <v>5</v>
      </c>
      <c r="C52" s="1232">
        <v>9</v>
      </c>
      <c r="D52" s="1232">
        <v>7</v>
      </c>
      <c r="E52" s="1232">
        <v>6</v>
      </c>
      <c r="F52" s="1232">
        <v>6</v>
      </c>
      <c r="G52" s="1232">
        <v>6</v>
      </c>
    </row>
    <row r="53" spans="1:13">
      <c r="A53" s="1249" t="s">
        <v>5583</v>
      </c>
      <c r="B53" s="1232">
        <v>1</v>
      </c>
      <c r="C53" s="1232">
        <v>2</v>
      </c>
      <c r="D53" s="1232">
        <v>3</v>
      </c>
      <c r="E53" s="1232">
        <v>2</v>
      </c>
      <c r="F53" s="1232">
        <v>2</v>
      </c>
      <c r="G53" s="1232">
        <v>2</v>
      </c>
    </row>
    <row r="54" spans="1:13">
      <c r="A54" s="1245" t="s">
        <v>5584</v>
      </c>
      <c r="B54" s="1228">
        <v>2</v>
      </c>
      <c r="C54" s="1228">
        <v>2</v>
      </c>
      <c r="D54" s="1228">
        <v>4</v>
      </c>
      <c r="E54" s="1228">
        <v>3</v>
      </c>
      <c r="F54" s="1228">
        <v>2</v>
      </c>
      <c r="G54" s="1228">
        <v>2</v>
      </c>
    </row>
    <row r="55" spans="1:13">
      <c r="A55" s="1271"/>
      <c r="B55" s="1271"/>
      <c r="C55" s="1272"/>
      <c r="D55" s="1272"/>
      <c r="E55" s="1272"/>
      <c r="F55" s="1241"/>
      <c r="G55" s="2757"/>
      <c r="H55" s="2757"/>
      <c r="I55" s="2757"/>
      <c r="J55" s="2757"/>
      <c r="K55" s="2757"/>
      <c r="L55" s="2757"/>
      <c r="M55" s="2757"/>
    </row>
    <row r="56" spans="1:13">
      <c r="A56" s="1273"/>
      <c r="B56" s="1273"/>
      <c r="C56" s="1241"/>
      <c r="D56" s="1241"/>
      <c r="E56" s="1241"/>
      <c r="F56" s="1241"/>
      <c r="G56" s="3566"/>
      <c r="H56" s="2757"/>
      <c r="I56" s="2757"/>
      <c r="J56" s="3567"/>
      <c r="K56" s="3567"/>
      <c r="L56" s="3567"/>
      <c r="M56" s="2757"/>
    </row>
    <row r="57" spans="1:13">
      <c r="A57" s="1273"/>
      <c r="B57" s="1273"/>
      <c r="C57" s="1241"/>
      <c r="D57" s="1241"/>
      <c r="E57" s="1241"/>
      <c r="F57" s="1241"/>
      <c r="G57" s="2757"/>
      <c r="H57" s="2757"/>
      <c r="I57" s="2757"/>
      <c r="J57" s="2756"/>
      <c r="K57" s="2756"/>
      <c r="L57" s="2756"/>
      <c r="M57" s="2757"/>
    </row>
    <row r="58" spans="1:13">
      <c r="A58" s="1273"/>
      <c r="B58" s="1273"/>
      <c r="C58" s="1241"/>
      <c r="D58" s="1241"/>
      <c r="E58" s="1241"/>
      <c r="F58" s="1241"/>
      <c r="G58" s="2757"/>
      <c r="H58" s="2757"/>
      <c r="I58" s="2757"/>
      <c r="J58" s="2756"/>
      <c r="K58" s="2756"/>
      <c r="L58" s="2756"/>
      <c r="M58" s="2757"/>
    </row>
    <row r="59" spans="1:13">
      <c r="A59" s="1273"/>
      <c r="B59" s="1273"/>
      <c r="C59" s="1241"/>
      <c r="D59" s="1241"/>
      <c r="E59" s="1241"/>
      <c r="F59" s="1241"/>
      <c r="G59" s="2757"/>
      <c r="H59" s="2757"/>
      <c r="I59" s="2757"/>
      <c r="J59" s="2756"/>
      <c r="K59" s="2756"/>
      <c r="L59" s="2756"/>
      <c r="M59" s="2757"/>
    </row>
    <row r="60" spans="1:13">
      <c r="A60" s="1273"/>
      <c r="B60" s="1273"/>
      <c r="C60" s="1241"/>
      <c r="D60" s="1241"/>
      <c r="E60" s="1241"/>
      <c r="F60" s="1241"/>
      <c r="G60" s="2757"/>
      <c r="H60" s="2757"/>
      <c r="I60" s="2757"/>
      <c r="J60" s="2756"/>
      <c r="K60" s="2756"/>
      <c r="L60" s="2756"/>
      <c r="M60" s="2757"/>
    </row>
    <row r="61" spans="1:13">
      <c r="A61" s="1273"/>
      <c r="B61" s="1273"/>
      <c r="C61" s="1241"/>
      <c r="D61" s="1241"/>
      <c r="E61" s="1241"/>
      <c r="F61" s="1241"/>
      <c r="G61" s="2757"/>
      <c r="H61" s="2757"/>
      <c r="I61" s="2757"/>
      <c r="J61" s="2756"/>
      <c r="K61" s="2756"/>
      <c r="L61" s="2756"/>
      <c r="M61" s="2757"/>
    </row>
    <row r="62" spans="1:13">
      <c r="A62" s="1273"/>
      <c r="B62" s="1273"/>
      <c r="C62" s="1241"/>
      <c r="D62" s="1241"/>
      <c r="E62" s="1241"/>
      <c r="F62" s="1241"/>
      <c r="G62" s="3568"/>
      <c r="H62" s="2757"/>
      <c r="I62" s="2757"/>
      <c r="J62" s="2756"/>
      <c r="K62" s="2756"/>
      <c r="L62" s="2756"/>
      <c r="M62" s="2757"/>
    </row>
    <row r="63" spans="1:13">
      <c r="A63" s="1273"/>
      <c r="B63" s="1273"/>
      <c r="C63" s="1241"/>
      <c r="D63" s="1241"/>
      <c r="E63" s="1241"/>
      <c r="F63" s="1241"/>
      <c r="G63" s="3568"/>
      <c r="H63" s="2757"/>
      <c r="I63" s="2757"/>
      <c r="J63" s="2756"/>
      <c r="K63" s="2756"/>
      <c r="L63" s="2756"/>
      <c r="M63" s="2757"/>
    </row>
    <row r="64" spans="1:13">
      <c r="A64" s="1273"/>
      <c r="B64" s="1273"/>
      <c r="C64" s="1241"/>
      <c r="D64" s="1241"/>
      <c r="E64" s="1241"/>
      <c r="F64" s="1241"/>
      <c r="G64" s="3568"/>
      <c r="H64" s="2757"/>
      <c r="I64" s="2757"/>
      <c r="J64" s="2756"/>
      <c r="K64" s="2756"/>
      <c r="L64" s="2756"/>
      <c r="M64" s="2757"/>
    </row>
    <row r="65" spans="1:13">
      <c r="A65" s="1273"/>
      <c r="B65" s="1273"/>
      <c r="C65" s="1241"/>
      <c r="D65" s="1241"/>
      <c r="E65" s="1241"/>
      <c r="F65" s="1241"/>
      <c r="G65" s="3568"/>
      <c r="H65" s="2757"/>
      <c r="I65" s="2757"/>
      <c r="J65" s="2756"/>
      <c r="K65" s="2756"/>
      <c r="L65" s="2756"/>
      <c r="M65" s="2757"/>
    </row>
    <row r="66" spans="1:13">
      <c r="A66" s="1273"/>
      <c r="B66" s="1273"/>
      <c r="C66" s="1241"/>
      <c r="D66" s="1241"/>
      <c r="E66" s="1241"/>
      <c r="F66" s="1241"/>
      <c r="G66" s="3568"/>
      <c r="H66" s="2757"/>
      <c r="I66" s="2757"/>
      <c r="J66" s="2756"/>
      <c r="K66" s="2756"/>
      <c r="L66" s="2756"/>
      <c r="M66" s="2757"/>
    </row>
    <row r="67" spans="1:13">
      <c r="A67" s="1273"/>
      <c r="B67" s="1273"/>
      <c r="C67" s="1241"/>
      <c r="D67" s="1241"/>
      <c r="E67" s="1241"/>
      <c r="F67" s="1241"/>
      <c r="G67" s="3568"/>
      <c r="H67" s="2757"/>
      <c r="I67" s="2757"/>
      <c r="J67" s="2756"/>
      <c r="K67" s="2756"/>
      <c r="L67" s="2756"/>
      <c r="M67" s="2757"/>
    </row>
    <row r="68" spans="1:13">
      <c r="A68" s="1273"/>
      <c r="B68" s="1273"/>
      <c r="C68" s="1241"/>
      <c r="D68" s="1241"/>
      <c r="E68" s="1241"/>
      <c r="F68" s="1241"/>
      <c r="G68" s="3568"/>
      <c r="H68" s="2757"/>
      <c r="I68" s="2757"/>
      <c r="J68" s="2756"/>
      <c r="K68" s="2756"/>
      <c r="L68" s="2756"/>
      <c r="M68" s="2757"/>
    </row>
    <row r="69" spans="1:13">
      <c r="A69" s="1273"/>
      <c r="B69" s="1273"/>
      <c r="C69" s="1241"/>
      <c r="D69" s="1241"/>
      <c r="E69" s="1241"/>
      <c r="F69" s="1241"/>
      <c r="G69" s="3568"/>
      <c r="H69" s="2757"/>
      <c r="I69" s="2757"/>
      <c r="J69" s="2756"/>
      <c r="K69" s="2756"/>
      <c r="L69" s="2756"/>
      <c r="M69" s="2757"/>
    </row>
    <row r="70" spans="1:13">
      <c r="A70" s="1273"/>
      <c r="B70" s="1273"/>
      <c r="C70" s="1241"/>
      <c r="D70" s="1241"/>
      <c r="E70" s="1241"/>
      <c r="F70" s="1241"/>
      <c r="G70" s="2757"/>
      <c r="H70" s="2757"/>
      <c r="I70" s="2757"/>
      <c r="J70" s="2757"/>
      <c r="K70" s="2757"/>
      <c r="L70" s="2757"/>
      <c r="M70" s="2757"/>
    </row>
    <row r="71" spans="1:13">
      <c r="A71" s="1273"/>
      <c r="B71" s="1273"/>
      <c r="C71" s="1241"/>
      <c r="D71" s="1241"/>
      <c r="E71" s="1241"/>
      <c r="F71" s="1241"/>
    </row>
    <row r="72" spans="1:13">
      <c r="A72" s="1273"/>
      <c r="B72" s="1273"/>
      <c r="C72" s="1241"/>
      <c r="D72" s="1241"/>
      <c r="E72" s="1241"/>
      <c r="F72" s="1241"/>
    </row>
    <row r="73" spans="1:13">
      <c r="A73" s="1273"/>
      <c r="B73" s="1273"/>
      <c r="C73" s="1241"/>
      <c r="D73" s="1241"/>
      <c r="E73" s="1241"/>
      <c r="F73" s="1241"/>
    </row>
    <row r="74" spans="1:13">
      <c r="A74" s="1273"/>
      <c r="B74" s="1273"/>
      <c r="C74" s="1241"/>
      <c r="D74" s="1241"/>
      <c r="E74" s="1241"/>
      <c r="F74" s="1241"/>
    </row>
    <row r="75" spans="1:13">
      <c r="A75" s="1273"/>
      <c r="B75" s="1273"/>
      <c r="C75" s="1241"/>
      <c r="D75" s="1241"/>
      <c r="E75" s="1241"/>
      <c r="F75" s="1241"/>
    </row>
    <row r="76" spans="1:13">
      <c r="A76" s="1273"/>
      <c r="B76" s="1273"/>
      <c r="C76" s="1241"/>
      <c r="D76" s="1241"/>
      <c r="E76" s="1241"/>
      <c r="F76" s="1241"/>
    </row>
    <row r="77" spans="1:13">
      <c r="A77" s="1273"/>
      <c r="B77" s="1273"/>
      <c r="C77" s="1241"/>
      <c r="D77" s="1241"/>
      <c r="E77" s="1241"/>
      <c r="F77" s="1241"/>
    </row>
    <row r="78" spans="1:13">
      <c r="A78" s="1273"/>
      <c r="B78" s="1273"/>
      <c r="C78" s="1241"/>
      <c r="D78" s="1241"/>
      <c r="E78" s="1241"/>
      <c r="F78" s="1241"/>
    </row>
    <row r="79" spans="1:13">
      <c r="A79" s="1273"/>
      <c r="B79" s="1273"/>
      <c r="C79" s="1241"/>
      <c r="D79" s="1241"/>
      <c r="E79" s="1241"/>
      <c r="F79" s="1241"/>
    </row>
    <row r="80" spans="1:13">
      <c r="A80" s="1273"/>
      <c r="B80" s="1273"/>
      <c r="C80" s="1241"/>
      <c r="D80" s="1241"/>
      <c r="E80" s="1241"/>
      <c r="F80" s="1241"/>
    </row>
    <row r="81" spans="1:15" ht="12" customHeight="1">
      <c r="A81" s="2754" t="s">
        <v>2596</v>
      </c>
      <c r="B81" s="2745">
        <f t="shared" ref="B81:G81" si="2">B3</f>
        <v>2017</v>
      </c>
      <c r="C81" s="2745">
        <f t="shared" si="2"/>
        <v>2018</v>
      </c>
      <c r="D81" s="2745">
        <f t="shared" si="2"/>
        <v>2019</v>
      </c>
      <c r="E81" s="2745">
        <f t="shared" si="2"/>
        <v>2020</v>
      </c>
      <c r="F81" s="2745">
        <f t="shared" si="2"/>
        <v>2021</v>
      </c>
      <c r="G81" s="2745">
        <f t="shared" si="2"/>
        <v>2022</v>
      </c>
    </row>
    <row r="82" spans="1:15">
      <c r="A82" s="1249" t="s">
        <v>5585</v>
      </c>
      <c r="B82" s="1232">
        <v>109</v>
      </c>
      <c r="C82" s="1232">
        <v>74</v>
      </c>
      <c r="D82" s="1232">
        <v>64</v>
      </c>
      <c r="E82" s="1232">
        <v>39</v>
      </c>
      <c r="F82" s="1232">
        <v>47</v>
      </c>
      <c r="G82" s="1232">
        <v>84</v>
      </c>
    </row>
    <row r="83" spans="1:15">
      <c r="A83" s="1245" t="s">
        <v>5586</v>
      </c>
      <c r="B83" s="1228">
        <v>32</v>
      </c>
      <c r="C83" s="1228">
        <v>30</v>
      </c>
      <c r="D83" s="1228">
        <v>9</v>
      </c>
      <c r="E83" s="1228">
        <v>16</v>
      </c>
      <c r="F83" s="1228">
        <v>9</v>
      </c>
      <c r="G83" s="1228">
        <v>0</v>
      </c>
    </row>
    <row r="84" spans="1:15">
      <c r="A84" s="1273"/>
      <c r="B84" s="1273"/>
      <c r="C84" s="1241"/>
      <c r="D84" s="1241"/>
      <c r="E84" s="1241"/>
      <c r="F84" s="1241"/>
    </row>
    <row r="85" spans="1:15">
      <c r="A85" s="1273"/>
      <c r="B85" s="1273"/>
      <c r="C85" s="1241"/>
      <c r="D85" s="1241"/>
      <c r="E85" s="1241"/>
      <c r="F85" s="1241"/>
    </row>
    <row r="86" spans="1:15">
      <c r="A86" s="1273"/>
      <c r="B86" s="1273"/>
      <c r="C86" s="1241"/>
      <c r="D86" s="1241"/>
      <c r="E86" s="1241"/>
      <c r="F86" s="1241"/>
    </row>
    <row r="87" spans="1:15">
      <c r="A87" s="1273"/>
      <c r="B87" s="1273"/>
      <c r="C87" s="1241"/>
      <c r="D87" s="1241"/>
      <c r="E87" s="1241"/>
      <c r="F87" s="1241"/>
    </row>
    <row r="88" spans="1:15">
      <c r="A88" s="1273"/>
      <c r="B88" s="1273"/>
      <c r="C88" s="1241"/>
      <c r="D88" s="1241"/>
      <c r="E88" s="1241"/>
      <c r="F88" s="1241"/>
    </row>
    <row r="89" spans="1:15">
      <c r="A89" s="1273"/>
      <c r="B89" s="1273"/>
      <c r="C89" s="1241"/>
      <c r="D89" s="1241"/>
      <c r="E89" s="1241"/>
      <c r="F89" s="1241"/>
    </row>
    <row r="90" spans="1:15">
      <c r="A90" s="1273"/>
      <c r="B90" s="1273"/>
      <c r="C90" s="1241"/>
      <c r="D90" s="1241"/>
      <c r="E90" s="1241"/>
      <c r="F90" s="1241"/>
    </row>
    <row r="91" spans="1:15">
      <c r="A91" s="1273"/>
      <c r="B91" s="1273"/>
      <c r="C91" s="1241"/>
      <c r="D91" s="1241"/>
      <c r="E91" s="1241"/>
      <c r="F91" s="1241"/>
    </row>
    <row r="92" spans="1:15">
      <c r="A92" s="1273"/>
      <c r="B92" s="1273"/>
      <c r="C92" s="1241"/>
      <c r="D92" s="1241"/>
      <c r="E92" s="1241"/>
      <c r="F92" s="1241"/>
    </row>
    <row r="93" spans="1:15">
      <c r="A93" s="1273"/>
      <c r="B93" s="1273"/>
      <c r="C93" s="1241"/>
      <c r="D93" s="1241"/>
      <c r="E93" s="1241"/>
      <c r="F93" s="1241"/>
    </row>
    <row r="94" spans="1:15">
      <c r="A94" s="1273"/>
      <c r="B94" s="1273"/>
      <c r="C94" s="1241"/>
      <c r="D94" s="1241"/>
      <c r="E94" s="1241"/>
      <c r="F94" s="1241"/>
      <c r="K94" s="2757"/>
      <c r="L94" s="2757"/>
      <c r="M94" s="2757"/>
      <c r="N94" s="2757"/>
      <c r="O94" s="2757"/>
    </row>
    <row r="95" spans="1:15">
      <c r="A95" s="1273"/>
      <c r="B95" s="1273"/>
      <c r="C95" s="1241"/>
      <c r="D95" s="1241"/>
      <c r="E95" s="1241"/>
      <c r="F95" s="1241"/>
      <c r="K95" s="3566"/>
      <c r="L95" s="3567"/>
      <c r="M95" s="3567"/>
      <c r="N95" s="3567"/>
      <c r="O95" s="2757"/>
    </row>
    <row r="96" spans="1:15">
      <c r="A96" s="1273"/>
      <c r="B96" s="1273"/>
      <c r="C96" s="1241"/>
      <c r="D96" s="1241"/>
      <c r="E96" s="1241"/>
      <c r="F96" s="1241"/>
      <c r="K96" s="2757"/>
      <c r="L96" s="2756"/>
      <c r="M96" s="2756"/>
      <c r="N96" s="2756"/>
      <c r="O96" s="2757"/>
    </row>
    <row r="97" spans="1:15">
      <c r="A97" s="1273"/>
      <c r="B97" s="1273"/>
      <c r="C97" s="1241"/>
      <c r="D97" s="1241"/>
      <c r="E97" s="1241"/>
      <c r="F97" s="1241"/>
      <c r="K97" s="2757"/>
      <c r="L97" s="2756"/>
      <c r="M97" s="2756"/>
      <c r="N97" s="2756"/>
      <c r="O97" s="2757"/>
    </row>
    <row r="98" spans="1:15">
      <c r="A98" s="2754" t="s">
        <v>5587</v>
      </c>
      <c r="B98" s="2745">
        <f>B3</f>
        <v>2017</v>
      </c>
      <c r="C98" s="2745">
        <f>C3</f>
        <v>2018</v>
      </c>
      <c r="D98" s="2745">
        <f>D3</f>
        <v>2019</v>
      </c>
      <c r="E98" s="2745">
        <f>E3</f>
        <v>2020</v>
      </c>
      <c r="F98" s="2745">
        <v>2021</v>
      </c>
      <c r="G98" s="2745">
        <f>G3</f>
        <v>2022</v>
      </c>
      <c r="K98" s="2757"/>
      <c r="L98" s="2756"/>
      <c r="M98" s="2756"/>
      <c r="N98" s="2756"/>
      <c r="O98" s="2757"/>
    </row>
    <row r="99" spans="1:15">
      <c r="A99" s="1274" t="s">
        <v>5587</v>
      </c>
      <c r="B99" s="1226"/>
      <c r="C99" s="1226"/>
      <c r="D99" s="1226"/>
      <c r="E99" s="1226"/>
      <c r="F99" s="1226"/>
      <c r="G99" s="1226"/>
      <c r="K99" s="2757"/>
      <c r="L99" s="2757"/>
      <c r="M99" s="2757"/>
      <c r="N99" s="2757"/>
      <c r="O99" s="2757"/>
    </row>
    <row r="100" spans="1:15">
      <c r="A100" s="1249" t="s">
        <v>5588</v>
      </c>
      <c r="B100" s="1232">
        <f>10+32+25+41+20+11</f>
        <v>139</v>
      </c>
      <c r="C100" s="1232">
        <v>169</v>
      </c>
      <c r="D100" s="1232">
        <v>94</v>
      </c>
      <c r="E100" s="1232">
        <v>72</v>
      </c>
      <c r="F100" s="1232">
        <v>68</v>
      </c>
      <c r="G100" s="1232">
        <v>84</v>
      </c>
    </row>
    <row r="101" spans="1:15">
      <c r="A101" s="1249" t="s">
        <v>5589</v>
      </c>
      <c r="B101" s="1232">
        <v>4</v>
      </c>
      <c r="C101" s="1232">
        <v>3</v>
      </c>
      <c r="D101" s="1232">
        <v>1</v>
      </c>
      <c r="E101" s="1232">
        <v>1</v>
      </c>
      <c r="F101" s="1232">
        <v>1</v>
      </c>
      <c r="G101" s="1232">
        <v>0</v>
      </c>
    </row>
    <row r="102" spans="1:15">
      <c r="A102" s="1249" t="s">
        <v>8416</v>
      </c>
      <c r="B102" s="1232">
        <v>4</v>
      </c>
      <c r="C102" s="1232">
        <v>14</v>
      </c>
      <c r="D102" s="1232">
        <v>26</v>
      </c>
      <c r="E102" s="1232">
        <v>21</v>
      </c>
      <c r="F102" s="1232">
        <v>10</v>
      </c>
      <c r="G102" s="1232">
        <v>16</v>
      </c>
    </row>
    <row r="103" spans="1:15">
      <c r="A103" s="1249" t="s">
        <v>8417</v>
      </c>
      <c r="B103" s="1232">
        <v>0</v>
      </c>
      <c r="C103" s="1232">
        <v>14</v>
      </c>
      <c r="D103" s="1232">
        <v>14</v>
      </c>
      <c r="E103" s="1232">
        <v>10</v>
      </c>
      <c r="F103" s="1232">
        <v>6</v>
      </c>
      <c r="G103" s="1232">
        <v>6</v>
      </c>
    </row>
    <row r="104" spans="1:15">
      <c r="A104" s="1275" t="s">
        <v>5590</v>
      </c>
      <c r="B104" s="1232">
        <f>46+38</f>
        <v>84</v>
      </c>
      <c r="C104" s="1232">
        <v>84</v>
      </c>
      <c r="D104" s="1232">
        <f>48+37</f>
        <v>85</v>
      </c>
      <c r="E104" s="1232">
        <f>37+48</f>
        <v>85</v>
      </c>
      <c r="F104" s="1232">
        <v>87</v>
      </c>
      <c r="G104" s="1232">
        <v>127</v>
      </c>
    </row>
    <row r="105" spans="1:15">
      <c r="A105" s="1261"/>
      <c r="B105" s="1232"/>
      <c r="C105" s="1232"/>
      <c r="D105" s="1232"/>
      <c r="E105" s="1232"/>
      <c r="F105" s="1232"/>
      <c r="G105" s="1232"/>
    </row>
    <row r="106" spans="1:15">
      <c r="A106" s="1270" t="s">
        <v>5591</v>
      </c>
      <c r="B106" s="1232"/>
      <c r="C106" s="1232"/>
      <c r="D106" s="1232"/>
      <c r="E106" s="1232"/>
      <c r="F106" s="1232"/>
      <c r="G106" s="1232"/>
    </row>
    <row r="107" spans="1:15">
      <c r="A107" s="1249" t="s">
        <v>7221</v>
      </c>
      <c r="B107" s="1232">
        <f t="shared" ref="B107:G107" si="3">SUM(B108:B109)</f>
        <v>139</v>
      </c>
      <c r="C107" s="1232">
        <f t="shared" si="3"/>
        <v>138</v>
      </c>
      <c r="D107" s="1232">
        <f t="shared" si="3"/>
        <v>170</v>
      </c>
      <c r="E107" s="1232">
        <f t="shared" si="3"/>
        <v>115</v>
      </c>
      <c r="F107" s="1232">
        <f t="shared" si="3"/>
        <v>161</v>
      </c>
      <c r="G107" s="1232">
        <f t="shared" si="3"/>
        <v>179</v>
      </c>
    </row>
    <row r="108" spans="1:15">
      <c r="A108" s="1249" t="s">
        <v>7220</v>
      </c>
      <c r="B108" s="1232">
        <v>66</v>
      </c>
      <c r="C108" s="1232">
        <v>61</v>
      </c>
      <c r="D108" s="1232">
        <v>51</v>
      </c>
      <c r="E108" s="1232">
        <f>14+11+13</f>
        <v>38</v>
      </c>
      <c r="F108" s="1232">
        <v>47</v>
      </c>
      <c r="G108" s="1232">
        <v>60</v>
      </c>
    </row>
    <row r="109" spans="1:15">
      <c r="A109" s="1245" t="s">
        <v>5592</v>
      </c>
      <c r="B109" s="1228">
        <v>73</v>
      </c>
      <c r="C109" s="1228">
        <v>77</v>
      </c>
      <c r="D109" s="1228">
        <v>119</v>
      </c>
      <c r="E109" s="1228">
        <f>14+25+38</f>
        <v>77</v>
      </c>
      <c r="F109" s="1228">
        <v>114</v>
      </c>
      <c r="G109" s="1228">
        <v>119</v>
      </c>
    </row>
    <row r="110" spans="1:15">
      <c r="A110" s="1240"/>
      <c r="B110" s="1240"/>
      <c r="C110" s="1276"/>
      <c r="D110" s="1276"/>
      <c r="E110" s="1276"/>
      <c r="F110" s="1276"/>
    </row>
    <row r="111" spans="1:15">
      <c r="A111" s="1240"/>
      <c r="B111" s="1240"/>
      <c r="C111" s="1276"/>
      <c r="D111" s="1276"/>
      <c r="E111" s="1276"/>
      <c r="F111" s="1276"/>
    </row>
    <row r="112" spans="1:15">
      <c r="A112" s="1240"/>
      <c r="B112" s="1240"/>
      <c r="C112" s="1276"/>
      <c r="D112" s="1276"/>
      <c r="E112" s="1276"/>
      <c r="F112" s="1276"/>
    </row>
    <row r="113" spans="1:15">
      <c r="A113" s="1240"/>
      <c r="B113" s="1240"/>
      <c r="C113" s="1276"/>
      <c r="D113" s="1276"/>
      <c r="E113" s="1276"/>
      <c r="F113" s="1276"/>
    </row>
    <row r="114" spans="1:15">
      <c r="A114" s="1240"/>
      <c r="B114" s="1240"/>
      <c r="C114" s="1276"/>
      <c r="D114" s="1276"/>
      <c r="E114" s="1276"/>
      <c r="F114" s="1276"/>
    </row>
    <row r="115" spans="1:15">
      <c r="A115" s="1240"/>
      <c r="B115" s="1240"/>
      <c r="C115" s="1276"/>
      <c r="D115" s="1276"/>
      <c r="E115" s="1276"/>
      <c r="F115" s="1276"/>
    </row>
    <row r="116" spans="1:15">
      <c r="A116" s="1240"/>
      <c r="B116" s="1240"/>
      <c r="C116" s="1276"/>
      <c r="D116" s="1276"/>
      <c r="E116" s="1276"/>
      <c r="F116" s="1276"/>
    </row>
    <row r="117" spans="1:15">
      <c r="A117" s="1240"/>
      <c r="B117" s="1240"/>
      <c r="C117" s="1276"/>
      <c r="D117" s="1276"/>
      <c r="E117" s="1276"/>
      <c r="F117" s="1276"/>
    </row>
    <row r="118" spans="1:15">
      <c r="A118" s="1240"/>
      <c r="B118" s="1240"/>
      <c r="C118" s="1276"/>
      <c r="D118" s="1276"/>
      <c r="E118" s="1276"/>
      <c r="F118" s="1276"/>
    </row>
    <row r="119" spans="1:15">
      <c r="A119" s="1240"/>
      <c r="B119" s="1240"/>
      <c r="C119" s="1276"/>
      <c r="D119" s="1276"/>
      <c r="E119" s="1276"/>
      <c r="F119" s="1276"/>
    </row>
    <row r="120" spans="1:15">
      <c r="A120" s="1240"/>
      <c r="B120" s="1240"/>
      <c r="C120" s="1276"/>
      <c r="D120" s="1276"/>
      <c r="E120" s="1276"/>
      <c r="F120" s="1276"/>
    </row>
    <row r="121" spans="1:15">
      <c r="A121" s="1240"/>
      <c r="B121" s="1240"/>
      <c r="C121" s="1276"/>
      <c r="D121" s="1276"/>
      <c r="E121" s="1276"/>
      <c r="F121" s="1276"/>
      <c r="K121" s="2757"/>
      <c r="L121" s="2757"/>
      <c r="M121" s="2757"/>
      <c r="N121" s="2757"/>
      <c r="O121" s="2757"/>
    </row>
    <row r="122" spans="1:15">
      <c r="A122" s="1240"/>
      <c r="B122" s="1240"/>
      <c r="C122" s="1276"/>
      <c r="D122" s="1276"/>
      <c r="E122" s="1276"/>
      <c r="F122" s="1276"/>
      <c r="K122" s="2757"/>
      <c r="L122" s="2757"/>
      <c r="M122" s="2757"/>
      <c r="N122" s="2757"/>
      <c r="O122" s="2757"/>
    </row>
    <row r="123" spans="1:15">
      <c r="A123" s="1240"/>
      <c r="B123" s="1240"/>
      <c r="C123" s="1276"/>
      <c r="D123" s="1276"/>
      <c r="E123" s="1276"/>
      <c r="F123" s="1276"/>
      <c r="K123" s="3566"/>
      <c r="L123" s="3566"/>
      <c r="M123" s="3566"/>
      <c r="N123" s="3566"/>
      <c r="O123" s="2757"/>
    </row>
    <row r="124" spans="1:15">
      <c r="A124" s="1240"/>
      <c r="B124" s="1240"/>
      <c r="C124" s="1276"/>
      <c r="D124" s="1276"/>
      <c r="E124" s="1276"/>
      <c r="F124" s="1276"/>
      <c r="K124" s="2757"/>
      <c r="L124" s="2756"/>
      <c r="M124" s="2756"/>
      <c r="N124" s="2756"/>
      <c r="O124" s="2757"/>
    </row>
    <row r="125" spans="1:15">
      <c r="A125" s="1240"/>
      <c r="B125" s="1240"/>
      <c r="C125" s="1276"/>
      <c r="D125" s="1276"/>
      <c r="E125" s="1276"/>
      <c r="F125" s="1276"/>
      <c r="K125" s="2757"/>
      <c r="L125" s="2756"/>
      <c r="M125" s="2756"/>
      <c r="N125" s="2756"/>
      <c r="O125" s="2757"/>
    </row>
    <row r="126" spans="1:15">
      <c r="A126" s="1240"/>
      <c r="B126" s="1240"/>
      <c r="C126" s="1276"/>
      <c r="D126" s="1276"/>
      <c r="E126" s="1276"/>
      <c r="F126" s="1276"/>
      <c r="K126" s="2757"/>
      <c r="L126" s="2756"/>
      <c r="M126" s="2756"/>
      <c r="N126" s="2756"/>
      <c r="O126" s="2757"/>
    </row>
    <row r="127" spans="1:15">
      <c r="A127" s="1240"/>
      <c r="B127" s="1240"/>
      <c r="C127" s="1276"/>
      <c r="D127" s="1276"/>
      <c r="E127" s="1276"/>
      <c r="F127" s="1276"/>
      <c r="K127" s="2757"/>
      <c r="L127" s="2756"/>
      <c r="M127" s="2756"/>
      <c r="N127" s="2756"/>
      <c r="O127" s="2757"/>
    </row>
    <row r="128" spans="1:15">
      <c r="A128" s="2755" t="s">
        <v>5593</v>
      </c>
      <c r="B128" s="2745">
        <f>B3</f>
        <v>2017</v>
      </c>
      <c r="C128" s="2745">
        <f>C3</f>
        <v>2018</v>
      </c>
      <c r="D128" s="2745">
        <f>D3</f>
        <v>2019</v>
      </c>
      <c r="E128" s="2745">
        <f>E3</f>
        <v>2020</v>
      </c>
      <c r="F128" s="2745">
        <v>2021</v>
      </c>
      <c r="G128" s="2745">
        <f>G3</f>
        <v>2022</v>
      </c>
      <c r="K128" s="2757"/>
      <c r="L128" s="2757"/>
      <c r="M128" s="2757"/>
      <c r="N128" s="2757"/>
      <c r="O128" s="2757"/>
    </row>
    <row r="129" spans="1:15">
      <c r="A129" s="1234" t="s">
        <v>5594</v>
      </c>
      <c r="B129" s="1277"/>
      <c r="C129" s="1277"/>
      <c r="D129" s="1277"/>
      <c r="E129" s="1277"/>
      <c r="F129" s="1277"/>
      <c r="G129" s="1277"/>
      <c r="K129" s="1237"/>
      <c r="L129" s="1237"/>
      <c r="M129" s="1237"/>
      <c r="N129" s="1237"/>
    </row>
    <row r="130" spans="1:15">
      <c r="A130" s="1249" t="s">
        <v>5595</v>
      </c>
      <c r="B130" s="1232">
        <v>4</v>
      </c>
      <c r="C130" s="1232">
        <v>6</v>
      </c>
      <c r="D130" s="1232">
        <v>4</v>
      </c>
      <c r="E130" s="1232">
        <v>2</v>
      </c>
      <c r="F130" s="1232">
        <v>1</v>
      </c>
      <c r="G130" s="1232">
        <v>43</v>
      </c>
    </row>
    <row r="131" spans="1:15">
      <c r="A131" s="1262" t="s">
        <v>8315</v>
      </c>
      <c r="B131" s="1232"/>
      <c r="C131" s="1232"/>
      <c r="D131" s="1232"/>
      <c r="E131" s="1232"/>
      <c r="F131" s="1232"/>
      <c r="G131" s="1232">
        <v>41</v>
      </c>
    </row>
    <row r="132" spans="1:15">
      <c r="A132" s="1249" t="s">
        <v>5596</v>
      </c>
      <c r="B132" s="1232">
        <v>3</v>
      </c>
      <c r="C132" s="1232">
        <v>2</v>
      </c>
      <c r="D132" s="1232">
        <v>2</v>
      </c>
      <c r="E132" s="1232">
        <v>1</v>
      </c>
      <c r="F132" s="1232">
        <v>1</v>
      </c>
      <c r="G132" s="1232">
        <v>30</v>
      </c>
      <c r="K132" s="2757"/>
      <c r="L132" s="2757"/>
      <c r="M132" s="2757"/>
      <c r="N132" s="2757"/>
      <c r="O132" s="2757"/>
    </row>
    <row r="133" spans="1:15">
      <c r="A133" s="1262" t="s">
        <v>8315</v>
      </c>
      <c r="B133" s="1232"/>
      <c r="C133" s="1232"/>
      <c r="D133" s="1232"/>
      <c r="E133" s="1232"/>
      <c r="F133" s="1232"/>
      <c r="G133" s="1232">
        <v>28</v>
      </c>
      <c r="K133" s="2757"/>
      <c r="L133" s="2757"/>
      <c r="M133" s="2757"/>
      <c r="N133" s="2757"/>
      <c r="O133" s="2757"/>
    </row>
    <row r="134" spans="1:15">
      <c r="A134" s="1249"/>
      <c r="B134" s="1232"/>
      <c r="C134" s="1232"/>
      <c r="D134" s="1232"/>
      <c r="E134" s="1232"/>
      <c r="F134" s="1232"/>
      <c r="G134" s="1232"/>
      <c r="K134" s="2757"/>
      <c r="L134" s="2757"/>
      <c r="M134" s="2757"/>
      <c r="N134" s="2757"/>
      <c r="O134" s="2757"/>
    </row>
    <row r="135" spans="1:15">
      <c r="A135" s="1234" t="s">
        <v>5597</v>
      </c>
      <c r="B135" s="1277"/>
      <c r="C135" s="1277"/>
      <c r="D135" s="1277"/>
      <c r="E135" s="1277"/>
      <c r="F135" s="1277"/>
      <c r="G135" s="1277"/>
      <c r="K135" s="1237"/>
    </row>
    <row r="136" spans="1:15">
      <c r="A136" s="1249" t="s">
        <v>5598</v>
      </c>
      <c r="B136" s="1277">
        <v>31</v>
      </c>
      <c r="C136" s="1277">
        <v>32</v>
      </c>
      <c r="D136" s="1277">
        <v>17</v>
      </c>
      <c r="E136" s="1277">
        <v>16</v>
      </c>
      <c r="F136" s="1277">
        <v>17</v>
      </c>
      <c r="G136" s="1277">
        <v>11</v>
      </c>
      <c r="K136" s="1281"/>
    </row>
    <row r="137" spans="1:15">
      <c r="A137" s="1278" t="s">
        <v>5599</v>
      </c>
      <c r="B137" s="1232">
        <v>8641</v>
      </c>
      <c r="C137" s="1232">
        <v>5173</v>
      </c>
      <c r="D137" s="1232">
        <v>5584</v>
      </c>
      <c r="E137" s="1232">
        <v>4152</v>
      </c>
      <c r="F137" s="1232">
        <v>3771</v>
      </c>
      <c r="G137" s="1232">
        <v>2794</v>
      </c>
      <c r="K137" s="1281"/>
    </row>
    <row r="138" spans="1:15">
      <c r="A138" s="1278" t="s">
        <v>5601</v>
      </c>
      <c r="B138" s="1232">
        <v>12321</v>
      </c>
      <c r="C138" s="1232">
        <v>11527</v>
      </c>
      <c r="D138" s="1232">
        <v>6052</v>
      </c>
      <c r="E138" s="1232">
        <v>6008</v>
      </c>
      <c r="F138" s="1232">
        <v>5871</v>
      </c>
      <c r="G138" s="1232">
        <v>4674</v>
      </c>
      <c r="K138" s="1281"/>
    </row>
    <row r="139" spans="1:15">
      <c r="A139" s="1249" t="s">
        <v>5600</v>
      </c>
      <c r="B139" s="1280">
        <f t="shared" ref="B139:G139" si="4">B137/B138</f>
        <v>0.70132294456618782</v>
      </c>
      <c r="C139" s="1280">
        <f t="shared" si="4"/>
        <v>0.44877244729764898</v>
      </c>
      <c r="D139" s="1280">
        <f t="shared" si="4"/>
        <v>0.92267019167217446</v>
      </c>
      <c r="E139" s="1280">
        <f t="shared" si="4"/>
        <v>0.69107856191744343</v>
      </c>
      <c r="F139" s="1280">
        <f t="shared" si="4"/>
        <v>0.64230965763924375</v>
      </c>
      <c r="G139" s="1280">
        <f t="shared" si="4"/>
        <v>0.59777492511767227</v>
      </c>
      <c r="K139" s="1281"/>
    </row>
    <row r="140" spans="1:15">
      <c r="A140" s="1249" t="s">
        <v>5602</v>
      </c>
      <c r="B140" s="1277">
        <v>14</v>
      </c>
      <c r="C140" s="1277">
        <v>16</v>
      </c>
      <c r="D140" s="1277">
        <v>17</v>
      </c>
      <c r="E140" s="1277">
        <v>12</v>
      </c>
      <c r="F140" s="1277">
        <v>12</v>
      </c>
      <c r="G140" s="1277">
        <v>7</v>
      </c>
      <c r="K140" s="1281"/>
      <c r="L140" s="1237"/>
    </row>
    <row r="141" spans="1:15">
      <c r="A141" s="1249" t="s">
        <v>5603</v>
      </c>
      <c r="B141" s="1232">
        <f t="shared" ref="B141:G141" si="5">SUM(B142:B143)</f>
        <v>64</v>
      </c>
      <c r="C141" s="1232">
        <f t="shared" si="5"/>
        <v>38</v>
      </c>
      <c r="D141" s="1232">
        <f t="shared" si="5"/>
        <v>43</v>
      </c>
      <c r="E141" s="1232">
        <f t="shared" si="5"/>
        <v>26</v>
      </c>
      <c r="F141" s="1232">
        <f t="shared" si="5"/>
        <v>18</v>
      </c>
      <c r="G141" s="1232">
        <f t="shared" si="5"/>
        <v>21</v>
      </c>
      <c r="K141" s="1281"/>
      <c r="L141" s="1237"/>
    </row>
    <row r="142" spans="1:15">
      <c r="A142" s="1249" t="s">
        <v>5604</v>
      </c>
      <c r="B142" s="1277">
        <v>15</v>
      </c>
      <c r="C142" s="1277">
        <v>8</v>
      </c>
      <c r="D142" s="1277">
        <v>10</v>
      </c>
      <c r="E142" s="1277">
        <v>5</v>
      </c>
      <c r="F142" s="1277">
        <v>2</v>
      </c>
      <c r="G142" s="1277">
        <v>2</v>
      </c>
    </row>
    <row r="143" spans="1:15">
      <c r="A143" s="1245" t="s">
        <v>5605</v>
      </c>
      <c r="B143" s="1282">
        <v>49</v>
      </c>
      <c r="C143" s="1282">
        <v>30</v>
      </c>
      <c r="D143" s="1282">
        <v>33</v>
      </c>
      <c r="E143" s="1282">
        <v>21</v>
      </c>
      <c r="F143" s="1282">
        <v>16</v>
      </c>
      <c r="G143" s="1282">
        <v>19</v>
      </c>
    </row>
    <row r="144" spans="1:15">
      <c r="A144" s="1240"/>
      <c r="B144" s="1240"/>
      <c r="C144" s="1276"/>
      <c r="D144" s="1276"/>
      <c r="E144" s="1279"/>
      <c r="F144" s="1276"/>
    </row>
    <row r="145" spans="1:9">
      <c r="A145" s="1240"/>
      <c r="B145" s="1240"/>
      <c r="C145" s="1276"/>
      <c r="D145" s="1276"/>
      <c r="E145" s="1276"/>
      <c r="F145" s="1276"/>
      <c r="H145" s="1237" t="s">
        <v>5606</v>
      </c>
      <c r="I145" s="3970" t="s">
        <v>7716</v>
      </c>
    </row>
    <row r="146" spans="1:9">
      <c r="A146" s="1240"/>
      <c r="B146" s="1240"/>
      <c r="C146" s="1276"/>
      <c r="D146" s="1276"/>
      <c r="E146" s="1276"/>
      <c r="F146" s="1276"/>
      <c r="H146" s="1237" t="s">
        <v>7222</v>
      </c>
      <c r="I146" s="1237">
        <v>8</v>
      </c>
    </row>
    <row r="147" spans="1:9">
      <c r="A147" s="1240"/>
      <c r="B147" s="1240"/>
      <c r="C147" s="1276"/>
      <c r="D147" s="1276"/>
      <c r="E147" s="1276"/>
      <c r="F147" s="1276"/>
      <c r="H147" s="1237" t="s">
        <v>7223</v>
      </c>
      <c r="I147" s="1237">
        <v>1</v>
      </c>
    </row>
    <row r="148" spans="1:9">
      <c r="A148" s="1240"/>
      <c r="B148" s="1240"/>
      <c r="C148" s="1276"/>
      <c r="D148" s="1276"/>
      <c r="E148" s="1276"/>
      <c r="F148" s="1276"/>
      <c r="H148" s="1237" t="s">
        <v>8312</v>
      </c>
      <c r="I148" s="1237">
        <v>5</v>
      </c>
    </row>
    <row r="149" spans="1:9">
      <c r="A149" s="1240"/>
      <c r="B149" s="1240"/>
      <c r="C149" s="1276"/>
      <c r="D149" s="1276"/>
      <c r="E149" s="1276"/>
      <c r="F149" s="1276"/>
      <c r="G149" s="1237"/>
      <c r="H149" s="1237"/>
      <c r="I149" s="1237">
        <f>SUM(I146:I148)</f>
        <v>14</v>
      </c>
    </row>
    <row r="150" spans="1:9">
      <c r="A150" s="1240"/>
      <c r="B150" s="1240"/>
      <c r="C150" s="1276"/>
      <c r="D150" s="1276"/>
      <c r="E150" s="1276"/>
      <c r="F150" s="1276"/>
      <c r="G150" s="1237"/>
      <c r="H150" s="1237"/>
    </row>
    <row r="151" spans="1:9">
      <c r="A151" s="1240"/>
      <c r="B151" s="1240"/>
      <c r="C151" s="1276"/>
      <c r="D151" s="1276"/>
      <c r="E151" s="1276"/>
      <c r="F151" s="1276"/>
    </row>
    <row r="152" spans="1:9">
      <c r="A152" s="1240"/>
      <c r="B152" s="1240"/>
      <c r="C152" s="1276"/>
      <c r="D152" s="1276"/>
      <c r="E152" s="1276"/>
      <c r="F152" s="1276"/>
      <c r="G152" s="1237"/>
      <c r="H152" s="1237"/>
    </row>
    <row r="153" spans="1:9">
      <c r="A153" s="1240"/>
      <c r="B153" s="1240"/>
      <c r="C153" s="1276"/>
      <c r="D153" s="1276"/>
      <c r="E153" s="1276"/>
      <c r="F153" s="1276"/>
      <c r="G153" s="1237"/>
      <c r="H153" s="1237"/>
    </row>
    <row r="154" spans="1:9">
      <c r="A154" s="1240"/>
      <c r="B154" s="1240"/>
      <c r="C154" s="1276"/>
      <c r="D154" s="1276"/>
      <c r="E154" s="1276"/>
      <c r="F154" s="1276"/>
    </row>
    <row r="155" spans="1:9">
      <c r="A155" s="1240"/>
      <c r="B155" s="1240"/>
      <c r="C155" s="1276"/>
      <c r="D155" s="1276"/>
      <c r="E155" s="1276"/>
      <c r="F155" s="1276"/>
    </row>
    <row r="156" spans="1:9">
      <c r="A156" s="1240"/>
      <c r="B156" s="1240"/>
      <c r="C156" s="1276"/>
      <c r="D156" s="1276"/>
      <c r="E156" s="1276"/>
      <c r="F156" s="1276"/>
    </row>
    <row r="157" spans="1:9">
      <c r="A157" s="1240"/>
      <c r="B157" s="1240"/>
      <c r="C157" s="1276"/>
      <c r="D157" s="1276"/>
      <c r="E157" s="1276"/>
      <c r="F157" s="1276"/>
    </row>
    <row r="158" spans="1:9">
      <c r="A158" s="1240"/>
      <c r="B158" s="1240"/>
      <c r="C158" s="1276"/>
      <c r="D158" s="1276"/>
      <c r="E158" s="1276"/>
      <c r="F158" s="1276"/>
    </row>
    <row r="159" spans="1:9">
      <c r="A159" s="1240"/>
      <c r="B159" s="1240"/>
      <c r="C159" s="1276"/>
      <c r="D159" s="1276"/>
      <c r="E159" s="1276"/>
      <c r="F159" s="1276"/>
    </row>
    <row r="160" spans="1:9">
      <c r="A160" s="1283"/>
      <c r="B160" s="1283"/>
      <c r="C160" s="1284"/>
      <c r="D160" s="1284"/>
      <c r="E160" s="1284"/>
      <c r="F160" s="1284"/>
    </row>
    <row r="161" spans="1:15">
      <c r="A161" s="1283"/>
      <c r="B161" s="1283"/>
      <c r="C161" s="1284"/>
      <c r="D161" s="1284"/>
      <c r="E161" s="1284"/>
      <c r="F161" s="1284"/>
      <c r="H161" s="1237"/>
    </row>
    <row r="162" spans="1:15">
      <c r="A162" s="1283"/>
      <c r="B162" s="1283"/>
      <c r="C162" s="1284"/>
      <c r="D162" s="1284"/>
      <c r="E162" s="1284"/>
      <c r="F162" s="1284"/>
      <c r="G162" s="1237"/>
      <c r="H162" s="1237"/>
      <c r="I162" s="1237"/>
      <c r="N162" s="1237"/>
      <c r="O162" s="1237"/>
    </row>
    <row r="163" spans="1:15">
      <c r="A163" s="1283"/>
      <c r="B163" s="1283"/>
      <c r="C163" s="1284"/>
      <c r="D163" s="1284"/>
      <c r="E163" s="1284"/>
      <c r="F163" s="1284"/>
      <c r="G163" s="1237"/>
      <c r="H163" s="1237"/>
      <c r="I163" s="1237"/>
      <c r="N163" s="1237"/>
      <c r="O163" s="1237"/>
    </row>
    <row r="164" spans="1:15">
      <c r="A164" s="1283"/>
      <c r="B164" s="1283"/>
      <c r="C164" s="1284"/>
      <c r="D164" s="1284"/>
      <c r="E164" s="1284"/>
      <c r="F164" s="1284"/>
    </row>
    <row r="165" spans="1:15">
      <c r="A165" s="1283"/>
      <c r="B165" s="1283"/>
      <c r="C165" s="1284"/>
      <c r="D165" s="1284"/>
      <c r="E165" s="1284"/>
      <c r="F165" s="1284"/>
    </row>
    <row r="166" spans="1:15">
      <c r="A166" s="1283"/>
      <c r="B166" s="1283"/>
      <c r="C166" s="1284"/>
      <c r="D166" s="1284"/>
      <c r="E166" s="1284"/>
      <c r="F166" s="1284"/>
    </row>
    <row r="167" spans="1:15">
      <c r="A167" s="1283"/>
      <c r="B167" s="1283"/>
      <c r="C167" s="1284"/>
      <c r="D167" s="1284"/>
      <c r="E167" s="1284"/>
      <c r="F167" s="1284"/>
    </row>
    <row r="168" spans="1:15">
      <c r="A168" s="1283"/>
      <c r="B168" s="1283"/>
      <c r="C168" s="1284"/>
      <c r="D168" s="1284"/>
      <c r="E168" s="1284"/>
      <c r="F168" s="1284"/>
    </row>
    <row r="169" spans="1:15">
      <c r="A169" s="1283"/>
      <c r="B169" s="1283"/>
      <c r="C169" s="1284"/>
      <c r="D169" s="1284"/>
      <c r="E169" s="1284"/>
      <c r="F169" s="1284"/>
    </row>
    <row r="170" spans="1:15">
      <c r="A170" s="1283"/>
      <c r="B170" s="1283"/>
      <c r="C170" s="1284"/>
      <c r="D170" s="1284"/>
      <c r="E170" s="1284"/>
      <c r="F170" s="1284"/>
    </row>
    <row r="171" spans="1:15">
      <c r="A171" s="1283"/>
      <c r="B171" s="1283"/>
      <c r="C171" s="1284"/>
      <c r="D171" s="1284"/>
      <c r="E171" s="1284"/>
      <c r="F171" s="1284"/>
    </row>
    <row r="172" spans="1:15">
      <c r="A172" s="1283"/>
      <c r="B172" s="1283"/>
      <c r="C172" s="1284"/>
      <c r="D172" s="1284"/>
      <c r="E172" s="1284"/>
      <c r="F172" s="1284"/>
      <c r="G172" s="1237" t="s">
        <v>5607</v>
      </c>
      <c r="H172" s="3970" t="s">
        <v>4060</v>
      </c>
    </row>
    <row r="173" spans="1:15">
      <c r="A173" s="1283"/>
      <c r="B173" s="1283"/>
      <c r="C173" s="1284"/>
      <c r="D173" s="1284"/>
      <c r="E173" s="1284"/>
      <c r="F173" s="1284"/>
      <c r="G173" s="1237" t="s">
        <v>5608</v>
      </c>
      <c r="H173" s="3569">
        <v>1</v>
      </c>
    </row>
    <row r="174" spans="1:15">
      <c r="A174" s="1283"/>
      <c r="B174" s="1283"/>
      <c r="C174" s="1284"/>
      <c r="D174" s="1284"/>
      <c r="E174" s="1284"/>
      <c r="F174" s="1284"/>
      <c r="G174" s="1237" t="s">
        <v>6403</v>
      </c>
      <c r="H174" s="1237">
        <v>1</v>
      </c>
    </row>
    <row r="175" spans="1:15">
      <c r="A175" s="1283"/>
      <c r="B175" s="1283"/>
      <c r="C175" s="1284"/>
      <c r="D175" s="1284"/>
      <c r="E175" s="1284"/>
      <c r="F175" s="1284"/>
      <c r="G175" s="1237" t="s">
        <v>5609</v>
      </c>
      <c r="H175" s="3569">
        <v>6</v>
      </c>
    </row>
    <row r="176" spans="1:15">
      <c r="A176" s="1283"/>
      <c r="B176" s="1283"/>
      <c r="C176" s="1284"/>
      <c r="D176" s="1284"/>
      <c r="E176" s="1284"/>
      <c r="F176" s="1284"/>
      <c r="G176" s="1237" t="s">
        <v>8313</v>
      </c>
      <c r="H176" s="1237">
        <v>1</v>
      </c>
    </row>
    <row r="177" spans="1:8">
      <c r="A177" s="1283"/>
      <c r="B177" s="1283"/>
      <c r="C177" s="1284"/>
      <c r="D177" s="1284"/>
      <c r="E177" s="1284"/>
      <c r="F177" s="1284"/>
      <c r="G177" s="1237" t="s">
        <v>8314</v>
      </c>
      <c r="H177" s="1237">
        <v>1</v>
      </c>
    </row>
    <row r="178" spans="1:8">
      <c r="A178" s="1283"/>
      <c r="B178" s="1283"/>
      <c r="C178" s="1284"/>
      <c r="D178" s="1284"/>
      <c r="E178" s="1284"/>
      <c r="F178" s="1284"/>
      <c r="G178" s="1237" t="s">
        <v>7224</v>
      </c>
      <c r="H178" s="3569">
        <v>2</v>
      </c>
    </row>
    <row r="179" spans="1:8">
      <c r="A179" s="1283"/>
      <c r="B179" s="1283"/>
      <c r="C179" s="1284"/>
      <c r="D179" s="1284"/>
      <c r="E179" s="1284"/>
      <c r="F179" s="1284"/>
      <c r="G179" s="1237" t="s">
        <v>6453</v>
      </c>
      <c r="H179" s="3569">
        <v>6</v>
      </c>
    </row>
    <row r="180" spans="1:8">
      <c r="A180" s="1283"/>
      <c r="B180" s="1283"/>
      <c r="C180" s="1284"/>
      <c r="D180" s="1284"/>
      <c r="E180" s="1284"/>
      <c r="F180" s="1284"/>
      <c r="G180" s="1237" t="s">
        <v>5612</v>
      </c>
      <c r="H180" s="1237">
        <v>2</v>
      </c>
    </row>
    <row r="181" spans="1:8">
      <c r="A181" s="1283"/>
      <c r="B181" s="1283"/>
      <c r="C181" s="1284"/>
      <c r="D181" s="1284"/>
      <c r="E181" s="1284"/>
      <c r="F181" s="1284"/>
      <c r="G181" s="1237" t="s">
        <v>6460</v>
      </c>
      <c r="H181" s="3569">
        <v>1</v>
      </c>
    </row>
    <row r="182" spans="1:8">
      <c r="A182" s="1283"/>
      <c r="B182" s="1283"/>
      <c r="C182" s="1284"/>
      <c r="D182" s="1284"/>
      <c r="E182" s="1284"/>
      <c r="F182" s="1284"/>
      <c r="G182" s="1237"/>
      <c r="H182" s="1237">
        <f>SUM(H173:H181)</f>
        <v>21</v>
      </c>
    </row>
    <row r="183" spans="1:8">
      <c r="A183" s="1283"/>
      <c r="B183" s="1283"/>
      <c r="C183" s="1284"/>
      <c r="D183" s="1284"/>
      <c r="E183" s="1284"/>
      <c r="F183" s="1284"/>
      <c r="G183" s="1237"/>
      <c r="H183" s="1237"/>
    </row>
    <row r="184" spans="1:8">
      <c r="A184" s="1283"/>
      <c r="B184" s="1283"/>
      <c r="C184" s="1284"/>
      <c r="D184" s="1284"/>
      <c r="E184" s="1284"/>
      <c r="F184" s="1284"/>
    </row>
    <row r="185" spans="1:8">
      <c r="A185" s="1283"/>
      <c r="B185" s="1283"/>
      <c r="C185" s="1284"/>
      <c r="D185" s="1284"/>
      <c r="E185" s="1284"/>
      <c r="F185" s="1284"/>
    </row>
    <row r="186" spans="1:8">
      <c r="A186" s="1283"/>
      <c r="B186" s="1283"/>
      <c r="C186" s="1284"/>
      <c r="D186" s="1284"/>
      <c r="E186" s="1284"/>
      <c r="F186" s="1284"/>
    </row>
    <row r="187" spans="1:8">
      <c r="A187" s="1283"/>
      <c r="B187" s="1283"/>
      <c r="C187" s="1284"/>
      <c r="D187" s="1284"/>
      <c r="E187" s="1284"/>
      <c r="F187" s="1284"/>
      <c r="G187" s="1237"/>
      <c r="H187" s="3569"/>
    </row>
    <row r="188" spans="1:8">
      <c r="A188" s="1283"/>
      <c r="B188" s="1283"/>
      <c r="C188" s="1284"/>
      <c r="D188" s="1284"/>
      <c r="E188" s="1284"/>
      <c r="F188" s="1284"/>
    </row>
    <row r="189" spans="1:8">
      <c r="A189" s="1283"/>
      <c r="B189" s="1283"/>
      <c r="C189" s="1284"/>
      <c r="D189" s="1284"/>
      <c r="E189" s="1284"/>
      <c r="F189" s="1284"/>
    </row>
    <row r="190" spans="1:8">
      <c r="A190" s="1283"/>
      <c r="B190" s="1283"/>
      <c r="C190" s="1284"/>
      <c r="D190" s="1284"/>
      <c r="E190" s="1284"/>
      <c r="F190" s="1284"/>
    </row>
    <row r="191" spans="1:8">
      <c r="A191" s="1283"/>
      <c r="B191" s="1283"/>
      <c r="C191" s="1284"/>
      <c r="D191" s="1284"/>
      <c r="E191" s="1284"/>
      <c r="F191" s="1284"/>
    </row>
    <row r="192" spans="1:8">
      <c r="A192" s="1283"/>
      <c r="B192" s="1283"/>
      <c r="C192" s="1284"/>
      <c r="D192" s="1284"/>
      <c r="E192" s="1284"/>
      <c r="F192" s="1284"/>
    </row>
    <row r="193" spans="1:8">
      <c r="A193" s="1283"/>
      <c r="B193" s="1283"/>
      <c r="C193" s="1284"/>
      <c r="D193" s="1284"/>
      <c r="E193" s="1284"/>
      <c r="F193" s="1284"/>
      <c r="G193" s="1237"/>
      <c r="H193" s="1237"/>
    </row>
    <row r="194" spans="1:8">
      <c r="A194" s="1283"/>
      <c r="B194" s="1283"/>
      <c r="C194" s="1284"/>
      <c r="D194" s="1284"/>
      <c r="E194" s="1284"/>
      <c r="F194" s="1284"/>
      <c r="G194" s="1237"/>
      <c r="H194" s="1237"/>
    </row>
    <row r="195" spans="1:8">
      <c r="A195" s="1283"/>
      <c r="B195" s="1283"/>
      <c r="C195" s="1284"/>
      <c r="D195" s="1284"/>
      <c r="E195" s="1284"/>
      <c r="F195" s="1284"/>
      <c r="G195" s="1237"/>
      <c r="H195" s="1237"/>
    </row>
    <row r="196" spans="1:8">
      <c r="A196" s="1283"/>
      <c r="B196" s="1283"/>
      <c r="C196" s="1284"/>
      <c r="D196" s="1284"/>
      <c r="E196" s="1284"/>
      <c r="F196" s="1284"/>
      <c r="G196" s="1237"/>
      <c r="H196" s="1237"/>
    </row>
    <row r="197" spans="1:8">
      <c r="A197" s="1283"/>
      <c r="B197" s="1283"/>
      <c r="C197" s="1284"/>
      <c r="D197" s="1284"/>
      <c r="E197" s="1284"/>
      <c r="F197" s="1284"/>
      <c r="G197" s="1237"/>
      <c r="H197" s="1237"/>
    </row>
    <row r="198" spans="1:8">
      <c r="A198" s="1236"/>
      <c r="B198" s="1236"/>
      <c r="C198" s="1284"/>
      <c r="D198" s="1284"/>
      <c r="E198" s="1284"/>
      <c r="F198" s="1284"/>
      <c r="H198" s="1237"/>
    </row>
  </sheetData>
  <sheetProtection formatCells="0"/>
  <mergeCells count="1">
    <mergeCell ref="A1:J1"/>
  </mergeCells>
  <hyperlinks>
    <hyperlink ref="A1:J1" location="WELZIJN!A1" display="GEPRESTEERDE EENHEDEN SOCIALE DIENST" xr:uid="{00000000-0004-0000-2300-000000000000}"/>
  </hyperlinks>
  <printOptions horizontalCentered="1"/>
  <pageMargins left="0.78740157480314965" right="0.78740157480314965" top="0.78740157480314965" bottom="0.78740157480314965" header="0.51181102362204722" footer="0.51181102362204722"/>
  <pageSetup paperSize="9" orientation="landscape" r:id="rId1"/>
  <headerFooter alignWithMargins="0"/>
  <rowBreaks count="6" manualBreakCount="6">
    <brk id="31" max="4" man="1"/>
    <brk id="97" max="4" man="1"/>
    <brk id="110" max="4" man="1"/>
    <brk id="127" max="4" man="1"/>
    <brk id="144" max="4" man="1"/>
    <brk id="162" max="4"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AB8AA"/>
  </sheetPr>
  <dimension ref="A1:G51"/>
  <sheetViews>
    <sheetView zoomScale="90" zoomScaleNormal="100" workbookViewId="0">
      <pane ySplit="3" topLeftCell="A10" activePane="bottomLeft" state="frozen"/>
      <selection activeCell="E37" sqref="E37"/>
      <selection pane="bottomLeft" sqref="A1:G1"/>
    </sheetView>
  </sheetViews>
  <sheetFormatPr defaultColWidth="9.140625" defaultRowHeight="12.75"/>
  <cols>
    <col min="1" max="1" width="40.85546875" style="1224" customWidth="1"/>
    <col min="2" max="4" width="13.7109375" style="1224" customWidth="1"/>
    <col min="5" max="8" width="13.5703125" style="1224" customWidth="1"/>
    <col min="9" max="16384" width="9.140625" style="1224"/>
  </cols>
  <sheetData>
    <row r="1" spans="1:7" ht="18.75">
      <c r="A1" s="4771" t="s">
        <v>5548</v>
      </c>
      <c r="B1" s="4772"/>
      <c r="C1" s="4772"/>
      <c r="D1" s="4772"/>
      <c r="E1" s="4772"/>
      <c r="F1" s="4772"/>
      <c r="G1" s="4772"/>
    </row>
    <row r="3" spans="1:7" ht="15" customHeight="1">
      <c r="A3" s="2744"/>
      <c r="B3" s="2745">
        <f>C3-1</f>
        <v>2017</v>
      </c>
      <c r="C3" s="2745">
        <f>D3-1</f>
        <v>2018</v>
      </c>
      <c r="D3" s="2745" t="s">
        <v>7169</v>
      </c>
      <c r="E3" s="2745">
        <v>2020</v>
      </c>
      <c r="F3" s="2745">
        <v>2021</v>
      </c>
      <c r="G3" s="2745">
        <v>2022</v>
      </c>
    </row>
    <row r="4" spans="1:7">
      <c r="A4" s="1245" t="s">
        <v>5541</v>
      </c>
      <c r="B4" s="1228">
        <v>16108</v>
      </c>
      <c r="C4" s="1228">
        <v>18632</v>
      </c>
      <c r="D4" s="1228">
        <v>20240</v>
      </c>
      <c r="E4" s="1228">
        <v>7111</v>
      </c>
      <c r="F4" s="1228">
        <v>11728</v>
      </c>
      <c r="G4" s="1228">
        <v>15831</v>
      </c>
    </row>
    <row r="5" spans="1:7">
      <c r="A5" s="1246"/>
      <c r="B5" s="1247"/>
      <c r="C5" s="1247"/>
      <c r="D5" s="1247"/>
      <c r="E5" s="1229"/>
      <c r="F5" s="1242"/>
      <c r="G5" s="1242"/>
    </row>
    <row r="6" spans="1:7">
      <c r="A6" s="1246"/>
      <c r="B6" s="1247"/>
      <c r="C6" s="1247"/>
      <c r="D6" s="1247"/>
      <c r="E6" s="1229"/>
      <c r="F6" s="1242"/>
      <c r="G6" s="1242"/>
    </row>
    <row r="7" spans="1:7">
      <c r="A7" s="1246"/>
      <c r="B7" s="1247"/>
      <c r="C7" s="1247"/>
      <c r="D7" s="1247"/>
      <c r="E7" s="1229"/>
      <c r="F7" s="1242"/>
      <c r="G7" s="1242"/>
    </row>
    <row r="8" spans="1:7">
      <c r="A8" s="1246"/>
      <c r="B8" s="1247"/>
      <c r="C8" s="1247"/>
      <c r="D8" s="1247"/>
      <c r="E8" s="1229"/>
      <c r="F8" s="1242"/>
      <c r="G8" s="1242"/>
    </row>
    <row r="9" spans="1:7">
      <c r="A9" s="1246"/>
      <c r="B9" s="1247"/>
      <c r="C9" s="1247"/>
      <c r="D9" s="1247"/>
      <c r="E9" s="1229"/>
      <c r="F9" s="1242"/>
      <c r="G9" s="1242"/>
    </row>
    <row r="10" spans="1:7">
      <c r="A10" s="1246"/>
      <c r="B10" s="1247"/>
      <c r="C10" s="1247"/>
      <c r="D10" s="1247"/>
      <c r="E10" s="1229"/>
      <c r="F10" s="1242"/>
      <c r="G10" s="1242"/>
    </row>
    <row r="11" spans="1:7">
      <c r="A11" s="1246"/>
      <c r="B11" s="1247"/>
      <c r="C11" s="1247"/>
      <c r="D11" s="1247"/>
      <c r="E11" s="1229"/>
      <c r="F11" s="1242"/>
      <c r="G11" s="1242"/>
    </row>
    <row r="12" spans="1:7">
      <c r="A12" s="1246"/>
      <c r="B12" s="1247"/>
      <c r="C12" s="1247"/>
      <c r="D12" s="1247"/>
      <c r="E12" s="1229"/>
      <c r="F12" s="1242"/>
      <c r="G12" s="1242"/>
    </row>
    <row r="13" spans="1:7">
      <c r="A13" s="1246"/>
      <c r="B13" s="1247"/>
      <c r="C13" s="1247"/>
      <c r="D13" s="1247"/>
      <c r="E13" s="1229"/>
      <c r="F13" s="1242"/>
      <c r="G13" s="1242"/>
    </row>
    <row r="14" spans="1:7">
      <c r="A14" s="1246"/>
      <c r="B14" s="1247"/>
      <c r="C14" s="1247"/>
      <c r="D14" s="1247"/>
      <c r="E14" s="1229"/>
      <c r="F14" s="1242"/>
      <c r="G14" s="1242"/>
    </row>
    <row r="15" spans="1:7">
      <c r="A15" s="1246"/>
      <c r="B15" s="1247"/>
      <c r="C15" s="1247"/>
      <c r="D15" s="1247"/>
      <c r="E15" s="1229"/>
      <c r="F15" s="1242"/>
      <c r="G15" s="1242"/>
    </row>
    <row r="16" spans="1:7">
      <c r="A16" s="1246"/>
      <c r="B16" s="1247"/>
      <c r="C16" s="1247"/>
      <c r="D16" s="1247"/>
      <c r="E16" s="1229"/>
      <c r="F16" s="1242"/>
      <c r="G16" s="1242"/>
    </row>
    <row r="17" spans="1:7">
      <c r="A17" s="1246"/>
      <c r="B17" s="1247"/>
      <c r="C17" s="1247"/>
      <c r="D17" s="1247"/>
      <c r="E17" s="1229"/>
      <c r="F17" s="1242"/>
      <c r="G17" s="1242"/>
    </row>
    <row r="18" spans="1:7">
      <c r="A18" s="1246"/>
      <c r="B18" s="1247"/>
      <c r="C18" s="1247"/>
      <c r="D18" s="1247"/>
      <c r="E18" s="1229"/>
      <c r="F18" s="1242"/>
      <c r="G18" s="1242"/>
    </row>
    <row r="19" spans="1:7">
      <c r="A19" s="1246"/>
      <c r="B19" s="1247"/>
      <c r="C19" s="1247"/>
      <c r="D19" s="1247"/>
      <c r="E19" s="1229"/>
      <c r="F19" s="1242"/>
      <c r="G19" s="1242"/>
    </row>
    <row r="20" spans="1:7">
      <c r="A20" s="1246"/>
      <c r="B20" s="1247"/>
      <c r="C20" s="1247"/>
      <c r="D20" s="1247"/>
      <c r="E20" s="1229"/>
      <c r="F20" s="1242"/>
      <c r="G20" s="1242"/>
    </row>
    <row r="21" spans="1:7">
      <c r="A21" s="1246"/>
      <c r="B21" s="1247"/>
      <c r="C21" s="1247"/>
      <c r="D21" s="1247"/>
      <c r="E21" s="1229"/>
      <c r="F21" s="1242"/>
      <c r="G21" s="1242"/>
    </row>
    <row r="22" spans="1:7">
      <c r="A22" s="1246"/>
      <c r="B22" s="1247"/>
      <c r="C22" s="1247"/>
      <c r="D22" s="1247"/>
      <c r="E22" s="1229"/>
      <c r="G22" s="1242"/>
    </row>
    <row r="23" spans="1:7">
      <c r="A23" s="1246"/>
      <c r="B23" s="1247"/>
      <c r="C23" s="1247"/>
      <c r="D23" s="1247"/>
      <c r="E23" s="1229"/>
      <c r="G23" s="1242"/>
    </row>
    <row r="24" spans="1:7" ht="15" customHeight="1">
      <c r="A24" s="2744"/>
      <c r="B24" s="2745">
        <f t="shared" ref="B24:G24" si="0">+B3</f>
        <v>2017</v>
      </c>
      <c r="C24" s="2745">
        <f t="shared" si="0"/>
        <v>2018</v>
      </c>
      <c r="D24" s="2745" t="str">
        <f t="shared" si="0"/>
        <v>2019</v>
      </c>
      <c r="E24" s="2745">
        <f t="shared" si="0"/>
        <v>2020</v>
      </c>
      <c r="F24" s="2745">
        <f t="shared" si="0"/>
        <v>2021</v>
      </c>
      <c r="G24" s="2745">
        <f t="shared" si="0"/>
        <v>2022</v>
      </c>
    </row>
    <row r="25" spans="1:7">
      <c r="A25" s="1248" t="s">
        <v>5542</v>
      </c>
      <c r="B25" s="1232"/>
      <c r="C25" s="1232"/>
      <c r="D25" s="1232"/>
      <c r="E25" s="1232"/>
      <c r="F25" s="1232"/>
      <c r="G25" s="1232"/>
    </row>
    <row r="26" spans="1:7">
      <c r="A26" s="1249" t="s">
        <v>5543</v>
      </c>
      <c r="B26" s="1232">
        <f>1235.85+89.97</f>
        <v>1325.82</v>
      </c>
      <c r="C26" s="1232">
        <f>1454.79+129.98</f>
        <v>1584.77</v>
      </c>
      <c r="D26" s="1232">
        <f>1609.27+243.89</f>
        <v>1853.1599999999999</v>
      </c>
      <c r="E26" s="1232">
        <v>321</v>
      </c>
      <c r="F26" s="1232">
        <f>1316.15+8</f>
        <v>1324.15</v>
      </c>
      <c r="G26" s="1232">
        <v>2175</v>
      </c>
    </row>
    <row r="27" spans="1:7">
      <c r="A27" s="1249" t="s">
        <v>5544</v>
      </c>
      <c r="B27" s="1232">
        <v>1421.68</v>
      </c>
      <c r="C27" s="1232">
        <v>1433.82</v>
      </c>
      <c r="D27" s="1232">
        <v>1557.9</v>
      </c>
      <c r="E27" s="1232">
        <v>328</v>
      </c>
      <c r="F27" s="1232">
        <v>1230.78</v>
      </c>
      <c r="G27" s="1232">
        <v>2199</v>
      </c>
    </row>
    <row r="28" spans="1:7">
      <c r="A28" s="1249" t="s">
        <v>5545</v>
      </c>
      <c r="B28" s="1232">
        <v>164.7</v>
      </c>
      <c r="C28" s="1232">
        <v>101.83</v>
      </c>
      <c r="D28" s="1232">
        <f>68.98+9</f>
        <v>77.98</v>
      </c>
      <c r="E28" s="1232"/>
      <c r="F28" s="1232"/>
      <c r="G28" s="1232">
        <v>51</v>
      </c>
    </row>
    <row r="29" spans="1:7">
      <c r="A29" s="1249" t="s">
        <v>5546</v>
      </c>
      <c r="B29" s="1232">
        <v>8657.1299999999992</v>
      </c>
      <c r="C29" s="1232">
        <v>9055.41</v>
      </c>
      <c r="D29" s="1232">
        <f>1019.27+532.75+632+1410+2198.87+2041.58+1715.58+1207.01+1311.17+1088.59</f>
        <v>13156.82</v>
      </c>
      <c r="E29" s="1232">
        <f>1344+328</f>
        <v>1672</v>
      </c>
      <c r="F29" s="1232">
        <v>12189.68</v>
      </c>
      <c r="G29" s="1232">
        <v>16299</v>
      </c>
    </row>
    <row r="30" spans="1:7" s="1252" customFormat="1">
      <c r="A30" s="1250" t="s">
        <v>5547</v>
      </c>
      <c r="B30" s="1251">
        <f t="shared" ref="B30:G30" si="1">SUM(B26:B29)</f>
        <v>11569.329999999998</v>
      </c>
      <c r="C30" s="1251">
        <f t="shared" si="1"/>
        <v>12175.83</v>
      </c>
      <c r="D30" s="1251">
        <f t="shared" si="1"/>
        <v>16645.86</v>
      </c>
      <c r="E30" s="1251">
        <f t="shared" si="1"/>
        <v>2321</v>
      </c>
      <c r="F30" s="1251">
        <f t="shared" si="1"/>
        <v>14744.61</v>
      </c>
      <c r="G30" s="1251">
        <f t="shared" si="1"/>
        <v>20724</v>
      </c>
    </row>
    <row r="31" spans="1:7">
      <c r="A31" s="1244"/>
      <c r="B31" s="1247"/>
      <c r="C31" s="1247"/>
      <c r="D31" s="1247"/>
    </row>
    <row r="32" spans="1:7">
      <c r="A32" s="1244"/>
      <c r="B32" s="1247"/>
      <c r="C32" s="1247"/>
      <c r="D32" s="1247"/>
    </row>
    <row r="33" spans="1:4">
      <c r="A33" s="1244"/>
      <c r="B33" s="1247"/>
      <c r="C33" s="1247"/>
      <c r="D33" s="1247"/>
    </row>
    <row r="34" spans="1:4">
      <c r="A34" s="1244"/>
      <c r="B34" s="1247"/>
      <c r="C34" s="1247"/>
      <c r="D34" s="1247"/>
    </row>
    <row r="35" spans="1:4">
      <c r="A35" s="1244"/>
      <c r="B35" s="1247"/>
      <c r="C35" s="1247"/>
      <c r="D35" s="1247"/>
    </row>
    <row r="36" spans="1:4">
      <c r="A36" s="1244"/>
      <c r="B36" s="1247"/>
      <c r="C36" s="1247"/>
      <c r="D36" s="1247"/>
    </row>
    <row r="37" spans="1:4">
      <c r="A37" s="1244"/>
      <c r="B37" s="1247"/>
      <c r="C37" s="1247"/>
      <c r="D37" s="1247"/>
    </row>
    <row r="38" spans="1:4">
      <c r="A38" s="1244"/>
      <c r="B38" s="1247"/>
      <c r="C38" s="1247"/>
      <c r="D38" s="1247"/>
    </row>
    <row r="39" spans="1:4">
      <c r="A39" s="1244"/>
      <c r="B39" s="1247"/>
      <c r="C39" s="1247"/>
      <c r="D39" s="1247"/>
    </row>
    <row r="40" spans="1:4">
      <c r="A40" s="1244"/>
      <c r="B40" s="1247"/>
      <c r="C40" s="1247"/>
      <c r="D40" s="1247"/>
    </row>
    <row r="41" spans="1:4">
      <c r="A41" s="1244"/>
      <c r="B41" s="1247"/>
      <c r="C41" s="1247"/>
      <c r="D41" s="1247"/>
    </row>
    <row r="42" spans="1:4">
      <c r="A42" s="1244"/>
      <c r="B42" s="1247"/>
      <c r="C42" s="1247"/>
      <c r="D42" s="1247"/>
    </row>
    <row r="43" spans="1:4">
      <c r="A43" s="1244"/>
      <c r="B43" s="1247"/>
      <c r="C43" s="1247"/>
      <c r="D43" s="1247"/>
    </row>
    <row r="44" spans="1:4">
      <c r="A44" s="1244"/>
      <c r="B44" s="1247"/>
      <c r="C44" s="1247"/>
      <c r="D44" s="1247"/>
    </row>
    <row r="45" spans="1:4">
      <c r="A45" s="1244"/>
      <c r="B45" s="1247"/>
      <c r="C45" s="1247"/>
      <c r="D45" s="1247"/>
    </row>
    <row r="46" spans="1:4">
      <c r="A46" s="1244"/>
      <c r="B46" s="1247"/>
      <c r="C46" s="1247"/>
      <c r="D46" s="1247"/>
    </row>
    <row r="47" spans="1:4">
      <c r="A47" s="1244"/>
      <c r="B47" s="1247"/>
      <c r="C47" s="1247"/>
      <c r="D47" s="1247"/>
    </row>
    <row r="48" spans="1:4">
      <c r="A48" s="1244"/>
      <c r="B48" s="1247"/>
      <c r="C48" s="1247"/>
      <c r="D48" s="1247"/>
    </row>
    <row r="49" spans="1:4">
      <c r="A49" s="1244"/>
      <c r="B49" s="1247"/>
      <c r="C49" s="1247"/>
      <c r="D49" s="1247"/>
    </row>
    <row r="50" spans="1:4">
      <c r="A50" s="1244"/>
    </row>
    <row r="51" spans="1:4">
      <c r="A51" s="1244"/>
    </row>
  </sheetData>
  <sheetProtection formatCells="0"/>
  <mergeCells count="1">
    <mergeCell ref="A1:G1"/>
  </mergeCells>
  <printOptions horizontalCentered="1"/>
  <pageMargins left="0.78740157480314965" right="0.78740157480314965" top="0.78740157480314965" bottom="0.78740157480314965" header="0.51181102362204722" footer="0.51181102362204722"/>
  <pageSetup paperSize="9" scale="97" orientation="landscape" r:id="rId1"/>
  <headerFooter alignWithMargins="0"/>
  <rowBreaks count="1" manualBreakCount="1">
    <brk id="23" max="4"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AB8AA"/>
  </sheetPr>
  <dimension ref="A1:I57"/>
  <sheetViews>
    <sheetView workbookViewId="0">
      <pane ySplit="2" topLeftCell="A3" activePane="bottomLeft" state="frozen"/>
      <selection activeCell="E37" sqref="E37"/>
      <selection pane="bottomLeft" activeCell="G24" sqref="G24"/>
    </sheetView>
  </sheetViews>
  <sheetFormatPr defaultColWidth="9.140625" defaultRowHeight="12.75"/>
  <cols>
    <col min="1" max="1" width="32.7109375" style="1224" customWidth="1"/>
    <col min="2" max="7" width="16.7109375" style="1224" customWidth="1"/>
    <col min="8" max="16384" width="9.140625" style="1224"/>
  </cols>
  <sheetData>
    <row r="1" spans="1:9" ht="18.75">
      <c r="A1" s="4771" t="s">
        <v>5559</v>
      </c>
      <c r="B1" s="4772"/>
      <c r="C1" s="4772"/>
      <c r="D1" s="4772"/>
      <c r="E1" s="4772"/>
      <c r="F1" s="4772"/>
      <c r="G1" s="4772"/>
    </row>
    <row r="3" spans="1:9">
      <c r="A3" s="2749" t="s">
        <v>8070</v>
      </c>
      <c r="B3" s="3558">
        <v>2017</v>
      </c>
      <c r="C3" s="3558">
        <v>2018</v>
      </c>
      <c r="D3" s="3558" t="s">
        <v>7169</v>
      </c>
      <c r="E3" s="3558">
        <v>2020</v>
      </c>
      <c r="F3" s="3558">
        <v>2021</v>
      </c>
      <c r="G3" s="3558">
        <v>2022</v>
      </c>
    </row>
    <row r="4" spans="1:9">
      <c r="A4" s="1234" t="s">
        <v>5549</v>
      </c>
      <c r="B4" s="1254">
        <v>3623</v>
      </c>
      <c r="C4" s="1254">
        <v>3708</v>
      </c>
      <c r="D4" s="1254">
        <v>3882</v>
      </c>
      <c r="E4" s="1254">
        <v>3534</v>
      </c>
      <c r="F4" s="1254">
        <v>3498</v>
      </c>
      <c r="G4" s="1254">
        <v>3781</v>
      </c>
    </row>
    <row r="5" spans="1:9">
      <c r="A5" s="1234" t="s">
        <v>5550</v>
      </c>
      <c r="B5" s="1254">
        <v>0</v>
      </c>
      <c r="C5" s="1254">
        <v>0</v>
      </c>
      <c r="D5" s="1254">
        <v>0</v>
      </c>
      <c r="E5" s="1254">
        <v>0</v>
      </c>
      <c r="F5" s="1254">
        <v>0</v>
      </c>
      <c r="G5" s="1254">
        <v>0</v>
      </c>
    </row>
    <row r="6" spans="1:9">
      <c r="A6" s="1234" t="s">
        <v>5551</v>
      </c>
      <c r="B6" s="1254">
        <v>3990</v>
      </c>
      <c r="C6" s="1254">
        <v>4014</v>
      </c>
      <c r="D6" s="1254">
        <v>3994</v>
      </c>
      <c r="E6" s="1254">
        <v>3889</v>
      </c>
      <c r="F6" s="1254">
        <v>3775</v>
      </c>
      <c r="G6" s="1254">
        <v>4015</v>
      </c>
    </row>
    <row r="7" spans="1:9">
      <c r="A7" s="1234" t="s">
        <v>5552</v>
      </c>
      <c r="B7" s="1254">
        <v>3662</v>
      </c>
      <c r="C7" s="1254">
        <v>4028</v>
      </c>
      <c r="D7" s="1254">
        <v>3916</v>
      </c>
      <c r="E7" s="1254">
        <v>3847</v>
      </c>
      <c r="F7" s="1254">
        <v>4078</v>
      </c>
      <c r="G7" s="1254">
        <v>4052</v>
      </c>
    </row>
    <row r="8" spans="1:9">
      <c r="A8" s="1234" t="s">
        <v>5553</v>
      </c>
      <c r="B8" s="1254">
        <v>3523</v>
      </c>
      <c r="C8" s="1254">
        <v>3374</v>
      </c>
      <c r="D8" s="1254">
        <v>3399</v>
      </c>
      <c r="E8" s="1254">
        <v>3677</v>
      </c>
      <c r="F8" s="1254">
        <v>3211</v>
      </c>
      <c r="G8" s="1254">
        <v>3303</v>
      </c>
    </row>
    <row r="9" spans="1:9">
      <c r="A9" s="1234" t="s">
        <v>5554</v>
      </c>
      <c r="B9" s="1254">
        <f>1212+123</f>
        <v>1335</v>
      </c>
      <c r="C9" s="1254">
        <v>957</v>
      </c>
      <c r="D9" s="1254">
        <v>1217</v>
      </c>
      <c r="E9" s="1254">
        <v>1505</v>
      </c>
      <c r="F9" s="1254">
        <f>1659+0</f>
        <v>1659</v>
      </c>
      <c r="G9" s="1254">
        <f>1415+0</f>
        <v>1415</v>
      </c>
    </row>
    <row r="10" spans="1:9">
      <c r="A10" s="2740" t="s">
        <v>8070</v>
      </c>
      <c r="B10" s="2741">
        <f t="shared" ref="B10:G10" si="0">SUM(B4:B9)</f>
        <v>16133</v>
      </c>
      <c r="C10" s="2741">
        <f t="shared" si="0"/>
        <v>16081</v>
      </c>
      <c r="D10" s="2741">
        <f t="shared" si="0"/>
        <v>16408</v>
      </c>
      <c r="E10" s="2741">
        <f t="shared" si="0"/>
        <v>16452</v>
      </c>
      <c r="F10" s="2741">
        <f t="shared" si="0"/>
        <v>16221</v>
      </c>
      <c r="G10" s="2741">
        <f t="shared" si="0"/>
        <v>16566</v>
      </c>
    </row>
    <row r="11" spans="1:9">
      <c r="A11" s="4282" t="s">
        <v>8071</v>
      </c>
      <c r="B11" s="4283">
        <f>B19/47</f>
        <v>0.94042553191489353</v>
      </c>
      <c r="C11" s="4283">
        <f t="shared" ref="C11:F11" si="1">C19/47</f>
        <v>0.93739434567181579</v>
      </c>
      <c r="D11" s="4283">
        <f t="shared" si="1"/>
        <v>0.9564558437773244</v>
      </c>
      <c r="E11" s="4283">
        <f t="shared" si="1"/>
        <v>0.95640041855598179</v>
      </c>
      <c r="F11" s="4283">
        <f t="shared" si="1"/>
        <v>0.94555523171087152</v>
      </c>
      <c r="G11" s="4283">
        <f t="shared" ref="G11" si="2">G19/47</f>
        <v>0.96566598659282987</v>
      </c>
    </row>
    <row r="12" spans="1:9">
      <c r="A12" s="2749" t="s">
        <v>8072</v>
      </c>
      <c r="B12" s="3559">
        <f t="shared" ref="B12:G12" si="3">B3</f>
        <v>2017</v>
      </c>
      <c r="C12" s="3559">
        <f t="shared" si="3"/>
        <v>2018</v>
      </c>
      <c r="D12" s="3559" t="str">
        <f t="shared" si="3"/>
        <v>2019</v>
      </c>
      <c r="E12" s="3559">
        <f t="shared" si="3"/>
        <v>2020</v>
      </c>
      <c r="F12" s="4281">
        <f t="shared" si="3"/>
        <v>2021</v>
      </c>
      <c r="G12" s="4515">
        <f t="shared" si="3"/>
        <v>2022</v>
      </c>
    </row>
    <row r="13" spans="1:9">
      <c r="A13" s="1234" t="s">
        <v>5549</v>
      </c>
      <c r="B13" s="1255">
        <f t="shared" ref="B13:G13" si="4">B4/((("1/1/"&amp;(B3+1))*1)-(("1/1/"&amp;B3)*1))</f>
        <v>9.9260273972602739</v>
      </c>
      <c r="C13" s="1255">
        <f t="shared" si="4"/>
        <v>10.158904109589042</v>
      </c>
      <c r="D13" s="1255">
        <f t="shared" si="4"/>
        <v>10.635616438356164</v>
      </c>
      <c r="E13" s="1255">
        <f t="shared" si="4"/>
        <v>9.6557377049180335</v>
      </c>
      <c r="F13" s="1255">
        <f t="shared" si="4"/>
        <v>9.5835616438356173</v>
      </c>
      <c r="G13" s="1255">
        <f t="shared" si="4"/>
        <v>10.358904109589041</v>
      </c>
      <c r="H13" s="1237">
        <v>11</v>
      </c>
      <c r="I13" s="3800">
        <f>G13/H13</f>
        <v>0.94171855541718552</v>
      </c>
    </row>
    <row r="14" spans="1:9">
      <c r="A14" s="1234" t="s">
        <v>5550</v>
      </c>
      <c r="B14" s="1256">
        <f t="shared" ref="B14:G14" si="5">B5/((("1/1/"&amp;(B3+1))*1)-(("1/1/"&amp;B3)*1))</f>
        <v>0</v>
      </c>
      <c r="C14" s="1256">
        <f t="shared" si="5"/>
        <v>0</v>
      </c>
      <c r="D14" s="1256">
        <f t="shared" si="5"/>
        <v>0</v>
      </c>
      <c r="E14" s="1256">
        <f t="shared" si="5"/>
        <v>0</v>
      </c>
      <c r="F14" s="1256">
        <f t="shared" si="5"/>
        <v>0</v>
      </c>
      <c r="G14" s="1256">
        <f t="shared" si="5"/>
        <v>0</v>
      </c>
      <c r="H14" s="1237"/>
      <c r="I14" s="3800"/>
    </row>
    <row r="15" spans="1:9">
      <c r="A15" s="1234" t="s">
        <v>5551</v>
      </c>
      <c r="B15" s="1256">
        <f t="shared" ref="B15:G15" si="6">B6/((("1/1/"&amp;(B3+1))*1)-(("1/1/"&amp;B3)*1))</f>
        <v>10.931506849315069</v>
      </c>
      <c r="C15" s="1256">
        <f t="shared" si="6"/>
        <v>10.997260273972604</v>
      </c>
      <c r="D15" s="1256">
        <f t="shared" si="6"/>
        <v>10.942465753424658</v>
      </c>
      <c r="E15" s="1256">
        <f t="shared" si="6"/>
        <v>10.62568306010929</v>
      </c>
      <c r="F15" s="1256">
        <f t="shared" si="6"/>
        <v>10.342465753424657</v>
      </c>
      <c r="G15" s="1256">
        <f t="shared" si="6"/>
        <v>11</v>
      </c>
      <c r="H15" s="1237">
        <v>11</v>
      </c>
      <c r="I15" s="3800">
        <f t="shared" ref="I15:I18" si="7">G15/H15</f>
        <v>1</v>
      </c>
    </row>
    <row r="16" spans="1:9">
      <c r="A16" s="1234" t="s">
        <v>5552</v>
      </c>
      <c r="B16" s="1256">
        <f t="shared" ref="B16:G16" si="8">B7/((("1/1/"&amp;(B3+1))*1)-(("1/1/"&amp;B3)*1))</f>
        <v>10.032876712328767</v>
      </c>
      <c r="C16" s="1256">
        <f t="shared" si="8"/>
        <v>11.035616438356165</v>
      </c>
      <c r="D16" s="1256">
        <f t="shared" si="8"/>
        <v>10.728767123287671</v>
      </c>
      <c r="E16" s="1256">
        <f t="shared" si="8"/>
        <v>10.510928961748634</v>
      </c>
      <c r="F16" s="1256">
        <f t="shared" si="8"/>
        <v>11.172602739726027</v>
      </c>
      <c r="G16" s="1256">
        <f t="shared" si="8"/>
        <v>11.101369863013698</v>
      </c>
      <c r="H16" s="1237">
        <v>11</v>
      </c>
      <c r="I16" s="3800">
        <f t="shared" si="7"/>
        <v>1.0092154420921544</v>
      </c>
    </row>
    <row r="17" spans="1:9">
      <c r="A17" s="1234" t="s">
        <v>5553</v>
      </c>
      <c r="B17" s="1256">
        <f t="shared" ref="B17:G17" si="9">B8/((("1/1/"&amp;(B3+1))*1)-(("1/1/"&amp;B3)*1))</f>
        <v>9.6520547945205486</v>
      </c>
      <c r="C17" s="1256">
        <f t="shared" si="9"/>
        <v>9.2438356164383571</v>
      </c>
      <c r="D17" s="1256">
        <f t="shared" si="9"/>
        <v>9.3123287671232884</v>
      </c>
      <c r="E17" s="1256">
        <f t="shared" si="9"/>
        <v>10.046448087431694</v>
      </c>
      <c r="F17" s="1256">
        <f t="shared" si="9"/>
        <v>8.7972602739726025</v>
      </c>
      <c r="G17" s="1256">
        <f t="shared" si="9"/>
        <v>9.0493150684931507</v>
      </c>
      <c r="H17" s="1237">
        <v>11</v>
      </c>
      <c r="I17" s="3800">
        <f t="shared" si="7"/>
        <v>0.82266500622665006</v>
      </c>
    </row>
    <row r="18" spans="1:9">
      <c r="A18" s="1234" t="s">
        <v>5554</v>
      </c>
      <c r="B18" s="3563">
        <f t="shared" ref="B18:G18" si="10">B9/((("1/1/"&amp;(B3+1))*1)-(("1/1/"&amp;B3)*1))</f>
        <v>3.6575342465753424</v>
      </c>
      <c r="C18" s="3563">
        <f t="shared" si="10"/>
        <v>2.6219178082191781</v>
      </c>
      <c r="D18" s="3563">
        <f t="shared" si="10"/>
        <v>3.3342465753424659</v>
      </c>
      <c r="E18" s="3563">
        <f t="shared" si="10"/>
        <v>4.1120218579234971</v>
      </c>
      <c r="F18" s="3563">
        <f t="shared" si="10"/>
        <v>4.5452054794520551</v>
      </c>
      <c r="G18" s="3563">
        <f t="shared" si="10"/>
        <v>3.8767123287671232</v>
      </c>
      <c r="H18" s="1237">
        <v>3</v>
      </c>
      <c r="I18" s="3800">
        <f t="shared" si="7"/>
        <v>1.2922374429223744</v>
      </c>
    </row>
    <row r="19" spans="1:9">
      <c r="A19" s="2740" t="s">
        <v>8072</v>
      </c>
      <c r="B19" s="2742">
        <f t="shared" ref="B19:G19" si="11">SUM(B13:B18)</f>
        <v>44.199999999999996</v>
      </c>
      <c r="C19" s="2742">
        <f t="shared" si="11"/>
        <v>44.057534246575344</v>
      </c>
      <c r="D19" s="2742">
        <f t="shared" si="11"/>
        <v>44.953424657534249</v>
      </c>
      <c r="E19" s="2742">
        <f t="shared" si="11"/>
        <v>44.950819672131146</v>
      </c>
      <c r="F19" s="2742">
        <f t="shared" si="11"/>
        <v>44.441095890410963</v>
      </c>
      <c r="G19" s="2742">
        <f t="shared" si="11"/>
        <v>45.386301369863006</v>
      </c>
    </row>
    <row r="20" spans="1:9">
      <c r="A20" s="1257" t="s">
        <v>5555</v>
      </c>
      <c r="B20" s="3557" t="str">
        <f t="shared" ref="B20:G20" si="12">IF(B19/47*100&gt;80,"OK","NIET OK")</f>
        <v>OK</v>
      </c>
      <c r="C20" s="3557" t="str">
        <f t="shared" si="12"/>
        <v>OK</v>
      </c>
      <c r="D20" s="3557" t="str">
        <f t="shared" si="12"/>
        <v>OK</v>
      </c>
      <c r="E20" s="3557" t="str">
        <f t="shared" si="12"/>
        <v>OK</v>
      </c>
      <c r="F20" s="3557" t="str">
        <f t="shared" si="12"/>
        <v>OK</v>
      </c>
      <c r="G20" s="3557" t="str">
        <f t="shared" si="12"/>
        <v>OK</v>
      </c>
    </row>
    <row r="21" spans="1:9">
      <c r="A21" s="1258" t="s">
        <v>5556</v>
      </c>
      <c r="B21" s="3560">
        <v>13</v>
      </c>
      <c r="C21" s="3560">
        <v>16</v>
      </c>
      <c r="D21" s="3560">
        <v>9</v>
      </c>
      <c r="E21" s="3560">
        <v>9</v>
      </c>
      <c r="F21" s="3560">
        <v>14</v>
      </c>
      <c r="G21" s="3560">
        <v>12</v>
      </c>
    </row>
    <row r="22" spans="1:9">
      <c r="A22" s="1258" t="s">
        <v>8073</v>
      </c>
      <c r="B22" s="3560">
        <v>13</v>
      </c>
      <c r="C22" s="3560">
        <v>2</v>
      </c>
      <c r="D22" s="3560">
        <v>9</v>
      </c>
      <c r="E22" s="3560">
        <v>5</v>
      </c>
      <c r="F22" s="3560">
        <v>6</v>
      </c>
      <c r="G22" s="3560">
        <v>4</v>
      </c>
    </row>
    <row r="23" spans="1:9">
      <c r="A23" s="1258" t="s">
        <v>5557</v>
      </c>
      <c r="B23" s="3560">
        <v>21</v>
      </c>
      <c r="C23" s="3560">
        <v>15</v>
      </c>
      <c r="D23" s="3560">
        <v>9</v>
      </c>
      <c r="E23" s="3560">
        <v>12</v>
      </c>
      <c r="F23" s="3560">
        <v>12</v>
      </c>
      <c r="G23" s="3560">
        <v>15</v>
      </c>
    </row>
    <row r="24" spans="1:9">
      <c r="A24" s="1253" t="s">
        <v>5502</v>
      </c>
      <c r="B24" s="1255">
        <f>(2791982.31)/SUM(B4:B8)</f>
        <v>188.67294972293553</v>
      </c>
      <c r="C24" s="3561">
        <f>(2714311.38)/SUM(C4:C8)</f>
        <v>179.47046945252578</v>
      </c>
      <c r="D24" s="3561">
        <f>(2784007.74)/SUM(D4:D8)</f>
        <v>183.26691725363705</v>
      </c>
      <c r="E24" s="3561">
        <f>(2800954.42)/SUM(E4:E8)</f>
        <v>187.39241453134409</v>
      </c>
      <c r="F24" s="1255">
        <f>(2843291.48)/SUM(F4:F8)</f>
        <v>195.25418761159182</v>
      </c>
      <c r="G24" s="1255">
        <f>3065982.49/SUM(G4:G8)</f>
        <v>202.36172463863772</v>
      </c>
    </row>
    <row r="25" spans="1:9">
      <c r="A25" s="1260" t="s">
        <v>5558</v>
      </c>
      <c r="B25" s="3563">
        <f>(363366.54+15300.06+2566490.8)/SUM(B4:B8)</f>
        <v>199.02401675902149</v>
      </c>
      <c r="C25" s="3562">
        <f>(363366.54+15650.51+2609380.92)/SUM(C4:C8)</f>
        <v>197.59309508066647</v>
      </c>
      <c r="D25" s="3562">
        <f>(363366.54+17134.4+2568444.12)/SUM(D4:D8)</f>
        <v>194.12448555065501</v>
      </c>
      <c r="E25" s="3562">
        <f>(2652217.68+362845.31+18334.05)/SUM(E4:E8)</f>
        <v>202.94353649561785</v>
      </c>
      <c r="F25" s="3563">
        <f>(2832440+362845.31+28149.14)/SUM(F4:F8)</f>
        <v>221.35932220848787</v>
      </c>
      <c r="G25" s="3563">
        <f>(3080090.09+362845.31+24191.01)/SUM(G4:G8)</f>
        <v>228.83812355620088</v>
      </c>
    </row>
    <row r="26" spans="1:9">
      <c r="A26" s="1244"/>
      <c r="B26" s="1259"/>
      <c r="C26" s="1259"/>
      <c r="D26" s="1259"/>
      <c r="E26" s="1259"/>
    </row>
    <row r="27" spans="1:9">
      <c r="A27" s="1233"/>
      <c r="B27" s="1229"/>
      <c r="C27" s="1229"/>
      <c r="D27" s="1229"/>
      <c r="E27" s="1229"/>
    </row>
    <row r="28" spans="1:9">
      <c r="A28" s="1233"/>
      <c r="B28" s="1229"/>
      <c r="C28" s="1229"/>
      <c r="D28" s="1229"/>
      <c r="E28" s="1229"/>
    </row>
    <row r="29" spans="1:9">
      <c r="A29" s="1233"/>
      <c r="B29" s="1229"/>
      <c r="C29" s="1229"/>
      <c r="D29" s="1229"/>
      <c r="E29" s="1229"/>
      <c r="F29" s="1244"/>
      <c r="G29" s="1244"/>
    </row>
    <row r="30" spans="1:9">
      <c r="A30" s="1233"/>
      <c r="B30" s="1229"/>
      <c r="C30" s="1229"/>
      <c r="D30" s="1229"/>
      <c r="E30" s="1229"/>
      <c r="F30" s="3564"/>
      <c r="G30" s="3564"/>
    </row>
    <row r="31" spans="1:9">
      <c r="A31" s="1233"/>
      <c r="B31" s="1229"/>
      <c r="C31" s="1229"/>
      <c r="D31" s="1229"/>
      <c r="E31" s="1229"/>
      <c r="F31" s="1244"/>
      <c r="G31" s="1244"/>
    </row>
    <row r="32" spans="1:9">
      <c r="A32" s="1233"/>
      <c r="B32" s="1229"/>
      <c r="C32" s="1229"/>
      <c r="D32" s="1229"/>
      <c r="E32" s="1229"/>
    </row>
    <row r="33" spans="1:7">
      <c r="A33" s="1233"/>
      <c r="B33" s="1229"/>
      <c r="C33" s="1229"/>
      <c r="D33" s="1229"/>
      <c r="E33" s="1229"/>
    </row>
    <row r="34" spans="1:7">
      <c r="A34" s="1233"/>
      <c r="B34" s="1229"/>
      <c r="C34" s="1229"/>
      <c r="D34" s="1229"/>
      <c r="E34" s="1229"/>
      <c r="F34" s="1236"/>
      <c r="G34" s="1236"/>
    </row>
    <row r="35" spans="1:7">
      <c r="A35" s="1233"/>
      <c r="B35" s="1229"/>
      <c r="C35" s="1229"/>
      <c r="D35" s="1229"/>
      <c r="E35" s="1229"/>
      <c r="F35" s="1236"/>
      <c r="G35" s="1236"/>
    </row>
    <row r="36" spans="1:7">
      <c r="A36" s="1233"/>
      <c r="B36" s="1229"/>
      <c r="C36" s="1229"/>
      <c r="D36" s="1229"/>
      <c r="E36" s="1229"/>
      <c r="F36" s="1236"/>
      <c r="G36" s="1236"/>
    </row>
    <row r="37" spans="1:7">
      <c r="A37" s="1233"/>
      <c r="B37" s="1229"/>
      <c r="C37" s="1229"/>
      <c r="D37" s="1229"/>
      <c r="E37" s="1229"/>
      <c r="F37" s="1236"/>
      <c r="G37" s="1236"/>
    </row>
    <row r="38" spans="1:7">
      <c r="A38" s="1233"/>
      <c r="B38" s="1229"/>
      <c r="C38" s="1229"/>
      <c r="D38" s="1229"/>
      <c r="E38" s="1229"/>
      <c r="F38" s="1236"/>
      <c r="G38" s="1236"/>
    </row>
    <row r="39" spans="1:7">
      <c r="A39" s="1233"/>
      <c r="B39" s="1229"/>
      <c r="C39" s="1229"/>
      <c r="D39" s="1229"/>
      <c r="E39" s="1229"/>
      <c r="F39" s="1230"/>
      <c r="G39" s="1230"/>
    </row>
    <row r="40" spans="1:7">
      <c r="A40" s="1233"/>
      <c r="B40" s="1229"/>
      <c r="C40" s="1229"/>
      <c r="D40" s="1229"/>
      <c r="E40" s="1229"/>
      <c r="F40" s="1230"/>
      <c r="G40" s="1230"/>
    </row>
    <row r="41" spans="1:7">
      <c r="A41" s="1233"/>
      <c r="B41" s="1229"/>
      <c r="C41" s="1229"/>
      <c r="D41" s="1229"/>
      <c r="E41" s="1229"/>
      <c r="F41" s="1230"/>
      <c r="G41" s="1230"/>
    </row>
    <row r="42" spans="1:7">
      <c r="A42" s="1233"/>
      <c r="B42" s="1229"/>
      <c r="C42" s="1229"/>
      <c r="D42" s="1229"/>
      <c r="E42" s="1229"/>
      <c r="F42" s="1230"/>
      <c r="G42" s="1230"/>
    </row>
    <row r="43" spans="1:7">
      <c r="A43" s="1233"/>
      <c r="B43" s="1229"/>
      <c r="C43" s="1229"/>
      <c r="D43" s="1229"/>
      <c r="E43" s="1229"/>
      <c r="F43" s="1230"/>
      <c r="G43" s="1230"/>
    </row>
    <row r="44" spans="1:7">
      <c r="A44" s="1233"/>
      <c r="B44" s="1229"/>
      <c r="C44" s="1229"/>
      <c r="D44" s="1229"/>
      <c r="E44" s="1229"/>
      <c r="F44" s="1230"/>
      <c r="G44" s="1230"/>
    </row>
    <row r="45" spans="1:7">
      <c r="A45" s="1233"/>
      <c r="B45" s="1229"/>
      <c r="C45" s="1229"/>
      <c r="D45" s="1229"/>
      <c r="E45" s="1229"/>
      <c r="F45" s="1230"/>
      <c r="G45" s="1230"/>
    </row>
    <row r="46" spans="1:7">
      <c r="A46" s="1233"/>
      <c r="B46" s="1229"/>
      <c r="C46" s="1229"/>
      <c r="D46" s="1229"/>
      <c r="E46" s="1229"/>
      <c r="F46" s="1230"/>
      <c r="G46" s="1230"/>
    </row>
    <row r="47" spans="1:7">
      <c r="A47" s="1233"/>
      <c r="B47" s="1229"/>
      <c r="C47" s="1229"/>
      <c r="D47" s="1229"/>
      <c r="E47" s="1229"/>
      <c r="F47" s="1230"/>
      <c r="G47" s="1230"/>
    </row>
    <row r="48" spans="1:7">
      <c r="A48" s="1233"/>
      <c r="B48" s="1229"/>
      <c r="C48" s="1229"/>
      <c r="D48" s="1229"/>
      <c r="E48" s="1229"/>
      <c r="F48" s="1230"/>
      <c r="G48" s="1230"/>
    </row>
    <row r="49" spans="1:7">
      <c r="A49" s="1233"/>
      <c r="B49" s="1229"/>
      <c r="C49" s="1229"/>
      <c r="D49" s="1229"/>
      <c r="E49" s="1229"/>
      <c r="F49" s="1230"/>
      <c r="G49" s="1230"/>
    </row>
    <row r="50" spans="1:7">
      <c r="A50" s="1233"/>
      <c r="B50" s="1229"/>
      <c r="C50" s="1229"/>
      <c r="D50" s="1229"/>
      <c r="E50" s="1229"/>
      <c r="F50" s="1230"/>
      <c r="G50" s="1230"/>
    </row>
    <row r="51" spans="1:7">
      <c r="A51" s="1233"/>
      <c r="B51" s="1229"/>
      <c r="C51" s="1229"/>
      <c r="D51" s="1229"/>
      <c r="E51" s="1229"/>
      <c r="F51" s="1230"/>
      <c r="G51" s="1230"/>
    </row>
    <row r="52" spans="1:7">
      <c r="A52" s="1233"/>
      <c r="B52" s="1229"/>
      <c r="C52" s="1229"/>
      <c r="D52" s="1229"/>
      <c r="E52" s="1229"/>
      <c r="F52" s="1230"/>
      <c r="G52" s="1230"/>
    </row>
    <row r="53" spans="1:7">
      <c r="A53" s="1233"/>
      <c r="B53" s="1229"/>
      <c r="C53" s="1229"/>
      <c r="D53" s="1229"/>
      <c r="E53" s="1229"/>
      <c r="F53" s="1230"/>
      <c r="G53" s="1230"/>
    </row>
    <row r="54" spans="1:7" s="1244" customFormat="1" ht="26.25" customHeight="1">
      <c r="A54" s="1233"/>
      <c r="B54" s="1229"/>
      <c r="C54" s="1229"/>
      <c r="D54" s="1229"/>
      <c r="E54" s="1229"/>
      <c r="F54" s="1230"/>
      <c r="G54" s="1230"/>
    </row>
    <row r="55" spans="1:7" s="1244" customFormat="1" ht="26.25" customHeight="1"/>
    <row r="56" spans="1:7" s="1244" customFormat="1" ht="26.25" customHeight="1"/>
    <row r="57" spans="1:7" s="1244" customFormat="1" ht="26.25" customHeight="1"/>
  </sheetData>
  <sheetProtection formatCells="0"/>
  <mergeCells count="1">
    <mergeCell ref="A1:G1"/>
  </mergeCells>
  <hyperlinks>
    <hyperlink ref="A1:E1" location="WELZIJN!A1" display="GEPRESTEERDE EENHEDEN ZONNEWENDE" xr:uid="{00000000-0004-0000-2500-000000000000}"/>
  </hyperlinks>
  <printOptions horizontalCentered="1"/>
  <pageMargins left="0.78740157480314965" right="0.78740157480314965" top="0.78740157480314965" bottom="0.78740157480314965" header="0.51181102362204722" footer="0.51181102362204722"/>
  <pageSetup paperSize="9" orientation="landscape" r:id="rId1"/>
  <headerFooter alignWithMargins="0"/>
  <rowBreaks count="1" manualBreakCount="1">
    <brk id="26" max="16"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AB8AA"/>
    <pageSetUpPr fitToPage="1"/>
  </sheetPr>
  <dimension ref="A1:I42"/>
  <sheetViews>
    <sheetView showGridLines="0" workbookViewId="0">
      <selection sqref="A1:G1"/>
    </sheetView>
  </sheetViews>
  <sheetFormatPr defaultColWidth="9.140625" defaultRowHeight="12.75"/>
  <cols>
    <col min="1" max="1" width="40.7109375" style="1324" customWidth="1"/>
    <col min="2" max="6" width="15.7109375" style="1324" customWidth="1"/>
    <col min="7" max="7" width="15.7109375" style="1331" customWidth="1"/>
    <col min="8" max="16384" width="9.140625" style="1324"/>
  </cols>
  <sheetData>
    <row r="1" spans="1:7" ht="18.75">
      <c r="A1" s="4771" t="s">
        <v>7044</v>
      </c>
      <c r="B1" s="4772"/>
      <c r="C1" s="4772"/>
      <c r="D1" s="4772"/>
      <c r="E1" s="4772"/>
      <c r="F1" s="4772"/>
      <c r="G1" s="4772"/>
    </row>
    <row r="3" spans="1:7" ht="15" customHeight="1">
      <c r="A3" s="2758" t="s">
        <v>5728</v>
      </c>
      <c r="B3" s="2743">
        <v>2017</v>
      </c>
      <c r="C3" s="2743">
        <v>2018</v>
      </c>
      <c r="D3" s="3553">
        <v>2019</v>
      </c>
      <c r="E3" s="3553">
        <v>2020</v>
      </c>
      <c r="F3" s="4072">
        <v>2021</v>
      </c>
      <c r="G3" s="4515">
        <v>2022</v>
      </c>
    </row>
    <row r="4" spans="1:7" ht="15" customHeight="1">
      <c r="A4" s="1325" t="s">
        <v>5729</v>
      </c>
      <c r="B4" s="1326"/>
      <c r="C4" s="1326"/>
      <c r="D4" s="1326"/>
      <c r="E4" s="1326"/>
      <c r="F4" s="1326"/>
      <c r="G4" s="1326"/>
    </row>
    <row r="5" spans="1:7" ht="15" customHeight="1">
      <c r="A5" s="1327" t="s">
        <v>5730</v>
      </c>
      <c r="B5" s="1328">
        <v>73</v>
      </c>
      <c r="C5" s="1328">
        <v>71</v>
      </c>
      <c r="D5" s="1328">
        <v>71</v>
      </c>
      <c r="E5" s="1328">
        <v>73</v>
      </c>
      <c r="F5" s="1328">
        <v>71</v>
      </c>
      <c r="G5" s="1328">
        <v>69</v>
      </c>
    </row>
    <row r="6" spans="1:7" ht="15" customHeight="1">
      <c r="A6" s="1327" t="s">
        <v>5731</v>
      </c>
      <c r="B6" s="1329">
        <f>222.4957+8.7747</f>
        <v>231.2704</v>
      </c>
      <c r="C6" s="1329">
        <f>222.3525+8.7747</f>
        <v>231.12719999999999</v>
      </c>
      <c r="D6" s="1329">
        <v>230.4648</v>
      </c>
      <c r="E6" s="1329">
        <v>229.54259999999999</v>
      </c>
      <c r="F6" s="1329">
        <v>229.18860000000001</v>
      </c>
      <c r="G6" s="1329">
        <v>228.8441</v>
      </c>
    </row>
    <row r="7" spans="1:7" ht="15" customHeight="1">
      <c r="A7" s="1327" t="s">
        <v>5732</v>
      </c>
      <c r="B7" s="1330">
        <f>87302.52/B6</f>
        <v>377.49110997343371</v>
      </c>
      <c r="C7" s="1330">
        <f>84220.94/C6</f>
        <v>364.39216154567703</v>
      </c>
      <c r="D7" s="1330">
        <f>85232.97/D6</f>
        <v>369.83075072635825</v>
      </c>
      <c r="E7" s="1330">
        <f>86051.85/E6</f>
        <v>374.88400845856069</v>
      </c>
      <c r="F7" s="1330">
        <f>(89303.41-3200)/F6</f>
        <v>375.6880141507911</v>
      </c>
      <c r="G7" s="1330">
        <f>(89303.41-3200)/G6</f>
        <v>376.25357175474483</v>
      </c>
    </row>
    <row r="8" spans="1:7" ht="15" customHeight="1">
      <c r="A8" s="1327"/>
      <c r="B8" s="1330"/>
      <c r="C8" s="1330"/>
      <c r="D8" s="1330"/>
      <c r="E8" s="1330"/>
      <c r="F8" s="1330"/>
      <c r="G8" s="1330"/>
    </row>
    <row r="9" spans="1:7" ht="15" customHeight="1">
      <c r="A9" s="1325" t="s">
        <v>5733</v>
      </c>
      <c r="B9" s="1332"/>
      <c r="C9" s="1332"/>
      <c r="D9" s="1332"/>
      <c r="E9" s="1332"/>
      <c r="F9" s="1332"/>
      <c r="G9" s="1332"/>
    </row>
    <row r="10" spans="1:7" ht="15" customHeight="1">
      <c r="A10" s="1327" t="s">
        <v>5734</v>
      </c>
      <c r="B10" s="1329">
        <v>0.94920000000000004</v>
      </c>
      <c r="C10" s="1329">
        <v>1.6787000000000001</v>
      </c>
      <c r="D10" s="1329">
        <v>0.25219999999999998</v>
      </c>
      <c r="E10" s="1329">
        <v>0.19450000000000001</v>
      </c>
      <c r="F10" s="1329">
        <f>0.1353+0.0339+0.0556+0.6647</f>
        <v>0.88949999999999996</v>
      </c>
      <c r="G10" s="1329">
        <f>0.0215</f>
        <v>2.1499999999999998E-2</v>
      </c>
    </row>
    <row r="11" spans="1:7" ht="15" customHeight="1">
      <c r="A11" s="1327" t="s">
        <v>5735</v>
      </c>
      <c r="B11" s="1330">
        <v>1653061.36</v>
      </c>
      <c r="C11" s="1330">
        <v>605258.25</v>
      </c>
      <c r="D11" s="1330">
        <v>178343.13</v>
      </c>
      <c r="E11" s="1330">
        <v>357375</v>
      </c>
      <c r="F11" s="1330">
        <f>240905+188309+133010.5</f>
        <v>562224.5</v>
      </c>
      <c r="G11" s="1330">
        <v>37625</v>
      </c>
    </row>
    <row r="12" spans="1:7" ht="15" customHeight="1">
      <c r="A12" s="1327" t="s">
        <v>5736</v>
      </c>
      <c r="B12" s="1330">
        <f>1653061.36-1174521</f>
        <v>478540.3600000001</v>
      </c>
      <c r="C12" s="1330">
        <f>605258.25-418624.69</f>
        <v>186633.56</v>
      </c>
      <c r="D12" s="1330">
        <v>54570.16</v>
      </c>
      <c r="E12" s="1330">
        <v>131086.62</v>
      </c>
      <c r="F12" s="1330">
        <f>91187.77+1167.6+711.9+13958.7</f>
        <v>107025.97</v>
      </c>
      <c r="G12" s="1330">
        <v>14490.32</v>
      </c>
    </row>
    <row r="13" spans="1:7" ht="15" customHeight="1">
      <c r="A13" s="1327" t="s">
        <v>5737</v>
      </c>
      <c r="B13" s="1330">
        <f t="shared" ref="B13:G13" si="0">B11-B12</f>
        <v>1174521</v>
      </c>
      <c r="C13" s="1330">
        <f t="shared" si="0"/>
        <v>418624.69</v>
      </c>
      <c r="D13" s="1330">
        <f t="shared" si="0"/>
        <v>123772.97</v>
      </c>
      <c r="E13" s="1330">
        <f t="shared" si="0"/>
        <v>226288.38</v>
      </c>
      <c r="F13" s="1330">
        <f t="shared" si="0"/>
        <v>455198.53</v>
      </c>
      <c r="G13" s="1330">
        <f t="shared" si="0"/>
        <v>23134.68</v>
      </c>
    </row>
    <row r="14" spans="1:7" ht="15" customHeight="1">
      <c r="A14" s="1333" t="s">
        <v>5738</v>
      </c>
      <c r="B14" s="1334">
        <f t="shared" ref="B14:G14" si="1">IF(B10=0,0,B11/B10)</f>
        <v>1741531.1420143279</v>
      </c>
      <c r="C14" s="1334">
        <f t="shared" si="1"/>
        <v>360551.76624769164</v>
      </c>
      <c r="D14" s="1334">
        <f t="shared" si="1"/>
        <v>707149.6034892943</v>
      </c>
      <c r="E14" s="1334">
        <f t="shared" si="1"/>
        <v>1837403.5989717224</v>
      </c>
      <c r="F14" s="1334">
        <f t="shared" si="1"/>
        <v>632068.01573917933</v>
      </c>
      <c r="G14" s="1334">
        <f t="shared" si="1"/>
        <v>1750000.0000000002</v>
      </c>
    </row>
    <row r="15" spans="1:7">
      <c r="G15" s="1324"/>
    </row>
    <row r="16" spans="1:7" ht="15" customHeight="1">
      <c r="A16" s="2758" t="s">
        <v>5739</v>
      </c>
      <c r="B16" s="2743">
        <f t="shared" ref="B16:G16" si="2">B3</f>
        <v>2017</v>
      </c>
      <c r="C16" s="3553">
        <f t="shared" si="2"/>
        <v>2018</v>
      </c>
      <c r="D16" s="3553">
        <f t="shared" si="2"/>
        <v>2019</v>
      </c>
      <c r="E16" s="3553">
        <f t="shared" si="2"/>
        <v>2020</v>
      </c>
      <c r="F16" s="4072">
        <f t="shared" si="2"/>
        <v>2021</v>
      </c>
      <c r="G16" s="4515">
        <f t="shared" si="2"/>
        <v>2022</v>
      </c>
    </row>
    <row r="17" spans="1:7" ht="15" customHeight="1">
      <c r="A17" s="1335" t="s">
        <v>5740</v>
      </c>
      <c r="B17" s="1336"/>
      <c r="C17" s="1336"/>
      <c r="D17" s="1336"/>
      <c r="E17" s="1336"/>
      <c r="F17" s="1336"/>
      <c r="G17" s="1336"/>
    </row>
    <row r="18" spans="1:7" ht="15" customHeight="1">
      <c r="A18" s="1327" t="s">
        <v>5741</v>
      </c>
      <c r="B18" s="1332">
        <v>25</v>
      </c>
      <c r="C18" s="1332">
        <v>25</v>
      </c>
      <c r="D18" s="1332">
        <v>25</v>
      </c>
      <c r="E18" s="1332">
        <v>25</v>
      </c>
      <c r="F18" s="1332">
        <v>25</v>
      </c>
      <c r="G18" s="1332">
        <v>25</v>
      </c>
    </row>
    <row r="19" spans="1:7" ht="15" customHeight="1">
      <c r="A19" s="1327" t="s">
        <v>5742</v>
      </c>
      <c r="B19" s="1337">
        <v>290.5</v>
      </c>
      <c r="C19" s="1337">
        <v>284.5</v>
      </c>
      <c r="D19" s="1337">
        <v>283</v>
      </c>
      <c r="E19" s="1337">
        <v>286.5</v>
      </c>
      <c r="F19" s="1337">
        <v>273</v>
      </c>
      <c r="G19" s="4521">
        <v>178.58330000000001</v>
      </c>
    </row>
    <row r="20" spans="1:7" ht="15" customHeight="1">
      <c r="A20" s="1327" t="s">
        <v>5743</v>
      </c>
      <c r="B20" s="1338">
        <f>B19/300</f>
        <v>0.96833333333333338</v>
      </c>
      <c r="C20" s="1338">
        <f>C19/300</f>
        <v>0.94833333333333336</v>
      </c>
      <c r="D20" s="1338">
        <f>D19/300</f>
        <v>0.94333333333333336</v>
      </c>
      <c r="E20" s="1338">
        <f>E19/300</f>
        <v>0.95499999999999996</v>
      </c>
      <c r="F20" s="1338">
        <f>F19/300</f>
        <v>0.91</v>
      </c>
      <c r="G20" s="1338">
        <f>G19/246.667</f>
        <v>0.72398537299273924</v>
      </c>
    </row>
    <row r="21" spans="1:7" ht="15" customHeight="1">
      <c r="A21" s="1327" t="s">
        <v>5744</v>
      </c>
      <c r="B21" s="1330">
        <v>741.25</v>
      </c>
      <c r="C21" s="1330">
        <v>755.83</v>
      </c>
      <c r="D21" s="1330">
        <v>749.81</v>
      </c>
      <c r="E21" s="1330">
        <v>752.51</v>
      </c>
      <c r="F21" s="1330">
        <v>756.12</v>
      </c>
      <c r="G21" s="1330">
        <v>777.25</v>
      </c>
    </row>
    <row r="22" spans="1:7" ht="9" customHeight="1">
      <c r="A22" s="1327"/>
      <c r="B22" s="1330"/>
      <c r="C22" s="1330"/>
      <c r="D22" s="1330"/>
      <c r="E22" s="1330"/>
      <c r="F22" s="1330"/>
      <c r="G22" s="1330"/>
    </row>
    <row r="23" spans="1:7" ht="15" customHeight="1">
      <c r="A23" s="1325" t="s">
        <v>5745</v>
      </c>
      <c r="B23" s="1332"/>
      <c r="C23" s="1332"/>
      <c r="D23" s="1332"/>
      <c r="E23" s="1332"/>
      <c r="F23" s="1332"/>
      <c r="G23" s="1332"/>
    </row>
    <row r="24" spans="1:7" ht="15" customHeight="1">
      <c r="A24" s="1327" t="s">
        <v>5746</v>
      </c>
      <c r="B24" s="1332">
        <v>15</v>
      </c>
      <c r="C24" s="1332">
        <v>15</v>
      </c>
      <c r="D24" s="1332">
        <v>15</v>
      </c>
      <c r="E24" s="1332">
        <v>15</v>
      </c>
      <c r="F24" s="1332">
        <v>15</v>
      </c>
      <c r="G24" s="1332">
        <v>15</v>
      </c>
    </row>
    <row r="25" spans="1:7" ht="15" customHeight="1">
      <c r="A25" s="1327" t="s">
        <v>5742</v>
      </c>
      <c r="B25" s="1340">
        <v>72</v>
      </c>
      <c r="C25" s="1340">
        <v>73</v>
      </c>
      <c r="D25" s="1340">
        <v>102</v>
      </c>
      <c r="E25" s="1340">
        <v>96</v>
      </c>
      <c r="F25" s="1340">
        <v>94</v>
      </c>
      <c r="G25" s="4522">
        <v>70.933300000000003</v>
      </c>
    </row>
    <row r="26" spans="1:7" ht="15" customHeight="1">
      <c r="A26" s="1327" t="s">
        <v>5743</v>
      </c>
      <c r="B26" s="1341">
        <f>B25/180</f>
        <v>0.4</v>
      </c>
      <c r="C26" s="1341">
        <f>C25/180</f>
        <v>0.40555555555555556</v>
      </c>
      <c r="D26" s="1341">
        <f>D25/180</f>
        <v>0.56666666666666665</v>
      </c>
      <c r="E26" s="1341">
        <f>E25/180</f>
        <v>0.53333333333333333</v>
      </c>
      <c r="F26" s="1341">
        <f>F25/180</f>
        <v>0.52222222222222225</v>
      </c>
      <c r="G26" s="1341">
        <f>G25/133</f>
        <v>0.53333308270676694</v>
      </c>
    </row>
    <row r="27" spans="1:7" ht="15" customHeight="1">
      <c r="A27" s="1327" t="s">
        <v>5747</v>
      </c>
      <c r="B27" s="1330">
        <v>102.24</v>
      </c>
      <c r="C27" s="1330">
        <v>108.41</v>
      </c>
      <c r="D27" s="1330">
        <v>116.01</v>
      </c>
      <c r="E27" s="1330">
        <v>118.22</v>
      </c>
      <c r="F27" s="1330">
        <v>119.36</v>
      </c>
      <c r="G27" s="1330">
        <v>123.48</v>
      </c>
    </row>
    <row r="28" spans="1:7" ht="15" customHeight="1">
      <c r="A28" s="1327"/>
      <c r="B28" s="1341"/>
      <c r="C28" s="1341"/>
      <c r="D28" s="1341"/>
      <c r="E28" s="1341"/>
      <c r="F28" s="1341"/>
      <c r="G28" s="1341"/>
    </row>
    <row r="29" spans="1:7" ht="15" customHeight="1">
      <c r="A29" s="1325" t="s">
        <v>8311</v>
      </c>
      <c r="B29" s="1332"/>
      <c r="C29" s="1332"/>
      <c r="D29" s="1332"/>
      <c r="E29" s="1332"/>
      <c r="F29" s="1332"/>
      <c r="G29" s="1332"/>
    </row>
    <row r="30" spans="1:7" ht="15" customHeight="1">
      <c r="A30" s="1327" t="s">
        <v>5734</v>
      </c>
      <c r="B30" s="1329"/>
      <c r="C30" s="1329"/>
      <c r="D30" s="1329"/>
      <c r="E30" s="1329"/>
      <c r="F30" s="1329"/>
      <c r="G30" s="1329">
        <f>0.0523</f>
        <v>5.2299999999999999E-2</v>
      </c>
    </row>
    <row r="31" spans="1:7" ht="15" customHeight="1">
      <c r="A31" s="1327" t="s">
        <v>5735</v>
      </c>
      <c r="B31" s="1330"/>
      <c r="C31" s="1330"/>
      <c r="D31" s="1330"/>
      <c r="E31" s="1330"/>
      <c r="F31" s="1330"/>
      <c r="G31" s="1330">
        <v>6370000</v>
      </c>
    </row>
    <row r="32" spans="1:7" ht="15" customHeight="1">
      <c r="A32" s="1327" t="s">
        <v>5736</v>
      </c>
      <c r="B32" s="1330"/>
      <c r="C32" s="1330"/>
      <c r="D32" s="1330"/>
      <c r="E32" s="1330"/>
      <c r="F32" s="1330"/>
      <c r="G32" s="1330">
        <v>123788.28</v>
      </c>
    </row>
    <row r="33" spans="1:9" ht="15" customHeight="1">
      <c r="A33" s="1327" t="s">
        <v>5737</v>
      </c>
      <c r="B33" s="1330"/>
      <c r="C33" s="1330"/>
      <c r="D33" s="1330"/>
      <c r="E33" s="1330"/>
      <c r="F33" s="1330"/>
      <c r="G33" s="1330">
        <f>G31-G32</f>
        <v>6246211.7199999997</v>
      </c>
    </row>
    <row r="34" spans="1:9" ht="15" customHeight="1">
      <c r="A34" s="1333" t="s">
        <v>5738</v>
      </c>
      <c r="B34" s="1334"/>
      <c r="C34" s="1334"/>
      <c r="D34" s="1334"/>
      <c r="E34" s="1334"/>
      <c r="F34" s="1334"/>
      <c r="G34" s="1334">
        <f>IF(G30=0,0,G31/G30)</f>
        <v>121797323.13575526</v>
      </c>
    </row>
    <row r="35" spans="1:9" ht="15" customHeight="1">
      <c r="A35" s="1344"/>
      <c r="B35" s="1339"/>
      <c r="C35" s="1339"/>
      <c r="D35" s="1339"/>
      <c r="E35" s="1339"/>
      <c r="F35" s="1339"/>
      <c r="G35" s="1339"/>
    </row>
    <row r="36" spans="1:9" ht="15" customHeight="1">
      <c r="A36" s="2758" t="s">
        <v>5748</v>
      </c>
      <c r="B36" s="2743">
        <f t="shared" ref="B36:G36" si="3">+B16</f>
        <v>2017</v>
      </c>
      <c r="C36" s="2743">
        <f t="shared" si="3"/>
        <v>2018</v>
      </c>
      <c r="D36" s="2743">
        <f t="shared" si="3"/>
        <v>2019</v>
      </c>
      <c r="E36" s="3553">
        <f t="shared" si="3"/>
        <v>2020</v>
      </c>
      <c r="F36" s="4072">
        <f t="shared" si="3"/>
        <v>2021</v>
      </c>
      <c r="G36" s="4515">
        <f t="shared" si="3"/>
        <v>2022</v>
      </c>
    </row>
    <row r="37" spans="1:9" ht="15" customHeight="1">
      <c r="A37" s="1335" t="s">
        <v>5749</v>
      </c>
      <c r="B37" s="1336"/>
      <c r="C37" s="1336"/>
      <c r="D37" s="1336"/>
      <c r="E37" s="1336"/>
      <c r="F37" s="1336"/>
      <c r="G37" s="1336"/>
    </row>
    <row r="38" spans="1:9" ht="15" customHeight="1">
      <c r="A38" s="1327" t="s">
        <v>5741</v>
      </c>
      <c r="B38" s="1332">
        <v>4</v>
      </c>
      <c r="C38" s="1332">
        <v>4</v>
      </c>
      <c r="D38" s="1332">
        <v>4</v>
      </c>
      <c r="E38" s="1332">
        <v>4</v>
      </c>
      <c r="F38" s="1332">
        <v>4</v>
      </c>
      <c r="G38" s="1332">
        <v>4</v>
      </c>
    </row>
    <row r="39" spans="1:9" ht="15" customHeight="1">
      <c r="A39" s="1327" t="s">
        <v>5742</v>
      </c>
      <c r="B39" s="1345">
        <v>47</v>
      </c>
      <c r="C39" s="1345">
        <v>43</v>
      </c>
      <c r="D39" s="1345">
        <v>48</v>
      </c>
      <c r="E39" s="1345">
        <v>46</v>
      </c>
      <c r="F39" s="1345">
        <v>47</v>
      </c>
      <c r="G39" s="1345">
        <v>45</v>
      </c>
    </row>
    <row r="40" spans="1:9" ht="15" customHeight="1">
      <c r="A40" s="1327" t="s">
        <v>5743</v>
      </c>
      <c r="B40" s="1341">
        <f t="shared" ref="B40:G40" si="4">B39/48</f>
        <v>0.97916666666666663</v>
      </c>
      <c r="C40" s="1341">
        <f t="shared" si="4"/>
        <v>0.89583333333333337</v>
      </c>
      <c r="D40" s="1341">
        <f t="shared" si="4"/>
        <v>1</v>
      </c>
      <c r="E40" s="1341">
        <f t="shared" si="4"/>
        <v>0.95833333333333337</v>
      </c>
      <c r="F40" s="1341">
        <f t="shared" si="4"/>
        <v>0.97916666666666663</v>
      </c>
      <c r="G40" s="1341">
        <f t="shared" si="4"/>
        <v>0.9375</v>
      </c>
    </row>
    <row r="41" spans="1:9" ht="15" customHeight="1">
      <c r="A41" s="1333" t="s">
        <v>5744</v>
      </c>
      <c r="B41" s="1342">
        <v>640.42999999999995</v>
      </c>
      <c r="C41" s="1342">
        <v>648.27</v>
      </c>
      <c r="D41" s="1342">
        <v>660.89</v>
      </c>
      <c r="E41" s="1342">
        <v>673.27</v>
      </c>
      <c r="F41" s="1342">
        <v>683.47</v>
      </c>
      <c r="G41" s="1342">
        <v>718.45</v>
      </c>
    </row>
    <row r="42" spans="1:9" ht="15" customHeight="1">
      <c r="A42" s="1346"/>
      <c r="B42" s="1347"/>
      <c r="C42" s="1347"/>
      <c r="D42" s="1343"/>
      <c r="E42" s="1343"/>
      <c r="F42" s="1323"/>
      <c r="G42" s="1324"/>
      <c r="H42" s="1323"/>
      <c r="I42" s="1323"/>
    </row>
  </sheetData>
  <sheetProtection formatCells="0"/>
  <mergeCells count="1">
    <mergeCell ref="A1:G1"/>
  </mergeCells>
  <hyperlinks>
    <hyperlink ref="A1:F1" location="WELZIJN!A1" display="Gepresteerde eenheden: Brussel  ODK" xr:uid="{00000000-0004-0000-2600-000000000000}"/>
  </hyperlinks>
  <printOptions horizontalCentered="1"/>
  <pageMargins left="0.78740157480314965" right="0.78740157480314965" top="0.78740157480314965" bottom="0.78740157480314965" header="0.51181102362204722" footer="0.51181102362204722"/>
  <pageSetup paperSize="9" orientation="landscape" r:id="rId1"/>
  <headerFooter alignWithMargins="0"/>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0C816"/>
  </sheetPr>
  <dimension ref="A1:P92"/>
  <sheetViews>
    <sheetView zoomScale="110" zoomScaleNormal="110" workbookViewId="0">
      <selection sqref="A1:J1"/>
    </sheetView>
  </sheetViews>
  <sheetFormatPr defaultColWidth="9.140625" defaultRowHeight="15"/>
  <cols>
    <col min="1" max="1" width="12.7109375" style="37" customWidth="1"/>
    <col min="2" max="2" width="7" style="37" bestFit="1" customWidth="1"/>
    <col min="3" max="3" width="56" style="37" customWidth="1"/>
    <col min="4" max="4" width="9.7109375" style="37" customWidth="1"/>
    <col min="5" max="5" width="10" style="37" bestFit="1" customWidth="1"/>
    <col min="6" max="6" width="10.28515625" style="37" bestFit="1" customWidth="1"/>
    <col min="7" max="12" width="10" style="37" bestFit="1" customWidth="1"/>
    <col min="13" max="13" width="9.7109375" style="37" customWidth="1"/>
    <col min="14" max="16384" width="9.140625" style="37"/>
  </cols>
  <sheetData>
    <row r="1" spans="1:10" s="94" customFormat="1" ht="19.5" customHeight="1">
      <c r="A1" s="4829" t="s">
        <v>84</v>
      </c>
      <c r="B1" s="4830"/>
      <c r="C1" s="4830"/>
      <c r="D1" s="4830"/>
      <c r="E1" s="4830"/>
      <c r="F1" s="4830"/>
      <c r="G1" s="4830"/>
      <c r="H1" s="4830"/>
      <c r="I1" s="4830"/>
      <c r="J1" s="4831"/>
    </row>
    <row r="2" spans="1:10" ht="15" customHeight="1">
      <c r="A2" s="95"/>
      <c r="B2" s="95"/>
      <c r="C2" s="96"/>
      <c r="D2" s="42"/>
      <c r="E2" s="42"/>
      <c r="F2" s="42"/>
      <c r="G2" s="42"/>
      <c r="H2" s="42"/>
      <c r="I2" s="42"/>
      <c r="J2" s="42"/>
    </row>
    <row r="3" spans="1:10">
      <c r="A3" s="4828" t="s">
        <v>207</v>
      </c>
      <c r="B3" s="4828"/>
      <c r="C3" s="4828"/>
      <c r="D3" s="4828"/>
      <c r="E3" s="4828"/>
      <c r="F3" s="4828"/>
      <c r="G3" s="4828"/>
      <c r="H3" s="4828"/>
      <c r="I3" s="4828"/>
      <c r="J3" s="4828"/>
    </row>
    <row r="4" spans="1:10">
      <c r="A4" s="42"/>
      <c r="B4" s="42"/>
      <c r="C4" s="42"/>
      <c r="D4" s="42"/>
      <c r="E4" s="42"/>
      <c r="F4" s="42"/>
      <c r="G4" s="42"/>
      <c r="H4" s="42"/>
      <c r="I4" s="42"/>
      <c r="J4" s="42"/>
    </row>
    <row r="5" spans="1:10" ht="27" hidden="1" customHeight="1" thickBot="1">
      <c r="A5" s="8"/>
      <c r="B5" s="9"/>
      <c r="C5" s="9"/>
      <c r="D5" s="19" t="s">
        <v>164</v>
      </c>
      <c r="E5" s="16" t="s">
        <v>115</v>
      </c>
      <c r="F5" s="16" t="s">
        <v>116</v>
      </c>
      <c r="G5" s="17">
        <v>35155</v>
      </c>
      <c r="H5" s="17">
        <v>35246</v>
      </c>
      <c r="I5" s="17">
        <v>35338</v>
      </c>
      <c r="J5" s="18">
        <v>35430</v>
      </c>
    </row>
    <row r="6" spans="1:10" hidden="1">
      <c r="A6" s="97" t="s">
        <v>162</v>
      </c>
      <c r="B6" s="105"/>
      <c r="C6" s="98"/>
      <c r="D6" s="99"/>
      <c r="E6" s="100"/>
      <c r="F6" s="100"/>
      <c r="G6" s="100"/>
      <c r="H6" s="100"/>
      <c r="I6" s="100"/>
      <c r="J6" s="101"/>
    </row>
    <row r="7" spans="1:10" hidden="1">
      <c r="A7" s="102" t="s">
        <v>117</v>
      </c>
      <c r="B7" s="103"/>
      <c r="C7" s="103" t="s">
        <v>118</v>
      </c>
      <c r="D7" s="99">
        <v>7500</v>
      </c>
      <c r="E7" s="104"/>
      <c r="F7" s="104">
        <v>-7500</v>
      </c>
      <c r="G7" s="104"/>
      <c r="H7" s="100"/>
      <c r="I7" s="104"/>
      <c r="J7" s="101"/>
    </row>
    <row r="8" spans="1:10" hidden="1">
      <c r="A8" s="102" t="s">
        <v>119</v>
      </c>
      <c r="B8" s="103"/>
      <c r="C8" s="103" t="s">
        <v>120</v>
      </c>
      <c r="D8" s="99">
        <v>125000</v>
      </c>
      <c r="E8" s="104"/>
      <c r="F8" s="104">
        <v>-125000</v>
      </c>
      <c r="G8" s="104"/>
      <c r="H8" s="100"/>
      <c r="I8" s="104"/>
      <c r="J8" s="101"/>
    </row>
    <row r="9" spans="1:10" hidden="1">
      <c r="A9" s="102" t="s">
        <v>121</v>
      </c>
      <c r="B9" s="103"/>
      <c r="C9" s="103" t="s">
        <v>122</v>
      </c>
      <c r="D9" s="99">
        <v>5000</v>
      </c>
      <c r="E9" s="104"/>
      <c r="F9" s="104">
        <v>-5000</v>
      </c>
      <c r="G9" s="104"/>
      <c r="H9" s="100"/>
      <c r="I9" s="104"/>
      <c r="J9" s="101"/>
    </row>
    <row r="10" spans="1:10" hidden="1">
      <c r="A10" s="102" t="s">
        <v>123</v>
      </c>
      <c r="B10" s="103"/>
      <c r="C10" s="103" t="s">
        <v>124</v>
      </c>
      <c r="D10" s="99">
        <v>1000</v>
      </c>
      <c r="E10" s="104"/>
      <c r="F10" s="104">
        <v>-1000</v>
      </c>
      <c r="G10" s="104"/>
      <c r="H10" s="100"/>
      <c r="I10" s="104"/>
      <c r="J10" s="101"/>
    </row>
    <row r="11" spans="1:10" hidden="1">
      <c r="A11" s="102" t="s">
        <v>125</v>
      </c>
      <c r="B11" s="103"/>
      <c r="C11" s="103" t="s">
        <v>126</v>
      </c>
      <c r="D11" s="99">
        <v>300</v>
      </c>
      <c r="E11" s="104"/>
      <c r="F11" s="104">
        <v>-300</v>
      </c>
      <c r="G11" s="104"/>
      <c r="H11" s="100"/>
      <c r="I11" s="104"/>
      <c r="J11" s="101"/>
    </row>
    <row r="12" spans="1:10" hidden="1">
      <c r="A12" s="102" t="s">
        <v>127</v>
      </c>
      <c r="B12" s="103"/>
      <c r="C12" s="103" t="s">
        <v>128</v>
      </c>
      <c r="D12" s="99">
        <v>500</v>
      </c>
      <c r="E12" s="104"/>
      <c r="F12" s="104">
        <v>-500</v>
      </c>
      <c r="G12" s="104"/>
      <c r="H12" s="100"/>
      <c r="I12" s="104"/>
      <c r="J12" s="101"/>
    </row>
    <row r="13" spans="1:10" hidden="1">
      <c r="A13" s="102" t="s">
        <v>129</v>
      </c>
      <c r="B13" s="103"/>
      <c r="C13" s="103" t="s">
        <v>130</v>
      </c>
      <c r="D13" s="99">
        <v>200000</v>
      </c>
      <c r="E13" s="104"/>
      <c r="F13" s="104">
        <v>-200000</v>
      </c>
      <c r="G13" s="104"/>
      <c r="H13" s="100"/>
      <c r="I13" s="104"/>
      <c r="J13" s="101"/>
    </row>
    <row r="14" spans="1:10" hidden="1">
      <c r="A14" s="102" t="s">
        <v>131</v>
      </c>
      <c r="B14" s="103"/>
      <c r="C14" s="103" t="s">
        <v>132</v>
      </c>
      <c r="D14" s="99">
        <v>750</v>
      </c>
      <c r="E14" s="104"/>
      <c r="F14" s="104">
        <v>-750</v>
      </c>
      <c r="G14" s="104"/>
      <c r="H14" s="100"/>
      <c r="I14" s="104"/>
      <c r="J14" s="101"/>
    </row>
    <row r="15" spans="1:10" hidden="1">
      <c r="A15" s="102" t="s">
        <v>133</v>
      </c>
      <c r="B15" s="103"/>
      <c r="C15" s="103" t="s">
        <v>134</v>
      </c>
      <c r="D15" s="99">
        <v>180000</v>
      </c>
      <c r="E15" s="104"/>
      <c r="F15" s="104">
        <v>-180000</v>
      </c>
      <c r="G15" s="104"/>
      <c r="H15" s="100"/>
      <c r="I15" s="104"/>
      <c r="J15" s="101"/>
    </row>
    <row r="16" spans="1:10" hidden="1">
      <c r="A16" s="102" t="s">
        <v>135</v>
      </c>
      <c r="B16" s="103"/>
      <c r="C16" s="103" t="s">
        <v>136</v>
      </c>
      <c r="D16" s="99">
        <v>15000</v>
      </c>
      <c r="E16" s="104"/>
      <c r="F16" s="104">
        <v>-15000</v>
      </c>
      <c r="G16" s="104"/>
      <c r="H16" s="100"/>
      <c r="I16" s="104"/>
      <c r="J16" s="101"/>
    </row>
    <row r="17" spans="1:12" hidden="1">
      <c r="A17" s="102" t="s">
        <v>137</v>
      </c>
      <c r="B17" s="103"/>
      <c r="C17" s="103" t="s">
        <v>138</v>
      </c>
      <c r="D17" s="99">
        <v>60000</v>
      </c>
      <c r="E17" s="104"/>
      <c r="F17" s="104">
        <v>-60000</v>
      </c>
      <c r="G17" s="104"/>
      <c r="H17" s="100"/>
      <c r="I17" s="104"/>
      <c r="J17" s="101"/>
    </row>
    <row r="18" spans="1:12" hidden="1">
      <c r="A18" s="102" t="s">
        <v>139</v>
      </c>
      <c r="B18" s="103"/>
      <c r="C18" s="103" t="s">
        <v>140</v>
      </c>
      <c r="D18" s="99">
        <v>16000</v>
      </c>
      <c r="E18" s="104"/>
      <c r="F18" s="104">
        <v>-16000</v>
      </c>
      <c r="G18" s="104"/>
      <c r="H18" s="100"/>
      <c r="I18" s="104"/>
      <c r="J18" s="101"/>
      <c r="K18" s="42"/>
    </row>
    <row r="19" spans="1:12" hidden="1">
      <c r="A19" s="102" t="s">
        <v>141</v>
      </c>
      <c r="B19" s="103"/>
      <c r="C19" s="103" t="s">
        <v>142</v>
      </c>
      <c r="D19" s="99">
        <v>12000</v>
      </c>
      <c r="E19" s="104"/>
      <c r="F19" s="104">
        <v>-12000</v>
      </c>
      <c r="G19" s="104"/>
      <c r="H19" s="100"/>
      <c r="I19" s="104"/>
      <c r="J19" s="101"/>
      <c r="K19" s="42"/>
    </row>
    <row r="20" spans="1:12" hidden="1">
      <c r="A20" s="102" t="s">
        <v>143</v>
      </c>
      <c r="B20" s="103"/>
      <c r="C20" s="103" t="s">
        <v>144</v>
      </c>
      <c r="D20" s="99">
        <v>15000</v>
      </c>
      <c r="E20" s="104"/>
      <c r="F20" s="104">
        <v>-15000</v>
      </c>
      <c r="G20" s="104"/>
      <c r="H20" s="100"/>
      <c r="I20" s="104"/>
      <c r="J20" s="101"/>
      <c r="K20" s="42"/>
    </row>
    <row r="21" spans="1:12" hidden="1">
      <c r="A21" s="102" t="s">
        <v>145</v>
      </c>
      <c r="B21" s="103"/>
      <c r="C21" s="103" t="s">
        <v>146</v>
      </c>
      <c r="D21" s="99">
        <v>65000</v>
      </c>
      <c r="E21" s="104"/>
      <c r="F21" s="104">
        <v>-65000</v>
      </c>
      <c r="G21" s="104"/>
      <c r="H21" s="100"/>
      <c r="I21" s="104"/>
      <c r="J21" s="101"/>
      <c r="K21" s="42"/>
    </row>
    <row r="22" spans="1:12" hidden="1">
      <c r="A22" s="102" t="s">
        <v>147</v>
      </c>
      <c r="B22" s="103"/>
      <c r="C22" s="103" t="s">
        <v>148</v>
      </c>
      <c r="D22" s="99">
        <v>30000</v>
      </c>
      <c r="E22" s="104"/>
      <c r="F22" s="104">
        <v>-30000</v>
      </c>
      <c r="G22" s="104"/>
      <c r="H22" s="100"/>
      <c r="I22" s="104"/>
      <c r="J22" s="101"/>
      <c r="K22" s="42"/>
    </row>
    <row r="23" spans="1:12" hidden="1">
      <c r="A23" s="102" t="s">
        <v>149</v>
      </c>
      <c r="B23" s="103"/>
      <c r="C23" s="103" t="s">
        <v>150</v>
      </c>
      <c r="D23" s="99">
        <v>80000</v>
      </c>
      <c r="E23" s="104"/>
      <c r="F23" s="104">
        <v>-80000</v>
      </c>
      <c r="G23" s="104"/>
      <c r="H23" s="100"/>
      <c r="I23" s="104"/>
      <c r="J23" s="101"/>
      <c r="K23" s="42"/>
    </row>
    <row r="24" spans="1:12" hidden="1">
      <c r="A24" s="102" t="s">
        <v>151</v>
      </c>
      <c r="B24" s="103"/>
      <c r="C24" s="103" t="s">
        <v>152</v>
      </c>
      <c r="D24" s="99">
        <v>50000</v>
      </c>
      <c r="E24" s="104"/>
      <c r="F24" s="104">
        <v>-50000</v>
      </c>
      <c r="G24" s="104"/>
      <c r="H24" s="100"/>
      <c r="I24" s="104"/>
      <c r="J24" s="101"/>
      <c r="K24" s="42"/>
    </row>
    <row r="25" spans="1:12" ht="15.75" hidden="1" thickBot="1">
      <c r="A25" s="102" t="s">
        <v>153</v>
      </c>
      <c r="B25" s="103"/>
      <c r="C25" s="103" t="s">
        <v>154</v>
      </c>
      <c r="D25" s="99">
        <v>705000</v>
      </c>
      <c r="E25" s="104"/>
      <c r="F25" s="104">
        <v>-705000</v>
      </c>
      <c r="G25" s="104"/>
      <c r="H25" s="100"/>
      <c r="I25" s="104"/>
      <c r="J25" s="101"/>
      <c r="K25" s="42"/>
    </row>
    <row r="26" spans="1:12" ht="15.75" hidden="1" thickBot="1">
      <c r="A26" s="13"/>
      <c r="B26" s="25"/>
      <c r="C26" s="14" t="s">
        <v>165</v>
      </c>
      <c r="D26" s="20">
        <f>SUM(D7:D25)</f>
        <v>1568050</v>
      </c>
      <c r="E26" s="10">
        <f>SUM(E7:E25)</f>
        <v>0</v>
      </c>
      <c r="F26" s="11">
        <f>SUM(F7:F25)</f>
        <v>-1568050</v>
      </c>
      <c r="G26" s="10">
        <v>0</v>
      </c>
      <c r="H26" s="10">
        <v>0</v>
      </c>
      <c r="I26" s="10">
        <v>0</v>
      </c>
      <c r="J26" s="12">
        <v>0</v>
      </c>
      <c r="K26" s="42"/>
    </row>
    <row r="27" spans="1:12" hidden="1">
      <c r="A27" s="105" t="s">
        <v>163</v>
      </c>
      <c r="B27" s="105"/>
      <c r="C27" s="98"/>
      <c r="D27" s="106"/>
      <c r="E27" s="107"/>
      <c r="F27" s="107"/>
      <c r="G27" s="107"/>
      <c r="H27" s="107"/>
      <c r="I27" s="107"/>
      <c r="J27" s="108"/>
      <c r="K27" s="61"/>
    </row>
    <row r="28" spans="1:12" hidden="1">
      <c r="A28" s="102" t="s">
        <v>155</v>
      </c>
      <c r="B28" s="103"/>
      <c r="C28" s="103" t="s">
        <v>156</v>
      </c>
      <c r="D28" s="99">
        <v>5628394</v>
      </c>
      <c r="E28" s="100"/>
      <c r="F28" s="100">
        <v>-5628394</v>
      </c>
      <c r="G28" s="100"/>
      <c r="H28" s="100"/>
      <c r="I28" s="100"/>
      <c r="J28" s="101"/>
      <c r="K28" s="42"/>
    </row>
    <row r="29" spans="1:12" hidden="1">
      <c r="A29" s="102" t="s">
        <v>157</v>
      </c>
      <c r="B29" s="103"/>
      <c r="C29" s="103" t="s">
        <v>158</v>
      </c>
      <c r="D29" s="99">
        <v>2708511</v>
      </c>
      <c r="E29" s="100"/>
      <c r="F29" s="100">
        <v>-2708511</v>
      </c>
      <c r="G29" s="100"/>
      <c r="H29" s="100"/>
      <c r="I29" s="100"/>
      <c r="J29" s="101"/>
      <c r="K29" s="42"/>
    </row>
    <row r="30" spans="1:12" hidden="1">
      <c r="A30" s="102" t="s">
        <v>159</v>
      </c>
      <c r="B30" s="103"/>
      <c r="C30" s="103" t="s">
        <v>160</v>
      </c>
      <c r="D30" s="99">
        <v>168534</v>
      </c>
      <c r="E30" s="100"/>
      <c r="F30" s="100">
        <v>-168534</v>
      </c>
      <c r="G30" s="100"/>
      <c r="H30" s="100"/>
      <c r="I30" s="100"/>
      <c r="J30" s="101"/>
      <c r="K30" s="42"/>
    </row>
    <row r="31" spans="1:12" ht="15.75" hidden="1" thickBot="1">
      <c r="A31" s="102" t="s">
        <v>161</v>
      </c>
      <c r="B31" s="103"/>
      <c r="C31" s="103" t="s">
        <v>152</v>
      </c>
      <c r="D31" s="99">
        <v>2500</v>
      </c>
      <c r="E31" s="100"/>
      <c r="F31" s="100">
        <v>-2500</v>
      </c>
      <c r="G31" s="100"/>
      <c r="H31" s="100"/>
      <c r="I31" s="100"/>
      <c r="J31" s="101"/>
      <c r="K31" s="42"/>
    </row>
    <row r="32" spans="1:12" ht="15.75" hidden="1" thickBot="1">
      <c r="A32" s="13"/>
      <c r="B32" s="25"/>
      <c r="C32" s="14" t="s">
        <v>165</v>
      </c>
      <c r="D32" s="20">
        <f>SUM(D28:D31)</f>
        <v>8507939</v>
      </c>
      <c r="E32" s="10">
        <v>0</v>
      </c>
      <c r="F32" s="11">
        <f>SUM(F28:F31)</f>
        <v>-8507939</v>
      </c>
      <c r="G32" s="10">
        <v>0</v>
      </c>
      <c r="H32" s="10">
        <v>0</v>
      </c>
      <c r="I32" s="10">
        <v>0</v>
      </c>
      <c r="J32" s="12">
        <v>0</v>
      </c>
      <c r="K32" s="42"/>
      <c r="L32" s="88"/>
    </row>
    <row r="33" spans="1:16" ht="15.75" hidden="1" thickBot="1">
      <c r="A33" s="103"/>
      <c r="B33" s="103"/>
      <c r="C33" s="103"/>
      <c r="D33" s="99"/>
      <c r="E33" s="100"/>
      <c r="F33" s="100"/>
      <c r="G33" s="100"/>
      <c r="H33" s="100"/>
      <c r="I33" s="100"/>
      <c r="J33" s="109"/>
      <c r="L33" s="88"/>
    </row>
    <row r="34" spans="1:16" ht="15.75" hidden="1" thickBot="1">
      <c r="A34" s="13"/>
      <c r="B34" s="25"/>
      <c r="C34" s="15" t="s">
        <v>166</v>
      </c>
      <c r="D34" s="20">
        <f>D32+D26</f>
        <v>10075989</v>
      </c>
      <c r="E34" s="10">
        <f>E32+E26</f>
        <v>0</v>
      </c>
      <c r="F34" s="10">
        <f>D34-H34</f>
        <v>10075989</v>
      </c>
      <c r="G34" s="10">
        <v>0</v>
      </c>
      <c r="H34" s="10">
        <v>0</v>
      </c>
      <c r="I34" s="10">
        <v>0</v>
      </c>
      <c r="J34" s="12">
        <v>0</v>
      </c>
      <c r="L34" s="88"/>
    </row>
    <row r="35" spans="1:16">
      <c r="L35" s="88"/>
    </row>
    <row r="36" spans="1:16">
      <c r="L36" s="88"/>
    </row>
    <row r="37" spans="1:16" s="39" customFormat="1">
      <c r="A37" s="4827" t="s">
        <v>167</v>
      </c>
      <c r="B37" s="4827"/>
      <c r="C37" s="4827"/>
      <c r="D37" s="4827"/>
      <c r="E37" s="4827"/>
      <c r="F37" s="4827"/>
      <c r="G37" s="4827"/>
      <c r="H37" s="4827"/>
      <c r="I37" s="4827"/>
      <c r="J37" s="4827"/>
      <c r="K37" s="4827"/>
      <c r="L37" s="4827"/>
      <c r="M37" s="4827"/>
    </row>
    <row r="38" spans="1:16" s="110" customFormat="1" ht="12">
      <c r="L38" s="111"/>
    </row>
    <row r="39" spans="1:16" s="110" customFormat="1" ht="12.75" thickBot="1"/>
    <row r="40" spans="1:16" s="39" customFormat="1" ht="27" customHeight="1" thickBot="1">
      <c r="A40" s="112"/>
      <c r="B40" s="3497"/>
      <c r="C40" s="113"/>
      <c r="D40" s="28">
        <v>2014</v>
      </c>
      <c r="E40" s="27">
        <v>2015</v>
      </c>
      <c r="F40" s="27">
        <v>2016</v>
      </c>
      <c r="G40" s="27">
        <v>2017</v>
      </c>
      <c r="H40" s="27">
        <v>2018</v>
      </c>
      <c r="I40" s="27">
        <v>2019</v>
      </c>
      <c r="J40" s="27">
        <v>2020</v>
      </c>
      <c r="K40" s="27">
        <v>2021</v>
      </c>
      <c r="L40" s="27">
        <v>2022</v>
      </c>
      <c r="M40" s="27">
        <v>2023</v>
      </c>
      <c r="N40" s="27">
        <v>2024</v>
      </c>
      <c r="O40" s="26">
        <v>2025</v>
      </c>
    </row>
    <row r="41" spans="1:16" s="110" customFormat="1" ht="12">
      <c r="A41" s="114" t="s">
        <v>205</v>
      </c>
      <c r="B41" s="3498"/>
      <c r="C41" s="115"/>
      <c r="D41" s="111">
        <v>1920</v>
      </c>
      <c r="E41" s="111">
        <v>1920</v>
      </c>
      <c r="F41" s="111">
        <v>1920</v>
      </c>
      <c r="G41" s="111">
        <v>1920</v>
      </c>
      <c r="H41" s="111">
        <v>1209</v>
      </c>
      <c r="I41" s="111">
        <v>1209</v>
      </c>
      <c r="J41" s="111">
        <v>1209</v>
      </c>
      <c r="K41" s="111">
        <v>1209</v>
      </c>
      <c r="L41" s="111">
        <v>1209</v>
      </c>
      <c r="M41" s="111">
        <v>1209</v>
      </c>
      <c r="N41" s="111">
        <v>1209</v>
      </c>
      <c r="O41" s="116">
        <v>1209</v>
      </c>
    </row>
    <row r="42" spans="1:16" s="110" customFormat="1" ht="12.75" thickBot="1">
      <c r="A42" s="117" t="s">
        <v>206</v>
      </c>
      <c r="B42" s="3499"/>
      <c r="C42" s="118"/>
      <c r="D42" s="119">
        <v>7.7</v>
      </c>
      <c r="E42" s="119">
        <v>7.7</v>
      </c>
      <c r="F42" s="119">
        <v>7</v>
      </c>
      <c r="G42" s="119">
        <v>7</v>
      </c>
      <c r="H42" s="119">
        <v>7</v>
      </c>
      <c r="I42" s="119">
        <v>7</v>
      </c>
      <c r="J42" s="119">
        <v>7</v>
      </c>
      <c r="K42" s="119">
        <v>7</v>
      </c>
      <c r="L42" s="119">
        <v>7</v>
      </c>
      <c r="M42" s="119">
        <v>7</v>
      </c>
      <c r="N42" s="119">
        <v>7</v>
      </c>
      <c r="O42" s="120">
        <v>7</v>
      </c>
    </row>
    <row r="43" spans="1:16" s="110" customFormat="1" ht="12"/>
    <row r="44" spans="1:16" s="110" customFormat="1" ht="12">
      <c r="L44" s="111"/>
    </row>
    <row r="45" spans="1:16" s="110" customFormat="1" ht="12">
      <c r="L45" s="111"/>
    </row>
    <row r="46" spans="1:16" s="110" customFormat="1">
      <c r="A46" s="4827" t="s">
        <v>168</v>
      </c>
      <c r="B46" s="4827"/>
      <c r="C46" s="4827"/>
      <c r="D46" s="4827"/>
      <c r="E46" s="4827"/>
      <c r="F46" s="4827"/>
      <c r="G46" s="4827"/>
      <c r="H46" s="4827"/>
      <c r="I46" s="4827"/>
      <c r="J46" s="4827"/>
      <c r="K46" s="4827"/>
      <c r="L46" s="4827"/>
      <c r="M46" s="4827"/>
    </row>
    <row r="47" spans="1:16" s="110" customFormat="1" ht="12.75" thickBot="1">
      <c r="L47" s="111"/>
    </row>
    <row r="48" spans="1:16" s="121" customFormat="1" ht="39.75" customHeight="1" thickBot="1">
      <c r="A48" s="31" t="s">
        <v>8305</v>
      </c>
      <c r="B48" s="1911" t="s">
        <v>7336</v>
      </c>
      <c r="C48" s="32" t="s">
        <v>170</v>
      </c>
      <c r="D48" s="33">
        <v>2010</v>
      </c>
      <c r="E48" s="33">
        <v>2011</v>
      </c>
      <c r="F48" s="33">
        <v>2012</v>
      </c>
      <c r="G48" s="33">
        <v>2013</v>
      </c>
      <c r="H48" s="33">
        <v>2014</v>
      </c>
      <c r="I48" s="33">
        <v>2015</v>
      </c>
      <c r="J48" s="33">
        <v>2016</v>
      </c>
      <c r="K48" s="33">
        <v>2017</v>
      </c>
      <c r="L48" s="33">
        <v>2018</v>
      </c>
      <c r="M48" s="33">
        <v>2019</v>
      </c>
      <c r="N48" s="33">
        <v>2020</v>
      </c>
      <c r="O48" s="33">
        <v>2021</v>
      </c>
      <c r="P48" s="3901">
        <v>2022</v>
      </c>
    </row>
    <row r="49" spans="1:16" s="110" customFormat="1" ht="15" customHeight="1" thickBot="1">
      <c r="A49" s="4502"/>
      <c r="B49" s="4503"/>
      <c r="C49" s="4504" t="s">
        <v>84</v>
      </c>
      <c r="D49" s="4503"/>
      <c r="E49" s="4503"/>
      <c r="F49" s="4503"/>
      <c r="G49" s="4503"/>
      <c r="H49" s="4503"/>
      <c r="I49" s="4503"/>
      <c r="J49" s="4503"/>
      <c r="K49" s="4492"/>
      <c r="L49" s="4492"/>
      <c r="M49" s="4492"/>
      <c r="N49" s="4492"/>
      <c r="O49" s="4492"/>
      <c r="P49" s="4505"/>
    </row>
    <row r="50" spans="1:16" s="110" customFormat="1" ht="12">
      <c r="A50" s="125" t="s">
        <v>2543</v>
      </c>
      <c r="B50" s="3496">
        <v>737700</v>
      </c>
      <c r="C50" s="4486" t="s">
        <v>150</v>
      </c>
      <c r="D50" s="137">
        <v>75640</v>
      </c>
      <c r="E50" s="124">
        <v>76260</v>
      </c>
      <c r="F50" s="124">
        <v>76880</v>
      </c>
      <c r="G50" s="124">
        <v>76260</v>
      </c>
      <c r="H50" s="124">
        <v>80599.94</v>
      </c>
      <c r="I50" s="124">
        <v>88039.94</v>
      </c>
      <c r="J50" s="124">
        <v>110700</v>
      </c>
      <c r="K50" s="124">
        <v>112340</v>
      </c>
      <c r="L50" s="124">
        <v>123188</v>
      </c>
      <c r="M50" s="100">
        <v>116232</v>
      </c>
      <c r="N50" s="3505">
        <v>120534</v>
      </c>
      <c r="O50" s="3505">
        <v>120554</v>
      </c>
      <c r="P50" s="4109">
        <v>121132</v>
      </c>
    </row>
    <row r="51" spans="1:16" s="110" customFormat="1" ht="12">
      <c r="A51" s="125" t="s">
        <v>2543</v>
      </c>
      <c r="B51" s="3496">
        <v>738000</v>
      </c>
      <c r="C51" s="4486" t="s">
        <v>171</v>
      </c>
      <c r="D51" s="137">
        <f>SUM(D52:D54)</f>
        <v>704450.89</v>
      </c>
      <c r="E51" s="124">
        <f t="shared" ref="E51:L51" si="0">SUM(E52:E54)</f>
        <v>710160.6</v>
      </c>
      <c r="F51" s="124">
        <f t="shared" si="0"/>
        <v>713801.3</v>
      </c>
      <c r="G51" s="124">
        <f t="shared" si="0"/>
        <v>729164.92</v>
      </c>
      <c r="H51" s="124">
        <f t="shared" si="0"/>
        <v>732212.42</v>
      </c>
      <c r="I51" s="124">
        <f t="shared" si="0"/>
        <v>743892.22</v>
      </c>
      <c r="J51" s="124">
        <f t="shared" si="0"/>
        <v>749293</v>
      </c>
      <c r="K51" s="124">
        <f t="shared" si="0"/>
        <v>759891.82</v>
      </c>
      <c r="L51" s="124">
        <f t="shared" si="0"/>
        <v>780399.92</v>
      </c>
      <c r="M51" s="3688">
        <v>770928.32</v>
      </c>
      <c r="N51" s="3505">
        <v>786682</v>
      </c>
      <c r="O51" s="3505">
        <v>782409.16</v>
      </c>
      <c r="P51" s="4109">
        <v>829440</v>
      </c>
    </row>
    <row r="52" spans="1:16" s="4115" customFormat="1" ht="12">
      <c r="A52" s="125" t="s">
        <v>2543</v>
      </c>
      <c r="B52" s="90"/>
      <c r="C52" s="4488" t="s">
        <v>172</v>
      </c>
      <c r="D52" s="4495">
        <v>193260</v>
      </c>
      <c r="E52" s="4111">
        <v>192369.4</v>
      </c>
      <c r="F52" s="4111">
        <v>194460</v>
      </c>
      <c r="G52" s="4111">
        <v>195520</v>
      </c>
      <c r="H52" s="4111">
        <v>195270</v>
      </c>
      <c r="I52" s="4111">
        <v>200460</v>
      </c>
      <c r="J52" s="4111">
        <v>204430</v>
      </c>
      <c r="K52" s="4111">
        <v>207210</v>
      </c>
      <c r="L52" s="4111">
        <v>212740</v>
      </c>
      <c r="M52" s="4112">
        <v>212740</v>
      </c>
      <c r="N52" s="4113">
        <v>229280</v>
      </c>
      <c r="O52" s="4113">
        <v>220360</v>
      </c>
      <c r="P52" s="4114">
        <v>229030</v>
      </c>
    </row>
    <row r="53" spans="1:16" s="4115" customFormat="1" ht="12">
      <c r="A53" s="125" t="s">
        <v>2543</v>
      </c>
      <c r="B53" s="90"/>
      <c r="C53" s="4488" t="s">
        <v>173</v>
      </c>
      <c r="D53" s="4495">
        <v>509830.89</v>
      </c>
      <c r="E53" s="4111">
        <v>516551.2</v>
      </c>
      <c r="F53" s="4111">
        <v>518221.3</v>
      </c>
      <c r="G53" s="4111">
        <v>532464.92000000004</v>
      </c>
      <c r="H53" s="4111">
        <v>535582.42000000004</v>
      </c>
      <c r="I53" s="4111">
        <v>542232.22</v>
      </c>
      <c r="J53" s="4111">
        <v>543663</v>
      </c>
      <c r="K53" s="4111">
        <v>551481.81999999995</v>
      </c>
      <c r="L53" s="4111">
        <v>566459.92000000004</v>
      </c>
      <c r="M53" s="4112">
        <v>566459</v>
      </c>
      <c r="N53" s="4113">
        <v>558699</v>
      </c>
      <c r="O53" s="4113">
        <f>590055+6543</f>
        <v>596598</v>
      </c>
      <c r="P53" s="4114">
        <v>651018</v>
      </c>
    </row>
    <row r="54" spans="1:16" s="4115" customFormat="1" ht="12">
      <c r="A54" s="125" t="s">
        <v>2543</v>
      </c>
      <c r="B54" s="90"/>
      <c r="C54" s="4488" t="s">
        <v>174</v>
      </c>
      <c r="D54" s="4495">
        <v>1360</v>
      </c>
      <c r="E54" s="4111">
        <v>1240</v>
      </c>
      <c r="F54" s="4111">
        <v>1120</v>
      </c>
      <c r="G54" s="4111">
        <v>1180</v>
      </c>
      <c r="H54" s="4111">
        <v>1360</v>
      </c>
      <c r="I54" s="4111">
        <v>1200</v>
      </c>
      <c r="J54" s="4111">
        <v>1200</v>
      </c>
      <c r="K54" s="4111">
        <v>1200</v>
      </c>
      <c r="L54" s="4111">
        <v>1200</v>
      </c>
      <c r="M54" s="4112">
        <v>1120</v>
      </c>
      <c r="N54" s="4113">
        <v>1120</v>
      </c>
      <c r="O54" s="4113">
        <v>1200</v>
      </c>
      <c r="P54" s="4114">
        <v>1260</v>
      </c>
    </row>
    <row r="55" spans="1:16" s="110" customFormat="1" ht="12">
      <c r="A55" s="125" t="s">
        <v>2543</v>
      </c>
      <c r="B55" s="3496">
        <v>736080</v>
      </c>
      <c r="C55" s="4486" t="s">
        <v>175</v>
      </c>
      <c r="D55" s="137">
        <v>16879</v>
      </c>
      <c r="E55" s="124">
        <v>16022</v>
      </c>
      <c r="F55" s="124">
        <v>16207.5</v>
      </c>
      <c r="G55" s="124">
        <v>17572.5</v>
      </c>
      <c r="H55" s="124">
        <v>19377.599999999999</v>
      </c>
      <c r="I55" s="124">
        <v>19277.599999999999</v>
      </c>
      <c r="J55" s="124">
        <v>34617</v>
      </c>
      <c r="K55" s="124">
        <v>20282</v>
      </c>
      <c r="L55" s="124">
        <v>21260.75</v>
      </c>
      <c r="M55" s="100">
        <v>21251</v>
      </c>
      <c r="N55" s="3505">
        <v>0</v>
      </c>
      <c r="O55" s="3505">
        <v>0</v>
      </c>
      <c r="P55" s="4109">
        <v>29257.38</v>
      </c>
    </row>
    <row r="56" spans="1:16" s="110" customFormat="1" ht="12">
      <c r="A56" s="125" t="s">
        <v>2543</v>
      </c>
      <c r="B56" s="3496">
        <v>736050</v>
      </c>
      <c r="C56" s="4486" t="s">
        <v>142</v>
      </c>
      <c r="D56" s="137">
        <v>11500</v>
      </c>
      <c r="E56" s="124">
        <v>11300</v>
      </c>
      <c r="F56" s="124">
        <v>11600</v>
      </c>
      <c r="G56" s="124">
        <v>11600</v>
      </c>
      <c r="H56" s="124">
        <v>17450</v>
      </c>
      <c r="I56" s="124">
        <v>17450</v>
      </c>
      <c r="J56" s="124">
        <v>34850</v>
      </c>
      <c r="K56" s="124">
        <v>34050</v>
      </c>
      <c r="L56" s="124">
        <v>34850</v>
      </c>
      <c r="M56" s="3505">
        <v>34650</v>
      </c>
      <c r="N56" s="3505">
        <v>38950</v>
      </c>
      <c r="O56" s="3505">
        <v>39264</v>
      </c>
      <c r="P56" s="4109">
        <v>41990</v>
      </c>
    </row>
    <row r="57" spans="1:16" s="110" customFormat="1" ht="12">
      <c r="A57" s="125" t="s">
        <v>2543</v>
      </c>
      <c r="B57" s="3496">
        <v>737100</v>
      </c>
      <c r="C57" s="4486" t="s">
        <v>7171</v>
      </c>
      <c r="D57" s="137">
        <v>71077.210000000006</v>
      </c>
      <c r="E57" s="124">
        <v>63017.74</v>
      </c>
      <c r="F57" s="124">
        <v>54911.71</v>
      </c>
      <c r="G57" s="124">
        <v>67075.429999999993</v>
      </c>
      <c r="H57" s="124">
        <v>68477.63</v>
      </c>
      <c r="I57" s="124">
        <v>70040.03</v>
      </c>
      <c r="J57" s="124">
        <v>21560</v>
      </c>
      <c r="K57" s="124">
        <v>20087.2</v>
      </c>
      <c r="L57" s="124">
        <v>7664.38</v>
      </c>
      <c r="M57" s="100">
        <v>12839.35</v>
      </c>
      <c r="N57" s="3505">
        <v>12839</v>
      </c>
      <c r="O57" s="3505">
        <v>6052.05</v>
      </c>
      <c r="P57" s="4109">
        <v>6946.13</v>
      </c>
    </row>
    <row r="58" spans="1:16" s="110" customFormat="1" ht="12">
      <c r="A58" s="125" t="s">
        <v>2543</v>
      </c>
      <c r="B58" s="3496">
        <v>737200</v>
      </c>
      <c r="C58" s="4486" t="s">
        <v>7172</v>
      </c>
      <c r="D58" s="137"/>
      <c r="E58" s="124"/>
      <c r="F58" s="124"/>
      <c r="G58" s="124"/>
      <c r="H58" s="124"/>
      <c r="I58" s="124"/>
      <c r="J58" s="124">
        <v>42568</v>
      </c>
      <c r="K58" s="124">
        <v>10283.209999999999</v>
      </c>
      <c r="L58" s="124">
        <v>38832.839999999997</v>
      </c>
      <c r="M58" s="100">
        <v>37104.949999999997</v>
      </c>
      <c r="N58" s="3505">
        <v>37603</v>
      </c>
      <c r="O58" s="3505">
        <v>34827.230000000003</v>
      </c>
      <c r="P58" s="4109">
        <v>48383</v>
      </c>
    </row>
    <row r="59" spans="1:16" s="110" customFormat="1" ht="12">
      <c r="A59" s="125" t="s">
        <v>2543</v>
      </c>
      <c r="B59" s="3496">
        <v>734240</v>
      </c>
      <c r="C59" s="4486" t="s">
        <v>176</v>
      </c>
      <c r="D59" s="137">
        <v>173670.3</v>
      </c>
      <c r="E59" s="124">
        <v>166573.20000000001</v>
      </c>
      <c r="F59" s="124">
        <v>141969.9</v>
      </c>
      <c r="G59" s="124">
        <v>140234.07999999999</v>
      </c>
      <c r="H59" s="124">
        <v>101173.75</v>
      </c>
      <c r="I59" s="124">
        <v>127936</v>
      </c>
      <c r="J59" s="124">
        <v>129122</v>
      </c>
      <c r="K59" s="124">
        <v>140858.98000000001</v>
      </c>
      <c r="L59" s="124">
        <v>138374.84</v>
      </c>
      <c r="M59" s="100">
        <v>114050.27</v>
      </c>
      <c r="N59" s="3505">
        <v>107224</v>
      </c>
      <c r="O59" s="3505">
        <v>82279.429999999993</v>
      </c>
      <c r="P59" s="4109">
        <v>79853.97</v>
      </c>
    </row>
    <row r="60" spans="1:16" s="110" customFormat="1" ht="12">
      <c r="A60" s="125" t="s">
        <v>2543</v>
      </c>
      <c r="B60" s="3496">
        <v>734190</v>
      </c>
      <c r="C60" s="4486" t="s">
        <v>136</v>
      </c>
      <c r="D60" s="137" t="s">
        <v>177</v>
      </c>
      <c r="E60" s="124">
        <v>11481.25</v>
      </c>
      <c r="F60" s="124">
        <v>14318.75</v>
      </c>
      <c r="G60" s="124">
        <v>14568.75</v>
      </c>
      <c r="H60" s="124">
        <v>15418.75</v>
      </c>
      <c r="I60" s="124">
        <v>15418.75</v>
      </c>
      <c r="J60" s="124">
        <v>14575</v>
      </c>
      <c r="K60" s="124">
        <v>14115</v>
      </c>
      <c r="L60" s="124">
        <v>14481.25</v>
      </c>
      <c r="M60" s="100">
        <v>13693.75</v>
      </c>
      <c r="N60" s="3505">
        <v>0</v>
      </c>
      <c r="O60" s="3505">
        <v>16218.75</v>
      </c>
      <c r="P60" s="4109">
        <v>14487.5</v>
      </c>
    </row>
    <row r="61" spans="1:16" s="110" customFormat="1" ht="12">
      <c r="A61" s="125" t="s">
        <v>2543</v>
      </c>
      <c r="B61" s="3496">
        <v>737400</v>
      </c>
      <c r="C61" s="4486" t="s">
        <v>178</v>
      </c>
      <c r="D61" s="137" t="s">
        <v>177</v>
      </c>
      <c r="E61" s="124">
        <v>15000</v>
      </c>
      <c r="F61" s="124">
        <v>22250</v>
      </c>
      <c r="G61" s="124">
        <v>40149</v>
      </c>
      <c r="H61" s="124">
        <v>50089.16</v>
      </c>
      <c r="I61" s="124">
        <v>74089.149999999994</v>
      </c>
      <c r="J61" s="124">
        <v>66450</v>
      </c>
      <c r="K61" s="124">
        <v>42500</v>
      </c>
      <c r="L61" s="124">
        <v>61725.01</v>
      </c>
      <c r="M61" s="100">
        <v>63175</v>
      </c>
      <c r="N61" s="3505">
        <v>0</v>
      </c>
      <c r="O61" s="3505">
        <v>181874</v>
      </c>
      <c r="P61" s="4109">
        <v>55510</v>
      </c>
    </row>
    <row r="62" spans="1:16" s="110" customFormat="1" ht="12.75" customHeight="1">
      <c r="A62" s="125" t="s">
        <v>2543</v>
      </c>
      <c r="B62" s="3496">
        <v>737600</v>
      </c>
      <c r="C62" s="4489" t="s">
        <v>7335</v>
      </c>
      <c r="D62" s="137"/>
      <c r="E62" s="124"/>
      <c r="F62" s="124"/>
      <c r="G62" s="124"/>
      <c r="H62" s="124"/>
      <c r="I62" s="124"/>
      <c r="J62" s="124">
        <v>25000</v>
      </c>
      <c r="K62" s="124">
        <v>26000</v>
      </c>
      <c r="L62" s="124">
        <v>31500</v>
      </c>
      <c r="M62" s="100">
        <v>27500</v>
      </c>
      <c r="N62" s="3505">
        <v>15000</v>
      </c>
      <c r="O62" s="3505">
        <v>70100</v>
      </c>
      <c r="P62" s="4109">
        <v>41300</v>
      </c>
    </row>
    <row r="63" spans="1:16" s="110" customFormat="1" ht="14.25" customHeight="1">
      <c r="A63" s="125" t="s">
        <v>2543</v>
      </c>
      <c r="B63" s="3494"/>
      <c r="C63" s="4490" t="s">
        <v>180</v>
      </c>
      <c r="D63" s="4496">
        <v>5602.68</v>
      </c>
      <c r="E63" s="130">
        <v>6900</v>
      </c>
      <c r="F63" s="130">
        <v>6700</v>
      </c>
      <c r="G63" s="130">
        <v>5700</v>
      </c>
      <c r="H63" s="130">
        <v>2900</v>
      </c>
      <c r="I63" s="130">
        <v>4300</v>
      </c>
      <c r="J63" s="130">
        <v>5525</v>
      </c>
      <c r="K63" s="130">
        <v>2375</v>
      </c>
      <c r="L63" s="130">
        <v>0</v>
      </c>
      <c r="M63" s="130">
        <v>0</v>
      </c>
      <c r="N63" s="3505">
        <v>0</v>
      </c>
      <c r="O63" s="3505">
        <v>0</v>
      </c>
      <c r="P63" s="4109">
        <v>0</v>
      </c>
    </row>
    <row r="64" spans="1:16" s="110" customFormat="1" ht="12">
      <c r="A64" s="125" t="s">
        <v>2543</v>
      </c>
      <c r="B64" s="3496">
        <v>731500</v>
      </c>
      <c r="C64" s="4486" t="s">
        <v>181</v>
      </c>
      <c r="D64" s="137">
        <v>91136.12</v>
      </c>
      <c r="E64" s="124">
        <v>108905.55</v>
      </c>
      <c r="F64" s="124">
        <v>100235.32</v>
      </c>
      <c r="G64" s="124">
        <v>98708.33</v>
      </c>
      <c r="H64" s="124">
        <v>96536.47</v>
      </c>
      <c r="I64" s="124">
        <v>109155.39</v>
      </c>
      <c r="J64" s="124">
        <v>108793</v>
      </c>
      <c r="K64" s="124">
        <v>99914.98</v>
      </c>
      <c r="L64" s="124">
        <v>76889.100000000006</v>
      </c>
      <c r="M64" s="100">
        <v>57696.82</v>
      </c>
      <c r="N64" s="3505">
        <v>34444.28</v>
      </c>
      <c r="O64" s="3505">
        <v>47418.45</v>
      </c>
      <c r="P64" s="4109">
        <v>66268.100000000006</v>
      </c>
    </row>
    <row r="65" spans="1:16" s="110" customFormat="1" ht="12">
      <c r="A65" s="125" t="s">
        <v>2543</v>
      </c>
      <c r="B65" s="3496">
        <v>731600</v>
      </c>
      <c r="C65" s="4486" t="s">
        <v>7832</v>
      </c>
      <c r="D65" s="137" t="s">
        <v>177</v>
      </c>
      <c r="E65" s="124" t="s">
        <v>177</v>
      </c>
      <c r="F65" s="124" t="s">
        <v>177</v>
      </c>
      <c r="G65" s="124" t="s">
        <v>177</v>
      </c>
      <c r="H65" s="124">
        <v>16585.78</v>
      </c>
      <c r="I65" s="124">
        <v>19448.310000000001</v>
      </c>
      <c r="J65" s="124">
        <v>22126</v>
      </c>
      <c r="K65" s="124">
        <v>16516</v>
      </c>
      <c r="L65" s="124">
        <v>18704.64</v>
      </c>
      <c r="M65" s="100">
        <v>17751</v>
      </c>
      <c r="N65" s="3505">
        <v>17548</v>
      </c>
      <c r="O65" s="3505">
        <v>20228</v>
      </c>
      <c r="P65" s="4109">
        <v>24393</v>
      </c>
    </row>
    <row r="66" spans="1:16" s="110" customFormat="1" ht="12">
      <c r="A66" s="125" t="s">
        <v>2543</v>
      </c>
      <c r="B66" s="3496">
        <v>737300</v>
      </c>
      <c r="C66" s="4486" t="s">
        <v>183</v>
      </c>
      <c r="D66" s="137" t="s">
        <v>177</v>
      </c>
      <c r="E66" s="124" t="s">
        <v>177</v>
      </c>
      <c r="F66" s="124" t="s">
        <v>177</v>
      </c>
      <c r="G66" s="124" t="s">
        <v>177</v>
      </c>
      <c r="H66" s="124">
        <v>10000</v>
      </c>
      <c r="I66" s="124">
        <v>10000</v>
      </c>
      <c r="J66" s="124">
        <v>0</v>
      </c>
      <c r="K66" s="124"/>
      <c r="L66" s="124">
        <v>10000</v>
      </c>
      <c r="M66" s="100">
        <v>0</v>
      </c>
      <c r="N66" s="3505">
        <v>0</v>
      </c>
      <c r="O66" s="3505">
        <v>0</v>
      </c>
      <c r="P66" s="4109">
        <v>0</v>
      </c>
    </row>
    <row r="67" spans="1:16" s="110" customFormat="1" ht="12">
      <c r="A67" s="125" t="s">
        <v>2543</v>
      </c>
      <c r="B67" s="3496">
        <v>733260</v>
      </c>
      <c r="C67" s="4486" t="s">
        <v>184</v>
      </c>
      <c r="D67" s="137">
        <v>26409.37</v>
      </c>
      <c r="E67" s="124">
        <v>5740.28</v>
      </c>
      <c r="F67" s="124">
        <v>4527.5</v>
      </c>
      <c r="G67" s="124">
        <v>4893</v>
      </c>
      <c r="H67" s="124">
        <v>4393.9799999999996</v>
      </c>
      <c r="I67" s="124">
        <v>5153.9799999999996</v>
      </c>
      <c r="J67" s="124">
        <v>4246</v>
      </c>
      <c r="K67" s="124">
        <v>4616</v>
      </c>
      <c r="L67" s="124">
        <v>20439.5</v>
      </c>
      <c r="M67" s="100">
        <v>4635</v>
      </c>
      <c r="N67" s="3505">
        <v>6288</v>
      </c>
      <c r="O67" s="3505">
        <v>7012</v>
      </c>
      <c r="P67" s="4109">
        <v>4088</v>
      </c>
    </row>
    <row r="68" spans="1:16" s="110" customFormat="1" ht="12">
      <c r="A68" s="125" t="s">
        <v>2543</v>
      </c>
      <c r="B68" s="3496">
        <v>733220</v>
      </c>
      <c r="C68" s="4490" t="s">
        <v>8306</v>
      </c>
      <c r="D68" s="137"/>
      <c r="E68" s="124"/>
      <c r="F68" s="124"/>
      <c r="G68" s="124"/>
      <c r="H68" s="124"/>
      <c r="I68" s="124"/>
      <c r="J68" s="124"/>
      <c r="K68" s="124"/>
      <c r="L68" s="124"/>
      <c r="M68" s="100"/>
      <c r="N68" s="3505"/>
      <c r="O68" s="3505">
        <v>163205.82</v>
      </c>
      <c r="P68" s="4109">
        <v>177460.85</v>
      </c>
    </row>
    <row r="69" spans="1:16" s="110" customFormat="1" ht="12.75" customHeight="1">
      <c r="A69" s="125" t="s">
        <v>2543</v>
      </c>
      <c r="B69" s="3495">
        <v>733230</v>
      </c>
      <c r="C69" s="4490" t="s">
        <v>8307</v>
      </c>
      <c r="D69" s="4497">
        <v>172276.1</v>
      </c>
      <c r="E69" s="132">
        <v>198030.3</v>
      </c>
      <c r="F69" s="132">
        <v>188274.2</v>
      </c>
      <c r="G69" s="132">
        <v>194822</v>
      </c>
      <c r="H69" s="132">
        <v>200108.19</v>
      </c>
      <c r="I69" s="132">
        <v>222449.44</v>
      </c>
      <c r="J69" s="132">
        <v>230697</v>
      </c>
      <c r="K69" s="132">
        <v>180941</v>
      </c>
      <c r="L69" s="132">
        <v>181684.31</v>
      </c>
      <c r="M69" s="3781">
        <v>219564.01</v>
      </c>
      <c r="N69" s="3505">
        <v>200005.74</v>
      </c>
      <c r="O69" s="3505">
        <v>72504.78</v>
      </c>
      <c r="P69" s="4109">
        <v>71301.25</v>
      </c>
    </row>
    <row r="70" spans="1:16" s="110" customFormat="1" ht="12" hidden="1">
      <c r="A70" s="125" t="s">
        <v>2543</v>
      </c>
      <c r="B70" s="3496">
        <v>734240</v>
      </c>
      <c r="C70" s="4486" t="s">
        <v>186</v>
      </c>
      <c r="D70" s="137">
        <v>472.5</v>
      </c>
      <c r="E70" s="124">
        <v>390</v>
      </c>
      <c r="F70" s="124" t="s">
        <v>177</v>
      </c>
      <c r="G70" s="124" t="s">
        <v>177</v>
      </c>
      <c r="H70" s="124" t="s">
        <v>177</v>
      </c>
      <c r="I70" s="124" t="s">
        <v>177</v>
      </c>
      <c r="J70" s="124" t="s">
        <v>177</v>
      </c>
      <c r="K70" s="124"/>
      <c r="L70" s="124" t="s">
        <v>177</v>
      </c>
      <c r="M70" s="100">
        <v>0</v>
      </c>
      <c r="N70" s="3505"/>
      <c r="O70" s="3505"/>
      <c r="P70" s="4109"/>
    </row>
    <row r="71" spans="1:16" s="110" customFormat="1" ht="12">
      <c r="A71" s="125" t="s">
        <v>2543</v>
      </c>
      <c r="B71" s="3496">
        <v>736000</v>
      </c>
      <c r="C71" s="4486" t="s">
        <v>138</v>
      </c>
      <c r="D71" s="137">
        <v>59030.1</v>
      </c>
      <c r="E71" s="124">
        <v>56797.49</v>
      </c>
      <c r="F71" s="124">
        <v>50557</v>
      </c>
      <c r="G71" s="124">
        <v>49464.12</v>
      </c>
      <c r="H71" s="124">
        <v>51105.1</v>
      </c>
      <c r="I71" s="124">
        <v>52275.1</v>
      </c>
      <c r="J71" s="124">
        <v>51924</v>
      </c>
      <c r="K71" s="124">
        <v>48524.4</v>
      </c>
      <c r="L71" s="124">
        <v>49224.85</v>
      </c>
      <c r="M71" s="100">
        <v>48002.55</v>
      </c>
      <c r="N71" s="3505">
        <v>33433</v>
      </c>
      <c r="O71" s="3505">
        <v>43513</v>
      </c>
      <c r="P71" s="4109">
        <v>42125.35</v>
      </c>
    </row>
    <row r="72" spans="1:16" s="110" customFormat="1" ht="12">
      <c r="A72" s="125" t="s">
        <v>2543</v>
      </c>
      <c r="B72" s="3496">
        <v>736990</v>
      </c>
      <c r="C72" s="4486" t="s">
        <v>187</v>
      </c>
      <c r="D72" s="137">
        <v>7681.07</v>
      </c>
      <c r="E72" s="124">
        <v>15019.22</v>
      </c>
      <c r="F72" s="124">
        <v>16572.8</v>
      </c>
      <c r="G72" s="124">
        <v>22983.3</v>
      </c>
      <c r="H72" s="124">
        <v>14723.7</v>
      </c>
      <c r="I72" s="124">
        <v>15160.2</v>
      </c>
      <c r="J72" s="124">
        <v>34617</v>
      </c>
      <c r="K72" s="124">
        <v>32861.699999999997</v>
      </c>
      <c r="L72" s="124">
        <v>33100.01</v>
      </c>
      <c r="M72" s="100">
        <v>43670.09</v>
      </c>
      <c r="N72" s="3505">
        <v>33376</v>
      </c>
      <c r="O72" s="3505">
        <v>57091.45</v>
      </c>
      <c r="P72" s="4109">
        <v>68130</v>
      </c>
    </row>
    <row r="73" spans="1:16" s="110" customFormat="1" ht="12">
      <c r="A73" s="125" t="s">
        <v>2543</v>
      </c>
      <c r="B73" s="3496">
        <v>736090</v>
      </c>
      <c r="C73" s="4486" t="s">
        <v>188</v>
      </c>
      <c r="D73" s="137"/>
      <c r="E73" s="124"/>
      <c r="F73" s="124"/>
      <c r="G73" s="124"/>
      <c r="H73" s="124"/>
      <c r="I73" s="124"/>
      <c r="J73" s="124"/>
      <c r="K73" s="124">
        <v>120000</v>
      </c>
      <c r="L73" s="124">
        <v>60000</v>
      </c>
      <c r="M73" s="3688">
        <v>55000</v>
      </c>
      <c r="N73" s="3505">
        <v>55000</v>
      </c>
      <c r="O73" s="3505">
        <v>55000</v>
      </c>
      <c r="P73" s="4109">
        <v>57500</v>
      </c>
    </row>
    <row r="74" spans="1:16" s="110" customFormat="1" ht="12">
      <c r="A74" s="125" t="s">
        <v>2543</v>
      </c>
      <c r="B74" s="3496">
        <v>730000</v>
      </c>
      <c r="C74" s="4486" t="s">
        <v>189</v>
      </c>
      <c r="D74" s="137">
        <v>5298313.2699999996</v>
      </c>
      <c r="E74" s="124">
        <v>5347095.82</v>
      </c>
      <c r="F74" s="124">
        <v>5859369.0599999996</v>
      </c>
      <c r="G74" s="124">
        <v>6092015.7599999998</v>
      </c>
      <c r="H74" s="124">
        <v>6450908</v>
      </c>
      <c r="I74" s="124">
        <v>6493132.1100000003</v>
      </c>
      <c r="J74" s="124">
        <v>5923216</v>
      </c>
      <c r="K74" s="124">
        <v>6456695</v>
      </c>
      <c r="L74" s="124">
        <v>6494333.25</v>
      </c>
      <c r="M74" s="100">
        <v>6714851.9900000002</v>
      </c>
      <c r="N74" s="3505">
        <v>6697652</v>
      </c>
      <c r="O74" s="3505">
        <v>6919245.3600000003</v>
      </c>
      <c r="P74" s="4109">
        <v>7128581.1600000001</v>
      </c>
    </row>
    <row r="75" spans="1:16" s="110" customFormat="1" ht="12">
      <c r="A75" s="125" t="s">
        <v>2543</v>
      </c>
      <c r="B75" s="3496">
        <v>730100</v>
      </c>
      <c r="C75" s="4486" t="s">
        <v>190</v>
      </c>
      <c r="D75" s="137">
        <v>2692881.7</v>
      </c>
      <c r="E75" s="124">
        <v>2780229.89</v>
      </c>
      <c r="F75" s="124">
        <v>2427533.06</v>
      </c>
      <c r="G75" s="124">
        <v>2678341.2999999998</v>
      </c>
      <c r="H75" s="124">
        <v>2487675</v>
      </c>
      <c r="I75" s="124">
        <v>2837247.31</v>
      </c>
      <c r="J75" s="124">
        <v>3002302</v>
      </c>
      <c r="K75" s="124">
        <v>2921710</v>
      </c>
      <c r="L75" s="124">
        <v>2807326.49</v>
      </c>
      <c r="M75" s="100">
        <v>2968651.36</v>
      </c>
      <c r="N75" s="3505">
        <v>3131697</v>
      </c>
      <c r="O75" s="3505">
        <v>3052501.389</v>
      </c>
      <c r="P75" s="4109">
        <v>3274072</v>
      </c>
    </row>
    <row r="76" spans="1:16" s="110" customFormat="1" ht="13.5" customHeight="1">
      <c r="A76" s="125" t="s">
        <v>2543</v>
      </c>
      <c r="B76" s="3495">
        <v>730200</v>
      </c>
      <c r="C76" s="4490" t="s">
        <v>7334</v>
      </c>
      <c r="D76" s="4497">
        <v>165181.07</v>
      </c>
      <c r="E76" s="132">
        <v>157508.70000000001</v>
      </c>
      <c r="F76" s="132">
        <v>176682.48</v>
      </c>
      <c r="G76" s="132">
        <v>180840.49</v>
      </c>
      <c r="H76" s="132">
        <v>140871.43</v>
      </c>
      <c r="I76" s="132">
        <v>193244.56</v>
      </c>
      <c r="J76" s="132">
        <v>198155</v>
      </c>
      <c r="K76" s="132">
        <v>203562</v>
      </c>
      <c r="L76" s="124">
        <v>208245.49</v>
      </c>
      <c r="M76" s="100">
        <v>212130.42</v>
      </c>
      <c r="N76" s="3505">
        <v>209824</v>
      </c>
      <c r="O76" s="3505">
        <v>217715.85</v>
      </c>
      <c r="P76" s="4506">
        <v>211352.77</v>
      </c>
    </row>
    <row r="77" spans="1:16" s="110" customFormat="1" ht="12.75" thickBot="1">
      <c r="A77" s="125" t="s">
        <v>2543</v>
      </c>
      <c r="B77" s="3495">
        <v>737600</v>
      </c>
      <c r="C77" s="4490" t="s">
        <v>192</v>
      </c>
      <c r="D77" s="4498">
        <v>1115</v>
      </c>
      <c r="E77" s="4499">
        <v>0</v>
      </c>
      <c r="F77" s="4499">
        <v>40923.82</v>
      </c>
      <c r="G77" s="4499">
        <v>613732.29</v>
      </c>
      <c r="H77" s="4499" t="s">
        <v>177</v>
      </c>
      <c r="I77" s="4499">
        <v>0</v>
      </c>
      <c r="J77" s="4499">
        <v>0</v>
      </c>
      <c r="K77" s="4499">
        <v>-568464</v>
      </c>
      <c r="L77" s="4500" t="s">
        <v>177</v>
      </c>
      <c r="M77" s="4500" t="s">
        <v>177</v>
      </c>
      <c r="N77" s="4501"/>
      <c r="O77" s="3506"/>
      <c r="P77" s="4110"/>
    </row>
    <row r="78" spans="1:16" s="110" customFormat="1" ht="15" customHeight="1" thickBot="1">
      <c r="A78" s="13"/>
      <c r="B78" s="25"/>
      <c r="C78" s="30" t="s">
        <v>208</v>
      </c>
      <c r="D78" s="4491"/>
      <c r="E78" s="4491"/>
      <c r="F78" s="4491"/>
      <c r="G78" s="4491"/>
      <c r="H78" s="4491"/>
      <c r="I78" s="4491"/>
      <c r="J78" s="4491"/>
      <c r="K78" s="4491"/>
      <c r="L78" s="4492"/>
      <c r="M78" s="4493"/>
      <c r="N78" s="4492"/>
      <c r="O78" s="4493"/>
      <c r="P78" s="4494"/>
    </row>
    <row r="79" spans="1:16" s="110" customFormat="1" ht="12.75" hidden="1" thickBot="1">
      <c r="A79" s="125">
        <v>7319999</v>
      </c>
      <c r="B79" s="3496">
        <v>731900</v>
      </c>
      <c r="C79" s="126" t="s">
        <v>7173</v>
      </c>
      <c r="D79" s="137">
        <v>65712.41</v>
      </c>
      <c r="E79" s="124">
        <v>68248.639999999999</v>
      </c>
      <c r="F79" s="124">
        <v>67002.17</v>
      </c>
      <c r="G79" s="124">
        <v>73020.37</v>
      </c>
      <c r="H79" s="124">
        <v>110445.1</v>
      </c>
      <c r="I79" s="124" t="s">
        <v>177</v>
      </c>
      <c r="J79" s="124" t="s">
        <v>177</v>
      </c>
      <c r="K79" s="124" t="s">
        <v>177</v>
      </c>
      <c r="L79" s="124" t="s">
        <v>177</v>
      </c>
      <c r="M79" s="100">
        <v>433.92</v>
      </c>
      <c r="N79" s="116"/>
      <c r="O79" s="4109"/>
    </row>
    <row r="80" spans="1:16" s="110" customFormat="1" ht="12" hidden="1">
      <c r="A80" s="125">
        <v>7379999</v>
      </c>
      <c r="B80" s="3496"/>
      <c r="C80" s="126" t="s">
        <v>193</v>
      </c>
      <c r="D80" s="137">
        <v>26778.04</v>
      </c>
      <c r="E80" s="124">
        <v>25678.9</v>
      </c>
      <c r="F80" s="124">
        <v>37602.639999999999</v>
      </c>
      <c r="G80" s="124">
        <v>44256.45</v>
      </c>
      <c r="H80" s="124" t="s">
        <v>177</v>
      </c>
      <c r="I80" s="124" t="s">
        <v>177</v>
      </c>
      <c r="J80" s="124" t="s">
        <v>177</v>
      </c>
      <c r="K80" s="124" t="s">
        <v>177</v>
      </c>
      <c r="L80" s="124" t="s">
        <v>177</v>
      </c>
      <c r="M80" s="124" t="s">
        <v>177</v>
      </c>
      <c r="N80" s="116"/>
      <c r="O80" s="4109"/>
    </row>
    <row r="81" spans="1:16" s="110" customFormat="1" ht="12">
      <c r="A81" s="125" t="s">
        <v>7337</v>
      </c>
      <c r="B81" s="3496">
        <v>700000</v>
      </c>
      <c r="C81" s="4486" t="s">
        <v>194</v>
      </c>
      <c r="D81" s="135">
        <v>154950</v>
      </c>
      <c r="E81" s="136">
        <v>151866</v>
      </c>
      <c r="F81" s="136">
        <v>157523.70000000001</v>
      </c>
      <c r="G81" s="136">
        <v>164910.70000000001</v>
      </c>
      <c r="H81" s="136">
        <v>141488.1</v>
      </c>
      <c r="I81" s="136">
        <v>123792</v>
      </c>
      <c r="J81" s="136">
        <v>64841</v>
      </c>
      <c r="K81" s="136">
        <v>101362.5</v>
      </c>
      <c r="L81" s="136">
        <v>126045</v>
      </c>
      <c r="M81" s="107">
        <v>105277.5</v>
      </c>
      <c r="N81" s="3899">
        <v>84307</v>
      </c>
      <c r="O81" s="3899">
        <v>108360</v>
      </c>
      <c r="P81" s="4507">
        <v>134144.5</v>
      </c>
    </row>
    <row r="82" spans="1:16" s="110" customFormat="1" ht="12">
      <c r="A82" s="125" t="s">
        <v>7338</v>
      </c>
      <c r="B82" s="3496">
        <v>700000</v>
      </c>
      <c r="C82" s="4486" t="s">
        <v>195</v>
      </c>
      <c r="D82" s="137">
        <v>16741.419999999998</v>
      </c>
      <c r="E82" s="124">
        <v>20330.310000000001</v>
      </c>
      <c r="F82" s="124">
        <v>20330.310000000001</v>
      </c>
      <c r="G82" s="124">
        <v>20330.310000000001</v>
      </c>
      <c r="H82" s="124">
        <v>18580.39</v>
      </c>
      <c r="I82" s="124">
        <v>18580</v>
      </c>
      <c r="J82" s="124">
        <v>18580</v>
      </c>
      <c r="K82" s="124">
        <v>16590.79</v>
      </c>
      <c r="L82" s="124">
        <v>16590.79</v>
      </c>
      <c r="M82" s="100">
        <v>16590.79</v>
      </c>
      <c r="N82" s="3505">
        <v>8440</v>
      </c>
      <c r="O82" s="3505">
        <v>8440</v>
      </c>
      <c r="P82" s="4109">
        <v>8440</v>
      </c>
    </row>
    <row r="83" spans="1:16" s="110" customFormat="1" ht="12">
      <c r="A83" s="125" t="s">
        <v>7339</v>
      </c>
      <c r="B83" s="3496">
        <v>700000</v>
      </c>
      <c r="C83" s="4486" t="s">
        <v>196</v>
      </c>
      <c r="D83" s="137">
        <v>35980.04</v>
      </c>
      <c r="E83" s="124">
        <v>53970.06</v>
      </c>
      <c r="F83" s="124">
        <v>53970.06</v>
      </c>
      <c r="G83" s="124">
        <v>53970.06</v>
      </c>
      <c r="H83" s="124">
        <v>42431.38</v>
      </c>
      <c r="I83" s="124">
        <v>42431</v>
      </c>
      <c r="J83" s="124">
        <v>42431</v>
      </c>
      <c r="K83" s="124">
        <v>34085.01</v>
      </c>
      <c r="L83" s="124">
        <v>34085</v>
      </c>
      <c r="M83" s="100">
        <v>34085.01</v>
      </c>
      <c r="N83" s="3505">
        <v>22765</v>
      </c>
      <c r="O83" s="3505">
        <v>22765.25</v>
      </c>
      <c r="P83" s="4109">
        <v>22765.25</v>
      </c>
    </row>
    <row r="84" spans="1:16" s="110" customFormat="1" ht="12">
      <c r="A84" s="125" t="s">
        <v>2562</v>
      </c>
      <c r="B84" s="3902">
        <v>703200</v>
      </c>
      <c r="C84" s="4486" t="s">
        <v>197</v>
      </c>
      <c r="D84" s="137">
        <v>24128.5</v>
      </c>
      <c r="E84" s="124">
        <v>25440.5</v>
      </c>
      <c r="F84" s="124">
        <v>23425.5</v>
      </c>
      <c r="G84" s="124">
        <v>22849.1</v>
      </c>
      <c r="H84" s="124">
        <v>21013.5</v>
      </c>
      <c r="I84" s="124">
        <v>21387</v>
      </c>
      <c r="J84" s="124">
        <v>19708</v>
      </c>
      <c r="K84" s="124">
        <v>12831.45</v>
      </c>
      <c r="L84" s="124">
        <v>12973.1</v>
      </c>
      <c r="M84" s="3505">
        <v>12975.55</v>
      </c>
      <c r="N84" s="3505">
        <v>0</v>
      </c>
      <c r="O84" s="3505">
        <v>11768.05</v>
      </c>
      <c r="P84" s="4109">
        <v>13404.65</v>
      </c>
    </row>
    <row r="85" spans="1:16" s="110" customFormat="1" ht="12">
      <c r="A85" s="125" t="s">
        <v>2568</v>
      </c>
      <c r="B85" s="3496">
        <v>700170</v>
      </c>
      <c r="C85" s="4486" t="s">
        <v>198</v>
      </c>
      <c r="D85" s="137">
        <v>69005.23</v>
      </c>
      <c r="E85" s="124">
        <v>76852.73</v>
      </c>
      <c r="F85" s="124">
        <v>76548.89</v>
      </c>
      <c r="G85" s="124">
        <v>84818.35</v>
      </c>
      <c r="H85" s="124">
        <v>87781.2</v>
      </c>
      <c r="I85" s="124">
        <v>88543</v>
      </c>
      <c r="J85" s="124">
        <v>90475</v>
      </c>
      <c r="K85" s="124">
        <v>91632.22</v>
      </c>
      <c r="L85" s="124">
        <v>97002.84</v>
      </c>
      <c r="M85" s="3505">
        <v>100906.54</v>
      </c>
      <c r="N85" s="3505">
        <v>77182</v>
      </c>
      <c r="O85" s="3505">
        <v>114924.45</v>
      </c>
      <c r="P85" s="4109">
        <v>104872.91</v>
      </c>
    </row>
    <row r="86" spans="1:16" s="110" customFormat="1" ht="14.25" customHeight="1">
      <c r="A86" s="125" t="s">
        <v>2543</v>
      </c>
      <c r="B86" s="3496">
        <v>733220</v>
      </c>
      <c r="C86" s="4486" t="s">
        <v>7833</v>
      </c>
      <c r="D86" s="137">
        <v>9263.2800000000007</v>
      </c>
      <c r="E86" s="124">
        <v>25198.55</v>
      </c>
      <c r="F86" s="124">
        <v>38409.25</v>
      </c>
      <c r="G86" s="124">
        <v>32712.6</v>
      </c>
      <c r="H86" s="124">
        <v>50541.59</v>
      </c>
      <c r="I86" s="124">
        <v>83355</v>
      </c>
      <c r="J86" s="124">
        <v>48367.18</v>
      </c>
      <c r="K86" s="124">
        <v>51706.86</v>
      </c>
      <c r="L86" s="124">
        <v>26822.34</v>
      </c>
      <c r="M86" s="3505">
        <v>65000</v>
      </c>
      <c r="N86" s="3900" t="s">
        <v>177</v>
      </c>
      <c r="O86" s="3505">
        <v>163205.82</v>
      </c>
      <c r="P86" s="4109" t="s">
        <v>177</v>
      </c>
    </row>
    <row r="87" spans="1:16" s="110" customFormat="1" ht="12">
      <c r="A87" s="125"/>
      <c r="B87" s="124" t="s">
        <v>177</v>
      </c>
      <c r="C87" s="4486" t="s">
        <v>200</v>
      </c>
      <c r="D87" s="137">
        <v>627617.68000000005</v>
      </c>
      <c r="E87" s="124">
        <v>558471.44999999995</v>
      </c>
      <c r="F87" s="124">
        <v>644165.47</v>
      </c>
      <c r="G87" s="124">
        <v>642677.18000000005</v>
      </c>
      <c r="H87" s="124">
        <v>680597.78</v>
      </c>
      <c r="I87" s="124">
        <v>659589</v>
      </c>
      <c r="J87" s="124">
        <v>865389.81</v>
      </c>
      <c r="K87" s="124" t="s">
        <v>177</v>
      </c>
      <c r="L87" s="124" t="s">
        <v>177</v>
      </c>
      <c r="M87" s="124" t="s">
        <v>177</v>
      </c>
      <c r="N87" s="3900" t="s">
        <v>177</v>
      </c>
      <c r="O87" s="3900" t="s">
        <v>177</v>
      </c>
      <c r="P87" s="4116" t="s">
        <v>177</v>
      </c>
    </row>
    <row r="88" spans="1:16" s="110" customFormat="1" ht="12">
      <c r="A88" s="125"/>
      <c r="B88" s="3496">
        <v>703200</v>
      </c>
      <c r="C88" s="4486" t="s">
        <v>201</v>
      </c>
      <c r="D88" s="137">
        <v>22089.25</v>
      </c>
      <c r="E88" s="124">
        <v>22000</v>
      </c>
      <c r="F88" s="124">
        <v>23000</v>
      </c>
      <c r="G88" s="124">
        <v>32000</v>
      </c>
      <c r="H88" s="124">
        <v>34710</v>
      </c>
      <c r="I88" s="124">
        <v>3245.9</v>
      </c>
      <c r="J88" s="124">
        <v>13047.4</v>
      </c>
      <c r="K88" s="124" t="s">
        <v>177</v>
      </c>
      <c r="L88" s="124" t="s">
        <v>177</v>
      </c>
      <c r="M88" s="124" t="s">
        <v>177</v>
      </c>
      <c r="N88" s="3900" t="s">
        <v>177</v>
      </c>
      <c r="O88" s="3900" t="s">
        <v>177</v>
      </c>
      <c r="P88" s="4116" t="s">
        <v>177</v>
      </c>
    </row>
    <row r="89" spans="1:16" s="110" customFormat="1" ht="12">
      <c r="A89" s="125" t="s">
        <v>7342</v>
      </c>
      <c r="B89" s="3496">
        <v>703200</v>
      </c>
      <c r="C89" s="4486" t="s">
        <v>202</v>
      </c>
      <c r="D89" s="137">
        <v>14014.4</v>
      </c>
      <c r="E89" s="124">
        <v>20231.8</v>
      </c>
      <c r="F89" s="124">
        <v>18786.099999999999</v>
      </c>
      <c r="G89" s="124">
        <v>13920.2</v>
      </c>
      <c r="H89" s="124">
        <v>17064</v>
      </c>
      <c r="I89" s="124">
        <v>31065</v>
      </c>
      <c r="J89" s="124">
        <v>12139</v>
      </c>
      <c r="K89" s="124">
        <v>11719.2</v>
      </c>
      <c r="L89" s="124">
        <v>11788.2</v>
      </c>
      <c r="M89" s="3505">
        <v>15384.4</v>
      </c>
      <c r="N89" s="3505">
        <v>18165</v>
      </c>
      <c r="O89" s="3505">
        <v>24248</v>
      </c>
      <c r="P89" s="4109">
        <v>23081.7</v>
      </c>
    </row>
    <row r="90" spans="1:16" s="110" customFormat="1" ht="12">
      <c r="A90" s="125" t="s">
        <v>7342</v>
      </c>
      <c r="B90" s="3496">
        <v>700090</v>
      </c>
      <c r="C90" s="4486" t="s">
        <v>203</v>
      </c>
      <c r="D90" s="137">
        <v>20174.09</v>
      </c>
      <c r="E90" s="124">
        <v>29860</v>
      </c>
      <c r="F90" s="124">
        <v>26870</v>
      </c>
      <c r="G90" s="124">
        <v>22052</v>
      </c>
      <c r="H90" s="124">
        <v>31945</v>
      </c>
      <c r="I90" s="124">
        <v>25615</v>
      </c>
      <c r="J90" s="124">
        <v>20820</v>
      </c>
      <c r="K90" s="124">
        <v>25720</v>
      </c>
      <c r="L90" s="124">
        <v>29075</v>
      </c>
      <c r="M90" s="3505">
        <v>30175</v>
      </c>
      <c r="N90" s="3505">
        <v>25480</v>
      </c>
      <c r="O90" s="3505">
        <v>29240</v>
      </c>
      <c r="P90" s="4109">
        <v>39970</v>
      </c>
    </row>
    <row r="91" spans="1:16" s="110" customFormat="1" ht="12">
      <c r="A91" s="125" t="s">
        <v>7340</v>
      </c>
      <c r="B91" s="3496">
        <v>703200</v>
      </c>
      <c r="C91" s="4486" t="s">
        <v>7341</v>
      </c>
      <c r="D91" s="137"/>
      <c r="E91" s="124"/>
      <c r="F91" s="124"/>
      <c r="G91" s="124"/>
      <c r="H91" s="124"/>
      <c r="I91" s="124"/>
      <c r="J91" s="124"/>
      <c r="K91" s="124"/>
      <c r="L91" s="124"/>
      <c r="M91" s="3505"/>
      <c r="N91" s="3505">
        <v>1399</v>
      </c>
      <c r="O91" s="3505">
        <v>3686.63</v>
      </c>
      <c r="P91" s="4109">
        <v>5634.37</v>
      </c>
    </row>
    <row r="92" spans="1:16" s="110" customFormat="1" ht="12.75" thickBot="1">
      <c r="A92" s="138" t="s">
        <v>2562</v>
      </c>
      <c r="B92" s="3502">
        <v>700000</v>
      </c>
      <c r="C92" s="4487" t="s">
        <v>204</v>
      </c>
      <c r="D92" s="140">
        <v>5848</v>
      </c>
      <c r="E92" s="141">
        <v>6855.05</v>
      </c>
      <c r="F92" s="141">
        <v>4948.6499999999996</v>
      </c>
      <c r="G92" s="141">
        <v>4377.5</v>
      </c>
      <c r="H92" s="141">
        <v>10752.85</v>
      </c>
      <c r="I92" s="141">
        <v>20367.28</v>
      </c>
      <c r="J92" s="141">
        <v>19708.41</v>
      </c>
      <c r="K92" s="141">
        <v>17366.099999999999</v>
      </c>
      <c r="L92" s="141">
        <v>23105.8</v>
      </c>
      <c r="M92" s="3506">
        <v>21388.32</v>
      </c>
      <c r="N92" s="3506">
        <v>5888</v>
      </c>
      <c r="O92" s="3506">
        <v>13330</v>
      </c>
      <c r="P92" s="4110">
        <v>18969.55</v>
      </c>
    </row>
  </sheetData>
  <mergeCells count="4">
    <mergeCell ref="A37:M37"/>
    <mergeCell ref="A46:M46"/>
    <mergeCell ref="A3:J3"/>
    <mergeCell ref="A1:J1"/>
  </mergeCells>
  <hyperlinks>
    <hyperlink ref="A1:J1" location="FINANCIËN!A1" display="BELASTINGEN" xr:uid="{00000000-0004-0000-2700-000000000000}"/>
  </hyperlinks>
  <pageMargins left="0.7" right="0.7" top="0.75" bottom="0.75" header="0.3" footer="0.3"/>
  <pageSetup paperSize="9" orientation="landscape"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E0C816"/>
  </sheetPr>
  <dimension ref="A1:P90"/>
  <sheetViews>
    <sheetView topLeftCell="A70" workbookViewId="0">
      <selection activeCell="B83" sqref="B83:B84"/>
    </sheetView>
  </sheetViews>
  <sheetFormatPr defaultColWidth="9.140625" defaultRowHeight="15"/>
  <cols>
    <col min="1" max="1" width="12.7109375" style="37" customWidth="1"/>
    <col min="2" max="2" width="7" style="37" bestFit="1" customWidth="1"/>
    <col min="3" max="3" width="40.85546875" style="37" customWidth="1"/>
    <col min="4" max="4" width="9.7109375" style="37" customWidth="1"/>
    <col min="5" max="5" width="10" style="37" bestFit="1" customWidth="1"/>
    <col min="6" max="6" width="10.28515625" style="37" bestFit="1" customWidth="1"/>
    <col min="7" max="12" width="10" style="37" bestFit="1" customWidth="1"/>
    <col min="13" max="13" width="9.7109375" style="37" customWidth="1"/>
    <col min="14" max="16384" width="9.140625" style="37"/>
  </cols>
  <sheetData>
    <row r="1" spans="1:10" s="94" customFormat="1" ht="19.5" customHeight="1">
      <c r="A1" s="4829" t="s">
        <v>84</v>
      </c>
      <c r="B1" s="4830"/>
      <c r="C1" s="4830"/>
      <c r="D1" s="4830"/>
      <c r="E1" s="4830"/>
      <c r="F1" s="4830"/>
      <c r="G1" s="4830"/>
      <c r="H1" s="4830"/>
      <c r="I1" s="4830"/>
      <c r="J1" s="4831"/>
    </row>
    <row r="2" spans="1:10" ht="15" customHeight="1">
      <c r="A2" s="95"/>
      <c r="B2" s="95"/>
      <c r="C2" s="96"/>
      <c r="D2" s="42"/>
      <c r="E2" s="42"/>
      <c r="F2" s="42"/>
      <c r="G2" s="42"/>
      <c r="H2" s="42"/>
      <c r="I2" s="42"/>
      <c r="J2" s="42"/>
    </row>
    <row r="3" spans="1:10">
      <c r="A3" s="4828" t="s">
        <v>207</v>
      </c>
      <c r="B3" s="4828"/>
      <c r="C3" s="4828"/>
      <c r="D3" s="4828"/>
      <c r="E3" s="4828"/>
      <c r="F3" s="4828"/>
      <c r="G3" s="4828"/>
      <c r="H3" s="4828"/>
      <c r="I3" s="4828"/>
      <c r="J3" s="4828"/>
    </row>
    <row r="4" spans="1:10" ht="15.75" thickBot="1">
      <c r="A4" s="42"/>
      <c r="B4" s="42"/>
      <c r="C4" s="42"/>
      <c r="D4" s="42"/>
      <c r="E4" s="42"/>
      <c r="F4" s="42"/>
      <c r="G4" s="42"/>
      <c r="H4" s="42"/>
      <c r="I4" s="42"/>
      <c r="J4" s="42"/>
    </row>
    <row r="5" spans="1:10" ht="27" customHeight="1" thickBot="1">
      <c r="A5" s="8"/>
      <c r="B5" s="9"/>
      <c r="C5" s="9"/>
      <c r="D5" s="19" t="s">
        <v>164</v>
      </c>
      <c r="E5" s="3493" t="s">
        <v>115</v>
      </c>
      <c r="F5" s="3493" t="s">
        <v>116</v>
      </c>
      <c r="G5" s="17">
        <v>35155</v>
      </c>
      <c r="H5" s="17">
        <v>35246</v>
      </c>
      <c r="I5" s="17">
        <v>35338</v>
      </c>
      <c r="J5" s="18">
        <v>35430</v>
      </c>
    </row>
    <row r="6" spans="1:10">
      <c r="A6" s="97" t="s">
        <v>162</v>
      </c>
      <c r="B6" s="105"/>
      <c r="C6" s="98"/>
      <c r="D6" s="99"/>
      <c r="E6" s="100"/>
      <c r="F6" s="100"/>
      <c r="G6" s="100"/>
      <c r="H6" s="100"/>
      <c r="I6" s="100"/>
      <c r="J6" s="101"/>
    </row>
    <row r="7" spans="1:10">
      <c r="A7" s="102" t="s">
        <v>117</v>
      </c>
      <c r="B7" s="103"/>
      <c r="C7" s="103" t="s">
        <v>118</v>
      </c>
      <c r="D7" s="99">
        <v>7500</v>
      </c>
      <c r="E7" s="104"/>
      <c r="F7" s="104">
        <v>-7500</v>
      </c>
      <c r="G7" s="104"/>
      <c r="H7" s="100"/>
      <c r="I7" s="104"/>
      <c r="J7" s="101"/>
    </row>
    <row r="8" spans="1:10">
      <c r="A8" s="102" t="s">
        <v>119</v>
      </c>
      <c r="B8" s="103"/>
      <c r="C8" s="103" t="s">
        <v>120</v>
      </c>
      <c r="D8" s="99">
        <v>125000</v>
      </c>
      <c r="E8" s="104"/>
      <c r="F8" s="104">
        <v>-125000</v>
      </c>
      <c r="G8" s="104"/>
      <c r="H8" s="100"/>
      <c r="I8" s="104"/>
      <c r="J8" s="101"/>
    </row>
    <row r="9" spans="1:10">
      <c r="A9" s="102" t="s">
        <v>121</v>
      </c>
      <c r="B9" s="103"/>
      <c r="C9" s="103" t="s">
        <v>122</v>
      </c>
      <c r="D9" s="99">
        <v>5000</v>
      </c>
      <c r="E9" s="104"/>
      <c r="F9" s="104">
        <v>-5000</v>
      </c>
      <c r="G9" s="104"/>
      <c r="H9" s="100"/>
      <c r="I9" s="104"/>
      <c r="J9" s="101"/>
    </row>
    <row r="10" spans="1:10">
      <c r="A10" s="102" t="s">
        <v>123</v>
      </c>
      <c r="B10" s="103"/>
      <c r="C10" s="103" t="s">
        <v>124</v>
      </c>
      <c r="D10" s="99">
        <v>1000</v>
      </c>
      <c r="E10" s="104"/>
      <c r="F10" s="104">
        <v>-1000</v>
      </c>
      <c r="G10" s="104"/>
      <c r="H10" s="100"/>
      <c r="I10" s="104"/>
      <c r="J10" s="101"/>
    </row>
    <row r="11" spans="1:10">
      <c r="A11" s="102" t="s">
        <v>125</v>
      </c>
      <c r="B11" s="103"/>
      <c r="C11" s="103" t="s">
        <v>126</v>
      </c>
      <c r="D11" s="99">
        <v>300</v>
      </c>
      <c r="E11" s="104"/>
      <c r="F11" s="104">
        <v>-300</v>
      </c>
      <c r="G11" s="104"/>
      <c r="H11" s="100"/>
      <c r="I11" s="104"/>
      <c r="J11" s="101"/>
    </row>
    <row r="12" spans="1:10">
      <c r="A12" s="102" t="s">
        <v>127</v>
      </c>
      <c r="B12" s="103"/>
      <c r="C12" s="103" t="s">
        <v>128</v>
      </c>
      <c r="D12" s="99">
        <v>500</v>
      </c>
      <c r="E12" s="104"/>
      <c r="F12" s="104">
        <v>-500</v>
      </c>
      <c r="G12" s="104"/>
      <c r="H12" s="100"/>
      <c r="I12" s="104"/>
      <c r="J12" s="101"/>
    </row>
    <row r="13" spans="1:10">
      <c r="A13" s="102" t="s">
        <v>129</v>
      </c>
      <c r="B13" s="103"/>
      <c r="C13" s="103" t="s">
        <v>130</v>
      </c>
      <c r="D13" s="99">
        <v>200000</v>
      </c>
      <c r="E13" s="104"/>
      <c r="F13" s="104">
        <v>-200000</v>
      </c>
      <c r="G13" s="104"/>
      <c r="H13" s="100"/>
      <c r="I13" s="104"/>
      <c r="J13" s="101"/>
    </row>
    <row r="14" spans="1:10">
      <c r="A14" s="102" t="s">
        <v>131</v>
      </c>
      <c r="B14" s="103"/>
      <c r="C14" s="103" t="s">
        <v>132</v>
      </c>
      <c r="D14" s="99">
        <v>750</v>
      </c>
      <c r="E14" s="104"/>
      <c r="F14" s="104">
        <v>-750</v>
      </c>
      <c r="G14" s="104"/>
      <c r="H14" s="100"/>
      <c r="I14" s="104"/>
      <c r="J14" s="101"/>
    </row>
    <row r="15" spans="1:10">
      <c r="A15" s="102" t="s">
        <v>133</v>
      </c>
      <c r="B15" s="103"/>
      <c r="C15" s="103" t="s">
        <v>134</v>
      </c>
      <c r="D15" s="99">
        <v>180000</v>
      </c>
      <c r="E15" s="104"/>
      <c r="F15" s="104">
        <v>-180000</v>
      </c>
      <c r="G15" s="104"/>
      <c r="H15" s="100"/>
      <c r="I15" s="104"/>
      <c r="J15" s="101"/>
    </row>
    <row r="16" spans="1:10">
      <c r="A16" s="102" t="s">
        <v>135</v>
      </c>
      <c r="B16" s="103"/>
      <c r="C16" s="103" t="s">
        <v>136</v>
      </c>
      <c r="D16" s="99">
        <v>15000</v>
      </c>
      <c r="E16" s="104"/>
      <c r="F16" s="104">
        <v>-15000</v>
      </c>
      <c r="G16" s="104"/>
      <c r="H16" s="100"/>
      <c r="I16" s="104"/>
      <c r="J16" s="101"/>
    </row>
    <row r="17" spans="1:12">
      <c r="A17" s="102" t="s">
        <v>137</v>
      </c>
      <c r="B17" s="103"/>
      <c r="C17" s="103" t="s">
        <v>138</v>
      </c>
      <c r="D17" s="99">
        <v>60000</v>
      </c>
      <c r="E17" s="104"/>
      <c r="F17" s="104">
        <v>-60000</v>
      </c>
      <c r="G17" s="104"/>
      <c r="H17" s="100"/>
      <c r="I17" s="104"/>
      <c r="J17" s="101"/>
    </row>
    <row r="18" spans="1:12">
      <c r="A18" s="102" t="s">
        <v>139</v>
      </c>
      <c r="B18" s="103"/>
      <c r="C18" s="103" t="s">
        <v>140</v>
      </c>
      <c r="D18" s="99">
        <v>16000</v>
      </c>
      <c r="E18" s="104"/>
      <c r="F18" s="104">
        <v>-16000</v>
      </c>
      <c r="G18" s="104"/>
      <c r="H18" s="100"/>
      <c r="I18" s="104"/>
      <c r="J18" s="101"/>
      <c r="K18" s="42"/>
    </row>
    <row r="19" spans="1:12">
      <c r="A19" s="102" t="s">
        <v>141</v>
      </c>
      <c r="B19" s="103"/>
      <c r="C19" s="103" t="s">
        <v>142</v>
      </c>
      <c r="D19" s="99">
        <v>12000</v>
      </c>
      <c r="E19" s="104"/>
      <c r="F19" s="104">
        <v>-12000</v>
      </c>
      <c r="G19" s="104"/>
      <c r="H19" s="100"/>
      <c r="I19" s="104"/>
      <c r="J19" s="101"/>
      <c r="K19" s="42"/>
    </row>
    <row r="20" spans="1:12">
      <c r="A20" s="102" t="s">
        <v>143</v>
      </c>
      <c r="B20" s="103"/>
      <c r="C20" s="103" t="s">
        <v>144</v>
      </c>
      <c r="D20" s="99">
        <v>15000</v>
      </c>
      <c r="E20" s="104"/>
      <c r="F20" s="104">
        <v>-15000</v>
      </c>
      <c r="G20" s="104"/>
      <c r="H20" s="100"/>
      <c r="I20" s="104"/>
      <c r="J20" s="101"/>
      <c r="K20" s="42"/>
    </row>
    <row r="21" spans="1:12">
      <c r="A21" s="102" t="s">
        <v>145</v>
      </c>
      <c r="B21" s="103"/>
      <c r="C21" s="103" t="s">
        <v>146</v>
      </c>
      <c r="D21" s="99">
        <v>65000</v>
      </c>
      <c r="E21" s="104"/>
      <c r="F21" s="104">
        <v>-65000</v>
      </c>
      <c r="G21" s="104"/>
      <c r="H21" s="100"/>
      <c r="I21" s="104"/>
      <c r="J21" s="101"/>
      <c r="K21" s="42"/>
    </row>
    <row r="22" spans="1:12">
      <c r="A22" s="102" t="s">
        <v>147</v>
      </c>
      <c r="B22" s="103"/>
      <c r="C22" s="103" t="s">
        <v>148</v>
      </c>
      <c r="D22" s="99">
        <v>30000</v>
      </c>
      <c r="E22" s="104"/>
      <c r="F22" s="104">
        <v>-30000</v>
      </c>
      <c r="G22" s="104"/>
      <c r="H22" s="100"/>
      <c r="I22" s="104"/>
      <c r="J22" s="101"/>
      <c r="K22" s="42"/>
    </row>
    <row r="23" spans="1:12">
      <c r="A23" s="102" t="s">
        <v>149</v>
      </c>
      <c r="B23" s="103"/>
      <c r="C23" s="103" t="s">
        <v>150</v>
      </c>
      <c r="D23" s="99">
        <v>80000</v>
      </c>
      <c r="E23" s="104"/>
      <c r="F23" s="104">
        <v>-80000</v>
      </c>
      <c r="G23" s="104"/>
      <c r="H23" s="100"/>
      <c r="I23" s="104"/>
      <c r="J23" s="101"/>
      <c r="K23" s="42"/>
    </row>
    <row r="24" spans="1:12">
      <c r="A24" s="102" t="s">
        <v>151</v>
      </c>
      <c r="B24" s="103"/>
      <c r="C24" s="103" t="s">
        <v>152</v>
      </c>
      <c r="D24" s="99">
        <v>50000</v>
      </c>
      <c r="E24" s="104"/>
      <c r="F24" s="104">
        <v>-50000</v>
      </c>
      <c r="G24" s="104"/>
      <c r="H24" s="100"/>
      <c r="I24" s="104"/>
      <c r="J24" s="101"/>
      <c r="K24" s="42"/>
    </row>
    <row r="25" spans="1:12" ht="15.75" thickBot="1">
      <c r="A25" s="102" t="s">
        <v>153</v>
      </c>
      <c r="B25" s="103"/>
      <c r="C25" s="103" t="s">
        <v>154</v>
      </c>
      <c r="D25" s="99">
        <v>705000</v>
      </c>
      <c r="E25" s="104"/>
      <c r="F25" s="104">
        <v>-705000</v>
      </c>
      <c r="G25" s="104"/>
      <c r="H25" s="100"/>
      <c r="I25" s="104"/>
      <c r="J25" s="101"/>
      <c r="K25" s="42"/>
    </row>
    <row r="26" spans="1:12" ht="15.75" thickBot="1">
      <c r="A26" s="13"/>
      <c r="B26" s="25"/>
      <c r="C26" s="14" t="s">
        <v>165</v>
      </c>
      <c r="D26" s="20">
        <f>SUM(D7:D25)</f>
        <v>1568050</v>
      </c>
      <c r="E26" s="10">
        <f>SUM(E7:E25)</f>
        <v>0</v>
      </c>
      <c r="F26" s="11">
        <f>SUM(F7:F25)</f>
        <v>-1568050</v>
      </c>
      <c r="G26" s="10">
        <v>0</v>
      </c>
      <c r="H26" s="10">
        <v>0</v>
      </c>
      <c r="I26" s="10">
        <v>0</v>
      </c>
      <c r="J26" s="12">
        <v>0</v>
      </c>
      <c r="K26" s="42"/>
    </row>
    <row r="27" spans="1:12">
      <c r="A27" s="105" t="s">
        <v>163</v>
      </c>
      <c r="B27" s="105"/>
      <c r="C27" s="98"/>
      <c r="D27" s="106"/>
      <c r="E27" s="107"/>
      <c r="F27" s="107"/>
      <c r="G27" s="107"/>
      <c r="H27" s="107"/>
      <c r="I27" s="107"/>
      <c r="J27" s="108"/>
      <c r="K27" s="61"/>
    </row>
    <row r="28" spans="1:12">
      <c r="A28" s="102" t="s">
        <v>155</v>
      </c>
      <c r="B28" s="103"/>
      <c r="C28" s="103" t="s">
        <v>156</v>
      </c>
      <c r="D28" s="99">
        <v>5628394</v>
      </c>
      <c r="E28" s="100"/>
      <c r="F28" s="100">
        <v>-5628394</v>
      </c>
      <c r="G28" s="100"/>
      <c r="H28" s="100"/>
      <c r="I28" s="100"/>
      <c r="J28" s="101"/>
      <c r="K28" s="42"/>
    </row>
    <row r="29" spans="1:12">
      <c r="A29" s="102" t="s">
        <v>157</v>
      </c>
      <c r="B29" s="103"/>
      <c r="C29" s="103" t="s">
        <v>158</v>
      </c>
      <c r="D29" s="99">
        <v>2708511</v>
      </c>
      <c r="E29" s="100"/>
      <c r="F29" s="100">
        <v>-2708511</v>
      </c>
      <c r="G29" s="100"/>
      <c r="H29" s="100"/>
      <c r="I29" s="100"/>
      <c r="J29" s="101"/>
      <c r="K29" s="42"/>
    </row>
    <row r="30" spans="1:12">
      <c r="A30" s="102" t="s">
        <v>159</v>
      </c>
      <c r="B30" s="103"/>
      <c r="C30" s="103" t="s">
        <v>160</v>
      </c>
      <c r="D30" s="99">
        <v>168534</v>
      </c>
      <c r="E30" s="100"/>
      <c r="F30" s="100">
        <v>-168534</v>
      </c>
      <c r="G30" s="100"/>
      <c r="H30" s="100"/>
      <c r="I30" s="100"/>
      <c r="J30" s="101"/>
      <c r="K30" s="42"/>
    </row>
    <row r="31" spans="1:12" ht="15.75" thickBot="1">
      <c r="A31" s="102" t="s">
        <v>161</v>
      </c>
      <c r="B31" s="103"/>
      <c r="C31" s="103" t="s">
        <v>152</v>
      </c>
      <c r="D31" s="99">
        <v>2500</v>
      </c>
      <c r="E31" s="100"/>
      <c r="F31" s="100">
        <v>-2500</v>
      </c>
      <c r="G31" s="100"/>
      <c r="H31" s="100"/>
      <c r="I31" s="100"/>
      <c r="J31" s="101"/>
      <c r="K31" s="42"/>
    </row>
    <row r="32" spans="1:12" ht="15.75" thickBot="1">
      <c r="A32" s="13"/>
      <c r="B32" s="25"/>
      <c r="C32" s="14" t="s">
        <v>165</v>
      </c>
      <c r="D32" s="20">
        <f>SUM(D28:D31)</f>
        <v>8507939</v>
      </c>
      <c r="E32" s="10">
        <v>0</v>
      </c>
      <c r="F32" s="11">
        <f>SUM(F28:F31)</f>
        <v>-8507939</v>
      </c>
      <c r="G32" s="10">
        <v>0</v>
      </c>
      <c r="H32" s="10">
        <v>0</v>
      </c>
      <c r="I32" s="10">
        <v>0</v>
      </c>
      <c r="J32" s="12">
        <v>0</v>
      </c>
      <c r="K32" s="42"/>
      <c r="L32" s="88"/>
    </row>
    <row r="33" spans="1:15" ht="15.75" thickBot="1">
      <c r="A33" s="103"/>
      <c r="B33" s="103"/>
      <c r="C33" s="103"/>
      <c r="D33" s="99"/>
      <c r="E33" s="100"/>
      <c r="F33" s="100"/>
      <c r="G33" s="100"/>
      <c r="H33" s="100"/>
      <c r="I33" s="100"/>
      <c r="J33" s="109"/>
      <c r="L33" s="88"/>
    </row>
    <row r="34" spans="1:15" ht="15.75" thickBot="1">
      <c r="A34" s="13"/>
      <c r="B34" s="25"/>
      <c r="C34" s="15" t="s">
        <v>166</v>
      </c>
      <c r="D34" s="20">
        <f>D32+D26</f>
        <v>10075989</v>
      </c>
      <c r="E34" s="10">
        <f>E32+E26</f>
        <v>0</v>
      </c>
      <c r="F34" s="10">
        <f>D34-H34</f>
        <v>10075989</v>
      </c>
      <c r="G34" s="10">
        <v>0</v>
      </c>
      <c r="H34" s="10">
        <v>0</v>
      </c>
      <c r="I34" s="10">
        <v>0</v>
      </c>
      <c r="J34" s="12">
        <v>0</v>
      </c>
      <c r="L34" s="88"/>
    </row>
    <row r="35" spans="1:15">
      <c r="L35" s="88"/>
    </row>
    <row r="36" spans="1:15">
      <c r="L36" s="88"/>
    </row>
    <row r="37" spans="1:15" s="39" customFormat="1">
      <c r="A37" s="4827" t="s">
        <v>167</v>
      </c>
      <c r="B37" s="4827"/>
      <c r="C37" s="4827"/>
      <c r="D37" s="4827"/>
      <c r="E37" s="4827"/>
      <c r="F37" s="4827"/>
      <c r="G37" s="4827"/>
      <c r="H37" s="4827"/>
      <c r="I37" s="4827"/>
      <c r="J37" s="4827"/>
      <c r="K37" s="4827"/>
      <c r="L37" s="4827"/>
      <c r="M37" s="4827"/>
    </row>
    <row r="38" spans="1:15" s="110" customFormat="1" ht="12">
      <c r="L38" s="111"/>
    </row>
    <row r="39" spans="1:15" s="110" customFormat="1" ht="12.75" thickBot="1"/>
    <row r="40" spans="1:15" s="39" customFormat="1" ht="27" customHeight="1" thickBot="1">
      <c r="A40" s="112"/>
      <c r="B40" s="3497"/>
      <c r="C40" s="113"/>
      <c r="D40" s="28">
        <v>2014</v>
      </c>
      <c r="E40" s="27">
        <v>2015</v>
      </c>
      <c r="F40" s="27">
        <v>2016</v>
      </c>
      <c r="G40" s="27">
        <v>2017</v>
      </c>
      <c r="H40" s="27">
        <v>2018</v>
      </c>
      <c r="I40" s="27">
        <v>2019</v>
      </c>
      <c r="J40" s="27">
        <v>2020</v>
      </c>
      <c r="K40" s="27">
        <v>2021</v>
      </c>
      <c r="L40" s="27">
        <v>2022</v>
      </c>
      <c r="M40" s="27">
        <v>2023</v>
      </c>
      <c r="N40" s="27">
        <v>2024</v>
      </c>
      <c r="O40" s="26">
        <v>2025</v>
      </c>
    </row>
    <row r="41" spans="1:15" s="110" customFormat="1" ht="12">
      <c r="A41" s="114" t="s">
        <v>205</v>
      </c>
      <c r="B41" s="3498"/>
      <c r="C41" s="115"/>
      <c r="D41" s="111">
        <v>1920</v>
      </c>
      <c r="E41" s="111">
        <v>1920</v>
      </c>
      <c r="F41" s="111">
        <v>1920</v>
      </c>
      <c r="G41" s="111">
        <v>1920</v>
      </c>
      <c r="H41" s="111">
        <v>1209</v>
      </c>
      <c r="I41" s="111">
        <v>1209</v>
      </c>
      <c r="J41" s="111">
        <v>1209</v>
      </c>
      <c r="K41" s="111">
        <v>1209</v>
      </c>
      <c r="L41" s="111">
        <v>1209</v>
      </c>
      <c r="M41" s="111">
        <v>1209</v>
      </c>
      <c r="N41" s="111">
        <v>1209</v>
      </c>
      <c r="O41" s="116">
        <v>1209</v>
      </c>
    </row>
    <row r="42" spans="1:15" s="110" customFormat="1" ht="12.75" thickBot="1">
      <c r="A42" s="117" t="s">
        <v>206</v>
      </c>
      <c r="B42" s="3499"/>
      <c r="C42" s="118"/>
      <c r="D42" s="119">
        <v>7.7</v>
      </c>
      <c r="E42" s="119">
        <v>7.7</v>
      </c>
      <c r="F42" s="119">
        <v>7</v>
      </c>
      <c r="G42" s="119">
        <v>7</v>
      </c>
      <c r="H42" s="119">
        <v>7</v>
      </c>
      <c r="I42" s="119">
        <v>7</v>
      </c>
      <c r="J42" s="119">
        <v>7</v>
      </c>
      <c r="K42" s="119">
        <v>7</v>
      </c>
      <c r="L42" s="119">
        <v>7</v>
      </c>
      <c r="M42" s="119">
        <v>7</v>
      </c>
      <c r="N42" s="119">
        <v>7</v>
      </c>
      <c r="O42" s="120">
        <v>7</v>
      </c>
    </row>
    <row r="43" spans="1:15" s="110" customFormat="1" ht="12"/>
    <row r="44" spans="1:15" s="110" customFormat="1" ht="12">
      <c r="L44" s="111"/>
    </row>
    <row r="45" spans="1:15" s="110" customFormat="1" ht="12">
      <c r="L45" s="111"/>
    </row>
    <row r="46" spans="1:15" s="110" customFormat="1">
      <c r="A46" s="4827" t="s">
        <v>168</v>
      </c>
      <c r="B46" s="4827"/>
      <c r="C46" s="4827"/>
      <c r="D46" s="4827"/>
      <c r="E46" s="4827"/>
      <c r="F46" s="4827"/>
      <c r="G46" s="4827"/>
      <c r="H46" s="4827"/>
      <c r="I46" s="4827"/>
      <c r="J46" s="4827"/>
      <c r="K46" s="4827"/>
      <c r="L46" s="4827"/>
      <c r="M46" s="4827"/>
    </row>
    <row r="47" spans="1:15" s="110" customFormat="1" ht="12.75" thickBot="1">
      <c r="L47" s="111"/>
    </row>
    <row r="48" spans="1:15" s="121" customFormat="1" ht="39.75" customHeight="1" thickBot="1">
      <c r="A48" s="31" t="s">
        <v>169</v>
      </c>
      <c r="B48" s="1911" t="s">
        <v>7170</v>
      </c>
      <c r="C48" s="32" t="s">
        <v>170</v>
      </c>
      <c r="D48" s="33">
        <v>2010</v>
      </c>
      <c r="E48" s="33">
        <v>2011</v>
      </c>
      <c r="F48" s="33">
        <v>2012</v>
      </c>
      <c r="G48" s="33">
        <v>2013</v>
      </c>
      <c r="H48" s="33">
        <v>2014</v>
      </c>
      <c r="I48" s="33">
        <v>2015</v>
      </c>
      <c r="J48" s="33">
        <v>2016</v>
      </c>
      <c r="K48" s="33">
        <v>2017</v>
      </c>
      <c r="L48" s="33">
        <v>2018</v>
      </c>
      <c r="M48" s="33">
        <v>2019</v>
      </c>
      <c r="N48" s="566">
        <v>2020</v>
      </c>
    </row>
    <row r="49" spans="1:14" s="110" customFormat="1" ht="15" customHeight="1" thickBot="1">
      <c r="A49" s="23"/>
      <c r="B49" s="24"/>
      <c r="C49" s="29" t="s">
        <v>84</v>
      </c>
      <c r="D49" s="24"/>
      <c r="E49" s="24"/>
      <c r="F49" s="24"/>
      <c r="G49" s="24"/>
      <c r="H49" s="24"/>
      <c r="I49" s="24"/>
      <c r="J49" s="24"/>
      <c r="K49" s="25"/>
      <c r="L49" s="25"/>
      <c r="M49" s="25"/>
      <c r="N49" s="22"/>
    </row>
    <row r="50" spans="1:14" s="110" customFormat="1" ht="12">
      <c r="A50" s="122">
        <v>7377000</v>
      </c>
      <c r="B50" s="3500">
        <v>737700</v>
      </c>
      <c r="C50" s="123" t="s">
        <v>150</v>
      </c>
      <c r="D50" s="124">
        <v>75640</v>
      </c>
      <c r="E50" s="124">
        <v>76260</v>
      </c>
      <c r="F50" s="124">
        <v>76880</v>
      </c>
      <c r="G50" s="124">
        <v>76260</v>
      </c>
      <c r="H50" s="124">
        <v>80599.94</v>
      </c>
      <c r="I50" s="124">
        <v>88039.94</v>
      </c>
      <c r="J50" s="124">
        <v>110700</v>
      </c>
      <c r="K50" s="124">
        <v>112340</v>
      </c>
      <c r="L50" s="124">
        <v>123188</v>
      </c>
      <c r="M50" s="100">
        <v>116232</v>
      </c>
      <c r="N50" s="116"/>
    </row>
    <row r="51" spans="1:14" s="110" customFormat="1" ht="12">
      <c r="A51" s="125">
        <v>7380000</v>
      </c>
      <c r="B51" s="3496">
        <v>738000</v>
      </c>
      <c r="C51" s="126" t="s">
        <v>171</v>
      </c>
      <c r="D51" s="124">
        <f>SUM(D52:D54)</f>
        <v>704450.89</v>
      </c>
      <c r="E51" s="124">
        <f t="shared" ref="E51:L51" si="0">SUM(E52:E54)</f>
        <v>710160.6</v>
      </c>
      <c r="F51" s="124">
        <f t="shared" si="0"/>
        <v>713801.3</v>
      </c>
      <c r="G51" s="124">
        <f t="shared" si="0"/>
        <v>729164.92</v>
      </c>
      <c r="H51" s="124">
        <f t="shared" si="0"/>
        <v>732212.42</v>
      </c>
      <c r="I51" s="124">
        <f t="shared" si="0"/>
        <v>743892.22</v>
      </c>
      <c r="J51" s="124">
        <f t="shared" si="0"/>
        <v>749293</v>
      </c>
      <c r="K51" s="124">
        <f t="shared" si="0"/>
        <v>759891.82</v>
      </c>
      <c r="L51" s="124">
        <f t="shared" si="0"/>
        <v>780399.92</v>
      </c>
      <c r="M51" s="124">
        <v>770928.32</v>
      </c>
      <c r="N51" s="116"/>
    </row>
    <row r="52" spans="1:14" s="110" customFormat="1" ht="12">
      <c r="A52" s="125"/>
      <c r="B52" s="3496"/>
      <c r="C52" s="126" t="s">
        <v>172</v>
      </c>
      <c r="D52" s="124">
        <v>193260</v>
      </c>
      <c r="E52" s="124">
        <v>192369.4</v>
      </c>
      <c r="F52" s="124">
        <v>194460</v>
      </c>
      <c r="G52" s="124">
        <v>195520</v>
      </c>
      <c r="H52" s="124">
        <v>195270</v>
      </c>
      <c r="I52" s="124">
        <v>200460</v>
      </c>
      <c r="J52" s="124">
        <v>204430</v>
      </c>
      <c r="K52" s="124">
        <v>207210</v>
      </c>
      <c r="L52" s="124">
        <v>212740</v>
      </c>
      <c r="M52" s="100"/>
      <c r="N52" s="116"/>
    </row>
    <row r="53" spans="1:14" s="110" customFormat="1" ht="12">
      <c r="A53" s="125"/>
      <c r="B53" s="3496"/>
      <c r="C53" s="126" t="s">
        <v>173</v>
      </c>
      <c r="D53" s="124">
        <v>509830.89</v>
      </c>
      <c r="E53" s="124">
        <v>516551.2</v>
      </c>
      <c r="F53" s="124">
        <v>518221.3</v>
      </c>
      <c r="G53" s="124">
        <v>532464.92000000004</v>
      </c>
      <c r="H53" s="124">
        <v>535582.42000000004</v>
      </c>
      <c r="I53" s="124">
        <v>542232.22</v>
      </c>
      <c r="J53" s="124">
        <v>543663</v>
      </c>
      <c r="K53" s="124">
        <v>551481.81999999995</v>
      </c>
      <c r="L53" s="124">
        <v>566459.92000000004</v>
      </c>
      <c r="M53" s="100"/>
      <c r="N53" s="116"/>
    </row>
    <row r="54" spans="1:14" s="110" customFormat="1" ht="12">
      <c r="A54" s="125"/>
      <c r="B54" s="3496"/>
      <c r="C54" s="126" t="s">
        <v>174</v>
      </c>
      <c r="D54" s="124">
        <v>1360</v>
      </c>
      <c r="E54" s="124">
        <v>1240</v>
      </c>
      <c r="F54" s="124">
        <v>1120</v>
      </c>
      <c r="G54" s="124">
        <v>1180</v>
      </c>
      <c r="H54" s="124">
        <v>1360</v>
      </c>
      <c r="I54" s="124">
        <v>1200</v>
      </c>
      <c r="J54" s="124">
        <v>1200</v>
      </c>
      <c r="K54" s="124">
        <v>1200</v>
      </c>
      <c r="L54" s="124">
        <v>1200</v>
      </c>
      <c r="M54" s="100"/>
      <c r="N54" s="116"/>
    </row>
    <row r="55" spans="1:14" s="110" customFormat="1" ht="12">
      <c r="A55" s="125">
        <v>7360800</v>
      </c>
      <c r="B55" s="3496">
        <v>736080</v>
      </c>
      <c r="C55" s="126" t="s">
        <v>175</v>
      </c>
      <c r="D55" s="124">
        <v>16879</v>
      </c>
      <c r="E55" s="124">
        <v>16022</v>
      </c>
      <c r="F55" s="124">
        <v>16207.5</v>
      </c>
      <c r="G55" s="124">
        <v>17572.5</v>
      </c>
      <c r="H55" s="124">
        <v>19377.599999999999</v>
      </c>
      <c r="I55" s="124">
        <v>19277.599999999999</v>
      </c>
      <c r="J55" s="124">
        <v>34617</v>
      </c>
      <c r="K55" s="124">
        <v>20282</v>
      </c>
      <c r="L55" s="124">
        <v>21260.75</v>
      </c>
      <c r="M55" s="100">
        <v>21251</v>
      </c>
      <c r="N55" s="116"/>
    </row>
    <row r="56" spans="1:14" s="110" customFormat="1" ht="12">
      <c r="A56" s="125">
        <v>7360500</v>
      </c>
      <c r="B56" s="3496">
        <v>736050</v>
      </c>
      <c r="C56" s="126" t="s">
        <v>142</v>
      </c>
      <c r="D56" s="124">
        <v>11500</v>
      </c>
      <c r="E56" s="124">
        <v>11300</v>
      </c>
      <c r="F56" s="124">
        <v>11600</v>
      </c>
      <c r="G56" s="124">
        <v>11600</v>
      </c>
      <c r="H56" s="124">
        <v>17450</v>
      </c>
      <c r="I56" s="124">
        <v>17450</v>
      </c>
      <c r="J56" s="124">
        <v>34850</v>
      </c>
      <c r="K56" s="124">
        <v>34050</v>
      </c>
      <c r="L56" s="124">
        <v>34850</v>
      </c>
      <c r="M56" s="3503">
        <v>34650</v>
      </c>
      <c r="N56" s="116"/>
    </row>
    <row r="57" spans="1:14" s="110" customFormat="1" ht="12">
      <c r="A57" s="125">
        <v>7371000</v>
      </c>
      <c r="B57" s="3496">
        <v>737100</v>
      </c>
      <c r="C57" s="126" t="s">
        <v>7171</v>
      </c>
      <c r="D57" s="124">
        <v>71077.210000000006</v>
      </c>
      <c r="E57" s="124">
        <v>63017.74</v>
      </c>
      <c r="F57" s="124">
        <v>54911.71</v>
      </c>
      <c r="G57" s="124">
        <v>67075.429999999993</v>
      </c>
      <c r="H57" s="124">
        <v>68477.63</v>
      </c>
      <c r="I57" s="124">
        <v>70040.03</v>
      </c>
      <c r="J57" s="124">
        <v>21560</v>
      </c>
      <c r="K57" s="124">
        <v>20087.2</v>
      </c>
      <c r="L57" s="124">
        <v>7664.38</v>
      </c>
      <c r="M57" s="100">
        <v>12839.35</v>
      </c>
      <c r="N57" s="116"/>
    </row>
    <row r="58" spans="1:14" s="110" customFormat="1" ht="12">
      <c r="A58" s="125">
        <v>7372000</v>
      </c>
      <c r="B58" s="3496">
        <v>737200</v>
      </c>
      <c r="C58" s="126" t="s">
        <v>7172</v>
      </c>
      <c r="D58" s="124"/>
      <c r="E58" s="124"/>
      <c r="F58" s="124"/>
      <c r="G58" s="124"/>
      <c r="H58" s="124"/>
      <c r="I58" s="124"/>
      <c r="J58" s="124">
        <v>42568</v>
      </c>
      <c r="K58" s="124">
        <v>10283.209999999999</v>
      </c>
      <c r="L58" s="124">
        <v>38832.839999999997</v>
      </c>
      <c r="M58" s="100">
        <v>37104.949999999997</v>
      </c>
      <c r="N58" s="116"/>
    </row>
    <row r="59" spans="1:14" s="110" customFormat="1" ht="12">
      <c r="A59" s="125">
        <v>7342400</v>
      </c>
      <c r="B59" s="3496">
        <v>734240</v>
      </c>
      <c r="C59" s="126" t="s">
        <v>176</v>
      </c>
      <c r="D59" s="124">
        <v>173670.3</v>
      </c>
      <c r="E59" s="124">
        <v>166573.20000000001</v>
      </c>
      <c r="F59" s="124">
        <v>141969.9</v>
      </c>
      <c r="G59" s="124">
        <v>140234.07999999999</v>
      </c>
      <c r="H59" s="124">
        <v>101173.75</v>
      </c>
      <c r="I59" s="124">
        <v>127936</v>
      </c>
      <c r="J59" s="124">
        <v>129122</v>
      </c>
      <c r="K59" s="124">
        <v>140858.98000000001</v>
      </c>
      <c r="L59" s="124">
        <v>138374.84</v>
      </c>
      <c r="M59" s="100">
        <v>114050.27</v>
      </c>
      <c r="N59" s="116"/>
    </row>
    <row r="60" spans="1:14" s="110" customFormat="1" ht="12">
      <c r="A60" s="125">
        <v>7341900</v>
      </c>
      <c r="B60" s="3496">
        <v>734190</v>
      </c>
      <c r="C60" s="126" t="s">
        <v>136</v>
      </c>
      <c r="D60" s="124" t="s">
        <v>177</v>
      </c>
      <c r="E60" s="124">
        <v>11481.25</v>
      </c>
      <c r="F60" s="124">
        <v>14318.75</v>
      </c>
      <c r="G60" s="124">
        <v>14568.75</v>
      </c>
      <c r="H60" s="124">
        <v>15418.75</v>
      </c>
      <c r="I60" s="124">
        <v>15418.75</v>
      </c>
      <c r="J60" s="124">
        <v>14575</v>
      </c>
      <c r="K60" s="124">
        <v>14115</v>
      </c>
      <c r="L60" s="124">
        <v>14481.25</v>
      </c>
      <c r="M60" s="100">
        <v>13693.75</v>
      </c>
      <c r="N60" s="116"/>
    </row>
    <row r="61" spans="1:14" s="110" customFormat="1" ht="12">
      <c r="A61" s="125">
        <v>7374000</v>
      </c>
      <c r="B61" s="3496">
        <v>737400</v>
      </c>
      <c r="C61" s="126" t="s">
        <v>178</v>
      </c>
      <c r="D61" s="124" t="s">
        <v>177</v>
      </c>
      <c r="E61" s="124">
        <v>15000</v>
      </c>
      <c r="F61" s="124">
        <v>22250</v>
      </c>
      <c r="G61" s="124">
        <v>40149</v>
      </c>
      <c r="H61" s="124">
        <v>50089.16</v>
      </c>
      <c r="I61" s="124">
        <v>74089.149999999994</v>
      </c>
      <c r="J61" s="124">
        <v>66450</v>
      </c>
      <c r="K61" s="124">
        <v>42500</v>
      </c>
      <c r="L61" s="124">
        <v>61725.01</v>
      </c>
      <c r="M61" s="100">
        <v>63175</v>
      </c>
      <c r="N61" s="116"/>
    </row>
    <row r="62" spans="1:14" s="110" customFormat="1" ht="24">
      <c r="A62" s="125">
        <v>7375000</v>
      </c>
      <c r="B62" s="3496">
        <v>737600</v>
      </c>
      <c r="C62" s="127" t="s">
        <v>179</v>
      </c>
      <c r="D62" s="124"/>
      <c r="E62" s="124"/>
      <c r="F62" s="124"/>
      <c r="G62" s="124"/>
      <c r="H62" s="124"/>
      <c r="I62" s="124"/>
      <c r="J62" s="124">
        <v>25000</v>
      </c>
      <c r="K62" s="124">
        <v>26000</v>
      </c>
      <c r="L62" s="124">
        <v>31500</v>
      </c>
      <c r="M62" s="100">
        <v>27500</v>
      </c>
      <c r="N62" s="116"/>
    </row>
    <row r="63" spans="1:14" s="110" customFormat="1" ht="24">
      <c r="A63" s="128">
        <v>7317000</v>
      </c>
      <c r="B63" s="3494"/>
      <c r="C63" s="129" t="s">
        <v>180</v>
      </c>
      <c r="D63" s="130">
        <v>5602.68</v>
      </c>
      <c r="E63" s="130">
        <v>6900</v>
      </c>
      <c r="F63" s="130">
        <v>6700</v>
      </c>
      <c r="G63" s="130">
        <v>5700</v>
      </c>
      <c r="H63" s="130">
        <v>2900</v>
      </c>
      <c r="I63" s="130">
        <v>4300</v>
      </c>
      <c r="J63" s="130">
        <v>5525</v>
      </c>
      <c r="K63" s="130">
        <v>2375</v>
      </c>
      <c r="L63" s="130">
        <v>0</v>
      </c>
      <c r="M63" s="130">
        <v>0</v>
      </c>
      <c r="N63" s="116"/>
    </row>
    <row r="64" spans="1:14" s="110" customFormat="1" ht="12">
      <c r="A64" s="125">
        <v>7315000</v>
      </c>
      <c r="B64" s="3496">
        <v>731500</v>
      </c>
      <c r="C64" s="126" t="s">
        <v>181</v>
      </c>
      <c r="D64" s="124">
        <v>91136.12</v>
      </c>
      <c r="E64" s="124">
        <v>108905.55</v>
      </c>
      <c r="F64" s="124">
        <v>100235.32</v>
      </c>
      <c r="G64" s="124">
        <v>98708.33</v>
      </c>
      <c r="H64" s="124">
        <v>96536.47</v>
      </c>
      <c r="I64" s="124">
        <v>109155.39</v>
      </c>
      <c r="J64" s="124">
        <v>108793</v>
      </c>
      <c r="K64" s="124">
        <v>99914.98</v>
      </c>
      <c r="L64" s="124">
        <v>76889.100000000006</v>
      </c>
      <c r="M64" s="100">
        <v>57696.82</v>
      </c>
      <c r="N64" s="116"/>
    </row>
    <row r="65" spans="1:16" s="110" customFormat="1" ht="12">
      <c r="A65" s="125">
        <v>7316000</v>
      </c>
      <c r="B65" s="3496">
        <v>731600</v>
      </c>
      <c r="C65" s="126" t="s">
        <v>182</v>
      </c>
      <c r="D65" s="124" t="s">
        <v>177</v>
      </c>
      <c r="E65" s="124" t="s">
        <v>177</v>
      </c>
      <c r="F65" s="124" t="s">
        <v>177</v>
      </c>
      <c r="G65" s="124" t="s">
        <v>177</v>
      </c>
      <c r="H65" s="124">
        <v>16585.78</v>
      </c>
      <c r="I65" s="124">
        <v>19448.310000000001</v>
      </c>
      <c r="J65" s="124">
        <v>22126</v>
      </c>
      <c r="K65" s="124">
        <v>16516</v>
      </c>
      <c r="L65" s="124">
        <v>18704.64</v>
      </c>
      <c r="M65" s="100">
        <v>17751</v>
      </c>
      <c r="N65" s="116"/>
    </row>
    <row r="66" spans="1:16" s="110" customFormat="1" ht="12">
      <c r="A66" s="125">
        <v>7373000</v>
      </c>
      <c r="B66" s="3496">
        <v>737300</v>
      </c>
      <c r="C66" s="126" t="s">
        <v>183</v>
      </c>
      <c r="D66" s="124" t="s">
        <v>177</v>
      </c>
      <c r="E66" s="124" t="s">
        <v>177</v>
      </c>
      <c r="F66" s="124" t="s">
        <v>177</v>
      </c>
      <c r="G66" s="124" t="s">
        <v>177</v>
      </c>
      <c r="H66" s="124">
        <v>10000</v>
      </c>
      <c r="I66" s="124">
        <v>10000</v>
      </c>
      <c r="J66" s="124">
        <v>0</v>
      </c>
      <c r="K66" s="124"/>
      <c r="L66" s="124">
        <v>10000</v>
      </c>
      <c r="M66" s="100">
        <v>0</v>
      </c>
      <c r="N66" s="116"/>
    </row>
    <row r="67" spans="1:16" s="110" customFormat="1" ht="12">
      <c r="A67" s="125">
        <v>7332600</v>
      </c>
      <c r="B67" s="3496">
        <v>733260</v>
      </c>
      <c r="C67" s="126" t="s">
        <v>184</v>
      </c>
      <c r="D67" s="124">
        <v>26409.37</v>
      </c>
      <c r="E67" s="124">
        <v>5740.28</v>
      </c>
      <c r="F67" s="124">
        <v>4527.5</v>
      </c>
      <c r="G67" s="124">
        <v>4893</v>
      </c>
      <c r="H67" s="124">
        <v>4393.9799999999996</v>
      </c>
      <c r="I67" s="124">
        <v>5153.9799999999996</v>
      </c>
      <c r="J67" s="124">
        <v>4246</v>
      </c>
      <c r="K67" s="124">
        <v>4616</v>
      </c>
      <c r="L67" s="124">
        <v>20439.5</v>
      </c>
      <c r="M67" s="100">
        <v>4635</v>
      </c>
      <c r="N67" s="116"/>
    </row>
    <row r="68" spans="1:16" s="110" customFormat="1" ht="24">
      <c r="A68" s="131">
        <v>7332300</v>
      </c>
      <c r="B68" s="3495">
        <v>733230</v>
      </c>
      <c r="C68" s="129" t="s">
        <v>185</v>
      </c>
      <c r="D68" s="132">
        <v>172276.1</v>
      </c>
      <c r="E68" s="132">
        <v>198030.3</v>
      </c>
      <c r="F68" s="132">
        <v>188274.2</v>
      </c>
      <c r="G68" s="132">
        <v>194822</v>
      </c>
      <c r="H68" s="132">
        <v>200108.19</v>
      </c>
      <c r="I68" s="132">
        <v>222449.44</v>
      </c>
      <c r="J68" s="132">
        <v>230697</v>
      </c>
      <c r="K68" s="132">
        <v>180941</v>
      </c>
      <c r="L68" s="132">
        <v>181684.31</v>
      </c>
      <c r="M68" s="132">
        <v>219564.01</v>
      </c>
      <c r="N68" s="116"/>
    </row>
    <row r="69" spans="1:16" s="110" customFormat="1" ht="12">
      <c r="A69" s="125">
        <v>7342200</v>
      </c>
      <c r="B69" s="3496">
        <v>734240</v>
      </c>
      <c r="C69" s="126" t="s">
        <v>186</v>
      </c>
      <c r="D69" s="124">
        <v>472.5</v>
      </c>
      <c r="E69" s="124">
        <v>390</v>
      </c>
      <c r="F69" s="124" t="s">
        <v>177</v>
      </c>
      <c r="G69" s="124" t="s">
        <v>177</v>
      </c>
      <c r="H69" s="124" t="s">
        <v>177</v>
      </c>
      <c r="I69" s="124" t="s">
        <v>177</v>
      </c>
      <c r="J69" s="124" t="s">
        <v>177</v>
      </c>
      <c r="K69" s="124"/>
      <c r="L69" s="124" t="s">
        <v>177</v>
      </c>
      <c r="M69" s="100">
        <v>0</v>
      </c>
      <c r="N69" s="116"/>
    </row>
    <row r="70" spans="1:16" s="110" customFormat="1" ht="12">
      <c r="A70" s="125">
        <v>7360000</v>
      </c>
      <c r="B70" s="3496">
        <v>736000</v>
      </c>
      <c r="C70" s="126" t="s">
        <v>138</v>
      </c>
      <c r="D70" s="124">
        <v>59030.1</v>
      </c>
      <c r="E70" s="124">
        <v>56797.49</v>
      </c>
      <c r="F70" s="124">
        <v>50557</v>
      </c>
      <c r="G70" s="124">
        <v>49464.12</v>
      </c>
      <c r="H70" s="124">
        <v>51105.1</v>
      </c>
      <c r="I70" s="124">
        <v>52275.1</v>
      </c>
      <c r="J70" s="124">
        <v>51924</v>
      </c>
      <c r="K70" s="124">
        <v>48524.4</v>
      </c>
      <c r="L70" s="124">
        <v>49224.85</v>
      </c>
      <c r="M70" s="100">
        <v>48002.55</v>
      </c>
      <c r="N70" s="116"/>
    </row>
    <row r="71" spans="1:16" s="110" customFormat="1" ht="12">
      <c r="A71" s="125">
        <v>7369999</v>
      </c>
      <c r="B71" s="3496">
        <v>225000</v>
      </c>
      <c r="C71" s="126" t="s">
        <v>187</v>
      </c>
      <c r="D71" s="124">
        <v>7681.07</v>
      </c>
      <c r="E71" s="124">
        <v>15019.22</v>
      </c>
      <c r="F71" s="124">
        <v>16572.8</v>
      </c>
      <c r="G71" s="124">
        <v>22983.3</v>
      </c>
      <c r="H71" s="124">
        <v>14723.7</v>
      </c>
      <c r="I71" s="124">
        <v>15160.2</v>
      </c>
      <c r="J71" s="124">
        <v>34617</v>
      </c>
      <c r="K71" s="124">
        <v>32861.699999999997</v>
      </c>
      <c r="L71" s="124">
        <v>33100.01</v>
      </c>
      <c r="M71" s="100">
        <v>43670.09</v>
      </c>
      <c r="N71" s="116"/>
    </row>
    <row r="72" spans="1:16" s="110" customFormat="1" ht="12">
      <c r="A72" s="125">
        <v>7360900</v>
      </c>
      <c r="B72" s="3496">
        <v>736090</v>
      </c>
      <c r="C72" s="126" t="s">
        <v>188</v>
      </c>
      <c r="D72" s="124"/>
      <c r="E72" s="124"/>
      <c r="F72" s="124"/>
      <c r="G72" s="124"/>
      <c r="H72" s="124"/>
      <c r="I72" s="124"/>
      <c r="J72" s="124"/>
      <c r="K72" s="124">
        <v>120000</v>
      </c>
      <c r="L72" s="124">
        <v>60000</v>
      </c>
      <c r="M72" s="124">
        <v>55000</v>
      </c>
      <c r="N72" s="116"/>
    </row>
    <row r="73" spans="1:16" s="110" customFormat="1" ht="12">
      <c r="A73" s="125">
        <v>7300000</v>
      </c>
      <c r="B73" s="3496">
        <v>730000</v>
      </c>
      <c r="C73" s="126" t="s">
        <v>189</v>
      </c>
      <c r="D73" s="124">
        <v>5298313.2699999996</v>
      </c>
      <c r="E73" s="124">
        <v>5347095.82</v>
      </c>
      <c r="F73" s="124">
        <v>5859369.0599999996</v>
      </c>
      <c r="G73" s="124">
        <v>6092015.7599999998</v>
      </c>
      <c r="H73" s="124">
        <v>6450908</v>
      </c>
      <c r="I73" s="124">
        <v>6493132.1100000003</v>
      </c>
      <c r="J73" s="124">
        <v>5923216</v>
      </c>
      <c r="K73" s="124">
        <v>6456695</v>
      </c>
      <c r="L73" s="124">
        <v>6494333.25</v>
      </c>
      <c r="M73" s="100">
        <v>6714851.9900000002</v>
      </c>
      <c r="N73" s="116"/>
    </row>
    <row r="74" spans="1:16" s="110" customFormat="1" ht="12">
      <c r="A74" s="125">
        <v>7301000</v>
      </c>
      <c r="B74" s="3496">
        <v>730100</v>
      </c>
      <c r="C74" s="126" t="s">
        <v>190</v>
      </c>
      <c r="D74" s="124">
        <v>2692881.7</v>
      </c>
      <c r="E74" s="124">
        <v>2780229.89</v>
      </c>
      <c r="F74" s="124">
        <v>2427533.06</v>
      </c>
      <c r="G74" s="124">
        <v>2678341.2999999998</v>
      </c>
      <c r="H74" s="124">
        <v>2487675</v>
      </c>
      <c r="I74" s="124">
        <v>2837247.31</v>
      </c>
      <c r="J74" s="124">
        <v>3002302</v>
      </c>
      <c r="K74" s="124">
        <v>2921710</v>
      </c>
      <c r="L74" s="124">
        <v>2807326.49</v>
      </c>
      <c r="M74" s="100">
        <v>2968651.36</v>
      </c>
      <c r="N74" s="116"/>
    </row>
    <row r="75" spans="1:16" s="110" customFormat="1" ht="24">
      <c r="A75" s="131">
        <v>7302000</v>
      </c>
      <c r="B75" s="3495">
        <v>730200</v>
      </c>
      <c r="C75" s="129" t="s">
        <v>191</v>
      </c>
      <c r="D75" s="132">
        <v>165181.07</v>
      </c>
      <c r="E75" s="132">
        <v>157508.70000000001</v>
      </c>
      <c r="F75" s="132">
        <v>176682.48</v>
      </c>
      <c r="G75" s="132">
        <v>180840.49</v>
      </c>
      <c r="H75" s="132">
        <v>140871.43</v>
      </c>
      <c r="I75" s="132">
        <v>193244.56</v>
      </c>
      <c r="J75" s="132">
        <v>198155</v>
      </c>
      <c r="K75" s="132">
        <v>203562</v>
      </c>
      <c r="L75" s="124">
        <v>208245.49</v>
      </c>
      <c r="M75" s="100">
        <v>212130.42</v>
      </c>
      <c r="N75" s="116"/>
      <c r="P75" s="39"/>
    </row>
    <row r="76" spans="1:16" s="110" customFormat="1" ht="24.75" thickBot="1">
      <c r="A76" s="133">
        <v>7309999</v>
      </c>
      <c r="B76" s="3501">
        <v>737600</v>
      </c>
      <c r="C76" s="134" t="s">
        <v>192</v>
      </c>
      <c r="D76" s="132">
        <v>1115</v>
      </c>
      <c r="E76" s="132">
        <v>0</v>
      </c>
      <c r="F76" s="132">
        <v>40923.82</v>
      </c>
      <c r="G76" s="132">
        <v>613732.29</v>
      </c>
      <c r="H76" s="132" t="s">
        <v>177</v>
      </c>
      <c r="I76" s="132">
        <v>0</v>
      </c>
      <c r="J76" s="132">
        <v>0</v>
      </c>
      <c r="K76" s="132">
        <v>-568464</v>
      </c>
      <c r="L76" s="130" t="s">
        <v>177</v>
      </c>
      <c r="M76" s="130" t="s">
        <v>177</v>
      </c>
      <c r="N76" s="116"/>
    </row>
    <row r="77" spans="1:16" s="110" customFormat="1" ht="15" customHeight="1" thickBot="1">
      <c r="A77" s="13"/>
      <c r="B77" s="25"/>
      <c r="C77" s="30" t="s">
        <v>208</v>
      </c>
      <c r="D77" s="21"/>
      <c r="E77" s="21"/>
      <c r="F77" s="21"/>
      <c r="G77" s="21"/>
      <c r="H77" s="21"/>
      <c r="I77" s="21"/>
      <c r="J77" s="21"/>
      <c r="K77" s="21"/>
      <c r="L77" s="25"/>
      <c r="M77" s="3504"/>
      <c r="N77" s="22"/>
    </row>
    <row r="78" spans="1:16" s="110" customFormat="1" ht="12">
      <c r="A78" s="122">
        <v>7319999</v>
      </c>
      <c r="B78" s="3500">
        <v>731900</v>
      </c>
      <c r="C78" s="123" t="s">
        <v>7173</v>
      </c>
      <c r="D78" s="135">
        <v>65712.41</v>
      </c>
      <c r="E78" s="136">
        <v>68248.639999999999</v>
      </c>
      <c r="F78" s="136">
        <v>67002.17</v>
      </c>
      <c r="G78" s="136">
        <v>73020.37</v>
      </c>
      <c r="H78" s="136">
        <v>110445.1</v>
      </c>
      <c r="I78" s="136" t="s">
        <v>177</v>
      </c>
      <c r="J78" s="136" t="s">
        <v>177</v>
      </c>
      <c r="K78" s="136" t="s">
        <v>177</v>
      </c>
      <c r="L78" s="136" t="s">
        <v>177</v>
      </c>
      <c r="M78" s="100">
        <v>433.92</v>
      </c>
      <c r="N78" s="116"/>
    </row>
    <row r="79" spans="1:16" s="110" customFormat="1" ht="12">
      <c r="A79" s="125">
        <v>7379999</v>
      </c>
      <c r="B79" s="3496"/>
      <c r="C79" s="126" t="s">
        <v>193</v>
      </c>
      <c r="D79" s="137">
        <v>26778.04</v>
      </c>
      <c r="E79" s="124">
        <v>25678.9</v>
      </c>
      <c r="F79" s="124">
        <v>37602.639999999999</v>
      </c>
      <c r="G79" s="124">
        <v>44256.45</v>
      </c>
      <c r="H79" s="124" t="s">
        <v>177</v>
      </c>
      <c r="I79" s="124" t="s">
        <v>177</v>
      </c>
      <c r="J79" s="124" t="s">
        <v>177</v>
      </c>
      <c r="K79" s="124" t="s">
        <v>177</v>
      </c>
      <c r="L79" s="124" t="s">
        <v>177</v>
      </c>
      <c r="M79" s="124" t="s">
        <v>177</v>
      </c>
      <c r="N79" s="116"/>
    </row>
    <row r="80" spans="1:16" s="110" customFormat="1" ht="12">
      <c r="A80" s="125" t="s">
        <v>7174</v>
      </c>
      <c r="B80" s="3496" t="s">
        <v>7177</v>
      </c>
      <c r="C80" s="126" t="s">
        <v>194</v>
      </c>
      <c r="D80" s="137">
        <v>154950</v>
      </c>
      <c r="E80" s="124">
        <v>151866</v>
      </c>
      <c r="F80" s="124">
        <v>157523.70000000001</v>
      </c>
      <c r="G80" s="124">
        <v>164910.70000000001</v>
      </c>
      <c r="H80" s="124">
        <v>141488.1</v>
      </c>
      <c r="I80" s="124">
        <v>123792</v>
      </c>
      <c r="J80" s="124">
        <v>64841</v>
      </c>
      <c r="K80" s="124">
        <v>101362.5</v>
      </c>
      <c r="L80" s="124">
        <v>126045</v>
      </c>
      <c r="M80" s="100">
        <v>105277.5</v>
      </c>
      <c r="N80" s="116"/>
    </row>
    <row r="81" spans="1:14" s="110" customFormat="1" ht="12">
      <c r="A81" s="125" t="s">
        <v>3328</v>
      </c>
      <c r="B81" s="3496" t="s">
        <v>7178</v>
      </c>
      <c r="C81" s="126" t="s">
        <v>195</v>
      </c>
      <c r="D81" s="137">
        <v>16741.419999999998</v>
      </c>
      <c r="E81" s="124">
        <v>20330.310000000001</v>
      </c>
      <c r="F81" s="124">
        <v>20330.310000000001</v>
      </c>
      <c r="G81" s="124">
        <v>20330.310000000001</v>
      </c>
      <c r="H81" s="124">
        <v>18580.39</v>
      </c>
      <c r="I81" s="124">
        <v>18580</v>
      </c>
      <c r="J81" s="124">
        <v>18580</v>
      </c>
      <c r="K81" s="124">
        <v>16590.79</v>
      </c>
      <c r="L81" s="124">
        <v>16590.79</v>
      </c>
      <c r="M81" s="100">
        <v>16590.79</v>
      </c>
      <c r="N81" s="116"/>
    </row>
    <row r="82" spans="1:14" s="110" customFormat="1" ht="12">
      <c r="A82" s="125" t="s">
        <v>3330</v>
      </c>
      <c r="B82" s="3496" t="s">
        <v>7181</v>
      </c>
      <c r="C82" s="126" t="s">
        <v>196</v>
      </c>
      <c r="D82" s="137">
        <v>35980.04</v>
      </c>
      <c r="E82" s="124">
        <v>53970.06</v>
      </c>
      <c r="F82" s="124">
        <v>53970.06</v>
      </c>
      <c r="G82" s="124">
        <v>53970.06</v>
      </c>
      <c r="H82" s="124">
        <v>42431.38</v>
      </c>
      <c r="I82" s="124">
        <v>42431</v>
      </c>
      <c r="J82" s="124">
        <v>42431</v>
      </c>
      <c r="K82" s="124">
        <v>34085.01</v>
      </c>
      <c r="L82" s="124">
        <v>34085</v>
      </c>
      <c r="M82" s="100">
        <v>34085.01</v>
      </c>
      <c r="N82" s="116"/>
    </row>
    <row r="83" spans="1:14" s="110" customFormat="1" ht="12">
      <c r="A83" s="125" t="s">
        <v>7176</v>
      </c>
      <c r="B83" s="3496" t="s">
        <v>7182</v>
      </c>
      <c r="C83" s="126" t="s">
        <v>197</v>
      </c>
      <c r="D83" s="137">
        <v>24128.5</v>
      </c>
      <c r="E83" s="124">
        <v>25440.5</v>
      </c>
      <c r="F83" s="124">
        <v>23425.5</v>
      </c>
      <c r="G83" s="124">
        <v>22849.1</v>
      </c>
      <c r="H83" s="124">
        <v>21013.5</v>
      </c>
      <c r="I83" s="124">
        <v>21387</v>
      </c>
      <c r="J83" s="124">
        <v>19708</v>
      </c>
      <c r="K83" s="124">
        <v>12831.45</v>
      </c>
      <c r="L83" s="124">
        <v>12973.1</v>
      </c>
      <c r="M83" s="3505">
        <v>12975.55</v>
      </c>
      <c r="N83" s="116"/>
    </row>
    <row r="84" spans="1:14" s="110" customFormat="1" ht="12">
      <c r="A84" s="125">
        <v>7040005</v>
      </c>
      <c r="B84" s="3496">
        <v>700170</v>
      </c>
      <c r="C84" s="126" t="s">
        <v>198</v>
      </c>
      <c r="D84" s="137">
        <v>69005.23</v>
      </c>
      <c r="E84" s="124">
        <v>76852.73</v>
      </c>
      <c r="F84" s="124">
        <v>76548.89</v>
      </c>
      <c r="G84" s="124">
        <v>84818.35</v>
      </c>
      <c r="H84" s="124">
        <v>87781.2</v>
      </c>
      <c r="I84" s="124">
        <v>88543</v>
      </c>
      <c r="J84" s="124">
        <v>90475</v>
      </c>
      <c r="K84" s="124">
        <v>91632.22</v>
      </c>
      <c r="L84" s="124">
        <v>97002.84</v>
      </c>
      <c r="M84" s="3505">
        <v>100906.54</v>
      </c>
      <c r="N84" s="116"/>
    </row>
    <row r="85" spans="1:14" s="110" customFormat="1" ht="12">
      <c r="A85" s="125" t="s">
        <v>7175</v>
      </c>
      <c r="B85" s="3496" t="s">
        <v>7179</v>
      </c>
      <c r="C85" s="126" t="s">
        <v>199</v>
      </c>
      <c r="D85" s="137">
        <v>9263.2800000000007</v>
      </c>
      <c r="E85" s="124">
        <v>25198.55</v>
      </c>
      <c r="F85" s="124">
        <v>38409.25</v>
      </c>
      <c r="G85" s="124">
        <v>32712.6</v>
      </c>
      <c r="H85" s="124">
        <v>50541.59</v>
      </c>
      <c r="I85" s="124">
        <v>83355</v>
      </c>
      <c r="J85" s="124">
        <v>48367.18</v>
      </c>
      <c r="K85" s="124">
        <v>51706.86</v>
      </c>
      <c r="L85" s="124">
        <v>26822.34</v>
      </c>
      <c r="M85" s="3505">
        <v>65000</v>
      </c>
      <c r="N85" s="116"/>
    </row>
    <row r="86" spans="1:14" s="110" customFormat="1" ht="12">
      <c r="A86" s="125">
        <v>7020000</v>
      </c>
      <c r="B86" s="124" t="s">
        <v>177</v>
      </c>
      <c r="C86" s="126" t="s">
        <v>200</v>
      </c>
      <c r="D86" s="137">
        <v>627617.68000000005</v>
      </c>
      <c r="E86" s="124">
        <v>558471.44999999995</v>
      </c>
      <c r="F86" s="124">
        <v>644165.47</v>
      </c>
      <c r="G86" s="124">
        <v>642677.18000000005</v>
      </c>
      <c r="H86" s="124">
        <v>680597.78</v>
      </c>
      <c r="I86" s="124">
        <v>659589</v>
      </c>
      <c r="J86" s="124">
        <v>865389.81</v>
      </c>
      <c r="K86" s="124" t="s">
        <v>177</v>
      </c>
      <c r="L86" s="124" t="s">
        <v>177</v>
      </c>
      <c r="M86" s="124" t="s">
        <v>177</v>
      </c>
      <c r="N86" s="116"/>
    </row>
    <row r="87" spans="1:14" s="110" customFormat="1" ht="12">
      <c r="A87" s="125">
        <v>7060999</v>
      </c>
      <c r="B87" s="3496">
        <v>703200</v>
      </c>
      <c r="C87" s="126" t="s">
        <v>201</v>
      </c>
      <c r="D87" s="137">
        <v>22089.25</v>
      </c>
      <c r="E87" s="124">
        <v>22000</v>
      </c>
      <c r="F87" s="124">
        <v>23000</v>
      </c>
      <c r="G87" s="124">
        <v>32000</v>
      </c>
      <c r="H87" s="124">
        <v>34710</v>
      </c>
      <c r="I87" s="124">
        <v>3245.9</v>
      </c>
      <c r="J87" s="124">
        <v>13047.4</v>
      </c>
      <c r="K87" s="124" t="s">
        <v>177</v>
      </c>
      <c r="L87" s="124" t="s">
        <v>177</v>
      </c>
      <c r="M87" s="124" t="s">
        <v>177</v>
      </c>
      <c r="N87" s="116"/>
    </row>
    <row r="88" spans="1:14" s="110" customFormat="1" ht="12">
      <c r="A88" s="125">
        <v>7060001</v>
      </c>
      <c r="B88" s="3496">
        <v>703200</v>
      </c>
      <c r="C88" s="126" t="s">
        <v>202</v>
      </c>
      <c r="D88" s="137">
        <v>14014.4</v>
      </c>
      <c r="E88" s="124">
        <v>20231.8</v>
      </c>
      <c r="F88" s="124">
        <v>18786.099999999999</v>
      </c>
      <c r="G88" s="124">
        <v>13920.2</v>
      </c>
      <c r="H88" s="124">
        <v>17064</v>
      </c>
      <c r="I88" s="124">
        <v>31065</v>
      </c>
      <c r="J88" s="124">
        <v>12139</v>
      </c>
      <c r="K88" s="124">
        <v>11719.2</v>
      </c>
      <c r="L88" s="124">
        <v>11788.2</v>
      </c>
      <c r="M88" s="3505">
        <v>15384.4</v>
      </c>
      <c r="N88" s="116"/>
    </row>
    <row r="89" spans="1:14" s="110" customFormat="1" ht="12">
      <c r="A89" s="125">
        <v>7020005</v>
      </c>
      <c r="B89" s="3496">
        <v>700090</v>
      </c>
      <c r="C89" s="126" t="s">
        <v>203</v>
      </c>
      <c r="D89" s="137">
        <v>20174.09</v>
      </c>
      <c r="E89" s="124">
        <v>29860</v>
      </c>
      <c r="F89" s="124">
        <v>26870</v>
      </c>
      <c r="G89" s="124">
        <v>22052</v>
      </c>
      <c r="H89" s="124">
        <v>31945</v>
      </c>
      <c r="I89" s="124">
        <v>25615</v>
      </c>
      <c r="J89" s="124">
        <v>20820</v>
      </c>
      <c r="K89" s="124">
        <v>25720</v>
      </c>
      <c r="L89" s="124">
        <v>29075</v>
      </c>
      <c r="M89" s="3505">
        <v>30175</v>
      </c>
      <c r="N89" s="116"/>
    </row>
    <row r="90" spans="1:14" s="110" customFormat="1" ht="12.75" thickBot="1">
      <c r="A90" s="138" t="s">
        <v>3353</v>
      </c>
      <c r="B90" s="3502" t="s">
        <v>7180</v>
      </c>
      <c r="C90" s="139" t="s">
        <v>204</v>
      </c>
      <c r="D90" s="140">
        <v>5848</v>
      </c>
      <c r="E90" s="141">
        <v>6855.05</v>
      </c>
      <c r="F90" s="141">
        <v>4948.6499999999996</v>
      </c>
      <c r="G90" s="141">
        <v>4377.5</v>
      </c>
      <c r="H90" s="141">
        <v>10752.85</v>
      </c>
      <c r="I90" s="141">
        <v>20367.28</v>
      </c>
      <c r="J90" s="141">
        <v>19708.41</v>
      </c>
      <c r="K90" s="141">
        <v>17366.099999999999</v>
      </c>
      <c r="L90" s="141">
        <v>23105.8</v>
      </c>
      <c r="M90" s="3506">
        <v>21388.32</v>
      </c>
      <c r="N90" s="120"/>
    </row>
  </sheetData>
  <mergeCells count="4">
    <mergeCell ref="A1:J1"/>
    <mergeCell ref="A3:J3"/>
    <mergeCell ref="A37:M37"/>
    <mergeCell ref="A46:M46"/>
  </mergeCells>
  <hyperlinks>
    <hyperlink ref="A1:J1" location="FINANCIËN!A1" display="BELASTINGEN" xr:uid="{00000000-0004-0000-2800-000000000000}"/>
  </hyperlinks>
  <pageMargins left="0.7" right="0.7" top="0.75" bottom="0.75" header="0.3" footer="0.3"/>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E0C816"/>
  </sheetPr>
  <dimension ref="A1:G512"/>
  <sheetViews>
    <sheetView workbookViewId="0">
      <pane ySplit="3" topLeftCell="A268" activePane="bottomLeft" state="frozen"/>
      <selection pane="bottomLeft" sqref="A1:E1"/>
    </sheetView>
  </sheetViews>
  <sheetFormatPr defaultColWidth="9.140625" defaultRowHeight="15"/>
  <cols>
    <col min="1" max="1" width="80.85546875" style="143" customWidth="1"/>
    <col min="2" max="2" width="11.28515625" style="143" bestFit="1" customWidth="1"/>
    <col min="3" max="4" width="9.140625" style="143"/>
    <col min="5" max="5" width="14.42578125" style="143" bestFit="1" customWidth="1"/>
    <col min="6" max="6" width="13" style="143" customWidth="1"/>
    <col min="7" max="7" width="45" style="143" customWidth="1"/>
    <col min="8" max="16384" width="9.140625" style="143"/>
  </cols>
  <sheetData>
    <row r="1" spans="1:7" ht="19.5" customHeight="1">
      <c r="A1" s="4829" t="s">
        <v>210</v>
      </c>
      <c r="B1" s="4830"/>
      <c r="C1" s="4830"/>
      <c r="D1" s="4830"/>
      <c r="E1" s="4831"/>
      <c r="F1" s="142"/>
      <c r="G1" s="142"/>
    </row>
    <row r="2" spans="1:7" ht="21.75" thickBot="1">
      <c r="A2" s="144"/>
      <c r="B2" s="142"/>
      <c r="C2" s="142"/>
      <c r="D2" s="142"/>
      <c r="E2" s="142"/>
      <c r="F2" s="142"/>
      <c r="G2" s="142"/>
    </row>
    <row r="3" spans="1:7" ht="27" customHeight="1" thickBot="1">
      <c r="A3" s="145" t="s">
        <v>211</v>
      </c>
      <c r="B3" s="146" t="s">
        <v>212</v>
      </c>
      <c r="C3" s="147" t="s">
        <v>213</v>
      </c>
      <c r="D3" s="147" t="s">
        <v>214</v>
      </c>
      <c r="E3" s="147" t="s">
        <v>215</v>
      </c>
      <c r="F3" s="148" t="s">
        <v>216</v>
      </c>
      <c r="G3" s="149" t="s">
        <v>217</v>
      </c>
    </row>
    <row r="4" spans="1:7">
      <c r="A4" s="150"/>
      <c r="B4" s="151"/>
      <c r="C4" s="152"/>
      <c r="D4" s="152"/>
      <c r="E4" s="152"/>
      <c r="F4" s="152"/>
      <c r="G4" s="153"/>
    </row>
    <row r="5" spans="1:7">
      <c r="A5" s="3874" t="s">
        <v>218</v>
      </c>
      <c r="B5" s="155">
        <v>43801</v>
      </c>
      <c r="C5" s="156">
        <v>2020</v>
      </c>
      <c r="D5" s="157">
        <v>1209</v>
      </c>
      <c r="E5" s="156">
        <v>2021</v>
      </c>
      <c r="F5" s="156"/>
      <c r="G5" s="158"/>
    </row>
    <row r="6" spans="1:7">
      <c r="A6" s="159"/>
      <c r="B6" s="160"/>
      <c r="C6" s="161"/>
      <c r="D6" s="161"/>
      <c r="E6" s="161"/>
      <c r="F6" s="161"/>
      <c r="G6" s="162"/>
    </row>
    <row r="7" spans="1:7">
      <c r="A7" s="154" t="s">
        <v>219</v>
      </c>
      <c r="B7" s="155">
        <v>43801</v>
      </c>
      <c r="C7" s="156" t="s">
        <v>220</v>
      </c>
      <c r="D7" s="156"/>
      <c r="E7" s="156">
        <v>2026</v>
      </c>
      <c r="F7" s="156"/>
      <c r="G7" s="4234" t="s">
        <v>221</v>
      </c>
    </row>
    <row r="8" spans="1:7">
      <c r="A8" s="164" t="s">
        <v>222</v>
      </c>
      <c r="B8" s="165"/>
      <c r="C8" s="161"/>
      <c r="D8" s="161"/>
      <c r="E8" s="161"/>
      <c r="F8" s="161"/>
      <c r="G8" s="162"/>
    </row>
    <row r="9" spans="1:7">
      <c r="A9" s="166" t="s">
        <v>223</v>
      </c>
      <c r="B9" s="165"/>
      <c r="C9" s="161"/>
      <c r="D9" s="167">
        <v>50</v>
      </c>
      <c r="E9" s="161"/>
      <c r="F9" s="3556">
        <v>57</v>
      </c>
      <c r="G9" s="168" t="s">
        <v>224</v>
      </c>
    </row>
    <row r="10" spans="1:7">
      <c r="A10" s="166" t="s">
        <v>225</v>
      </c>
      <c r="B10" s="165"/>
      <c r="C10" s="161"/>
      <c r="D10" s="167">
        <v>40</v>
      </c>
      <c r="E10" s="161"/>
      <c r="F10" s="167">
        <v>46</v>
      </c>
      <c r="G10" s="162"/>
    </row>
    <row r="11" spans="1:7">
      <c r="A11" s="166" t="s">
        <v>226</v>
      </c>
      <c r="B11" s="165"/>
      <c r="C11" s="161"/>
      <c r="D11" s="167">
        <v>40</v>
      </c>
      <c r="E11" s="161"/>
      <c r="F11" s="167">
        <v>46</v>
      </c>
      <c r="G11" s="162"/>
    </row>
    <row r="12" spans="1:7">
      <c r="A12" s="166" t="s">
        <v>227</v>
      </c>
      <c r="B12" s="165"/>
      <c r="C12" s="161"/>
      <c r="D12" s="167">
        <v>30</v>
      </c>
      <c r="E12" s="161"/>
      <c r="F12" s="167">
        <v>34</v>
      </c>
      <c r="G12" s="162"/>
    </row>
    <row r="13" spans="1:7">
      <c r="A13" s="166" t="s">
        <v>228</v>
      </c>
      <c r="B13" s="165"/>
      <c r="C13" s="161"/>
      <c r="D13" s="167">
        <v>40</v>
      </c>
      <c r="E13" s="161"/>
      <c r="F13" s="167">
        <v>46</v>
      </c>
      <c r="G13" s="162"/>
    </row>
    <row r="14" spans="1:7">
      <c r="A14" s="164" t="s">
        <v>229</v>
      </c>
      <c r="B14" s="165"/>
      <c r="C14" s="161"/>
      <c r="D14" s="161"/>
      <c r="E14" s="161"/>
      <c r="F14" s="161"/>
      <c r="G14" s="168" t="s">
        <v>230</v>
      </c>
    </row>
    <row r="15" spans="1:7">
      <c r="A15" s="166" t="s">
        <v>231</v>
      </c>
      <c r="B15" s="165"/>
      <c r="C15" s="161"/>
      <c r="D15" s="167">
        <v>150</v>
      </c>
      <c r="E15" s="161"/>
      <c r="F15" s="167">
        <v>173</v>
      </c>
      <c r="G15" s="162"/>
    </row>
    <row r="16" spans="1:7">
      <c r="A16" s="166" t="s">
        <v>232</v>
      </c>
      <c r="B16" s="165"/>
      <c r="C16" s="161"/>
      <c r="D16" s="167">
        <v>0.4</v>
      </c>
      <c r="E16" s="161"/>
      <c r="F16" s="161">
        <v>0.46</v>
      </c>
      <c r="G16" s="162"/>
    </row>
    <row r="17" spans="1:7">
      <c r="A17" s="166" t="s">
        <v>233</v>
      </c>
      <c r="B17" s="165"/>
      <c r="C17" s="161"/>
      <c r="D17" s="167">
        <v>0.3</v>
      </c>
      <c r="E17" s="161"/>
      <c r="F17" s="161">
        <v>0.34</v>
      </c>
      <c r="G17" s="162"/>
    </row>
    <row r="18" spans="1:7">
      <c r="A18" s="166" t="s">
        <v>234</v>
      </c>
      <c r="B18" s="165"/>
      <c r="C18" s="161"/>
      <c r="D18" s="167">
        <v>0.2</v>
      </c>
      <c r="E18" s="161"/>
      <c r="F18" s="167">
        <v>0.23</v>
      </c>
      <c r="G18" s="162"/>
    </row>
    <row r="19" spans="1:7">
      <c r="A19" s="166" t="s">
        <v>236</v>
      </c>
      <c r="B19" s="165"/>
      <c r="C19" s="161"/>
      <c r="D19" s="167">
        <v>0.1</v>
      </c>
      <c r="E19" s="161"/>
      <c r="F19" s="161">
        <v>0.11</v>
      </c>
      <c r="G19" s="162"/>
    </row>
    <row r="20" spans="1:7" ht="26.25">
      <c r="A20" s="169" t="s">
        <v>237</v>
      </c>
      <c r="B20" s="170"/>
      <c r="C20" s="167"/>
      <c r="D20" s="167"/>
      <c r="E20" s="167"/>
      <c r="F20" s="167"/>
      <c r="G20" s="153" t="s">
        <v>238</v>
      </c>
    </row>
    <row r="21" spans="1:7" ht="39">
      <c r="A21" s="169" t="s">
        <v>239</v>
      </c>
      <c r="B21" s="170"/>
      <c r="C21" s="167"/>
      <c r="D21" s="167"/>
      <c r="E21" s="167"/>
      <c r="F21" s="161"/>
      <c r="G21" s="162"/>
    </row>
    <row r="22" spans="1:7" ht="51.75">
      <c r="A22" s="169" t="s">
        <v>240</v>
      </c>
      <c r="B22" s="170"/>
      <c r="C22" s="167"/>
      <c r="D22" s="167"/>
      <c r="E22" s="167"/>
      <c r="F22" s="161"/>
      <c r="G22" s="162"/>
    </row>
    <row r="23" spans="1:7">
      <c r="A23" s="171"/>
      <c r="B23" s="172"/>
      <c r="C23" s="173"/>
      <c r="D23" s="173"/>
      <c r="E23" s="173"/>
      <c r="F23" s="173"/>
      <c r="G23" s="174"/>
    </row>
    <row r="24" spans="1:7">
      <c r="A24" s="154" t="s">
        <v>206</v>
      </c>
      <c r="B24" s="155">
        <v>43801</v>
      </c>
      <c r="C24" s="156">
        <v>2020</v>
      </c>
      <c r="D24" s="175">
        <v>7.0000000000000007E-2</v>
      </c>
      <c r="E24" s="156">
        <v>2021</v>
      </c>
      <c r="F24" s="156"/>
      <c r="G24" s="158"/>
    </row>
    <row r="25" spans="1:7">
      <c r="A25" s="171"/>
      <c r="B25" s="172"/>
      <c r="C25" s="173"/>
      <c r="D25" s="173"/>
      <c r="E25" s="173"/>
      <c r="F25" s="173"/>
      <c r="G25" s="174"/>
    </row>
    <row r="26" spans="1:7">
      <c r="A26" s="154" t="s">
        <v>241</v>
      </c>
      <c r="B26" s="155">
        <v>43801</v>
      </c>
      <c r="C26" s="156" t="s">
        <v>220</v>
      </c>
      <c r="D26" s="156"/>
      <c r="E26" s="156">
        <v>2026</v>
      </c>
      <c r="F26" s="156"/>
      <c r="G26" s="158"/>
    </row>
    <row r="27" spans="1:7">
      <c r="A27" s="164" t="s">
        <v>242</v>
      </c>
      <c r="B27" s="165"/>
      <c r="C27" s="161"/>
      <c r="D27" s="161"/>
      <c r="E27" s="161"/>
      <c r="F27" s="161"/>
      <c r="G27" s="162"/>
    </row>
    <row r="28" spans="1:7">
      <c r="A28" s="166" t="s">
        <v>243</v>
      </c>
      <c r="B28" s="165"/>
      <c r="C28" s="161"/>
      <c r="D28" s="161"/>
      <c r="E28" s="161"/>
      <c r="F28" s="161"/>
      <c r="G28" s="162"/>
    </row>
    <row r="29" spans="1:7">
      <c r="A29" s="166" t="s">
        <v>244</v>
      </c>
      <c r="B29" s="165"/>
      <c r="C29" s="161"/>
      <c r="D29" s="167">
        <v>3.5</v>
      </c>
      <c r="E29" s="161"/>
      <c r="F29" s="161"/>
      <c r="G29" s="162"/>
    </row>
    <row r="30" spans="1:7">
      <c r="A30" s="166" t="s">
        <v>245</v>
      </c>
      <c r="B30" s="165"/>
      <c r="C30" s="161"/>
      <c r="D30" s="167" t="s">
        <v>246</v>
      </c>
      <c r="E30" s="161"/>
      <c r="F30" s="161"/>
      <c r="G30" s="162"/>
    </row>
    <row r="31" spans="1:7">
      <c r="A31" s="166" t="s">
        <v>247</v>
      </c>
      <c r="B31" s="165"/>
      <c r="C31" s="161"/>
      <c r="D31" s="167">
        <v>10</v>
      </c>
      <c r="E31" s="161"/>
      <c r="F31" s="161"/>
      <c r="G31" s="162"/>
    </row>
    <row r="32" spans="1:7">
      <c r="A32" s="166" t="s">
        <v>248</v>
      </c>
      <c r="B32" s="165"/>
      <c r="C32" s="161"/>
      <c r="D32" s="167" t="s">
        <v>246</v>
      </c>
      <c r="E32" s="161"/>
      <c r="F32" s="161"/>
      <c r="G32" s="162"/>
    </row>
    <row r="33" spans="1:7">
      <c r="A33" s="164" t="s">
        <v>249</v>
      </c>
      <c r="B33" s="165"/>
      <c r="C33" s="161"/>
      <c r="D33" s="161"/>
      <c r="E33" s="161"/>
      <c r="F33" s="161"/>
      <c r="G33" s="162"/>
    </row>
    <row r="34" spans="1:7">
      <c r="A34" s="166" t="s">
        <v>250</v>
      </c>
      <c r="B34" s="165"/>
      <c r="C34" s="161"/>
      <c r="D34" s="167">
        <v>12.5</v>
      </c>
      <c r="E34" s="161"/>
      <c r="F34" s="161"/>
      <c r="G34" s="162"/>
    </row>
    <row r="35" spans="1:7">
      <c r="A35" s="164" t="s">
        <v>251</v>
      </c>
      <c r="B35" s="165"/>
      <c r="C35" s="161"/>
      <c r="D35" s="161"/>
      <c r="E35" s="161"/>
      <c r="F35" s="161"/>
      <c r="G35" s="162"/>
    </row>
    <row r="36" spans="1:7" ht="26.25">
      <c r="A36" s="176" t="s">
        <v>252</v>
      </c>
      <c r="B36" s="165"/>
      <c r="C36" s="161"/>
      <c r="D36" s="161"/>
      <c r="E36" s="161"/>
      <c r="F36" s="161"/>
      <c r="G36" s="168" t="s">
        <v>253</v>
      </c>
    </row>
    <row r="37" spans="1:7">
      <c r="A37" s="164" t="s">
        <v>254</v>
      </c>
      <c r="B37" s="165"/>
      <c r="C37" s="161"/>
      <c r="D37" s="161"/>
      <c r="E37" s="161"/>
      <c r="F37" s="161"/>
      <c r="G37" s="162"/>
    </row>
    <row r="38" spans="1:7">
      <c r="A38" s="166" t="s">
        <v>255</v>
      </c>
      <c r="B38" s="165"/>
      <c r="C38" s="161"/>
      <c r="D38" s="167">
        <v>3.75</v>
      </c>
      <c r="E38" s="161"/>
      <c r="F38" s="161"/>
      <c r="G38" s="162"/>
    </row>
    <row r="39" spans="1:7">
      <c r="A39" s="176" t="s">
        <v>256</v>
      </c>
      <c r="B39" s="165"/>
      <c r="C39" s="161"/>
      <c r="D39" s="167">
        <v>5</v>
      </c>
      <c r="E39" s="161"/>
      <c r="F39" s="161"/>
      <c r="G39" s="162"/>
    </row>
    <row r="40" spans="1:7">
      <c r="A40" s="164" t="s">
        <v>257</v>
      </c>
      <c r="B40" s="165"/>
      <c r="C40" s="161"/>
      <c r="D40" s="161"/>
      <c r="E40" s="161"/>
      <c r="F40" s="161"/>
      <c r="G40" s="162"/>
    </row>
    <row r="41" spans="1:7">
      <c r="A41" s="166" t="s">
        <v>258</v>
      </c>
      <c r="B41" s="165"/>
      <c r="C41" s="161"/>
      <c r="D41" s="167">
        <v>25</v>
      </c>
      <c r="E41" s="161"/>
      <c r="F41" s="161"/>
      <c r="G41" s="168" t="s">
        <v>259</v>
      </c>
    </row>
    <row r="42" spans="1:7">
      <c r="A42" s="166" t="s">
        <v>260</v>
      </c>
      <c r="B42" s="165"/>
      <c r="C42" s="161"/>
      <c r="D42" s="167">
        <v>25</v>
      </c>
      <c r="E42" s="161"/>
      <c r="F42" s="161"/>
      <c r="G42" s="168" t="s">
        <v>259</v>
      </c>
    </row>
    <row r="43" spans="1:7">
      <c r="A43" s="166" t="s">
        <v>261</v>
      </c>
      <c r="B43" s="165"/>
      <c r="C43" s="161"/>
      <c r="D43" s="167">
        <v>75</v>
      </c>
      <c r="E43" s="161"/>
      <c r="F43" s="161"/>
      <c r="G43" s="168" t="s">
        <v>259</v>
      </c>
    </row>
    <row r="44" spans="1:7">
      <c r="A44" s="164" t="s">
        <v>262</v>
      </c>
      <c r="B44" s="165"/>
      <c r="C44" s="161"/>
      <c r="D44" s="161"/>
      <c r="E44" s="161"/>
      <c r="F44" s="161"/>
      <c r="G44" s="162"/>
    </row>
    <row r="45" spans="1:7">
      <c r="A45" s="176" t="s">
        <v>263</v>
      </c>
      <c r="B45" s="165"/>
      <c r="C45" s="161"/>
      <c r="D45" s="161"/>
      <c r="E45" s="161"/>
      <c r="F45" s="161"/>
      <c r="G45" s="162"/>
    </row>
    <row r="46" spans="1:7">
      <c r="A46" s="166" t="s">
        <v>264</v>
      </c>
      <c r="B46" s="165"/>
      <c r="C46" s="161"/>
      <c r="D46" s="167">
        <v>0.05</v>
      </c>
      <c r="E46" s="161"/>
      <c r="F46" s="161"/>
      <c r="G46" s="162"/>
    </row>
    <row r="47" spans="1:7">
      <c r="A47" s="166" t="s">
        <v>265</v>
      </c>
      <c r="B47" s="165"/>
      <c r="C47" s="161"/>
      <c r="D47" s="167">
        <v>0.1</v>
      </c>
      <c r="E47" s="161"/>
      <c r="F47" s="161"/>
      <c r="G47" s="162"/>
    </row>
    <row r="48" spans="1:7">
      <c r="A48" s="166" t="s">
        <v>266</v>
      </c>
      <c r="B48" s="165"/>
      <c r="C48" s="161"/>
      <c r="D48" s="167">
        <v>0.15</v>
      </c>
      <c r="E48" s="161"/>
      <c r="F48" s="161"/>
      <c r="G48" s="162"/>
    </row>
    <row r="49" spans="1:7">
      <c r="A49" s="166" t="s">
        <v>267</v>
      </c>
      <c r="B49" s="165"/>
      <c r="C49" s="161"/>
      <c r="D49" s="167">
        <v>0.3</v>
      </c>
      <c r="E49" s="161"/>
      <c r="F49" s="161"/>
      <c r="G49" s="162"/>
    </row>
    <row r="50" spans="1:7">
      <c r="A50" s="166" t="s">
        <v>268</v>
      </c>
      <c r="B50" s="165"/>
      <c r="C50" s="161"/>
      <c r="D50" s="161"/>
      <c r="E50" s="161"/>
      <c r="F50" s="161"/>
      <c r="G50" s="162"/>
    </row>
    <row r="51" spans="1:7">
      <c r="A51" s="166" t="s">
        <v>264</v>
      </c>
      <c r="B51" s="165"/>
      <c r="C51" s="161"/>
      <c r="D51" s="167">
        <v>0.1</v>
      </c>
      <c r="E51" s="161"/>
      <c r="F51" s="161"/>
      <c r="G51" s="162"/>
    </row>
    <row r="52" spans="1:7">
      <c r="A52" s="166" t="s">
        <v>265</v>
      </c>
      <c r="B52" s="165"/>
      <c r="C52" s="161"/>
      <c r="D52" s="167">
        <v>0.2</v>
      </c>
      <c r="E52" s="161"/>
      <c r="F52" s="161"/>
      <c r="G52" s="162"/>
    </row>
    <row r="53" spans="1:7">
      <c r="A53" s="166" t="s">
        <v>266</v>
      </c>
      <c r="B53" s="165"/>
      <c r="C53" s="161"/>
      <c r="D53" s="167">
        <v>0.3</v>
      </c>
      <c r="E53" s="161"/>
      <c r="F53" s="161"/>
      <c r="G53" s="162"/>
    </row>
    <row r="54" spans="1:7">
      <c r="A54" s="166" t="s">
        <v>267</v>
      </c>
      <c r="B54" s="165"/>
      <c r="C54" s="161"/>
      <c r="D54" s="167">
        <v>0.6</v>
      </c>
      <c r="E54" s="161"/>
      <c r="F54" s="161"/>
      <c r="G54" s="162"/>
    </row>
    <row r="55" spans="1:7">
      <c r="A55" s="164" t="s">
        <v>269</v>
      </c>
      <c r="B55" s="165"/>
      <c r="C55" s="161"/>
      <c r="D55" s="161"/>
      <c r="E55" s="161"/>
      <c r="F55" s="161"/>
      <c r="G55" s="162"/>
    </row>
    <row r="56" spans="1:7">
      <c r="A56" s="166" t="s">
        <v>270</v>
      </c>
      <c r="B56" s="165"/>
      <c r="C56" s="161"/>
      <c r="D56" s="167">
        <v>37</v>
      </c>
      <c r="E56" s="161"/>
      <c r="F56" s="161"/>
      <c r="G56" s="168" t="s">
        <v>271</v>
      </c>
    </row>
    <row r="57" spans="1:7">
      <c r="A57" s="164" t="s">
        <v>272</v>
      </c>
      <c r="B57" s="165"/>
      <c r="C57" s="161"/>
      <c r="D57" s="161"/>
      <c r="E57" s="161"/>
      <c r="F57" s="161"/>
      <c r="G57" s="162"/>
    </row>
    <row r="58" spans="1:7">
      <c r="A58" s="166" t="s">
        <v>273</v>
      </c>
      <c r="B58" s="165"/>
      <c r="C58" s="161"/>
      <c r="D58" s="167">
        <v>2.5</v>
      </c>
      <c r="E58" s="161"/>
      <c r="F58" s="161"/>
      <c r="G58" s="162"/>
    </row>
    <row r="59" spans="1:7">
      <c r="A59" s="164" t="s">
        <v>274</v>
      </c>
      <c r="B59" s="165"/>
      <c r="C59" s="161"/>
      <c r="D59" s="161"/>
      <c r="E59" s="161"/>
      <c r="F59" s="161"/>
      <c r="G59" s="162"/>
    </row>
    <row r="60" spans="1:7">
      <c r="A60" s="166" t="s">
        <v>275</v>
      </c>
      <c r="B60" s="165"/>
      <c r="C60" s="161"/>
      <c r="D60" s="167">
        <v>0.25</v>
      </c>
      <c r="E60" s="161"/>
      <c r="F60" s="161"/>
      <c r="G60" s="162"/>
    </row>
    <row r="61" spans="1:7">
      <c r="A61" s="171"/>
      <c r="B61" s="172"/>
      <c r="C61" s="173"/>
      <c r="D61" s="173"/>
      <c r="E61" s="173"/>
      <c r="F61" s="173"/>
      <c r="G61" s="174"/>
    </row>
    <row r="62" spans="1:7">
      <c r="A62" s="154" t="s">
        <v>276</v>
      </c>
      <c r="B62" s="155">
        <v>43801</v>
      </c>
      <c r="C62" s="156" t="s">
        <v>220</v>
      </c>
      <c r="D62" s="156"/>
      <c r="E62" s="156">
        <v>2026</v>
      </c>
      <c r="F62" s="156"/>
      <c r="G62" s="158"/>
    </row>
    <row r="63" spans="1:7">
      <c r="A63" s="164"/>
      <c r="B63" s="170"/>
      <c r="C63" s="167"/>
      <c r="D63" s="167"/>
      <c r="E63" s="167"/>
      <c r="F63" s="167"/>
      <c r="G63" s="168"/>
    </row>
    <row r="64" spans="1:7">
      <c r="A64" s="177" t="s">
        <v>277</v>
      </c>
      <c r="B64" s="165"/>
      <c r="C64" s="161"/>
      <c r="D64" s="178"/>
      <c r="E64" s="161"/>
      <c r="F64" s="161"/>
      <c r="G64" s="168"/>
    </row>
    <row r="65" spans="1:7">
      <c r="A65" s="179" t="s">
        <v>278</v>
      </c>
      <c r="B65" s="180"/>
      <c r="C65" s="181"/>
      <c r="D65" s="181">
        <v>37</v>
      </c>
      <c r="E65" s="161"/>
      <c r="F65" s="161"/>
      <c r="G65" s="182"/>
    </row>
    <row r="66" spans="1:7">
      <c r="A66" s="179" t="s">
        <v>279</v>
      </c>
      <c r="B66" s="180"/>
      <c r="C66" s="181"/>
      <c r="D66" s="181">
        <v>50</v>
      </c>
      <c r="E66" s="161"/>
      <c r="F66" s="161"/>
      <c r="G66" s="182"/>
    </row>
    <row r="67" spans="1:7">
      <c r="A67" s="179" t="s">
        <v>280</v>
      </c>
      <c r="B67" s="180"/>
      <c r="C67" s="181"/>
      <c r="D67" s="181">
        <v>50</v>
      </c>
      <c r="E67" s="161"/>
      <c r="F67" s="161"/>
      <c r="G67" s="182"/>
    </row>
    <row r="68" spans="1:7">
      <c r="A68" s="179" t="s">
        <v>281</v>
      </c>
      <c r="B68" s="180"/>
      <c r="C68" s="181"/>
      <c r="D68" s="181">
        <v>100</v>
      </c>
      <c r="E68" s="161"/>
      <c r="F68" s="161"/>
      <c r="G68" s="182"/>
    </row>
    <row r="69" spans="1:7">
      <c r="A69" s="179" t="s">
        <v>282</v>
      </c>
      <c r="B69" s="180"/>
      <c r="C69" s="181"/>
      <c r="D69" s="181">
        <v>150</v>
      </c>
      <c r="E69" s="161"/>
      <c r="F69" s="161"/>
      <c r="G69" s="168"/>
    </row>
    <row r="70" spans="1:7">
      <c r="A70" s="179" t="s">
        <v>283</v>
      </c>
      <c r="B70" s="180"/>
      <c r="C70" s="181"/>
      <c r="D70" s="181">
        <v>150</v>
      </c>
      <c r="E70" s="161"/>
      <c r="F70" s="161"/>
      <c r="G70" s="182"/>
    </row>
    <row r="71" spans="1:7">
      <c r="A71" s="179" t="s">
        <v>284</v>
      </c>
      <c r="B71" s="180"/>
      <c r="C71" s="181"/>
      <c r="D71" s="181">
        <v>400</v>
      </c>
      <c r="E71" s="161"/>
      <c r="F71" s="161"/>
      <c r="G71" s="182"/>
    </row>
    <row r="72" spans="1:7" ht="25.5">
      <c r="A72" s="179" t="s">
        <v>285</v>
      </c>
      <c r="B72" s="180"/>
      <c r="C72" s="181"/>
      <c r="D72" s="181">
        <v>50</v>
      </c>
      <c r="E72" s="161"/>
      <c r="F72" s="161"/>
      <c r="G72" s="182" t="s">
        <v>286</v>
      </c>
    </row>
    <row r="73" spans="1:7">
      <c r="A73" s="177" t="s">
        <v>287</v>
      </c>
      <c r="B73" s="180"/>
      <c r="C73" s="181"/>
      <c r="D73" s="178"/>
      <c r="E73" s="181"/>
      <c r="F73" s="181"/>
      <c r="G73" s="182"/>
    </row>
    <row r="74" spans="1:7">
      <c r="A74" s="179" t="s">
        <v>284</v>
      </c>
      <c r="B74" s="180"/>
      <c r="C74" s="181"/>
      <c r="D74" s="178">
        <v>400</v>
      </c>
      <c r="E74" s="181"/>
      <c r="F74" s="181"/>
      <c r="G74" s="182"/>
    </row>
    <row r="75" spans="1:7">
      <c r="A75" s="179" t="s">
        <v>288</v>
      </c>
      <c r="B75" s="180"/>
      <c r="C75" s="181"/>
      <c r="D75" s="181">
        <v>100</v>
      </c>
      <c r="E75" s="181"/>
      <c r="F75" s="181"/>
      <c r="G75" s="182"/>
    </row>
    <row r="76" spans="1:7" ht="25.5">
      <c r="A76" s="179" t="s">
        <v>285</v>
      </c>
      <c r="B76" s="180"/>
      <c r="C76" s="181"/>
      <c r="D76" s="181">
        <v>50</v>
      </c>
      <c r="E76" s="181"/>
      <c r="F76" s="181"/>
      <c r="G76" s="182" t="s">
        <v>286</v>
      </c>
    </row>
    <row r="77" spans="1:7">
      <c r="A77" s="183" t="s">
        <v>289</v>
      </c>
      <c r="B77" s="180"/>
      <c r="C77" s="181"/>
      <c r="D77" s="181"/>
      <c r="E77" s="181"/>
      <c r="F77" s="181"/>
      <c r="G77" s="182"/>
    </row>
    <row r="78" spans="1:7">
      <c r="A78" s="183" t="s">
        <v>290</v>
      </c>
      <c r="B78" s="180"/>
      <c r="C78" s="181"/>
      <c r="D78" s="181"/>
      <c r="E78" s="181"/>
      <c r="F78" s="181"/>
      <c r="G78" s="182"/>
    </row>
    <row r="79" spans="1:7" ht="38.25">
      <c r="A79" s="179" t="s">
        <v>291</v>
      </c>
      <c r="B79" s="180"/>
      <c r="C79" s="181"/>
      <c r="D79" s="181">
        <v>100</v>
      </c>
      <c r="E79" s="181"/>
      <c r="F79" s="181"/>
      <c r="G79" s="182" t="s">
        <v>292</v>
      </c>
    </row>
    <row r="80" spans="1:7">
      <c r="A80" s="179"/>
      <c r="B80" s="165"/>
      <c r="C80" s="161"/>
      <c r="D80" s="161"/>
      <c r="E80" s="161"/>
      <c r="F80" s="161"/>
      <c r="G80" s="168"/>
    </row>
    <row r="81" spans="1:7">
      <c r="A81" s="177" t="s">
        <v>293</v>
      </c>
      <c r="B81" s="180"/>
      <c r="C81" s="181"/>
      <c r="D81" s="181"/>
      <c r="E81" s="181"/>
      <c r="F81" s="181"/>
      <c r="G81" s="182"/>
    </row>
    <row r="82" spans="1:7">
      <c r="A82" s="179" t="s">
        <v>294</v>
      </c>
      <c r="B82" s="180"/>
      <c r="C82" s="181"/>
      <c r="D82" s="181">
        <v>100</v>
      </c>
      <c r="E82" s="181"/>
      <c r="F82" s="181"/>
      <c r="G82" s="182"/>
    </row>
    <row r="83" spans="1:7">
      <c r="A83" s="179" t="s">
        <v>295</v>
      </c>
      <c r="B83" s="180"/>
      <c r="C83" s="181"/>
      <c r="D83" s="181">
        <v>150</v>
      </c>
      <c r="E83" s="181"/>
      <c r="F83" s="181"/>
      <c r="G83" s="182"/>
    </row>
    <row r="84" spans="1:7">
      <c r="A84" s="179" t="s">
        <v>296</v>
      </c>
      <c r="B84" s="165"/>
      <c r="C84" s="161"/>
      <c r="D84" s="181">
        <v>150</v>
      </c>
      <c r="E84" s="181"/>
      <c r="F84" s="181"/>
      <c r="G84" s="168"/>
    </row>
    <row r="85" spans="1:7">
      <c r="A85" s="179" t="s">
        <v>284</v>
      </c>
      <c r="B85" s="180"/>
      <c r="C85" s="181"/>
      <c r="D85" s="181">
        <v>400</v>
      </c>
      <c r="E85" s="181"/>
      <c r="F85" s="181"/>
      <c r="G85" s="182"/>
    </row>
    <row r="86" spans="1:7">
      <c r="A86" s="179" t="s">
        <v>297</v>
      </c>
      <c r="B86" s="180"/>
      <c r="C86" s="181"/>
      <c r="D86" s="181">
        <v>75</v>
      </c>
      <c r="E86" s="181"/>
      <c r="F86" s="181"/>
      <c r="G86" s="182" t="s">
        <v>298</v>
      </c>
    </row>
    <row r="87" spans="1:7">
      <c r="A87" s="179" t="s">
        <v>299</v>
      </c>
      <c r="B87" s="180"/>
      <c r="C87" s="181"/>
      <c r="D87" s="181">
        <v>100</v>
      </c>
      <c r="E87" s="181"/>
      <c r="F87" s="181"/>
      <c r="G87" s="182" t="s">
        <v>298</v>
      </c>
    </row>
    <row r="88" spans="1:7" ht="76.5">
      <c r="A88" s="179" t="s">
        <v>300</v>
      </c>
      <c r="B88" s="180"/>
      <c r="C88" s="181"/>
      <c r="D88" s="181">
        <v>200</v>
      </c>
      <c r="E88" s="181"/>
      <c r="F88" s="181"/>
      <c r="G88" s="184" t="s">
        <v>638</v>
      </c>
    </row>
    <row r="89" spans="1:7">
      <c r="A89" s="177" t="s">
        <v>301</v>
      </c>
      <c r="B89" s="180"/>
      <c r="C89" s="181"/>
      <c r="D89" s="181"/>
      <c r="E89" s="181"/>
      <c r="F89" s="181"/>
      <c r="G89" s="182"/>
    </row>
    <row r="90" spans="1:7">
      <c r="A90" s="179" t="s">
        <v>294</v>
      </c>
      <c r="B90" s="180"/>
      <c r="C90" s="181"/>
      <c r="D90" s="181">
        <v>37</v>
      </c>
      <c r="E90" s="181"/>
      <c r="F90" s="181"/>
      <c r="G90" s="182"/>
    </row>
    <row r="91" spans="1:7">
      <c r="A91" s="179" t="s">
        <v>295</v>
      </c>
      <c r="B91" s="180"/>
      <c r="C91" s="181"/>
      <c r="D91" s="181">
        <v>50</v>
      </c>
      <c r="E91" s="181"/>
      <c r="F91" s="181"/>
      <c r="G91" s="182"/>
    </row>
    <row r="92" spans="1:7">
      <c r="A92" s="179" t="s">
        <v>296</v>
      </c>
      <c r="B92" s="180"/>
      <c r="C92" s="181"/>
      <c r="D92" s="181">
        <v>50</v>
      </c>
      <c r="E92" s="181"/>
      <c r="F92" s="181"/>
      <c r="G92" s="182"/>
    </row>
    <row r="93" spans="1:7">
      <c r="A93" s="177" t="s">
        <v>302</v>
      </c>
      <c r="B93" s="165"/>
      <c r="C93" s="161"/>
      <c r="D93" s="161"/>
      <c r="E93" s="161"/>
      <c r="F93" s="161"/>
      <c r="G93" s="168"/>
    </row>
    <row r="94" spans="1:7">
      <c r="A94" s="179" t="s">
        <v>294</v>
      </c>
      <c r="B94" s="180"/>
      <c r="C94" s="181"/>
      <c r="D94" s="181">
        <v>37</v>
      </c>
      <c r="E94" s="181"/>
      <c r="F94" s="181"/>
      <c r="G94" s="182"/>
    </row>
    <row r="95" spans="1:7">
      <c r="A95" s="179" t="s">
        <v>295</v>
      </c>
      <c r="B95" s="180"/>
      <c r="C95" s="181"/>
      <c r="D95" s="181">
        <v>50</v>
      </c>
      <c r="E95" s="181"/>
      <c r="F95" s="181"/>
      <c r="G95" s="182"/>
    </row>
    <row r="96" spans="1:7">
      <c r="A96" s="179" t="s">
        <v>296</v>
      </c>
      <c r="B96" s="180"/>
      <c r="C96" s="181"/>
      <c r="D96" s="181">
        <v>50</v>
      </c>
      <c r="E96" s="181"/>
      <c r="F96" s="181"/>
      <c r="G96" s="182"/>
    </row>
    <row r="97" spans="1:7">
      <c r="A97" s="177" t="s">
        <v>303</v>
      </c>
      <c r="B97" s="165"/>
      <c r="C97" s="161"/>
      <c r="D97" s="181"/>
      <c r="E97" s="181"/>
      <c r="F97" s="181"/>
      <c r="G97" s="168"/>
    </row>
    <row r="98" spans="1:7">
      <c r="A98" s="179" t="s">
        <v>294</v>
      </c>
      <c r="B98" s="180"/>
      <c r="C98" s="181"/>
      <c r="D98" s="181">
        <v>50</v>
      </c>
      <c r="E98" s="181"/>
      <c r="F98" s="181"/>
      <c r="G98" s="182"/>
    </row>
    <row r="99" spans="1:7">
      <c r="A99" s="179" t="s">
        <v>295</v>
      </c>
      <c r="B99" s="180"/>
      <c r="C99" s="181"/>
      <c r="D99" s="181">
        <v>75</v>
      </c>
      <c r="E99" s="181"/>
      <c r="F99" s="181"/>
      <c r="G99" s="182"/>
    </row>
    <row r="100" spans="1:7">
      <c r="A100" s="166"/>
      <c r="B100" s="170"/>
      <c r="C100" s="167"/>
      <c r="D100" s="167"/>
      <c r="E100" s="167"/>
      <c r="F100" s="167"/>
      <c r="G100" s="168"/>
    </row>
    <row r="101" spans="1:7">
      <c r="A101" s="154" t="s">
        <v>304</v>
      </c>
      <c r="B101" s="155">
        <v>43801</v>
      </c>
      <c r="C101" s="156" t="s">
        <v>220</v>
      </c>
      <c r="D101" s="156"/>
      <c r="E101" s="156">
        <v>2026</v>
      </c>
      <c r="F101" s="156"/>
      <c r="G101" s="4320" t="s">
        <v>221</v>
      </c>
    </row>
    <row r="102" spans="1:7" ht="26.25">
      <c r="A102" s="166" t="s">
        <v>305</v>
      </c>
      <c r="B102" s="165"/>
      <c r="C102" s="161"/>
      <c r="D102" s="167">
        <v>0.53</v>
      </c>
      <c r="E102" s="161"/>
      <c r="F102" s="167">
        <v>0.67</v>
      </c>
      <c r="G102" s="185" t="s">
        <v>306</v>
      </c>
    </row>
    <row r="103" spans="1:7">
      <c r="A103" s="166" t="s">
        <v>307</v>
      </c>
      <c r="B103" s="165"/>
      <c r="C103" s="161"/>
      <c r="D103" s="167">
        <v>265</v>
      </c>
      <c r="E103" s="161"/>
      <c r="F103" s="167">
        <v>339</v>
      </c>
      <c r="G103" s="168"/>
    </row>
    <row r="104" spans="1:7">
      <c r="A104" s="186" t="s">
        <v>308</v>
      </c>
      <c r="B104" s="165"/>
      <c r="C104" s="161"/>
      <c r="D104" s="161"/>
      <c r="E104" s="161"/>
      <c r="F104" s="161"/>
      <c r="G104" s="162"/>
    </row>
    <row r="105" spans="1:7">
      <c r="A105" s="171"/>
      <c r="B105" s="172"/>
      <c r="C105" s="173"/>
      <c r="D105" s="173"/>
      <c r="E105" s="173"/>
      <c r="F105" s="173"/>
      <c r="G105" s="174"/>
    </row>
    <row r="106" spans="1:7">
      <c r="A106" s="154" t="s">
        <v>309</v>
      </c>
      <c r="B106" s="155">
        <v>44543</v>
      </c>
      <c r="C106" s="156" t="s">
        <v>8259</v>
      </c>
      <c r="D106" s="156"/>
      <c r="E106" s="156">
        <v>2026</v>
      </c>
      <c r="F106" s="156"/>
      <c r="G106" s="4320" t="s">
        <v>221</v>
      </c>
    </row>
    <row r="107" spans="1:7" s="3751" customFormat="1" ht="26.25">
      <c r="A107" s="4441"/>
      <c r="B107" s="4442"/>
      <c r="C107" s="4443"/>
      <c r="D107" s="4443"/>
      <c r="E107" s="4443"/>
      <c r="F107" s="4443"/>
      <c r="G107" s="185" t="s">
        <v>310</v>
      </c>
    </row>
    <row r="108" spans="1:7" s="3751" customFormat="1">
      <c r="A108" s="4441" t="s">
        <v>8257</v>
      </c>
      <c r="B108" s="4442"/>
      <c r="C108" s="4443"/>
      <c r="D108" s="4443"/>
      <c r="E108" s="4443"/>
      <c r="F108" s="4443"/>
      <c r="G108" s="4320"/>
    </row>
    <row r="109" spans="1:7">
      <c r="A109" s="166" t="s">
        <v>305</v>
      </c>
      <c r="B109" s="165"/>
      <c r="C109" s="161"/>
      <c r="D109" s="167">
        <v>0.53</v>
      </c>
      <c r="E109" s="161"/>
      <c r="F109" s="167">
        <v>1.17</v>
      </c>
    </row>
    <row r="110" spans="1:7">
      <c r="A110" s="166" t="s">
        <v>307</v>
      </c>
      <c r="B110" s="165"/>
      <c r="C110" s="161"/>
      <c r="D110" s="167"/>
      <c r="E110" s="161"/>
      <c r="F110" s="167">
        <v>587</v>
      </c>
    </row>
    <row r="111" spans="1:7">
      <c r="A111" s="159" t="s">
        <v>8258</v>
      </c>
      <c r="B111" s="165"/>
      <c r="C111" s="161"/>
      <c r="D111" s="167"/>
      <c r="E111" s="161"/>
      <c r="F111" s="167"/>
    </row>
    <row r="112" spans="1:7">
      <c r="A112" s="166" t="s">
        <v>305</v>
      </c>
      <c r="B112" s="165"/>
      <c r="C112" s="161"/>
      <c r="D112" s="167">
        <v>265</v>
      </c>
      <c r="E112" s="161"/>
      <c r="F112" s="167">
        <v>0.57999999999999996</v>
      </c>
      <c r="G112" s="168"/>
    </row>
    <row r="113" spans="1:7">
      <c r="A113" s="166" t="s">
        <v>8258</v>
      </c>
      <c r="B113" s="165"/>
      <c r="C113" s="161"/>
      <c r="D113" s="167"/>
      <c r="E113" s="161"/>
      <c r="F113" s="167">
        <v>293</v>
      </c>
      <c r="G113" s="168"/>
    </row>
    <row r="114" spans="1:7">
      <c r="A114" s="186" t="s">
        <v>308</v>
      </c>
      <c r="B114" s="165"/>
      <c r="C114" s="161"/>
      <c r="D114" s="161"/>
      <c r="E114" s="161"/>
      <c r="F114" s="161"/>
      <c r="G114" s="162"/>
    </row>
    <row r="115" spans="1:7">
      <c r="A115" s="171"/>
      <c r="B115" s="172"/>
      <c r="C115" s="173"/>
      <c r="D115" s="173"/>
      <c r="E115" s="173"/>
      <c r="F115" s="173"/>
      <c r="G115" s="174"/>
    </row>
    <row r="116" spans="1:7">
      <c r="A116" s="171"/>
      <c r="B116" s="172"/>
      <c r="C116" s="173"/>
      <c r="D116" s="173"/>
      <c r="E116" s="173"/>
      <c r="F116" s="173"/>
      <c r="G116" s="174"/>
    </row>
    <row r="117" spans="1:7">
      <c r="A117" s="154" t="s">
        <v>311</v>
      </c>
      <c r="B117" s="187"/>
      <c r="C117" s="188"/>
      <c r="D117" s="188"/>
      <c r="E117" s="188"/>
      <c r="F117" s="188"/>
      <c r="G117" s="189"/>
    </row>
    <row r="118" spans="1:7">
      <c r="A118" s="164" t="s">
        <v>312</v>
      </c>
      <c r="B118" s="165"/>
      <c r="C118" s="161"/>
      <c r="D118" s="161"/>
      <c r="E118" s="161"/>
      <c r="F118" s="161"/>
      <c r="G118" s="162"/>
    </row>
    <row r="119" spans="1:7">
      <c r="A119" s="166" t="s">
        <v>313</v>
      </c>
      <c r="B119" s="165"/>
      <c r="C119" s="161"/>
      <c r="D119" s="167">
        <v>1</v>
      </c>
      <c r="E119" s="161"/>
      <c r="F119" s="161"/>
      <c r="G119" s="168" t="s">
        <v>314</v>
      </c>
    </row>
    <row r="120" spans="1:7">
      <c r="A120" s="166" t="s">
        <v>315</v>
      </c>
      <c r="B120" s="165"/>
      <c r="C120" s="161"/>
      <c r="D120" s="167">
        <v>0.75</v>
      </c>
      <c r="E120" s="161"/>
      <c r="F120" s="161"/>
      <c r="G120" s="168" t="s">
        <v>314</v>
      </c>
    </row>
    <row r="121" spans="1:7">
      <c r="A121" s="164" t="s">
        <v>316</v>
      </c>
      <c r="B121" s="170"/>
      <c r="C121" s="167"/>
      <c r="D121" s="167"/>
      <c r="E121" s="167"/>
      <c r="F121" s="161"/>
      <c r="G121" s="168"/>
    </row>
    <row r="122" spans="1:7">
      <c r="A122" s="166" t="s">
        <v>317</v>
      </c>
      <c r="B122" s="170"/>
      <c r="C122" s="167"/>
      <c r="D122" s="167">
        <v>100</v>
      </c>
      <c r="E122" s="167"/>
      <c r="F122" s="161"/>
      <c r="G122" s="168"/>
    </row>
    <row r="123" spans="1:7">
      <c r="A123" s="164" t="s">
        <v>318</v>
      </c>
      <c r="B123" s="165"/>
      <c r="C123" s="161"/>
      <c r="D123" s="161"/>
      <c r="E123" s="161"/>
      <c r="F123" s="161"/>
      <c r="G123" s="162"/>
    </row>
    <row r="124" spans="1:7">
      <c r="A124" s="190" t="s">
        <v>319</v>
      </c>
      <c r="B124" s="170"/>
      <c r="C124" s="167"/>
      <c r="D124" s="167"/>
      <c r="E124" s="167"/>
      <c r="F124" s="161"/>
      <c r="G124" s="162"/>
    </row>
    <row r="125" spans="1:7">
      <c r="A125" s="166" t="s">
        <v>320</v>
      </c>
      <c r="B125" s="165"/>
      <c r="C125" s="161"/>
      <c r="D125" s="161"/>
      <c r="E125" s="161"/>
      <c r="F125" s="161"/>
      <c r="G125" s="162"/>
    </row>
    <row r="126" spans="1:7">
      <c r="A126" s="166" t="s">
        <v>321</v>
      </c>
      <c r="B126" s="165"/>
      <c r="C126" s="161"/>
      <c r="D126" s="167">
        <v>1</v>
      </c>
      <c r="E126" s="161"/>
      <c r="F126" s="161"/>
      <c r="G126" s="168" t="s">
        <v>322</v>
      </c>
    </row>
    <row r="127" spans="1:7">
      <c r="A127" s="166" t="s">
        <v>323</v>
      </c>
      <c r="B127" s="165"/>
      <c r="C127" s="161"/>
      <c r="D127" s="161"/>
      <c r="E127" s="161"/>
      <c r="F127" s="161"/>
      <c r="G127" s="162"/>
    </row>
    <row r="128" spans="1:7">
      <c r="A128" s="166" t="s">
        <v>321</v>
      </c>
      <c r="B128" s="165"/>
      <c r="C128" s="161"/>
      <c r="D128" s="167">
        <v>4</v>
      </c>
      <c r="E128" s="161"/>
      <c r="F128" s="161"/>
      <c r="G128" s="168" t="s">
        <v>324</v>
      </c>
    </row>
    <row r="129" spans="1:7">
      <c r="A129" s="166" t="s">
        <v>325</v>
      </c>
      <c r="B129" s="165"/>
      <c r="C129" s="161"/>
      <c r="D129" s="161"/>
      <c r="E129" s="161"/>
      <c r="F129" s="161"/>
      <c r="G129" s="162"/>
    </row>
    <row r="130" spans="1:7">
      <c r="A130" s="166" t="s">
        <v>321</v>
      </c>
      <c r="B130" s="165"/>
      <c r="C130" s="161"/>
      <c r="D130" s="167">
        <v>0.75</v>
      </c>
      <c r="E130" s="161"/>
      <c r="F130" s="161"/>
      <c r="G130" s="168" t="s">
        <v>326</v>
      </c>
    </row>
    <row r="131" spans="1:7">
      <c r="A131" s="166" t="s">
        <v>327</v>
      </c>
      <c r="B131" s="165"/>
      <c r="C131" s="161"/>
      <c r="D131" s="161"/>
      <c r="E131" s="161"/>
      <c r="F131" s="161"/>
      <c r="G131" s="162"/>
    </row>
    <row r="132" spans="1:7">
      <c r="A132" s="166" t="s">
        <v>321</v>
      </c>
      <c r="B132" s="165"/>
      <c r="C132" s="161"/>
      <c r="D132" s="167">
        <v>1.25</v>
      </c>
      <c r="E132" s="161"/>
      <c r="F132" s="161"/>
      <c r="G132" s="168" t="s">
        <v>328</v>
      </c>
    </row>
    <row r="133" spans="1:7">
      <c r="A133" s="186" t="s">
        <v>329</v>
      </c>
      <c r="B133" s="165"/>
      <c r="C133" s="161"/>
      <c r="D133" s="161"/>
      <c r="E133" s="161"/>
      <c r="F133" s="161"/>
      <c r="G133" s="162"/>
    </row>
    <row r="134" spans="1:7">
      <c r="A134" s="186" t="s">
        <v>330</v>
      </c>
      <c r="B134" s="165"/>
      <c r="C134" s="161"/>
      <c r="D134" s="161"/>
      <c r="E134" s="161"/>
      <c r="F134" s="161"/>
      <c r="G134" s="162"/>
    </row>
    <row r="135" spans="1:7" ht="39">
      <c r="A135" s="169" t="s">
        <v>331</v>
      </c>
      <c r="B135" s="165"/>
      <c r="C135" s="161"/>
      <c r="D135" s="167">
        <v>0.5</v>
      </c>
      <c r="E135" s="161"/>
      <c r="F135" s="167" t="s">
        <v>235</v>
      </c>
      <c r="G135" s="162"/>
    </row>
    <row r="136" spans="1:7">
      <c r="A136" s="169" t="s">
        <v>332</v>
      </c>
      <c r="B136" s="170"/>
      <c r="C136" s="167"/>
      <c r="D136" s="167"/>
      <c r="E136" s="167"/>
      <c r="F136" s="161"/>
      <c r="G136" s="162"/>
    </row>
    <row r="137" spans="1:7">
      <c r="A137" s="166" t="s">
        <v>320</v>
      </c>
      <c r="B137" s="170"/>
      <c r="C137" s="167"/>
      <c r="D137" s="167"/>
      <c r="E137" s="167"/>
      <c r="F137" s="161"/>
      <c r="G137" s="162"/>
    </row>
    <row r="138" spans="1:7">
      <c r="A138" s="166" t="s">
        <v>321</v>
      </c>
      <c r="B138" s="170"/>
      <c r="C138" s="167"/>
      <c r="D138" s="167">
        <v>1.5</v>
      </c>
      <c r="E138" s="167"/>
      <c r="F138" s="161"/>
      <c r="G138" s="168" t="s">
        <v>333</v>
      </c>
    </row>
    <row r="139" spans="1:7">
      <c r="A139" s="166" t="s">
        <v>323</v>
      </c>
      <c r="B139" s="170"/>
      <c r="C139" s="167"/>
      <c r="D139" s="167"/>
      <c r="E139" s="167"/>
      <c r="F139" s="161"/>
      <c r="G139" s="162"/>
    </row>
    <row r="140" spans="1:7">
      <c r="A140" s="166" t="s">
        <v>321</v>
      </c>
      <c r="B140" s="170"/>
      <c r="C140" s="167"/>
      <c r="D140" s="167">
        <v>6</v>
      </c>
      <c r="E140" s="167"/>
      <c r="F140" s="161"/>
      <c r="G140" s="168" t="s">
        <v>334</v>
      </c>
    </row>
    <row r="141" spans="1:7">
      <c r="A141" s="166"/>
      <c r="B141" s="170"/>
      <c r="C141" s="167"/>
      <c r="D141" s="167"/>
      <c r="E141" s="167"/>
      <c r="F141" s="161"/>
      <c r="G141" s="162"/>
    </row>
    <row r="142" spans="1:7">
      <c r="A142" s="154" t="s">
        <v>335</v>
      </c>
      <c r="B142" s="155">
        <v>39727</v>
      </c>
      <c r="C142" s="156" t="s">
        <v>177</v>
      </c>
      <c r="D142" s="156"/>
      <c r="E142" s="156" t="s">
        <v>177</v>
      </c>
      <c r="F142" s="156"/>
      <c r="G142" s="191"/>
    </row>
    <row r="143" spans="1:7">
      <c r="A143" s="164" t="s">
        <v>336</v>
      </c>
      <c r="B143" s="165"/>
      <c r="C143" s="161"/>
      <c r="D143" s="161"/>
      <c r="E143" s="161"/>
      <c r="F143" s="161"/>
      <c r="G143" s="162"/>
    </row>
    <row r="144" spans="1:7">
      <c r="A144" s="166" t="s">
        <v>337</v>
      </c>
      <c r="B144" s="165"/>
      <c r="C144" s="161"/>
      <c r="D144" s="167">
        <v>3</v>
      </c>
      <c r="E144" s="161"/>
      <c r="F144" s="161"/>
      <c r="G144" s="162"/>
    </row>
    <row r="145" spans="1:7">
      <c r="A145" s="166" t="s">
        <v>338</v>
      </c>
      <c r="B145" s="165"/>
      <c r="C145" s="161"/>
      <c r="D145" s="167">
        <v>35</v>
      </c>
      <c r="E145" s="161"/>
      <c r="F145" s="161"/>
      <c r="G145" s="162"/>
    </row>
    <row r="146" spans="1:7">
      <c r="A146" s="164" t="s">
        <v>339</v>
      </c>
      <c r="B146" s="165"/>
      <c r="C146" s="161"/>
      <c r="D146" s="161"/>
      <c r="E146" s="161"/>
      <c r="F146" s="161"/>
      <c r="G146" s="162"/>
    </row>
    <row r="147" spans="1:7">
      <c r="A147" s="166" t="s">
        <v>337</v>
      </c>
      <c r="B147" s="165"/>
      <c r="C147" s="161"/>
      <c r="D147" s="167">
        <v>2</v>
      </c>
      <c r="E147" s="161"/>
      <c r="F147" s="161"/>
      <c r="G147" s="162"/>
    </row>
    <row r="148" spans="1:7">
      <c r="A148" s="166" t="s">
        <v>338</v>
      </c>
      <c r="B148" s="165"/>
      <c r="C148" s="161"/>
      <c r="D148" s="167">
        <v>23</v>
      </c>
      <c r="E148" s="161"/>
      <c r="F148" s="161"/>
      <c r="G148" s="162"/>
    </row>
    <row r="149" spans="1:7">
      <c r="A149" s="171"/>
      <c r="B149" s="172"/>
      <c r="C149" s="173"/>
      <c r="D149" s="173"/>
      <c r="E149" s="173"/>
      <c r="F149" s="173"/>
      <c r="G149" s="174"/>
    </row>
    <row r="150" spans="1:7">
      <c r="A150" s="154" t="s">
        <v>340</v>
      </c>
      <c r="B150" s="155">
        <v>43801</v>
      </c>
      <c r="C150" s="156" t="s">
        <v>220</v>
      </c>
      <c r="D150" s="156"/>
      <c r="E150" s="156">
        <v>2026</v>
      </c>
      <c r="F150" s="156"/>
      <c r="G150" s="3759" t="s">
        <v>221</v>
      </c>
    </row>
    <row r="151" spans="1:7" ht="26.25">
      <c r="A151" s="166" t="s">
        <v>341</v>
      </c>
      <c r="B151" s="165"/>
      <c r="C151" s="161"/>
      <c r="D151" s="167">
        <v>0.05</v>
      </c>
      <c r="E151" s="161"/>
      <c r="F151" s="167">
        <v>0.06</v>
      </c>
      <c r="G151" s="185" t="s">
        <v>342</v>
      </c>
    </row>
    <row r="152" spans="1:7" ht="26.25">
      <c r="A152" s="166" t="s">
        <v>343</v>
      </c>
      <c r="B152" s="165"/>
      <c r="C152" s="161"/>
      <c r="D152" s="167">
        <v>0.1</v>
      </c>
      <c r="E152" s="161"/>
      <c r="F152" s="167">
        <v>0.12</v>
      </c>
      <c r="G152" s="185" t="s">
        <v>344</v>
      </c>
    </row>
    <row r="153" spans="1:7">
      <c r="A153" s="166" t="s">
        <v>345</v>
      </c>
      <c r="B153" s="165"/>
      <c r="C153" s="161"/>
      <c r="D153" s="167">
        <v>0.38</v>
      </c>
      <c r="E153" s="161"/>
      <c r="F153" s="167">
        <v>0.45</v>
      </c>
      <c r="G153" s="185" t="s">
        <v>346</v>
      </c>
    </row>
    <row r="154" spans="1:7">
      <c r="A154" s="166" t="s">
        <v>347</v>
      </c>
      <c r="B154" s="165"/>
      <c r="C154" s="161"/>
      <c r="D154" s="167">
        <v>0.77</v>
      </c>
      <c r="E154" s="161"/>
      <c r="F154" s="167">
        <v>0.91</v>
      </c>
      <c r="G154" s="162"/>
    </row>
    <row r="155" spans="1:7">
      <c r="A155" s="171"/>
      <c r="B155" s="172"/>
      <c r="C155" s="173"/>
      <c r="D155" s="173"/>
      <c r="E155" s="173"/>
      <c r="F155" s="173"/>
      <c r="G155" s="174"/>
    </row>
    <row r="156" spans="1:7">
      <c r="A156" s="154" t="s">
        <v>348</v>
      </c>
      <c r="B156" s="155">
        <v>43801</v>
      </c>
      <c r="C156" s="156" t="s">
        <v>220</v>
      </c>
      <c r="D156" s="156"/>
      <c r="E156" s="156">
        <v>2026</v>
      </c>
      <c r="F156" s="156"/>
      <c r="G156" s="3759" t="s">
        <v>221</v>
      </c>
    </row>
    <row r="157" spans="1:7" ht="26.25">
      <c r="A157" s="166" t="s">
        <v>349</v>
      </c>
      <c r="B157" s="165"/>
      <c r="C157" s="161"/>
      <c r="D157" s="167">
        <v>33</v>
      </c>
      <c r="E157" s="161"/>
      <c r="F157" s="167">
        <v>38</v>
      </c>
      <c r="G157" s="185" t="s">
        <v>342</v>
      </c>
    </row>
    <row r="158" spans="1:7" ht="26.25">
      <c r="A158" s="166" t="s">
        <v>350</v>
      </c>
      <c r="B158" s="165"/>
      <c r="C158" s="161"/>
      <c r="D158" s="167">
        <v>54</v>
      </c>
      <c r="E158" s="161"/>
      <c r="F158" s="167">
        <v>64</v>
      </c>
      <c r="G158" s="185" t="s">
        <v>351</v>
      </c>
    </row>
    <row r="159" spans="1:7">
      <c r="A159" s="166" t="s">
        <v>352</v>
      </c>
      <c r="B159" s="165"/>
      <c r="C159" s="161"/>
      <c r="D159" s="167">
        <v>9</v>
      </c>
      <c r="E159" s="161"/>
      <c r="F159" s="167">
        <v>11</v>
      </c>
      <c r="G159" s="185" t="s">
        <v>353</v>
      </c>
    </row>
    <row r="160" spans="1:7">
      <c r="A160" s="166" t="s">
        <v>350</v>
      </c>
      <c r="B160" s="165"/>
      <c r="C160" s="161"/>
      <c r="D160" s="167">
        <v>27</v>
      </c>
      <c r="E160" s="161"/>
      <c r="F160" s="167">
        <v>32</v>
      </c>
      <c r="G160" s="168"/>
    </row>
    <row r="161" spans="1:7">
      <c r="A161" s="166" t="s">
        <v>354</v>
      </c>
      <c r="B161" s="165"/>
      <c r="C161" s="161"/>
      <c r="D161" s="167">
        <v>3</v>
      </c>
      <c r="E161" s="161"/>
      <c r="F161" s="167">
        <v>4</v>
      </c>
      <c r="G161" s="162"/>
    </row>
    <row r="162" spans="1:7">
      <c r="A162" s="166" t="s">
        <v>350</v>
      </c>
      <c r="B162" s="165"/>
      <c r="C162" s="161"/>
      <c r="D162" s="167">
        <v>14</v>
      </c>
      <c r="E162" s="161"/>
      <c r="F162" s="167">
        <v>16</v>
      </c>
      <c r="G162" s="162"/>
    </row>
    <row r="163" spans="1:7">
      <c r="A163" s="171"/>
      <c r="B163" s="172"/>
      <c r="C163" s="173"/>
      <c r="D163" s="173"/>
      <c r="E163" s="173"/>
      <c r="F163" s="173"/>
      <c r="G163" s="174"/>
    </row>
    <row r="164" spans="1:7">
      <c r="A164" s="192" t="s">
        <v>355</v>
      </c>
      <c r="B164" s="155">
        <v>43801</v>
      </c>
      <c r="C164" s="156" t="s">
        <v>220</v>
      </c>
      <c r="D164" s="156"/>
      <c r="E164" s="156">
        <v>2026</v>
      </c>
      <c r="F164" s="156"/>
      <c r="G164" s="3759" t="s">
        <v>221</v>
      </c>
    </row>
    <row r="165" spans="1:7">
      <c r="A165" s="164" t="s">
        <v>356</v>
      </c>
      <c r="B165" s="165"/>
      <c r="C165" s="161"/>
      <c r="D165" s="161"/>
      <c r="E165" s="161"/>
      <c r="F165" s="161"/>
      <c r="G165" s="162"/>
    </row>
    <row r="166" spans="1:7" ht="44.25" customHeight="1">
      <c r="A166" s="166" t="s">
        <v>357</v>
      </c>
      <c r="B166" s="165"/>
      <c r="C166" s="161"/>
      <c r="D166" s="167">
        <v>100</v>
      </c>
      <c r="E166" s="161"/>
      <c r="F166" s="167">
        <v>117</v>
      </c>
      <c r="G166" s="185" t="s">
        <v>358</v>
      </c>
    </row>
    <row r="167" spans="1:7">
      <c r="A167" s="166" t="s">
        <v>359</v>
      </c>
      <c r="B167" s="165"/>
      <c r="C167" s="161"/>
      <c r="D167" s="167">
        <v>400</v>
      </c>
      <c r="E167" s="161"/>
      <c r="F167" s="167">
        <v>467</v>
      </c>
      <c r="G167" s="168"/>
    </row>
    <row r="168" spans="1:7">
      <c r="A168" s="164" t="s">
        <v>360</v>
      </c>
      <c r="B168" s="165"/>
      <c r="C168" s="161"/>
      <c r="D168" s="161"/>
      <c r="E168" s="161"/>
      <c r="F168" s="161"/>
      <c r="G168" s="162"/>
    </row>
    <row r="169" spans="1:7">
      <c r="A169" s="176" t="s">
        <v>361</v>
      </c>
      <c r="B169" s="165"/>
      <c r="C169" s="161"/>
      <c r="D169" s="167">
        <v>50</v>
      </c>
      <c r="E169" s="161"/>
      <c r="F169" s="167">
        <v>59</v>
      </c>
      <c r="G169" s="162"/>
    </row>
    <row r="170" spans="1:7">
      <c r="A170" s="171"/>
      <c r="B170" s="172"/>
      <c r="C170" s="173"/>
      <c r="D170" s="173"/>
      <c r="E170" s="173"/>
      <c r="F170" s="173"/>
      <c r="G170" s="174"/>
    </row>
    <row r="171" spans="1:7">
      <c r="A171" s="192" t="s">
        <v>362</v>
      </c>
      <c r="B171" s="155">
        <v>43801</v>
      </c>
      <c r="C171" s="156" t="s">
        <v>220</v>
      </c>
      <c r="D171" s="156"/>
      <c r="E171" s="156">
        <v>2026</v>
      </c>
      <c r="F171" s="156"/>
      <c r="G171" s="3759" t="s">
        <v>221</v>
      </c>
    </row>
    <row r="172" spans="1:7" ht="26.25">
      <c r="A172" s="166" t="s">
        <v>363</v>
      </c>
      <c r="B172" s="165"/>
      <c r="C172" s="161"/>
      <c r="D172" s="167">
        <v>820</v>
      </c>
      <c r="E172" s="161"/>
      <c r="F172" s="167">
        <v>1012</v>
      </c>
      <c r="G172" s="185" t="s">
        <v>342</v>
      </c>
    </row>
    <row r="173" spans="1:7" ht="26.25">
      <c r="A173" s="166"/>
      <c r="B173" s="165"/>
      <c r="C173" s="161"/>
      <c r="D173" s="161"/>
      <c r="E173" s="161"/>
      <c r="F173" s="161"/>
      <c r="G173" s="185" t="s">
        <v>351</v>
      </c>
    </row>
    <row r="174" spans="1:7">
      <c r="A174" s="166"/>
      <c r="B174" s="165"/>
      <c r="C174" s="161"/>
      <c r="D174" s="161"/>
      <c r="E174" s="161"/>
      <c r="F174" s="161"/>
      <c r="G174" s="185" t="s">
        <v>353</v>
      </c>
    </row>
    <row r="175" spans="1:7">
      <c r="A175" s="171"/>
      <c r="B175" s="172"/>
      <c r="C175" s="173"/>
      <c r="D175" s="173"/>
      <c r="E175" s="173"/>
      <c r="F175" s="173"/>
      <c r="G175" s="174"/>
    </row>
    <row r="176" spans="1:7">
      <c r="A176" s="192" t="s">
        <v>364</v>
      </c>
      <c r="B176" s="155">
        <v>43801</v>
      </c>
      <c r="C176" s="156" t="s">
        <v>220</v>
      </c>
      <c r="D176" s="156"/>
      <c r="E176" s="156">
        <v>2026</v>
      </c>
      <c r="F176" s="156"/>
      <c r="G176" s="191"/>
    </row>
    <row r="177" spans="1:7" ht="26.25">
      <c r="A177" s="166" t="s">
        <v>365</v>
      </c>
      <c r="B177" s="165"/>
      <c r="C177" s="161"/>
      <c r="D177" s="167">
        <v>0.75</v>
      </c>
      <c r="E177" s="161"/>
      <c r="F177" s="161"/>
      <c r="G177" s="168" t="s">
        <v>366</v>
      </c>
    </row>
    <row r="178" spans="1:7">
      <c r="A178" s="186" t="s">
        <v>367</v>
      </c>
      <c r="B178" s="165"/>
      <c r="C178" s="161"/>
      <c r="D178" s="161"/>
      <c r="E178" s="161"/>
      <c r="F178" s="161"/>
      <c r="G178" s="162"/>
    </row>
    <row r="179" spans="1:7">
      <c r="A179" s="171"/>
      <c r="B179" s="172"/>
      <c r="C179" s="173"/>
      <c r="D179" s="173"/>
      <c r="E179" s="173"/>
      <c r="F179" s="173"/>
      <c r="G179" s="174"/>
    </row>
    <row r="180" spans="1:7">
      <c r="A180" s="192" t="s">
        <v>368</v>
      </c>
      <c r="B180" s="155">
        <v>43801</v>
      </c>
      <c r="C180" s="156" t="s">
        <v>220</v>
      </c>
      <c r="D180" s="156"/>
      <c r="E180" s="156">
        <v>2026</v>
      </c>
      <c r="F180" s="156"/>
      <c r="G180" s="191"/>
    </row>
    <row r="181" spans="1:7" ht="26.25">
      <c r="A181" s="166" t="s">
        <v>369</v>
      </c>
      <c r="B181" s="165"/>
      <c r="C181" s="161"/>
      <c r="D181" s="167">
        <v>1250</v>
      </c>
      <c r="E181" s="161"/>
      <c r="F181" s="161"/>
      <c r="G181" s="168" t="s">
        <v>370</v>
      </c>
    </row>
    <row r="182" spans="1:7">
      <c r="A182" s="166"/>
      <c r="B182" s="165"/>
      <c r="C182" s="161"/>
      <c r="D182" s="161"/>
      <c r="E182" s="161"/>
      <c r="F182" s="161"/>
      <c r="G182" s="162"/>
    </row>
    <row r="183" spans="1:7">
      <c r="A183" s="186" t="s">
        <v>367</v>
      </c>
      <c r="B183" s="165"/>
      <c r="C183" s="161"/>
      <c r="D183" s="161"/>
      <c r="E183" s="161"/>
      <c r="F183" s="161"/>
      <c r="G183" s="168" t="s">
        <v>235</v>
      </c>
    </row>
    <row r="184" spans="1:7">
      <c r="A184" s="171"/>
      <c r="B184" s="172"/>
      <c r="C184" s="173"/>
      <c r="D184" s="173"/>
      <c r="E184" s="173"/>
      <c r="F184" s="173"/>
      <c r="G184" s="174"/>
    </row>
    <row r="185" spans="1:7">
      <c r="A185" s="192" t="s">
        <v>371</v>
      </c>
      <c r="B185" s="155">
        <v>43801</v>
      </c>
      <c r="C185" s="156" t="s">
        <v>220</v>
      </c>
      <c r="D185" s="156"/>
      <c r="E185" s="156">
        <v>2026</v>
      </c>
      <c r="F185" s="156"/>
      <c r="G185" s="191"/>
    </row>
    <row r="186" spans="1:7" ht="26.25">
      <c r="A186" s="166" t="s">
        <v>372</v>
      </c>
      <c r="B186" s="165"/>
      <c r="C186" s="161"/>
      <c r="D186" s="167">
        <v>2500</v>
      </c>
      <c r="E186" s="161"/>
      <c r="F186" s="161"/>
      <c r="G186" s="168" t="s">
        <v>370</v>
      </c>
    </row>
    <row r="187" spans="1:7">
      <c r="A187" s="166" t="s">
        <v>373</v>
      </c>
      <c r="B187" s="165"/>
      <c r="C187" s="161"/>
      <c r="D187" s="167">
        <v>1000</v>
      </c>
      <c r="E187" s="161"/>
      <c r="F187" s="161"/>
      <c r="G187" s="162"/>
    </row>
    <row r="188" spans="1:7">
      <c r="A188" s="186" t="s">
        <v>367</v>
      </c>
      <c r="B188" s="165"/>
      <c r="C188" s="161"/>
      <c r="D188" s="161"/>
      <c r="E188" s="161"/>
      <c r="F188" s="161"/>
      <c r="G188" s="162"/>
    </row>
    <row r="189" spans="1:7">
      <c r="A189" s="166"/>
      <c r="B189" s="165"/>
      <c r="C189" s="161"/>
      <c r="D189" s="161"/>
      <c r="E189" s="161"/>
      <c r="F189" s="161"/>
      <c r="G189" s="168" t="s">
        <v>235</v>
      </c>
    </row>
    <row r="190" spans="1:7">
      <c r="A190" s="192" t="s">
        <v>374</v>
      </c>
      <c r="B190" s="155">
        <v>43801</v>
      </c>
      <c r="C190" s="156" t="s">
        <v>220</v>
      </c>
      <c r="D190" s="156"/>
      <c r="E190" s="156">
        <v>2026</v>
      </c>
      <c r="F190" s="156"/>
      <c r="G190" s="191"/>
    </row>
    <row r="191" spans="1:7">
      <c r="A191" s="166" t="s">
        <v>375</v>
      </c>
      <c r="B191" s="165"/>
      <c r="C191" s="161"/>
      <c r="D191" s="167">
        <v>10000</v>
      </c>
      <c r="E191" s="161"/>
      <c r="F191" s="161"/>
      <c r="G191" s="162"/>
    </row>
    <row r="192" spans="1:7">
      <c r="A192" s="171"/>
      <c r="B192" s="172"/>
      <c r="C192" s="173"/>
      <c r="D192" s="173"/>
      <c r="E192" s="173"/>
      <c r="F192" s="173"/>
      <c r="G192" s="174"/>
    </row>
    <row r="193" spans="1:7">
      <c r="A193" s="192" t="s">
        <v>376</v>
      </c>
      <c r="B193" s="155">
        <v>43801</v>
      </c>
      <c r="C193" s="156" t="s">
        <v>220</v>
      </c>
      <c r="D193" s="156"/>
      <c r="E193" s="156">
        <v>2026</v>
      </c>
      <c r="F193" s="156"/>
      <c r="G193" s="191"/>
    </row>
    <row r="194" spans="1:7">
      <c r="A194" s="166" t="s">
        <v>377</v>
      </c>
      <c r="B194" s="165"/>
      <c r="C194" s="161"/>
      <c r="D194" s="167">
        <v>9.5</v>
      </c>
      <c r="E194" s="161"/>
      <c r="F194" s="161"/>
      <c r="G194" s="162"/>
    </row>
    <row r="195" spans="1:7">
      <c r="A195" s="166" t="s">
        <v>378</v>
      </c>
      <c r="B195" s="165"/>
      <c r="C195" s="161"/>
      <c r="D195" s="167">
        <v>28.5</v>
      </c>
      <c r="E195" s="161"/>
      <c r="F195" s="161"/>
      <c r="G195" s="162"/>
    </row>
    <row r="196" spans="1:7">
      <c r="A196" s="166" t="s">
        <v>379</v>
      </c>
      <c r="B196" s="170"/>
      <c r="C196" s="167"/>
      <c r="D196" s="167">
        <v>19</v>
      </c>
      <c r="E196" s="167"/>
      <c r="F196" s="161"/>
      <c r="G196" s="162"/>
    </row>
    <row r="197" spans="1:7">
      <c r="A197" s="171"/>
      <c r="B197" s="172"/>
      <c r="C197" s="173"/>
      <c r="D197" s="173"/>
      <c r="E197" s="173"/>
      <c r="F197" s="173"/>
      <c r="G197" s="174"/>
    </row>
    <row r="198" spans="1:7">
      <c r="A198" s="193" t="s">
        <v>380</v>
      </c>
      <c r="B198" s="155">
        <v>43801</v>
      </c>
      <c r="C198" s="156">
        <v>2020</v>
      </c>
      <c r="D198" s="156"/>
      <c r="E198" s="156">
        <v>2021</v>
      </c>
      <c r="F198" s="156"/>
      <c r="G198" s="191"/>
    </row>
    <row r="199" spans="1:7">
      <c r="A199" s="164" t="s">
        <v>381</v>
      </c>
      <c r="B199" s="165"/>
      <c r="C199" s="161"/>
      <c r="D199" s="161"/>
      <c r="E199" s="161"/>
      <c r="F199" s="161"/>
      <c r="G199" s="168" t="s">
        <v>235</v>
      </c>
    </row>
    <row r="200" spans="1:7">
      <c r="A200" s="166" t="s">
        <v>382</v>
      </c>
      <c r="B200" s="165"/>
      <c r="C200" s="161"/>
      <c r="D200" s="167">
        <v>1.25</v>
      </c>
      <c r="E200" s="161"/>
      <c r="F200" s="161"/>
      <c r="G200" s="162"/>
    </row>
    <row r="201" spans="1:7">
      <c r="A201" s="166" t="s">
        <v>383</v>
      </c>
      <c r="B201" s="165"/>
      <c r="C201" s="161"/>
      <c r="D201" s="167">
        <v>0.8</v>
      </c>
      <c r="E201" s="161"/>
      <c r="F201" s="161"/>
      <c r="G201" s="162"/>
    </row>
    <row r="202" spans="1:7">
      <c r="A202" s="166" t="s">
        <v>384</v>
      </c>
      <c r="B202" s="165"/>
      <c r="C202" s="161"/>
      <c r="D202" s="167">
        <v>0.25</v>
      </c>
      <c r="E202" s="161"/>
      <c r="F202" s="161"/>
      <c r="G202" s="162"/>
    </row>
    <row r="203" spans="1:7">
      <c r="A203" s="166" t="s">
        <v>385</v>
      </c>
      <c r="B203" s="165"/>
      <c r="C203" s="161"/>
      <c r="D203" s="161"/>
      <c r="E203" s="161"/>
      <c r="F203" s="161"/>
      <c r="G203" s="162"/>
    </row>
    <row r="204" spans="1:7">
      <c r="A204" s="166" t="s">
        <v>386</v>
      </c>
      <c r="B204" s="165"/>
      <c r="C204" s="161"/>
      <c r="D204" s="167">
        <v>500</v>
      </c>
      <c r="E204" s="161"/>
      <c r="F204" s="161"/>
      <c r="G204" s="162"/>
    </row>
    <row r="205" spans="1:7">
      <c r="A205" s="166" t="s">
        <v>387</v>
      </c>
      <c r="B205" s="165"/>
      <c r="C205" s="161"/>
      <c r="D205" s="167">
        <v>375</v>
      </c>
      <c r="E205" s="161"/>
      <c r="F205" s="161"/>
      <c r="G205" s="162"/>
    </row>
    <row r="206" spans="1:7">
      <c r="A206" s="166" t="s">
        <v>388</v>
      </c>
      <c r="B206" s="165"/>
      <c r="C206" s="161"/>
      <c r="D206" s="167">
        <v>250</v>
      </c>
      <c r="E206" s="161"/>
      <c r="F206" s="161"/>
      <c r="G206" s="162"/>
    </row>
    <row r="207" spans="1:7">
      <c r="A207" s="166" t="s">
        <v>389</v>
      </c>
      <c r="B207" s="165"/>
      <c r="C207" s="161"/>
      <c r="D207" s="167">
        <v>125</v>
      </c>
      <c r="E207" s="161"/>
      <c r="F207" s="161"/>
      <c r="G207" s="162"/>
    </row>
    <row r="208" spans="1:7">
      <c r="A208" s="164" t="s">
        <v>390</v>
      </c>
      <c r="B208" s="165"/>
      <c r="C208" s="161"/>
      <c r="D208" s="161"/>
      <c r="E208" s="161"/>
      <c r="F208" s="161"/>
      <c r="G208" s="162"/>
    </row>
    <row r="209" spans="1:7">
      <c r="A209" s="166" t="s">
        <v>391</v>
      </c>
      <c r="B209" s="165"/>
      <c r="C209" s="161"/>
      <c r="D209" s="167">
        <v>0.02</v>
      </c>
      <c r="E209" s="161"/>
      <c r="F209" s="161"/>
      <c r="G209" s="162"/>
    </row>
    <row r="210" spans="1:7">
      <c r="A210" s="166"/>
      <c r="B210" s="165"/>
      <c r="C210" s="161"/>
      <c r="D210" s="161"/>
      <c r="E210" s="161"/>
      <c r="F210" s="161"/>
      <c r="G210" s="162"/>
    </row>
    <row r="211" spans="1:7">
      <c r="A211" s="164" t="s">
        <v>392</v>
      </c>
      <c r="B211" s="165"/>
      <c r="C211" s="161"/>
      <c r="D211" s="161"/>
      <c r="E211" s="161"/>
      <c r="F211" s="161"/>
      <c r="G211" s="162"/>
    </row>
    <row r="212" spans="1:7">
      <c r="A212" s="166" t="s">
        <v>393</v>
      </c>
      <c r="B212" s="165"/>
      <c r="C212" s="161"/>
      <c r="D212" s="167">
        <v>0.125</v>
      </c>
      <c r="E212" s="161"/>
      <c r="F212" s="161"/>
      <c r="G212" s="162"/>
    </row>
    <row r="213" spans="1:7">
      <c r="A213" s="166" t="s">
        <v>394</v>
      </c>
      <c r="B213" s="165"/>
      <c r="C213" s="161"/>
      <c r="D213" s="167">
        <v>0.25</v>
      </c>
      <c r="E213" s="161"/>
      <c r="F213" s="161"/>
      <c r="G213" s="162"/>
    </row>
    <row r="214" spans="1:7">
      <c r="A214" s="164" t="s">
        <v>395</v>
      </c>
      <c r="B214" s="165"/>
      <c r="C214" s="161"/>
      <c r="D214" s="161"/>
      <c r="E214" s="161"/>
      <c r="F214" s="161"/>
      <c r="G214" s="162"/>
    </row>
    <row r="215" spans="1:7">
      <c r="A215" s="166" t="s">
        <v>396</v>
      </c>
      <c r="B215" s="165"/>
      <c r="C215" s="161"/>
      <c r="D215" s="167">
        <v>0.2</v>
      </c>
      <c r="E215" s="161"/>
      <c r="F215" s="161"/>
      <c r="G215" s="162"/>
    </row>
    <row r="216" spans="1:7">
      <c r="A216" s="164" t="s">
        <v>397</v>
      </c>
      <c r="B216" s="165"/>
      <c r="C216" s="161"/>
      <c r="D216" s="161"/>
      <c r="E216" s="161"/>
      <c r="F216" s="161"/>
      <c r="G216" s="162"/>
    </row>
    <row r="217" spans="1:7">
      <c r="A217" s="166" t="s">
        <v>398</v>
      </c>
      <c r="B217" s="165"/>
      <c r="C217" s="161"/>
      <c r="D217" s="167">
        <v>7.5</v>
      </c>
      <c r="E217" s="161"/>
      <c r="F217" s="161"/>
      <c r="G217" s="162"/>
    </row>
    <row r="218" spans="1:7">
      <c r="A218" s="166"/>
      <c r="B218" s="165"/>
      <c r="C218" s="161"/>
      <c r="D218" s="161"/>
      <c r="E218" s="161"/>
      <c r="F218" s="161"/>
      <c r="G218" s="162"/>
    </row>
    <row r="219" spans="1:7">
      <c r="A219" s="154" t="s">
        <v>399</v>
      </c>
      <c r="B219" s="155">
        <v>43801</v>
      </c>
      <c r="C219" s="156">
        <v>2020</v>
      </c>
      <c r="D219" s="188"/>
      <c r="E219" s="156">
        <v>2021</v>
      </c>
      <c r="F219" s="157"/>
      <c r="G219" s="191"/>
    </row>
    <row r="220" spans="1:7">
      <c r="A220" s="166" t="s">
        <v>400</v>
      </c>
      <c r="B220" s="165"/>
      <c r="C220" s="161"/>
      <c r="D220" s="161"/>
      <c r="E220" s="161"/>
      <c r="F220" s="161"/>
      <c r="G220" s="168"/>
    </row>
    <row r="221" spans="1:7">
      <c r="A221" s="166" t="s">
        <v>401</v>
      </c>
      <c r="B221" s="165"/>
      <c r="C221" s="161"/>
      <c r="D221" s="167">
        <v>0.17</v>
      </c>
      <c r="E221" s="161"/>
      <c r="F221" s="161"/>
      <c r="G221" s="162"/>
    </row>
    <row r="222" spans="1:7">
      <c r="A222" s="166" t="s">
        <v>402</v>
      </c>
      <c r="B222" s="165"/>
      <c r="C222" s="161"/>
      <c r="D222" s="167">
        <v>0.17</v>
      </c>
      <c r="E222" s="161"/>
      <c r="F222" s="161"/>
      <c r="G222" s="162"/>
    </row>
    <row r="223" spans="1:7">
      <c r="A223" s="166" t="s">
        <v>403</v>
      </c>
      <c r="B223" s="165"/>
      <c r="C223" s="161"/>
      <c r="D223" s="167">
        <v>5.5E-2</v>
      </c>
      <c r="E223" s="161"/>
      <c r="F223" s="161"/>
      <c r="G223" s="168"/>
    </row>
    <row r="224" spans="1:7">
      <c r="A224" s="166" t="s">
        <v>404</v>
      </c>
      <c r="B224" s="165"/>
      <c r="C224" s="161"/>
      <c r="D224" s="167">
        <v>0.02</v>
      </c>
      <c r="E224" s="161"/>
      <c r="F224" s="161"/>
      <c r="G224" s="162"/>
    </row>
    <row r="225" spans="1:7">
      <c r="A225" s="166" t="s">
        <v>405</v>
      </c>
      <c r="B225" s="170"/>
      <c r="C225" s="167"/>
      <c r="D225" s="167"/>
      <c r="E225" s="167"/>
      <c r="F225" s="161"/>
      <c r="G225" s="162"/>
    </row>
    <row r="226" spans="1:7">
      <c r="A226" s="166" t="s">
        <v>401</v>
      </c>
      <c r="B226" s="170"/>
      <c r="C226" s="167"/>
      <c r="D226" s="167">
        <v>0.17</v>
      </c>
      <c r="E226" s="167"/>
      <c r="F226" s="161"/>
      <c r="G226" s="162"/>
    </row>
    <row r="227" spans="1:7">
      <c r="A227" s="166" t="s">
        <v>406</v>
      </c>
      <c r="B227" s="170"/>
      <c r="C227" s="167"/>
      <c r="D227" s="167">
        <v>0.17</v>
      </c>
      <c r="E227" s="167"/>
      <c r="F227" s="161"/>
      <c r="G227" s="162"/>
    </row>
    <row r="228" spans="1:7">
      <c r="A228" s="166" t="s">
        <v>403</v>
      </c>
      <c r="B228" s="170"/>
      <c r="C228" s="167"/>
      <c r="D228" s="167">
        <v>0.06</v>
      </c>
      <c r="E228" s="167"/>
      <c r="F228" s="161"/>
      <c r="G228" s="162"/>
    </row>
    <row r="229" spans="1:7">
      <c r="A229" s="166" t="s">
        <v>404</v>
      </c>
      <c r="B229" s="170"/>
      <c r="C229" s="167"/>
      <c r="D229" s="167">
        <v>0.04</v>
      </c>
      <c r="E229" s="167"/>
      <c r="F229" s="161"/>
      <c r="G229" s="162"/>
    </row>
    <row r="230" spans="1:7">
      <c r="A230" s="171"/>
      <c r="B230" s="172"/>
      <c r="C230" s="173"/>
      <c r="D230" s="173"/>
      <c r="E230" s="173"/>
      <c r="F230" s="173"/>
      <c r="G230" s="174"/>
    </row>
    <row r="231" spans="1:7">
      <c r="A231" s="192" t="s">
        <v>407</v>
      </c>
      <c r="B231" s="155">
        <v>43801</v>
      </c>
      <c r="C231" s="156" t="s">
        <v>220</v>
      </c>
      <c r="D231" s="156"/>
      <c r="E231" s="156">
        <v>2026</v>
      </c>
      <c r="F231" s="156"/>
      <c r="G231" s="191"/>
    </row>
    <row r="232" spans="1:7">
      <c r="A232" s="166" t="s">
        <v>408</v>
      </c>
      <c r="B232" s="165"/>
      <c r="C232" s="161"/>
      <c r="D232" s="167">
        <v>100</v>
      </c>
      <c r="E232" s="161"/>
      <c r="F232" s="161"/>
      <c r="G232" s="162"/>
    </row>
    <row r="233" spans="1:7">
      <c r="A233" s="166" t="s">
        <v>409</v>
      </c>
      <c r="B233" s="165"/>
      <c r="C233" s="161"/>
      <c r="D233" s="167">
        <v>75</v>
      </c>
      <c r="E233" s="161"/>
      <c r="F233" s="161"/>
      <c r="G233" s="162"/>
    </row>
    <row r="234" spans="1:7">
      <c r="A234" s="171"/>
      <c r="B234" s="172"/>
      <c r="C234" s="173"/>
      <c r="D234" s="173"/>
      <c r="E234" s="173"/>
      <c r="F234" s="173"/>
      <c r="G234" s="174"/>
    </row>
    <row r="235" spans="1:7">
      <c r="A235" s="192" t="s">
        <v>410</v>
      </c>
      <c r="B235" s="155">
        <v>43801</v>
      </c>
      <c r="C235" s="156" t="s">
        <v>220</v>
      </c>
      <c r="D235" s="156"/>
      <c r="E235" s="156">
        <v>2026</v>
      </c>
      <c r="F235" s="156"/>
      <c r="G235" s="189"/>
    </row>
    <row r="236" spans="1:7" ht="26.25">
      <c r="A236" s="164"/>
      <c r="B236" s="160"/>
      <c r="C236" s="161"/>
      <c r="D236" s="161"/>
      <c r="E236" s="161"/>
      <c r="F236" s="161"/>
      <c r="G236" s="185" t="s">
        <v>411</v>
      </c>
    </row>
    <row r="237" spans="1:7" ht="26.25">
      <c r="A237" s="166" t="s">
        <v>412</v>
      </c>
      <c r="B237" s="165"/>
      <c r="C237" s="161"/>
      <c r="D237" s="167">
        <v>0.88</v>
      </c>
      <c r="E237" s="161"/>
      <c r="F237" s="167">
        <v>0.88</v>
      </c>
      <c r="G237" s="185" t="s">
        <v>413</v>
      </c>
    </row>
    <row r="238" spans="1:7">
      <c r="A238" s="166" t="s">
        <v>414</v>
      </c>
      <c r="B238" s="165"/>
      <c r="C238" s="161"/>
      <c r="D238" s="161"/>
      <c r="E238" s="161"/>
      <c r="F238" s="161"/>
      <c r="G238" s="185" t="s">
        <v>415</v>
      </c>
    </row>
    <row r="239" spans="1:7">
      <c r="A239" s="166" t="s">
        <v>416</v>
      </c>
      <c r="B239" s="165"/>
      <c r="C239" s="161"/>
      <c r="D239" s="167">
        <v>9.7899999999999991</v>
      </c>
      <c r="E239" s="161"/>
      <c r="F239" s="167">
        <v>9.7899999999999991</v>
      </c>
      <c r="G239" s="162"/>
    </row>
    <row r="240" spans="1:7">
      <c r="A240" s="166" t="s">
        <v>417</v>
      </c>
      <c r="B240" s="165"/>
      <c r="C240" s="161"/>
      <c r="D240" s="167">
        <v>4.92</v>
      </c>
      <c r="E240" s="161"/>
      <c r="F240" s="167">
        <v>4.92</v>
      </c>
      <c r="G240" s="3760" t="s">
        <v>221</v>
      </c>
    </row>
    <row r="241" spans="1:7">
      <c r="A241" s="166" t="s">
        <v>418</v>
      </c>
      <c r="B241" s="165"/>
      <c r="C241" s="161"/>
      <c r="D241" s="167">
        <v>3.28</v>
      </c>
      <c r="E241" s="161"/>
      <c r="F241" s="167">
        <v>3.28</v>
      </c>
      <c r="G241" s="162"/>
    </row>
    <row r="242" spans="1:7">
      <c r="A242" s="166" t="s">
        <v>419</v>
      </c>
      <c r="B242" s="165"/>
      <c r="C242" s="161"/>
      <c r="D242" s="167">
        <v>0.36</v>
      </c>
      <c r="E242" s="161"/>
      <c r="F242" s="167">
        <v>0.36</v>
      </c>
      <c r="G242" s="168" t="s">
        <v>235</v>
      </c>
    </row>
    <row r="243" spans="1:7">
      <c r="A243" s="166" t="s">
        <v>420</v>
      </c>
      <c r="B243" s="165"/>
      <c r="C243" s="161"/>
      <c r="D243" s="167">
        <v>0.36</v>
      </c>
      <c r="E243" s="161"/>
      <c r="F243" s="167">
        <v>0.36</v>
      </c>
      <c r="G243" s="162"/>
    </row>
    <row r="244" spans="1:7">
      <c r="A244" s="171"/>
      <c r="B244" s="172"/>
      <c r="C244" s="173"/>
      <c r="D244" s="173"/>
      <c r="E244" s="173"/>
      <c r="F244" s="173"/>
      <c r="G244" s="174"/>
    </row>
    <row r="245" spans="1:7">
      <c r="A245" s="154" t="s">
        <v>421</v>
      </c>
      <c r="B245" s="155">
        <v>43801</v>
      </c>
      <c r="C245" s="156" t="s">
        <v>220</v>
      </c>
      <c r="D245" s="156"/>
      <c r="E245" s="156">
        <v>2026</v>
      </c>
      <c r="F245" s="156"/>
      <c r="G245" s="163"/>
    </row>
    <row r="246" spans="1:7">
      <c r="A246" s="166" t="s">
        <v>422</v>
      </c>
      <c r="B246" s="165"/>
      <c r="C246" s="161"/>
      <c r="D246" s="167">
        <v>12</v>
      </c>
      <c r="E246" s="161"/>
      <c r="F246" s="161"/>
      <c r="G246" s="168"/>
    </row>
    <row r="247" spans="1:7">
      <c r="A247" s="166" t="s">
        <v>423</v>
      </c>
      <c r="B247" s="165"/>
      <c r="C247" s="161"/>
      <c r="D247" s="161"/>
      <c r="E247" s="161"/>
      <c r="F247" s="161"/>
      <c r="G247" s="162"/>
    </row>
    <row r="248" spans="1:7">
      <c r="A248" s="190" t="s">
        <v>424</v>
      </c>
      <c r="B248" s="165"/>
      <c r="C248" s="161"/>
      <c r="D248" s="167">
        <v>2</v>
      </c>
      <c r="E248" s="161"/>
      <c r="F248" s="161"/>
      <c r="G248" s="168"/>
    </row>
    <row r="249" spans="1:7">
      <c r="A249" s="166" t="s">
        <v>425</v>
      </c>
      <c r="B249" s="165"/>
      <c r="C249" s="161"/>
      <c r="D249" s="167">
        <v>3</v>
      </c>
      <c r="E249" s="161"/>
      <c r="F249" s="161"/>
      <c r="G249" s="168"/>
    </row>
    <row r="250" spans="1:7">
      <c r="A250" s="166" t="s">
        <v>426</v>
      </c>
      <c r="B250" s="165"/>
      <c r="C250" s="161"/>
      <c r="D250" s="167">
        <v>3</v>
      </c>
      <c r="E250" s="161"/>
      <c r="F250" s="161"/>
      <c r="G250" s="168"/>
    </row>
    <row r="251" spans="1:7">
      <c r="A251" s="166" t="s">
        <v>427</v>
      </c>
      <c r="B251" s="165"/>
      <c r="C251" s="161"/>
      <c r="D251" s="167">
        <v>4</v>
      </c>
      <c r="E251" s="161"/>
      <c r="F251" s="161"/>
      <c r="G251" s="168"/>
    </row>
    <row r="252" spans="1:7">
      <c r="A252" s="194" t="s">
        <v>428</v>
      </c>
      <c r="B252" s="165"/>
      <c r="C252" s="161"/>
      <c r="D252" s="167">
        <v>4</v>
      </c>
      <c r="E252" s="161"/>
      <c r="F252" s="161"/>
      <c r="G252" s="168"/>
    </row>
    <row r="253" spans="1:7">
      <c r="A253" s="166" t="s">
        <v>429</v>
      </c>
      <c r="B253" s="165"/>
      <c r="C253" s="161"/>
      <c r="D253" s="167">
        <v>50</v>
      </c>
      <c r="E253" s="161"/>
      <c r="F253" s="161"/>
      <c r="G253" s="168"/>
    </row>
    <row r="254" spans="1:7">
      <c r="A254" s="166" t="s">
        <v>430</v>
      </c>
      <c r="B254" s="170"/>
      <c r="C254" s="167"/>
      <c r="D254" s="167"/>
      <c r="E254" s="167"/>
      <c r="F254" s="161"/>
      <c r="G254" s="168"/>
    </row>
    <row r="255" spans="1:7">
      <c r="A255" s="166" t="s">
        <v>431</v>
      </c>
      <c r="B255" s="170"/>
      <c r="C255" s="167"/>
      <c r="D255" s="167">
        <v>10</v>
      </c>
      <c r="E255" s="167"/>
      <c r="F255" s="161"/>
      <c r="G255" s="168"/>
    </row>
    <row r="256" spans="1:7">
      <c r="A256" s="166" t="s">
        <v>432</v>
      </c>
      <c r="B256" s="170"/>
      <c r="C256" s="167"/>
      <c r="D256" s="167">
        <v>12</v>
      </c>
      <c r="E256" s="167"/>
      <c r="F256" s="161"/>
      <c r="G256" s="168"/>
    </row>
    <row r="257" spans="1:7">
      <c r="A257" s="166" t="s">
        <v>433</v>
      </c>
      <c r="B257" s="165"/>
      <c r="C257" s="161"/>
      <c r="D257" s="167">
        <v>15</v>
      </c>
      <c r="E257" s="161"/>
      <c r="F257" s="161"/>
      <c r="G257" s="168"/>
    </row>
    <row r="258" spans="1:7">
      <c r="A258" s="166"/>
      <c r="B258" s="165"/>
      <c r="C258" s="161"/>
      <c r="D258" s="161"/>
      <c r="E258" s="161"/>
      <c r="F258" s="161"/>
      <c r="G258" s="168"/>
    </row>
    <row r="259" spans="1:7">
      <c r="A259" s="154" t="s">
        <v>434</v>
      </c>
      <c r="B259" s="155">
        <v>43801</v>
      </c>
      <c r="C259" s="156" t="s">
        <v>220</v>
      </c>
      <c r="D259" s="156"/>
      <c r="E259" s="156">
        <v>2026</v>
      </c>
      <c r="F259" s="156"/>
      <c r="G259" s="191"/>
    </row>
    <row r="260" spans="1:7">
      <c r="A260" s="166" t="s">
        <v>435</v>
      </c>
      <c r="B260" s="165"/>
      <c r="C260" s="161"/>
      <c r="D260" s="161"/>
      <c r="E260" s="161"/>
      <c r="F260" s="161"/>
      <c r="G260" s="162"/>
    </row>
    <row r="261" spans="1:7">
      <c r="A261" s="166" t="s">
        <v>436</v>
      </c>
      <c r="B261" s="165"/>
      <c r="C261" s="161"/>
      <c r="D261" s="167">
        <v>0.5</v>
      </c>
      <c r="E261" s="161"/>
      <c r="F261" s="161"/>
      <c r="G261" s="168" t="s">
        <v>235</v>
      </c>
    </row>
    <row r="262" spans="1:7">
      <c r="A262" s="166" t="s">
        <v>437</v>
      </c>
      <c r="B262" s="165"/>
      <c r="C262" s="161"/>
      <c r="D262" s="167">
        <v>2</v>
      </c>
      <c r="E262" s="161"/>
      <c r="F262" s="161"/>
      <c r="G262" s="162"/>
    </row>
    <row r="263" spans="1:7">
      <c r="A263" s="166" t="s">
        <v>438</v>
      </c>
      <c r="B263" s="165"/>
      <c r="C263" s="161"/>
      <c r="D263" s="167">
        <v>1.5</v>
      </c>
      <c r="E263" s="161"/>
      <c r="F263" s="161"/>
      <c r="G263" s="162"/>
    </row>
    <row r="264" spans="1:7">
      <c r="A264" s="166" t="s">
        <v>439</v>
      </c>
      <c r="B264" s="165"/>
      <c r="C264" s="161"/>
      <c r="D264" s="167">
        <v>0.5</v>
      </c>
      <c r="E264" s="161"/>
      <c r="F264" s="161"/>
      <c r="G264" s="162"/>
    </row>
    <row r="265" spans="1:7">
      <c r="A265" s="166" t="s">
        <v>440</v>
      </c>
      <c r="B265" s="165"/>
      <c r="C265" s="161"/>
      <c r="D265" s="167">
        <v>0.5</v>
      </c>
      <c r="E265" s="161"/>
      <c r="F265" s="161"/>
      <c r="G265" s="162"/>
    </row>
    <row r="266" spans="1:7">
      <c r="A266" s="166" t="s">
        <v>441</v>
      </c>
      <c r="B266" s="165"/>
      <c r="C266" s="161"/>
      <c r="D266" s="167">
        <v>2.5</v>
      </c>
      <c r="E266" s="161"/>
      <c r="F266" s="161"/>
      <c r="G266" s="162"/>
    </row>
    <row r="267" spans="1:7">
      <c r="A267" s="171"/>
      <c r="B267" s="172"/>
      <c r="C267" s="173"/>
      <c r="D267" s="173"/>
      <c r="E267" s="173"/>
      <c r="F267" s="173"/>
      <c r="G267" s="174"/>
    </row>
    <row r="268" spans="1:7">
      <c r="A268" s="154" t="s">
        <v>442</v>
      </c>
      <c r="B268" s="155">
        <v>43801</v>
      </c>
      <c r="C268" s="156" t="s">
        <v>443</v>
      </c>
      <c r="D268" s="156"/>
      <c r="E268" s="156">
        <v>2023</v>
      </c>
      <c r="F268" s="156"/>
      <c r="G268" s="191"/>
    </row>
    <row r="269" spans="1:7">
      <c r="A269" s="164" t="s">
        <v>444</v>
      </c>
      <c r="B269" s="165"/>
      <c r="C269" s="161"/>
      <c r="D269" s="161"/>
      <c r="E269" s="161"/>
      <c r="F269" s="161"/>
      <c r="G269" s="162"/>
    </row>
    <row r="270" spans="1:7" ht="26.25">
      <c r="A270" s="166" t="s">
        <v>445</v>
      </c>
      <c r="B270" s="165"/>
      <c r="C270" s="161"/>
      <c r="D270" s="167">
        <v>0.78</v>
      </c>
      <c r="E270" s="161"/>
      <c r="F270" s="161"/>
      <c r="G270" s="168" t="s">
        <v>446</v>
      </c>
    </row>
    <row r="271" spans="1:7">
      <c r="A271" s="166" t="s">
        <v>447</v>
      </c>
      <c r="B271" s="165"/>
      <c r="C271" s="161"/>
      <c r="D271" s="167">
        <v>0.6</v>
      </c>
      <c r="E271" s="161"/>
      <c r="F271" s="161"/>
      <c r="G271" s="168" t="s">
        <v>448</v>
      </c>
    </row>
    <row r="272" spans="1:7">
      <c r="A272" s="166" t="s">
        <v>449</v>
      </c>
      <c r="B272" s="165"/>
      <c r="C272" s="161"/>
      <c r="D272" s="167">
        <v>0.36</v>
      </c>
      <c r="E272" s="161"/>
      <c r="F272" s="161"/>
      <c r="G272" s="162"/>
    </row>
    <row r="273" spans="1:7">
      <c r="A273" s="164" t="s">
        <v>450</v>
      </c>
      <c r="B273" s="165"/>
      <c r="C273" s="161"/>
      <c r="D273" s="161"/>
      <c r="E273" s="161"/>
      <c r="F273" s="161"/>
      <c r="G273" s="162"/>
    </row>
    <row r="274" spans="1:7">
      <c r="A274" s="166" t="s">
        <v>451</v>
      </c>
      <c r="B274" s="165"/>
      <c r="C274" s="161"/>
      <c r="D274" s="167">
        <v>1</v>
      </c>
      <c r="E274" s="161"/>
      <c r="F274" s="161"/>
      <c r="G274" s="162"/>
    </row>
    <row r="275" spans="1:7">
      <c r="A275" s="171"/>
      <c r="B275" s="172"/>
      <c r="C275" s="173"/>
      <c r="D275" s="173"/>
      <c r="E275" s="173"/>
      <c r="F275" s="173"/>
      <c r="G275" s="174"/>
    </row>
    <row r="276" spans="1:7">
      <c r="A276" s="154" t="s">
        <v>452</v>
      </c>
      <c r="B276" s="155">
        <v>43801</v>
      </c>
      <c r="C276" s="156" t="s">
        <v>220</v>
      </c>
      <c r="D276" s="156"/>
      <c r="E276" s="156">
        <v>2026</v>
      </c>
      <c r="F276" s="156"/>
      <c r="G276" s="191"/>
    </row>
    <row r="277" spans="1:7" ht="26.25">
      <c r="A277" s="166" t="s">
        <v>453</v>
      </c>
      <c r="B277" s="165"/>
      <c r="C277" s="161"/>
      <c r="D277" s="167">
        <v>0.3</v>
      </c>
      <c r="E277" s="161"/>
      <c r="F277" s="161"/>
      <c r="G277" s="168" t="s">
        <v>454</v>
      </c>
    </row>
    <row r="278" spans="1:7">
      <c r="A278" s="166" t="s">
        <v>350</v>
      </c>
      <c r="B278" s="165"/>
      <c r="C278" s="161"/>
      <c r="D278" s="167">
        <v>30</v>
      </c>
      <c r="E278" s="161"/>
      <c r="F278" s="161"/>
      <c r="G278" s="162"/>
    </row>
    <row r="279" spans="1:7">
      <c r="A279" s="171"/>
      <c r="B279" s="172"/>
      <c r="C279" s="173"/>
      <c r="D279" s="173"/>
      <c r="E279" s="173"/>
      <c r="F279" s="173"/>
      <c r="G279" s="174"/>
    </row>
    <row r="280" spans="1:7" ht="26.25">
      <c r="A280" s="154" t="s">
        <v>455</v>
      </c>
      <c r="B280" s="155">
        <v>30712</v>
      </c>
      <c r="C280" s="156" t="s">
        <v>456</v>
      </c>
      <c r="D280" s="188"/>
      <c r="E280" s="188"/>
      <c r="F280" s="188"/>
      <c r="G280" s="189" t="s">
        <v>457</v>
      </c>
    </row>
    <row r="281" spans="1:7">
      <c r="A281" s="166"/>
      <c r="B281" s="165"/>
      <c r="C281" s="161"/>
      <c r="D281" s="161"/>
      <c r="E281" s="161"/>
      <c r="F281" s="161"/>
      <c r="G281" s="162"/>
    </row>
    <row r="282" spans="1:7" ht="26.25">
      <c r="A282" s="154" t="s">
        <v>458</v>
      </c>
      <c r="B282" s="155">
        <v>41722</v>
      </c>
      <c r="C282" s="156" t="s">
        <v>456</v>
      </c>
      <c r="D282" s="157">
        <v>10</v>
      </c>
      <c r="E282" s="188"/>
      <c r="F282" s="188"/>
      <c r="G282" s="189" t="s">
        <v>459</v>
      </c>
    </row>
    <row r="283" spans="1:7">
      <c r="A283" s="166"/>
      <c r="B283" s="165"/>
      <c r="C283" s="161"/>
      <c r="D283" s="161"/>
      <c r="E283" s="161"/>
      <c r="F283" s="161"/>
      <c r="G283" s="168" t="s">
        <v>460</v>
      </c>
    </row>
    <row r="284" spans="1:7">
      <c r="A284" s="171"/>
      <c r="B284" s="172"/>
      <c r="C284" s="173"/>
      <c r="D284" s="173"/>
      <c r="E284" s="173"/>
      <c r="F284" s="173"/>
      <c r="G284" s="174"/>
    </row>
    <row r="285" spans="1:7">
      <c r="A285" s="154" t="s">
        <v>461</v>
      </c>
      <c r="B285" s="155">
        <v>38621</v>
      </c>
      <c r="C285" s="156" t="s">
        <v>456</v>
      </c>
      <c r="D285" s="188"/>
      <c r="E285" s="188"/>
      <c r="F285" s="188"/>
      <c r="G285" s="191"/>
    </row>
    <row r="286" spans="1:7">
      <c r="A286" s="166" t="s">
        <v>462</v>
      </c>
      <c r="B286" s="165"/>
      <c r="C286" s="161"/>
      <c r="D286" s="167">
        <v>10</v>
      </c>
      <c r="E286" s="161"/>
      <c r="F286" s="161"/>
      <c r="G286" s="162"/>
    </row>
    <row r="287" spans="1:7">
      <c r="A287" s="166" t="s">
        <v>463</v>
      </c>
      <c r="B287" s="165"/>
      <c r="C287" s="161"/>
      <c r="D287" s="167">
        <v>9</v>
      </c>
      <c r="E287" s="161"/>
      <c r="F287" s="161"/>
      <c r="G287" s="162"/>
    </row>
    <row r="288" spans="1:7">
      <c r="A288" s="166" t="s">
        <v>464</v>
      </c>
      <c r="B288" s="165"/>
      <c r="C288" s="161"/>
      <c r="D288" s="167">
        <v>6</v>
      </c>
      <c r="E288" s="161"/>
      <c r="F288" s="161"/>
      <c r="G288" s="162"/>
    </row>
    <row r="289" spans="1:7">
      <c r="A289" s="171"/>
      <c r="B289" s="172"/>
      <c r="C289" s="173"/>
      <c r="D289" s="173"/>
      <c r="E289" s="173"/>
      <c r="F289" s="173"/>
      <c r="G289" s="174"/>
    </row>
    <row r="290" spans="1:7">
      <c r="A290" s="154" t="s">
        <v>465</v>
      </c>
      <c r="B290" s="155">
        <v>40084</v>
      </c>
      <c r="C290" s="156" t="s">
        <v>456</v>
      </c>
      <c r="D290" s="188"/>
      <c r="E290" s="188"/>
      <c r="F290" s="188"/>
      <c r="G290" s="191"/>
    </row>
    <row r="291" spans="1:7">
      <c r="A291" s="166" t="s">
        <v>466</v>
      </c>
      <c r="B291" s="165"/>
      <c r="C291" s="161"/>
      <c r="D291" s="167">
        <v>8</v>
      </c>
      <c r="E291" s="161"/>
      <c r="F291" s="161"/>
      <c r="G291" s="162"/>
    </row>
    <row r="292" spans="1:7">
      <c r="A292" s="166" t="s">
        <v>467</v>
      </c>
      <c r="B292" s="165"/>
      <c r="C292" s="161"/>
      <c r="D292" s="167">
        <v>7</v>
      </c>
      <c r="E292" s="161"/>
      <c r="F292" s="161"/>
      <c r="G292" s="162"/>
    </row>
    <row r="293" spans="1:7">
      <c r="A293" s="166" t="s">
        <v>468</v>
      </c>
      <c r="B293" s="170"/>
      <c r="C293" s="167"/>
      <c r="D293" s="167">
        <v>0.3</v>
      </c>
      <c r="E293" s="167"/>
      <c r="F293" s="161"/>
      <c r="G293" s="162"/>
    </row>
    <row r="294" spans="1:7">
      <c r="A294" s="166"/>
      <c r="B294" s="170"/>
      <c r="C294" s="167"/>
      <c r="D294" s="167"/>
      <c r="E294" s="167"/>
      <c r="F294" s="161"/>
      <c r="G294" s="162"/>
    </row>
    <row r="295" spans="1:7">
      <c r="A295" s="154" t="s">
        <v>469</v>
      </c>
      <c r="B295" s="187"/>
      <c r="C295" s="188"/>
      <c r="D295" s="188"/>
      <c r="E295" s="188"/>
      <c r="F295" s="188"/>
      <c r="G295" s="191"/>
    </row>
    <row r="296" spans="1:7">
      <c r="A296" s="164" t="s">
        <v>470</v>
      </c>
      <c r="B296" s="165"/>
      <c r="C296" s="161"/>
      <c r="D296" s="161"/>
      <c r="E296" s="161"/>
      <c r="F296" s="161"/>
      <c r="G296" s="162"/>
    </row>
    <row r="297" spans="1:7">
      <c r="A297" s="166" t="s">
        <v>471</v>
      </c>
      <c r="B297" s="165"/>
      <c r="C297" s="161"/>
      <c r="D297" s="167">
        <v>30</v>
      </c>
      <c r="E297" s="161"/>
      <c r="F297" s="161"/>
      <c r="G297" s="162"/>
    </row>
    <row r="298" spans="1:7">
      <c r="A298" s="164" t="s">
        <v>472</v>
      </c>
      <c r="B298" s="165"/>
      <c r="C298" s="161"/>
      <c r="D298" s="161"/>
      <c r="E298" s="161"/>
      <c r="F298" s="161"/>
      <c r="G298" s="162"/>
    </row>
    <row r="299" spans="1:7">
      <c r="A299" s="176" t="s">
        <v>473</v>
      </c>
      <c r="B299" s="165"/>
      <c r="C299" s="161"/>
      <c r="D299" s="167">
        <v>600</v>
      </c>
      <c r="E299" s="161"/>
      <c r="F299" s="161"/>
      <c r="G299" s="162"/>
    </row>
    <row r="300" spans="1:7">
      <c r="A300" s="166" t="s">
        <v>474</v>
      </c>
      <c r="B300" s="165"/>
      <c r="C300" s="161"/>
      <c r="D300" s="167">
        <v>300</v>
      </c>
      <c r="E300" s="161"/>
      <c r="F300" s="161"/>
      <c r="G300" s="162"/>
    </row>
    <row r="301" spans="1:7">
      <c r="A301" s="166" t="s">
        <v>475</v>
      </c>
      <c r="B301" s="165"/>
      <c r="C301" s="161"/>
      <c r="D301" s="167">
        <v>150</v>
      </c>
      <c r="E301" s="161"/>
      <c r="F301" s="161"/>
      <c r="G301" s="162"/>
    </row>
    <row r="302" spans="1:7">
      <c r="A302" s="166" t="s">
        <v>476</v>
      </c>
      <c r="B302" s="165"/>
      <c r="C302" s="161"/>
      <c r="D302" s="167">
        <v>80</v>
      </c>
      <c r="E302" s="161"/>
      <c r="F302" s="161"/>
      <c r="G302" s="162"/>
    </row>
    <row r="303" spans="1:7">
      <c r="A303" s="164" t="s">
        <v>477</v>
      </c>
      <c r="B303" s="165"/>
      <c r="C303" s="161"/>
      <c r="D303" s="161"/>
      <c r="E303" s="161"/>
      <c r="F303" s="161"/>
      <c r="G303" s="162"/>
    </row>
    <row r="304" spans="1:7">
      <c r="A304" s="166" t="s">
        <v>478</v>
      </c>
      <c r="B304" s="165"/>
      <c r="C304" s="161"/>
      <c r="D304" s="167">
        <v>125</v>
      </c>
      <c r="E304" s="161"/>
      <c r="F304" s="161"/>
      <c r="G304" s="162"/>
    </row>
    <row r="305" spans="1:7">
      <c r="A305" s="166" t="s">
        <v>479</v>
      </c>
      <c r="B305" s="165"/>
      <c r="C305" s="161"/>
      <c r="D305" s="167">
        <v>80</v>
      </c>
      <c r="E305" s="161"/>
      <c r="F305" s="161"/>
      <c r="G305" s="162"/>
    </row>
    <row r="306" spans="1:7">
      <c r="A306" s="171"/>
      <c r="B306" s="172"/>
      <c r="C306" s="173"/>
      <c r="D306" s="173"/>
      <c r="E306" s="173"/>
      <c r="F306" s="173"/>
      <c r="G306" s="174"/>
    </row>
    <row r="307" spans="1:7">
      <c r="A307" s="166" t="s">
        <v>480</v>
      </c>
      <c r="B307" s="165"/>
      <c r="C307" s="161"/>
      <c r="D307" s="167">
        <v>3</v>
      </c>
      <c r="E307" s="161"/>
      <c r="F307" s="161"/>
      <c r="G307" s="168" t="s">
        <v>481</v>
      </c>
    </row>
    <row r="308" spans="1:7">
      <c r="A308" s="166" t="s">
        <v>482</v>
      </c>
      <c r="B308" s="165"/>
      <c r="C308" s="161"/>
      <c r="D308" s="167" t="s">
        <v>177</v>
      </c>
      <c r="E308" s="161"/>
      <c r="F308" s="161"/>
      <c r="G308" s="168" t="s">
        <v>483</v>
      </c>
    </row>
    <row r="309" spans="1:7">
      <c r="A309" s="166" t="s">
        <v>484</v>
      </c>
      <c r="B309" s="165"/>
      <c r="C309" s="161"/>
      <c r="D309" s="167" t="s">
        <v>177</v>
      </c>
      <c r="E309" s="161"/>
      <c r="F309" s="161"/>
      <c r="G309" s="168" t="s">
        <v>483</v>
      </c>
    </row>
    <row r="310" spans="1:7">
      <c r="A310" s="166" t="s">
        <v>485</v>
      </c>
      <c r="B310" s="165"/>
      <c r="C310" s="161"/>
      <c r="D310" s="167">
        <v>12</v>
      </c>
      <c r="E310" s="161"/>
      <c r="F310" s="161"/>
      <c r="G310" s="162"/>
    </row>
    <row r="311" spans="1:7">
      <c r="A311" s="164" t="s">
        <v>486</v>
      </c>
      <c r="B311" s="165"/>
      <c r="C311" s="161"/>
      <c r="D311" s="161"/>
      <c r="E311" s="161"/>
      <c r="F311" s="161"/>
      <c r="G311" s="162"/>
    </row>
    <row r="312" spans="1:7">
      <c r="A312" s="166" t="s">
        <v>487</v>
      </c>
      <c r="B312" s="165"/>
      <c r="C312" s="161"/>
      <c r="D312" s="167">
        <v>12</v>
      </c>
      <c r="E312" s="161"/>
      <c r="F312" s="161"/>
      <c r="G312" s="162"/>
    </row>
    <row r="313" spans="1:7">
      <c r="A313" s="166" t="s">
        <v>488</v>
      </c>
      <c r="B313" s="165"/>
      <c r="C313" s="161"/>
      <c r="D313" s="167">
        <v>8</v>
      </c>
      <c r="E313" s="161"/>
      <c r="F313" s="161"/>
      <c r="G313" s="162"/>
    </row>
    <row r="314" spans="1:7">
      <c r="A314" s="171"/>
      <c r="B314" s="172"/>
      <c r="C314" s="173"/>
      <c r="D314" s="173"/>
      <c r="E314" s="173"/>
      <c r="F314" s="173"/>
      <c r="G314" s="174"/>
    </row>
    <row r="315" spans="1:7">
      <c r="A315" s="166" t="s">
        <v>489</v>
      </c>
      <c r="B315" s="165"/>
      <c r="C315" s="161"/>
      <c r="D315" s="161"/>
      <c r="E315" s="161"/>
      <c r="F315" s="161"/>
      <c r="G315" s="168" t="s">
        <v>490</v>
      </c>
    </row>
    <row r="316" spans="1:7">
      <c r="A316" s="166" t="s">
        <v>491</v>
      </c>
      <c r="B316" s="165"/>
      <c r="C316" s="161"/>
      <c r="D316" s="161"/>
      <c r="E316" s="161"/>
      <c r="F316" s="161"/>
      <c r="G316" s="168" t="s">
        <v>490</v>
      </c>
    </row>
    <row r="317" spans="1:7">
      <c r="A317" s="166" t="s">
        <v>492</v>
      </c>
      <c r="B317" s="165"/>
      <c r="C317" s="161"/>
      <c r="D317" s="167">
        <v>30</v>
      </c>
      <c r="E317" s="161"/>
      <c r="F317" s="161"/>
      <c r="G317" s="162"/>
    </row>
    <row r="318" spans="1:7">
      <c r="A318" s="166" t="s">
        <v>493</v>
      </c>
      <c r="B318" s="165"/>
      <c r="C318" s="161"/>
      <c r="D318" s="167">
        <v>0.5</v>
      </c>
      <c r="E318" s="161"/>
      <c r="F318" s="161"/>
      <c r="G318" s="162"/>
    </row>
    <row r="319" spans="1:7">
      <c r="A319" s="166" t="s">
        <v>494</v>
      </c>
      <c r="B319" s="165"/>
      <c r="C319" s="161"/>
      <c r="D319" s="161"/>
      <c r="E319" s="161"/>
      <c r="F319" s="161"/>
      <c r="G319" s="168" t="s">
        <v>490</v>
      </c>
    </row>
    <row r="320" spans="1:7">
      <c r="A320" s="171"/>
      <c r="B320" s="172"/>
      <c r="C320" s="173"/>
      <c r="D320" s="173"/>
      <c r="E320" s="173"/>
      <c r="F320" s="173"/>
      <c r="G320" s="174"/>
    </row>
    <row r="321" spans="1:7">
      <c r="A321" s="154" t="s">
        <v>495</v>
      </c>
      <c r="B321" s="155">
        <v>40966</v>
      </c>
      <c r="C321" s="188"/>
      <c r="D321" s="188"/>
      <c r="E321" s="188"/>
      <c r="F321" s="188"/>
      <c r="G321" s="189" t="s">
        <v>496</v>
      </c>
    </row>
    <row r="322" spans="1:7">
      <c r="A322" s="166" t="s">
        <v>497</v>
      </c>
      <c r="B322" s="165"/>
      <c r="C322" s="161"/>
      <c r="D322" s="195">
        <v>21</v>
      </c>
      <c r="E322" s="167"/>
      <c r="F322" s="167"/>
      <c r="G322" s="168"/>
    </row>
    <row r="323" spans="1:7">
      <c r="A323" s="166" t="s">
        <v>498</v>
      </c>
      <c r="B323" s="170"/>
      <c r="C323" s="167"/>
      <c r="D323" s="181">
        <v>28</v>
      </c>
      <c r="E323" s="167"/>
      <c r="F323" s="167"/>
      <c r="G323" s="168"/>
    </row>
    <row r="324" spans="1:7">
      <c r="A324" s="166" t="s">
        <v>499</v>
      </c>
      <c r="B324" s="170"/>
      <c r="C324" s="167"/>
      <c r="D324" s="181">
        <v>31.5</v>
      </c>
      <c r="E324" s="167"/>
      <c r="F324" s="167"/>
      <c r="G324" s="168"/>
    </row>
    <row r="325" spans="1:7">
      <c r="A325" s="166" t="s">
        <v>500</v>
      </c>
      <c r="B325" s="170"/>
      <c r="C325" s="167"/>
      <c r="D325" s="181">
        <v>35</v>
      </c>
      <c r="E325" s="167"/>
      <c r="F325" s="167"/>
      <c r="G325" s="168"/>
    </row>
    <row r="326" spans="1:7">
      <c r="A326" s="166" t="s">
        <v>501</v>
      </c>
      <c r="B326" s="170"/>
      <c r="C326" s="167"/>
      <c r="D326" s="181">
        <v>45.5</v>
      </c>
      <c r="E326" s="167"/>
      <c r="F326" s="167"/>
      <c r="G326" s="168"/>
    </row>
    <row r="327" spans="1:7">
      <c r="A327" s="166" t="s">
        <v>502</v>
      </c>
      <c r="B327" s="170"/>
      <c r="C327" s="167"/>
      <c r="D327" s="181">
        <v>105</v>
      </c>
      <c r="E327" s="167"/>
      <c r="F327" s="167"/>
      <c r="G327" s="168"/>
    </row>
    <row r="328" spans="1:7">
      <c r="A328" s="166" t="s">
        <v>503</v>
      </c>
      <c r="B328" s="170"/>
      <c r="C328" s="167"/>
      <c r="D328" s="181">
        <v>52.5</v>
      </c>
      <c r="E328" s="167"/>
      <c r="F328" s="167"/>
      <c r="G328" s="168"/>
    </row>
    <row r="329" spans="1:7" ht="25.5">
      <c r="A329" s="186" t="s">
        <v>504</v>
      </c>
      <c r="B329" s="170"/>
      <c r="C329" s="167"/>
      <c r="D329" s="167"/>
      <c r="E329" s="167"/>
      <c r="F329" s="167"/>
      <c r="G329" s="182" t="s">
        <v>505</v>
      </c>
    </row>
    <row r="330" spans="1:7" ht="25.5">
      <c r="A330" s="186" t="s">
        <v>506</v>
      </c>
      <c r="B330" s="170"/>
      <c r="C330" s="167"/>
      <c r="D330" s="167"/>
      <c r="E330" s="167"/>
      <c r="F330" s="167"/>
      <c r="G330" s="182" t="s">
        <v>507</v>
      </c>
    </row>
    <row r="331" spans="1:7">
      <c r="A331" s="186" t="s">
        <v>508</v>
      </c>
      <c r="B331" s="170"/>
      <c r="C331" s="167"/>
      <c r="D331" s="167"/>
      <c r="E331" s="167"/>
      <c r="F331" s="167"/>
      <c r="G331" s="168"/>
    </row>
    <row r="332" spans="1:7">
      <c r="A332" s="186" t="s">
        <v>509</v>
      </c>
      <c r="B332" s="170"/>
      <c r="C332" s="167"/>
      <c r="D332" s="167"/>
      <c r="E332" s="167"/>
      <c r="F332" s="167"/>
      <c r="G332" s="168"/>
    </row>
    <row r="333" spans="1:7">
      <c r="A333" s="186" t="s">
        <v>510</v>
      </c>
      <c r="B333" s="170"/>
      <c r="C333" s="167"/>
      <c r="D333" s="167"/>
      <c r="E333" s="167"/>
      <c r="F333" s="167"/>
      <c r="G333" s="168"/>
    </row>
    <row r="334" spans="1:7">
      <c r="A334" s="177" t="s">
        <v>511</v>
      </c>
      <c r="B334" s="180"/>
      <c r="C334" s="181"/>
      <c r="D334" s="178"/>
      <c r="E334" s="181"/>
      <c r="F334" s="181"/>
      <c r="G334" s="168"/>
    </row>
    <row r="335" spans="1:7">
      <c r="A335" s="179" t="s">
        <v>512</v>
      </c>
      <c r="B335" s="180"/>
      <c r="C335" s="181"/>
      <c r="D335" s="181">
        <v>55</v>
      </c>
      <c r="E335" s="167"/>
      <c r="F335" s="167"/>
      <c r="G335" s="168"/>
    </row>
    <row r="336" spans="1:7">
      <c r="A336" s="179" t="s">
        <v>513</v>
      </c>
      <c r="B336" s="180"/>
      <c r="C336" s="181"/>
      <c r="D336" s="181">
        <v>35</v>
      </c>
      <c r="E336" s="167"/>
      <c r="F336" s="167"/>
      <c r="G336" s="168"/>
    </row>
    <row r="337" spans="1:7">
      <c r="A337" s="179" t="s">
        <v>514</v>
      </c>
      <c r="B337" s="180"/>
      <c r="C337" s="181"/>
      <c r="D337" s="181">
        <v>115</v>
      </c>
      <c r="E337" s="167"/>
      <c r="F337" s="167"/>
      <c r="G337" s="168"/>
    </row>
    <row r="338" spans="1:7">
      <c r="A338" s="179" t="s">
        <v>515</v>
      </c>
      <c r="B338" s="180"/>
      <c r="C338" s="181"/>
      <c r="D338" s="181">
        <v>85</v>
      </c>
      <c r="E338" s="167"/>
      <c r="F338" s="167"/>
      <c r="G338" s="168"/>
    </row>
    <row r="339" spans="1:7">
      <c r="A339" s="179" t="s">
        <v>516</v>
      </c>
      <c r="B339" s="180"/>
      <c r="C339" s="181"/>
      <c r="D339" s="181">
        <v>55</v>
      </c>
      <c r="E339" s="167"/>
      <c r="F339" s="167"/>
      <c r="G339" s="168"/>
    </row>
    <row r="340" spans="1:7">
      <c r="A340" s="177" t="s">
        <v>517</v>
      </c>
      <c r="B340" s="180"/>
      <c r="C340" s="181"/>
      <c r="D340" s="181">
        <v>45</v>
      </c>
      <c r="E340" s="167"/>
      <c r="F340" s="167"/>
      <c r="G340" s="168"/>
    </row>
    <row r="341" spans="1:7">
      <c r="A341" s="186"/>
      <c r="B341" s="170"/>
      <c r="C341" s="167"/>
      <c r="D341" s="167"/>
      <c r="E341" s="167"/>
      <c r="F341" s="167"/>
      <c r="G341" s="168"/>
    </row>
    <row r="342" spans="1:7">
      <c r="A342" s="186"/>
      <c r="B342" s="170"/>
      <c r="C342" s="167"/>
      <c r="D342" s="167"/>
      <c r="E342" s="167"/>
      <c r="F342" s="161"/>
      <c r="G342" s="162"/>
    </row>
    <row r="343" spans="1:7">
      <c r="A343" s="171"/>
      <c r="B343" s="172"/>
      <c r="C343" s="173"/>
      <c r="D343" s="173"/>
      <c r="E343" s="173"/>
      <c r="F343" s="173"/>
      <c r="G343" s="174"/>
    </row>
    <row r="344" spans="1:7">
      <c r="A344" s="192" t="s">
        <v>518</v>
      </c>
      <c r="B344" s="155">
        <v>43801</v>
      </c>
      <c r="C344" s="156" t="s">
        <v>220</v>
      </c>
      <c r="D344" s="188"/>
      <c r="E344" s="156">
        <v>2026</v>
      </c>
      <c r="F344" s="156"/>
      <c r="G344" s="191"/>
    </row>
    <row r="345" spans="1:7">
      <c r="A345" s="176" t="s">
        <v>519</v>
      </c>
      <c r="B345" s="165"/>
      <c r="C345" s="161"/>
      <c r="D345" s="167">
        <v>30</v>
      </c>
      <c r="E345" s="161"/>
      <c r="F345" s="161"/>
      <c r="G345" s="162"/>
    </row>
    <row r="346" spans="1:7">
      <c r="A346" s="171"/>
      <c r="B346" s="172"/>
      <c r="C346" s="173"/>
      <c r="D346" s="173"/>
      <c r="E346" s="173"/>
      <c r="F346" s="173"/>
      <c r="G346" s="174"/>
    </row>
    <row r="347" spans="1:7">
      <c r="A347" s="154" t="s">
        <v>95</v>
      </c>
      <c r="B347" s="155">
        <v>43801</v>
      </c>
      <c r="C347" s="156" t="s">
        <v>220</v>
      </c>
      <c r="D347" s="188"/>
      <c r="E347" s="156">
        <v>2026</v>
      </c>
      <c r="F347" s="156"/>
      <c r="G347" s="189" t="s">
        <v>520</v>
      </c>
    </row>
    <row r="348" spans="1:7">
      <c r="A348" s="171"/>
      <c r="B348" s="172"/>
      <c r="C348" s="173"/>
      <c r="D348" s="173"/>
      <c r="E348" s="173"/>
      <c r="F348" s="173"/>
      <c r="G348" s="174"/>
    </row>
    <row r="349" spans="1:7">
      <c r="A349" s="154" t="s">
        <v>521</v>
      </c>
      <c r="B349" s="155">
        <v>41827</v>
      </c>
      <c r="C349" s="188"/>
      <c r="D349" s="188"/>
      <c r="E349" s="188"/>
      <c r="F349" s="188"/>
      <c r="G349" s="191"/>
    </row>
    <row r="350" spans="1:7">
      <c r="A350" s="164" t="s">
        <v>522</v>
      </c>
      <c r="B350" s="165"/>
      <c r="C350" s="161"/>
      <c r="D350" s="161"/>
      <c r="E350" s="161"/>
      <c r="F350" s="161"/>
      <c r="G350" s="162"/>
    </row>
    <row r="351" spans="1:7">
      <c r="A351" s="166" t="s">
        <v>523</v>
      </c>
      <c r="B351" s="165"/>
      <c r="C351" s="161"/>
      <c r="D351" s="161"/>
      <c r="E351" s="161"/>
      <c r="F351" s="161"/>
      <c r="G351" s="162"/>
    </row>
    <row r="352" spans="1:7">
      <c r="A352" s="166" t="s">
        <v>524</v>
      </c>
      <c r="B352" s="165"/>
      <c r="C352" s="161"/>
      <c r="D352" s="167">
        <v>15</v>
      </c>
      <c r="E352" s="161"/>
      <c r="F352" s="161"/>
      <c r="G352" s="162"/>
    </row>
    <row r="353" spans="1:7">
      <c r="A353" s="166" t="s">
        <v>525</v>
      </c>
      <c r="B353" s="165"/>
      <c r="C353" s="161"/>
      <c r="D353" s="167">
        <v>7.5</v>
      </c>
      <c r="E353" s="161"/>
      <c r="F353" s="161"/>
      <c r="G353" s="162"/>
    </row>
    <row r="354" spans="1:7">
      <c r="A354" s="166" t="s">
        <v>526</v>
      </c>
      <c r="B354" s="165"/>
      <c r="C354" s="161"/>
      <c r="D354" s="167">
        <v>80</v>
      </c>
      <c r="E354" s="161"/>
      <c r="F354" s="161"/>
      <c r="G354" s="162"/>
    </row>
    <row r="355" spans="1:7">
      <c r="A355" s="166" t="s">
        <v>527</v>
      </c>
      <c r="B355" s="165"/>
      <c r="C355" s="161"/>
      <c r="D355" s="167">
        <v>40</v>
      </c>
      <c r="E355" s="161"/>
      <c r="F355" s="161"/>
      <c r="G355" s="162"/>
    </row>
    <row r="356" spans="1:7">
      <c r="A356" s="166" t="s">
        <v>528</v>
      </c>
      <c r="B356" s="165"/>
      <c r="C356" s="161"/>
      <c r="D356" s="161"/>
      <c r="E356" s="161"/>
      <c r="F356" s="161"/>
      <c r="G356" s="162"/>
    </row>
    <row r="357" spans="1:7">
      <c r="A357" s="166" t="s">
        <v>529</v>
      </c>
      <c r="B357" s="165"/>
      <c r="C357" s="161"/>
      <c r="D357" s="167">
        <v>10</v>
      </c>
      <c r="E357" s="173"/>
      <c r="F357" s="173"/>
      <c r="G357" s="174"/>
    </row>
    <row r="358" spans="1:7">
      <c r="A358" s="166" t="s">
        <v>526</v>
      </c>
      <c r="B358" s="165"/>
      <c r="C358" s="161"/>
      <c r="D358" s="167">
        <v>100</v>
      </c>
      <c r="E358" s="173"/>
      <c r="F358" s="173"/>
      <c r="G358" s="174"/>
    </row>
    <row r="359" spans="1:7">
      <c r="A359" s="166" t="s">
        <v>530</v>
      </c>
      <c r="B359" s="165"/>
      <c r="C359" s="161"/>
      <c r="D359" s="167">
        <v>6</v>
      </c>
      <c r="E359" s="173"/>
      <c r="F359" s="173"/>
      <c r="G359" s="174"/>
    </row>
    <row r="360" spans="1:7">
      <c r="A360" s="166" t="s">
        <v>531</v>
      </c>
      <c r="B360" s="165"/>
      <c r="C360" s="161"/>
      <c r="D360" s="167">
        <v>6</v>
      </c>
      <c r="E360" s="173"/>
      <c r="F360" s="173"/>
      <c r="G360" s="174"/>
    </row>
    <row r="361" spans="1:7">
      <c r="A361" s="166" t="s">
        <v>532</v>
      </c>
      <c r="B361" s="165"/>
      <c r="C361" s="161"/>
      <c r="D361" s="167">
        <v>12</v>
      </c>
      <c r="E361" s="173"/>
      <c r="F361" s="173"/>
      <c r="G361" s="174"/>
    </row>
    <row r="362" spans="1:7">
      <c r="A362" s="164" t="s">
        <v>533</v>
      </c>
      <c r="B362" s="165"/>
      <c r="C362" s="161"/>
      <c r="D362" s="161"/>
      <c r="E362" s="173"/>
      <c r="F362" s="173"/>
      <c r="G362" s="174"/>
    </row>
    <row r="363" spans="1:7">
      <c r="A363" s="166" t="s">
        <v>534</v>
      </c>
      <c r="B363" s="165"/>
      <c r="C363" s="161"/>
      <c r="D363" s="161"/>
      <c r="E363" s="173"/>
      <c r="F363" s="173"/>
      <c r="G363" s="174"/>
    </row>
    <row r="364" spans="1:7">
      <c r="A364" s="166" t="s">
        <v>535</v>
      </c>
      <c r="B364" s="165"/>
      <c r="C364" s="161"/>
      <c r="D364" s="167">
        <v>10</v>
      </c>
      <c r="E364" s="173"/>
      <c r="F364" s="173"/>
      <c r="G364" s="174"/>
    </row>
    <row r="365" spans="1:7">
      <c r="A365" s="166" t="s">
        <v>536</v>
      </c>
      <c r="B365" s="165"/>
      <c r="C365" s="161"/>
      <c r="D365" s="161"/>
      <c r="E365" s="173"/>
      <c r="F365" s="173"/>
      <c r="G365" s="174"/>
    </row>
    <row r="366" spans="1:7">
      <c r="A366" s="166" t="s">
        <v>537</v>
      </c>
      <c r="B366" s="165"/>
      <c r="C366" s="161"/>
      <c r="D366" s="167">
        <v>10</v>
      </c>
      <c r="E366" s="173"/>
      <c r="F366" s="173"/>
      <c r="G366" s="174"/>
    </row>
    <row r="367" spans="1:7">
      <c r="A367" s="166" t="s">
        <v>538</v>
      </c>
      <c r="B367" s="165"/>
      <c r="C367" s="161"/>
      <c r="D367" s="167">
        <v>6</v>
      </c>
      <c r="E367" s="173"/>
      <c r="F367" s="173"/>
      <c r="G367" s="174"/>
    </row>
    <row r="368" spans="1:7">
      <c r="A368" s="166" t="s">
        <v>539</v>
      </c>
      <c r="B368" s="165"/>
      <c r="C368" s="161"/>
      <c r="D368" s="161"/>
      <c r="E368" s="173"/>
      <c r="F368" s="173"/>
      <c r="G368" s="174"/>
    </row>
    <row r="369" spans="1:7">
      <c r="A369" s="166" t="s">
        <v>540</v>
      </c>
      <c r="B369" s="165"/>
      <c r="C369" s="161"/>
      <c r="D369" s="167">
        <v>40</v>
      </c>
      <c r="E369" s="173"/>
      <c r="F369" s="173"/>
      <c r="G369" s="174"/>
    </row>
    <row r="370" spans="1:7">
      <c r="A370" s="166" t="s">
        <v>541</v>
      </c>
      <c r="B370" s="165"/>
      <c r="C370" s="161"/>
      <c r="D370" s="161"/>
      <c r="E370" s="173"/>
      <c r="F370" s="173"/>
      <c r="G370" s="174"/>
    </row>
    <row r="371" spans="1:7">
      <c r="A371" s="166" t="s">
        <v>542</v>
      </c>
      <c r="B371" s="165"/>
      <c r="C371" s="161"/>
      <c r="D371" s="167">
        <v>80</v>
      </c>
      <c r="E371" s="173"/>
      <c r="F371" s="173"/>
      <c r="G371" s="174"/>
    </row>
    <row r="372" spans="1:7">
      <c r="A372" s="166" t="s">
        <v>543</v>
      </c>
      <c r="B372" s="165"/>
      <c r="C372" s="161"/>
      <c r="D372" s="167">
        <v>40</v>
      </c>
      <c r="E372" s="173"/>
      <c r="F372" s="173"/>
      <c r="G372" s="174"/>
    </row>
    <row r="373" spans="1:7">
      <c r="A373" s="164" t="s">
        <v>1</v>
      </c>
      <c r="B373" s="165"/>
      <c r="C373" s="161"/>
      <c r="D373" s="161"/>
      <c r="E373" s="161"/>
      <c r="F373" s="161"/>
      <c r="G373" s="174"/>
    </row>
    <row r="374" spans="1:7">
      <c r="A374" s="166" t="s">
        <v>544</v>
      </c>
      <c r="B374" s="165"/>
      <c r="C374" s="161"/>
      <c r="D374" s="161"/>
      <c r="E374" s="161"/>
      <c r="F374" s="161"/>
      <c r="G374" s="174"/>
    </row>
    <row r="375" spans="1:7">
      <c r="A375" s="166" t="s">
        <v>545</v>
      </c>
      <c r="B375" s="165"/>
      <c r="C375" s="161"/>
      <c r="D375" s="167">
        <v>1.5</v>
      </c>
      <c r="E375" s="161"/>
      <c r="F375" s="161"/>
      <c r="G375" s="174"/>
    </row>
    <row r="376" spans="1:7">
      <c r="A376" s="166" t="s">
        <v>546</v>
      </c>
      <c r="B376" s="165"/>
      <c r="C376" s="161"/>
      <c r="D376" s="167">
        <v>1.75</v>
      </c>
      <c r="E376" s="161"/>
      <c r="F376" s="161"/>
      <c r="G376" s="174"/>
    </row>
    <row r="377" spans="1:7">
      <c r="A377" s="166" t="s">
        <v>547</v>
      </c>
      <c r="B377" s="165"/>
      <c r="C377" s="161"/>
      <c r="D377" s="167">
        <v>1.25</v>
      </c>
      <c r="E377" s="161"/>
      <c r="F377" s="161"/>
      <c r="G377" s="174"/>
    </row>
    <row r="378" spans="1:7">
      <c r="A378" s="166" t="s">
        <v>548</v>
      </c>
      <c r="B378" s="165"/>
      <c r="C378" s="161"/>
      <c r="D378" s="167">
        <v>1.5</v>
      </c>
      <c r="E378" s="161"/>
      <c r="F378" s="161"/>
      <c r="G378" s="174"/>
    </row>
    <row r="379" spans="1:7">
      <c r="A379" s="166" t="s">
        <v>549</v>
      </c>
      <c r="B379" s="165"/>
      <c r="C379" s="161"/>
      <c r="D379" s="167">
        <v>1</v>
      </c>
      <c r="E379" s="161"/>
      <c r="F379" s="161"/>
      <c r="G379" s="174"/>
    </row>
    <row r="380" spans="1:7">
      <c r="A380" s="166" t="s">
        <v>596</v>
      </c>
      <c r="B380" s="165"/>
      <c r="C380" s="161"/>
      <c r="D380" s="167">
        <v>1</v>
      </c>
      <c r="E380" s="161"/>
      <c r="F380" s="161"/>
      <c r="G380" s="174"/>
    </row>
    <row r="381" spans="1:7">
      <c r="A381" s="166" t="s">
        <v>550</v>
      </c>
      <c r="B381" s="165"/>
      <c r="C381" s="161"/>
      <c r="D381" s="161"/>
      <c r="E381" s="161"/>
      <c r="F381" s="161"/>
      <c r="G381" s="174"/>
    </row>
    <row r="382" spans="1:7">
      <c r="A382" s="166" t="s">
        <v>551</v>
      </c>
      <c r="B382" s="165"/>
      <c r="C382" s="161"/>
      <c r="D382" s="167">
        <v>50</v>
      </c>
      <c r="E382" s="161"/>
      <c r="F382" s="161"/>
      <c r="G382" s="174"/>
    </row>
    <row r="383" spans="1:7">
      <c r="A383" s="166" t="s">
        <v>552</v>
      </c>
      <c r="B383" s="165"/>
      <c r="C383" s="161"/>
      <c r="D383" s="167">
        <v>75</v>
      </c>
      <c r="E383" s="161"/>
      <c r="F383" s="161"/>
      <c r="G383" s="174"/>
    </row>
    <row r="384" spans="1:7">
      <c r="A384" s="171"/>
      <c r="B384" s="172"/>
      <c r="C384" s="173"/>
      <c r="D384" s="173"/>
      <c r="E384" s="173"/>
      <c r="F384" s="173"/>
      <c r="G384" s="174"/>
    </row>
    <row r="385" spans="1:7">
      <c r="A385" s="154" t="s">
        <v>553</v>
      </c>
      <c r="B385" s="155">
        <v>43801</v>
      </c>
      <c r="C385" s="156" t="s">
        <v>220</v>
      </c>
      <c r="D385" s="188"/>
      <c r="E385" s="156">
        <v>2026</v>
      </c>
      <c r="F385" s="156"/>
      <c r="G385" s="196"/>
    </row>
    <row r="386" spans="1:7">
      <c r="A386" s="197" t="s">
        <v>554</v>
      </c>
      <c r="B386" s="165"/>
      <c r="C386" s="161"/>
      <c r="D386" s="161"/>
      <c r="E386" s="161"/>
      <c r="F386" s="161"/>
      <c r="G386" s="174"/>
    </row>
    <row r="387" spans="1:7">
      <c r="A387" s="164" t="s">
        <v>555</v>
      </c>
      <c r="B387" s="165"/>
      <c r="C387" s="161"/>
      <c r="D387" s="161"/>
      <c r="E387" s="161"/>
      <c r="F387" s="161"/>
      <c r="G387" s="174"/>
    </row>
    <row r="388" spans="1:7">
      <c r="A388" s="176" t="s">
        <v>556</v>
      </c>
      <c r="B388" s="165"/>
      <c r="C388" s="161"/>
      <c r="D388" s="167">
        <v>770</v>
      </c>
      <c r="E388" s="161"/>
      <c r="F388" s="161"/>
      <c r="G388" s="174"/>
    </row>
    <row r="389" spans="1:7">
      <c r="A389" s="176" t="s">
        <v>557</v>
      </c>
      <c r="B389" s="165"/>
      <c r="C389" s="161"/>
      <c r="D389" s="167">
        <v>370</v>
      </c>
      <c r="E389" s="173"/>
      <c r="F389" s="173"/>
      <c r="G389" s="174"/>
    </row>
    <row r="390" spans="1:7">
      <c r="A390" s="176" t="s">
        <v>558</v>
      </c>
      <c r="B390" s="165"/>
      <c r="C390" s="161"/>
      <c r="D390" s="167">
        <v>370</v>
      </c>
      <c r="E390" s="173"/>
      <c r="F390" s="173"/>
      <c r="G390" s="174"/>
    </row>
    <row r="391" spans="1:7">
      <c r="A391" s="176" t="s">
        <v>559</v>
      </c>
      <c r="B391" s="165"/>
      <c r="C391" s="161"/>
      <c r="D391" s="167">
        <v>0</v>
      </c>
      <c r="E391" s="173"/>
      <c r="F391" s="173"/>
      <c r="G391" s="174"/>
    </row>
    <row r="392" spans="1:7">
      <c r="A392" s="164" t="s">
        <v>560</v>
      </c>
      <c r="B392" s="165"/>
      <c r="C392" s="161"/>
      <c r="D392" s="161"/>
      <c r="E392" s="173"/>
      <c r="F392" s="173"/>
      <c r="G392" s="174"/>
    </row>
    <row r="393" spans="1:7">
      <c r="A393" s="176" t="s">
        <v>561</v>
      </c>
      <c r="B393" s="165"/>
      <c r="C393" s="161"/>
      <c r="D393" s="167">
        <v>695</v>
      </c>
      <c r="E393" s="173"/>
      <c r="F393" s="173"/>
      <c r="G393" s="174"/>
    </row>
    <row r="394" spans="1:7">
      <c r="A394" s="176" t="s">
        <v>557</v>
      </c>
      <c r="B394" s="165"/>
      <c r="C394" s="161"/>
      <c r="D394" s="167">
        <v>185</v>
      </c>
      <c r="E394" s="173"/>
      <c r="F394" s="173"/>
      <c r="G394" s="174"/>
    </row>
    <row r="395" spans="1:7">
      <c r="A395" s="176"/>
      <c r="B395" s="165"/>
      <c r="C395" s="161"/>
      <c r="D395" s="161"/>
      <c r="E395" s="173"/>
      <c r="F395" s="173"/>
      <c r="G395" s="174"/>
    </row>
    <row r="396" spans="1:7">
      <c r="A396" s="164" t="s">
        <v>562</v>
      </c>
      <c r="B396" s="165"/>
      <c r="C396" s="161"/>
      <c r="D396" s="161"/>
      <c r="E396" s="173"/>
      <c r="F396" s="173"/>
      <c r="G396" s="174"/>
    </row>
    <row r="397" spans="1:7">
      <c r="A397" s="176" t="s">
        <v>563</v>
      </c>
      <c r="B397" s="165"/>
      <c r="C397" s="161"/>
      <c r="D397" s="167">
        <v>450</v>
      </c>
      <c r="E397" s="173"/>
      <c r="F397" s="173"/>
      <c r="G397" s="174"/>
    </row>
    <row r="398" spans="1:7">
      <c r="A398" s="176" t="s">
        <v>557</v>
      </c>
      <c r="B398" s="165"/>
      <c r="C398" s="161"/>
      <c r="D398" s="167">
        <v>185</v>
      </c>
      <c r="E398" s="173"/>
      <c r="F398" s="173"/>
      <c r="G398" s="174"/>
    </row>
    <row r="399" spans="1:7">
      <c r="A399" s="176" t="s">
        <v>564</v>
      </c>
      <c r="B399" s="165"/>
      <c r="C399" s="161"/>
      <c r="D399" s="167">
        <v>0</v>
      </c>
      <c r="E399" s="173"/>
      <c r="F399" s="173"/>
      <c r="G399" s="174"/>
    </row>
    <row r="400" spans="1:7">
      <c r="A400" s="176" t="s">
        <v>565</v>
      </c>
      <c r="B400" s="165"/>
      <c r="C400" s="161"/>
      <c r="D400" s="167">
        <v>105</v>
      </c>
      <c r="E400" s="173"/>
      <c r="F400" s="173"/>
      <c r="G400" s="174"/>
    </row>
    <row r="401" spans="1:7">
      <c r="A401" s="176"/>
      <c r="B401" s="165"/>
      <c r="C401" s="161"/>
      <c r="D401" s="161"/>
      <c r="E401" s="173"/>
      <c r="F401" s="173"/>
      <c r="G401" s="174"/>
    </row>
    <row r="402" spans="1:7">
      <c r="A402" s="190" t="s">
        <v>566</v>
      </c>
      <c r="B402" s="165"/>
      <c r="C402" s="161"/>
      <c r="D402" s="161"/>
      <c r="E402" s="173"/>
      <c r="F402" s="173"/>
      <c r="G402" s="174"/>
    </row>
    <row r="403" spans="1:7">
      <c r="A403" s="164" t="s">
        <v>555</v>
      </c>
      <c r="B403" s="165"/>
      <c r="C403" s="161"/>
      <c r="D403" s="161"/>
      <c r="E403" s="173"/>
      <c r="F403" s="173"/>
      <c r="G403" s="174"/>
    </row>
    <row r="404" spans="1:7">
      <c r="A404" s="176" t="s">
        <v>556</v>
      </c>
      <c r="B404" s="165"/>
      <c r="C404" s="161"/>
      <c r="D404" s="167">
        <v>770</v>
      </c>
      <c r="E404" s="173"/>
      <c r="F404" s="173"/>
      <c r="G404" s="174"/>
    </row>
    <row r="405" spans="1:7">
      <c r="A405" s="176" t="s">
        <v>557</v>
      </c>
      <c r="B405" s="165"/>
      <c r="C405" s="161"/>
      <c r="D405" s="167">
        <v>500</v>
      </c>
      <c r="E405" s="173"/>
      <c r="F405" s="173"/>
      <c r="G405" s="174"/>
    </row>
    <row r="406" spans="1:7">
      <c r="A406" s="176" t="s">
        <v>558</v>
      </c>
      <c r="B406" s="165"/>
      <c r="C406" s="161"/>
      <c r="D406" s="167">
        <v>500</v>
      </c>
      <c r="E406" s="173"/>
      <c r="F406" s="173"/>
      <c r="G406" s="174"/>
    </row>
    <row r="407" spans="1:7">
      <c r="A407" s="176" t="s">
        <v>559</v>
      </c>
      <c r="B407" s="165"/>
      <c r="C407" s="161"/>
      <c r="D407" s="167">
        <v>0</v>
      </c>
      <c r="E407" s="173"/>
      <c r="F407" s="173"/>
      <c r="G407" s="174"/>
    </row>
    <row r="408" spans="1:7">
      <c r="A408" s="164" t="s">
        <v>560</v>
      </c>
      <c r="B408" s="165"/>
      <c r="C408" s="161"/>
      <c r="D408" s="161"/>
      <c r="E408" s="173"/>
      <c r="F408" s="173"/>
      <c r="G408" s="174"/>
    </row>
    <row r="409" spans="1:7">
      <c r="A409" s="176" t="s">
        <v>561</v>
      </c>
      <c r="B409" s="165"/>
      <c r="C409" s="161"/>
      <c r="D409" s="167">
        <v>695</v>
      </c>
      <c r="E409" s="173"/>
      <c r="F409" s="173"/>
      <c r="G409" s="174"/>
    </row>
    <row r="410" spans="1:7">
      <c r="A410" s="176" t="s">
        <v>557</v>
      </c>
      <c r="B410" s="165"/>
      <c r="C410" s="161"/>
      <c r="D410" s="167">
        <v>250</v>
      </c>
      <c r="E410" s="173"/>
      <c r="F410" s="173"/>
      <c r="G410" s="174"/>
    </row>
    <row r="411" spans="1:7">
      <c r="A411" s="176"/>
      <c r="B411" s="165"/>
      <c r="C411" s="161"/>
      <c r="D411" s="161"/>
      <c r="E411" s="173"/>
      <c r="F411" s="173"/>
      <c r="G411" s="174"/>
    </row>
    <row r="412" spans="1:7">
      <c r="A412" s="164" t="s">
        <v>562</v>
      </c>
      <c r="B412" s="165"/>
      <c r="C412" s="161"/>
      <c r="D412" s="161"/>
      <c r="E412" s="173"/>
      <c r="F412" s="173"/>
      <c r="G412" s="174"/>
    </row>
    <row r="413" spans="1:7">
      <c r="A413" s="176" t="s">
        <v>563</v>
      </c>
      <c r="B413" s="165"/>
      <c r="C413" s="161"/>
      <c r="D413" s="167">
        <v>450</v>
      </c>
      <c r="E413" s="173"/>
      <c r="F413" s="173"/>
      <c r="G413" s="174"/>
    </row>
    <row r="414" spans="1:7">
      <c r="A414" s="176" t="s">
        <v>557</v>
      </c>
      <c r="B414" s="165"/>
      <c r="C414" s="161"/>
      <c r="D414" s="167">
        <v>250</v>
      </c>
      <c r="E414" s="173"/>
      <c r="F414" s="173"/>
      <c r="G414" s="174"/>
    </row>
    <row r="415" spans="1:7">
      <c r="A415" s="176" t="s">
        <v>564</v>
      </c>
      <c r="B415" s="165"/>
      <c r="C415" s="161"/>
      <c r="D415" s="167">
        <v>0</v>
      </c>
      <c r="E415" s="173"/>
      <c r="F415" s="173"/>
      <c r="G415" s="174"/>
    </row>
    <row r="416" spans="1:7">
      <c r="A416" s="176" t="s">
        <v>565</v>
      </c>
      <c r="B416" s="165"/>
      <c r="C416" s="161"/>
      <c r="D416" s="167">
        <v>105</v>
      </c>
      <c r="E416" s="173"/>
      <c r="F416" s="173"/>
      <c r="G416" s="174"/>
    </row>
    <row r="417" spans="1:7">
      <c r="A417" s="176"/>
      <c r="B417" s="165"/>
      <c r="C417" s="161"/>
      <c r="D417" s="161"/>
      <c r="E417" s="173"/>
      <c r="F417" s="173"/>
      <c r="G417" s="174"/>
    </row>
    <row r="418" spans="1:7">
      <c r="A418" s="197" t="s">
        <v>567</v>
      </c>
      <c r="B418" s="165"/>
      <c r="C418" s="161"/>
      <c r="D418" s="161"/>
      <c r="E418" s="173"/>
      <c r="F418" s="173"/>
      <c r="G418" s="174"/>
    </row>
    <row r="419" spans="1:7">
      <c r="A419" s="164" t="s">
        <v>555</v>
      </c>
      <c r="B419" s="165"/>
      <c r="C419" s="161"/>
      <c r="D419" s="161"/>
      <c r="E419" s="173"/>
      <c r="F419" s="173"/>
      <c r="G419" s="174"/>
    </row>
    <row r="420" spans="1:7">
      <c r="A420" s="176" t="s">
        <v>556</v>
      </c>
      <c r="B420" s="165"/>
      <c r="C420" s="161"/>
      <c r="D420" s="167">
        <v>770</v>
      </c>
      <c r="E420" s="173"/>
      <c r="F420" s="173"/>
      <c r="G420" s="174"/>
    </row>
    <row r="421" spans="1:7">
      <c r="A421" s="176" t="s">
        <v>557</v>
      </c>
      <c r="B421" s="165"/>
      <c r="C421" s="161"/>
      <c r="D421" s="167">
        <v>620</v>
      </c>
      <c r="E421" s="161"/>
      <c r="F421" s="161"/>
      <c r="G421" s="162"/>
    </row>
    <row r="422" spans="1:7">
      <c r="A422" s="176" t="s">
        <v>558</v>
      </c>
      <c r="B422" s="165"/>
      <c r="C422" s="161"/>
      <c r="D422" s="167">
        <v>620</v>
      </c>
      <c r="E422" s="161"/>
      <c r="F422" s="161"/>
      <c r="G422" s="162"/>
    </row>
    <row r="423" spans="1:7">
      <c r="A423" s="176" t="s">
        <v>559</v>
      </c>
      <c r="B423" s="165"/>
      <c r="C423" s="161"/>
      <c r="D423" s="167">
        <v>0</v>
      </c>
      <c r="E423" s="161"/>
      <c r="F423" s="161"/>
      <c r="G423" s="162"/>
    </row>
    <row r="424" spans="1:7">
      <c r="A424" s="164" t="s">
        <v>560</v>
      </c>
      <c r="B424" s="165"/>
      <c r="C424" s="161"/>
      <c r="D424" s="161"/>
      <c r="E424" s="161"/>
      <c r="F424" s="161"/>
      <c r="G424" s="162"/>
    </row>
    <row r="425" spans="1:7">
      <c r="A425" s="176" t="s">
        <v>561</v>
      </c>
      <c r="B425" s="165"/>
      <c r="C425" s="161"/>
      <c r="D425" s="167">
        <v>695</v>
      </c>
      <c r="E425" s="161"/>
      <c r="F425" s="161"/>
      <c r="G425" s="162"/>
    </row>
    <row r="426" spans="1:7">
      <c r="A426" s="176" t="s">
        <v>557</v>
      </c>
      <c r="B426" s="165"/>
      <c r="C426" s="161"/>
      <c r="D426" s="167">
        <v>310</v>
      </c>
      <c r="E426" s="161"/>
      <c r="F426" s="161"/>
      <c r="G426" s="162"/>
    </row>
    <row r="427" spans="1:7">
      <c r="A427" s="176"/>
      <c r="B427" s="165"/>
      <c r="C427" s="161"/>
      <c r="D427" s="161"/>
      <c r="E427" s="161"/>
      <c r="F427" s="161"/>
      <c r="G427" s="162"/>
    </row>
    <row r="428" spans="1:7">
      <c r="A428" s="164" t="s">
        <v>562</v>
      </c>
      <c r="B428" s="165"/>
      <c r="C428" s="161"/>
      <c r="D428" s="161"/>
      <c r="E428" s="161"/>
      <c r="F428" s="161"/>
      <c r="G428" s="162"/>
    </row>
    <row r="429" spans="1:7">
      <c r="A429" s="176" t="s">
        <v>563</v>
      </c>
      <c r="B429" s="165"/>
      <c r="C429" s="161"/>
      <c r="D429" s="167">
        <v>450</v>
      </c>
      <c r="E429" s="161"/>
      <c r="F429" s="161"/>
      <c r="G429" s="162"/>
    </row>
    <row r="430" spans="1:7">
      <c r="A430" s="176" t="s">
        <v>557</v>
      </c>
      <c r="B430" s="165"/>
      <c r="C430" s="161"/>
      <c r="D430" s="167">
        <v>310</v>
      </c>
      <c r="E430" s="161"/>
      <c r="F430" s="161"/>
      <c r="G430" s="162"/>
    </row>
    <row r="431" spans="1:7">
      <c r="A431" s="176" t="s">
        <v>564</v>
      </c>
      <c r="B431" s="165"/>
      <c r="C431" s="161"/>
      <c r="D431" s="167">
        <v>0</v>
      </c>
      <c r="E431" s="161"/>
      <c r="F431" s="161"/>
      <c r="G431" s="162"/>
    </row>
    <row r="432" spans="1:7">
      <c r="A432" s="176" t="s">
        <v>565</v>
      </c>
      <c r="B432" s="165"/>
      <c r="C432" s="161"/>
      <c r="D432" s="167">
        <v>105</v>
      </c>
      <c r="E432" s="161"/>
      <c r="F432" s="161"/>
      <c r="G432" s="168"/>
    </row>
    <row r="433" spans="1:7">
      <c r="A433" s="176"/>
      <c r="B433" s="165"/>
      <c r="C433" s="161"/>
      <c r="D433" s="161"/>
      <c r="E433" s="161"/>
      <c r="F433" s="161"/>
      <c r="G433" s="168"/>
    </row>
    <row r="434" spans="1:7">
      <c r="A434" s="176" t="s">
        <v>568</v>
      </c>
      <c r="B434" s="165"/>
      <c r="C434" s="161"/>
      <c r="D434" s="161"/>
      <c r="E434" s="161"/>
      <c r="F434" s="161"/>
      <c r="G434" s="168"/>
    </row>
    <row r="435" spans="1:7">
      <c r="A435" s="198" t="s">
        <v>554</v>
      </c>
      <c r="B435" s="165"/>
      <c r="C435" s="161"/>
      <c r="D435" s="161"/>
      <c r="E435" s="161"/>
      <c r="F435" s="161"/>
      <c r="G435" s="168"/>
    </row>
    <row r="436" spans="1:7">
      <c r="A436" s="176" t="s">
        <v>569</v>
      </c>
      <c r="B436" s="165"/>
      <c r="C436" s="161"/>
      <c r="D436" s="167">
        <v>0</v>
      </c>
      <c r="E436" s="161"/>
      <c r="F436" s="161"/>
      <c r="G436" s="168"/>
    </row>
    <row r="437" spans="1:7">
      <c r="A437" s="176" t="s">
        <v>570</v>
      </c>
      <c r="B437" s="165"/>
      <c r="C437" s="161"/>
      <c r="D437" s="167">
        <v>0</v>
      </c>
      <c r="E437" s="161"/>
      <c r="F437" s="161"/>
      <c r="G437" s="168"/>
    </row>
    <row r="438" spans="1:7">
      <c r="A438" s="164" t="s">
        <v>571</v>
      </c>
      <c r="B438" s="165"/>
      <c r="C438" s="161"/>
      <c r="D438" s="161"/>
      <c r="E438" s="161"/>
      <c r="F438" s="161"/>
      <c r="G438" s="168"/>
    </row>
    <row r="439" spans="1:7">
      <c r="A439" s="176" t="s">
        <v>572</v>
      </c>
      <c r="B439" s="165"/>
      <c r="C439" s="161"/>
      <c r="D439" s="167">
        <v>75</v>
      </c>
      <c r="E439" s="161"/>
      <c r="F439" s="161"/>
      <c r="G439" s="168"/>
    </row>
    <row r="440" spans="1:7">
      <c r="A440" s="176" t="s">
        <v>557</v>
      </c>
      <c r="B440" s="165"/>
      <c r="C440" s="161"/>
      <c r="D440" s="167">
        <v>185</v>
      </c>
      <c r="E440" s="161"/>
      <c r="F440" s="161"/>
      <c r="G440" s="168"/>
    </row>
    <row r="441" spans="1:7">
      <c r="A441" s="176" t="s">
        <v>573</v>
      </c>
      <c r="B441" s="165"/>
      <c r="C441" s="161"/>
      <c r="D441" s="167">
        <v>0</v>
      </c>
      <c r="E441" s="161"/>
      <c r="F441" s="161"/>
      <c r="G441" s="168"/>
    </row>
    <row r="442" spans="1:7">
      <c r="A442" s="164" t="s">
        <v>574</v>
      </c>
      <c r="B442" s="165"/>
      <c r="C442" s="161"/>
      <c r="D442" s="161"/>
      <c r="E442" s="161"/>
      <c r="F442" s="161"/>
      <c r="G442" s="168"/>
    </row>
    <row r="443" spans="1:7">
      <c r="A443" s="176" t="s">
        <v>572</v>
      </c>
      <c r="B443" s="165"/>
      <c r="C443" s="161"/>
      <c r="D443" s="167">
        <v>320</v>
      </c>
      <c r="E443" s="161"/>
      <c r="F443" s="161"/>
      <c r="G443" s="168"/>
    </row>
    <row r="444" spans="1:7">
      <c r="A444" s="176" t="s">
        <v>557</v>
      </c>
      <c r="B444" s="165"/>
      <c r="C444" s="161"/>
      <c r="D444" s="167">
        <v>185</v>
      </c>
      <c r="E444" s="161"/>
      <c r="F444" s="161"/>
      <c r="G444" s="168"/>
    </row>
    <row r="445" spans="1:7">
      <c r="A445" s="164" t="s">
        <v>575</v>
      </c>
      <c r="B445" s="165"/>
      <c r="C445" s="161"/>
      <c r="D445" s="161"/>
      <c r="E445" s="161"/>
      <c r="F445" s="161"/>
      <c r="G445" s="168"/>
    </row>
    <row r="446" spans="1:7">
      <c r="A446" s="176" t="s">
        <v>572</v>
      </c>
      <c r="B446" s="165"/>
      <c r="C446" s="161"/>
      <c r="D446" s="167">
        <v>245</v>
      </c>
      <c r="E446" s="161"/>
      <c r="F446" s="161"/>
      <c r="G446" s="168"/>
    </row>
    <row r="447" spans="1:7">
      <c r="A447" s="176" t="s">
        <v>576</v>
      </c>
      <c r="B447" s="165"/>
      <c r="C447" s="161"/>
      <c r="D447" s="167">
        <v>0</v>
      </c>
      <c r="E447" s="161"/>
      <c r="F447" s="161"/>
      <c r="G447" s="168"/>
    </row>
    <row r="448" spans="1:7">
      <c r="A448" s="176"/>
      <c r="B448" s="165"/>
      <c r="C448" s="161"/>
      <c r="D448" s="161"/>
      <c r="E448" s="161"/>
      <c r="F448" s="161"/>
      <c r="G448" s="168"/>
    </row>
    <row r="449" spans="1:7">
      <c r="A449" s="198" t="s">
        <v>566</v>
      </c>
      <c r="B449" s="165"/>
      <c r="C449" s="161"/>
      <c r="D449" s="161"/>
      <c r="E449" s="161"/>
      <c r="F449" s="161"/>
      <c r="G449" s="168"/>
    </row>
    <row r="450" spans="1:7">
      <c r="A450" s="176" t="s">
        <v>569</v>
      </c>
      <c r="B450" s="165"/>
      <c r="C450" s="161"/>
      <c r="D450" s="167">
        <v>0</v>
      </c>
      <c r="E450" s="161"/>
      <c r="F450" s="161"/>
      <c r="G450" s="168"/>
    </row>
    <row r="451" spans="1:7">
      <c r="A451" s="176" t="s">
        <v>570</v>
      </c>
      <c r="B451" s="165"/>
      <c r="C451" s="161"/>
      <c r="D451" s="167">
        <v>0</v>
      </c>
      <c r="E451" s="161"/>
      <c r="F451" s="161"/>
      <c r="G451" s="168"/>
    </row>
    <row r="452" spans="1:7">
      <c r="A452" s="164" t="s">
        <v>571</v>
      </c>
      <c r="B452" s="165"/>
      <c r="C452" s="161"/>
      <c r="D452" s="161"/>
      <c r="E452" s="161"/>
      <c r="F452" s="161"/>
      <c r="G452" s="168"/>
    </row>
    <row r="453" spans="1:7">
      <c r="A453" s="176" t="s">
        <v>572</v>
      </c>
      <c r="B453" s="165"/>
      <c r="C453" s="161"/>
      <c r="D453" s="167">
        <v>75</v>
      </c>
      <c r="E453" s="161"/>
      <c r="F453" s="161"/>
      <c r="G453" s="168"/>
    </row>
    <row r="454" spans="1:7">
      <c r="A454" s="176" t="s">
        <v>557</v>
      </c>
      <c r="B454" s="165"/>
      <c r="C454" s="161"/>
      <c r="D454" s="167">
        <v>250</v>
      </c>
      <c r="E454" s="161"/>
      <c r="F454" s="161"/>
      <c r="G454" s="168"/>
    </row>
    <row r="455" spans="1:7">
      <c r="A455" s="176" t="s">
        <v>573</v>
      </c>
      <c r="B455" s="165"/>
      <c r="C455" s="161"/>
      <c r="D455" s="167">
        <v>0</v>
      </c>
      <c r="E455" s="161"/>
      <c r="F455" s="161"/>
      <c r="G455" s="168"/>
    </row>
    <row r="456" spans="1:7">
      <c r="A456" s="164" t="s">
        <v>574</v>
      </c>
      <c r="B456" s="165"/>
      <c r="C456" s="161"/>
      <c r="D456" s="161"/>
      <c r="E456" s="161"/>
      <c r="F456" s="161"/>
      <c r="G456" s="168"/>
    </row>
    <row r="457" spans="1:7">
      <c r="A457" s="176" t="s">
        <v>572</v>
      </c>
      <c r="B457" s="165"/>
      <c r="C457" s="161"/>
      <c r="D457" s="167">
        <v>320</v>
      </c>
      <c r="E457" s="161"/>
      <c r="F457" s="161"/>
      <c r="G457" s="168"/>
    </row>
    <row r="458" spans="1:7">
      <c r="A458" s="176" t="s">
        <v>557</v>
      </c>
      <c r="B458" s="165"/>
      <c r="C458" s="161"/>
      <c r="D458" s="167">
        <v>250</v>
      </c>
      <c r="E458" s="161"/>
      <c r="F458" s="161"/>
      <c r="G458" s="168"/>
    </row>
    <row r="459" spans="1:7">
      <c r="A459" s="164" t="s">
        <v>575</v>
      </c>
      <c r="B459" s="165"/>
      <c r="C459" s="161"/>
      <c r="D459" s="161"/>
      <c r="E459" s="161"/>
      <c r="F459" s="161"/>
      <c r="G459" s="168"/>
    </row>
    <row r="460" spans="1:7">
      <c r="A460" s="176" t="s">
        <v>572</v>
      </c>
      <c r="B460" s="165"/>
      <c r="C460" s="161"/>
      <c r="D460" s="167">
        <v>245</v>
      </c>
      <c r="E460" s="161"/>
      <c r="F460" s="161"/>
      <c r="G460" s="168"/>
    </row>
    <row r="461" spans="1:7">
      <c r="A461" s="176" t="s">
        <v>576</v>
      </c>
      <c r="B461" s="165"/>
      <c r="C461" s="161"/>
      <c r="D461" s="167">
        <v>0</v>
      </c>
      <c r="E461" s="161"/>
      <c r="F461" s="161"/>
      <c r="G461" s="168"/>
    </row>
    <row r="462" spans="1:7">
      <c r="A462" s="176"/>
      <c r="B462" s="165"/>
      <c r="C462" s="161"/>
      <c r="D462" s="161"/>
      <c r="E462" s="161"/>
      <c r="F462" s="161"/>
      <c r="G462" s="168"/>
    </row>
    <row r="463" spans="1:7">
      <c r="A463" s="198" t="s">
        <v>567</v>
      </c>
      <c r="B463" s="165"/>
      <c r="C463" s="161"/>
      <c r="D463" s="161"/>
      <c r="E463" s="161"/>
      <c r="F463" s="161"/>
      <c r="G463" s="168"/>
    </row>
    <row r="464" spans="1:7">
      <c r="A464" s="176" t="s">
        <v>569</v>
      </c>
      <c r="B464" s="165"/>
      <c r="C464" s="161"/>
      <c r="D464" s="167">
        <v>0</v>
      </c>
      <c r="E464" s="161"/>
      <c r="F464" s="161"/>
      <c r="G464" s="168"/>
    </row>
    <row r="465" spans="1:7">
      <c r="A465" s="176" t="s">
        <v>570</v>
      </c>
      <c r="B465" s="165"/>
      <c r="C465" s="161"/>
      <c r="D465" s="167">
        <v>0</v>
      </c>
      <c r="E465" s="161"/>
      <c r="F465" s="161"/>
      <c r="G465" s="168"/>
    </row>
    <row r="466" spans="1:7">
      <c r="A466" s="164" t="s">
        <v>571</v>
      </c>
      <c r="B466" s="165"/>
      <c r="C466" s="161"/>
      <c r="D466" s="161"/>
      <c r="E466" s="161"/>
      <c r="F466" s="161"/>
      <c r="G466" s="168"/>
    </row>
    <row r="467" spans="1:7">
      <c r="A467" s="176" t="s">
        <v>572</v>
      </c>
      <c r="B467" s="165"/>
      <c r="C467" s="161"/>
      <c r="D467" s="167">
        <v>75</v>
      </c>
      <c r="E467" s="161"/>
      <c r="F467" s="161"/>
      <c r="G467" s="168"/>
    </row>
    <row r="468" spans="1:7">
      <c r="A468" s="176" t="s">
        <v>557</v>
      </c>
      <c r="B468" s="165"/>
      <c r="C468" s="161"/>
      <c r="D468" s="167">
        <v>310</v>
      </c>
      <c r="E468" s="161"/>
      <c r="F468" s="161"/>
      <c r="G468" s="168"/>
    </row>
    <row r="469" spans="1:7">
      <c r="A469" s="176" t="s">
        <v>573</v>
      </c>
      <c r="B469" s="165"/>
      <c r="C469" s="161"/>
      <c r="D469" s="167">
        <v>0</v>
      </c>
      <c r="E469" s="161"/>
      <c r="F469" s="161"/>
      <c r="G469" s="168"/>
    </row>
    <row r="470" spans="1:7">
      <c r="A470" s="164" t="s">
        <v>574</v>
      </c>
      <c r="B470" s="165"/>
      <c r="C470" s="161"/>
      <c r="D470" s="161"/>
      <c r="E470" s="161"/>
      <c r="F470" s="161"/>
      <c r="G470" s="168"/>
    </row>
    <row r="471" spans="1:7">
      <c r="A471" s="176" t="s">
        <v>572</v>
      </c>
      <c r="B471" s="165"/>
      <c r="C471" s="161"/>
      <c r="D471" s="167">
        <v>320</v>
      </c>
      <c r="E471" s="161"/>
      <c r="F471" s="161"/>
      <c r="G471" s="168"/>
    </row>
    <row r="472" spans="1:7">
      <c r="A472" s="176" t="s">
        <v>557</v>
      </c>
      <c r="B472" s="165"/>
      <c r="C472" s="161"/>
      <c r="D472" s="167">
        <v>310</v>
      </c>
      <c r="E472" s="161"/>
      <c r="F472" s="161"/>
      <c r="G472" s="168"/>
    </row>
    <row r="473" spans="1:7">
      <c r="A473" s="164" t="s">
        <v>575</v>
      </c>
      <c r="B473" s="165"/>
      <c r="C473" s="161"/>
      <c r="D473" s="161"/>
      <c r="E473" s="161"/>
      <c r="F473" s="161"/>
      <c r="G473" s="168"/>
    </row>
    <row r="474" spans="1:7">
      <c r="A474" s="176" t="s">
        <v>572</v>
      </c>
      <c r="B474" s="165"/>
      <c r="C474" s="161"/>
      <c r="D474" s="167">
        <v>245</v>
      </c>
      <c r="E474" s="161"/>
      <c r="F474" s="161"/>
      <c r="G474" s="168"/>
    </row>
    <row r="475" spans="1:7">
      <c r="A475" s="176" t="s">
        <v>576</v>
      </c>
      <c r="B475" s="165"/>
      <c r="C475" s="161"/>
      <c r="D475" s="167">
        <v>0</v>
      </c>
      <c r="E475" s="161"/>
      <c r="F475" s="161"/>
      <c r="G475" s="168"/>
    </row>
    <row r="476" spans="1:7">
      <c r="A476" s="176"/>
      <c r="B476" s="165"/>
      <c r="C476" s="161"/>
      <c r="D476" s="161"/>
      <c r="E476" s="161"/>
      <c r="F476" s="161"/>
      <c r="G476" s="168"/>
    </row>
    <row r="477" spans="1:7">
      <c r="A477" s="176" t="s">
        <v>577</v>
      </c>
      <c r="B477" s="165"/>
      <c r="C477" s="161"/>
      <c r="D477" s="167">
        <v>0</v>
      </c>
      <c r="E477" s="161"/>
      <c r="F477" s="161"/>
      <c r="G477" s="168"/>
    </row>
    <row r="478" spans="1:7">
      <c r="A478" s="176" t="s">
        <v>578</v>
      </c>
      <c r="B478" s="165"/>
      <c r="C478" s="161"/>
      <c r="D478" s="167">
        <v>50</v>
      </c>
      <c r="E478" s="161"/>
      <c r="F478" s="161"/>
      <c r="G478" s="168"/>
    </row>
    <row r="479" spans="1:7">
      <c r="A479" s="176" t="s">
        <v>579</v>
      </c>
      <c r="B479" s="165"/>
      <c r="C479" s="161"/>
      <c r="D479" s="167">
        <v>150</v>
      </c>
      <c r="E479" s="161"/>
      <c r="F479" s="161"/>
      <c r="G479" s="168"/>
    </row>
    <row r="480" spans="1:7">
      <c r="A480" s="176"/>
      <c r="B480" s="165"/>
      <c r="C480" s="161"/>
      <c r="D480" s="161"/>
      <c r="E480" s="161"/>
      <c r="F480" s="161"/>
      <c r="G480" s="168"/>
    </row>
    <row r="481" spans="1:7">
      <c r="A481" s="176"/>
      <c r="B481" s="165"/>
      <c r="C481" s="161"/>
      <c r="D481" s="161"/>
      <c r="E481" s="161"/>
      <c r="F481" s="161"/>
      <c r="G481" s="162"/>
    </row>
    <row r="482" spans="1:7">
      <c r="A482" s="154" t="s">
        <v>580</v>
      </c>
      <c r="B482" s="155">
        <v>41624</v>
      </c>
      <c r="C482" s="156" t="s">
        <v>581</v>
      </c>
      <c r="D482" s="188"/>
      <c r="E482" s="156">
        <v>2020</v>
      </c>
      <c r="F482" s="156"/>
      <c r="G482" s="191"/>
    </row>
    <row r="483" spans="1:7">
      <c r="A483" s="166" t="s">
        <v>582</v>
      </c>
      <c r="B483" s="165"/>
      <c r="C483" s="161"/>
      <c r="D483" s="167">
        <v>1500</v>
      </c>
      <c r="E483" s="161"/>
      <c r="F483" s="161"/>
      <c r="G483" s="162"/>
    </row>
    <row r="484" spans="1:7">
      <c r="A484" s="171"/>
      <c r="B484" s="172"/>
      <c r="C484" s="173"/>
      <c r="D484" s="173"/>
      <c r="E484" s="173"/>
      <c r="F484" s="173"/>
      <c r="G484" s="174"/>
    </row>
    <row r="485" spans="1:7">
      <c r="A485" s="154" t="s">
        <v>583</v>
      </c>
      <c r="B485" s="155">
        <v>43801</v>
      </c>
      <c r="C485" s="156" t="s">
        <v>220</v>
      </c>
      <c r="D485" s="188"/>
      <c r="E485" s="156">
        <v>2026</v>
      </c>
      <c r="F485" s="156"/>
      <c r="G485" s="191"/>
    </row>
    <row r="486" spans="1:7">
      <c r="A486" s="166" t="s">
        <v>584</v>
      </c>
      <c r="B486" s="165"/>
      <c r="C486" s="161"/>
      <c r="D486" s="167">
        <v>1.5</v>
      </c>
      <c r="E486" s="161"/>
      <c r="F486" s="161"/>
      <c r="G486" s="162"/>
    </row>
    <row r="487" spans="1:7">
      <c r="A487" s="171"/>
      <c r="B487" s="172"/>
      <c r="C487" s="173"/>
      <c r="D487" s="173"/>
      <c r="E487" s="173"/>
      <c r="F487" s="173"/>
      <c r="G487" s="174"/>
    </row>
    <row r="488" spans="1:7">
      <c r="A488" s="154" t="s">
        <v>585</v>
      </c>
      <c r="B488" s="155">
        <v>43801</v>
      </c>
      <c r="C488" s="156" t="s">
        <v>220</v>
      </c>
      <c r="D488" s="188"/>
      <c r="E488" s="156">
        <v>2026</v>
      </c>
      <c r="F488" s="156"/>
      <c r="G488" s="191"/>
    </row>
    <row r="489" spans="1:7">
      <c r="A489" s="166" t="s">
        <v>586</v>
      </c>
      <c r="B489" s="165"/>
      <c r="C489" s="161"/>
      <c r="D489" s="167">
        <v>7.5</v>
      </c>
      <c r="E489" s="161"/>
      <c r="F489" s="161"/>
      <c r="G489" s="162"/>
    </row>
    <row r="490" spans="1:7">
      <c r="A490" s="171"/>
      <c r="B490" s="172"/>
      <c r="C490" s="173"/>
      <c r="D490" s="173"/>
      <c r="E490" s="173"/>
      <c r="F490" s="173"/>
      <c r="G490" s="174"/>
    </row>
    <row r="491" spans="1:7">
      <c r="A491" s="154" t="s">
        <v>587</v>
      </c>
      <c r="B491" s="155">
        <v>43801</v>
      </c>
      <c r="C491" s="156" t="s">
        <v>220</v>
      </c>
      <c r="D491" s="156"/>
      <c r="E491" s="156">
        <v>2026</v>
      </c>
      <c r="F491" s="156"/>
      <c r="G491" s="191"/>
    </row>
    <row r="492" spans="1:7">
      <c r="A492" s="166" t="s">
        <v>588</v>
      </c>
      <c r="B492" s="165"/>
      <c r="C492" s="161"/>
      <c r="D492" s="167">
        <v>2500</v>
      </c>
      <c r="E492" s="161"/>
      <c r="F492" s="161"/>
      <c r="G492" s="162"/>
    </row>
    <row r="493" spans="1:7">
      <c r="A493" s="171"/>
      <c r="B493" s="172"/>
      <c r="C493" s="173"/>
      <c r="D493" s="173"/>
      <c r="E493" s="173"/>
      <c r="F493" s="173"/>
      <c r="G493" s="174"/>
    </row>
    <row r="494" spans="1:7">
      <c r="A494" s="154" t="s">
        <v>589</v>
      </c>
      <c r="B494" s="155">
        <v>43801</v>
      </c>
      <c r="C494" s="156" t="s">
        <v>220</v>
      </c>
      <c r="D494" s="156"/>
      <c r="E494" s="156">
        <v>2026</v>
      </c>
      <c r="F494" s="156"/>
      <c r="G494" s="191"/>
    </row>
    <row r="495" spans="1:7">
      <c r="A495" s="166" t="s">
        <v>590</v>
      </c>
      <c r="B495" s="165"/>
      <c r="C495" s="161"/>
      <c r="D495" s="167">
        <v>1000</v>
      </c>
      <c r="E495" s="161"/>
      <c r="F495" s="161"/>
      <c r="G495" s="162"/>
    </row>
    <row r="496" spans="1:7">
      <c r="A496" s="166"/>
      <c r="B496" s="170"/>
      <c r="C496" s="167"/>
      <c r="D496" s="167"/>
      <c r="E496" s="167"/>
      <c r="F496" s="167"/>
      <c r="G496" s="168"/>
    </row>
    <row r="497" spans="1:7">
      <c r="A497" s="154" t="s">
        <v>639</v>
      </c>
      <c r="B497" s="200">
        <v>42303</v>
      </c>
      <c r="C497" s="201"/>
      <c r="D497" s="4832"/>
      <c r="E497" s="201"/>
      <c r="F497" s="202"/>
      <c r="G497" s="3761" t="s">
        <v>591</v>
      </c>
    </row>
    <row r="498" spans="1:7">
      <c r="A498" s="154"/>
      <c r="B498" s="200">
        <v>42485</v>
      </c>
      <c r="C498" s="201"/>
      <c r="D498" s="4832"/>
      <c r="E498" s="201"/>
      <c r="F498" s="202"/>
      <c r="G498" s="3759" t="s">
        <v>592</v>
      </c>
    </row>
    <row r="499" spans="1:7">
      <c r="A499" s="166"/>
      <c r="B499" s="170"/>
      <c r="C499" s="167"/>
      <c r="D499" s="167"/>
      <c r="E499" s="167"/>
      <c r="F499" s="167"/>
      <c r="G499" s="168"/>
    </row>
    <row r="500" spans="1:7">
      <c r="A500" s="154" t="s">
        <v>593</v>
      </c>
      <c r="B500" s="155">
        <v>43213</v>
      </c>
      <c r="C500" s="157"/>
      <c r="D500" s="157"/>
      <c r="E500" s="157"/>
      <c r="F500" s="157"/>
      <c r="G500" s="3759" t="s">
        <v>594</v>
      </c>
    </row>
    <row r="501" spans="1:7">
      <c r="A501" s="166"/>
      <c r="B501" s="170"/>
      <c r="C501" s="167"/>
      <c r="D501" s="167"/>
      <c r="E501" s="167"/>
      <c r="F501" s="167"/>
      <c r="G501" s="168"/>
    </row>
    <row r="502" spans="1:7">
      <c r="A502" s="154" t="s">
        <v>7077</v>
      </c>
      <c r="B502" s="155">
        <v>44130</v>
      </c>
      <c r="C502" s="157"/>
      <c r="D502" s="157"/>
      <c r="E502" s="157"/>
      <c r="F502" s="157"/>
      <c r="G502" s="163"/>
    </row>
    <row r="503" spans="1:7">
      <c r="A503" s="166"/>
      <c r="B503" s="170"/>
      <c r="C503" s="167"/>
      <c r="D503" s="167"/>
      <c r="E503" s="167"/>
      <c r="F503" s="167"/>
      <c r="G503" s="168"/>
    </row>
    <row r="504" spans="1:7">
      <c r="A504" s="154" t="s">
        <v>7078</v>
      </c>
      <c r="B504" s="155">
        <v>44130</v>
      </c>
      <c r="C504" s="156" t="s">
        <v>220</v>
      </c>
      <c r="D504" s="157">
        <v>7.45</v>
      </c>
      <c r="E504" s="157">
        <v>2026</v>
      </c>
      <c r="F504" s="157"/>
      <c r="G504" s="163"/>
    </row>
    <row r="505" spans="1:7">
      <c r="A505" s="166"/>
      <c r="B505" s="170"/>
      <c r="C505" s="167"/>
      <c r="D505" s="167"/>
      <c r="E505" s="167"/>
      <c r="F505" s="167"/>
      <c r="G505" s="168"/>
    </row>
    <row r="506" spans="1:7">
      <c r="A506" s="154" t="s">
        <v>595</v>
      </c>
      <c r="B506" s="155">
        <v>43857</v>
      </c>
      <c r="C506" s="156"/>
      <c r="D506" s="157">
        <v>30</v>
      </c>
      <c r="E506" s="157"/>
      <c r="F506" s="157"/>
      <c r="G506" s="3745" t="s">
        <v>7318</v>
      </c>
    </row>
    <row r="507" spans="1:7">
      <c r="A507" s="166"/>
      <c r="B507" s="170"/>
      <c r="C507" s="167"/>
      <c r="D507" s="167"/>
      <c r="E507" s="1925"/>
      <c r="F507" s="167"/>
      <c r="G507" s="168"/>
    </row>
    <row r="508" spans="1:7">
      <c r="A508" s="154" t="s">
        <v>7319</v>
      </c>
      <c r="B508" s="155">
        <v>44333</v>
      </c>
      <c r="C508" s="156"/>
      <c r="D508" s="157" t="s">
        <v>7320</v>
      </c>
      <c r="E508" s="157"/>
      <c r="F508" s="157"/>
      <c r="G508" s="3745" t="s">
        <v>7321</v>
      </c>
    </row>
    <row r="509" spans="1:7" s="3751" customFormat="1" ht="15.75" thickBot="1">
      <c r="A509" s="3746"/>
      <c r="B509" s="3747"/>
      <c r="C509" s="3748"/>
      <c r="D509" s="3749"/>
      <c r="E509" s="3748"/>
      <c r="F509" s="3748"/>
      <c r="G509" s="3750"/>
    </row>
    <row r="510" spans="1:7">
      <c r="A510" s="142"/>
      <c r="B510" s="142"/>
      <c r="C510" s="142"/>
      <c r="D510" s="142"/>
      <c r="E510" s="142"/>
      <c r="F510" s="142"/>
      <c r="G510" s="199"/>
    </row>
    <row r="511" spans="1:7">
      <c r="A511" s="142"/>
      <c r="B511" s="142"/>
      <c r="C511" s="142"/>
      <c r="D511" s="142"/>
      <c r="E511" s="142"/>
      <c r="F511" s="142"/>
      <c r="G511" s="199"/>
    </row>
    <row r="512" spans="1:7">
      <c r="A512" s="142"/>
      <c r="B512" s="142"/>
      <c r="C512" s="142"/>
      <c r="D512" s="142"/>
      <c r="E512" s="142"/>
      <c r="F512" s="142"/>
      <c r="G512" s="199"/>
    </row>
  </sheetData>
  <mergeCells count="2">
    <mergeCell ref="D497:D498"/>
    <mergeCell ref="A1:E1"/>
  </mergeCells>
  <hyperlinks>
    <hyperlink ref="G240" r:id="rId1" xr:uid="{00000000-0004-0000-2900-000000000000}"/>
    <hyperlink ref="G500" r:id="rId2" xr:uid="{00000000-0004-0000-2900-000001000000}"/>
    <hyperlink ref="G497" r:id="rId3" xr:uid="{00000000-0004-0000-2900-000002000000}"/>
    <hyperlink ref="G498" r:id="rId4" xr:uid="{00000000-0004-0000-2900-000003000000}"/>
    <hyperlink ref="G156" r:id="rId5" xr:uid="{00000000-0004-0000-2900-000004000000}"/>
    <hyperlink ref="G7" r:id="rId6" xr:uid="{00000000-0004-0000-2900-000005000000}"/>
    <hyperlink ref="A1:E1" location="FINANCIËN!A1" display="BELASTINGSREGLEMENTEN" xr:uid="{00000000-0004-0000-2900-000006000000}"/>
    <hyperlink ref="A5" r:id="rId7" xr:uid="{00000000-0004-0000-2900-000007000000}"/>
    <hyperlink ref="G171" r:id="rId8" xr:uid="{00000000-0004-0000-2900-000008000000}"/>
    <hyperlink ref="G164" r:id="rId9" xr:uid="{00000000-0004-0000-2900-000009000000}"/>
    <hyperlink ref="G150" r:id="rId10" xr:uid="{00000000-0004-0000-2900-00000A000000}"/>
    <hyperlink ref="G101" r:id="rId11" xr:uid="{00000000-0004-0000-2900-00000B000000}"/>
    <hyperlink ref="G106" r:id="rId12" xr:uid="{00000000-0004-0000-2900-00000C000000}"/>
  </hyperlinks>
  <pageMargins left="0.7" right="0.7" top="0.75" bottom="0.75" header="0.3" footer="0.3"/>
  <pageSetup paperSize="9" orientation="landscape" r:id="rId1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EBD531"/>
  </sheetPr>
  <dimension ref="A1:M70"/>
  <sheetViews>
    <sheetView zoomScaleNormal="100" workbookViewId="0">
      <selection activeCell="B18" sqref="B18"/>
    </sheetView>
  </sheetViews>
  <sheetFormatPr defaultColWidth="9.140625" defaultRowHeight="15"/>
  <cols>
    <col min="1" max="1" width="16.42578125" style="34" customWidth="1"/>
    <col min="2" max="3" width="9.140625" style="34"/>
    <col min="4" max="4" width="7.5703125" style="34" customWidth="1"/>
    <col min="5" max="5" width="9.85546875" style="34" customWidth="1"/>
    <col min="6" max="16384" width="9.140625" style="34"/>
  </cols>
  <sheetData>
    <row r="1" spans="1:13" ht="21" customHeight="1">
      <c r="A1" s="4829" t="s">
        <v>85</v>
      </c>
      <c r="B1" s="4830"/>
      <c r="C1" s="4830"/>
      <c r="D1" s="4830"/>
      <c r="E1" s="4830"/>
      <c r="F1" s="4830"/>
      <c r="G1" s="4830"/>
      <c r="H1" s="4830"/>
      <c r="I1" s="4830"/>
      <c r="J1" s="4830"/>
      <c r="K1" s="4830"/>
      <c r="L1" s="4830"/>
      <c r="M1" s="4830"/>
    </row>
    <row r="3" spans="1:13" s="37" customFormat="1">
      <c r="A3" s="45" t="s">
        <v>632</v>
      </c>
      <c r="B3" s="43"/>
      <c r="C3" s="43"/>
      <c r="D3" s="43"/>
      <c r="E3" s="43"/>
      <c r="F3" s="43"/>
      <c r="G3" s="43"/>
      <c r="H3" s="43"/>
      <c r="I3" s="44"/>
      <c r="J3" s="44"/>
      <c r="K3" s="44"/>
      <c r="L3" s="44"/>
      <c r="M3" s="44"/>
    </row>
    <row r="4" spans="1:13" s="39" customFormat="1" ht="12.75"/>
    <row r="5" spans="1:13" s="39" customFormat="1" ht="12.75">
      <c r="A5" s="52" t="s">
        <v>597</v>
      </c>
      <c r="B5" s="42"/>
      <c r="C5" s="42"/>
      <c r="D5" s="42"/>
      <c r="E5" s="42"/>
      <c r="F5" s="42"/>
      <c r="G5" s="42"/>
      <c r="H5" s="42"/>
    </row>
    <row r="6" spans="1:13" s="39" customFormat="1" ht="12.75">
      <c r="A6" s="52"/>
      <c r="B6" s="42"/>
      <c r="C6" s="42"/>
      <c r="D6" s="42"/>
      <c r="E6" s="42"/>
      <c r="F6" s="42"/>
      <c r="G6" s="42"/>
      <c r="H6" s="42"/>
    </row>
    <row r="7" spans="1:13" s="39" customFormat="1" ht="25.5">
      <c r="A7" s="53" t="s">
        <v>213</v>
      </c>
      <c r="B7" s="54" t="s">
        <v>598</v>
      </c>
      <c r="C7" s="55" t="s">
        <v>599</v>
      </c>
      <c r="D7" s="55" t="s">
        <v>600</v>
      </c>
      <c r="E7" s="56" t="s">
        <v>601</v>
      </c>
      <c r="F7" s="57"/>
      <c r="G7" s="57"/>
      <c r="H7" s="57"/>
    </row>
    <row r="8" spans="1:13" s="39" customFormat="1" ht="12.75">
      <c r="A8" s="58" t="s">
        <v>602</v>
      </c>
      <c r="B8" s="59"/>
      <c r="C8" s="59"/>
      <c r="D8" s="59">
        <v>0</v>
      </c>
      <c r="E8" s="60"/>
      <c r="F8" s="42"/>
      <c r="G8" s="42"/>
      <c r="H8" s="42"/>
    </row>
    <row r="9" spans="1:13" s="39" customFormat="1" ht="12.75">
      <c r="A9" s="58" t="s">
        <v>603</v>
      </c>
      <c r="B9" s="61"/>
      <c r="C9" s="61"/>
      <c r="D9" s="59">
        <v>0</v>
      </c>
      <c r="E9" s="60"/>
      <c r="F9" s="42"/>
      <c r="G9" s="42"/>
      <c r="H9" s="42"/>
    </row>
    <row r="10" spans="1:13" s="39" customFormat="1" ht="12.75">
      <c r="A10" s="58" t="s">
        <v>604</v>
      </c>
      <c r="B10" s="59"/>
      <c r="C10" s="59"/>
      <c r="D10" s="59">
        <v>0</v>
      </c>
      <c r="E10" s="60"/>
      <c r="F10" s="42"/>
      <c r="G10" s="42"/>
      <c r="H10" s="42"/>
    </row>
    <row r="11" spans="1:13" s="39" customFormat="1" ht="12.75">
      <c r="A11" s="58" t="s">
        <v>605</v>
      </c>
      <c r="B11" s="59"/>
      <c r="C11" s="59"/>
      <c r="D11" s="59">
        <v>0</v>
      </c>
      <c r="E11" s="60"/>
      <c r="F11" s="42"/>
      <c r="G11" s="42"/>
      <c r="H11" s="42"/>
    </row>
    <row r="12" spans="1:13" s="39" customFormat="1" ht="12.75">
      <c r="A12" s="62" t="s">
        <v>8</v>
      </c>
      <c r="B12" s="63">
        <v>0</v>
      </c>
      <c r="C12" s="63">
        <v>0</v>
      </c>
      <c r="D12" s="63">
        <v>0</v>
      </c>
      <c r="E12" s="64"/>
      <c r="F12" s="42"/>
      <c r="G12" s="42"/>
      <c r="H12" s="42"/>
      <c r="I12" s="42"/>
    </row>
    <row r="13" spans="1:13" s="39" customFormat="1" ht="12.75">
      <c r="A13" s="65"/>
      <c r="B13" s="59"/>
      <c r="C13" s="59"/>
      <c r="D13" s="59"/>
      <c r="E13" s="42"/>
      <c r="F13" s="42"/>
      <c r="G13" s="42"/>
      <c r="H13" s="42"/>
      <c r="I13" s="42"/>
    </row>
    <row r="14" spans="1:13" s="39" customFormat="1">
      <c r="A14" s="51" t="s">
        <v>606</v>
      </c>
      <c r="B14" s="46"/>
      <c r="C14" s="46"/>
      <c r="D14" s="46"/>
      <c r="E14" s="47"/>
      <c r="F14" s="46"/>
      <c r="G14" s="46"/>
      <c r="H14" s="46"/>
      <c r="I14" s="48"/>
      <c r="J14" s="49"/>
      <c r="K14" s="49"/>
      <c r="L14" s="49"/>
      <c r="M14" s="49"/>
    </row>
    <row r="15" spans="1:13" s="39" customFormat="1" ht="12.75">
      <c r="A15" s="40"/>
      <c r="B15" s="35"/>
      <c r="C15" s="35"/>
      <c r="D15" s="35"/>
      <c r="E15" s="38"/>
      <c r="F15" s="38"/>
      <c r="G15" s="38"/>
      <c r="H15" s="38"/>
      <c r="I15" s="38"/>
    </row>
    <row r="16" spans="1:13" s="39" customFormat="1" ht="25.5">
      <c r="A16" s="66" t="s">
        <v>213</v>
      </c>
      <c r="B16" s="55" t="s">
        <v>607</v>
      </c>
      <c r="C16" s="55" t="s">
        <v>608</v>
      </c>
      <c r="D16" s="55" t="s">
        <v>609</v>
      </c>
      <c r="E16" s="67" t="s">
        <v>610</v>
      </c>
      <c r="F16" s="54" t="s">
        <v>611</v>
      </c>
      <c r="G16" s="55" t="s">
        <v>612</v>
      </c>
      <c r="H16" s="55" t="s">
        <v>600</v>
      </c>
      <c r="I16" s="68" t="s">
        <v>613</v>
      </c>
    </row>
    <row r="17" spans="1:13" s="39" customFormat="1" ht="12.75">
      <c r="A17" s="69"/>
      <c r="B17" s="65" t="s">
        <v>614</v>
      </c>
      <c r="C17" s="65"/>
      <c r="D17" s="65"/>
      <c r="E17" s="65"/>
      <c r="F17" s="59"/>
      <c r="G17" s="59"/>
      <c r="H17" s="59">
        <v>0</v>
      </c>
      <c r="I17" s="70"/>
    </row>
    <row r="18" spans="1:13" s="39" customFormat="1" ht="12.75">
      <c r="A18" s="69"/>
      <c r="B18" s="65" t="s">
        <v>614</v>
      </c>
      <c r="C18" s="65"/>
      <c r="D18" s="65"/>
      <c r="E18" s="65"/>
      <c r="F18" s="59">
        <v>4.9000000000000004</v>
      </c>
      <c r="G18" s="59">
        <v>0.74</v>
      </c>
      <c r="H18" s="59">
        <v>4.16</v>
      </c>
      <c r="I18" s="70"/>
    </row>
    <row r="19" spans="1:13" s="39" customFormat="1" ht="12.75">
      <c r="A19" s="69"/>
      <c r="B19" s="65" t="s">
        <v>615</v>
      </c>
      <c r="C19" s="65"/>
      <c r="D19" s="65"/>
      <c r="E19" s="65"/>
      <c r="F19" s="59"/>
      <c r="G19" s="59"/>
      <c r="H19" s="59">
        <v>0</v>
      </c>
      <c r="I19" s="70"/>
    </row>
    <row r="20" spans="1:13" s="39" customFormat="1" ht="12.75">
      <c r="A20" s="71"/>
      <c r="B20" s="72"/>
      <c r="C20" s="72"/>
      <c r="D20" s="72"/>
      <c r="E20" s="72"/>
      <c r="F20" s="63">
        <f>SUM(F17:F19)</f>
        <v>4.9000000000000004</v>
      </c>
      <c r="G20" s="63">
        <f>SUM(G17:G19)</f>
        <v>0.74</v>
      </c>
      <c r="H20" s="63">
        <f>SUM(H17:H19)</f>
        <v>4.16</v>
      </c>
      <c r="I20" s="68"/>
    </row>
    <row r="21" spans="1:13" s="39" customFormat="1" ht="12.75"/>
    <row r="22" spans="1:13" s="39" customFormat="1">
      <c r="A22" s="45" t="s">
        <v>616</v>
      </c>
      <c r="B22" s="48"/>
      <c r="C22" s="48"/>
      <c r="D22" s="48"/>
      <c r="E22" s="48"/>
      <c r="F22" s="48"/>
      <c r="G22" s="48"/>
      <c r="H22" s="48"/>
      <c r="I22" s="49"/>
      <c r="J22" s="49"/>
      <c r="K22" s="49"/>
      <c r="L22" s="49"/>
      <c r="M22" s="49"/>
    </row>
    <row r="23" spans="1:13" s="39" customFormat="1" ht="12.75">
      <c r="A23" s="41"/>
      <c r="B23" s="38"/>
      <c r="C23" s="38"/>
      <c r="D23" s="38"/>
      <c r="E23" s="38"/>
      <c r="F23" s="38"/>
      <c r="G23" s="38"/>
      <c r="H23" s="38"/>
    </row>
    <row r="24" spans="1:13" s="39" customFormat="1" ht="25.5">
      <c r="A24" s="66" t="s">
        <v>213</v>
      </c>
      <c r="B24" s="54" t="s">
        <v>598</v>
      </c>
      <c r="C24" s="55" t="s">
        <v>599</v>
      </c>
      <c r="D24" s="55" t="s">
        <v>600</v>
      </c>
      <c r="E24" s="56" t="s">
        <v>613</v>
      </c>
      <c r="F24" s="57"/>
      <c r="G24" s="57"/>
      <c r="H24" s="57"/>
    </row>
    <row r="25" spans="1:13" s="39" customFormat="1" ht="12.75">
      <c r="A25" s="73" t="s">
        <v>617</v>
      </c>
      <c r="B25" s="59"/>
      <c r="C25" s="59"/>
      <c r="D25" s="59">
        <v>0</v>
      </c>
      <c r="E25" s="60"/>
      <c r="F25" s="42"/>
      <c r="G25" s="42"/>
      <c r="H25" s="42"/>
    </row>
    <row r="26" spans="1:13" s="39" customFormat="1" ht="12.75">
      <c r="A26" s="73" t="s">
        <v>618</v>
      </c>
      <c r="B26" s="59"/>
      <c r="C26" s="59"/>
      <c r="D26" s="59">
        <v>0</v>
      </c>
      <c r="E26" s="60"/>
      <c r="F26" s="42"/>
      <c r="G26" s="42"/>
      <c r="H26" s="42"/>
    </row>
    <row r="27" spans="1:13" s="39" customFormat="1" ht="12.75">
      <c r="A27" s="73" t="s">
        <v>619</v>
      </c>
      <c r="B27" s="59"/>
      <c r="C27" s="59"/>
      <c r="D27" s="59">
        <v>0</v>
      </c>
      <c r="E27" s="60"/>
      <c r="F27" s="42"/>
      <c r="G27" s="42"/>
      <c r="H27" s="42"/>
    </row>
    <row r="28" spans="1:13" s="39" customFormat="1" ht="12.75">
      <c r="A28" s="73" t="s">
        <v>620</v>
      </c>
      <c r="B28" s="59">
        <v>241.31</v>
      </c>
      <c r="C28" s="59">
        <v>60.33</v>
      </c>
      <c r="D28" s="59">
        <v>180.98000000000002</v>
      </c>
      <c r="E28" s="60"/>
      <c r="F28" s="42"/>
      <c r="G28" s="42"/>
      <c r="H28" s="42"/>
    </row>
    <row r="29" spans="1:13" s="39" customFormat="1" ht="12.75">
      <c r="A29" s="73" t="s">
        <v>620</v>
      </c>
      <c r="B29" s="61"/>
      <c r="C29" s="59"/>
      <c r="D29" s="59">
        <v>0</v>
      </c>
      <c r="E29" s="60"/>
      <c r="F29" s="42"/>
      <c r="G29" s="42"/>
      <c r="H29" s="42"/>
    </row>
    <row r="30" spans="1:13" s="39" customFormat="1" ht="12.75">
      <c r="A30" s="73" t="s">
        <v>621</v>
      </c>
      <c r="B30" s="61"/>
      <c r="C30" s="59"/>
      <c r="D30" s="59">
        <v>0</v>
      </c>
      <c r="E30" s="60"/>
      <c r="F30" s="42"/>
      <c r="G30" s="42"/>
      <c r="H30" s="42"/>
    </row>
    <row r="31" spans="1:13" s="39" customFormat="1" ht="12.75">
      <c r="A31" s="73" t="s">
        <v>621</v>
      </c>
      <c r="B31" s="61"/>
      <c r="C31" s="59"/>
      <c r="D31" s="59">
        <v>0</v>
      </c>
      <c r="E31" s="60"/>
      <c r="F31" s="42"/>
      <c r="G31" s="42"/>
      <c r="H31" s="42"/>
    </row>
    <row r="32" spans="1:13" s="39" customFormat="1" ht="12.75">
      <c r="A32" s="71" t="s">
        <v>8</v>
      </c>
      <c r="B32" s="63">
        <f>SUM(B25:B31)</f>
        <v>241.31</v>
      </c>
      <c r="C32" s="63">
        <f>SUM(C25:C31)</f>
        <v>60.33</v>
      </c>
      <c r="D32" s="63">
        <f>SUM(D25:D31)</f>
        <v>180.98000000000002</v>
      </c>
      <c r="E32" s="64"/>
      <c r="F32" s="42"/>
      <c r="G32" s="42"/>
      <c r="H32" s="42"/>
    </row>
    <row r="33" spans="1:13" s="39" customFormat="1" ht="12.75">
      <c r="A33" s="40"/>
      <c r="B33" s="35"/>
      <c r="C33" s="35"/>
      <c r="D33" s="35"/>
      <c r="E33" s="38"/>
      <c r="F33" s="38"/>
      <c r="G33" s="38"/>
      <c r="H33" s="38"/>
    </row>
    <row r="34" spans="1:13" s="39" customFormat="1" ht="12.75">
      <c r="A34" s="50" t="s">
        <v>622</v>
      </c>
      <c r="B34" s="50"/>
      <c r="C34" s="50"/>
      <c r="D34" s="50"/>
      <c r="E34" s="50"/>
      <c r="F34" s="50"/>
      <c r="G34" s="50"/>
      <c r="H34" s="50"/>
      <c r="I34" s="50"/>
      <c r="J34" s="50"/>
      <c r="K34" s="50"/>
      <c r="L34" s="50"/>
      <c r="M34" s="50"/>
    </row>
    <row r="35" spans="1:13" s="39" customFormat="1" ht="12.75"/>
    <row r="36" spans="1:13" s="39" customFormat="1" ht="12.75">
      <c r="A36" s="80" t="s">
        <v>623</v>
      </c>
      <c r="B36" s="82" t="s">
        <v>624</v>
      </c>
      <c r="C36" s="78"/>
      <c r="D36" s="78"/>
      <c r="E36" s="85" t="s">
        <v>625</v>
      </c>
      <c r="F36" s="85" t="s">
        <v>626</v>
      </c>
      <c r="G36" s="66" t="s">
        <v>599</v>
      </c>
      <c r="H36" s="74" t="s">
        <v>600</v>
      </c>
    </row>
    <row r="37" spans="1:13" s="39" customFormat="1" ht="12.75">
      <c r="A37" s="81" t="s">
        <v>627</v>
      </c>
      <c r="B37" s="83" t="s">
        <v>628</v>
      </c>
      <c r="C37" s="75"/>
      <c r="D37" s="75"/>
      <c r="E37" s="69">
        <v>2500</v>
      </c>
      <c r="F37" s="87">
        <v>241.31</v>
      </c>
      <c r="G37" s="87">
        <v>60.33</v>
      </c>
      <c r="H37" s="77">
        <v>180.98000000000002</v>
      </c>
    </row>
    <row r="38" spans="1:13" s="39" customFormat="1" ht="12.75">
      <c r="A38" s="81" t="s">
        <v>629</v>
      </c>
      <c r="B38" s="84" t="s">
        <v>630</v>
      </c>
      <c r="C38" s="76"/>
      <c r="D38" s="76"/>
      <c r="E38" s="69">
        <v>10000</v>
      </c>
      <c r="F38" s="87">
        <v>4.9000000000000004</v>
      </c>
      <c r="G38" s="87">
        <v>0.74</v>
      </c>
      <c r="H38" s="77">
        <v>4.16</v>
      </c>
    </row>
    <row r="39" spans="1:13" s="39" customFormat="1" ht="12.75">
      <c r="A39" s="62" t="s">
        <v>8</v>
      </c>
      <c r="B39" s="79"/>
      <c r="C39" s="78"/>
      <c r="D39" s="78"/>
      <c r="E39" s="86">
        <f>SUM(E37:E38)</f>
        <v>12500</v>
      </c>
      <c r="F39" s="86">
        <f>SUM(F37:F38)</f>
        <v>246.21</v>
      </c>
      <c r="G39" s="86">
        <f>SUM(G37:G38)</f>
        <v>61.07</v>
      </c>
      <c r="H39" s="86">
        <f>SUM(H37:H38)</f>
        <v>185.14000000000001</v>
      </c>
    </row>
    <row r="40" spans="1:13" s="39" customFormat="1" ht="12.75">
      <c r="A40" s="38"/>
      <c r="B40" s="38"/>
      <c r="C40" s="38"/>
      <c r="D40" s="36"/>
      <c r="E40" s="38"/>
      <c r="F40" s="38"/>
      <c r="G40" s="38"/>
      <c r="H40" s="38"/>
    </row>
    <row r="41" spans="1:13" s="39" customFormat="1" ht="12.75"/>
    <row r="42" spans="1:13" ht="23.25">
      <c r="A42" s="4833" t="s">
        <v>631</v>
      </c>
      <c r="B42" s="4834"/>
      <c r="C42" s="4834"/>
      <c r="D42" s="4834"/>
      <c r="E42" s="4834"/>
      <c r="F42" s="4834"/>
      <c r="G42" s="4834"/>
      <c r="H42" s="4834"/>
      <c r="I42" s="4834"/>
      <c r="J42" s="4834"/>
      <c r="K42" s="4834"/>
      <c r="L42" s="4834"/>
      <c r="M42" s="4834"/>
    </row>
    <row r="44" spans="1:13" s="37" customFormat="1">
      <c r="A44" s="211" t="s">
        <v>634</v>
      </c>
      <c r="B44" s="208" t="s">
        <v>635</v>
      </c>
      <c r="C44" s="210" t="s">
        <v>636</v>
      </c>
      <c r="D44" s="209" t="s">
        <v>637</v>
      </c>
      <c r="E44" s="210" t="s">
        <v>636</v>
      </c>
      <c r="F44" s="89"/>
      <c r="G44" s="90"/>
      <c r="H44" s="89"/>
      <c r="I44" s="90"/>
    </row>
    <row r="45" spans="1:13" s="37" customFormat="1">
      <c r="A45" s="212">
        <v>1995</v>
      </c>
      <c r="B45" s="214">
        <v>11588</v>
      </c>
      <c r="C45" s="207"/>
      <c r="D45" s="91">
        <v>151037</v>
      </c>
      <c r="E45" s="207"/>
      <c r="F45" s="91"/>
      <c r="G45" s="92"/>
      <c r="H45" s="91"/>
      <c r="I45" s="92"/>
    </row>
    <row r="46" spans="1:13" s="37" customFormat="1">
      <c r="A46" s="212">
        <v>1996</v>
      </c>
      <c r="B46" s="214">
        <v>14131</v>
      </c>
      <c r="C46" s="203">
        <f>(B46-B45)/B45</f>
        <v>0.21945115636865722</v>
      </c>
      <c r="D46" s="91">
        <v>145691</v>
      </c>
      <c r="E46" s="203">
        <f>(D46-D45)/D45</f>
        <v>-3.5395300489284083E-2</v>
      </c>
      <c r="F46" s="91"/>
      <c r="G46" s="92"/>
      <c r="H46" s="91"/>
      <c r="I46" s="92"/>
    </row>
    <row r="47" spans="1:13" s="37" customFormat="1">
      <c r="A47" s="212">
        <v>1997</v>
      </c>
      <c r="B47" s="214">
        <v>22262</v>
      </c>
      <c r="C47" s="203">
        <f t="shared" ref="C47:C61" si="0">(B47-B46)/B46</f>
        <v>0.57540159932064261</v>
      </c>
      <c r="D47" s="91">
        <v>130340</v>
      </c>
      <c r="E47" s="203">
        <f t="shared" ref="E47:E65" si="1">(D47-D46)/D46</f>
        <v>-0.10536683803392111</v>
      </c>
      <c r="F47" s="91"/>
      <c r="G47" s="92"/>
      <c r="H47" s="91"/>
      <c r="I47" s="92"/>
    </row>
    <row r="48" spans="1:13" s="37" customFormat="1">
      <c r="A48" s="212">
        <v>1998</v>
      </c>
      <c r="B48" s="214">
        <v>33396</v>
      </c>
      <c r="C48" s="203">
        <f t="shared" si="0"/>
        <v>0.5001347587817806</v>
      </c>
      <c r="D48" s="91">
        <v>101661</v>
      </c>
      <c r="E48" s="203">
        <f t="shared" si="1"/>
        <v>-0.22003222341568207</v>
      </c>
      <c r="F48" s="91"/>
      <c r="G48" s="92"/>
      <c r="H48" s="91"/>
      <c r="I48" s="92"/>
    </row>
    <row r="49" spans="1:9" s="37" customFormat="1">
      <c r="A49" s="212">
        <v>1999</v>
      </c>
      <c r="B49" s="214">
        <v>45922</v>
      </c>
      <c r="C49" s="203">
        <f t="shared" si="0"/>
        <v>0.37507485926458256</v>
      </c>
      <c r="D49" s="91">
        <v>134850</v>
      </c>
      <c r="E49" s="203">
        <f t="shared" si="1"/>
        <v>0.32646737687018623</v>
      </c>
      <c r="F49" s="91"/>
      <c r="G49" s="92"/>
      <c r="H49" s="91"/>
      <c r="I49" s="92"/>
    </row>
    <row r="50" spans="1:9" s="37" customFormat="1">
      <c r="A50" s="212">
        <v>2000</v>
      </c>
      <c r="B50" s="214">
        <v>49893</v>
      </c>
      <c r="C50" s="203">
        <f t="shared" si="0"/>
        <v>8.6472714603022513E-2</v>
      </c>
      <c r="D50" s="91">
        <v>146570</v>
      </c>
      <c r="E50" s="203">
        <f t="shared" si="1"/>
        <v>8.6911383018168337E-2</v>
      </c>
      <c r="F50" s="91"/>
      <c r="G50" s="92"/>
      <c r="H50" s="91"/>
      <c r="I50" s="92"/>
    </row>
    <row r="51" spans="1:9" s="37" customFormat="1">
      <c r="A51" s="212">
        <v>2001</v>
      </c>
      <c r="B51" s="214">
        <v>50359</v>
      </c>
      <c r="C51" s="203">
        <f t="shared" si="0"/>
        <v>9.3399875734070919E-3</v>
      </c>
      <c r="D51" s="91">
        <v>145591</v>
      </c>
      <c r="E51" s="203">
        <f t="shared" si="1"/>
        <v>-6.6794023333560755E-3</v>
      </c>
      <c r="F51" s="91"/>
      <c r="G51" s="92"/>
      <c r="H51" s="91"/>
      <c r="I51" s="92"/>
    </row>
    <row r="52" spans="1:9" s="37" customFormat="1">
      <c r="A52" s="212">
        <v>2002</v>
      </c>
      <c r="B52" s="214">
        <v>55347</v>
      </c>
      <c r="C52" s="203">
        <f t="shared" si="0"/>
        <v>9.9048829404873015E-2</v>
      </c>
      <c r="D52" s="91">
        <v>143400</v>
      </c>
      <c r="E52" s="203">
        <f t="shared" si="1"/>
        <v>-1.504900715016725E-2</v>
      </c>
      <c r="F52" s="91"/>
      <c r="G52" s="92"/>
      <c r="H52" s="91"/>
      <c r="I52" s="92"/>
    </row>
    <row r="53" spans="1:9" s="37" customFormat="1">
      <c r="A53" s="212">
        <v>2003</v>
      </c>
      <c r="B53" s="214">
        <v>57912</v>
      </c>
      <c r="C53" s="203">
        <f t="shared" si="0"/>
        <v>4.6343975283213185E-2</v>
      </c>
      <c r="D53" s="91">
        <v>292596</v>
      </c>
      <c r="E53" s="203">
        <f t="shared" si="1"/>
        <v>1.040418410041841</v>
      </c>
      <c r="F53" s="91"/>
      <c r="G53" s="92"/>
      <c r="H53" s="91"/>
      <c r="I53" s="92"/>
    </row>
    <row r="54" spans="1:9" s="37" customFormat="1">
      <c r="A54" s="212">
        <v>2004</v>
      </c>
      <c r="B54" s="214">
        <v>63470</v>
      </c>
      <c r="C54" s="203">
        <f t="shared" si="0"/>
        <v>9.5973200718331264E-2</v>
      </c>
      <c r="D54" s="91">
        <v>148527</v>
      </c>
      <c r="E54" s="203">
        <f t="shared" si="1"/>
        <v>-0.49238198745027273</v>
      </c>
      <c r="F54" s="91"/>
      <c r="G54" s="92"/>
      <c r="H54" s="91"/>
      <c r="I54" s="92"/>
    </row>
    <row r="55" spans="1:9" s="37" customFormat="1">
      <c r="A55" s="212">
        <v>2005</v>
      </c>
      <c r="B55" s="214">
        <v>72903</v>
      </c>
      <c r="C55" s="203">
        <f t="shared" si="0"/>
        <v>0.14862139593508744</v>
      </c>
      <c r="D55" s="91">
        <v>151397</v>
      </c>
      <c r="E55" s="203">
        <f t="shared" si="1"/>
        <v>1.9323086038228739E-2</v>
      </c>
      <c r="F55" s="91"/>
      <c r="G55" s="92"/>
      <c r="H55" s="91"/>
      <c r="I55" s="92"/>
    </row>
    <row r="56" spans="1:9" s="37" customFormat="1">
      <c r="A56" s="212">
        <v>2006</v>
      </c>
      <c r="B56" s="214">
        <v>83761.5</v>
      </c>
      <c r="C56" s="203">
        <f t="shared" si="0"/>
        <v>0.14894448788115716</v>
      </c>
      <c r="D56" s="91">
        <v>204518.33</v>
      </c>
      <c r="E56" s="203">
        <f t="shared" si="1"/>
        <v>0.35087438984920433</v>
      </c>
      <c r="F56" s="91"/>
      <c r="G56" s="92"/>
      <c r="H56" s="91"/>
      <c r="I56" s="92"/>
    </row>
    <row r="57" spans="1:9" s="37" customFormat="1">
      <c r="A57" s="212">
        <v>2007</v>
      </c>
      <c r="B57" s="214">
        <v>97726.5</v>
      </c>
      <c r="C57" s="203">
        <f t="shared" si="0"/>
        <v>0.1667233752977203</v>
      </c>
      <c r="D57" s="91">
        <v>371980.17</v>
      </c>
      <c r="E57" s="203">
        <f t="shared" si="1"/>
        <v>0.81881091049393961</v>
      </c>
      <c r="F57" s="91"/>
      <c r="G57" s="92"/>
      <c r="H57" s="91"/>
      <c r="I57" s="92"/>
    </row>
    <row r="58" spans="1:9" s="37" customFormat="1">
      <c r="A58" s="212">
        <v>2008</v>
      </c>
      <c r="B58" s="214">
        <v>108841.5</v>
      </c>
      <c r="C58" s="203">
        <f t="shared" si="0"/>
        <v>0.1137357830271216</v>
      </c>
      <c r="D58" s="91">
        <v>158309.42000000001</v>
      </c>
      <c r="E58" s="203">
        <f t="shared" si="1"/>
        <v>-0.57441435655024298</v>
      </c>
      <c r="F58" s="91"/>
      <c r="G58" s="92"/>
      <c r="H58" s="91"/>
      <c r="I58" s="92"/>
    </row>
    <row r="59" spans="1:9" s="37" customFormat="1">
      <c r="A59" s="212">
        <v>2009</v>
      </c>
      <c r="B59" s="214">
        <v>0</v>
      </c>
      <c r="C59" s="203">
        <f t="shared" si="0"/>
        <v>-1</v>
      </c>
      <c r="D59" s="91">
        <v>168585.02</v>
      </c>
      <c r="E59" s="203">
        <f t="shared" si="1"/>
        <v>6.4908329523284056E-2</v>
      </c>
      <c r="F59" s="91"/>
      <c r="G59" s="92"/>
      <c r="H59" s="91"/>
      <c r="I59" s="92"/>
    </row>
    <row r="60" spans="1:9" s="37" customFormat="1">
      <c r="A60" s="212">
        <v>2010</v>
      </c>
      <c r="B60" s="214">
        <v>31570.400000000001</v>
      </c>
      <c r="C60" s="203"/>
      <c r="D60" s="91">
        <v>338619.99</v>
      </c>
      <c r="E60" s="203">
        <f t="shared" si="1"/>
        <v>1.0086007048550341</v>
      </c>
      <c r="F60" s="91"/>
      <c r="G60" s="92"/>
      <c r="H60" s="91"/>
      <c r="I60" s="92"/>
    </row>
    <row r="61" spans="1:9" s="37" customFormat="1">
      <c r="A61" s="212">
        <v>2011</v>
      </c>
      <c r="B61" s="214">
        <v>0</v>
      </c>
      <c r="C61" s="203">
        <f t="shared" si="0"/>
        <v>-1</v>
      </c>
      <c r="D61" s="91">
        <v>176861.79</v>
      </c>
      <c r="E61" s="203">
        <f t="shared" si="1"/>
        <v>-0.47769831899174053</v>
      </c>
      <c r="F61" s="91"/>
      <c r="G61" s="92"/>
      <c r="H61" s="91"/>
      <c r="I61" s="92"/>
    </row>
    <row r="62" spans="1:9" s="37" customFormat="1">
      <c r="A62" s="212">
        <v>2012</v>
      </c>
      <c r="B62" s="214">
        <v>0</v>
      </c>
      <c r="C62" s="203"/>
      <c r="D62" s="91">
        <v>181271.91</v>
      </c>
      <c r="E62" s="203">
        <f t="shared" si="1"/>
        <v>2.4935402949387741E-2</v>
      </c>
      <c r="F62" s="91"/>
      <c r="G62" s="92"/>
      <c r="H62" s="91"/>
      <c r="I62" s="92"/>
    </row>
    <row r="63" spans="1:9" s="37" customFormat="1">
      <c r="A63" s="212">
        <v>2013</v>
      </c>
      <c r="B63" s="214">
        <v>0</v>
      </c>
      <c r="C63" s="203"/>
      <c r="D63" s="91">
        <v>373426.53</v>
      </c>
      <c r="E63" s="203">
        <f t="shared" si="1"/>
        <v>1.060035280700689</v>
      </c>
      <c r="F63" s="91"/>
      <c r="G63" s="92"/>
      <c r="H63" s="91"/>
      <c r="I63" s="92"/>
    </row>
    <row r="64" spans="1:9" s="37" customFormat="1">
      <c r="A64" s="212">
        <v>2014</v>
      </c>
      <c r="B64" s="215">
        <v>0</v>
      </c>
      <c r="C64" s="207"/>
      <c r="D64" s="91">
        <v>190231.87</v>
      </c>
      <c r="E64" s="203">
        <f t="shared" si="1"/>
        <v>-0.49057751734993232</v>
      </c>
      <c r="F64" s="61"/>
      <c r="G64" s="92"/>
      <c r="H64" s="61"/>
      <c r="I64" s="92"/>
    </row>
    <row r="65" spans="1:9" s="37" customFormat="1">
      <c r="A65" s="212">
        <v>2015</v>
      </c>
      <c r="B65" s="215">
        <v>0</v>
      </c>
      <c r="C65" s="207"/>
      <c r="D65" s="91">
        <v>380149.97</v>
      </c>
      <c r="E65" s="203">
        <f t="shared" si="1"/>
        <v>0.99835059183300878</v>
      </c>
      <c r="F65" s="61"/>
      <c r="G65" s="92"/>
      <c r="H65" s="61"/>
      <c r="I65" s="92"/>
    </row>
    <row r="66" spans="1:9" s="37" customFormat="1">
      <c r="A66" s="212">
        <v>2016</v>
      </c>
      <c r="B66" s="214">
        <v>0</v>
      </c>
      <c r="C66" s="207"/>
      <c r="D66" s="91">
        <v>0</v>
      </c>
      <c r="E66" s="204"/>
      <c r="F66" s="61"/>
      <c r="G66" s="92"/>
      <c r="H66" s="61"/>
      <c r="I66" s="92"/>
    </row>
    <row r="67" spans="1:9" s="37" customFormat="1">
      <c r="A67" s="212">
        <v>2017</v>
      </c>
      <c r="B67" s="214">
        <v>0</v>
      </c>
      <c r="C67" s="207"/>
      <c r="D67" s="91">
        <v>0</v>
      </c>
      <c r="E67" s="204"/>
      <c r="F67" s="61"/>
      <c r="G67" s="92"/>
      <c r="H67" s="61"/>
      <c r="I67" s="92"/>
    </row>
    <row r="68" spans="1:9" s="37" customFormat="1">
      <c r="A68" s="212">
        <v>2018</v>
      </c>
      <c r="B68" s="214">
        <v>0</v>
      </c>
      <c r="C68" s="207"/>
      <c r="D68" s="61"/>
      <c r="E68" s="204"/>
      <c r="F68" s="61"/>
      <c r="G68" s="92"/>
      <c r="H68" s="61"/>
      <c r="I68" s="92"/>
    </row>
    <row r="69" spans="1:9" s="37" customFormat="1">
      <c r="A69" s="213">
        <v>2019</v>
      </c>
      <c r="B69" s="216">
        <v>0</v>
      </c>
      <c r="C69" s="217"/>
      <c r="D69" s="205"/>
      <c r="E69" s="206"/>
      <c r="F69" s="61"/>
      <c r="G69" s="92"/>
      <c r="H69" s="61"/>
      <c r="I69" s="92"/>
    </row>
    <row r="70" spans="1:9" s="37" customFormat="1">
      <c r="F70" s="88"/>
      <c r="G70" s="88"/>
      <c r="H70" s="88"/>
      <c r="I70" s="88"/>
    </row>
  </sheetData>
  <mergeCells count="2">
    <mergeCell ref="A1:M1"/>
    <mergeCell ref="A42:M42"/>
  </mergeCells>
  <hyperlinks>
    <hyperlink ref="A1:M1" location="FINANCIËN!A1" display="BELEGGINGEN" xr:uid="{00000000-0004-0000-2A00-000000000000}"/>
    <hyperlink ref="A42:M42" location="FINANCIËN!A1" display="DIVIDENDEN" xr:uid="{00000000-0004-0000-2A00-000001000000}"/>
  </hyperlinks>
  <pageMargins left="0.7" right="0.7" top="0.75" bottom="0.75" header="0.3" footer="0.3"/>
  <pageSetup paperSize="9" orientation="landscape"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sheetPr>
  <dimension ref="A2:J24"/>
  <sheetViews>
    <sheetView workbookViewId="0"/>
  </sheetViews>
  <sheetFormatPr defaultColWidth="9.140625" defaultRowHeight="15"/>
  <cols>
    <col min="1" max="1" width="9.140625" style="4033"/>
    <col min="2" max="2" width="13" style="4033" customWidth="1"/>
    <col min="3" max="3" width="9.140625" style="4033"/>
    <col min="4" max="4" width="24.140625" style="4033" customWidth="1"/>
    <col min="5" max="16384" width="9.140625" style="4033"/>
  </cols>
  <sheetData>
    <row r="2" spans="3:10" ht="36">
      <c r="C2" s="4750" t="s">
        <v>104</v>
      </c>
      <c r="D2" s="4750"/>
      <c r="E2" s="4750"/>
      <c r="F2" s="4750"/>
      <c r="G2" s="4036"/>
      <c r="H2" s="4036"/>
      <c r="I2" s="4036"/>
      <c r="J2" s="4036"/>
    </row>
    <row r="3" spans="3:10">
      <c r="D3" s="4746"/>
      <c r="E3" s="4746"/>
      <c r="F3" s="4746"/>
    </row>
    <row r="4" spans="3:10">
      <c r="D4" s="4747"/>
      <c r="E4" s="4747"/>
      <c r="F4" s="4747"/>
    </row>
    <row r="5" spans="3:10" ht="27" customHeight="1">
      <c r="D5" s="6" t="s">
        <v>7045</v>
      </c>
    </row>
    <row r="6" spans="3:10" ht="30" customHeight="1">
      <c r="D6" s="4038"/>
    </row>
    <row r="7" spans="3:10" ht="27" customHeight="1">
      <c r="C7" s="4042"/>
      <c r="D7" s="6" t="s">
        <v>71</v>
      </c>
    </row>
    <row r="8" spans="3:10" ht="15" customHeight="1">
      <c r="C8" s="4042"/>
    </row>
    <row r="9" spans="3:10" ht="15" customHeight="1">
      <c r="C9" s="4042"/>
    </row>
    <row r="10" spans="3:10" ht="27" customHeight="1">
      <c r="D10" s="6" t="s">
        <v>72</v>
      </c>
    </row>
    <row r="11" spans="3:10" ht="15" customHeight="1"/>
    <row r="12" spans="3:10" ht="15" customHeight="1">
      <c r="D12" s="4038"/>
    </row>
    <row r="13" spans="3:10" ht="27" customHeight="1">
      <c r="D13" s="6" t="s">
        <v>5614</v>
      </c>
    </row>
    <row r="14" spans="3:10" ht="15" customHeight="1">
      <c r="D14" s="4038"/>
    </row>
    <row r="15" spans="3:10" ht="15" customHeight="1">
      <c r="D15" s="4038"/>
    </row>
    <row r="16" spans="3:10" ht="27" customHeight="1">
      <c r="D16" s="6" t="s">
        <v>73</v>
      </c>
    </row>
    <row r="17" spans="1:4">
      <c r="D17" s="4038"/>
    </row>
    <row r="18" spans="1:4">
      <c r="D18" s="4038"/>
    </row>
    <row r="19" spans="1:4" ht="27" customHeight="1">
      <c r="D19" s="6" t="s">
        <v>74</v>
      </c>
    </row>
    <row r="22" spans="1:4" s="4039" customFormat="1" ht="18.75">
      <c r="A22" s="4748" t="s">
        <v>7146</v>
      </c>
      <c r="B22" s="4748"/>
      <c r="C22" s="4748"/>
      <c r="D22" s="4748"/>
    </row>
    <row r="23" spans="1:4" s="4039" customFormat="1" ht="8.25" customHeight="1">
      <c r="A23" s="4048"/>
      <c r="B23" s="4049"/>
      <c r="C23" s="4050"/>
    </row>
    <row r="24" spans="1:4" s="4039" customFormat="1" ht="18.75">
      <c r="A24" s="4749" t="s">
        <v>7147</v>
      </c>
      <c r="B24" s="4749"/>
      <c r="C24" s="4749"/>
      <c r="D24" s="4749"/>
    </row>
  </sheetData>
  <mergeCells count="5">
    <mergeCell ref="D3:F3"/>
    <mergeCell ref="D4:F4"/>
    <mergeCell ref="A22:D22"/>
    <mergeCell ref="A24:D24"/>
    <mergeCell ref="C2:F2"/>
  </mergeCells>
  <hyperlinks>
    <hyperlink ref="D19" location="'W-ZW'!A1" display="ZONNEWENDE" xr:uid="{00000000-0004-0000-0200-000000000000}"/>
    <hyperlink ref="A22:B22" location="BOORDTABELLEN!A1" display="Terug naar overzicht" xr:uid="{00000000-0004-0000-0200-000001000000}"/>
    <hyperlink ref="A24:B24" location="INDELING!A1" display="&gt; &gt; Terug naar indeling" xr:uid="{00000000-0004-0000-0200-000002000000}"/>
    <hyperlink ref="D7" location="'W-WZC TL'!A1" display="WZC TER LINDEN" xr:uid="{00000000-0004-0000-0200-000003000000}"/>
    <hyperlink ref="D10" location="'W-GEZINSHULP'!A1" display="GEZINSHULP" xr:uid="{00000000-0004-0000-0200-000004000000}"/>
    <hyperlink ref="D16" location="'W-ZB'!A1" display="ZONNEBLOEM" xr:uid="{00000000-0004-0000-0200-000005000000}"/>
    <hyperlink ref="D13" location="'W-SD'!A1" display="SOCIALE DIENST" xr:uid="{00000000-0004-0000-0200-000006000000}"/>
    <hyperlink ref="D5" location="'W-PP'!A1" display="BRUSSEL - ODK" xr:uid="{00000000-0004-0000-0200-000007000000}"/>
    <hyperlink ref="C2:F2" location="BOORDTABELLEN!A1" display="BOORDTABELLEN WELZIJN" xr:uid="{00000000-0004-0000-0200-000008000000}"/>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E0C816"/>
  </sheetPr>
  <dimension ref="A1:BC295"/>
  <sheetViews>
    <sheetView workbookViewId="0">
      <selection sqref="A1:M1"/>
    </sheetView>
  </sheetViews>
  <sheetFormatPr defaultColWidth="9.140625" defaultRowHeight="15"/>
  <cols>
    <col min="1" max="5" width="9.28515625" style="34" bestFit="1" customWidth="1"/>
    <col min="6" max="6" width="10.140625" style="34" customWidth="1"/>
    <col min="7" max="7" width="9.28515625" style="34" bestFit="1" customWidth="1"/>
    <col min="8" max="8" width="20.5703125" style="34" customWidth="1"/>
    <col min="9" max="14" width="9.28515625" style="34" bestFit="1" customWidth="1"/>
    <col min="15" max="15" width="9.85546875" style="34" bestFit="1" customWidth="1"/>
    <col min="16" max="17" width="9.42578125" style="34" bestFit="1" customWidth="1"/>
    <col min="18" max="19" width="9.28515625" style="34" bestFit="1" customWidth="1"/>
    <col min="20" max="20" width="11.28515625" style="34" bestFit="1" customWidth="1"/>
    <col min="21" max="21" width="11.7109375" style="34" bestFit="1" customWidth="1"/>
    <col min="22" max="22" width="9.28515625" style="34" bestFit="1" customWidth="1"/>
    <col min="23" max="16384" width="9.140625" style="34"/>
  </cols>
  <sheetData>
    <row r="1" spans="1:23" ht="19.5" customHeight="1">
      <c r="A1" s="4833" t="s">
        <v>90</v>
      </c>
      <c r="B1" s="4834"/>
      <c r="C1" s="4834"/>
      <c r="D1" s="4834"/>
      <c r="E1" s="4834"/>
      <c r="F1" s="4834"/>
      <c r="G1" s="4834"/>
      <c r="H1" s="4834"/>
      <c r="I1" s="4834"/>
      <c r="J1" s="4834"/>
      <c r="K1" s="4834"/>
      <c r="L1" s="4834"/>
      <c r="M1" s="4834"/>
      <c r="N1" s="565"/>
      <c r="O1" s="42"/>
      <c r="P1" s="42"/>
      <c r="Q1" s="42"/>
      <c r="R1" s="42"/>
      <c r="S1" s="42"/>
      <c r="T1" s="42"/>
      <c r="U1" s="42"/>
      <c r="V1" s="42"/>
      <c r="W1" s="42"/>
    </row>
    <row r="2" spans="1:23" ht="18.75">
      <c r="A2" s="221"/>
      <c r="B2" s="42"/>
      <c r="C2" s="42"/>
      <c r="D2" s="42"/>
      <c r="E2" s="42"/>
      <c r="F2" s="42"/>
      <c r="G2" s="42"/>
      <c r="H2" s="42"/>
      <c r="I2" s="42"/>
      <c r="J2" s="42"/>
      <c r="K2" s="42"/>
      <c r="L2" s="42"/>
      <c r="M2" s="42"/>
      <c r="N2" s="42"/>
      <c r="O2" s="42"/>
      <c r="P2" s="42"/>
      <c r="Q2" s="42"/>
      <c r="R2" s="42"/>
      <c r="S2" s="42"/>
      <c r="T2" s="42"/>
      <c r="U2" s="42"/>
      <c r="V2" s="42"/>
      <c r="W2" s="42"/>
    </row>
    <row r="3" spans="1:23" ht="18.75">
      <c r="A3" s="221" t="s">
        <v>640</v>
      </c>
      <c r="B3" s="42"/>
      <c r="C3" s="42"/>
      <c r="D3" s="42"/>
      <c r="E3" s="42"/>
      <c r="F3" s="42"/>
      <c r="G3" s="42"/>
      <c r="H3" s="42"/>
      <c r="I3" s="42"/>
      <c r="J3" s="42"/>
      <c r="K3" s="42"/>
      <c r="L3" s="42"/>
      <c r="M3" s="42"/>
      <c r="N3" s="42"/>
      <c r="O3" s="42"/>
      <c r="P3" s="221" t="s">
        <v>641</v>
      </c>
      <c r="Q3" s="42"/>
      <c r="R3" s="42"/>
      <c r="S3" s="42"/>
      <c r="T3" s="42"/>
      <c r="U3" s="42"/>
      <c r="V3" s="42"/>
      <c r="W3" s="42"/>
    </row>
    <row r="4" spans="1:23">
      <c r="A4" s="42"/>
      <c r="B4" s="42"/>
      <c r="C4" s="42"/>
      <c r="D4" s="42"/>
      <c r="E4" s="42"/>
      <c r="F4" s="42"/>
      <c r="G4" s="42"/>
      <c r="H4" s="42"/>
      <c r="I4" s="42"/>
      <c r="J4" s="42"/>
      <c r="K4" s="42"/>
      <c r="L4" s="42"/>
      <c r="M4" s="42"/>
      <c r="N4" s="42"/>
      <c r="O4" s="42"/>
      <c r="P4" s="42"/>
      <c r="Q4" s="42"/>
      <c r="R4" s="42"/>
      <c r="S4" s="42"/>
      <c r="T4" s="42"/>
      <c r="U4" s="42"/>
      <c r="V4" s="42"/>
      <c r="W4" s="42"/>
    </row>
    <row r="5" spans="1:23" s="243" customFormat="1" ht="27" customHeight="1" thickBot="1">
      <c r="A5" s="3784" t="s">
        <v>642</v>
      </c>
      <c r="B5" s="3785" t="s">
        <v>156</v>
      </c>
      <c r="C5" s="3786" t="s">
        <v>636</v>
      </c>
      <c r="D5" s="3785" t="s">
        <v>643</v>
      </c>
      <c r="E5" s="3788" t="s">
        <v>636</v>
      </c>
      <c r="F5" s="3791" t="s">
        <v>154</v>
      </c>
      <c r="G5" s="3788" t="s">
        <v>636</v>
      </c>
      <c r="H5" s="242"/>
      <c r="I5" s="242"/>
      <c r="J5" s="242"/>
      <c r="K5" s="242"/>
      <c r="L5" s="242"/>
      <c r="M5" s="242"/>
      <c r="N5" s="242"/>
      <c r="O5" s="242"/>
      <c r="P5" s="247" t="s">
        <v>642</v>
      </c>
      <c r="Q5" s="3893" t="s">
        <v>156</v>
      </c>
      <c r="R5" s="248" t="s">
        <v>636</v>
      </c>
      <c r="S5" s="3893" t="s">
        <v>643</v>
      </c>
      <c r="T5" s="3895" t="s">
        <v>636</v>
      </c>
      <c r="U5" s="3894" t="s">
        <v>154</v>
      </c>
      <c r="V5" s="3895" t="s">
        <v>636</v>
      </c>
      <c r="W5" s="242"/>
    </row>
    <row r="6" spans="1:23" s="39" customFormat="1" ht="12.75">
      <c r="A6" s="4468">
        <v>1995</v>
      </c>
      <c r="B6" s="542">
        <v>2847913</v>
      </c>
      <c r="C6" s="4465"/>
      <c r="D6" s="4373">
        <v>1295810</v>
      </c>
      <c r="E6" s="4461"/>
      <c r="F6" s="542">
        <v>554413</v>
      </c>
      <c r="G6" s="3789"/>
      <c r="H6" s="42"/>
      <c r="I6" s="42"/>
      <c r="J6" s="42"/>
      <c r="K6" s="42"/>
      <c r="L6" s="42"/>
      <c r="M6" s="42"/>
      <c r="N6" s="42"/>
      <c r="O6" s="42"/>
      <c r="P6" s="235">
        <v>1995</v>
      </c>
      <c r="Q6" s="214">
        <v>2847912.8356788191</v>
      </c>
      <c r="R6" s="245"/>
      <c r="S6" s="214">
        <v>1295809.6326465856</v>
      </c>
      <c r="T6" s="60"/>
      <c r="U6" s="91">
        <v>0</v>
      </c>
      <c r="V6" s="246"/>
      <c r="W6" s="42"/>
    </row>
    <row r="7" spans="1:23" s="39" customFormat="1" ht="12.75">
      <c r="A7" s="4469">
        <v>1996</v>
      </c>
      <c r="B7" s="544">
        <v>3114993</v>
      </c>
      <c r="C7" s="4466">
        <f>(B7-B6)/B7</f>
        <v>8.5740160571789403E-2</v>
      </c>
      <c r="D7" s="3516">
        <v>1638026</v>
      </c>
      <c r="E7" s="4462">
        <f>(D7-D6)/D7</f>
        <v>0.20891976073639856</v>
      </c>
      <c r="F7" s="544">
        <v>615507</v>
      </c>
      <c r="G7" s="1961">
        <f>(F7-F6)/F7</f>
        <v>9.9258010063248678E-2</v>
      </c>
      <c r="H7" s="42" t="s">
        <v>644</v>
      </c>
      <c r="I7" s="42"/>
      <c r="J7" s="42"/>
      <c r="K7" s="42"/>
      <c r="L7" s="42"/>
      <c r="M7" s="42"/>
      <c r="N7" s="42"/>
      <c r="O7" s="42"/>
      <c r="P7" s="235">
        <v>1996</v>
      </c>
      <c r="Q7" s="214">
        <v>3111721.1743212054</v>
      </c>
      <c r="R7" s="236">
        <f>(Q7-Q6)/Q7</f>
        <v>8.4778912975689E-2</v>
      </c>
      <c r="S7" s="214">
        <v>1557545.8045260399</v>
      </c>
      <c r="T7" s="233">
        <f>(S7-S6)/S7</f>
        <v>0.16804396449778916</v>
      </c>
      <c r="U7" s="91">
        <v>619733.81193309848</v>
      </c>
      <c r="V7" s="244"/>
      <c r="W7" s="42" t="s">
        <v>644</v>
      </c>
    </row>
    <row r="8" spans="1:23" s="39" customFormat="1" ht="12.75">
      <c r="A8" s="4469">
        <v>1997</v>
      </c>
      <c r="B8" s="544">
        <v>3403420</v>
      </c>
      <c r="C8" s="4466">
        <f t="shared" ref="C8:C30" si="0">(B8-B7)/B8</f>
        <v>8.4746225855169208E-2</v>
      </c>
      <c r="D8" s="3516">
        <v>1552343</v>
      </c>
      <c r="E8" s="4462">
        <f t="shared" ref="E8:E33" si="1">(D8-D7)/D8</f>
        <v>-5.5195919973871757E-2</v>
      </c>
      <c r="F8" s="544">
        <v>599704</v>
      </c>
      <c r="G8" s="1961">
        <f t="shared" ref="G8:G29" si="2">(F8-F7)/F8</f>
        <v>-2.6351333324440056E-2</v>
      </c>
      <c r="H8" s="42"/>
      <c r="I8" s="42"/>
      <c r="J8" s="42"/>
      <c r="K8" s="42"/>
      <c r="L8" s="42"/>
      <c r="M8" s="42"/>
      <c r="N8" s="42"/>
      <c r="O8" s="42"/>
      <c r="P8" s="235">
        <v>1997</v>
      </c>
      <c r="Q8" s="214">
        <v>3211988.6762237884</v>
      </c>
      <c r="R8" s="236">
        <f t="shared" ref="R8:R35" si="3">(Q8-Q7)/Q8</f>
        <v>3.1216642401262665E-2</v>
      </c>
      <c r="S8" s="214">
        <v>1555683.5787892384</v>
      </c>
      <c r="T8" s="233">
        <f t="shared" ref="T8:T36" si="4">(S8-S7)/S8</f>
        <v>-1.1970465988018274E-3</v>
      </c>
      <c r="U8" s="91">
        <v>607339.1356944365</v>
      </c>
      <c r="V8" s="233">
        <f>(U8-U7)/U8</f>
        <v>-2.0408163265306142E-2</v>
      </c>
      <c r="W8" s="42"/>
    </row>
    <row r="9" spans="1:23" s="39" customFormat="1" ht="12.75">
      <c r="A9" s="4469">
        <v>1998</v>
      </c>
      <c r="B9" s="544">
        <v>3131271</v>
      </c>
      <c r="C9" s="4466">
        <f t="shared" si="0"/>
        <v>-8.6913269404021568E-2</v>
      </c>
      <c r="D9" s="3516">
        <v>1769282</v>
      </c>
      <c r="E9" s="4462">
        <f t="shared" si="1"/>
        <v>0.12261414517301368</v>
      </c>
      <c r="F9" s="544">
        <v>606533</v>
      </c>
      <c r="G9" s="1961">
        <f t="shared" si="2"/>
        <v>1.1259074114681312E-2</v>
      </c>
      <c r="H9" s="42"/>
      <c r="I9" s="42"/>
      <c r="J9" s="42"/>
      <c r="K9" s="42"/>
      <c r="L9" s="42"/>
      <c r="M9" s="42"/>
      <c r="N9" s="42"/>
      <c r="O9" s="42"/>
      <c r="P9" s="235">
        <v>1998</v>
      </c>
      <c r="Q9" s="214">
        <v>3271158.4560199701</v>
      </c>
      <c r="R9" s="236">
        <f t="shared" si="3"/>
        <v>1.8088325769511571E-2</v>
      </c>
      <c r="S9" s="214">
        <v>1728030.7586285539</v>
      </c>
      <c r="T9" s="233">
        <f t="shared" si="4"/>
        <v>9.9736175978776195E-2</v>
      </c>
      <c r="U9" s="91">
        <v>607339.1356944365</v>
      </c>
      <c r="V9" s="233">
        <f t="shared" ref="V9:V36" si="5">(U9-U8)/U9</f>
        <v>0</v>
      </c>
      <c r="W9" s="42"/>
    </row>
    <row r="10" spans="1:23" s="39" customFormat="1" ht="12.75">
      <c r="A10" s="4469">
        <v>1999</v>
      </c>
      <c r="B10" s="544">
        <v>3366235</v>
      </c>
      <c r="C10" s="4466">
        <f t="shared" si="0"/>
        <v>6.9800236763030502E-2</v>
      </c>
      <c r="D10" s="3516">
        <v>1646938</v>
      </c>
      <c r="E10" s="4462">
        <f t="shared" si="1"/>
        <v>-7.4285735103567951E-2</v>
      </c>
      <c r="F10" s="544">
        <v>607178</v>
      </c>
      <c r="G10" s="1961">
        <f t="shared" si="2"/>
        <v>1.0622914532476472E-3</v>
      </c>
      <c r="H10" s="42"/>
      <c r="I10" s="42"/>
      <c r="J10" s="42"/>
      <c r="K10" s="42"/>
      <c r="L10" s="42"/>
      <c r="M10" s="42"/>
      <c r="N10" s="42"/>
      <c r="O10" s="42"/>
      <c r="P10" s="235">
        <v>1999</v>
      </c>
      <c r="Q10" s="214">
        <v>3411869.1667554951</v>
      </c>
      <c r="R10" s="236">
        <f t="shared" si="3"/>
        <v>4.1241531799220001E-2</v>
      </c>
      <c r="S10" s="214">
        <v>1760828.6088959069</v>
      </c>
      <c r="T10" s="233">
        <f t="shared" si="4"/>
        <v>1.86263728915208E-2</v>
      </c>
      <c r="U10" s="91">
        <v>607339.1356944365</v>
      </c>
      <c r="V10" s="233">
        <f t="shared" si="5"/>
        <v>0</v>
      </c>
      <c r="W10" s="42"/>
    </row>
    <row r="11" spans="1:23" s="39" customFormat="1" ht="13.5" thickBot="1">
      <c r="A11" s="4469">
        <v>2000</v>
      </c>
      <c r="B11" s="544">
        <v>3226526</v>
      </c>
      <c r="C11" s="4466">
        <f t="shared" si="0"/>
        <v>-4.3300131472673704E-2</v>
      </c>
      <c r="D11" s="3516">
        <v>2186401</v>
      </c>
      <c r="E11" s="4462">
        <f t="shared" si="1"/>
        <v>0.24673561711689668</v>
      </c>
      <c r="F11" s="544">
        <v>616127</v>
      </c>
      <c r="G11" s="1961">
        <f t="shared" si="2"/>
        <v>1.4524602882197988E-2</v>
      </c>
      <c r="H11" s="42"/>
      <c r="I11" s="42"/>
      <c r="J11" s="42"/>
      <c r="K11" s="42"/>
      <c r="L11" s="42"/>
      <c r="M11" s="42"/>
      <c r="N11" s="42"/>
      <c r="O11" s="42"/>
      <c r="P11" s="235">
        <v>2000</v>
      </c>
      <c r="Q11" s="214">
        <v>3695496.493546092</v>
      </c>
      <c r="R11" s="236">
        <f t="shared" si="3"/>
        <v>7.6749450929240695E-2</v>
      </c>
      <c r="S11" s="214">
        <v>1855972.622639124</v>
      </c>
      <c r="T11" s="233">
        <f t="shared" si="4"/>
        <v>5.1263694616317051E-2</v>
      </c>
      <c r="U11" s="91">
        <v>625931.15005242953</v>
      </c>
      <c r="V11" s="233">
        <f t="shared" si="5"/>
        <v>2.970297029702982E-2</v>
      </c>
      <c r="W11" s="42"/>
    </row>
    <row r="12" spans="1:23" s="39" customFormat="1" ht="12.75">
      <c r="A12" s="4469">
        <v>2001</v>
      </c>
      <c r="B12" s="544">
        <v>3530858</v>
      </c>
      <c r="C12" s="4466">
        <f t="shared" si="0"/>
        <v>8.6192081358128822E-2</v>
      </c>
      <c r="D12" s="3516">
        <v>1920067</v>
      </c>
      <c r="E12" s="4462">
        <f t="shared" si="1"/>
        <v>-0.13871078457158006</v>
      </c>
      <c r="F12" s="544">
        <v>846723</v>
      </c>
      <c r="G12" s="1961">
        <f t="shared" si="2"/>
        <v>0.27233936009769427</v>
      </c>
      <c r="H12" s="91" t="s">
        <v>645</v>
      </c>
      <c r="I12" s="42"/>
      <c r="J12" s="1958" t="s">
        <v>156</v>
      </c>
      <c r="K12" s="1959" t="s">
        <v>158</v>
      </c>
      <c r="L12" s="42"/>
      <c r="M12" s="42"/>
      <c r="N12" s="42"/>
      <c r="O12" s="42"/>
      <c r="P12" s="235">
        <v>2001</v>
      </c>
      <c r="Q12" s="214">
        <v>3478687</v>
      </c>
      <c r="R12" s="236">
        <f t="shared" si="3"/>
        <v>-6.2325093791448315E-2</v>
      </c>
      <c r="S12" s="214">
        <v>1927760</v>
      </c>
      <c r="T12" s="233">
        <f t="shared" si="4"/>
        <v>3.7238752417767744E-2</v>
      </c>
      <c r="U12" s="91">
        <v>861430</v>
      </c>
      <c r="V12" s="233">
        <f t="shared" si="5"/>
        <v>0.27338129615589252</v>
      </c>
      <c r="W12" s="91" t="s">
        <v>645</v>
      </c>
    </row>
    <row r="13" spans="1:23" s="39" customFormat="1" ht="12.75">
      <c r="A13" s="4469">
        <v>2002</v>
      </c>
      <c r="B13" s="544">
        <v>4413102</v>
      </c>
      <c r="C13" s="4466">
        <f t="shared" si="0"/>
        <v>0.19991470852022003</v>
      </c>
      <c r="D13" s="3516">
        <v>2032720</v>
      </c>
      <c r="E13" s="4462">
        <f t="shared" si="1"/>
        <v>5.5419831555747964E-2</v>
      </c>
      <c r="F13" s="544">
        <v>865080</v>
      </c>
      <c r="G13" s="1961">
        <f t="shared" si="2"/>
        <v>2.1220002774309889E-2</v>
      </c>
      <c r="H13" s="42" t="s">
        <v>646</v>
      </c>
      <c r="I13" s="42"/>
      <c r="J13" s="1960">
        <v>0.19991470852022003</v>
      </c>
      <c r="K13" s="1961">
        <v>5.8671390112949182E-2</v>
      </c>
      <c r="L13" s="42"/>
      <c r="M13" s="42"/>
      <c r="N13" s="42"/>
      <c r="O13" s="42"/>
      <c r="P13" s="235">
        <v>2002</v>
      </c>
      <c r="Q13" s="214">
        <v>4170906</v>
      </c>
      <c r="R13" s="236">
        <f t="shared" si="3"/>
        <v>0.16596370189114787</v>
      </c>
      <c r="S13" s="214">
        <v>2016911</v>
      </c>
      <c r="T13" s="233">
        <f t="shared" si="4"/>
        <v>4.4201752085243226E-2</v>
      </c>
      <c r="U13" s="91">
        <v>875000</v>
      </c>
      <c r="V13" s="233">
        <f t="shared" si="5"/>
        <v>1.5508571428571429E-2</v>
      </c>
      <c r="W13" s="42" t="s">
        <v>646</v>
      </c>
    </row>
    <row r="14" spans="1:23" s="39" customFormat="1" ht="12.75">
      <c r="A14" s="4469">
        <v>2003</v>
      </c>
      <c r="B14" s="544">
        <v>4846231</v>
      </c>
      <c r="C14" s="4466">
        <f t="shared" si="0"/>
        <v>8.9374402499591957E-2</v>
      </c>
      <c r="D14" s="3516">
        <v>2209833</v>
      </c>
      <c r="E14" s="4462">
        <f t="shared" si="1"/>
        <v>8.0147685368079855E-2</v>
      </c>
      <c r="F14" s="544">
        <v>875112</v>
      </c>
      <c r="G14" s="1961">
        <f t="shared" si="2"/>
        <v>1.1463675506678003E-2</v>
      </c>
      <c r="H14" s="42"/>
      <c r="I14" s="42"/>
      <c r="J14" s="1960">
        <v>8.9374402499591957E-2</v>
      </c>
      <c r="K14" s="1961">
        <v>8.7131036246999097E-2</v>
      </c>
      <c r="L14" s="42"/>
      <c r="M14" s="42"/>
      <c r="N14" s="42"/>
      <c r="O14" s="42"/>
      <c r="P14" s="235">
        <v>2003</v>
      </c>
      <c r="Q14" s="214">
        <v>4465062</v>
      </c>
      <c r="R14" s="236">
        <f t="shared" si="3"/>
        <v>6.5879488347530227E-2</v>
      </c>
      <c r="S14" s="214">
        <v>2096057</v>
      </c>
      <c r="T14" s="233">
        <f t="shared" si="4"/>
        <v>3.7759469327408555E-2</v>
      </c>
      <c r="U14" s="91">
        <v>875000</v>
      </c>
      <c r="V14" s="233">
        <f t="shared" si="5"/>
        <v>0</v>
      </c>
      <c r="W14" s="42"/>
    </row>
    <row r="15" spans="1:23" s="39" customFormat="1" ht="12.75">
      <c r="A15" s="4469">
        <v>2004</v>
      </c>
      <c r="B15" s="544">
        <v>4929197</v>
      </c>
      <c r="C15" s="4466">
        <f t="shared" si="0"/>
        <v>1.6831544772911287E-2</v>
      </c>
      <c r="D15" s="3516">
        <v>2260028</v>
      </c>
      <c r="E15" s="4462">
        <f t="shared" si="1"/>
        <v>2.2209901824225185E-2</v>
      </c>
      <c r="F15" s="544">
        <v>889280</v>
      </c>
      <c r="G15" s="1961">
        <f t="shared" si="2"/>
        <v>1.5931989924433249E-2</v>
      </c>
      <c r="H15" s="42"/>
      <c r="I15" s="42"/>
      <c r="J15" s="1960">
        <v>1.6831544772911287E-2</v>
      </c>
      <c r="K15" s="1961">
        <v>2.2714386109719605E-2</v>
      </c>
      <c r="L15" s="42"/>
      <c r="M15" s="42"/>
      <c r="N15" s="42"/>
      <c r="O15" s="42"/>
      <c r="P15" s="235">
        <v>2004</v>
      </c>
      <c r="Q15" s="214">
        <v>4589635</v>
      </c>
      <c r="R15" s="236">
        <f t="shared" si="3"/>
        <v>2.7142245516255652E-2</v>
      </c>
      <c r="S15" s="214">
        <v>2308654</v>
      </c>
      <c r="T15" s="233">
        <f t="shared" si="4"/>
        <v>9.2086990947972278E-2</v>
      </c>
      <c r="U15" s="91">
        <v>875000</v>
      </c>
      <c r="V15" s="233">
        <f t="shared" si="5"/>
        <v>0</v>
      </c>
      <c r="W15" s="42"/>
    </row>
    <row r="16" spans="1:23" s="39" customFormat="1" ht="12.75">
      <c r="A16" s="4469">
        <v>2005</v>
      </c>
      <c r="B16" s="544">
        <v>5403962</v>
      </c>
      <c r="C16" s="4466">
        <f t="shared" si="0"/>
        <v>8.7854984916622289E-2</v>
      </c>
      <c r="D16" s="3516">
        <v>2327825</v>
      </c>
      <c r="E16" s="4462">
        <f t="shared" si="1"/>
        <v>2.9124612030543534E-2</v>
      </c>
      <c r="F16" s="544">
        <v>746730</v>
      </c>
      <c r="G16" s="1961">
        <f t="shared" si="2"/>
        <v>-0.19089898624670229</v>
      </c>
      <c r="H16" s="42" t="s">
        <v>647</v>
      </c>
      <c r="I16" s="42"/>
      <c r="J16" s="1960">
        <v>8.7854984916622289E-2</v>
      </c>
      <c r="K16" s="1961">
        <v>2.9998300906006473E-2</v>
      </c>
      <c r="L16" s="42"/>
      <c r="M16" s="42"/>
      <c r="N16" s="42"/>
      <c r="O16" s="42"/>
      <c r="P16" s="235">
        <v>2005</v>
      </c>
      <c r="Q16" s="214">
        <v>4967052</v>
      </c>
      <c r="R16" s="236">
        <f t="shared" si="3"/>
        <v>7.5984104857368118E-2</v>
      </c>
      <c r="S16" s="214">
        <v>2243276</v>
      </c>
      <c r="T16" s="233">
        <f t="shared" si="4"/>
        <v>-2.9143984066160384E-2</v>
      </c>
      <c r="U16" s="91">
        <v>734265</v>
      </c>
      <c r="V16" s="233">
        <f t="shared" si="5"/>
        <v>-0.19166785833452499</v>
      </c>
      <c r="W16" s="42" t="s">
        <v>647</v>
      </c>
    </row>
    <row r="17" spans="1:23" s="39" customFormat="1" ht="12.75">
      <c r="A17" s="4469">
        <v>2006</v>
      </c>
      <c r="B17" s="544">
        <v>5245843</v>
      </c>
      <c r="C17" s="4466">
        <f t="shared" si="0"/>
        <v>-3.0141771303487351E-2</v>
      </c>
      <c r="D17" s="3516">
        <v>2260240</v>
      </c>
      <c r="E17" s="4462">
        <f t="shared" si="1"/>
        <v>-2.9901691855732136E-2</v>
      </c>
      <c r="F17" s="544">
        <v>762985</v>
      </c>
      <c r="G17" s="1961">
        <f t="shared" si="2"/>
        <v>2.1304481739483738E-2</v>
      </c>
      <c r="H17" s="42"/>
      <c r="I17" s="42"/>
      <c r="J17" s="1960">
        <v>-3.0141771303487351E-2</v>
      </c>
      <c r="K17" s="1961">
        <v>-2.9033539892388816E-2</v>
      </c>
      <c r="L17" s="42"/>
      <c r="M17" s="42"/>
      <c r="N17" s="42"/>
      <c r="O17" s="42"/>
      <c r="P17" s="235">
        <v>2006</v>
      </c>
      <c r="Q17" s="214">
        <v>5126165</v>
      </c>
      <c r="R17" s="236">
        <f t="shared" si="3"/>
        <v>3.1039383242638503E-2</v>
      </c>
      <c r="S17" s="214">
        <v>2295314</v>
      </c>
      <c r="T17" s="233">
        <f t="shared" si="4"/>
        <v>2.267140792065922E-2</v>
      </c>
      <c r="U17" s="91">
        <v>734265</v>
      </c>
      <c r="V17" s="233">
        <f t="shared" si="5"/>
        <v>0</v>
      </c>
      <c r="W17" s="42"/>
    </row>
    <row r="18" spans="1:23" s="39" customFormat="1" ht="12.75">
      <c r="A18" s="4469">
        <v>2007</v>
      </c>
      <c r="B18" s="544">
        <v>5095788.0599999996</v>
      </c>
      <c r="C18" s="4466">
        <f t="shared" si="0"/>
        <v>-2.9446856547640725E-2</v>
      </c>
      <c r="D18" s="3516">
        <v>2680847.94</v>
      </c>
      <c r="E18" s="4462">
        <f t="shared" si="1"/>
        <v>0.15689362075493171</v>
      </c>
      <c r="F18" s="544">
        <v>606075</v>
      </c>
      <c r="G18" s="1961">
        <f t="shared" si="2"/>
        <v>-0.25889535123540813</v>
      </c>
      <c r="H18" s="42" t="s">
        <v>648</v>
      </c>
      <c r="I18" s="42"/>
      <c r="J18" s="1960">
        <v>-2.9446856547640725E-2</v>
      </c>
      <c r="K18" s="1961">
        <v>0.18608994620040348</v>
      </c>
      <c r="L18" s="42"/>
      <c r="M18" s="42"/>
      <c r="N18" s="42"/>
      <c r="O18" s="42"/>
      <c r="P18" s="235">
        <v>2007</v>
      </c>
      <c r="Q18" s="214">
        <v>5176375</v>
      </c>
      <c r="R18" s="236">
        <f t="shared" si="3"/>
        <v>9.6998382072396219E-3</v>
      </c>
      <c r="S18" s="214">
        <v>2350128</v>
      </c>
      <c r="T18" s="233">
        <f t="shared" si="4"/>
        <v>2.332383597829565E-2</v>
      </c>
      <c r="U18" s="91">
        <v>547365</v>
      </c>
      <c r="V18" s="233">
        <f t="shared" si="5"/>
        <v>-0.34145405716478033</v>
      </c>
      <c r="W18" s="42" t="s">
        <v>648</v>
      </c>
    </row>
    <row r="19" spans="1:23" s="39" customFormat="1" ht="12.75">
      <c r="A19" s="4469">
        <v>2008</v>
      </c>
      <c r="B19" s="544">
        <v>4758827.01</v>
      </c>
      <c r="C19" s="4466">
        <f t="shared" si="0"/>
        <v>-7.0807585417987248E-2</v>
      </c>
      <c r="D19" s="3516">
        <v>2293653.83</v>
      </c>
      <c r="E19" s="4462">
        <f t="shared" si="1"/>
        <v>-0.16881104939885364</v>
      </c>
      <c r="F19" s="544">
        <v>486405</v>
      </c>
      <c r="G19" s="1961">
        <f t="shared" si="2"/>
        <v>-0.24602954328183305</v>
      </c>
      <c r="H19" s="42" t="s">
        <v>649</v>
      </c>
      <c r="I19" s="42"/>
      <c r="J19" s="1960">
        <v>-7.0807585417987248E-2</v>
      </c>
      <c r="K19" s="1961">
        <v>-0.14442971726326256</v>
      </c>
      <c r="L19" s="42"/>
      <c r="M19" s="42"/>
      <c r="N19" s="42"/>
      <c r="O19" s="42"/>
      <c r="P19" s="235">
        <v>2008</v>
      </c>
      <c r="Q19" s="214">
        <v>5154947</v>
      </c>
      <c r="R19" s="236">
        <f t="shared" si="3"/>
        <v>-4.1567837651871106E-3</v>
      </c>
      <c r="S19" s="214">
        <v>2434146</v>
      </c>
      <c r="T19" s="233">
        <f t="shared" si="4"/>
        <v>3.4516417667633741E-2</v>
      </c>
      <c r="U19" s="91">
        <v>485750</v>
      </c>
      <c r="V19" s="233">
        <f t="shared" si="5"/>
        <v>-0.12684508492022645</v>
      </c>
      <c r="W19" s="42" t="s">
        <v>649</v>
      </c>
    </row>
    <row r="20" spans="1:23" s="39" customFormat="1" ht="12.75">
      <c r="A20" s="4469">
        <v>2009</v>
      </c>
      <c r="B20" s="544">
        <v>5329497.08</v>
      </c>
      <c r="C20" s="4466">
        <f t="shared" si="0"/>
        <v>0.10707765881729318</v>
      </c>
      <c r="D20" s="3516">
        <v>2990148.96</v>
      </c>
      <c r="E20" s="4462">
        <f t="shared" si="1"/>
        <v>0.23292991062224536</v>
      </c>
      <c r="F20" s="544">
        <v>483665</v>
      </c>
      <c r="G20" s="1961">
        <f t="shared" si="2"/>
        <v>-5.6650781015785715E-3</v>
      </c>
      <c r="H20" s="42"/>
      <c r="I20" s="42"/>
      <c r="J20" s="1960">
        <v>0.10707765881729318</v>
      </c>
      <c r="K20" s="1961">
        <v>0.30366183461956847</v>
      </c>
      <c r="L20" s="42"/>
      <c r="M20" s="42"/>
      <c r="N20" s="42"/>
      <c r="O20" s="42"/>
      <c r="P20" s="235">
        <v>2009</v>
      </c>
      <c r="Q20" s="214">
        <v>5128236</v>
      </c>
      <c r="R20" s="236">
        <f t="shared" si="3"/>
        <v>-5.2086136441458625E-3</v>
      </c>
      <c r="S20" s="214">
        <v>2537120</v>
      </c>
      <c r="T20" s="233">
        <f t="shared" si="4"/>
        <v>4.0586964747430156E-2</v>
      </c>
      <c r="U20" s="91">
        <v>485750</v>
      </c>
      <c r="V20" s="233">
        <f t="shared" si="5"/>
        <v>0</v>
      </c>
      <c r="W20" s="42"/>
    </row>
    <row r="21" spans="1:23" s="39" customFormat="1" ht="12.75">
      <c r="A21" s="4469">
        <v>2010</v>
      </c>
      <c r="B21" s="544">
        <v>5298313</v>
      </c>
      <c r="C21" s="4466">
        <f t="shared" si="0"/>
        <v>-5.8856620965956662E-3</v>
      </c>
      <c r="D21" s="3516">
        <v>2692882</v>
      </c>
      <c r="E21" s="4462">
        <f t="shared" si="1"/>
        <v>-0.1103898945442095</v>
      </c>
      <c r="F21" s="544">
        <v>677729.05</v>
      </c>
      <c r="G21" s="1961">
        <f t="shared" si="2"/>
        <v>0.28634459449539612</v>
      </c>
      <c r="H21" s="42" t="s">
        <v>650</v>
      </c>
      <c r="I21" s="42"/>
      <c r="J21" s="1960">
        <v>-5.8856620965956662E-3</v>
      </c>
      <c r="K21" s="1961">
        <v>-9.9415435142736153E-2</v>
      </c>
      <c r="L21" s="42"/>
      <c r="M21" s="42"/>
      <c r="N21" s="42"/>
      <c r="O21" s="42"/>
      <c r="P21" s="235">
        <v>2010</v>
      </c>
      <c r="Q21" s="214">
        <v>5131705</v>
      </c>
      <c r="R21" s="236">
        <f t="shared" si="3"/>
        <v>6.7599365123287487E-4</v>
      </c>
      <c r="S21" s="214">
        <v>2567860</v>
      </c>
      <c r="T21" s="233">
        <f t="shared" si="4"/>
        <v>1.1971057612175118E-2</v>
      </c>
      <c r="U21" s="91">
        <v>681250</v>
      </c>
      <c r="V21" s="233">
        <f t="shared" si="5"/>
        <v>0.28697247706422019</v>
      </c>
      <c r="W21" s="42"/>
    </row>
    <row r="22" spans="1:23" s="39" customFormat="1" ht="12.75">
      <c r="A22" s="4469">
        <v>2011</v>
      </c>
      <c r="B22" s="544">
        <v>5347095.82</v>
      </c>
      <c r="C22" s="4466">
        <f t="shared" si="0"/>
        <v>9.12323654600233E-3</v>
      </c>
      <c r="D22" s="3516">
        <v>2780229.89</v>
      </c>
      <c r="E22" s="4462">
        <f t="shared" si="1"/>
        <v>3.1417506269598494E-2</v>
      </c>
      <c r="F22" s="544">
        <v>728211.25</v>
      </c>
      <c r="G22" s="1961">
        <f t="shared" si="2"/>
        <v>6.932356510559258E-2</v>
      </c>
      <c r="H22" s="42"/>
      <c r="I22" s="42"/>
      <c r="J22" s="1960">
        <v>9.12323654600233E-3</v>
      </c>
      <c r="K22" s="1961">
        <v>3.2436582813506171E-2</v>
      </c>
      <c r="L22" s="42"/>
      <c r="M22" s="42"/>
      <c r="N22" s="42"/>
      <c r="O22" s="42"/>
      <c r="P22" s="235">
        <v>2011</v>
      </c>
      <c r="Q22" s="214">
        <v>5094270</v>
      </c>
      <c r="R22" s="236">
        <f t="shared" si="3"/>
        <v>-7.3484522806996884E-3</v>
      </c>
      <c r="S22" s="214">
        <v>2521271</v>
      </c>
      <c r="T22" s="233">
        <f t="shared" si="4"/>
        <v>-1.847837856382753E-2</v>
      </c>
      <c r="U22" s="91">
        <v>681250</v>
      </c>
      <c r="V22" s="233">
        <f t="shared" si="5"/>
        <v>0</v>
      </c>
      <c r="W22" s="42"/>
    </row>
    <row r="23" spans="1:23" s="39" customFormat="1" ht="12.75">
      <c r="A23" s="4469">
        <v>2012</v>
      </c>
      <c r="B23" s="544">
        <v>5859369.0599999996</v>
      </c>
      <c r="C23" s="4466">
        <f t="shared" si="0"/>
        <v>8.7428054924398174E-2</v>
      </c>
      <c r="D23" s="3516">
        <v>2427533.06</v>
      </c>
      <c r="E23" s="4462">
        <f t="shared" si="1"/>
        <v>-0.14529022727295013</v>
      </c>
      <c r="F23" s="544">
        <v>721483.02</v>
      </c>
      <c r="G23" s="1961">
        <f t="shared" si="2"/>
        <v>-9.3255555757916254E-3</v>
      </c>
      <c r="H23" s="42"/>
      <c r="I23" s="42"/>
      <c r="J23" s="1960">
        <v>8.7428054924398174E-2</v>
      </c>
      <c r="K23" s="1961">
        <v>-0.12685887281069411</v>
      </c>
      <c r="L23" s="42"/>
      <c r="M23" s="42"/>
      <c r="N23" s="42"/>
      <c r="O23" s="42"/>
      <c r="P23" s="235">
        <v>2012</v>
      </c>
      <c r="Q23" s="214">
        <v>5326874</v>
      </c>
      <c r="R23" s="236">
        <f t="shared" si="3"/>
        <v>4.3666135147931037E-2</v>
      </c>
      <c r="S23" s="214">
        <v>2444076</v>
      </c>
      <c r="T23" s="233">
        <f t="shared" si="4"/>
        <v>-3.1584533377849132E-2</v>
      </c>
      <c r="U23" s="91">
        <v>705000</v>
      </c>
      <c r="V23" s="233">
        <f t="shared" si="5"/>
        <v>3.3687943262411348E-2</v>
      </c>
      <c r="W23" s="42"/>
    </row>
    <row r="24" spans="1:23" s="39" customFormat="1" ht="12.75">
      <c r="A24" s="4469">
        <v>2013</v>
      </c>
      <c r="B24" s="544">
        <v>6092015</v>
      </c>
      <c r="C24" s="4466">
        <f t="shared" si="0"/>
        <v>3.8188668281348682E-2</v>
      </c>
      <c r="D24" s="3516">
        <v>2678341</v>
      </c>
      <c r="E24" s="4462">
        <f t="shared" si="1"/>
        <v>9.3643020063539306E-2</v>
      </c>
      <c r="F24" s="544">
        <v>716023</v>
      </c>
      <c r="G24" s="1961">
        <f t="shared" si="2"/>
        <v>-7.625481304371534E-3</v>
      </c>
      <c r="H24" s="42"/>
      <c r="I24" s="42"/>
      <c r="J24" s="1960">
        <v>3.8188668281348682E-2</v>
      </c>
      <c r="K24" s="1961">
        <v>0.10331803266975896</v>
      </c>
      <c r="L24" s="42"/>
      <c r="M24" s="42"/>
      <c r="N24" s="42"/>
      <c r="O24" s="42"/>
      <c r="P24" s="235">
        <v>2013</v>
      </c>
      <c r="Q24" s="214">
        <v>5628394</v>
      </c>
      <c r="R24" s="236">
        <f t="shared" si="3"/>
        <v>5.3571231864720202E-2</v>
      </c>
      <c r="S24" s="214">
        <v>2708511</v>
      </c>
      <c r="T24" s="233">
        <f t="shared" si="4"/>
        <v>9.7631133859157296E-2</v>
      </c>
      <c r="U24" s="91">
        <v>705000</v>
      </c>
      <c r="V24" s="233">
        <f t="shared" si="5"/>
        <v>0</v>
      </c>
      <c r="W24" s="42"/>
    </row>
    <row r="25" spans="1:23" s="39" customFormat="1" ht="12.75">
      <c r="A25" s="4469">
        <v>2014</v>
      </c>
      <c r="B25" s="544">
        <v>6450908</v>
      </c>
      <c r="C25" s="4466">
        <f t="shared" si="0"/>
        <v>5.5634493624773441E-2</v>
      </c>
      <c r="D25" s="3516">
        <v>2487675</v>
      </c>
      <c r="E25" s="4462">
        <f t="shared" si="1"/>
        <v>-7.6644256182982096E-2</v>
      </c>
      <c r="F25" s="544">
        <v>732265</v>
      </c>
      <c r="G25" s="1961">
        <f t="shared" si="2"/>
        <v>2.2180494766238998E-2</v>
      </c>
      <c r="H25" s="42"/>
      <c r="I25" s="42"/>
      <c r="J25" s="1960">
        <v>5.5634493624773441E-2</v>
      </c>
      <c r="K25" s="1961">
        <v>-7.1188097408059689E-2</v>
      </c>
      <c r="L25" s="42"/>
      <c r="M25" s="42"/>
      <c r="N25" s="42"/>
      <c r="O25" s="42"/>
      <c r="P25" s="235">
        <v>2014</v>
      </c>
      <c r="Q25" s="214">
        <v>6450907</v>
      </c>
      <c r="R25" s="236">
        <f t="shared" si="3"/>
        <v>0.1275034657917096</v>
      </c>
      <c r="S25" s="214">
        <v>2487674</v>
      </c>
      <c r="T25" s="233">
        <f t="shared" si="4"/>
        <v>-8.8772483854395706E-2</v>
      </c>
      <c r="U25" s="91">
        <v>732265</v>
      </c>
      <c r="V25" s="233">
        <f t="shared" si="5"/>
        <v>3.7233788314339752E-2</v>
      </c>
      <c r="W25" s="42"/>
    </row>
    <row r="26" spans="1:23" s="39" customFormat="1" ht="12.75">
      <c r="A26" s="4469">
        <v>2015</v>
      </c>
      <c r="B26" s="544">
        <v>6493132.1100000003</v>
      </c>
      <c r="C26" s="4466">
        <f t="shared" si="0"/>
        <v>6.5028878643900462E-3</v>
      </c>
      <c r="D26" s="3516">
        <v>2837247</v>
      </c>
      <c r="E26" s="4462">
        <f t="shared" si="1"/>
        <v>0.12320816622592252</v>
      </c>
      <c r="F26" s="544">
        <v>743892.22</v>
      </c>
      <c r="G26" s="1961">
        <f t="shared" si="2"/>
        <v>1.5630248156110534E-2</v>
      </c>
      <c r="H26" s="42"/>
      <c r="I26" s="42"/>
      <c r="J26" s="1960">
        <v>6.5028878643900462E-3</v>
      </c>
      <c r="K26" s="1961">
        <v>0.14052157134673943</v>
      </c>
      <c r="L26" s="42"/>
      <c r="M26" s="42"/>
      <c r="N26" s="42"/>
      <c r="O26" s="42"/>
      <c r="P26" s="235">
        <v>2015</v>
      </c>
      <c r="Q26" s="214">
        <v>6493132</v>
      </c>
      <c r="R26" s="236">
        <f t="shared" si="3"/>
        <v>6.5030250424602488E-3</v>
      </c>
      <c r="S26" s="214">
        <v>2837247</v>
      </c>
      <c r="T26" s="233">
        <f t="shared" si="4"/>
        <v>0.1232085186802559</v>
      </c>
      <c r="U26" s="91">
        <v>743892</v>
      </c>
      <c r="V26" s="233">
        <f t="shared" si="5"/>
        <v>1.5629957036774157E-2</v>
      </c>
      <c r="W26" s="42"/>
    </row>
    <row r="27" spans="1:23" s="39" customFormat="1" ht="12.75">
      <c r="A27" s="4469">
        <v>2016</v>
      </c>
      <c r="B27" s="544">
        <v>5923216</v>
      </c>
      <c r="C27" s="4466">
        <f t="shared" si="0"/>
        <v>-9.6217343753798673E-2</v>
      </c>
      <c r="D27" s="3516">
        <v>3002302.34</v>
      </c>
      <c r="E27" s="4462">
        <f t="shared" si="1"/>
        <v>5.4976255322773344E-2</v>
      </c>
      <c r="F27" s="544">
        <v>743709</v>
      </c>
      <c r="G27" s="1961">
        <f t="shared" si="2"/>
        <v>-2.4635979933007677E-4</v>
      </c>
      <c r="H27" s="42"/>
      <c r="I27" s="42"/>
      <c r="J27" s="1960">
        <v>-9.6217343753798673E-2</v>
      </c>
      <c r="K27" s="1961">
        <v>5.8174469829380328E-2</v>
      </c>
      <c r="L27" s="42"/>
      <c r="M27" s="42"/>
      <c r="N27" s="42"/>
      <c r="O27" s="42"/>
      <c r="P27" s="235">
        <v>2016</v>
      </c>
      <c r="Q27" s="214">
        <v>5923216</v>
      </c>
      <c r="R27" s="236">
        <f t="shared" si="3"/>
        <v>-9.6217325182806096E-2</v>
      </c>
      <c r="S27" s="214">
        <v>3002302</v>
      </c>
      <c r="T27" s="233">
        <f t="shared" si="4"/>
        <v>5.4976148302202779E-2</v>
      </c>
      <c r="U27" s="91">
        <v>743709</v>
      </c>
      <c r="V27" s="233">
        <f t="shared" si="5"/>
        <v>-2.4606398470369459E-4</v>
      </c>
      <c r="W27" s="42"/>
    </row>
    <row r="28" spans="1:23" s="39" customFormat="1" ht="12.75">
      <c r="A28" s="4469">
        <v>2017</v>
      </c>
      <c r="B28" s="544">
        <v>6456695</v>
      </c>
      <c r="C28" s="4466">
        <f t="shared" si="0"/>
        <v>8.2624159883655651E-2</v>
      </c>
      <c r="D28" s="3516">
        <v>2921710</v>
      </c>
      <c r="E28" s="4462">
        <f t="shared" si="1"/>
        <v>-2.7583962816295885E-2</v>
      </c>
      <c r="F28" s="544">
        <v>743599</v>
      </c>
      <c r="G28" s="1961">
        <f t="shared" si="2"/>
        <v>-1.4792919301935586E-4</v>
      </c>
      <c r="H28" s="42"/>
      <c r="I28" s="42"/>
      <c r="J28" s="1960">
        <v>8.2624159883655651E-2</v>
      </c>
      <c r="K28" s="1961">
        <v>-2.6843512369243882E-2</v>
      </c>
      <c r="L28" s="42"/>
      <c r="M28" s="42"/>
      <c r="N28" s="42"/>
      <c r="O28" s="42"/>
      <c r="P28" s="235">
        <v>2017</v>
      </c>
      <c r="Q28" s="214">
        <v>6325916</v>
      </c>
      <c r="R28" s="236">
        <f t="shared" si="3"/>
        <v>6.3658764991504788E-2</v>
      </c>
      <c r="S28" s="214">
        <v>2843194</v>
      </c>
      <c r="T28" s="233">
        <f t="shared" si="4"/>
        <v>-5.5961007233414253E-2</v>
      </c>
      <c r="U28" s="91">
        <v>750000</v>
      </c>
      <c r="V28" s="233">
        <f t="shared" si="5"/>
        <v>8.3879999999999996E-3</v>
      </c>
      <c r="W28" s="42"/>
    </row>
    <row r="29" spans="1:23" s="39" customFormat="1" ht="12.75">
      <c r="A29" s="4469">
        <v>2018</v>
      </c>
      <c r="B29" s="544">
        <v>6492450</v>
      </c>
      <c r="C29" s="4466">
        <f t="shared" si="0"/>
        <v>5.5071660159107883E-3</v>
      </c>
      <c r="D29" s="3516">
        <v>2889318</v>
      </c>
      <c r="E29" s="4462">
        <f t="shared" si="1"/>
        <v>-1.1210950127331086E-2</v>
      </c>
      <c r="F29" s="544">
        <v>750000</v>
      </c>
      <c r="G29" s="1961">
        <f t="shared" si="2"/>
        <v>8.5346666666666661E-3</v>
      </c>
      <c r="H29" s="42"/>
      <c r="I29" s="42"/>
      <c r="J29" s="1960">
        <v>5.50716601591079E-3</v>
      </c>
      <c r="K29" s="1961">
        <v>-1.1086658155669112E-2</v>
      </c>
      <c r="L29" s="42"/>
      <c r="M29" s="42"/>
      <c r="N29" s="42"/>
      <c r="O29" s="42"/>
      <c r="P29" s="235">
        <v>2018</v>
      </c>
      <c r="Q29" s="214">
        <v>6492450</v>
      </c>
      <c r="R29" s="236">
        <f t="shared" si="3"/>
        <v>2.5650409321596623E-2</v>
      </c>
      <c r="S29" s="214">
        <v>2889318</v>
      </c>
      <c r="T29" s="233">
        <f t="shared" si="4"/>
        <v>1.5963628787139389E-2</v>
      </c>
      <c r="U29" s="91">
        <v>750000</v>
      </c>
      <c r="V29" s="233">
        <f t="shared" si="5"/>
        <v>0</v>
      </c>
      <c r="W29" s="42"/>
    </row>
    <row r="30" spans="1:23" s="39" customFormat="1" ht="12.75">
      <c r="A30" s="4469">
        <v>2019</v>
      </c>
      <c r="B30" s="544">
        <v>6714851</v>
      </c>
      <c r="C30" s="4466">
        <f t="shared" si="0"/>
        <v>3.312076470498005E-2</v>
      </c>
      <c r="D30" s="3516">
        <v>2968651</v>
      </c>
      <c r="E30" s="4462">
        <f t="shared" si="1"/>
        <v>2.672358589810658E-2</v>
      </c>
      <c r="F30" s="544">
        <v>770928</v>
      </c>
      <c r="G30" s="1961">
        <f>(F30-F29)/F30</f>
        <v>2.7146503953676609E-2</v>
      </c>
      <c r="H30" s="42"/>
      <c r="I30" s="42"/>
      <c r="J30" s="3782">
        <v>3.3000000000000002E-2</v>
      </c>
      <c r="K30" s="3783">
        <v>2.7E-2</v>
      </c>
      <c r="L30" s="42"/>
      <c r="M30" s="42"/>
      <c r="N30" s="42"/>
      <c r="O30" s="42"/>
      <c r="P30" s="235">
        <v>2019</v>
      </c>
      <c r="Q30" s="214">
        <v>6691873</v>
      </c>
      <c r="R30" s="236">
        <f t="shared" si="3"/>
        <v>2.9800774760668648E-2</v>
      </c>
      <c r="S30" s="214">
        <v>2847176</v>
      </c>
      <c r="T30" s="233">
        <f t="shared" si="4"/>
        <v>-1.4801332969932312E-2</v>
      </c>
      <c r="U30" s="91">
        <v>765000</v>
      </c>
      <c r="V30" s="233">
        <f t="shared" si="5"/>
        <v>1.9607843137254902E-2</v>
      </c>
      <c r="W30" s="42"/>
    </row>
    <row r="31" spans="1:23" s="39" customFormat="1" ht="12.75">
      <c r="A31" s="4469">
        <v>2020</v>
      </c>
      <c r="B31" s="544">
        <v>6697652.0099999998</v>
      </c>
      <c r="C31" s="4466">
        <f>(B31-B30)/B31</f>
        <v>-2.5679133484870654E-3</v>
      </c>
      <c r="D31" s="3516">
        <v>3131697</v>
      </c>
      <c r="E31" s="4462">
        <f t="shared" si="1"/>
        <v>5.2063146594322506E-2</v>
      </c>
      <c r="F31" s="544">
        <v>786682.32</v>
      </c>
      <c r="G31" s="1961">
        <f>(F31-F30)/F31</f>
        <v>2.0026279477082885E-2</v>
      </c>
      <c r="H31" s="42"/>
      <c r="I31" s="42"/>
      <c r="J31" s="3782">
        <v>-3.0000000000000001E-3</v>
      </c>
      <c r="K31" s="3783">
        <v>5.1999999999999998E-2</v>
      </c>
      <c r="L31" s="42"/>
      <c r="M31" s="42"/>
      <c r="N31" s="42"/>
      <c r="O31" s="42"/>
      <c r="P31" s="235">
        <v>2020</v>
      </c>
      <c r="Q31" s="214">
        <v>6588247.1500000004</v>
      </c>
      <c r="R31" s="236">
        <f>(Q31-Q30)/Q31</f>
        <v>-1.5728895355724415E-2</v>
      </c>
      <c r="S31" s="214">
        <v>3148339</v>
      </c>
      <c r="T31" s="233">
        <f>(S31-S30)/S31</f>
        <v>9.5657742066530951E-2</v>
      </c>
      <c r="U31" s="91">
        <v>775000</v>
      </c>
      <c r="V31" s="233">
        <f>(U31-U30)/U31</f>
        <v>1.2903225806451613E-2</v>
      </c>
      <c r="W31" s="42"/>
    </row>
    <row r="32" spans="1:23" s="39" customFormat="1" ht="12.75">
      <c r="A32" s="4469">
        <v>2021</v>
      </c>
      <c r="B32" s="544">
        <v>6919245</v>
      </c>
      <c r="C32" s="4466">
        <f>(B32-B31)/B32</f>
        <v>3.2025602504319503E-2</v>
      </c>
      <c r="D32" s="3516">
        <v>3052501</v>
      </c>
      <c r="E32" s="4462">
        <f t="shared" si="1"/>
        <v>-2.5944627045167225E-2</v>
      </c>
      <c r="F32" s="544">
        <v>782409</v>
      </c>
      <c r="G32" s="1961">
        <f>(F32-F31)/F32</f>
        <v>-5.461746989106655E-3</v>
      </c>
      <c r="J32" s="3782">
        <f>C32</f>
        <v>3.2025602504319503E-2</v>
      </c>
      <c r="K32" s="4372">
        <f>E32</f>
        <v>-2.5944627045167225E-2</v>
      </c>
      <c r="N32" s="42"/>
      <c r="O32" s="42"/>
      <c r="P32" s="235">
        <v>2021</v>
      </c>
      <c r="Q32" s="214">
        <v>6639331</v>
      </c>
      <c r="R32" s="236">
        <f t="shared" si="3"/>
        <v>7.6941261099950625E-3</v>
      </c>
      <c r="S32" s="214">
        <v>3059566</v>
      </c>
      <c r="T32" s="233">
        <f t="shared" si="4"/>
        <v>-2.9014899498817807E-2</v>
      </c>
      <c r="U32" s="91">
        <v>786625</v>
      </c>
      <c r="V32" s="233">
        <f t="shared" si="5"/>
        <v>1.4778325123152709E-2</v>
      </c>
      <c r="W32" s="42"/>
    </row>
    <row r="33" spans="1:23" s="39" customFormat="1" ht="13.5" thickBot="1">
      <c r="A33" s="4470">
        <v>2022</v>
      </c>
      <c r="B33" s="3787">
        <v>7128581.1600000001</v>
      </c>
      <c r="C33" s="4467">
        <f>(B33-B32)/B33</f>
        <v>2.93657538998967E-2</v>
      </c>
      <c r="D33" s="4463">
        <v>3274072.77</v>
      </c>
      <c r="E33" s="4464">
        <f t="shared" si="1"/>
        <v>6.7674662588516635E-2</v>
      </c>
      <c r="F33" s="3787">
        <v>829440</v>
      </c>
      <c r="G33" s="3790">
        <f t="shared" ref="G33" si="6">(F33-F32)/F33</f>
        <v>5.6702112268518519E-2</v>
      </c>
      <c r="J33" s="3782">
        <f>C33</f>
        <v>2.93657538998967E-2</v>
      </c>
      <c r="K33" s="4372">
        <f>E33</f>
        <v>6.7674662588516635E-2</v>
      </c>
      <c r="N33" s="42"/>
      <c r="O33" s="42"/>
      <c r="P33" s="235">
        <v>2022</v>
      </c>
      <c r="Q33" s="214">
        <v>6984531</v>
      </c>
      <c r="R33" s="236">
        <f>(Q33-Q32)/Q33</f>
        <v>4.9423504598948731E-2</v>
      </c>
      <c r="S33" s="214">
        <v>3302320</v>
      </c>
      <c r="T33" s="233">
        <f t="shared" si="4"/>
        <v>7.3510138326994351E-2</v>
      </c>
      <c r="U33" s="91">
        <v>798424</v>
      </c>
      <c r="V33" s="233">
        <f t="shared" si="5"/>
        <v>1.4777862388906144E-2</v>
      </c>
      <c r="W33" s="42"/>
    </row>
    <row r="34" spans="1:23" s="39" customFormat="1" ht="13.5" thickBot="1">
      <c r="J34" s="1962" t="e">
        <f>#REF!</f>
        <v>#REF!</v>
      </c>
      <c r="K34" s="4294" t="e">
        <f>#REF!</f>
        <v>#REF!</v>
      </c>
      <c r="P34" s="235">
        <v>2023</v>
      </c>
      <c r="Q34" s="214">
        <v>7663587</v>
      </c>
      <c r="R34" s="236">
        <f>(Q34-Q33)/Q34</f>
        <v>8.860811523376716E-2</v>
      </c>
      <c r="S34" s="214">
        <v>4142897</v>
      </c>
      <c r="T34" s="233">
        <f>(S34-S33)/S34</f>
        <v>0.20289594455280929</v>
      </c>
      <c r="U34" s="91">
        <v>810401</v>
      </c>
      <c r="V34" s="233">
        <f>(U34-U33)/U34</f>
        <v>1.4779103184719663E-2</v>
      </c>
    </row>
    <row r="35" spans="1:23" s="39" customFormat="1" ht="12.75">
      <c r="P35" s="235">
        <v>2024</v>
      </c>
      <c r="Q35" s="214">
        <f>6984531*1.1484</f>
        <v>8021035.4004000006</v>
      </c>
      <c r="R35" s="236">
        <f t="shared" si="3"/>
        <v>4.4563872686832304E-2</v>
      </c>
      <c r="S35" s="214">
        <v>3837412</v>
      </c>
      <c r="T35" s="233">
        <f t="shared" si="4"/>
        <v>-7.9607037242808432E-2</v>
      </c>
      <c r="U35" s="91">
        <v>822557</v>
      </c>
      <c r="V35" s="233">
        <f t="shared" si="5"/>
        <v>1.4778307156829254E-2</v>
      </c>
    </row>
    <row r="36" spans="1:23" s="39" customFormat="1" ht="12.75">
      <c r="H36" s="42"/>
      <c r="I36" s="42"/>
      <c r="J36" s="224"/>
      <c r="K36" s="225"/>
      <c r="L36" s="42"/>
      <c r="M36" s="42"/>
      <c r="P36" s="235">
        <v>2025</v>
      </c>
      <c r="Q36" s="214">
        <f>7664935*1.08</f>
        <v>8278129.8000000007</v>
      </c>
      <c r="R36" s="236">
        <f>(Q36-Q35)/Q36</f>
        <v>3.1057063106210307E-2</v>
      </c>
      <c r="S36" s="214">
        <v>4034985</v>
      </c>
      <c r="T36" s="233">
        <f t="shared" si="4"/>
        <v>4.8964989956592153E-2</v>
      </c>
      <c r="U36" s="91">
        <v>834895</v>
      </c>
      <c r="V36" s="233">
        <f t="shared" si="5"/>
        <v>1.4777906203774126E-2</v>
      </c>
    </row>
    <row r="37" spans="1:23" s="39" customFormat="1">
      <c r="A37" s="37"/>
      <c r="B37" s="37"/>
      <c r="C37" s="37"/>
      <c r="D37" s="37"/>
      <c r="E37" s="37"/>
      <c r="F37" s="37"/>
      <c r="G37" s="37"/>
      <c r="P37" s="237">
        <v>2026</v>
      </c>
      <c r="Q37" s="238">
        <f>Q36*1.031</f>
        <v>8534751.8237999994</v>
      </c>
      <c r="R37" s="239">
        <f>(Q37-Q36)/Q37</f>
        <v>3.0067895247332534E-2</v>
      </c>
      <c r="S37" s="238">
        <f>S36*1.03</f>
        <v>4156034.5500000003</v>
      </c>
      <c r="T37" s="234">
        <f>(S37-S36)/S37</f>
        <v>2.9126213592233077E-2</v>
      </c>
      <c r="U37" s="240">
        <f>U36*1.015</f>
        <v>847418.42499999993</v>
      </c>
      <c r="V37" s="234">
        <f>(U37-U36)/U37</f>
        <v>1.4778325123152629E-2</v>
      </c>
    </row>
    <row r="38" spans="1:23">
      <c r="A38" s="37"/>
      <c r="B38" s="37"/>
      <c r="C38" s="37"/>
      <c r="D38" s="37"/>
      <c r="E38" s="37"/>
      <c r="F38" s="37"/>
      <c r="G38" s="37"/>
      <c r="H38" s="37"/>
      <c r="I38" s="37"/>
      <c r="J38" s="37"/>
      <c r="K38" s="37"/>
      <c r="L38" s="37"/>
      <c r="M38" s="37"/>
      <c r="N38" s="37"/>
      <c r="O38" s="37"/>
      <c r="P38" s="37"/>
      <c r="Q38" s="37"/>
      <c r="R38" s="37"/>
      <c r="S38" s="37"/>
      <c r="T38" s="37"/>
      <c r="U38" s="37"/>
      <c r="V38" s="37"/>
      <c r="W38" s="37"/>
    </row>
    <row r="39" spans="1:23">
      <c r="A39" s="42"/>
      <c r="B39" s="42"/>
      <c r="C39" s="42"/>
      <c r="D39" s="42"/>
      <c r="E39" s="42"/>
      <c r="F39" s="42"/>
      <c r="G39" s="42"/>
      <c r="H39" s="37"/>
      <c r="I39" s="37"/>
      <c r="J39" s="37"/>
      <c r="K39" s="37"/>
      <c r="L39" s="37"/>
      <c r="M39" s="37"/>
      <c r="N39" s="37"/>
      <c r="O39" s="37"/>
      <c r="P39" s="42"/>
      <c r="Q39" s="42"/>
      <c r="R39" s="42"/>
      <c r="S39" s="42"/>
      <c r="T39" s="42"/>
      <c r="U39" s="42"/>
      <c r="V39" s="42"/>
      <c r="W39" s="37"/>
    </row>
    <row r="40" spans="1:23">
      <c r="A40" s="257"/>
      <c r="B40" s="4849" t="s">
        <v>156</v>
      </c>
      <c r="C40" s="4850"/>
      <c r="D40" s="4851"/>
      <c r="E40" s="4852" t="s">
        <v>651</v>
      </c>
      <c r="F40" s="4853"/>
      <c r="G40" s="4459" t="s">
        <v>652</v>
      </c>
      <c r="H40" s="42"/>
      <c r="I40" s="42"/>
      <c r="J40" s="42"/>
      <c r="K40" s="42"/>
      <c r="L40" s="42"/>
      <c r="M40" s="42"/>
      <c r="N40" s="42"/>
      <c r="O40" s="42"/>
      <c r="R40" s="42"/>
      <c r="S40" s="42"/>
      <c r="T40" s="42"/>
      <c r="U40" s="42"/>
      <c r="V40" s="42"/>
      <c r="W40" s="37"/>
    </row>
    <row r="41" spans="1:23" ht="26.25" customHeight="1" thickBot="1">
      <c r="A41" s="4374"/>
      <c r="B41" s="4380" t="s">
        <v>655</v>
      </c>
      <c r="C41" s="4381" t="s">
        <v>626</v>
      </c>
      <c r="D41" s="4382" t="s">
        <v>656</v>
      </c>
      <c r="E41" s="4383" t="s">
        <v>657</v>
      </c>
      <c r="F41" s="4384" t="s">
        <v>658</v>
      </c>
      <c r="G41" s="4380" t="s">
        <v>659</v>
      </c>
      <c r="H41" s="4460"/>
      <c r="I41" s="4460"/>
      <c r="J41" s="4460"/>
      <c r="K41" s="4460"/>
      <c r="L41" s="249"/>
      <c r="M41" s="263" t="s">
        <v>653</v>
      </c>
      <c r="N41" s="262"/>
      <c r="O41" s="3778" t="s">
        <v>654</v>
      </c>
      <c r="P41" s="3779"/>
      <c r="Q41" s="3780"/>
      <c r="R41" s="241"/>
      <c r="S41" s="241"/>
      <c r="T41" s="241"/>
      <c r="U41" s="241"/>
      <c r="V41" s="254"/>
      <c r="W41" s="37"/>
    </row>
    <row r="42" spans="1:23" s="252" customFormat="1" ht="36.75" customHeight="1" thickBot="1">
      <c r="A42" s="1958">
        <v>2002</v>
      </c>
      <c r="B42" s="1022">
        <f t="shared" ref="B42:B53" si="7">Q13</f>
        <v>4170906</v>
      </c>
      <c r="C42" s="487">
        <f t="shared" ref="C42:C57" si="8">B13</f>
        <v>4413102</v>
      </c>
      <c r="D42" s="487">
        <f>C42-B42</f>
        <v>242196</v>
      </c>
      <c r="E42" s="1022">
        <f>95%*B42</f>
        <v>3962360.6999999997</v>
      </c>
      <c r="F42" s="487">
        <f>5%*B42</f>
        <v>208545.30000000002</v>
      </c>
      <c r="G42" s="4389">
        <v>3962358</v>
      </c>
      <c r="H42" s="4381" t="s">
        <v>660</v>
      </c>
      <c r="I42" s="4385" t="s">
        <v>661</v>
      </c>
      <c r="J42" s="4386" t="s">
        <v>662</v>
      </c>
      <c r="K42" s="4387" t="s">
        <v>663</v>
      </c>
      <c r="L42" s="4388" t="s">
        <v>664</v>
      </c>
      <c r="M42" s="4380" t="s">
        <v>8</v>
      </c>
      <c r="N42" s="4382" t="s">
        <v>656</v>
      </c>
      <c r="O42" s="3812" t="s">
        <v>665</v>
      </c>
      <c r="P42" s="3813" t="s">
        <v>666</v>
      </c>
      <c r="Q42" s="3814" t="s">
        <v>667</v>
      </c>
      <c r="R42" s="222"/>
      <c r="S42" s="222"/>
      <c r="T42" s="222"/>
      <c r="U42" s="222"/>
      <c r="V42" s="222"/>
      <c r="W42" s="243"/>
    </row>
    <row r="43" spans="1:23">
      <c r="A43" s="4378">
        <v>2003</v>
      </c>
      <c r="B43" s="1029">
        <f t="shared" si="7"/>
        <v>4465062</v>
      </c>
      <c r="C43" s="65">
        <f t="shared" si="8"/>
        <v>4846231</v>
      </c>
      <c r="D43" s="65">
        <f t="shared" ref="D43:D62" si="9">C43-B43</f>
        <v>381169</v>
      </c>
      <c r="E43" s="1029">
        <f t="shared" ref="E43:E62" si="10">95%*B43</f>
        <v>4241808.8999999994</v>
      </c>
      <c r="F43" s="65">
        <f t="shared" ref="F43:F61" si="11">5%*B43</f>
        <v>223253.1</v>
      </c>
      <c r="G43" s="4392">
        <v>4241808.9000000004</v>
      </c>
      <c r="H43" s="4390">
        <v>419802.75</v>
      </c>
      <c r="I43" s="4390"/>
      <c r="J43" s="4390"/>
      <c r="K43" s="4391">
        <v>65898.61</v>
      </c>
      <c r="L43" s="4391">
        <v>77597.61</v>
      </c>
      <c r="M43" s="1022">
        <f>SUM(G43:L43)</f>
        <v>4805107.870000001</v>
      </c>
      <c r="N43" s="487">
        <f t="shared" ref="N43:N62" si="12">M43-C42</f>
        <v>392005.87000000104</v>
      </c>
      <c r="O43" s="1022">
        <v>4563152.2300000004</v>
      </c>
      <c r="P43" s="487">
        <v>4489197.53</v>
      </c>
      <c r="Q43" s="1061">
        <f t="shared" ref="Q43:Q49" si="13">O43-P43</f>
        <v>73954.700000000186</v>
      </c>
      <c r="R43" s="222"/>
      <c r="S43" s="223">
        <f t="shared" ref="S43:S62" si="14">(C43-C42)/C42</f>
        <v>9.8146156603676954E-2</v>
      </c>
      <c r="T43" s="222"/>
      <c r="U43" s="222"/>
      <c r="V43" s="222"/>
      <c r="W43" s="37"/>
    </row>
    <row r="44" spans="1:23">
      <c r="A44" s="4378">
        <v>2004</v>
      </c>
      <c r="B44" s="1029">
        <f t="shared" si="7"/>
        <v>4589635</v>
      </c>
      <c r="C44" s="65">
        <f t="shared" si="8"/>
        <v>4929197</v>
      </c>
      <c r="D44" s="65">
        <f t="shared" si="9"/>
        <v>339562</v>
      </c>
      <c r="E44" s="1029">
        <f t="shared" si="10"/>
        <v>4360153.25</v>
      </c>
      <c r="F44" s="65">
        <f t="shared" si="11"/>
        <v>229481.75</v>
      </c>
      <c r="G44" s="4393">
        <v>4360153.26</v>
      </c>
      <c r="H44" s="255">
        <v>449440.25</v>
      </c>
      <c r="I44" s="255"/>
      <c r="J44" s="255"/>
      <c r="K44" s="253">
        <v>183196.15</v>
      </c>
      <c r="L44" s="253">
        <v>1423.33</v>
      </c>
      <c r="M44" s="1029">
        <f t="shared" ref="M44:M62" si="15">SUM(G44:L44)</f>
        <v>4994212.99</v>
      </c>
      <c r="N44" s="65">
        <f t="shared" si="12"/>
        <v>147981.99000000022</v>
      </c>
      <c r="O44" s="1029">
        <v>4761606.9800000004</v>
      </c>
      <c r="P44" s="65">
        <v>4760845.09</v>
      </c>
      <c r="Q44" s="1062">
        <f t="shared" si="13"/>
        <v>761.89000000059605</v>
      </c>
      <c r="R44" s="222"/>
      <c r="S44" s="223">
        <f t="shared" si="14"/>
        <v>1.71196956975431E-2</v>
      </c>
      <c r="T44" s="222"/>
      <c r="U44" s="222"/>
      <c r="V44" s="222"/>
      <c r="W44" s="37"/>
    </row>
    <row r="45" spans="1:23">
      <c r="A45" s="4378">
        <v>2005</v>
      </c>
      <c r="B45" s="1029">
        <f t="shared" si="7"/>
        <v>4967052</v>
      </c>
      <c r="C45" s="65">
        <f t="shared" si="8"/>
        <v>5403962</v>
      </c>
      <c r="D45" s="65">
        <f t="shared" si="9"/>
        <v>436910</v>
      </c>
      <c r="E45" s="1029">
        <f t="shared" si="10"/>
        <v>4718699.3999999994</v>
      </c>
      <c r="F45" s="65">
        <f t="shared" si="11"/>
        <v>248352.6</v>
      </c>
      <c r="G45" s="4394">
        <v>4718699.7</v>
      </c>
      <c r="H45" s="250">
        <v>608204.15</v>
      </c>
      <c r="I45" s="250"/>
      <c r="J45" s="250"/>
      <c r="K45" s="255">
        <v>107235.28</v>
      </c>
      <c r="L45" s="255">
        <v>12368.35</v>
      </c>
      <c r="M45" s="1029">
        <f t="shared" si="15"/>
        <v>5446507.4800000004</v>
      </c>
      <c r="N45" s="65">
        <f t="shared" si="12"/>
        <v>517310.48000000045</v>
      </c>
      <c r="O45" s="1029">
        <v>5075854.51</v>
      </c>
      <c r="P45" s="65">
        <v>5075139.21</v>
      </c>
      <c r="Q45" s="1062">
        <f t="shared" si="13"/>
        <v>715.29999999981374</v>
      </c>
      <c r="R45" s="222"/>
      <c r="S45" s="223">
        <f t="shared" si="14"/>
        <v>9.6316905167312242E-2</v>
      </c>
      <c r="T45" s="222"/>
      <c r="U45" s="222"/>
      <c r="V45" s="222"/>
      <c r="W45" s="37"/>
    </row>
    <row r="46" spans="1:23">
      <c r="A46" s="4378">
        <v>2006</v>
      </c>
      <c r="B46" s="1029">
        <f t="shared" si="7"/>
        <v>5126165</v>
      </c>
      <c r="C46" s="65">
        <f t="shared" si="8"/>
        <v>5245843</v>
      </c>
      <c r="D46" s="65">
        <f t="shared" si="9"/>
        <v>119678</v>
      </c>
      <c r="E46" s="1029">
        <f t="shared" si="10"/>
        <v>4869856.75</v>
      </c>
      <c r="F46" s="65">
        <f t="shared" si="11"/>
        <v>256308.25</v>
      </c>
      <c r="G46" s="4392">
        <f>811642.79*6</f>
        <v>4869856.74</v>
      </c>
      <c r="H46" s="253">
        <v>341959.06</v>
      </c>
      <c r="I46" s="253"/>
      <c r="J46" s="253"/>
      <c r="K46" s="250">
        <v>78417.14</v>
      </c>
      <c r="L46" s="250">
        <v>-1358.51</v>
      </c>
      <c r="M46" s="1029">
        <f t="shared" si="15"/>
        <v>5288874.43</v>
      </c>
      <c r="N46" s="65">
        <f t="shared" si="12"/>
        <v>-115087.5700000003</v>
      </c>
      <c r="O46" s="1029">
        <v>5074313.7300000004</v>
      </c>
      <c r="P46" s="65">
        <v>5106682.08</v>
      </c>
      <c r="Q46" s="1062">
        <f t="shared" si="13"/>
        <v>-32368.349999999627</v>
      </c>
      <c r="R46" s="222"/>
      <c r="S46" s="223">
        <f t="shared" si="14"/>
        <v>-2.9259828251938114E-2</v>
      </c>
      <c r="T46" s="222"/>
      <c r="U46" s="222"/>
      <c r="V46" s="222"/>
      <c r="W46" s="37"/>
    </row>
    <row r="47" spans="1:23">
      <c r="A47" s="4378">
        <v>2007</v>
      </c>
      <c r="B47" s="1029">
        <f t="shared" si="7"/>
        <v>5176375</v>
      </c>
      <c r="C47" s="65">
        <f t="shared" si="8"/>
        <v>5095788.0599999996</v>
      </c>
      <c r="D47" s="65">
        <f t="shared" si="9"/>
        <v>-80586.94000000041</v>
      </c>
      <c r="E47" s="1029">
        <f t="shared" si="10"/>
        <v>4917556.25</v>
      </c>
      <c r="F47" s="65">
        <f t="shared" si="11"/>
        <v>258818.75</v>
      </c>
      <c r="G47" s="4393">
        <f>739291.29+5*819592.73</f>
        <v>4837254.9399999995</v>
      </c>
      <c r="H47" s="255">
        <v>204435.3</v>
      </c>
      <c r="I47" s="255"/>
      <c r="J47" s="255"/>
      <c r="K47" s="253">
        <v>111490.5</v>
      </c>
      <c r="L47" s="253">
        <v>-77362.789999999994</v>
      </c>
      <c r="M47" s="1029">
        <f t="shared" si="15"/>
        <v>5075817.9499999993</v>
      </c>
      <c r="N47" s="65">
        <f t="shared" si="12"/>
        <v>-170025.05000000075</v>
      </c>
      <c r="O47" s="1029">
        <v>4889892.79</v>
      </c>
      <c r="P47" s="65">
        <v>4886911.67</v>
      </c>
      <c r="Q47" s="1062">
        <f t="shared" si="13"/>
        <v>2981.1200000001118</v>
      </c>
      <c r="R47" s="222"/>
      <c r="S47" s="223">
        <f t="shared" si="14"/>
        <v>-2.8604542682653753E-2</v>
      </c>
      <c r="T47" s="222"/>
      <c r="U47" s="222"/>
      <c r="V47" s="222"/>
      <c r="W47" s="37"/>
    </row>
    <row r="48" spans="1:23">
      <c r="A48" s="4378">
        <v>2008</v>
      </c>
      <c r="B48" s="1029">
        <f t="shared" si="7"/>
        <v>5154947</v>
      </c>
      <c r="C48" s="65">
        <f t="shared" si="8"/>
        <v>4758827.01</v>
      </c>
      <c r="D48" s="65">
        <f t="shared" si="9"/>
        <v>-396119.99000000022</v>
      </c>
      <c r="E48" s="1029">
        <f t="shared" si="10"/>
        <v>4897199.6499999994</v>
      </c>
      <c r="F48" s="65">
        <f t="shared" si="11"/>
        <v>257747.35</v>
      </c>
      <c r="G48" s="4394">
        <f>6*816199.85</f>
        <v>4897199.0999999996</v>
      </c>
      <c r="H48" s="250">
        <v>18936.21</v>
      </c>
      <c r="I48" s="250"/>
      <c r="J48" s="250"/>
      <c r="K48" s="255">
        <v>52474.2</v>
      </c>
      <c r="L48" s="255">
        <v>1623.62</v>
      </c>
      <c r="M48" s="1029">
        <f t="shared" si="15"/>
        <v>4970233.13</v>
      </c>
      <c r="N48" s="65">
        <f t="shared" si="12"/>
        <v>-125554.9299999997</v>
      </c>
      <c r="O48" s="1029">
        <v>4992383.58</v>
      </c>
      <c r="P48" s="65">
        <v>4979422.41</v>
      </c>
      <c r="Q48" s="1062">
        <f t="shared" si="13"/>
        <v>12961.169999999925</v>
      </c>
      <c r="R48" s="42"/>
      <c r="S48" s="223">
        <f t="shared" si="14"/>
        <v>-6.6125405144891333E-2</v>
      </c>
      <c r="T48" s="42"/>
      <c r="U48" s="42"/>
      <c r="V48" s="42"/>
      <c r="W48" s="37"/>
    </row>
    <row r="49" spans="1:23">
      <c r="A49" s="4378">
        <v>2009</v>
      </c>
      <c r="B49" s="1029">
        <f t="shared" si="7"/>
        <v>5128236</v>
      </c>
      <c r="C49" s="65">
        <f t="shared" si="8"/>
        <v>5329497.08</v>
      </c>
      <c r="D49" s="65">
        <f t="shared" si="9"/>
        <v>201261.08000000007</v>
      </c>
      <c r="E49" s="1029">
        <f t="shared" si="10"/>
        <v>4871824.2</v>
      </c>
      <c r="F49" s="65">
        <f t="shared" si="11"/>
        <v>256411.80000000002</v>
      </c>
      <c r="G49" s="4392">
        <f>6*811949.04</f>
        <v>4871694.24</v>
      </c>
      <c r="H49" s="253">
        <v>223440.85</v>
      </c>
      <c r="I49" s="253"/>
      <c r="J49" s="253"/>
      <c r="K49" s="250">
        <f>66561.38-227650.83</f>
        <v>-161089.44999999998</v>
      </c>
      <c r="L49" s="250">
        <v>3781.15</v>
      </c>
      <c r="M49" s="1029">
        <f t="shared" si="15"/>
        <v>4937826.79</v>
      </c>
      <c r="N49" s="65">
        <f t="shared" si="12"/>
        <v>178999.78000000026</v>
      </c>
      <c r="O49" s="1029">
        <v>5028513.3</v>
      </c>
      <c r="P49" s="65">
        <v>4983030.3</v>
      </c>
      <c r="Q49" s="1062">
        <f t="shared" si="13"/>
        <v>45483</v>
      </c>
      <c r="R49" s="42"/>
      <c r="S49" s="223">
        <f t="shared" si="14"/>
        <v>0.11991822119207488</v>
      </c>
      <c r="T49" s="42"/>
      <c r="U49" s="42"/>
      <c r="V49" s="42"/>
      <c r="W49" s="37"/>
    </row>
    <row r="50" spans="1:23">
      <c r="A50" s="4378">
        <v>2010</v>
      </c>
      <c r="B50" s="1029">
        <f t="shared" si="7"/>
        <v>5131705</v>
      </c>
      <c r="C50" s="65">
        <f t="shared" si="8"/>
        <v>5298313</v>
      </c>
      <c r="D50" s="65">
        <f t="shared" si="9"/>
        <v>166608</v>
      </c>
      <c r="E50" s="1029">
        <f t="shared" si="10"/>
        <v>4875119.75</v>
      </c>
      <c r="F50" s="65">
        <f t="shared" si="11"/>
        <v>256585.25</v>
      </c>
      <c r="G50" s="4393">
        <f>(812520.04*6)</f>
        <v>4875120.24</v>
      </c>
      <c r="H50" s="255">
        <v>-130800.91</v>
      </c>
      <c r="I50" s="255">
        <v>115840.91</v>
      </c>
      <c r="J50" s="255"/>
      <c r="K50" s="253">
        <f>234146.56-469.48</f>
        <v>233677.08</v>
      </c>
      <c r="L50" s="253">
        <v>684.91</v>
      </c>
      <c r="M50" s="1029">
        <f t="shared" si="15"/>
        <v>5094522.2300000004</v>
      </c>
      <c r="N50" s="65">
        <f t="shared" si="12"/>
        <v>-234974.84999999963</v>
      </c>
      <c r="O50" s="544"/>
      <c r="P50" s="61"/>
      <c r="Q50" s="426"/>
      <c r="R50" s="42"/>
      <c r="S50" s="223">
        <f t="shared" si="14"/>
        <v>-5.8512237706301691E-3</v>
      </c>
      <c r="T50" s="42"/>
      <c r="U50" s="42"/>
      <c r="V50" s="42"/>
      <c r="W50" s="37"/>
    </row>
    <row r="51" spans="1:23">
      <c r="A51" s="4378">
        <v>2011</v>
      </c>
      <c r="B51" s="1029">
        <f t="shared" si="7"/>
        <v>5094270</v>
      </c>
      <c r="C51" s="65">
        <f t="shared" si="8"/>
        <v>5347095.82</v>
      </c>
      <c r="D51" s="65">
        <f t="shared" si="9"/>
        <v>252825.8200000003</v>
      </c>
      <c r="E51" s="1029">
        <f t="shared" si="10"/>
        <v>4839556.5</v>
      </c>
      <c r="F51" s="65">
        <f t="shared" si="11"/>
        <v>254713.5</v>
      </c>
      <c r="G51" s="4394">
        <f>806592.77*6</f>
        <v>4839556.62</v>
      </c>
      <c r="H51" s="250">
        <v>330479.99</v>
      </c>
      <c r="I51" s="250">
        <v>121628.95</v>
      </c>
      <c r="J51" s="250"/>
      <c r="K51" s="255">
        <v>-32266.66</v>
      </c>
      <c r="L51" s="255"/>
      <c r="M51" s="1029">
        <f t="shared" si="15"/>
        <v>5259398.9000000004</v>
      </c>
      <c r="N51" s="65">
        <f t="shared" si="12"/>
        <v>-38914.099999999627</v>
      </c>
      <c r="O51" s="544"/>
      <c r="P51" s="91"/>
      <c r="Q51" s="4147"/>
      <c r="R51" s="42"/>
      <c r="S51" s="223">
        <f t="shared" si="14"/>
        <v>9.2072363410769242E-3</v>
      </c>
      <c r="T51" s="42"/>
      <c r="U51" s="42"/>
      <c r="V51" s="42"/>
      <c r="W51" s="37"/>
    </row>
    <row r="52" spans="1:23">
      <c r="A52" s="4378">
        <v>2012</v>
      </c>
      <c r="B52" s="1029">
        <f t="shared" si="7"/>
        <v>5326874</v>
      </c>
      <c r="C52" s="65">
        <f t="shared" si="8"/>
        <v>5859369.0599999996</v>
      </c>
      <c r="D52" s="65">
        <f t="shared" si="9"/>
        <v>532495.05999999959</v>
      </c>
      <c r="E52" s="1029">
        <f t="shared" si="10"/>
        <v>5060530.3</v>
      </c>
      <c r="F52" s="65">
        <f t="shared" si="11"/>
        <v>266343.7</v>
      </c>
      <c r="G52" s="4392">
        <f>6*843421.74</f>
        <v>5060530.4399999995</v>
      </c>
      <c r="H52" s="253">
        <v>528620.84</v>
      </c>
      <c r="I52" s="253">
        <v>135462.06</v>
      </c>
      <c r="J52" s="253"/>
      <c r="K52" s="250">
        <v>0</v>
      </c>
      <c r="L52" s="250"/>
      <c r="M52" s="1029">
        <f t="shared" si="15"/>
        <v>5724613.3399999989</v>
      </c>
      <c r="N52" s="65">
        <f t="shared" si="12"/>
        <v>377517.51999999862</v>
      </c>
      <c r="O52" s="544"/>
      <c r="P52" s="91"/>
      <c r="Q52" s="4147"/>
      <c r="R52" s="42"/>
      <c r="S52" s="223">
        <f t="shared" si="14"/>
        <v>9.5804013476608926E-2</v>
      </c>
      <c r="T52" s="42"/>
      <c r="U52" s="42"/>
      <c r="V52" s="42"/>
      <c r="W52" s="37"/>
    </row>
    <row r="53" spans="1:23">
      <c r="A53" s="4378">
        <v>2013</v>
      </c>
      <c r="B53" s="1029">
        <f t="shared" si="7"/>
        <v>5628394</v>
      </c>
      <c r="C53" s="65">
        <f t="shared" si="8"/>
        <v>6092015</v>
      </c>
      <c r="D53" s="65">
        <f t="shared" si="9"/>
        <v>463621</v>
      </c>
      <c r="E53" s="1029">
        <f t="shared" si="10"/>
        <v>5346974.3</v>
      </c>
      <c r="F53" s="65">
        <f t="shared" si="11"/>
        <v>281419.7</v>
      </c>
      <c r="G53" s="4395">
        <f>(6*891162.44)</f>
        <v>5346974.6399999997</v>
      </c>
      <c r="H53" s="255">
        <v>495514.31</v>
      </c>
      <c r="I53" s="255">
        <v>169340.74</v>
      </c>
      <c r="J53" s="255"/>
      <c r="K53" s="65"/>
      <c r="L53" s="65"/>
      <c r="M53" s="1029">
        <f t="shared" si="15"/>
        <v>6011829.6899999995</v>
      </c>
      <c r="N53" s="65">
        <f t="shared" si="12"/>
        <v>152460.62999999989</v>
      </c>
      <c r="O53" s="544"/>
      <c r="P53" s="91"/>
      <c r="Q53" s="4147"/>
      <c r="R53" s="42"/>
      <c r="S53" s="223">
        <f t="shared" si="14"/>
        <v>3.9704947344620829E-2</v>
      </c>
      <c r="T53" s="42"/>
      <c r="U53" s="42"/>
      <c r="V53" s="42"/>
      <c r="W53" s="37"/>
    </row>
    <row r="54" spans="1:23">
      <c r="A54" s="4378">
        <v>2014</v>
      </c>
      <c r="B54" s="1029">
        <v>5979849</v>
      </c>
      <c r="C54" s="65">
        <f t="shared" si="8"/>
        <v>6450908</v>
      </c>
      <c r="D54" s="65">
        <f>C54-B54</f>
        <v>471059</v>
      </c>
      <c r="E54" s="1029">
        <f t="shared" si="10"/>
        <v>5680856.5499999998</v>
      </c>
      <c r="F54" s="65">
        <f t="shared" si="11"/>
        <v>298992.45</v>
      </c>
      <c r="G54" s="4394">
        <f>(6*946810)</f>
        <v>5680860</v>
      </c>
      <c r="H54" s="250">
        <v>446340.53</v>
      </c>
      <c r="I54" s="250">
        <v>246848.26</v>
      </c>
      <c r="J54" s="250">
        <v>1305.81</v>
      </c>
      <c r="K54" s="65"/>
      <c r="L54" s="65"/>
      <c r="M54" s="1029">
        <f t="shared" si="15"/>
        <v>6375354.5999999996</v>
      </c>
      <c r="N54" s="65">
        <f t="shared" si="12"/>
        <v>283339.59999999963</v>
      </c>
      <c r="O54" s="544"/>
      <c r="P54" s="91"/>
      <c r="Q54" s="4147"/>
      <c r="R54" s="42"/>
      <c r="S54" s="223">
        <f t="shared" si="14"/>
        <v>5.8912034852179454E-2</v>
      </c>
      <c r="T54" s="42"/>
      <c r="U54" s="42"/>
      <c r="V54" s="42"/>
      <c r="W54" s="37"/>
    </row>
    <row r="55" spans="1:23">
      <c r="A55" s="4378">
        <v>2015</v>
      </c>
      <c r="B55" s="1029">
        <v>6179569</v>
      </c>
      <c r="C55" s="65">
        <f t="shared" si="8"/>
        <v>6493132.1100000003</v>
      </c>
      <c r="D55" s="65">
        <f t="shared" si="9"/>
        <v>313563.11000000034</v>
      </c>
      <c r="E55" s="1029">
        <f t="shared" si="10"/>
        <v>5870590.5499999998</v>
      </c>
      <c r="F55" s="65">
        <f t="shared" si="11"/>
        <v>308978.45</v>
      </c>
      <c r="G55" s="4392">
        <f>E55</f>
        <v>5870590.5499999998</v>
      </c>
      <c r="H55" s="253">
        <v>92011.85</v>
      </c>
      <c r="I55" s="253">
        <v>396980.16</v>
      </c>
      <c r="J55" s="253">
        <f>3940.04+922.26+496.52</f>
        <v>5358.82</v>
      </c>
      <c r="K55" s="65"/>
      <c r="L55" s="65"/>
      <c r="M55" s="1029">
        <f t="shared" si="15"/>
        <v>6364941.3799999999</v>
      </c>
      <c r="N55" s="65">
        <f t="shared" si="12"/>
        <v>-85966.620000000112</v>
      </c>
      <c r="O55" s="544"/>
      <c r="P55" s="91"/>
      <c r="Q55" s="4147"/>
      <c r="R55" s="42"/>
      <c r="S55" s="223">
        <f t="shared" si="14"/>
        <v>6.5454522061080917E-3</v>
      </c>
      <c r="T55" s="42"/>
      <c r="U55" s="226" t="s">
        <v>668</v>
      </c>
      <c r="V55" s="42"/>
      <c r="W55" s="37"/>
    </row>
    <row r="56" spans="1:23">
      <c r="A56" s="4378">
        <v>2016</v>
      </c>
      <c r="B56" s="1029">
        <v>5871142</v>
      </c>
      <c r="C56" s="65">
        <f t="shared" si="8"/>
        <v>5923216</v>
      </c>
      <c r="D56" s="65">
        <f t="shared" si="9"/>
        <v>52074</v>
      </c>
      <c r="E56" s="1029">
        <f t="shared" si="10"/>
        <v>5577584.8999999994</v>
      </c>
      <c r="F56" s="65">
        <f t="shared" si="11"/>
        <v>293557.10000000003</v>
      </c>
      <c r="G56" s="4393">
        <f>E56</f>
        <v>5577584.8999999994</v>
      </c>
      <c r="H56" s="255">
        <v>-32908.379999999997</v>
      </c>
      <c r="I56" s="255">
        <v>248717.16</v>
      </c>
      <c r="J56" s="255">
        <f>5880.71+1415.53</f>
        <v>7296.24</v>
      </c>
      <c r="K56" s="65"/>
      <c r="L56" s="65"/>
      <c r="M56" s="1029">
        <f t="shared" si="15"/>
        <v>5800689.9199999999</v>
      </c>
      <c r="N56" s="65">
        <f t="shared" si="12"/>
        <v>-692442.19000000041</v>
      </c>
      <c r="O56" s="544"/>
      <c r="P56" s="91"/>
      <c r="Q56" s="4147"/>
      <c r="R56" s="42"/>
      <c r="S56" s="223">
        <f t="shared" si="14"/>
        <v>-8.777214144808157E-2</v>
      </c>
      <c r="T56" s="42"/>
      <c r="U56" s="226"/>
      <c r="V56" s="42"/>
      <c r="W56" s="37"/>
    </row>
    <row r="57" spans="1:23">
      <c r="A57" s="4378">
        <v>2017</v>
      </c>
      <c r="B57" s="1029">
        <f>Q28</f>
        <v>6325916</v>
      </c>
      <c r="C57" s="65">
        <f t="shared" si="8"/>
        <v>6456695</v>
      </c>
      <c r="D57" s="65">
        <f t="shared" si="9"/>
        <v>130779</v>
      </c>
      <c r="E57" s="1029">
        <f t="shared" si="10"/>
        <v>6009620.1999999993</v>
      </c>
      <c r="F57" s="65">
        <f t="shared" si="11"/>
        <v>316295.80000000005</v>
      </c>
      <c r="G57" s="4394">
        <v>6077199.04</v>
      </c>
      <c r="H57" s="250">
        <v>-248090</v>
      </c>
      <c r="I57" s="250">
        <v>248717.16</v>
      </c>
      <c r="J57" s="250">
        <f>10289.59+3991.36</f>
        <v>14280.95</v>
      </c>
      <c r="K57" s="65"/>
      <c r="L57" s="65"/>
      <c r="M57" s="1029">
        <f t="shared" si="15"/>
        <v>6092107.1500000004</v>
      </c>
      <c r="N57" s="65">
        <f t="shared" si="12"/>
        <v>168891.15000000037</v>
      </c>
      <c r="O57" s="544"/>
      <c r="P57" s="91"/>
      <c r="Q57" s="4147"/>
      <c r="R57" s="42"/>
      <c r="S57" s="223">
        <f t="shared" si="14"/>
        <v>9.0065768325855416E-2</v>
      </c>
      <c r="T57" s="42"/>
      <c r="U57" s="226"/>
      <c r="V57" s="42"/>
      <c r="W57" s="37"/>
    </row>
    <row r="58" spans="1:23">
      <c r="A58" s="4378">
        <v>2018</v>
      </c>
      <c r="B58" s="1029">
        <f>Q29</f>
        <v>6492450</v>
      </c>
      <c r="C58" s="65">
        <v>6761027.2000000002</v>
      </c>
      <c r="D58" s="65">
        <f t="shared" si="9"/>
        <v>268577.20000000019</v>
      </c>
      <c r="E58" s="1029">
        <f t="shared" si="10"/>
        <v>6167827.5</v>
      </c>
      <c r="F58" s="65">
        <f t="shared" si="11"/>
        <v>324622.5</v>
      </c>
      <c r="G58" s="4392">
        <f>988591.05*6</f>
        <v>5931546.3000000007</v>
      </c>
      <c r="H58" s="253">
        <v>9360.98</v>
      </c>
      <c r="I58" s="253">
        <v>248717.16</v>
      </c>
      <c r="J58" s="253">
        <v>10225.91</v>
      </c>
      <c r="K58" s="65"/>
      <c r="L58" s="65"/>
      <c r="M58" s="1029">
        <f t="shared" si="15"/>
        <v>6199850.3500000015</v>
      </c>
      <c r="N58" s="65">
        <f t="shared" si="12"/>
        <v>-256844.64999999851</v>
      </c>
      <c r="O58" s="544"/>
      <c r="P58" s="91"/>
      <c r="Q58" s="4147"/>
      <c r="R58" s="42"/>
      <c r="S58" s="223">
        <f t="shared" si="14"/>
        <v>4.7134362084626916E-2</v>
      </c>
      <c r="T58" s="42"/>
      <c r="U58" s="226"/>
      <c r="V58" s="42"/>
      <c r="W58" s="37"/>
    </row>
    <row r="59" spans="1:23">
      <c r="A59" s="4378">
        <v>2019</v>
      </c>
      <c r="B59" s="1029">
        <f>Q30</f>
        <v>6691873</v>
      </c>
      <c r="C59" s="65">
        <f>B30</f>
        <v>6714851</v>
      </c>
      <c r="D59" s="65">
        <f t="shared" si="9"/>
        <v>22978</v>
      </c>
      <c r="E59" s="1029">
        <f t="shared" si="10"/>
        <v>6357279.3499999996</v>
      </c>
      <c r="F59" s="65">
        <f t="shared" si="11"/>
        <v>334593.65000000002</v>
      </c>
      <c r="G59" s="4393">
        <f>1020998.62*6</f>
        <v>6125991.7199999997</v>
      </c>
      <c r="H59" s="255">
        <v>215134.26</v>
      </c>
      <c r="I59" s="255">
        <v>248717.16</v>
      </c>
      <c r="J59" s="255">
        <f>13229.71+1717.12+618.19</f>
        <v>15565.019999999999</v>
      </c>
      <c r="K59" s="65"/>
      <c r="L59" s="65"/>
      <c r="M59" s="1029">
        <f t="shared" si="15"/>
        <v>6605408.1599999992</v>
      </c>
      <c r="N59" s="65">
        <f t="shared" si="12"/>
        <v>-155619.04000000097</v>
      </c>
      <c r="O59" s="544"/>
      <c r="P59" s="91"/>
      <c r="Q59" s="4147"/>
      <c r="R59" s="42"/>
      <c r="S59" s="223">
        <f t="shared" si="14"/>
        <v>-6.8297610161959094E-3</v>
      </c>
      <c r="T59" s="42"/>
      <c r="U59" s="226"/>
      <c r="V59" s="42"/>
      <c r="W59" s="37"/>
    </row>
    <row r="60" spans="1:23">
      <c r="A60" s="4378">
        <v>2020</v>
      </c>
      <c r="B60" s="1029">
        <f>Q31</f>
        <v>6588247.1500000004</v>
      </c>
      <c r="C60" s="65">
        <f>B31</f>
        <v>6697652.0099999998</v>
      </c>
      <c r="D60" s="65">
        <f t="shared" si="9"/>
        <v>109404.8599999994</v>
      </c>
      <c r="E60" s="1029">
        <f t="shared" si="10"/>
        <v>6258834.7925000004</v>
      </c>
      <c r="F60" s="65">
        <f t="shared" si="11"/>
        <v>329412.35750000004</v>
      </c>
      <c r="G60" s="4392">
        <f>6*1043139.13</f>
        <v>6258834.7800000003</v>
      </c>
      <c r="H60" s="250">
        <v>128170.33</v>
      </c>
      <c r="I60" s="250">
        <v>248717</v>
      </c>
      <c r="J60" s="250">
        <f>23435.17+325.04+5149</f>
        <v>28909.21</v>
      </c>
      <c r="K60" s="65"/>
      <c r="L60" s="65"/>
      <c r="M60" s="1029">
        <f t="shared" si="15"/>
        <v>6664631.3200000003</v>
      </c>
      <c r="N60" s="65">
        <f t="shared" si="12"/>
        <v>-50219.679999999702</v>
      </c>
      <c r="O60" s="544"/>
      <c r="P60" s="91"/>
      <c r="Q60" s="4147"/>
      <c r="R60" s="42"/>
      <c r="S60" s="223">
        <f t="shared" si="14"/>
        <v>-2.5613360594300937E-3</v>
      </c>
      <c r="T60" s="42"/>
      <c r="U60" s="42"/>
      <c r="V60" s="42"/>
      <c r="W60" s="37"/>
    </row>
    <row r="61" spans="1:23">
      <c r="A61" s="4378">
        <v>2021</v>
      </c>
      <c r="B61" s="1029">
        <f>Q32</f>
        <v>6639331</v>
      </c>
      <c r="C61" s="65">
        <f>B32</f>
        <v>6919245</v>
      </c>
      <c r="D61" s="65">
        <f t="shared" si="9"/>
        <v>279914</v>
      </c>
      <c r="E61" s="1029">
        <f t="shared" si="10"/>
        <v>6307364.4499999993</v>
      </c>
      <c r="F61" s="65">
        <f t="shared" si="11"/>
        <v>331966.55000000005</v>
      </c>
      <c r="G61" s="1029">
        <f>6*1051227.55</f>
        <v>6307365.3000000007</v>
      </c>
      <c r="H61" s="255">
        <v>433436</v>
      </c>
      <c r="I61" s="255">
        <v>0</v>
      </c>
      <c r="J61" s="255">
        <f>33287.87+5439.07</f>
        <v>38726.94</v>
      </c>
      <c r="K61" s="65"/>
      <c r="L61" s="65"/>
      <c r="M61" s="1029">
        <f t="shared" si="15"/>
        <v>6779528.2400000012</v>
      </c>
      <c r="N61" s="65">
        <f t="shared" si="12"/>
        <v>81876.230000001378</v>
      </c>
      <c r="O61" s="544"/>
      <c r="P61" s="91"/>
      <c r="Q61" s="4147"/>
      <c r="R61" s="42"/>
      <c r="S61" s="223">
        <f t="shared" si="14"/>
        <v>3.3085175173202259E-2</v>
      </c>
      <c r="T61" s="42"/>
      <c r="U61" s="42"/>
      <c r="V61" s="42"/>
      <c r="W61" s="37"/>
    </row>
    <row r="62" spans="1:23" ht="15.75" thickBot="1">
      <c r="A62" s="4379">
        <v>2022</v>
      </c>
      <c r="B62" s="1037">
        <v>6984531</v>
      </c>
      <c r="C62" s="1036">
        <v>7129826.7000000002</v>
      </c>
      <c r="D62" s="1036">
        <f t="shared" si="9"/>
        <v>145295.70000000019</v>
      </c>
      <c r="E62" s="1037">
        <f t="shared" si="10"/>
        <v>6635304.4499999993</v>
      </c>
      <c r="F62" s="1036"/>
      <c r="G62" s="1037">
        <f>6*1105884.05</f>
        <v>6635304.3000000007</v>
      </c>
      <c r="H62" s="65">
        <v>147580.46</v>
      </c>
      <c r="I62" s="65">
        <v>0</v>
      </c>
      <c r="J62" s="65">
        <f>45390.73+2016.61+5183.06</f>
        <v>52590.400000000001</v>
      </c>
      <c r="K62" s="65"/>
      <c r="L62" s="93"/>
      <c r="M62" s="1029">
        <f t="shared" si="15"/>
        <v>6835475.1600000011</v>
      </c>
      <c r="N62" s="65">
        <f t="shared" si="12"/>
        <v>-83769.83999999892</v>
      </c>
      <c r="O62" s="451"/>
      <c r="P62" s="61"/>
      <c r="Q62" s="3694"/>
      <c r="R62" s="42"/>
      <c r="S62" s="223">
        <f t="shared" si="14"/>
        <v>3.0434201997472293E-2</v>
      </c>
      <c r="T62" s="42"/>
      <c r="U62" s="42"/>
      <c r="V62" s="42"/>
      <c r="W62" s="37"/>
    </row>
    <row r="63" spans="1:23" ht="15.75" thickBot="1">
      <c r="A63" s="42"/>
      <c r="B63" s="42"/>
      <c r="C63" s="42"/>
      <c r="D63" s="42"/>
      <c r="E63" s="42"/>
      <c r="F63" s="42"/>
      <c r="G63" s="228"/>
      <c r="H63" s="1036"/>
      <c r="I63" s="1036"/>
      <c r="J63" s="1036"/>
      <c r="K63" s="1036"/>
      <c r="L63" s="3879"/>
      <c r="M63" s="1037"/>
      <c r="N63" s="1036"/>
      <c r="O63" s="452"/>
      <c r="P63" s="489"/>
      <c r="Q63" s="4396"/>
      <c r="R63" s="42"/>
      <c r="S63" s="223"/>
      <c r="T63" s="42"/>
      <c r="U63" s="42"/>
      <c r="V63" s="42"/>
      <c r="W63" s="37"/>
    </row>
    <row r="64" spans="1:23" ht="18.75">
      <c r="A64" s="42"/>
      <c r="B64" s="42"/>
      <c r="C64" s="42"/>
      <c r="D64" s="42"/>
      <c r="E64" s="42"/>
      <c r="F64" s="42"/>
      <c r="G64" s="218" t="s">
        <v>673</v>
      </c>
      <c r="H64" s="42"/>
      <c r="I64" s="42"/>
      <c r="J64" s="42"/>
      <c r="K64" s="42"/>
      <c r="L64" s="42"/>
      <c r="M64" s="42"/>
      <c r="N64" s="42"/>
      <c r="O64" s="42"/>
      <c r="P64" s="61"/>
      <c r="Q64" s="61"/>
      <c r="R64" s="42"/>
      <c r="S64" s="42"/>
      <c r="T64" s="42"/>
      <c r="U64" s="42"/>
      <c r="V64" s="42"/>
      <c r="W64" s="37"/>
    </row>
    <row r="65" spans="1:23" ht="30.75" thickBot="1">
      <c r="A65" s="3784" t="s">
        <v>625</v>
      </c>
      <c r="B65" s="3791" t="s">
        <v>669</v>
      </c>
      <c r="C65" s="4397" t="s">
        <v>670</v>
      </c>
      <c r="D65" s="3791" t="s">
        <v>671</v>
      </c>
      <c r="E65" s="4398" t="s">
        <v>672</v>
      </c>
      <c r="F65" s="222"/>
      <c r="G65" s="266" t="s">
        <v>634</v>
      </c>
      <c r="H65" s="219"/>
      <c r="I65" s="219"/>
      <c r="J65" s="219"/>
      <c r="K65" s="220"/>
      <c r="L65" s="61"/>
      <c r="M65" s="61"/>
      <c r="N65" s="42"/>
      <c r="O65" s="42"/>
      <c r="P65" s="42"/>
      <c r="Q65" s="42"/>
      <c r="R65" s="42"/>
      <c r="S65" s="42"/>
      <c r="T65" s="42"/>
      <c r="U65" s="42"/>
      <c r="V65" s="42"/>
      <c r="W65" s="37"/>
    </row>
    <row r="66" spans="1:23" ht="27" customHeight="1" thickBot="1">
      <c r="A66" s="4375">
        <v>1995</v>
      </c>
      <c r="B66" s="3878">
        <v>8</v>
      </c>
      <c r="C66" s="487">
        <f t="shared" ref="C66:C93" si="16">S6/B66</f>
        <v>161976.2040808232</v>
      </c>
      <c r="D66" s="3878">
        <v>1750</v>
      </c>
      <c r="E66" s="1061">
        <f t="shared" ref="E66:E93" si="17">Q6/D66</f>
        <v>1627.3787632450394</v>
      </c>
      <c r="F66" s="42"/>
      <c r="G66" s="235">
        <v>2009</v>
      </c>
      <c r="H66" s="267" t="s">
        <v>674</v>
      </c>
      <c r="I66" s="267" t="s">
        <v>675</v>
      </c>
      <c r="J66" s="267" t="s">
        <v>676</v>
      </c>
      <c r="K66" s="270" t="s">
        <v>677</v>
      </c>
      <c r="L66" s="269" t="s">
        <v>678</v>
      </c>
      <c r="M66" s="268" t="s">
        <v>679</v>
      </c>
      <c r="N66" s="222"/>
      <c r="O66" s="222"/>
      <c r="P66" s="222"/>
      <c r="Q66" s="222"/>
      <c r="R66" s="222"/>
      <c r="S66" s="222"/>
      <c r="T66" s="222"/>
      <c r="U66" s="222"/>
      <c r="V66" s="222"/>
      <c r="W66" s="37"/>
    </row>
    <row r="67" spans="1:23">
      <c r="A67" s="4376">
        <v>1996</v>
      </c>
      <c r="B67" s="93">
        <v>8</v>
      </c>
      <c r="C67" s="65">
        <f t="shared" si="16"/>
        <v>194693.22556575498</v>
      </c>
      <c r="D67" s="93">
        <v>1750</v>
      </c>
      <c r="E67" s="1062">
        <f t="shared" si="17"/>
        <v>1778.1263853264031</v>
      </c>
      <c r="F67" s="42"/>
      <c r="G67" s="235">
        <v>2010</v>
      </c>
      <c r="H67" s="93"/>
      <c r="I67" s="93"/>
      <c r="J67" s="93"/>
      <c r="K67" s="65">
        <f>L67</f>
        <v>115841</v>
      </c>
      <c r="L67" s="91">
        <v>115841</v>
      </c>
      <c r="M67" s="251">
        <v>0</v>
      </c>
      <c r="N67" s="42"/>
      <c r="O67" s="42"/>
      <c r="P67" s="37"/>
      <c r="Q67" s="37"/>
      <c r="R67" s="37"/>
      <c r="S67" s="37"/>
      <c r="T67" s="37"/>
      <c r="U67" s="37"/>
      <c r="V67" s="37"/>
      <c r="W67" s="37"/>
    </row>
    <row r="68" spans="1:23">
      <c r="A68" s="4376">
        <v>1997</v>
      </c>
      <c r="B68" s="93">
        <v>8</v>
      </c>
      <c r="C68" s="65">
        <f t="shared" si="16"/>
        <v>194460.44734865479</v>
      </c>
      <c r="D68" s="93">
        <v>1750</v>
      </c>
      <c r="E68" s="1062">
        <f t="shared" si="17"/>
        <v>1835.4221006993077</v>
      </c>
      <c r="F68" s="42"/>
      <c r="G68" s="235">
        <v>2011</v>
      </c>
      <c r="H68" s="93"/>
      <c r="I68" s="93"/>
      <c r="J68" s="93"/>
      <c r="K68" s="65">
        <f>L68</f>
        <v>121629</v>
      </c>
      <c r="L68" s="91">
        <v>121629</v>
      </c>
      <c r="M68" s="251">
        <v>0</v>
      </c>
      <c r="N68" s="37"/>
      <c r="O68" s="37"/>
      <c r="P68" s="37"/>
      <c r="Q68" s="37"/>
      <c r="R68" s="37"/>
      <c r="S68" s="37"/>
      <c r="T68" s="37"/>
      <c r="U68" s="37"/>
      <c r="V68" s="37"/>
      <c r="W68" s="37"/>
    </row>
    <row r="69" spans="1:23">
      <c r="A69" s="4376">
        <v>1998</v>
      </c>
      <c r="B69" s="93">
        <v>8</v>
      </c>
      <c r="C69" s="65">
        <f t="shared" si="16"/>
        <v>216003.84482856924</v>
      </c>
      <c r="D69" s="93">
        <v>1750</v>
      </c>
      <c r="E69" s="1062">
        <f t="shared" si="17"/>
        <v>1869.233403439983</v>
      </c>
      <c r="F69" s="42"/>
      <c r="G69" s="235">
        <v>2012</v>
      </c>
      <c r="H69" s="93"/>
      <c r="I69" s="93"/>
      <c r="J69" s="93"/>
      <c r="K69" s="65">
        <f>L69</f>
        <v>135462</v>
      </c>
      <c r="L69" s="91">
        <v>135462</v>
      </c>
      <c r="M69" s="251">
        <v>0</v>
      </c>
      <c r="N69" s="37"/>
      <c r="O69" s="37"/>
      <c r="P69" s="37"/>
      <c r="Q69" s="37"/>
      <c r="R69" s="37"/>
      <c r="S69" s="37"/>
      <c r="T69" s="37"/>
      <c r="U69" s="37"/>
      <c r="V69" s="37"/>
      <c r="W69" s="37"/>
    </row>
    <row r="70" spans="1:23">
      <c r="A70" s="4376">
        <v>1999</v>
      </c>
      <c r="B70" s="93">
        <v>8</v>
      </c>
      <c r="C70" s="65">
        <f t="shared" si="16"/>
        <v>220103.57611198837</v>
      </c>
      <c r="D70" s="93">
        <v>1750</v>
      </c>
      <c r="E70" s="1062">
        <f t="shared" si="17"/>
        <v>1949.6395238602829</v>
      </c>
      <c r="F70" s="42"/>
      <c r="G70" s="235">
        <v>2013</v>
      </c>
      <c r="H70" s="93"/>
      <c r="I70" s="93"/>
      <c r="J70" s="93"/>
      <c r="K70" s="65">
        <f>L70</f>
        <v>169341</v>
      </c>
      <c r="L70" s="91">
        <v>169341</v>
      </c>
      <c r="M70" s="251">
        <v>0</v>
      </c>
      <c r="N70" s="37"/>
      <c r="O70" s="37"/>
      <c r="P70" s="37"/>
      <c r="Q70" s="37"/>
      <c r="R70" s="37"/>
      <c r="S70" s="37"/>
      <c r="T70" s="37"/>
      <c r="U70" s="37"/>
      <c r="V70" s="37"/>
      <c r="W70" s="37"/>
    </row>
    <row r="71" spans="1:23">
      <c r="A71" s="4376">
        <v>2000</v>
      </c>
      <c r="B71" s="93">
        <v>8</v>
      </c>
      <c r="C71" s="65">
        <f t="shared" si="16"/>
        <v>231996.57782989051</v>
      </c>
      <c r="D71" s="93">
        <v>1750</v>
      </c>
      <c r="E71" s="1062">
        <f t="shared" si="17"/>
        <v>2111.7122820263385</v>
      </c>
      <c r="F71" s="42"/>
      <c r="G71" s="235">
        <v>2014</v>
      </c>
      <c r="H71" s="93"/>
      <c r="I71" s="93"/>
      <c r="J71" s="93"/>
      <c r="K71" s="65">
        <f>L71</f>
        <v>246848</v>
      </c>
      <c r="L71" s="91">
        <v>246848</v>
      </c>
      <c r="M71" s="251">
        <v>0</v>
      </c>
      <c r="N71" s="37"/>
      <c r="O71" s="37"/>
      <c r="P71" s="37"/>
      <c r="Q71" s="37"/>
      <c r="R71" s="37"/>
      <c r="S71" s="37"/>
      <c r="T71" s="37"/>
      <c r="U71" s="37"/>
      <c r="V71" s="37"/>
      <c r="W71" s="37"/>
    </row>
    <row r="72" spans="1:23">
      <c r="A72" s="4376">
        <v>2001</v>
      </c>
      <c r="B72" s="93">
        <v>8</v>
      </c>
      <c r="C72" s="65">
        <f t="shared" si="16"/>
        <v>240970</v>
      </c>
      <c r="D72" s="93">
        <v>1750</v>
      </c>
      <c r="E72" s="1062">
        <f t="shared" si="17"/>
        <v>1987.8211428571428</v>
      </c>
      <c r="F72" s="42"/>
      <c r="G72" s="235">
        <v>2015</v>
      </c>
      <c r="H72" s="65">
        <v>1237788</v>
      </c>
      <c r="I72" s="65">
        <v>683280</v>
      </c>
      <c r="J72" s="229">
        <f>I72/$H$72</f>
        <v>0.55201698513800423</v>
      </c>
      <c r="K72" s="65">
        <v>396980</v>
      </c>
      <c r="L72" s="91">
        <v>396980</v>
      </c>
      <c r="M72" s="251">
        <v>0</v>
      </c>
      <c r="N72" s="37"/>
      <c r="O72" s="37"/>
      <c r="P72" s="37"/>
      <c r="Q72" s="37"/>
      <c r="R72" s="37"/>
      <c r="S72" s="37"/>
      <c r="T72" s="37"/>
      <c r="U72" s="37"/>
      <c r="V72" s="37"/>
      <c r="W72" s="37"/>
    </row>
    <row r="73" spans="1:23">
      <c r="A73" s="4376">
        <v>2002</v>
      </c>
      <c r="B73" s="93">
        <v>8</v>
      </c>
      <c r="C73" s="65">
        <f t="shared" si="16"/>
        <v>252113.875</v>
      </c>
      <c r="D73" s="93">
        <v>1950</v>
      </c>
      <c r="E73" s="1062">
        <f t="shared" si="17"/>
        <v>2138.9261538461537</v>
      </c>
      <c r="F73" s="42"/>
      <c r="G73" s="235">
        <v>2016</v>
      </c>
      <c r="H73" s="65"/>
      <c r="I73" s="65">
        <f>(($H$72-$I$72)*10%)+I72</f>
        <v>738730.8</v>
      </c>
      <c r="J73" s="229">
        <f t="shared" ref="J73:J82" si="18">I73/$H$72</f>
        <v>0.59681528662420391</v>
      </c>
      <c r="K73" s="65">
        <f>($K$72/$I$72)*I73</f>
        <v>429196.45384615392</v>
      </c>
      <c r="L73" s="91">
        <v>248717.16</v>
      </c>
      <c r="M73" s="251">
        <f>L73-K73</f>
        <v>-180479.29384615392</v>
      </c>
      <c r="N73" s="37"/>
      <c r="O73" s="37"/>
      <c r="P73" s="37"/>
      <c r="Q73" s="37"/>
      <c r="R73" s="37"/>
      <c r="S73" s="37"/>
      <c r="T73" s="37"/>
      <c r="U73" s="37"/>
      <c r="V73" s="37"/>
      <c r="W73" s="37"/>
    </row>
    <row r="74" spans="1:23">
      <c r="A74" s="4376">
        <v>2003</v>
      </c>
      <c r="B74" s="93">
        <v>8</v>
      </c>
      <c r="C74" s="65">
        <f t="shared" si="16"/>
        <v>262007.125</v>
      </c>
      <c r="D74" s="93">
        <v>1950</v>
      </c>
      <c r="E74" s="1062">
        <f t="shared" si="17"/>
        <v>2289.7753846153846</v>
      </c>
      <c r="F74" s="42"/>
      <c r="G74" s="235">
        <v>2017</v>
      </c>
      <c r="H74" s="65"/>
      <c r="I74" s="65">
        <f t="shared" ref="I74:I82" si="19">(($H$72-$I$72)*10%)+I73</f>
        <v>794181.60000000009</v>
      </c>
      <c r="J74" s="229">
        <f t="shared" si="18"/>
        <v>0.64161358811040348</v>
      </c>
      <c r="K74" s="65">
        <f t="shared" ref="K74:K82" si="20">($K$72/$I$72)*I74</f>
        <v>461412.90769230778</v>
      </c>
      <c r="L74" s="91">
        <f>$L$72-148263</f>
        <v>248717</v>
      </c>
      <c r="M74" s="1602">
        <f t="shared" ref="M74:M81" si="21">L74-K74</f>
        <v>-212695.90769230778</v>
      </c>
      <c r="N74" s="37"/>
      <c r="O74" s="37"/>
      <c r="P74" s="37"/>
      <c r="Q74" s="37"/>
      <c r="R74" s="37"/>
      <c r="S74" s="37"/>
      <c r="T74" s="37"/>
      <c r="U74" s="37"/>
      <c r="V74" s="37"/>
      <c r="W74" s="37"/>
    </row>
    <row r="75" spans="1:23">
      <c r="A75" s="4376">
        <v>2004</v>
      </c>
      <c r="B75" s="93">
        <v>8</v>
      </c>
      <c r="C75" s="65">
        <f t="shared" si="16"/>
        <v>288581.75</v>
      </c>
      <c r="D75" s="93">
        <v>1950</v>
      </c>
      <c r="E75" s="1062">
        <f t="shared" si="17"/>
        <v>2353.6589743589743</v>
      </c>
      <c r="F75" s="42"/>
      <c r="G75" s="235">
        <v>2018</v>
      </c>
      <c r="H75" s="65"/>
      <c r="I75" s="65">
        <f t="shared" si="19"/>
        <v>849632.40000000014</v>
      </c>
      <c r="J75" s="229">
        <f t="shared" si="18"/>
        <v>0.68641188959660304</v>
      </c>
      <c r="K75" s="65">
        <f t="shared" si="20"/>
        <v>493629.36153846164</v>
      </c>
      <c r="L75" s="91">
        <f>$L$72-148263</f>
        <v>248717</v>
      </c>
      <c r="M75" s="1602">
        <f t="shared" si="21"/>
        <v>-244912.36153846164</v>
      </c>
      <c r="N75" s="37"/>
      <c r="O75" s="37"/>
      <c r="P75" s="37"/>
      <c r="Q75" s="37"/>
      <c r="R75" s="37"/>
      <c r="S75" s="37"/>
      <c r="T75" s="37"/>
      <c r="U75" s="37"/>
      <c r="V75" s="37"/>
      <c r="W75" s="37"/>
    </row>
    <row r="76" spans="1:23">
      <c r="A76" s="4376">
        <v>2005</v>
      </c>
      <c r="B76" s="93">
        <v>8</v>
      </c>
      <c r="C76" s="65">
        <f t="shared" si="16"/>
        <v>280409.5</v>
      </c>
      <c r="D76" s="93">
        <v>1950</v>
      </c>
      <c r="E76" s="1062">
        <f t="shared" si="17"/>
        <v>2547.2061538461539</v>
      </c>
      <c r="F76" s="42"/>
      <c r="G76" s="235">
        <v>2019</v>
      </c>
      <c r="H76" s="65"/>
      <c r="I76" s="65">
        <f t="shared" si="19"/>
        <v>905083.20000000019</v>
      </c>
      <c r="J76" s="229">
        <f t="shared" si="18"/>
        <v>0.73121019108280272</v>
      </c>
      <c r="K76" s="65">
        <f t="shared" si="20"/>
        <v>525845.81538461556</v>
      </c>
      <c r="L76" s="91">
        <f>$L$72-148263</f>
        <v>248717</v>
      </c>
      <c r="M76" s="1602">
        <f t="shared" si="21"/>
        <v>-277128.81538461556</v>
      </c>
      <c r="N76" s="37"/>
      <c r="O76" s="37"/>
      <c r="P76" s="37"/>
      <c r="Q76" s="37"/>
      <c r="R76" s="37"/>
      <c r="S76" s="37"/>
      <c r="T76" s="37"/>
      <c r="U76" s="37"/>
      <c r="V76" s="37"/>
      <c r="W76" s="37"/>
    </row>
    <row r="77" spans="1:23">
      <c r="A77" s="4376">
        <v>2006</v>
      </c>
      <c r="B77" s="93">
        <v>8</v>
      </c>
      <c r="C77" s="65">
        <f t="shared" si="16"/>
        <v>286914.25</v>
      </c>
      <c r="D77" s="93">
        <v>1950</v>
      </c>
      <c r="E77" s="1062">
        <f t="shared" si="17"/>
        <v>2628.8025641025642</v>
      </c>
      <c r="F77" s="42"/>
      <c r="G77" s="235">
        <v>2020</v>
      </c>
      <c r="H77" s="65"/>
      <c r="I77" s="65">
        <f t="shared" si="19"/>
        <v>960534.00000000023</v>
      </c>
      <c r="J77" s="229">
        <f t="shared" si="18"/>
        <v>0.77600849256900228</v>
      </c>
      <c r="K77" s="65">
        <f t="shared" si="20"/>
        <v>558062.26923076937</v>
      </c>
      <c r="L77" s="91">
        <f>$L$72-148263</f>
        <v>248717</v>
      </c>
      <c r="M77" s="1602">
        <f t="shared" si="21"/>
        <v>-309345.26923076937</v>
      </c>
      <c r="N77" s="37"/>
      <c r="O77" s="37"/>
      <c r="P77" s="37"/>
      <c r="Q77" s="37"/>
      <c r="R77" s="37"/>
      <c r="S77" s="37"/>
      <c r="T77" s="37"/>
      <c r="U77" s="37"/>
      <c r="V77" s="37"/>
      <c r="W77" s="37"/>
    </row>
    <row r="78" spans="1:23">
      <c r="A78" s="4376">
        <v>2007</v>
      </c>
      <c r="B78" s="93">
        <v>7.9</v>
      </c>
      <c r="C78" s="65">
        <f t="shared" si="16"/>
        <v>297484.55696202529</v>
      </c>
      <c r="D78" s="93">
        <v>1940</v>
      </c>
      <c r="E78" s="1062">
        <f t="shared" si="17"/>
        <v>2668.2345360824743</v>
      </c>
      <c r="F78" s="42"/>
      <c r="G78" s="235">
        <v>2021</v>
      </c>
      <c r="H78" s="65"/>
      <c r="I78" s="65">
        <f t="shared" si="19"/>
        <v>1015984.8000000003</v>
      </c>
      <c r="J78" s="229">
        <f t="shared" si="18"/>
        <v>0.82080679405520196</v>
      </c>
      <c r="K78" s="65">
        <f t="shared" si="20"/>
        <v>590278.72307692328</v>
      </c>
      <c r="L78" s="61"/>
      <c r="M78" s="1602">
        <f t="shared" si="21"/>
        <v>-590278.72307692328</v>
      </c>
      <c r="N78" s="37"/>
      <c r="O78" s="37"/>
      <c r="P78" s="37"/>
      <c r="Q78" s="37"/>
      <c r="R78" s="37"/>
      <c r="S78" s="37"/>
      <c r="T78" s="37"/>
      <c r="U78" s="37"/>
      <c r="V78" s="37"/>
      <c r="W78" s="37"/>
    </row>
    <row r="79" spans="1:23">
      <c r="A79" s="4376">
        <v>2008</v>
      </c>
      <c r="B79" s="93">
        <v>7.8</v>
      </c>
      <c r="C79" s="65">
        <f t="shared" si="16"/>
        <v>312070</v>
      </c>
      <c r="D79" s="93">
        <v>1930</v>
      </c>
      <c r="E79" s="1062">
        <f t="shared" si="17"/>
        <v>2670.9569948186527</v>
      </c>
      <c r="F79" s="42"/>
      <c r="G79" s="235">
        <v>2022</v>
      </c>
      <c r="H79" s="65"/>
      <c r="I79" s="65">
        <f t="shared" si="19"/>
        <v>1071435.6000000003</v>
      </c>
      <c r="J79" s="229">
        <f t="shared" si="18"/>
        <v>0.86560509554140153</v>
      </c>
      <c r="K79" s="65">
        <f t="shared" si="20"/>
        <v>622495.17692307709</v>
      </c>
      <c r="L79" s="61"/>
      <c r="M79" s="1602">
        <f t="shared" si="21"/>
        <v>-622495.17692307709</v>
      </c>
      <c r="N79" s="37"/>
      <c r="O79" s="37"/>
      <c r="P79" s="37"/>
      <c r="Q79" s="37"/>
      <c r="R79" s="37"/>
      <c r="S79" s="37"/>
      <c r="T79" s="37"/>
      <c r="U79" s="37"/>
      <c r="V79" s="37"/>
      <c r="W79" s="37"/>
    </row>
    <row r="80" spans="1:23">
      <c r="A80" s="4376">
        <v>2009</v>
      </c>
      <c r="B80" s="93">
        <v>7.7</v>
      </c>
      <c r="C80" s="65">
        <f t="shared" si="16"/>
        <v>329496.10389610392</v>
      </c>
      <c r="D80" s="93">
        <v>1920</v>
      </c>
      <c r="E80" s="1062">
        <f t="shared" si="17"/>
        <v>2670.9562500000002</v>
      </c>
      <c r="F80" s="42"/>
      <c r="G80" s="235">
        <v>2023</v>
      </c>
      <c r="H80" s="65"/>
      <c r="I80" s="65">
        <f t="shared" si="19"/>
        <v>1126886.4000000004</v>
      </c>
      <c r="J80" s="229">
        <f t="shared" si="18"/>
        <v>0.9104033970276012</v>
      </c>
      <c r="K80" s="65">
        <f t="shared" si="20"/>
        <v>654711.63076923101</v>
      </c>
      <c r="L80" s="61"/>
      <c r="M80" s="1602">
        <f t="shared" si="21"/>
        <v>-654711.63076923101</v>
      </c>
      <c r="N80" s="37"/>
      <c r="O80" s="37"/>
      <c r="P80" s="37"/>
      <c r="Q80" s="37"/>
      <c r="R80" s="37"/>
      <c r="S80" s="37"/>
      <c r="T80" s="37"/>
      <c r="U80" s="37"/>
      <c r="V80" s="37"/>
      <c r="W80" s="37"/>
    </row>
    <row r="81" spans="1:23">
      <c r="A81" s="4376">
        <v>2010</v>
      </c>
      <c r="B81" s="93">
        <v>7.7</v>
      </c>
      <c r="C81" s="65">
        <f t="shared" si="16"/>
        <v>333488.31168831169</v>
      </c>
      <c r="D81" s="93">
        <v>1920</v>
      </c>
      <c r="E81" s="1062">
        <f t="shared" si="17"/>
        <v>2672.7630208333335</v>
      </c>
      <c r="F81" s="42"/>
      <c r="G81" s="235">
        <v>2024</v>
      </c>
      <c r="H81" s="65"/>
      <c r="I81" s="65">
        <f t="shared" si="19"/>
        <v>1182337.2000000004</v>
      </c>
      <c r="J81" s="229">
        <f t="shared" si="18"/>
        <v>0.95520169851380077</v>
      </c>
      <c r="K81" s="65">
        <f t="shared" si="20"/>
        <v>686928.08461538493</v>
      </c>
      <c r="L81" s="61"/>
      <c r="M81" s="1602">
        <f t="shared" si="21"/>
        <v>-686928.08461538493</v>
      </c>
      <c r="N81" s="37"/>
      <c r="O81" s="37"/>
      <c r="P81" s="37"/>
      <c r="Q81" s="37"/>
      <c r="R81" s="37"/>
      <c r="S81" s="37"/>
      <c r="T81" s="37"/>
      <c r="U81" s="37"/>
      <c r="V81" s="37"/>
      <c r="W81" s="37"/>
    </row>
    <row r="82" spans="1:23">
      <c r="A82" s="4376">
        <v>2011</v>
      </c>
      <c r="B82" s="93">
        <v>7.7</v>
      </c>
      <c r="C82" s="65">
        <f t="shared" si="16"/>
        <v>327437.79220779223</v>
      </c>
      <c r="D82" s="93">
        <v>1920</v>
      </c>
      <c r="E82" s="1062">
        <f t="shared" si="17"/>
        <v>2653.265625</v>
      </c>
      <c r="F82" s="42"/>
      <c r="G82" s="256"/>
      <c r="H82" s="65"/>
      <c r="I82" s="65">
        <f t="shared" si="19"/>
        <v>1237788.0000000005</v>
      </c>
      <c r="J82" s="229">
        <f t="shared" si="18"/>
        <v>1.0000000000000004</v>
      </c>
      <c r="K82" s="65">
        <f t="shared" si="20"/>
        <v>719144.53846153873</v>
      </c>
      <c r="L82" s="61"/>
      <c r="M82" s="1602">
        <f>L82-K82</f>
        <v>-719144.53846153873</v>
      </c>
      <c r="N82" s="37"/>
      <c r="O82" s="37"/>
      <c r="P82" s="37"/>
      <c r="Q82" s="37"/>
      <c r="R82" s="37"/>
      <c r="S82" s="37"/>
      <c r="T82" s="37"/>
      <c r="U82" s="37"/>
      <c r="V82" s="37"/>
      <c r="W82" s="37"/>
    </row>
    <row r="83" spans="1:23">
      <c r="A83" s="4376">
        <v>2012</v>
      </c>
      <c r="B83" s="93">
        <v>7.7</v>
      </c>
      <c r="C83" s="65">
        <f t="shared" si="16"/>
        <v>317412.4675324675</v>
      </c>
      <c r="D83" s="93">
        <v>1920</v>
      </c>
      <c r="E83" s="1062">
        <f t="shared" si="17"/>
        <v>2774.4135416666668</v>
      </c>
      <c r="F83" s="42"/>
      <c r="H83" s="205"/>
      <c r="I83" s="205"/>
      <c r="J83" s="258"/>
      <c r="K83" s="205"/>
      <c r="L83" s="205"/>
      <c r="M83" s="260"/>
      <c r="N83" s="37"/>
      <c r="O83" s="37"/>
      <c r="P83" s="37"/>
      <c r="Q83" s="37"/>
      <c r="R83" s="37"/>
      <c r="S83" s="37"/>
      <c r="T83" s="37"/>
      <c r="U83" s="37"/>
      <c r="V83" s="37"/>
      <c r="W83" s="37"/>
    </row>
    <row r="84" spans="1:23">
      <c r="A84" s="4376">
        <v>2013</v>
      </c>
      <c r="B84" s="93">
        <v>7.7</v>
      </c>
      <c r="C84" s="65">
        <f t="shared" si="16"/>
        <v>351754.67532467534</v>
      </c>
      <c r="D84" s="93">
        <v>1920</v>
      </c>
      <c r="E84" s="1062">
        <f t="shared" si="17"/>
        <v>2931.4552083333333</v>
      </c>
      <c r="F84" s="42"/>
      <c r="G84" s="61"/>
      <c r="N84" s="37"/>
      <c r="O84" s="37"/>
      <c r="P84" s="37"/>
      <c r="Q84" s="37"/>
      <c r="R84" s="37"/>
      <c r="S84" s="37"/>
      <c r="T84" s="37"/>
      <c r="U84" s="37"/>
      <c r="V84" s="37"/>
      <c r="W84" s="37"/>
    </row>
    <row r="85" spans="1:23">
      <c r="A85" s="4376">
        <v>2014</v>
      </c>
      <c r="B85" s="93">
        <v>7.7</v>
      </c>
      <c r="C85" s="65">
        <f t="shared" si="16"/>
        <v>323074.54545454547</v>
      </c>
      <c r="D85" s="93">
        <v>1920</v>
      </c>
      <c r="E85" s="1062">
        <f t="shared" si="17"/>
        <v>3359.8473958333334</v>
      </c>
      <c r="F85" s="42"/>
      <c r="G85" s="61"/>
      <c r="H85" s="61"/>
      <c r="I85" s="61"/>
      <c r="J85" s="93"/>
      <c r="K85" s="61"/>
      <c r="L85" s="61"/>
      <c r="M85" s="61"/>
      <c r="N85" s="37"/>
      <c r="O85" s="37"/>
      <c r="P85" s="37"/>
      <c r="Q85" s="37"/>
      <c r="R85" s="37"/>
      <c r="S85" s="37"/>
      <c r="T85" s="37"/>
      <c r="U85" s="37"/>
      <c r="V85" s="37"/>
      <c r="W85" s="37"/>
    </row>
    <row r="86" spans="1:23">
      <c r="A86" s="4376">
        <v>2015</v>
      </c>
      <c r="B86" s="93">
        <v>7.7</v>
      </c>
      <c r="C86" s="65">
        <f t="shared" si="16"/>
        <v>368473.63636363635</v>
      </c>
      <c r="D86" s="93">
        <v>1920</v>
      </c>
      <c r="E86" s="1062">
        <f t="shared" si="17"/>
        <v>3381.8395833333334</v>
      </c>
      <c r="F86" s="42"/>
      <c r="G86" s="61"/>
      <c r="H86" s="61"/>
      <c r="I86" s="61"/>
      <c r="J86" s="93"/>
      <c r="K86" s="61"/>
      <c r="L86" s="61"/>
      <c r="M86" s="61"/>
      <c r="N86" s="37"/>
      <c r="O86" s="37"/>
      <c r="P86" s="37"/>
      <c r="Q86" s="37"/>
      <c r="R86" s="37"/>
      <c r="S86" s="37"/>
      <c r="T86" s="37"/>
      <c r="U86" s="37"/>
      <c r="V86" s="37"/>
      <c r="W86" s="37"/>
    </row>
    <row r="87" spans="1:23">
      <c r="A87" s="4376">
        <v>2016</v>
      </c>
      <c r="B87" s="93">
        <v>7</v>
      </c>
      <c r="C87" s="65">
        <f t="shared" si="16"/>
        <v>428900.28571428574</v>
      </c>
      <c r="D87" s="93">
        <v>1920</v>
      </c>
      <c r="E87" s="1062">
        <f t="shared" si="17"/>
        <v>3085.0083333333332</v>
      </c>
      <c r="F87" s="42"/>
      <c r="G87" s="61"/>
      <c r="H87" s="61"/>
      <c r="I87" s="61"/>
      <c r="J87" s="93"/>
      <c r="K87" s="61"/>
      <c r="L87" s="61"/>
      <c r="M87" s="61"/>
      <c r="N87" s="37"/>
      <c r="O87" s="37"/>
      <c r="P87" s="37"/>
      <c r="Q87" s="37"/>
      <c r="R87" s="37"/>
      <c r="S87" s="37"/>
      <c r="T87" s="37"/>
      <c r="U87" s="37"/>
      <c r="V87" s="37"/>
      <c r="W87" s="37"/>
    </row>
    <row r="88" spans="1:23">
      <c r="A88" s="4376">
        <v>2017</v>
      </c>
      <c r="B88" s="93">
        <v>7</v>
      </c>
      <c r="C88" s="65">
        <f t="shared" si="16"/>
        <v>406170.57142857142</v>
      </c>
      <c r="D88" s="93">
        <v>1920</v>
      </c>
      <c r="E88" s="1062">
        <f t="shared" si="17"/>
        <v>3294.7479166666667</v>
      </c>
      <c r="F88" s="42"/>
      <c r="G88" s="61"/>
      <c r="H88" s="61"/>
      <c r="I88" s="61"/>
      <c r="J88" s="93"/>
      <c r="K88" s="61"/>
      <c r="L88" s="61"/>
      <c r="M88" s="61"/>
      <c r="N88" s="37"/>
      <c r="O88" s="37"/>
      <c r="P88" s="37"/>
      <c r="Q88" s="37"/>
      <c r="R88" s="37"/>
      <c r="S88" s="37"/>
      <c r="T88" s="37"/>
      <c r="U88" s="37"/>
      <c r="V88" s="37"/>
      <c r="W88" s="37"/>
    </row>
    <row r="89" spans="1:23">
      <c r="A89" s="4376">
        <v>2018</v>
      </c>
      <c r="B89" s="93">
        <v>7</v>
      </c>
      <c r="C89" s="65">
        <f t="shared" si="16"/>
        <v>412759.71428571426</v>
      </c>
      <c r="D89" s="93">
        <v>1209</v>
      </c>
      <c r="E89" s="1062">
        <f t="shared" si="17"/>
        <v>5370.0992555831263</v>
      </c>
      <c r="F89" s="42"/>
      <c r="G89" s="61"/>
      <c r="H89" s="61"/>
      <c r="I89" s="61"/>
      <c r="J89" s="93"/>
      <c r="K89" s="61"/>
      <c r="L89" s="61"/>
      <c r="M89" s="61"/>
      <c r="N89" s="37"/>
      <c r="O89" s="37"/>
      <c r="P89" s="37"/>
      <c r="Q89" s="37"/>
      <c r="R89" s="37"/>
      <c r="S89" s="37"/>
      <c r="T89" s="37"/>
      <c r="U89" s="37"/>
      <c r="V89" s="37"/>
      <c r="W89" s="37"/>
    </row>
    <row r="90" spans="1:23">
      <c r="A90" s="4376">
        <v>2019</v>
      </c>
      <c r="B90" s="93">
        <v>7</v>
      </c>
      <c r="C90" s="65">
        <f t="shared" si="16"/>
        <v>406739.42857142858</v>
      </c>
      <c r="D90" s="93">
        <v>1209</v>
      </c>
      <c r="E90" s="1062">
        <f t="shared" si="17"/>
        <v>5535.0479735318449</v>
      </c>
      <c r="F90" s="42"/>
      <c r="G90" s="61"/>
      <c r="H90" s="61"/>
      <c r="I90" s="61"/>
      <c r="J90" s="93"/>
      <c r="K90" s="61"/>
      <c r="L90" s="61"/>
      <c r="M90" s="61"/>
      <c r="N90" s="37"/>
      <c r="O90" s="37"/>
      <c r="P90" s="37"/>
      <c r="Q90" s="37"/>
      <c r="R90" s="37"/>
      <c r="S90" s="37"/>
      <c r="T90" s="37"/>
      <c r="U90" s="37"/>
      <c r="V90" s="37"/>
      <c r="W90" s="37"/>
    </row>
    <row r="91" spans="1:23">
      <c r="A91" s="4376">
        <v>2020</v>
      </c>
      <c r="B91" s="93">
        <v>7</v>
      </c>
      <c r="C91" s="65">
        <f t="shared" si="16"/>
        <v>449762.71428571426</v>
      </c>
      <c r="D91" s="93">
        <v>1209</v>
      </c>
      <c r="E91" s="1062">
        <f t="shared" si="17"/>
        <v>5449.3359387923911</v>
      </c>
      <c r="F91" s="42"/>
      <c r="G91" s="61"/>
      <c r="H91" s="61"/>
      <c r="I91" s="61"/>
      <c r="J91" s="93"/>
      <c r="K91" s="61"/>
      <c r="L91" s="61"/>
      <c r="M91" s="61"/>
      <c r="N91" s="37"/>
      <c r="O91" s="37"/>
      <c r="P91" s="37"/>
      <c r="Q91" s="37"/>
      <c r="R91" s="37"/>
      <c r="S91" s="37"/>
      <c r="T91" s="37"/>
      <c r="U91" s="37"/>
      <c r="V91" s="37"/>
      <c r="W91" s="37"/>
    </row>
    <row r="92" spans="1:23">
      <c r="A92" s="4376">
        <v>2021</v>
      </c>
      <c r="B92" s="93">
        <v>7</v>
      </c>
      <c r="C92" s="65">
        <f t="shared" si="16"/>
        <v>437080.85714285716</v>
      </c>
      <c r="D92" s="93">
        <v>1209</v>
      </c>
      <c r="E92" s="1062">
        <f t="shared" si="17"/>
        <v>5491.5889164598839</v>
      </c>
      <c r="F92" s="42"/>
      <c r="G92" s="61"/>
      <c r="H92" s="61"/>
      <c r="I92" s="61"/>
      <c r="J92" s="93"/>
      <c r="K92" s="61"/>
      <c r="L92" s="61"/>
      <c r="M92" s="61"/>
      <c r="N92" s="37"/>
      <c r="O92" s="37"/>
      <c r="P92" s="37"/>
      <c r="Q92" s="37"/>
      <c r="R92" s="37"/>
      <c r="S92" s="37"/>
      <c r="T92" s="37"/>
      <c r="U92" s="37"/>
      <c r="V92" s="37"/>
      <c r="W92" s="37"/>
    </row>
    <row r="93" spans="1:23" ht="15.75" thickBot="1">
      <c r="A93" s="4377">
        <v>2022</v>
      </c>
      <c r="B93" s="3879">
        <v>7</v>
      </c>
      <c r="C93" s="1036">
        <f t="shared" si="16"/>
        <v>471760</v>
      </c>
      <c r="D93" s="3879">
        <v>1209</v>
      </c>
      <c r="E93" s="1066">
        <f t="shared" si="17"/>
        <v>5777.1141439205958</v>
      </c>
      <c r="F93" s="42"/>
      <c r="G93" s="61"/>
      <c r="H93" s="61"/>
      <c r="I93" s="61"/>
      <c r="J93" s="93"/>
      <c r="K93" s="61"/>
      <c r="L93" s="61"/>
      <c r="M93" s="61"/>
      <c r="N93" s="37"/>
      <c r="O93" s="37"/>
      <c r="P93" s="37"/>
      <c r="Q93" s="37"/>
      <c r="R93" s="37"/>
      <c r="S93" s="37"/>
      <c r="T93" s="37"/>
      <c r="U93" s="37"/>
      <c r="V93" s="37"/>
      <c r="W93" s="37"/>
    </row>
    <row r="94" spans="1:23">
      <c r="A94" s="37"/>
      <c r="B94" s="37"/>
      <c r="C94" s="37"/>
      <c r="D94" s="37"/>
      <c r="E94" s="37"/>
      <c r="F94" s="37"/>
      <c r="G94" s="37"/>
      <c r="H94" s="61"/>
      <c r="I94" s="61"/>
      <c r="J94" s="61"/>
      <c r="K94" s="61"/>
      <c r="L94" s="61"/>
      <c r="M94" s="61"/>
      <c r="N94" s="37"/>
      <c r="O94" s="37"/>
      <c r="P94" s="37"/>
      <c r="Q94" s="37"/>
      <c r="R94" s="37"/>
      <c r="S94" s="37"/>
      <c r="T94" s="37"/>
      <c r="U94" s="37"/>
      <c r="V94" s="37"/>
      <c r="W94" s="37"/>
    </row>
    <row r="95" spans="1:23">
      <c r="A95" s="37"/>
      <c r="B95" s="37"/>
      <c r="C95" s="37"/>
      <c r="D95" s="37"/>
      <c r="E95" s="37"/>
      <c r="F95" s="37"/>
      <c r="G95" s="37"/>
      <c r="H95" s="37"/>
      <c r="I95" s="37"/>
      <c r="J95" s="37"/>
      <c r="K95" s="37"/>
      <c r="L95" s="37"/>
      <c r="M95" s="37"/>
      <c r="N95" s="37"/>
      <c r="O95" s="37"/>
      <c r="P95" s="37"/>
      <c r="Q95" s="37"/>
      <c r="R95" s="37"/>
      <c r="S95" s="37"/>
      <c r="T95" s="37"/>
      <c r="U95" s="37"/>
      <c r="V95" s="37"/>
      <c r="W95" s="37"/>
    </row>
    <row r="96" spans="1:23" ht="18.75">
      <c r="A96" s="221" t="s">
        <v>680</v>
      </c>
      <c r="B96" s="42"/>
      <c r="C96" s="42"/>
      <c r="D96" s="42"/>
      <c r="E96" s="42"/>
      <c r="F96" s="42"/>
      <c r="G96" s="42"/>
      <c r="H96" s="37"/>
      <c r="I96" s="37"/>
      <c r="J96" s="37"/>
      <c r="K96" s="37"/>
      <c r="L96" s="37"/>
      <c r="M96" s="37"/>
      <c r="N96" s="37"/>
      <c r="O96" s="37"/>
      <c r="P96" s="42"/>
      <c r="Q96" s="37"/>
      <c r="R96" s="37"/>
      <c r="S96" s="37"/>
      <c r="T96" s="37"/>
      <c r="U96" s="37"/>
      <c r="V96" s="37"/>
      <c r="W96" s="37"/>
    </row>
    <row r="97" spans="1:23" ht="27" customHeight="1">
      <c r="A97" s="37"/>
      <c r="B97" s="37"/>
      <c r="C97" s="37"/>
      <c r="D97" s="37"/>
      <c r="E97" s="37"/>
      <c r="F97" s="37"/>
      <c r="G97" s="37"/>
      <c r="H97" s="42"/>
      <c r="I97" s="42"/>
      <c r="J97" s="42"/>
      <c r="K97" s="42"/>
      <c r="L97" s="42"/>
      <c r="M97" s="42"/>
      <c r="N97" s="42"/>
      <c r="O97" s="42"/>
      <c r="P97" s="37"/>
      <c r="Q97" s="37"/>
      <c r="R97" s="37"/>
      <c r="S97" s="37"/>
      <c r="T97" s="37"/>
      <c r="U97" s="37"/>
      <c r="V97" s="37"/>
      <c r="W97" s="37"/>
    </row>
    <row r="98" spans="1:23">
      <c r="A98" s="275"/>
      <c r="B98" s="264" t="s">
        <v>681</v>
      </c>
      <c r="C98" s="264" t="s">
        <v>682</v>
      </c>
      <c r="D98" s="264" t="s">
        <v>683</v>
      </c>
      <c r="E98" s="264" t="s">
        <v>684</v>
      </c>
      <c r="F98" s="264" t="s">
        <v>685</v>
      </c>
      <c r="G98" s="264" t="s">
        <v>686</v>
      </c>
      <c r="H98" s="37"/>
      <c r="I98" s="37"/>
      <c r="J98" s="37"/>
      <c r="K98" s="37"/>
      <c r="L98" s="37"/>
      <c r="M98" s="37"/>
      <c r="N98" s="37"/>
      <c r="O98" s="37"/>
      <c r="Q98" s="37"/>
      <c r="R98" s="37"/>
      <c r="S98" s="37"/>
      <c r="T98" s="37"/>
      <c r="U98" s="37"/>
      <c r="V98" s="37"/>
      <c r="W98" s="37"/>
    </row>
    <row r="99" spans="1:23" ht="27.75" customHeight="1">
      <c r="A99" s="235">
        <v>2006</v>
      </c>
      <c r="B99" s="65">
        <v>2257563</v>
      </c>
      <c r="C99" s="65">
        <v>11950.23</v>
      </c>
      <c r="D99" s="65"/>
      <c r="E99" s="65"/>
      <c r="F99" s="65"/>
      <c r="G99" s="65"/>
      <c r="H99" s="264" t="s">
        <v>687</v>
      </c>
      <c r="I99" s="264" t="s">
        <v>688</v>
      </c>
      <c r="J99" s="264" t="s">
        <v>689</v>
      </c>
      <c r="K99" s="264" t="s">
        <v>690</v>
      </c>
      <c r="L99" s="264" t="s">
        <v>691</v>
      </c>
      <c r="M99" s="264" t="s">
        <v>692</v>
      </c>
      <c r="N99" s="275" t="s">
        <v>693</v>
      </c>
      <c r="O99" s="278" t="s">
        <v>694</v>
      </c>
      <c r="P99" s="277" t="s">
        <v>695</v>
      </c>
      <c r="Q99" s="37"/>
      <c r="R99" s="37"/>
      <c r="S99" s="37"/>
      <c r="T99" s="37"/>
      <c r="U99" s="37"/>
      <c r="V99" s="37"/>
      <c r="W99" s="37"/>
    </row>
    <row r="100" spans="1:23">
      <c r="A100" s="235">
        <v>2007</v>
      </c>
      <c r="B100" s="65">
        <v>28079</v>
      </c>
      <c r="C100" s="65">
        <v>2364063</v>
      </c>
      <c r="D100" s="65">
        <v>296897</v>
      </c>
      <c r="E100" s="65"/>
      <c r="F100" s="65"/>
      <c r="G100" s="65"/>
      <c r="H100" s="65"/>
      <c r="I100" s="65"/>
      <c r="J100" s="65"/>
      <c r="K100" s="65"/>
      <c r="L100" s="65"/>
      <c r="M100" s="65"/>
      <c r="N100" s="69">
        <v>3.03</v>
      </c>
      <c r="O100" s="69">
        <v>-9276</v>
      </c>
      <c r="P100" s="60">
        <f t="shared" ref="P100:P110" si="22">SUM(B100:M100)</f>
        <v>2689039</v>
      </c>
      <c r="Q100" s="37"/>
      <c r="R100" s="37"/>
      <c r="S100" s="37"/>
      <c r="T100" s="37"/>
      <c r="U100" s="37"/>
      <c r="V100" s="37"/>
      <c r="W100" s="37"/>
    </row>
    <row r="101" spans="1:23">
      <c r="A101" s="235">
        <v>2008</v>
      </c>
      <c r="B101" s="65">
        <v>7227</v>
      </c>
      <c r="C101" s="65">
        <v>17270.330000000002</v>
      </c>
      <c r="D101" s="65">
        <v>2103412</v>
      </c>
      <c r="E101" s="65">
        <v>178419.33</v>
      </c>
      <c r="F101" s="65"/>
      <c r="G101" s="65"/>
      <c r="H101" s="65"/>
      <c r="I101" s="65"/>
      <c r="J101" s="65"/>
      <c r="K101" s="65"/>
      <c r="L101" s="65"/>
      <c r="M101" s="65"/>
      <c r="N101" s="69">
        <v>0.03</v>
      </c>
      <c r="O101" s="69">
        <v>-8192</v>
      </c>
      <c r="P101" s="60">
        <f t="shared" si="22"/>
        <v>2306328.66</v>
      </c>
      <c r="Q101" s="37"/>
      <c r="R101" s="37"/>
      <c r="S101" s="37"/>
      <c r="T101" s="37"/>
      <c r="U101" s="37"/>
      <c r="V101" s="37"/>
      <c r="W101" s="37"/>
    </row>
    <row r="102" spans="1:23">
      <c r="A102" s="235">
        <v>2009</v>
      </c>
      <c r="B102" s="65">
        <v>5676</v>
      </c>
      <c r="C102" s="65">
        <v>4405.8100000000004</v>
      </c>
      <c r="D102" s="65">
        <v>14912</v>
      </c>
      <c r="E102" s="65">
        <v>2253797</v>
      </c>
      <c r="F102" s="65">
        <v>733743</v>
      </c>
      <c r="G102" s="65"/>
      <c r="H102" s="65"/>
      <c r="I102" s="65"/>
      <c r="J102" s="65"/>
      <c r="K102" s="65"/>
      <c r="L102" s="65"/>
      <c r="M102" s="65"/>
      <c r="N102" s="69">
        <v>221.85</v>
      </c>
      <c r="O102" s="69">
        <v>-12898</v>
      </c>
      <c r="P102" s="60">
        <f t="shared" si="22"/>
        <v>3012533.81</v>
      </c>
      <c r="Q102" s="37"/>
      <c r="R102" s="37"/>
      <c r="S102" s="37"/>
      <c r="T102" s="37"/>
      <c r="U102" s="37"/>
      <c r="V102" s="37"/>
      <c r="W102" s="37"/>
    </row>
    <row r="103" spans="1:23">
      <c r="A103" s="235">
        <v>2010</v>
      </c>
      <c r="B103" s="65">
        <v>3761</v>
      </c>
      <c r="C103" s="65">
        <v>900.28</v>
      </c>
      <c r="D103" s="65">
        <v>4490</v>
      </c>
      <c r="E103" s="65">
        <v>16964</v>
      </c>
      <c r="F103" s="65">
        <v>1768837</v>
      </c>
      <c r="G103" s="65">
        <v>921342</v>
      </c>
      <c r="H103" s="65"/>
      <c r="I103" s="65"/>
      <c r="J103" s="65"/>
      <c r="K103" s="65"/>
      <c r="L103" s="65"/>
      <c r="M103" s="65"/>
      <c r="N103" s="69">
        <v>400.56</v>
      </c>
      <c r="O103" s="69">
        <v>-22787</v>
      </c>
      <c r="P103" s="60">
        <f t="shared" si="22"/>
        <v>2716294.2800000003</v>
      </c>
      <c r="Q103" s="37"/>
      <c r="R103" s="37"/>
      <c r="S103" s="37"/>
      <c r="T103" s="37"/>
      <c r="U103" s="37"/>
      <c r="V103" s="37"/>
      <c r="W103" s="37"/>
    </row>
    <row r="104" spans="1:23">
      <c r="A104" s="235">
        <v>2011</v>
      </c>
      <c r="B104" s="65">
        <v>4288</v>
      </c>
      <c r="C104" s="65">
        <v>1026.48</v>
      </c>
      <c r="D104" s="65">
        <v>980</v>
      </c>
      <c r="E104" s="65">
        <v>3730</v>
      </c>
      <c r="F104" s="65">
        <v>17686</v>
      </c>
      <c r="G104" s="65">
        <v>1518603</v>
      </c>
      <c r="H104" s="65"/>
      <c r="I104" s="65"/>
      <c r="J104" s="65"/>
      <c r="K104" s="65"/>
      <c r="L104" s="65"/>
      <c r="M104" s="65"/>
      <c r="N104" s="69">
        <v>859.69</v>
      </c>
      <c r="O104" s="69">
        <v>-25013</v>
      </c>
      <c r="P104" s="60">
        <f t="shared" si="22"/>
        <v>1546313.48</v>
      </c>
      <c r="Q104" s="37"/>
      <c r="R104" s="37"/>
      <c r="S104" s="37"/>
      <c r="T104" s="37"/>
      <c r="U104" s="37"/>
      <c r="V104" s="37"/>
      <c r="W104" s="37"/>
    </row>
    <row r="105" spans="1:23">
      <c r="A105" s="235">
        <v>2012</v>
      </c>
      <c r="B105" s="65">
        <v>2427</v>
      </c>
      <c r="C105" s="65">
        <v>580</v>
      </c>
      <c r="D105" s="65">
        <v>554</v>
      </c>
      <c r="E105" s="65">
        <v>2410</v>
      </c>
      <c r="F105" s="65">
        <v>1707</v>
      </c>
      <c r="G105" s="65">
        <v>10382</v>
      </c>
      <c r="H105" s="65">
        <v>1240325</v>
      </c>
      <c r="I105" s="65"/>
      <c r="J105" s="65"/>
      <c r="K105" s="65"/>
      <c r="L105" s="65"/>
      <c r="M105" s="65"/>
      <c r="N105" s="69">
        <v>2.1800000000000002</v>
      </c>
      <c r="O105" s="69">
        <v>-7819</v>
      </c>
      <c r="P105" s="60">
        <f t="shared" si="22"/>
        <v>1258385</v>
      </c>
      <c r="Q105" s="37"/>
      <c r="R105" s="37"/>
      <c r="S105" s="37"/>
      <c r="T105" s="37"/>
      <c r="U105" s="37"/>
      <c r="V105" s="37"/>
      <c r="W105" s="37"/>
    </row>
    <row r="106" spans="1:23">
      <c r="A106" s="235">
        <v>2013</v>
      </c>
      <c r="B106" s="65">
        <v>1348</v>
      </c>
      <c r="C106" s="65">
        <v>322</v>
      </c>
      <c r="D106" s="65">
        <v>308</v>
      </c>
      <c r="E106" s="65">
        <v>1339</v>
      </c>
      <c r="F106" s="65">
        <v>442</v>
      </c>
      <c r="G106" s="65">
        <v>2967</v>
      </c>
      <c r="H106" s="65">
        <v>1286063</v>
      </c>
      <c r="I106" s="65">
        <v>1156765.33</v>
      </c>
      <c r="J106" s="65"/>
      <c r="K106" s="65"/>
      <c r="L106" s="65"/>
      <c r="M106" s="65"/>
      <c r="N106" s="69">
        <v>3459.96</v>
      </c>
      <c r="O106" s="69">
        <v>-12734.44</v>
      </c>
      <c r="P106" s="60">
        <f t="shared" si="22"/>
        <v>2449554.33</v>
      </c>
      <c r="Q106" s="37"/>
      <c r="R106" s="37"/>
      <c r="S106" s="37"/>
      <c r="T106" s="37"/>
      <c r="U106" s="37"/>
      <c r="V106" s="37"/>
      <c r="W106" s="37"/>
    </row>
    <row r="107" spans="1:23">
      <c r="A107" s="235">
        <v>2014</v>
      </c>
      <c r="B107" s="65">
        <v>1436</v>
      </c>
      <c r="C107" s="65">
        <v>343</v>
      </c>
      <c r="D107" s="65">
        <v>328</v>
      </c>
      <c r="E107" s="65">
        <v>1426</v>
      </c>
      <c r="F107" s="65">
        <v>470</v>
      </c>
      <c r="G107" s="65">
        <v>1546</v>
      </c>
      <c r="H107" s="65">
        <v>11668</v>
      </c>
      <c r="I107" s="65">
        <v>1460106</v>
      </c>
      <c r="J107" s="65">
        <v>1109424</v>
      </c>
      <c r="K107" s="65"/>
      <c r="L107" s="65"/>
      <c r="M107" s="65"/>
      <c r="N107" s="69">
        <v>0</v>
      </c>
      <c r="O107" s="69">
        <v>-11309.61</v>
      </c>
      <c r="P107" s="60">
        <f t="shared" si="22"/>
        <v>2586747</v>
      </c>
      <c r="Q107" s="37"/>
      <c r="R107" s="37"/>
      <c r="S107" s="37"/>
      <c r="T107" s="37"/>
      <c r="U107" s="37"/>
      <c r="V107" s="37"/>
      <c r="W107" s="37"/>
    </row>
    <row r="108" spans="1:23">
      <c r="A108" s="235">
        <v>2015</v>
      </c>
      <c r="B108" s="65">
        <v>1317</v>
      </c>
      <c r="C108" s="65">
        <v>315</v>
      </c>
      <c r="D108" s="65">
        <v>301</v>
      </c>
      <c r="E108" s="65">
        <v>1308</v>
      </c>
      <c r="F108" s="65">
        <v>431</v>
      </c>
      <c r="G108" s="65">
        <v>1418</v>
      </c>
      <c r="H108" s="65">
        <v>7244</v>
      </c>
      <c r="I108" s="65">
        <v>10246</v>
      </c>
      <c r="J108" s="65">
        <v>1660803</v>
      </c>
      <c r="K108" s="65">
        <v>927405.34</v>
      </c>
      <c r="L108" s="65"/>
      <c r="M108" s="65"/>
      <c r="N108" s="69">
        <v>0</v>
      </c>
      <c r="O108" s="69">
        <v>-15946.99</v>
      </c>
      <c r="P108" s="60">
        <f t="shared" si="22"/>
        <v>2610788.34</v>
      </c>
      <c r="Q108" s="37"/>
      <c r="R108" s="37"/>
      <c r="S108" s="37"/>
      <c r="T108" s="37"/>
      <c r="U108" s="37"/>
      <c r="V108" s="37"/>
      <c r="W108" s="37"/>
    </row>
    <row r="109" spans="1:23">
      <c r="A109" s="237">
        <v>2016</v>
      </c>
      <c r="B109" s="65">
        <v>617</v>
      </c>
      <c r="C109" s="65">
        <v>147</v>
      </c>
      <c r="D109" s="65">
        <v>141</v>
      </c>
      <c r="E109" s="65">
        <v>612</v>
      </c>
      <c r="F109" s="65">
        <v>202</v>
      </c>
      <c r="G109" s="65">
        <v>664</v>
      </c>
      <c r="H109" s="65">
        <v>430</v>
      </c>
      <c r="I109" s="65">
        <v>3626</v>
      </c>
      <c r="J109" s="65">
        <v>10211</v>
      </c>
      <c r="K109" s="65">
        <v>2016995.8</v>
      </c>
      <c r="L109" s="65">
        <v>796266</v>
      </c>
      <c r="M109" s="65"/>
      <c r="N109" s="69">
        <v>0</v>
      </c>
      <c r="O109" s="69">
        <v>-8927.3700000000008</v>
      </c>
      <c r="P109" s="60">
        <f t="shared" si="22"/>
        <v>2829911.8</v>
      </c>
      <c r="Q109" s="37"/>
      <c r="R109" s="37"/>
      <c r="S109" s="37"/>
      <c r="T109" s="37"/>
      <c r="U109" s="37"/>
      <c r="V109" s="37"/>
      <c r="W109" s="37"/>
    </row>
    <row r="110" spans="1:23">
      <c r="A110" s="4854" t="s">
        <v>696</v>
      </c>
      <c r="B110" s="4855"/>
      <c r="C110" s="279">
        <f>SUM(C99:C109)</f>
        <v>2401323.13</v>
      </c>
      <c r="D110" s="279">
        <v>2422323</v>
      </c>
      <c r="E110" s="279">
        <v>2460005.33</v>
      </c>
      <c r="F110" s="279">
        <v>2523518</v>
      </c>
      <c r="G110" s="279">
        <v>2456922</v>
      </c>
      <c r="H110" s="65">
        <v>201</v>
      </c>
      <c r="I110" s="65">
        <v>1698</v>
      </c>
      <c r="J110" s="65">
        <v>4783</v>
      </c>
      <c r="K110" s="65">
        <v>10765</v>
      </c>
      <c r="L110" s="65">
        <v>2215416</v>
      </c>
      <c r="M110" s="65">
        <v>872872.82</v>
      </c>
      <c r="N110" s="276">
        <v>0</v>
      </c>
      <c r="O110" s="276">
        <v>-13330</v>
      </c>
      <c r="P110" s="60">
        <f t="shared" si="22"/>
        <v>15369827.280000001</v>
      </c>
      <c r="Q110" s="37"/>
      <c r="R110" s="37"/>
      <c r="S110" s="37"/>
      <c r="T110" s="37"/>
      <c r="U110" s="37"/>
      <c r="V110" s="37"/>
      <c r="W110" s="37"/>
    </row>
    <row r="111" spans="1:23">
      <c r="A111" s="4847" t="s">
        <v>697</v>
      </c>
      <c r="B111" s="4848"/>
      <c r="C111" s="272"/>
      <c r="D111" s="274">
        <f>(D110-C110)/C110</f>
        <v>8.7451246096980351E-3</v>
      </c>
      <c r="E111" s="274">
        <f t="shared" ref="E111:L112" si="23">(E110-D110)/D110</f>
        <v>1.5556278002562034E-2</v>
      </c>
      <c r="F111" s="274">
        <f t="shared" si="23"/>
        <v>2.581810259736304E-2</v>
      </c>
      <c r="G111" s="274">
        <f t="shared" si="23"/>
        <v>-2.6390142650062332E-2</v>
      </c>
      <c r="H111" s="279">
        <v>2545931</v>
      </c>
      <c r="I111" s="279">
        <v>2632441.33</v>
      </c>
      <c r="J111" s="279">
        <v>2785221</v>
      </c>
      <c r="K111" s="279">
        <v>2955166.14</v>
      </c>
      <c r="L111" s="279">
        <v>3011682</v>
      </c>
      <c r="M111" s="279">
        <v>872872.82</v>
      </c>
      <c r="N111" s="279">
        <v>0</v>
      </c>
      <c r="O111" s="279"/>
      <c r="P111" s="280"/>
      <c r="Q111" s="37"/>
      <c r="R111" s="37"/>
      <c r="S111" s="37"/>
      <c r="T111" s="37"/>
      <c r="U111" s="37"/>
      <c r="V111" s="37"/>
      <c r="W111" s="37"/>
    </row>
    <row r="112" spans="1:23">
      <c r="A112" s="4847" t="s">
        <v>698</v>
      </c>
      <c r="B112" s="4848"/>
      <c r="C112" s="272">
        <v>8</v>
      </c>
      <c r="D112" s="272">
        <v>7.9</v>
      </c>
      <c r="E112" s="272">
        <v>7.9</v>
      </c>
      <c r="F112" s="272">
        <v>7.7</v>
      </c>
      <c r="G112" s="272">
        <v>7.7</v>
      </c>
      <c r="H112" s="274">
        <f>(H111-G110)/G110</f>
        <v>3.622784931715374E-2</v>
      </c>
      <c r="I112" s="274">
        <f t="shared" si="23"/>
        <v>3.3979840773375271E-2</v>
      </c>
      <c r="J112" s="274">
        <f t="shared" si="23"/>
        <v>5.803725547797866E-2</v>
      </c>
      <c r="K112" s="274">
        <f t="shared" si="23"/>
        <v>6.1016752351070215E-2</v>
      </c>
      <c r="L112" s="274">
        <f t="shared" si="23"/>
        <v>1.9124427298696602E-2</v>
      </c>
      <c r="M112" s="274"/>
      <c r="N112" s="272"/>
      <c r="O112" s="272"/>
      <c r="P112" s="273"/>
      <c r="Q112" s="42"/>
      <c r="R112" s="42"/>
      <c r="S112" s="37"/>
      <c r="T112" s="37"/>
      <c r="U112" s="37"/>
      <c r="V112" s="37"/>
      <c r="W112" s="37"/>
    </row>
    <row r="113" spans="1:55">
      <c r="A113" s="37"/>
      <c r="B113" s="37"/>
      <c r="C113" s="37"/>
      <c r="D113" s="37"/>
      <c r="E113" s="37"/>
      <c r="F113" s="37"/>
      <c r="G113" s="37"/>
      <c r="H113" s="272">
        <v>7.7</v>
      </c>
      <c r="I113" s="272">
        <v>7.7</v>
      </c>
      <c r="J113" s="272">
        <v>7.7</v>
      </c>
      <c r="K113" s="272">
        <v>7.7</v>
      </c>
      <c r="L113" s="272">
        <v>7</v>
      </c>
      <c r="M113" s="272">
        <v>7</v>
      </c>
      <c r="N113" s="272"/>
      <c r="O113" s="272"/>
      <c r="P113" s="3903"/>
      <c r="Q113" s="37"/>
      <c r="R113" s="37"/>
      <c r="S113" s="37"/>
      <c r="T113" s="37"/>
      <c r="U113" s="37"/>
      <c r="V113" s="37"/>
      <c r="W113" s="37"/>
    </row>
    <row r="114" spans="1:55">
      <c r="A114" s="37"/>
      <c r="B114" s="37"/>
      <c r="C114" s="37"/>
      <c r="D114" s="37"/>
      <c r="E114" s="37"/>
      <c r="F114" s="37"/>
      <c r="G114" s="37"/>
      <c r="H114" s="37"/>
      <c r="I114" s="37"/>
      <c r="J114" s="37"/>
      <c r="K114" s="37"/>
      <c r="L114" s="37"/>
      <c r="M114" s="37"/>
      <c r="N114" s="37"/>
      <c r="O114" s="37"/>
      <c r="P114" s="37"/>
      <c r="Q114" s="37"/>
      <c r="R114" s="37"/>
      <c r="S114" s="37"/>
      <c r="T114" s="37"/>
      <c r="U114" s="37"/>
      <c r="V114" s="37"/>
      <c r="W114" s="37"/>
    </row>
    <row r="115" spans="1:55">
      <c r="A115" s="42"/>
      <c r="B115" s="42"/>
      <c r="C115" s="42"/>
      <c r="D115" s="42"/>
      <c r="E115" s="42"/>
      <c r="F115" s="42"/>
      <c r="G115" s="42"/>
      <c r="H115" s="37"/>
      <c r="I115" s="37"/>
      <c r="J115" s="37"/>
      <c r="K115" s="37"/>
      <c r="L115" s="37"/>
      <c r="M115" s="37"/>
      <c r="N115" s="37"/>
      <c r="O115" s="37"/>
      <c r="P115" s="42"/>
      <c r="Q115" s="42"/>
      <c r="R115" s="42"/>
      <c r="S115" s="37"/>
      <c r="T115" s="37"/>
      <c r="U115" s="37"/>
      <c r="V115" s="37"/>
      <c r="W115" s="37"/>
    </row>
    <row r="116" spans="1:55" ht="93.75">
      <c r="A116" s="2882"/>
      <c r="B116" s="1475"/>
      <c r="C116" s="293" t="s">
        <v>699</v>
      </c>
      <c r="D116" s="294" t="s">
        <v>700</v>
      </c>
      <c r="E116" s="296" t="s">
        <v>701</v>
      </c>
      <c r="F116" s="294" t="s">
        <v>702</v>
      </c>
      <c r="G116" s="297" t="s">
        <v>703</v>
      </c>
      <c r="H116" s="42"/>
      <c r="I116" s="42"/>
      <c r="J116" s="42"/>
      <c r="K116" s="42"/>
      <c r="L116" s="42"/>
      <c r="M116" s="42"/>
      <c r="N116" s="42"/>
      <c r="O116" s="61"/>
      <c r="R116" s="3904"/>
      <c r="S116" s="88"/>
      <c r="T116" s="88"/>
      <c r="U116" s="37"/>
      <c r="V116" s="37"/>
      <c r="W116" s="37"/>
    </row>
    <row r="117" spans="1:55" ht="92.25">
      <c r="A117" s="283">
        <v>2022</v>
      </c>
      <c r="B117" s="3905" t="s">
        <v>713</v>
      </c>
      <c r="C117" s="281"/>
      <c r="D117" s="281"/>
      <c r="E117" s="284">
        <f t="shared" ref="E117:E129" si="24">SUM(C117:D117)</f>
        <v>0</v>
      </c>
      <c r="F117" s="281"/>
      <c r="G117" s="285">
        <f t="shared" ref="G117:G129" si="25">SUM(E117:F117)</f>
        <v>0</v>
      </c>
      <c r="H117" s="294" t="s">
        <v>704</v>
      </c>
      <c r="I117" s="297" t="s">
        <v>705</v>
      </c>
      <c r="J117" s="2883"/>
      <c r="K117" s="300" t="s">
        <v>706</v>
      </c>
      <c r="L117" s="294" t="s">
        <v>707</v>
      </c>
      <c r="M117" s="295" t="s">
        <v>708</v>
      </c>
      <c r="N117" s="2884"/>
      <c r="O117" s="1474" t="s">
        <v>709</v>
      </c>
      <c r="P117" s="1475" t="s">
        <v>710</v>
      </c>
      <c r="Q117" s="1476" t="s">
        <v>711</v>
      </c>
      <c r="R117" s="2885" t="s">
        <v>712</v>
      </c>
      <c r="S117" s="88"/>
      <c r="T117" s="37"/>
      <c r="U117" s="37"/>
      <c r="V117" s="37"/>
      <c r="W117" s="37"/>
    </row>
    <row r="118" spans="1:55" s="624" customFormat="1" ht="15" customHeight="1">
      <c r="A118" s="235"/>
      <c r="B118" s="204" t="s">
        <v>714</v>
      </c>
      <c r="C118" s="65"/>
      <c r="D118" s="65"/>
      <c r="E118" s="285">
        <f t="shared" si="24"/>
        <v>0</v>
      </c>
      <c r="F118" s="65"/>
      <c r="G118" s="285">
        <f t="shared" si="25"/>
        <v>0</v>
      </c>
      <c r="H118" s="281"/>
      <c r="I118" s="284">
        <f t="shared" ref="I118:I149" si="26">G117+H118</f>
        <v>0</v>
      </c>
      <c r="J118" s="65"/>
      <c r="K118" s="291"/>
      <c r="L118" s="281"/>
      <c r="M118" s="298"/>
      <c r="N118" s="65"/>
      <c r="O118" s="3754"/>
      <c r="P118" s="59"/>
      <c r="Q118" s="77"/>
      <c r="R118" s="289">
        <f t="shared" ref="R118:R154" si="27">O118-P118-Q118</f>
        <v>0</v>
      </c>
      <c r="S118" s="88"/>
      <c r="T118" s="37"/>
      <c r="U118" s="37"/>
      <c r="V118" s="37"/>
      <c r="W118" s="37"/>
      <c r="X118" s="34"/>
      <c r="Y118" s="34"/>
      <c r="Z118" s="34"/>
      <c r="AA118" s="34"/>
      <c r="AB118" s="34"/>
      <c r="AC118" s="34"/>
      <c r="AD118" s="34"/>
      <c r="AE118" s="34"/>
      <c r="AF118" s="34"/>
      <c r="AG118" s="34"/>
      <c r="AH118" s="34"/>
      <c r="AI118" s="34"/>
      <c r="AJ118" s="34"/>
      <c r="AK118" s="34"/>
      <c r="AL118" s="34"/>
      <c r="AM118" s="34"/>
      <c r="AN118" s="34"/>
      <c r="AO118" s="34"/>
      <c r="AP118" s="34"/>
      <c r="AQ118" s="34"/>
      <c r="AR118" s="34"/>
      <c r="AS118" s="34"/>
      <c r="AT118" s="34"/>
      <c r="AU118" s="34"/>
      <c r="AV118" s="34"/>
      <c r="AW118" s="34"/>
      <c r="AX118" s="34"/>
      <c r="AY118" s="34"/>
      <c r="AZ118" s="34"/>
      <c r="BA118" s="34"/>
      <c r="BB118" s="34"/>
      <c r="BC118" s="34"/>
    </row>
    <row r="119" spans="1:55" s="624" customFormat="1">
      <c r="A119" s="235"/>
      <c r="B119" s="204" t="s">
        <v>715</v>
      </c>
      <c r="C119" s="65"/>
      <c r="D119" s="65"/>
      <c r="E119" s="285">
        <f t="shared" si="24"/>
        <v>0</v>
      </c>
      <c r="F119" s="65"/>
      <c r="G119" s="285">
        <f t="shared" si="25"/>
        <v>0</v>
      </c>
      <c r="H119" s="65"/>
      <c r="I119" s="285">
        <f t="shared" si="26"/>
        <v>0</v>
      </c>
      <c r="J119" s="65"/>
      <c r="K119" s="259"/>
      <c r="L119" s="65"/>
      <c r="M119" s="60"/>
      <c r="N119" s="65"/>
      <c r="O119" s="3754"/>
      <c r="P119" s="59"/>
      <c r="Q119" s="77"/>
      <c r="R119" s="289">
        <f t="shared" si="27"/>
        <v>0</v>
      </c>
      <c r="S119" s="88"/>
      <c r="T119" s="37"/>
      <c r="U119" s="37"/>
      <c r="V119" s="37"/>
      <c r="W119" s="37"/>
      <c r="X119" s="34"/>
      <c r="Y119" s="34"/>
      <c r="Z119" s="34"/>
      <c r="AA119" s="34"/>
      <c r="AB119" s="34"/>
      <c r="AC119" s="34"/>
      <c r="AD119" s="34"/>
      <c r="AE119" s="34"/>
      <c r="AF119" s="34"/>
      <c r="AG119" s="34"/>
      <c r="AH119" s="34"/>
      <c r="AI119" s="34"/>
      <c r="AJ119" s="34"/>
      <c r="AK119" s="34"/>
      <c r="AL119" s="34"/>
      <c r="AM119" s="34"/>
      <c r="AN119" s="34"/>
      <c r="AO119" s="34"/>
      <c r="AP119" s="34"/>
      <c r="AQ119" s="34"/>
      <c r="AR119" s="34"/>
      <c r="AS119" s="34"/>
      <c r="AT119" s="34"/>
      <c r="AU119" s="34"/>
      <c r="AV119" s="34"/>
      <c r="AW119" s="34"/>
      <c r="AX119" s="34"/>
      <c r="AY119" s="34"/>
      <c r="AZ119" s="34"/>
      <c r="BA119" s="34"/>
      <c r="BB119" s="34"/>
      <c r="BC119" s="34"/>
    </row>
    <row r="120" spans="1:55" s="624" customFormat="1">
      <c r="A120" s="235"/>
      <c r="B120" s="204" t="s">
        <v>716</v>
      </c>
      <c r="C120" s="65"/>
      <c r="D120" s="65"/>
      <c r="E120" s="285">
        <f t="shared" si="24"/>
        <v>0</v>
      </c>
      <c r="F120" s="65"/>
      <c r="G120" s="285">
        <f t="shared" si="25"/>
        <v>0</v>
      </c>
      <c r="H120" s="65"/>
      <c r="I120" s="285">
        <f t="shared" si="26"/>
        <v>0</v>
      </c>
      <c r="J120" s="65"/>
      <c r="K120" s="259"/>
      <c r="L120" s="65"/>
      <c r="M120" s="60"/>
      <c r="N120" s="65"/>
      <c r="O120" s="3754"/>
      <c r="P120" s="59"/>
      <c r="Q120" s="77"/>
      <c r="R120" s="289">
        <f t="shared" si="27"/>
        <v>0</v>
      </c>
      <c r="S120" s="88"/>
      <c r="T120" s="37"/>
      <c r="U120" s="37"/>
      <c r="V120" s="37"/>
      <c r="W120" s="37"/>
      <c r="X120" s="34"/>
      <c r="Y120" s="34"/>
      <c r="Z120" s="34"/>
      <c r="AA120" s="34"/>
      <c r="AB120" s="34"/>
      <c r="AC120" s="34"/>
      <c r="AD120" s="34"/>
      <c r="AE120" s="34"/>
      <c r="AF120" s="34"/>
      <c r="AG120" s="34"/>
      <c r="AH120" s="34"/>
      <c r="AI120" s="34"/>
      <c r="AJ120" s="34"/>
      <c r="AK120" s="34"/>
      <c r="AL120" s="34"/>
      <c r="AM120" s="34"/>
      <c r="AN120" s="34"/>
      <c r="AO120" s="34"/>
      <c r="AP120" s="34"/>
      <c r="AQ120" s="34"/>
      <c r="AR120" s="34"/>
      <c r="AS120" s="34"/>
      <c r="AT120" s="34"/>
      <c r="AU120" s="34"/>
      <c r="AV120" s="34"/>
      <c r="AW120" s="34"/>
      <c r="AX120" s="34"/>
      <c r="AY120" s="34"/>
      <c r="AZ120" s="34"/>
      <c r="BA120" s="34"/>
      <c r="BB120" s="34"/>
      <c r="BC120" s="34"/>
    </row>
    <row r="121" spans="1:55" s="624" customFormat="1">
      <c r="A121" s="235"/>
      <c r="B121" s="204" t="s">
        <v>717</v>
      </c>
      <c r="C121" s="65">
        <v>13253.54</v>
      </c>
      <c r="D121" s="65">
        <v>20061.830000000002</v>
      </c>
      <c r="E121" s="285">
        <f t="shared" si="24"/>
        <v>33315.370000000003</v>
      </c>
      <c r="F121" s="65">
        <v>8705.4699999999993</v>
      </c>
      <c r="G121" s="285">
        <f t="shared" si="25"/>
        <v>42020.840000000004</v>
      </c>
      <c r="H121" s="65"/>
      <c r="I121" s="285">
        <f t="shared" si="26"/>
        <v>0</v>
      </c>
      <c r="J121" s="65"/>
      <c r="K121" s="1604"/>
      <c r="L121" s="65"/>
      <c r="M121" s="1603"/>
      <c r="N121" s="65"/>
      <c r="O121" s="3754"/>
      <c r="P121" s="59"/>
      <c r="Q121" s="77"/>
      <c r="R121" s="289">
        <f t="shared" si="27"/>
        <v>0</v>
      </c>
      <c r="S121" s="88"/>
      <c r="T121" s="37"/>
      <c r="U121" s="37"/>
      <c r="V121" s="37"/>
      <c r="W121" s="37"/>
      <c r="X121" s="34"/>
      <c r="Y121" s="34"/>
      <c r="Z121" s="34"/>
      <c r="AA121" s="34"/>
      <c r="AB121" s="34"/>
      <c r="AC121" s="34"/>
      <c r="AD121" s="34"/>
      <c r="AE121" s="34"/>
      <c r="AF121" s="34"/>
      <c r="AG121" s="34"/>
      <c r="AH121" s="34"/>
      <c r="AI121" s="34"/>
      <c r="AJ121" s="34"/>
      <c r="AK121" s="34"/>
      <c r="AL121" s="34"/>
      <c r="AM121" s="34"/>
      <c r="AN121" s="34"/>
      <c r="AO121" s="34"/>
      <c r="AP121" s="34"/>
      <c r="AQ121" s="34"/>
      <c r="AR121" s="34"/>
      <c r="AS121" s="34"/>
      <c r="AT121" s="34"/>
      <c r="AU121" s="34"/>
      <c r="AV121" s="34"/>
      <c r="AW121" s="34"/>
      <c r="AX121" s="34"/>
      <c r="AY121" s="34"/>
      <c r="AZ121" s="34"/>
      <c r="BA121" s="34"/>
      <c r="BB121" s="34"/>
      <c r="BC121" s="34"/>
    </row>
    <row r="122" spans="1:55" s="624" customFormat="1">
      <c r="A122" s="235"/>
      <c r="B122" s="204" t="s">
        <v>718</v>
      </c>
      <c r="C122" s="65">
        <v>13253.54</v>
      </c>
      <c r="D122" s="65">
        <v>20061.830000000002</v>
      </c>
      <c r="E122" s="285">
        <f t="shared" si="24"/>
        <v>33315.370000000003</v>
      </c>
      <c r="F122" s="65">
        <v>8705.4699999999993</v>
      </c>
      <c r="G122" s="285">
        <f t="shared" si="25"/>
        <v>42020.840000000004</v>
      </c>
      <c r="H122" s="65">
        <v>-17482.64</v>
      </c>
      <c r="I122" s="285">
        <f t="shared" si="26"/>
        <v>24538.200000000004</v>
      </c>
      <c r="J122" s="65"/>
      <c r="K122" s="259">
        <v>0</v>
      </c>
      <c r="L122" s="65">
        <v>0</v>
      </c>
      <c r="M122" s="60">
        <v>0</v>
      </c>
      <c r="N122" s="65"/>
      <c r="O122" s="3754">
        <v>1703.2</v>
      </c>
      <c r="P122" s="59">
        <v>244.29</v>
      </c>
      <c r="Q122" s="77">
        <v>14.59</v>
      </c>
      <c r="R122" s="289">
        <f t="shared" si="27"/>
        <v>1444.3200000000002</v>
      </c>
      <c r="S122" s="88"/>
      <c r="T122" s="37"/>
      <c r="U122" s="37"/>
      <c r="V122" s="37"/>
      <c r="W122" s="37"/>
      <c r="X122" s="34"/>
      <c r="Y122" s="34"/>
      <c r="Z122" s="34"/>
      <c r="AA122" s="34"/>
      <c r="AB122" s="34"/>
      <c r="AC122" s="34"/>
      <c r="AD122" s="34"/>
      <c r="AE122" s="34"/>
      <c r="AF122" s="34"/>
      <c r="AG122" s="34"/>
      <c r="AH122" s="34"/>
      <c r="AI122" s="34"/>
      <c r="AJ122" s="34"/>
      <c r="AK122" s="34"/>
      <c r="AL122" s="34"/>
      <c r="AM122" s="34"/>
      <c r="AN122" s="34"/>
      <c r="AO122" s="34"/>
      <c r="AP122" s="34"/>
      <c r="AQ122" s="34"/>
      <c r="AR122" s="34"/>
      <c r="AS122" s="34"/>
      <c r="AT122" s="34"/>
      <c r="AU122" s="34"/>
      <c r="AV122" s="34"/>
      <c r="AW122" s="34"/>
      <c r="AX122" s="34"/>
      <c r="AY122" s="34"/>
      <c r="AZ122" s="34"/>
      <c r="BA122" s="34"/>
      <c r="BB122" s="34"/>
      <c r="BC122" s="34"/>
    </row>
    <row r="123" spans="1:55" s="624" customFormat="1">
      <c r="A123" s="235"/>
      <c r="B123" s="204" t="s">
        <v>719</v>
      </c>
      <c r="C123" s="65">
        <v>13253.54</v>
      </c>
      <c r="D123" s="65">
        <v>20061.830000000002</v>
      </c>
      <c r="E123" s="285">
        <f t="shared" si="24"/>
        <v>33315.370000000003</v>
      </c>
      <c r="F123" s="65">
        <v>8630.32</v>
      </c>
      <c r="G123" s="285">
        <f t="shared" si="25"/>
        <v>41945.69</v>
      </c>
      <c r="H123" s="65">
        <v>-15779.44</v>
      </c>
      <c r="I123" s="285">
        <f t="shared" si="26"/>
        <v>26241.4</v>
      </c>
      <c r="J123" s="65"/>
      <c r="K123" s="259">
        <v>0</v>
      </c>
      <c r="L123" s="65">
        <v>0</v>
      </c>
      <c r="M123" s="60">
        <v>75.150000000000006</v>
      </c>
      <c r="N123" s="65"/>
      <c r="O123" s="3754">
        <v>1620.5</v>
      </c>
      <c r="P123" s="59">
        <v>597.53</v>
      </c>
      <c r="Q123" s="77">
        <v>10.23</v>
      </c>
      <c r="R123" s="289">
        <f t="shared" si="27"/>
        <v>1012.74</v>
      </c>
      <c r="S123" s="88"/>
      <c r="T123" s="37"/>
      <c r="U123" s="37"/>
      <c r="V123" s="37"/>
      <c r="W123" s="37"/>
      <c r="X123" s="34"/>
      <c r="Y123" s="34"/>
      <c r="Z123" s="34"/>
      <c r="AA123" s="34"/>
      <c r="AB123" s="34"/>
      <c r="AC123" s="34"/>
      <c r="AD123" s="34"/>
      <c r="AE123" s="34"/>
      <c r="AF123" s="34"/>
      <c r="AG123" s="34"/>
      <c r="AH123" s="34"/>
      <c r="AI123" s="34"/>
      <c r="AJ123" s="34"/>
      <c r="AK123" s="34"/>
      <c r="AL123" s="34"/>
      <c r="AM123" s="34"/>
      <c r="AN123" s="34"/>
      <c r="AO123" s="34"/>
      <c r="AP123" s="34"/>
      <c r="AQ123" s="34"/>
      <c r="AR123" s="34"/>
      <c r="AS123" s="34"/>
      <c r="AT123" s="34"/>
      <c r="AU123" s="34"/>
      <c r="AV123" s="34"/>
      <c r="AW123" s="34"/>
      <c r="AX123" s="34"/>
      <c r="AY123" s="34"/>
      <c r="AZ123" s="34"/>
      <c r="BA123" s="34"/>
      <c r="BB123" s="34"/>
      <c r="BC123" s="34"/>
    </row>
    <row r="124" spans="1:55" s="624" customFormat="1">
      <c r="A124" s="235"/>
      <c r="B124" s="204" t="s">
        <v>719</v>
      </c>
      <c r="C124" s="65">
        <v>817487.46</v>
      </c>
      <c r="D124" s="65">
        <v>0</v>
      </c>
      <c r="E124" s="285">
        <f t="shared" si="24"/>
        <v>817487.46</v>
      </c>
      <c r="F124" s="65">
        <v>901902.15</v>
      </c>
      <c r="G124" s="285">
        <f t="shared" si="25"/>
        <v>1719389.6099999999</v>
      </c>
      <c r="H124" s="65">
        <v>-14158.94</v>
      </c>
      <c r="I124" s="285">
        <f t="shared" si="26"/>
        <v>27786.75</v>
      </c>
      <c r="J124" s="65"/>
      <c r="K124" s="259">
        <v>0</v>
      </c>
      <c r="L124" s="65">
        <v>0</v>
      </c>
      <c r="M124" s="60">
        <v>1797.58</v>
      </c>
      <c r="N124" s="65"/>
      <c r="O124" s="3754">
        <v>609.94000000000005</v>
      </c>
      <c r="P124" s="59">
        <v>0</v>
      </c>
      <c r="Q124" s="77">
        <v>6.1</v>
      </c>
      <c r="R124" s="289">
        <f t="shared" si="27"/>
        <v>603.84</v>
      </c>
      <c r="S124" s="88"/>
      <c r="T124" s="37"/>
      <c r="U124" s="37"/>
      <c r="V124" s="37"/>
      <c r="W124" s="37"/>
      <c r="X124" s="34"/>
      <c r="Y124" s="34"/>
      <c r="Z124" s="34"/>
      <c r="AA124" s="34"/>
      <c r="AB124" s="34"/>
      <c r="AC124" s="34"/>
      <c r="AD124" s="34"/>
      <c r="AE124" s="34"/>
      <c r="AF124" s="34"/>
      <c r="AG124" s="34"/>
      <c r="AH124" s="34"/>
      <c r="AI124" s="34"/>
      <c r="AJ124" s="34"/>
      <c r="AK124" s="34"/>
      <c r="AL124" s="34"/>
      <c r="AM124" s="34"/>
      <c r="AN124" s="34"/>
      <c r="AO124" s="34"/>
      <c r="AP124" s="34"/>
      <c r="AQ124" s="34"/>
      <c r="AR124" s="34"/>
      <c r="AS124" s="34"/>
      <c r="AT124" s="34"/>
      <c r="AU124" s="34"/>
      <c r="AV124" s="34"/>
      <c r="AW124" s="34"/>
      <c r="AX124" s="34"/>
      <c r="AY124" s="34"/>
      <c r="AZ124" s="34"/>
      <c r="BA124" s="34"/>
      <c r="BB124" s="34"/>
      <c r="BC124" s="34"/>
    </row>
    <row r="125" spans="1:55" s="624" customFormat="1">
      <c r="A125" s="235"/>
      <c r="B125" s="204" t="s">
        <v>720</v>
      </c>
      <c r="C125" s="65">
        <v>13253.54</v>
      </c>
      <c r="D125" s="65">
        <v>20061.830000000002</v>
      </c>
      <c r="E125" s="285">
        <f t="shared" si="24"/>
        <v>33315.370000000003</v>
      </c>
      <c r="F125" s="65">
        <v>6832.74</v>
      </c>
      <c r="G125" s="285">
        <f t="shared" si="25"/>
        <v>40148.11</v>
      </c>
      <c r="H125" s="65">
        <v>-1683653.37</v>
      </c>
      <c r="I125" s="285">
        <f t="shared" si="26"/>
        <v>35736.239999999758</v>
      </c>
      <c r="J125" s="65"/>
      <c r="K125" s="259"/>
      <c r="L125" s="65">
        <v>7840.08</v>
      </c>
      <c r="M125" s="60"/>
      <c r="N125" s="65"/>
      <c r="O125" s="3754">
        <v>39962.18</v>
      </c>
      <c r="P125" s="59">
        <v>49.74</v>
      </c>
      <c r="Q125" s="77">
        <v>399.12</v>
      </c>
      <c r="R125" s="289">
        <f t="shared" si="27"/>
        <v>39513.32</v>
      </c>
      <c r="S125" s="88"/>
      <c r="T125" s="37"/>
      <c r="U125" s="37"/>
      <c r="V125" s="37"/>
      <c r="W125" s="37"/>
      <c r="X125" s="34"/>
      <c r="Y125" s="34"/>
      <c r="Z125" s="34"/>
      <c r="AA125" s="34"/>
      <c r="AB125" s="34"/>
      <c r="AC125" s="34"/>
      <c r="AD125" s="34"/>
      <c r="AE125" s="34"/>
      <c r="AF125" s="34"/>
      <c r="AG125" s="34"/>
      <c r="AH125" s="34"/>
      <c r="AI125" s="34"/>
      <c r="AJ125" s="34"/>
      <c r="AK125" s="34"/>
      <c r="AL125" s="34"/>
      <c r="AM125" s="34"/>
      <c r="AN125" s="34"/>
      <c r="AO125" s="34"/>
      <c r="AP125" s="34"/>
      <c r="AQ125" s="34"/>
      <c r="AR125" s="34"/>
      <c r="AS125" s="34"/>
      <c r="AT125" s="34"/>
      <c r="AU125" s="34"/>
      <c r="AV125" s="34"/>
      <c r="AW125" s="34"/>
      <c r="AX125" s="34"/>
      <c r="AY125" s="34"/>
      <c r="AZ125" s="34"/>
      <c r="BA125" s="34"/>
      <c r="BB125" s="34"/>
      <c r="BC125" s="34"/>
    </row>
    <row r="126" spans="1:55" s="624" customFormat="1">
      <c r="A126" s="235"/>
      <c r="B126" s="204" t="s">
        <v>721</v>
      </c>
      <c r="C126" s="65">
        <v>13253.54</v>
      </c>
      <c r="D126" s="65">
        <v>20061.830000000002</v>
      </c>
      <c r="E126" s="285">
        <f t="shared" si="24"/>
        <v>33315.370000000003</v>
      </c>
      <c r="F126" s="65">
        <v>6635.57</v>
      </c>
      <c r="G126" s="285">
        <f t="shared" si="25"/>
        <v>39950.94</v>
      </c>
      <c r="H126" s="65">
        <v>-13549</v>
      </c>
      <c r="I126" s="285">
        <f t="shared" si="26"/>
        <v>26599.11</v>
      </c>
      <c r="J126" s="65"/>
      <c r="K126" s="259">
        <v>0</v>
      </c>
      <c r="L126" s="65">
        <v>0</v>
      </c>
      <c r="M126" s="60">
        <v>197.17</v>
      </c>
      <c r="N126" s="65"/>
      <c r="O126" s="3754">
        <v>1784.17</v>
      </c>
      <c r="P126" s="59">
        <v>290.31</v>
      </c>
      <c r="Q126" s="59">
        <v>14.94</v>
      </c>
      <c r="R126" s="289">
        <f t="shared" si="27"/>
        <v>1478.92</v>
      </c>
      <c r="S126" s="88"/>
      <c r="T126" s="37"/>
      <c r="U126" s="37"/>
      <c r="V126" s="37"/>
      <c r="W126" s="37"/>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c r="BB126" s="34"/>
      <c r="BC126" s="34"/>
    </row>
    <row r="127" spans="1:55" s="624" customFormat="1">
      <c r="A127" s="235"/>
      <c r="B127" s="204" t="s">
        <v>722</v>
      </c>
      <c r="C127" s="65">
        <v>13253.54</v>
      </c>
      <c r="D127" s="65">
        <v>20061.830000000002</v>
      </c>
      <c r="E127" s="285">
        <f t="shared" si="24"/>
        <v>33315.370000000003</v>
      </c>
      <c r="F127" s="65">
        <v>6113.86</v>
      </c>
      <c r="G127" s="285">
        <f t="shared" si="25"/>
        <v>39429.230000000003</v>
      </c>
      <c r="H127" s="65">
        <v>-11764.83</v>
      </c>
      <c r="I127" s="285">
        <f t="shared" si="26"/>
        <v>28186.11</v>
      </c>
      <c r="J127" s="65"/>
      <c r="K127" s="259">
        <v>0</v>
      </c>
      <c r="L127" s="65">
        <v>0</v>
      </c>
      <c r="M127" s="60">
        <v>521.71</v>
      </c>
      <c r="N127" s="65"/>
      <c r="O127" s="3754">
        <v>1945.45</v>
      </c>
      <c r="P127" s="59">
        <v>1419.74</v>
      </c>
      <c r="Q127" s="77">
        <v>5.26</v>
      </c>
      <c r="R127" s="289">
        <f t="shared" si="27"/>
        <v>520.45000000000005</v>
      </c>
      <c r="S127" s="88"/>
      <c r="T127" s="37"/>
      <c r="U127" s="37"/>
      <c r="V127" s="37"/>
      <c r="W127" s="37"/>
      <c r="X127" s="34"/>
      <c r="Y127" s="34"/>
      <c r="Z127" s="34"/>
      <c r="AA127" s="34"/>
      <c r="AB127" s="34"/>
      <c r="AC127" s="34"/>
      <c r="AD127" s="34"/>
      <c r="AE127" s="34"/>
      <c r="AF127" s="34"/>
      <c r="AG127" s="34"/>
      <c r="AH127" s="34"/>
      <c r="AI127" s="34"/>
      <c r="AJ127" s="34"/>
      <c r="AK127" s="34"/>
      <c r="AL127" s="34"/>
      <c r="AM127" s="34"/>
      <c r="AN127" s="34"/>
      <c r="AO127" s="34"/>
      <c r="AP127" s="34"/>
      <c r="AQ127" s="34"/>
      <c r="AR127" s="34"/>
      <c r="AS127" s="34"/>
      <c r="AT127" s="34"/>
      <c r="AU127" s="34"/>
      <c r="AV127" s="34"/>
      <c r="AW127" s="34"/>
      <c r="AX127" s="34"/>
      <c r="AY127" s="34"/>
      <c r="AZ127" s="34"/>
      <c r="BA127" s="34"/>
      <c r="BB127" s="34"/>
      <c r="BC127" s="34"/>
    </row>
    <row r="128" spans="1:55" s="624" customFormat="1">
      <c r="A128" s="235"/>
      <c r="B128" s="204" t="s">
        <v>723</v>
      </c>
      <c r="C128" s="65">
        <v>13253.54</v>
      </c>
      <c r="D128" s="65">
        <v>20061.830000000002</v>
      </c>
      <c r="E128" s="285">
        <f t="shared" si="24"/>
        <v>33315.370000000003</v>
      </c>
      <c r="F128" s="65">
        <v>5961.26</v>
      </c>
      <c r="G128" s="285">
        <f>SUM(E128:F128)</f>
        <v>39276.630000000005</v>
      </c>
      <c r="H128" s="65">
        <v>-9819.3799999999992</v>
      </c>
      <c r="I128" s="285">
        <f t="shared" si="26"/>
        <v>29609.850000000006</v>
      </c>
      <c r="J128" s="65"/>
      <c r="K128" s="259"/>
      <c r="L128" s="65"/>
      <c r="M128" s="60">
        <v>152.6</v>
      </c>
      <c r="N128" s="65"/>
      <c r="O128" s="3754">
        <v>5915.18</v>
      </c>
      <c r="P128" s="59">
        <v>603.09</v>
      </c>
      <c r="Q128" s="77">
        <v>53.12</v>
      </c>
      <c r="R128" s="289">
        <f t="shared" si="27"/>
        <v>5258.97</v>
      </c>
      <c r="S128" s="88"/>
      <c r="T128" s="37"/>
      <c r="U128" s="37"/>
      <c r="V128" s="37"/>
      <c r="W128" s="37"/>
      <c r="X128" s="34"/>
      <c r="Y128" s="34"/>
      <c r="Z128" s="34"/>
      <c r="AA128" s="34"/>
      <c r="AB128" s="34"/>
      <c r="AC128" s="34"/>
      <c r="AD128" s="34"/>
      <c r="AE128" s="34"/>
      <c r="AF128" s="34"/>
      <c r="AG128" s="34"/>
      <c r="AH128" s="34"/>
      <c r="AI128" s="34"/>
      <c r="AJ128" s="34"/>
      <c r="AK128" s="34"/>
      <c r="AL128" s="34"/>
      <c r="AM128" s="34"/>
      <c r="AN128" s="34"/>
      <c r="AO128" s="34"/>
      <c r="AP128" s="34"/>
      <c r="AQ128" s="34"/>
      <c r="AR128" s="34"/>
      <c r="AS128" s="34"/>
      <c r="AT128" s="34"/>
      <c r="AU128" s="34"/>
      <c r="AV128" s="34"/>
      <c r="AW128" s="34"/>
      <c r="AX128" s="34"/>
      <c r="AY128" s="34"/>
      <c r="AZ128" s="34"/>
      <c r="BA128" s="34"/>
      <c r="BB128" s="34"/>
      <c r="BC128" s="34"/>
    </row>
    <row r="129" spans="1:55" s="624" customFormat="1">
      <c r="A129" s="237"/>
      <c r="B129" s="204" t="s">
        <v>724</v>
      </c>
      <c r="C129" s="65">
        <v>13253.54</v>
      </c>
      <c r="D129" s="65">
        <v>20061.830000000002</v>
      </c>
      <c r="E129" s="286">
        <f t="shared" si="24"/>
        <v>33315.370000000003</v>
      </c>
      <c r="F129" s="282">
        <v>5282.98</v>
      </c>
      <c r="G129" s="286">
        <f t="shared" si="25"/>
        <v>38598.350000000006</v>
      </c>
      <c r="H129" s="60">
        <v>-3904.2</v>
      </c>
      <c r="I129" s="285">
        <f t="shared" si="26"/>
        <v>35372.430000000008</v>
      </c>
      <c r="J129" s="65"/>
      <c r="K129" s="259">
        <v>0</v>
      </c>
      <c r="L129" s="65">
        <v>0</v>
      </c>
      <c r="M129" s="60">
        <v>678.28</v>
      </c>
      <c r="N129" s="65"/>
      <c r="O129" s="3754">
        <v>1532.29</v>
      </c>
      <c r="P129" s="59">
        <v>314.81</v>
      </c>
      <c r="Q129" s="77">
        <v>12.17</v>
      </c>
      <c r="R129" s="289">
        <f t="shared" si="27"/>
        <v>1205.31</v>
      </c>
      <c r="S129" s="88"/>
      <c r="T129" s="37"/>
      <c r="U129" s="37"/>
      <c r="V129" s="37"/>
      <c r="W129" s="37"/>
      <c r="X129" s="34"/>
      <c r="Y129" s="34"/>
      <c r="Z129" s="34"/>
      <c r="AA129" s="34"/>
      <c r="AB129" s="34"/>
      <c r="AC129" s="34"/>
      <c r="AD129" s="34"/>
      <c r="AE129" s="34"/>
      <c r="AF129" s="34"/>
      <c r="AG129" s="34"/>
      <c r="AH129" s="34"/>
      <c r="AI129" s="34"/>
      <c r="AJ129" s="34"/>
      <c r="AK129" s="34"/>
      <c r="AL129" s="34"/>
      <c r="AM129" s="34"/>
      <c r="AN129" s="34"/>
      <c r="AO129" s="34"/>
      <c r="AP129" s="34"/>
      <c r="AQ129" s="34"/>
      <c r="AR129" s="34"/>
      <c r="AS129" s="34"/>
      <c r="AT129" s="34"/>
      <c r="AU129" s="34"/>
      <c r="AV129" s="34"/>
      <c r="AW129" s="34"/>
      <c r="AX129" s="34"/>
      <c r="AY129" s="34"/>
      <c r="AZ129" s="34"/>
      <c r="BA129" s="34"/>
      <c r="BB129" s="34"/>
      <c r="BC129" s="34"/>
    </row>
    <row r="130" spans="1:55" s="624" customFormat="1">
      <c r="A130" s="265">
        <v>2021</v>
      </c>
      <c r="B130" s="283" t="s">
        <v>713</v>
      </c>
      <c r="C130" s="281">
        <v>1189420.01</v>
      </c>
      <c r="D130" s="281">
        <v>17053.830000000002</v>
      </c>
      <c r="E130" s="284">
        <f t="shared" ref="E130:E134" si="28">SUM(C130:D130)</f>
        <v>1206473.8400000001</v>
      </c>
      <c r="F130" s="281">
        <v>543861.99</v>
      </c>
      <c r="G130" s="285">
        <f t="shared" ref="G130:G134" si="29">SUM(E130:F130)</f>
        <v>1750335.83</v>
      </c>
      <c r="H130" s="299">
        <v>-2371.91</v>
      </c>
      <c r="I130" s="286">
        <f t="shared" si="26"/>
        <v>36226.44</v>
      </c>
      <c r="J130" s="65"/>
      <c r="K130" s="292">
        <v>0</v>
      </c>
      <c r="L130" s="282">
        <v>0</v>
      </c>
      <c r="M130" s="299">
        <v>5282.98</v>
      </c>
      <c r="N130" s="65"/>
      <c r="O130" s="3755">
        <v>2371.91</v>
      </c>
      <c r="P130" s="3756">
        <v>291.23</v>
      </c>
      <c r="Q130" s="3757">
        <v>20.81</v>
      </c>
      <c r="R130" s="290">
        <f t="shared" si="27"/>
        <v>2059.87</v>
      </c>
      <c r="S130" s="88"/>
      <c r="T130" s="37"/>
      <c r="U130" s="37"/>
      <c r="V130" s="37"/>
      <c r="W130" s="37"/>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c r="BB130" s="34"/>
      <c r="BC130" s="34"/>
    </row>
    <row r="131" spans="1:55">
      <c r="A131" s="265"/>
      <c r="B131" s="235" t="s">
        <v>714</v>
      </c>
      <c r="C131" s="65">
        <v>1189420.01</v>
      </c>
      <c r="D131" s="65">
        <v>17053.830000000002</v>
      </c>
      <c r="E131" s="285">
        <f t="shared" si="28"/>
        <v>1206473.8400000001</v>
      </c>
      <c r="F131" s="65">
        <v>541462.87</v>
      </c>
      <c r="G131" s="285">
        <f t="shared" si="29"/>
        <v>1747936.71</v>
      </c>
      <c r="H131" s="281">
        <v>-1717020.46</v>
      </c>
      <c r="I131" s="284">
        <f t="shared" si="26"/>
        <v>33315.370000000112</v>
      </c>
      <c r="J131" s="65"/>
      <c r="K131" s="291">
        <v>0</v>
      </c>
      <c r="L131" s="281">
        <v>164.34</v>
      </c>
      <c r="M131" s="298">
        <v>772.59</v>
      </c>
      <c r="N131" s="65"/>
      <c r="O131" s="3754">
        <v>8953.7800000000007</v>
      </c>
      <c r="P131" s="59">
        <v>75.39</v>
      </c>
      <c r="Q131" s="77">
        <v>88.78</v>
      </c>
      <c r="R131" s="289">
        <f t="shared" si="27"/>
        <v>8789.61</v>
      </c>
      <c r="S131" s="88"/>
      <c r="T131" s="37"/>
      <c r="U131" s="37"/>
      <c r="V131" s="37"/>
      <c r="W131" s="37"/>
    </row>
    <row r="132" spans="1:55">
      <c r="A132" s="265"/>
      <c r="B132" s="235" t="s">
        <v>715</v>
      </c>
      <c r="C132" s="65">
        <v>1189420</v>
      </c>
      <c r="D132" s="65">
        <v>17053.8</v>
      </c>
      <c r="E132" s="285">
        <f t="shared" si="28"/>
        <v>1206473.8</v>
      </c>
      <c r="F132" s="65">
        <v>531341.31000000006</v>
      </c>
      <c r="G132" s="285">
        <f t="shared" si="29"/>
        <v>1737815.11</v>
      </c>
      <c r="H132" s="65">
        <v>-1708066.68</v>
      </c>
      <c r="I132" s="285">
        <f t="shared" si="26"/>
        <v>39870.030000000028</v>
      </c>
      <c r="J132" s="65"/>
      <c r="K132" s="259">
        <v>0</v>
      </c>
      <c r="L132" s="65">
        <v>1794.38</v>
      </c>
      <c r="M132" s="60">
        <f>4340.07+3987.11</f>
        <v>8327.18</v>
      </c>
      <c r="N132" s="65"/>
      <c r="O132" s="3754">
        <v>2670.01</v>
      </c>
      <c r="P132" s="59">
        <v>1801.96</v>
      </c>
      <c r="Q132" s="77">
        <v>8.68</v>
      </c>
      <c r="R132" s="289">
        <f t="shared" si="27"/>
        <v>859.37000000000023</v>
      </c>
      <c r="S132" s="88"/>
      <c r="T132" s="37"/>
      <c r="U132" s="37"/>
      <c r="V132" s="37"/>
      <c r="W132" s="37"/>
    </row>
    <row r="133" spans="1:55">
      <c r="A133" s="265"/>
      <c r="B133" s="235" t="s">
        <v>716</v>
      </c>
      <c r="C133" s="65">
        <v>1189420.01</v>
      </c>
      <c r="D133" s="65">
        <v>17053.830000000002</v>
      </c>
      <c r="E133" s="285">
        <f t="shared" si="28"/>
        <v>1206473.8400000001</v>
      </c>
      <c r="F133" s="65">
        <v>530153.75</v>
      </c>
      <c r="G133" s="285">
        <f t="shared" si="29"/>
        <v>1736627.59</v>
      </c>
      <c r="H133" s="65">
        <v>-1705396.67</v>
      </c>
      <c r="I133" s="285">
        <f t="shared" si="26"/>
        <v>32418.440000000177</v>
      </c>
      <c r="J133" s="65"/>
      <c r="K133" s="259">
        <v>0</v>
      </c>
      <c r="L133" s="65">
        <v>841.76</v>
      </c>
      <c r="M133" s="60">
        <v>345.8</v>
      </c>
      <c r="N133" s="65"/>
      <c r="O133" s="3754">
        <v>2220.79</v>
      </c>
      <c r="P133" s="59">
        <v>132.58000000000001</v>
      </c>
      <c r="Q133" s="77">
        <v>20.88</v>
      </c>
      <c r="R133" s="289">
        <f t="shared" si="27"/>
        <v>2067.33</v>
      </c>
      <c r="S133" s="88"/>
      <c r="T133" s="37"/>
      <c r="U133" s="37"/>
      <c r="V133" s="37"/>
      <c r="W133" s="37"/>
    </row>
    <row r="134" spans="1:55">
      <c r="A134" s="265"/>
      <c r="B134" s="235" t="s">
        <v>717</v>
      </c>
      <c r="C134" s="65">
        <v>1189420.01</v>
      </c>
      <c r="D134" s="65">
        <v>17053.830000000002</v>
      </c>
      <c r="E134" s="285">
        <f t="shared" si="28"/>
        <v>1206473.8400000001</v>
      </c>
      <c r="F134" s="65">
        <v>529370.21</v>
      </c>
      <c r="G134" s="285">
        <f t="shared" si="29"/>
        <v>1735844.05</v>
      </c>
      <c r="H134" s="65">
        <v>-1703175.88</v>
      </c>
      <c r="I134" s="285">
        <f t="shared" si="26"/>
        <v>33451.710000000196</v>
      </c>
      <c r="J134" s="65"/>
      <c r="K134" s="1604">
        <v>0</v>
      </c>
      <c r="L134" s="65">
        <v>553.88</v>
      </c>
      <c r="M134" s="1603">
        <v>229.66</v>
      </c>
      <c r="N134" s="65"/>
      <c r="O134" s="3754">
        <v>4950.24</v>
      </c>
      <c r="P134" s="59">
        <v>1596.56</v>
      </c>
      <c r="Q134" s="77">
        <v>33.54</v>
      </c>
      <c r="R134" s="289">
        <f t="shared" si="27"/>
        <v>3320.14</v>
      </c>
      <c r="S134" s="88"/>
      <c r="T134" s="37"/>
      <c r="U134" s="37"/>
      <c r="V134" s="37"/>
      <c r="W134" s="37"/>
    </row>
    <row r="135" spans="1:55">
      <c r="A135" s="265"/>
      <c r="B135" s="235" t="s">
        <v>718</v>
      </c>
      <c r="C135" s="65">
        <v>1189420.01</v>
      </c>
      <c r="D135" s="65">
        <v>17053.830000000002</v>
      </c>
      <c r="E135" s="285">
        <f t="shared" ref="E135:E138" si="30">SUM(C135:D135)</f>
        <v>1206473.8400000001</v>
      </c>
      <c r="F135" s="65">
        <v>524638.43999999994</v>
      </c>
      <c r="G135" s="285">
        <f t="shared" ref="G135:G138" si="31">SUM(E135:F135)</f>
        <v>1731112.28</v>
      </c>
      <c r="H135" s="65">
        <v>-1698225.64</v>
      </c>
      <c r="I135" s="285">
        <f t="shared" si="26"/>
        <v>37618.410000000149</v>
      </c>
      <c r="J135" s="65"/>
      <c r="K135" s="259">
        <v>0</v>
      </c>
      <c r="L135" s="65">
        <v>4615.8900000000003</v>
      </c>
      <c r="M135" s="60">
        <v>115.88</v>
      </c>
      <c r="N135" s="65"/>
      <c r="O135" s="3754">
        <v>7405.44</v>
      </c>
      <c r="P135" s="59">
        <v>391.36</v>
      </c>
      <c r="Q135" s="77">
        <v>70.14</v>
      </c>
      <c r="R135" s="289">
        <f t="shared" si="27"/>
        <v>6943.94</v>
      </c>
      <c r="S135" s="88"/>
      <c r="T135" s="37"/>
      <c r="U135" s="37"/>
      <c r="V135" s="37"/>
      <c r="W135" s="37"/>
    </row>
    <row r="136" spans="1:55">
      <c r="A136" s="265"/>
      <c r="B136" s="235" t="s">
        <v>719</v>
      </c>
      <c r="C136" s="65">
        <v>1189420.01</v>
      </c>
      <c r="D136" s="65">
        <v>17053.830000000002</v>
      </c>
      <c r="E136" s="285">
        <f t="shared" si="30"/>
        <v>1206473.8400000001</v>
      </c>
      <c r="F136" s="65">
        <v>521125.7</v>
      </c>
      <c r="G136" s="285">
        <f t="shared" si="31"/>
        <v>1727599.54</v>
      </c>
      <c r="H136" s="65">
        <v>-1690820.2</v>
      </c>
      <c r="I136" s="285">
        <f t="shared" si="26"/>
        <v>40292.080000000075</v>
      </c>
      <c r="J136" s="65"/>
      <c r="K136" s="259">
        <v>0</v>
      </c>
      <c r="L136" s="65">
        <v>2911.01</v>
      </c>
      <c r="M136" s="60">
        <v>601.73</v>
      </c>
      <c r="N136" s="65"/>
      <c r="O136" s="3754">
        <v>12848.96</v>
      </c>
      <c r="P136" s="59">
        <v>287.43</v>
      </c>
      <c r="Q136" s="4098">
        <v>125.62</v>
      </c>
      <c r="R136" s="4099">
        <f t="shared" si="27"/>
        <v>12435.909999999998</v>
      </c>
      <c r="S136" s="4100">
        <f>SUM(Q136:Q147)</f>
        <v>29731.559999999998</v>
      </c>
      <c r="T136" s="4101">
        <v>44800</v>
      </c>
      <c r="U136" s="37"/>
      <c r="V136" s="37"/>
      <c r="W136" s="37"/>
    </row>
    <row r="137" spans="1:55">
      <c r="A137" s="265"/>
      <c r="B137" s="235" t="s">
        <v>720</v>
      </c>
      <c r="C137" s="65">
        <v>1189420.01</v>
      </c>
      <c r="D137" s="65">
        <v>17053.830000000002</v>
      </c>
      <c r="E137" s="285">
        <f t="shared" si="30"/>
        <v>1206473.8400000001</v>
      </c>
      <c r="F137" s="65">
        <v>514410.68</v>
      </c>
      <c r="G137" s="285">
        <f t="shared" si="31"/>
        <v>1720884.52</v>
      </c>
      <c r="H137" s="65">
        <v>-1677971.24</v>
      </c>
      <c r="I137" s="285">
        <f t="shared" si="26"/>
        <v>49628.300000000047</v>
      </c>
      <c r="J137" s="65"/>
      <c r="K137" s="259">
        <v>0</v>
      </c>
      <c r="L137" s="65">
        <v>6008.21</v>
      </c>
      <c r="M137" s="60">
        <v>706.81</v>
      </c>
      <c r="N137" s="65"/>
      <c r="O137" s="3754">
        <v>16930.060000000001</v>
      </c>
      <c r="P137" s="59">
        <v>134.63999999999999</v>
      </c>
      <c r="Q137" s="4098">
        <v>167.95</v>
      </c>
      <c r="R137" s="4099">
        <f t="shared" si="27"/>
        <v>16627.47</v>
      </c>
      <c r="S137" s="88"/>
      <c r="T137" s="4101">
        <v>44770</v>
      </c>
      <c r="U137" s="37"/>
      <c r="V137" s="37"/>
      <c r="W137" s="37"/>
    </row>
    <row r="138" spans="1:55">
      <c r="A138" s="265"/>
      <c r="B138" s="235" t="s">
        <v>721</v>
      </c>
      <c r="C138" s="65">
        <v>1189420.01</v>
      </c>
      <c r="D138" s="65">
        <v>17053.830000000002</v>
      </c>
      <c r="E138" s="285">
        <f t="shared" si="30"/>
        <v>1206473.8400000001</v>
      </c>
      <c r="F138" s="65">
        <v>504619.82</v>
      </c>
      <c r="G138" s="285">
        <f t="shared" si="31"/>
        <v>1711093.6600000001</v>
      </c>
      <c r="H138" s="65">
        <v>-1661041.18</v>
      </c>
      <c r="I138" s="285">
        <f t="shared" si="26"/>
        <v>59843.340000000084</v>
      </c>
      <c r="J138" s="65"/>
      <c r="K138" s="259">
        <v>0</v>
      </c>
      <c r="L138" s="65">
        <v>9432.09</v>
      </c>
      <c r="M138" s="60">
        <v>358.77</v>
      </c>
      <c r="N138" s="65"/>
      <c r="O138" s="3754">
        <v>50078.02</v>
      </c>
      <c r="P138" s="59">
        <v>477.24</v>
      </c>
      <c r="Q138" s="4102">
        <v>496.01</v>
      </c>
      <c r="R138" s="4099">
        <f t="shared" si="27"/>
        <v>49104.77</v>
      </c>
      <c r="S138" s="88"/>
      <c r="T138" s="4101">
        <v>44740</v>
      </c>
      <c r="U138" s="37"/>
      <c r="V138" s="37"/>
      <c r="W138" s="37"/>
    </row>
    <row r="139" spans="1:55">
      <c r="A139" s="265"/>
      <c r="B139" s="235" t="s">
        <v>722</v>
      </c>
      <c r="C139" s="65">
        <v>1189420.01</v>
      </c>
      <c r="D139" s="65">
        <v>17053.830000000002</v>
      </c>
      <c r="E139" s="285">
        <f>SUM(C139:D139)</f>
        <v>1206473.8400000001</v>
      </c>
      <c r="F139" s="65">
        <v>492396.74</v>
      </c>
      <c r="G139" s="285">
        <f>SUM(E139:F139)</f>
        <v>1698870.58</v>
      </c>
      <c r="H139" s="65">
        <v>-1610963.16</v>
      </c>
      <c r="I139" s="285">
        <f t="shared" si="26"/>
        <v>100130.50000000023</v>
      </c>
      <c r="J139" s="65"/>
      <c r="K139" s="259">
        <v>0</v>
      </c>
      <c r="L139" s="65">
        <v>11941.89</v>
      </c>
      <c r="M139" s="60">
        <v>281.19</v>
      </c>
      <c r="N139" s="65"/>
      <c r="O139" s="3754">
        <v>110690.37</v>
      </c>
      <c r="P139" s="59">
        <v>1148.8499999999999</v>
      </c>
      <c r="Q139" s="4098">
        <v>1095.42</v>
      </c>
      <c r="R139" s="289">
        <f t="shared" si="27"/>
        <v>108446.09999999999</v>
      </c>
      <c r="S139" s="88"/>
      <c r="T139" s="37"/>
      <c r="U139" s="37"/>
      <c r="V139" s="37"/>
      <c r="W139" s="37"/>
    </row>
    <row r="140" spans="1:55">
      <c r="A140" s="265"/>
      <c r="B140" s="235" t="s">
        <v>723</v>
      </c>
      <c r="C140" s="65">
        <v>1189420.01</v>
      </c>
      <c r="D140" s="65">
        <v>17053.830000000002</v>
      </c>
      <c r="E140" s="285">
        <f>SUM(C140:D140)</f>
        <v>1206473.8400000001</v>
      </c>
      <c r="F140" s="65">
        <v>442962.72</v>
      </c>
      <c r="G140" s="285">
        <f>SUM(E140:F140)</f>
        <v>1649436.56</v>
      </c>
      <c r="H140" s="65">
        <v>-1500272.79</v>
      </c>
      <c r="I140" s="285">
        <f t="shared" si="26"/>
        <v>198597.79000000004</v>
      </c>
      <c r="J140" s="65"/>
      <c r="K140" s="259">
        <v>0</v>
      </c>
      <c r="L140" s="65">
        <v>49196.95</v>
      </c>
      <c r="M140" s="60">
        <v>237.07</v>
      </c>
      <c r="N140" s="65"/>
      <c r="O140" s="3754">
        <v>327726.8</v>
      </c>
      <c r="P140" s="59">
        <v>2795.31</v>
      </c>
      <c r="Q140" s="4098">
        <v>3249.31</v>
      </c>
      <c r="R140" s="289">
        <f t="shared" si="27"/>
        <v>321682.18</v>
      </c>
      <c r="S140" s="88"/>
      <c r="T140" s="37"/>
      <c r="U140" s="37"/>
      <c r="V140" s="37"/>
      <c r="W140" s="37"/>
    </row>
    <row r="141" spans="1:55">
      <c r="A141" s="265"/>
      <c r="B141" s="235" t="s">
        <v>724</v>
      </c>
      <c r="C141" s="65">
        <v>1189420.01</v>
      </c>
      <c r="D141" s="65">
        <v>17053.830000000002</v>
      </c>
      <c r="E141" s="286">
        <f>SUM(C141:D141)</f>
        <v>1206473.8400000001</v>
      </c>
      <c r="F141" s="282">
        <v>336427.08</v>
      </c>
      <c r="G141" s="286">
        <f>SUM(E141:F141)</f>
        <v>1542900.9200000002</v>
      </c>
      <c r="H141" s="60">
        <v>-1172545.99</v>
      </c>
      <c r="I141" s="285">
        <f t="shared" si="26"/>
        <v>476890.57000000007</v>
      </c>
      <c r="J141" s="65"/>
      <c r="K141" s="259">
        <v>0</v>
      </c>
      <c r="L141" s="65">
        <v>105978.33</v>
      </c>
      <c r="M141" s="60">
        <v>557.30999999999995</v>
      </c>
      <c r="N141" s="65"/>
      <c r="O141" s="3754">
        <v>940045.9</v>
      </c>
      <c r="P141" s="59">
        <v>1311.02</v>
      </c>
      <c r="Q141" s="4098">
        <v>9387.35</v>
      </c>
      <c r="R141" s="289">
        <f t="shared" si="27"/>
        <v>929347.53</v>
      </c>
      <c r="S141" s="88"/>
      <c r="T141" s="37"/>
      <c r="U141" s="37"/>
      <c r="V141" s="37"/>
      <c r="W141" s="37"/>
    </row>
    <row r="142" spans="1:55">
      <c r="A142" s="271">
        <v>2020</v>
      </c>
      <c r="B142" s="283" t="s">
        <v>713</v>
      </c>
      <c r="C142" s="281">
        <v>842106.26</v>
      </c>
      <c r="D142" s="281">
        <v>20090.89</v>
      </c>
      <c r="E142" s="285">
        <f t="shared" ref="E142:E150" si="32">SUM(C142:D142)</f>
        <v>862197.15</v>
      </c>
      <c r="F142" s="65">
        <v>3489116.91</v>
      </c>
      <c r="G142" s="285">
        <f t="shared" ref="G142:G150" si="33">SUM(E142:F142)</f>
        <v>4351314.0600000005</v>
      </c>
      <c r="H142" s="299">
        <v>-232500.09</v>
      </c>
      <c r="I142" s="286">
        <f t="shared" si="26"/>
        <v>1310400.83</v>
      </c>
      <c r="J142" s="65"/>
      <c r="K142" s="292">
        <v>0</v>
      </c>
      <c r="L142" s="282">
        <v>335426.2</v>
      </c>
      <c r="M142" s="299">
        <v>1000.88</v>
      </c>
      <c r="N142" s="65"/>
      <c r="O142" s="3755">
        <v>232500.09</v>
      </c>
      <c r="P142" s="3756">
        <v>1321.74</v>
      </c>
      <c r="Q142" s="4103">
        <v>2311.7800000000002</v>
      </c>
      <c r="R142" s="290">
        <f t="shared" si="27"/>
        <v>228866.57</v>
      </c>
      <c r="S142" s="3752">
        <f>SUM(Q131:Q142)</f>
        <v>17055.46</v>
      </c>
      <c r="T142" s="3752">
        <f>SUM(R131:R142)</f>
        <v>1688490.9200000002</v>
      </c>
      <c r="U142" s="4106">
        <f>SUM(S142:T142)</f>
        <v>1705546.3800000001</v>
      </c>
      <c r="V142" s="37"/>
      <c r="W142" s="37"/>
    </row>
    <row r="143" spans="1:55">
      <c r="A143" s="265"/>
      <c r="B143" s="235" t="s">
        <v>714</v>
      </c>
      <c r="C143" s="65">
        <v>842106.26</v>
      </c>
      <c r="D143" s="65">
        <v>20090.79</v>
      </c>
      <c r="E143" s="285">
        <f t="shared" si="32"/>
        <v>862197.05</v>
      </c>
      <c r="F143" s="65">
        <v>2506656.08</v>
      </c>
      <c r="G143" s="285">
        <f t="shared" si="33"/>
        <v>3368853.13</v>
      </c>
      <c r="H143" s="65">
        <v>-3144840.12</v>
      </c>
      <c r="I143" s="284">
        <f t="shared" si="26"/>
        <v>1206473.9400000004</v>
      </c>
      <c r="J143" s="65"/>
      <c r="K143" s="291">
        <v>982298.46</v>
      </c>
      <c r="L143" s="281">
        <v>48.35</v>
      </c>
      <c r="M143" s="298">
        <v>114.02</v>
      </c>
      <c r="N143" s="65"/>
      <c r="O143" s="291">
        <v>959696.3</v>
      </c>
      <c r="P143" s="281">
        <v>1239.8800000000001</v>
      </c>
      <c r="Q143" s="4104">
        <v>9584.56</v>
      </c>
      <c r="R143" s="1473">
        <f t="shared" si="27"/>
        <v>948871.86</v>
      </c>
      <c r="S143" s="37"/>
      <c r="T143" s="37"/>
      <c r="U143" s="37"/>
      <c r="V143" s="37"/>
      <c r="W143" s="37"/>
    </row>
    <row r="144" spans="1:55">
      <c r="A144" s="265"/>
      <c r="B144" s="235" t="s">
        <v>715</v>
      </c>
      <c r="C144" s="65">
        <v>842106.26</v>
      </c>
      <c r="D144" s="65">
        <v>20090.79</v>
      </c>
      <c r="E144" s="285">
        <f t="shared" si="32"/>
        <v>862197.05</v>
      </c>
      <c r="F144" s="65">
        <v>2301255.5299999998</v>
      </c>
      <c r="G144" s="285">
        <f t="shared" si="33"/>
        <v>3163452.58</v>
      </c>
      <c r="H144" s="65">
        <v>-2185143.7999999998</v>
      </c>
      <c r="I144" s="285">
        <f t="shared" si="26"/>
        <v>1183709.33</v>
      </c>
      <c r="J144" s="65"/>
      <c r="K144" s="259">
        <v>205147.14</v>
      </c>
      <c r="L144" s="65">
        <v>64.010000000000005</v>
      </c>
      <c r="M144" s="60">
        <v>189.4</v>
      </c>
      <c r="N144" s="65"/>
      <c r="O144" s="259">
        <v>218962.15</v>
      </c>
      <c r="P144" s="65">
        <v>3650.1</v>
      </c>
      <c r="Q144" s="4105">
        <v>2153.12</v>
      </c>
      <c r="R144" s="1473">
        <f t="shared" si="27"/>
        <v>213158.93</v>
      </c>
      <c r="S144" s="37"/>
      <c r="T144" s="37"/>
      <c r="U144" s="37"/>
      <c r="V144" s="37"/>
      <c r="W144" s="37"/>
    </row>
    <row r="145" spans="1:23">
      <c r="A145" s="265"/>
      <c r="B145" s="235" t="s">
        <v>716</v>
      </c>
      <c r="C145" s="65">
        <v>842106.26</v>
      </c>
      <c r="D145" s="65">
        <v>20090.79</v>
      </c>
      <c r="E145" s="285">
        <f t="shared" si="32"/>
        <v>862197.05</v>
      </c>
      <c r="F145" s="65">
        <v>1334201.54</v>
      </c>
      <c r="G145" s="285">
        <f t="shared" si="33"/>
        <v>2196398.59</v>
      </c>
      <c r="H145" s="65">
        <v>-1966181.65</v>
      </c>
      <c r="I145" s="285">
        <f t="shared" si="26"/>
        <v>1197270.9300000002</v>
      </c>
      <c r="J145" s="65"/>
      <c r="K145" s="259">
        <v>958535.19</v>
      </c>
      <c r="L145" s="65">
        <v>5210.5600000000004</v>
      </c>
      <c r="M145" s="60">
        <v>3308.24</v>
      </c>
      <c r="N145" s="65"/>
      <c r="O145" s="259">
        <v>84243.54</v>
      </c>
      <c r="P145" s="65">
        <v>3688.31</v>
      </c>
      <c r="Q145" s="4105">
        <v>805.55</v>
      </c>
      <c r="R145" s="1473">
        <f t="shared" si="27"/>
        <v>79749.679999999993</v>
      </c>
      <c r="S145" s="37"/>
      <c r="T145" s="37"/>
      <c r="U145" s="37"/>
      <c r="V145" s="37"/>
      <c r="W145" s="37"/>
    </row>
    <row r="146" spans="1:23">
      <c r="A146" s="265"/>
      <c r="B146" s="235" t="s">
        <v>717</v>
      </c>
      <c r="C146" s="65">
        <v>842106.26</v>
      </c>
      <c r="D146" s="65">
        <v>20090.79</v>
      </c>
      <c r="E146" s="285">
        <f t="shared" si="32"/>
        <v>862197.05</v>
      </c>
      <c r="F146" s="65">
        <v>1129996.77</v>
      </c>
      <c r="G146" s="285">
        <f t="shared" si="33"/>
        <v>1992193.82</v>
      </c>
      <c r="H146" s="65">
        <v>-1881938.11</v>
      </c>
      <c r="I146" s="285">
        <f t="shared" si="26"/>
        <v>314460.47999999975</v>
      </c>
      <c r="J146" s="65"/>
      <c r="K146" s="1604">
        <v>199795.24</v>
      </c>
      <c r="L146" s="65">
        <v>3441.78</v>
      </c>
      <c r="M146" s="1603">
        <v>967.75</v>
      </c>
      <c r="N146" s="65"/>
      <c r="O146" s="259">
        <v>25918.81</v>
      </c>
      <c r="P146" s="65"/>
      <c r="Q146" s="4105">
        <v>259.19</v>
      </c>
      <c r="R146" s="1473">
        <f t="shared" si="27"/>
        <v>25659.620000000003</v>
      </c>
      <c r="S146" s="37"/>
      <c r="T146" s="37"/>
      <c r="U146" s="37"/>
      <c r="V146" s="37"/>
      <c r="W146" s="37"/>
    </row>
    <row r="147" spans="1:23">
      <c r="A147" s="265"/>
      <c r="B147" s="235" t="s">
        <v>718</v>
      </c>
      <c r="C147" s="65">
        <v>842106.26</v>
      </c>
      <c r="D147" s="65">
        <v>20090.79</v>
      </c>
      <c r="E147" s="285">
        <f t="shared" si="32"/>
        <v>862197.05</v>
      </c>
      <c r="F147" s="65">
        <v>1059358.1100000001</v>
      </c>
      <c r="G147" s="285">
        <f t="shared" si="33"/>
        <v>1921555.1600000001</v>
      </c>
      <c r="H147" s="65">
        <v>-1856019.3</v>
      </c>
      <c r="I147" s="285">
        <f t="shared" si="26"/>
        <v>136174.52000000002</v>
      </c>
      <c r="J147" s="65"/>
      <c r="K147" s="259">
        <v>67095.7</v>
      </c>
      <c r="L147" s="65">
        <v>3224.56</v>
      </c>
      <c r="M147" s="60">
        <v>318.39999999999998</v>
      </c>
      <c r="N147" s="65"/>
      <c r="O147" s="259">
        <v>9842.32</v>
      </c>
      <c r="P147" s="65">
        <v>272.41000000000003</v>
      </c>
      <c r="Q147" s="4105">
        <v>95.7</v>
      </c>
      <c r="R147" s="1473">
        <f t="shared" si="27"/>
        <v>9474.2099999999991</v>
      </c>
      <c r="S147" s="37"/>
      <c r="T147" s="37"/>
      <c r="U147" s="37"/>
      <c r="V147" s="37"/>
      <c r="W147" s="37"/>
    </row>
    <row r="148" spans="1:23">
      <c r="A148" s="265"/>
      <c r="B148" s="235" t="s">
        <v>719</v>
      </c>
      <c r="C148" s="65">
        <v>842106.26</v>
      </c>
      <c r="D148" s="65">
        <v>20090.79</v>
      </c>
      <c r="E148" s="285">
        <f t="shared" si="32"/>
        <v>862197.05</v>
      </c>
      <c r="F148" s="65">
        <v>1059358.1100000001</v>
      </c>
      <c r="G148" s="285">
        <f t="shared" si="33"/>
        <v>1921555.1600000001</v>
      </c>
      <c r="H148" s="65">
        <v>-1846176.98</v>
      </c>
      <c r="I148" s="285">
        <f t="shared" si="26"/>
        <v>75378.180000000168</v>
      </c>
      <c r="J148" s="65"/>
      <c r="K148" s="259"/>
      <c r="L148" s="65">
        <v>0</v>
      </c>
      <c r="M148" s="60">
        <v>0</v>
      </c>
      <c r="N148" s="65"/>
      <c r="O148" s="259">
        <v>111309.89</v>
      </c>
      <c r="P148" s="65">
        <v>30.09</v>
      </c>
      <c r="Q148" s="60">
        <v>1112.8</v>
      </c>
      <c r="R148" s="1473">
        <f t="shared" si="27"/>
        <v>110167</v>
      </c>
      <c r="S148" s="37"/>
      <c r="T148" s="37"/>
      <c r="U148" s="37"/>
      <c r="V148" s="37"/>
      <c r="W148" s="37"/>
    </row>
    <row r="149" spans="1:23">
      <c r="A149" s="265"/>
      <c r="B149" s="235" t="s">
        <v>720</v>
      </c>
      <c r="C149" s="65">
        <v>842106.26</v>
      </c>
      <c r="D149" s="65">
        <v>20090.79</v>
      </c>
      <c r="E149" s="285">
        <f t="shared" si="32"/>
        <v>862197.05</v>
      </c>
      <c r="F149" s="65">
        <v>1051972.9099999999</v>
      </c>
      <c r="G149" s="285">
        <f t="shared" si="33"/>
        <v>1914169.96</v>
      </c>
      <c r="H149" s="65">
        <v>1734867.09</v>
      </c>
      <c r="I149" s="285">
        <f t="shared" si="26"/>
        <v>3656422.25</v>
      </c>
      <c r="J149" s="65"/>
      <c r="K149" s="259"/>
      <c r="L149" s="65">
        <v>7209.26</v>
      </c>
      <c r="M149" s="60">
        <v>175.94</v>
      </c>
      <c r="N149" s="65"/>
      <c r="O149" s="259">
        <v>46327.42</v>
      </c>
      <c r="P149" s="65">
        <v>501.81</v>
      </c>
      <c r="Q149" s="60">
        <v>458.26</v>
      </c>
      <c r="R149" s="1473">
        <f t="shared" si="27"/>
        <v>45367.35</v>
      </c>
      <c r="S149" s="37"/>
      <c r="T149" s="37"/>
      <c r="U149" s="37"/>
      <c r="V149" s="37"/>
      <c r="W149" s="37"/>
    </row>
    <row r="150" spans="1:23">
      <c r="A150" s="265"/>
      <c r="B150" s="235" t="s">
        <v>721</v>
      </c>
      <c r="C150" s="65">
        <v>842106.26</v>
      </c>
      <c r="D150" s="65">
        <v>20090.79</v>
      </c>
      <c r="E150" s="285">
        <f t="shared" si="32"/>
        <v>862197.05</v>
      </c>
      <c r="F150" s="65">
        <v>901042.76</v>
      </c>
      <c r="G150" s="285">
        <f t="shared" si="33"/>
        <v>1763239.81</v>
      </c>
      <c r="H150" s="65">
        <v>-1688539.67</v>
      </c>
      <c r="I150" s="285">
        <f t="shared" ref="I150:I181" si="34">G149+H150</f>
        <v>225630.29000000004</v>
      </c>
      <c r="J150" s="65"/>
      <c r="K150" s="259"/>
      <c r="L150" s="65">
        <v>150498.62</v>
      </c>
      <c r="M150" s="60">
        <v>431.53</v>
      </c>
      <c r="N150" s="65"/>
      <c r="O150" s="259">
        <v>411551.59</v>
      </c>
      <c r="P150" s="65">
        <v>254.79</v>
      </c>
      <c r="Q150" s="60">
        <v>4112.97</v>
      </c>
      <c r="R150" s="1473">
        <f t="shared" si="27"/>
        <v>407183.83000000007</v>
      </c>
      <c r="S150" s="37"/>
      <c r="T150" s="37"/>
      <c r="U150" s="37"/>
      <c r="V150" s="37"/>
      <c r="W150" s="37"/>
    </row>
    <row r="151" spans="1:23">
      <c r="A151" s="265"/>
      <c r="B151" s="235" t="s">
        <v>722</v>
      </c>
      <c r="C151" s="65">
        <v>842106.26</v>
      </c>
      <c r="D151" s="65">
        <v>20090.79</v>
      </c>
      <c r="E151" s="285">
        <f>SUM(C151:D151)</f>
        <v>862197.05</v>
      </c>
      <c r="F151" s="65">
        <v>864978.34</v>
      </c>
      <c r="G151" s="285">
        <f>SUM(E151:F151)</f>
        <v>1727175.3900000001</v>
      </c>
      <c r="H151" s="65">
        <v>-1276988.08</v>
      </c>
      <c r="I151" s="285">
        <f t="shared" si="34"/>
        <v>486251.73</v>
      </c>
      <c r="J151" s="65"/>
      <c r="K151" s="259"/>
      <c r="L151" s="65">
        <v>36064.42</v>
      </c>
      <c r="M151" s="60">
        <v>0</v>
      </c>
      <c r="N151" s="65"/>
      <c r="O151" s="259">
        <v>171157.34</v>
      </c>
      <c r="P151" s="65">
        <v>382.76</v>
      </c>
      <c r="Q151" s="60">
        <v>1707.75</v>
      </c>
      <c r="R151" s="1473">
        <f t="shared" si="27"/>
        <v>169066.83</v>
      </c>
      <c r="S151" s="37"/>
      <c r="T151" s="37"/>
      <c r="U151" s="37"/>
      <c r="V151" s="37"/>
      <c r="W151" s="37"/>
    </row>
    <row r="152" spans="1:23">
      <c r="A152" s="265"/>
      <c r="B152" s="235" t="s">
        <v>723</v>
      </c>
      <c r="C152" s="65">
        <v>842106.26</v>
      </c>
      <c r="D152" s="65">
        <v>20090.79</v>
      </c>
      <c r="E152" s="285">
        <f t="shared" ref="E152:E204" si="35">SUM(C152:D152)</f>
        <v>862197.05</v>
      </c>
      <c r="F152" s="65">
        <v>447568.55</v>
      </c>
      <c r="G152" s="285">
        <f t="shared" ref="G152:G204" si="36">SUM(E152:F152)</f>
        <v>1309765.6000000001</v>
      </c>
      <c r="H152" s="65">
        <v>-1105830.74</v>
      </c>
      <c r="I152" s="285">
        <f t="shared" si="34"/>
        <v>621344.65000000014</v>
      </c>
      <c r="J152" s="65"/>
      <c r="K152" s="259"/>
      <c r="L152" s="65">
        <v>417324.25</v>
      </c>
      <c r="M152" s="60">
        <v>85.54</v>
      </c>
      <c r="N152" s="65"/>
      <c r="O152" s="259">
        <v>278411.32</v>
      </c>
      <c r="P152" s="65">
        <v>2614.58</v>
      </c>
      <c r="Q152" s="60">
        <v>2757.97</v>
      </c>
      <c r="R152" s="1473">
        <f t="shared" si="27"/>
        <v>273038.77</v>
      </c>
      <c r="S152" s="37"/>
      <c r="T152" s="37"/>
      <c r="U152" s="37"/>
      <c r="V152" s="37"/>
      <c r="W152" s="37"/>
    </row>
    <row r="153" spans="1:23">
      <c r="A153" s="265"/>
      <c r="B153" s="235" t="s">
        <v>724</v>
      </c>
      <c r="C153" s="65">
        <v>842106.26</v>
      </c>
      <c r="D153" s="65">
        <v>20090.79</v>
      </c>
      <c r="E153" s="285">
        <f t="shared" si="35"/>
        <v>862197.05</v>
      </c>
      <c r="F153" s="65">
        <v>279147.53999999998</v>
      </c>
      <c r="G153" s="285">
        <f t="shared" si="36"/>
        <v>1141344.5900000001</v>
      </c>
      <c r="H153" s="65">
        <v>-827419.42</v>
      </c>
      <c r="I153" s="285">
        <f t="shared" si="34"/>
        <v>482346.18000000005</v>
      </c>
      <c r="J153" s="65"/>
      <c r="K153" s="259"/>
      <c r="L153" s="65">
        <v>168336.28</v>
      </c>
      <c r="M153" s="60">
        <v>84.73</v>
      </c>
      <c r="N153" s="65"/>
      <c r="O153" s="259">
        <v>563360.71</v>
      </c>
      <c r="P153" s="65">
        <v>168.06</v>
      </c>
      <c r="Q153" s="60">
        <v>5631.93</v>
      </c>
      <c r="R153" s="1473">
        <f t="shared" si="27"/>
        <v>557560.71999999986</v>
      </c>
      <c r="V153" s="37"/>
      <c r="W153" s="37"/>
    </row>
    <row r="154" spans="1:23">
      <c r="A154" s="271">
        <v>2019</v>
      </c>
      <c r="B154" s="283" t="s">
        <v>713</v>
      </c>
      <c r="C154" s="281">
        <v>757578.85</v>
      </c>
      <c r="D154" s="281">
        <v>20273.189999999999</v>
      </c>
      <c r="E154" s="284">
        <f t="shared" si="35"/>
        <v>777852.03999999992</v>
      </c>
      <c r="F154" s="281">
        <v>3142750.72</v>
      </c>
      <c r="G154" s="284">
        <f t="shared" si="36"/>
        <v>3920602.7600000002</v>
      </c>
      <c r="H154" s="65">
        <v>-264058.71000000002</v>
      </c>
      <c r="I154" s="286">
        <f t="shared" si="34"/>
        <v>877285.88000000012</v>
      </c>
      <c r="J154" s="65"/>
      <c r="K154" s="292"/>
      <c r="L154" s="282">
        <v>278620.53999999998</v>
      </c>
      <c r="M154" s="299">
        <v>527</v>
      </c>
      <c r="N154" s="65"/>
      <c r="O154" s="292">
        <v>264058.71000000002</v>
      </c>
      <c r="P154" s="282">
        <v>340.06</v>
      </c>
      <c r="Q154" s="299">
        <v>2637.19</v>
      </c>
      <c r="R154" s="1473">
        <f t="shared" si="27"/>
        <v>261081.46000000002</v>
      </c>
      <c r="S154" s="3752">
        <f>SUM(Q143:Q154)</f>
        <v>31316.99</v>
      </c>
      <c r="T154" s="3752">
        <f>SUM(R143:R154)</f>
        <v>3100380.26</v>
      </c>
      <c r="U154" s="3753">
        <f>SUM(S154:T154)</f>
        <v>3131697.25</v>
      </c>
      <c r="V154" s="37"/>
      <c r="W154" s="37"/>
    </row>
    <row r="155" spans="1:23">
      <c r="A155" s="265"/>
      <c r="B155" s="235" t="s">
        <v>714</v>
      </c>
      <c r="C155" s="65">
        <v>757578.85</v>
      </c>
      <c r="D155" s="65">
        <v>20273.189999999999</v>
      </c>
      <c r="E155" s="285">
        <f t="shared" si="35"/>
        <v>777852.03999999992</v>
      </c>
      <c r="F155" s="65">
        <v>2564967.06</v>
      </c>
      <c r="G155" s="285">
        <f t="shared" si="36"/>
        <v>3342819.1</v>
      </c>
      <c r="H155" s="281">
        <v>-3058405.71</v>
      </c>
      <c r="I155" s="284">
        <f t="shared" si="34"/>
        <v>862197.05000000028</v>
      </c>
      <c r="J155" s="69"/>
      <c r="K155" s="291">
        <v>574941.68999999994</v>
      </c>
      <c r="L155" s="281">
        <v>2054.13</v>
      </c>
      <c r="M155" s="298">
        <v>787.84</v>
      </c>
      <c r="N155" s="65"/>
      <c r="O155" s="259">
        <v>726300.82</v>
      </c>
      <c r="P155" s="65">
        <v>342.18</v>
      </c>
      <c r="Q155" s="65">
        <v>7259.59</v>
      </c>
      <c r="R155" s="288">
        <f t="shared" ref="R155:R170" si="37">O155-P155-Q155</f>
        <v>718699.04999999993</v>
      </c>
      <c r="S155" s="37"/>
      <c r="T155" s="37"/>
      <c r="U155" s="37"/>
      <c r="V155" s="37"/>
      <c r="W155" s="37"/>
    </row>
    <row r="156" spans="1:23">
      <c r="A156" s="265"/>
      <c r="B156" s="235" t="s">
        <v>715</v>
      </c>
      <c r="C156" s="65">
        <v>757578.85</v>
      </c>
      <c r="D156" s="65">
        <v>20273.189999999999</v>
      </c>
      <c r="E156" s="285">
        <f t="shared" si="35"/>
        <v>777852.03999999992</v>
      </c>
      <c r="F156" s="65">
        <v>2311665.19</v>
      </c>
      <c r="G156" s="285">
        <f t="shared" si="36"/>
        <v>3089517.23</v>
      </c>
      <c r="H156" s="65">
        <v>-2332104.89</v>
      </c>
      <c r="I156" s="285">
        <f t="shared" si="34"/>
        <v>1010714.21</v>
      </c>
      <c r="J156" s="65"/>
      <c r="K156" s="259">
        <v>247741.21</v>
      </c>
      <c r="L156" s="65">
        <v>2902.47</v>
      </c>
      <c r="M156" s="60">
        <v>2658.19</v>
      </c>
      <c r="N156" s="65"/>
      <c r="O156" s="259">
        <v>231025.17</v>
      </c>
      <c r="P156" s="65">
        <v>1099.02</v>
      </c>
      <c r="Q156" s="65">
        <v>2299.2600000000002</v>
      </c>
      <c r="R156" s="289">
        <f t="shared" si="37"/>
        <v>227626.89</v>
      </c>
      <c r="S156" s="37"/>
      <c r="T156" s="37"/>
      <c r="U156" s="37"/>
      <c r="V156" s="37"/>
      <c r="W156" s="37"/>
    </row>
    <row r="157" spans="1:23">
      <c r="A157" s="265"/>
      <c r="B157" s="235" t="s">
        <v>716</v>
      </c>
      <c r="C157" s="65">
        <v>757578.85</v>
      </c>
      <c r="D157" s="65">
        <v>20273.189999999999</v>
      </c>
      <c r="E157" s="285">
        <f t="shared" si="35"/>
        <v>777852.03999999992</v>
      </c>
      <c r="F157" s="65">
        <v>1583665.26</v>
      </c>
      <c r="G157" s="285">
        <f t="shared" si="36"/>
        <v>2361517.2999999998</v>
      </c>
      <c r="H157" s="65">
        <v>-2101079.7200000002</v>
      </c>
      <c r="I157" s="285">
        <f t="shared" si="34"/>
        <v>988437.50999999978</v>
      </c>
      <c r="J157" s="65"/>
      <c r="K157" s="259">
        <v>726288.18</v>
      </c>
      <c r="L157" s="65">
        <v>584.66999999999996</v>
      </c>
      <c r="M157" s="60">
        <v>1137.08</v>
      </c>
      <c r="N157" s="65"/>
      <c r="O157" s="259">
        <v>102870.17</v>
      </c>
      <c r="P157" s="65">
        <v>0</v>
      </c>
      <c r="Q157" s="65">
        <v>1028.7</v>
      </c>
      <c r="R157" s="289">
        <f t="shared" si="37"/>
        <v>101841.47</v>
      </c>
      <c r="S157" s="37"/>
      <c r="T157" s="37"/>
      <c r="U157" s="37"/>
      <c r="V157" s="37"/>
      <c r="W157" s="37"/>
    </row>
    <row r="158" spans="1:23">
      <c r="A158" s="265"/>
      <c r="B158" s="235" t="s">
        <v>717</v>
      </c>
      <c r="C158" s="65">
        <v>757578.85</v>
      </c>
      <c r="D158" s="65">
        <v>20273.189999999999</v>
      </c>
      <c r="E158" s="285">
        <f t="shared" si="35"/>
        <v>777852.03999999992</v>
      </c>
      <c r="F158" s="65">
        <v>1340212.08</v>
      </c>
      <c r="G158" s="285">
        <f t="shared" si="36"/>
        <v>2118064.12</v>
      </c>
      <c r="H158" s="65">
        <v>-1998209.55</v>
      </c>
      <c r="I158" s="285">
        <f t="shared" si="34"/>
        <v>363307.74999999977</v>
      </c>
      <c r="J158" s="65"/>
      <c r="K158" s="259">
        <v>226481.29</v>
      </c>
      <c r="L158" s="65">
        <v>12373.25</v>
      </c>
      <c r="M158" s="60">
        <v>4580.91</v>
      </c>
      <c r="N158" s="65"/>
      <c r="O158" s="259">
        <v>5033.37</v>
      </c>
      <c r="P158" s="65">
        <v>170.78</v>
      </c>
      <c r="Q158" s="65">
        <v>48.63</v>
      </c>
      <c r="R158" s="289">
        <f t="shared" si="37"/>
        <v>4813.96</v>
      </c>
      <c r="S158" s="37"/>
      <c r="T158" s="37"/>
      <c r="U158" s="37"/>
      <c r="V158" s="37"/>
      <c r="W158" s="37"/>
    </row>
    <row r="159" spans="1:23">
      <c r="A159" s="265"/>
      <c r="B159" s="235" t="s">
        <v>718</v>
      </c>
      <c r="C159" s="65">
        <v>757578.85</v>
      </c>
      <c r="D159" s="65">
        <v>20273.189999999999</v>
      </c>
      <c r="E159" s="285">
        <f t="shared" si="35"/>
        <v>777852.03999999992</v>
      </c>
      <c r="F159" s="65">
        <v>1245818.97</v>
      </c>
      <c r="G159" s="285">
        <f t="shared" si="36"/>
        <v>2023671.0099999998</v>
      </c>
      <c r="H159" s="65">
        <v>-1993176.18</v>
      </c>
      <c r="I159" s="285">
        <f t="shared" si="34"/>
        <v>124887.94000000018</v>
      </c>
      <c r="J159" s="65"/>
      <c r="K159" s="259">
        <v>94072.01</v>
      </c>
      <c r="L159" s="65">
        <v>0</v>
      </c>
      <c r="M159" s="60">
        <v>321.10000000000002</v>
      </c>
      <c r="N159" s="65"/>
      <c r="O159" s="259">
        <v>3800.77</v>
      </c>
      <c r="P159" s="65">
        <v>163.47999999999999</v>
      </c>
      <c r="Q159" s="65">
        <v>36.369999999999997</v>
      </c>
      <c r="R159" s="289">
        <f t="shared" si="37"/>
        <v>3600.92</v>
      </c>
      <c r="S159" s="37"/>
      <c r="T159" s="37"/>
      <c r="U159" s="37"/>
      <c r="V159" s="37"/>
      <c r="W159" s="37"/>
    </row>
    <row r="160" spans="1:23">
      <c r="A160" s="265"/>
      <c r="B160" s="235" t="s">
        <v>719</v>
      </c>
      <c r="C160" s="65">
        <v>757578.85</v>
      </c>
      <c r="D160" s="65">
        <v>20273.189999999999</v>
      </c>
      <c r="E160" s="285">
        <f t="shared" si="35"/>
        <v>777852.03999999992</v>
      </c>
      <c r="F160" s="65">
        <v>1245406.8899999999</v>
      </c>
      <c r="G160" s="285">
        <f t="shared" si="36"/>
        <v>2023258.9299999997</v>
      </c>
      <c r="H160" s="65">
        <v>-1989375.41</v>
      </c>
      <c r="I160" s="285">
        <f t="shared" si="34"/>
        <v>34295.59999999986</v>
      </c>
      <c r="J160" s="65"/>
      <c r="K160" s="259">
        <v>0</v>
      </c>
      <c r="L160" s="65">
        <v>412.08</v>
      </c>
      <c r="M160" s="60">
        <v>0</v>
      </c>
      <c r="N160" s="65"/>
      <c r="O160" s="259">
        <v>34151.4</v>
      </c>
      <c r="P160" s="65">
        <v>0</v>
      </c>
      <c r="Q160" s="65">
        <v>341.51</v>
      </c>
      <c r="R160" s="289">
        <f t="shared" si="37"/>
        <v>33809.89</v>
      </c>
      <c r="S160" s="37"/>
      <c r="T160" s="37"/>
      <c r="U160" s="37"/>
      <c r="V160" s="37"/>
      <c r="W160" s="37"/>
    </row>
    <row r="161" spans="1:23">
      <c r="A161" s="265"/>
      <c r="B161" s="235" t="s">
        <v>720</v>
      </c>
      <c r="C161" s="65">
        <v>757578.85</v>
      </c>
      <c r="D161" s="65">
        <v>20273.189999999999</v>
      </c>
      <c r="E161" s="285">
        <f t="shared" si="35"/>
        <v>777852.03999999992</v>
      </c>
      <c r="F161" s="65">
        <v>1242515.18</v>
      </c>
      <c r="G161" s="285">
        <f t="shared" si="36"/>
        <v>2020367.2199999997</v>
      </c>
      <c r="H161" s="65">
        <v>-1955224.01</v>
      </c>
      <c r="I161" s="285">
        <f t="shared" si="34"/>
        <v>68034.919999999693</v>
      </c>
      <c r="J161" s="65"/>
      <c r="K161" s="259">
        <v>0</v>
      </c>
      <c r="L161" s="65">
        <v>2341.75</v>
      </c>
      <c r="M161" s="60">
        <v>549.96</v>
      </c>
      <c r="N161" s="65"/>
      <c r="O161" s="259">
        <v>37389.46</v>
      </c>
      <c r="P161" s="65">
        <v>84.16</v>
      </c>
      <c r="Q161" s="65">
        <v>373.05</v>
      </c>
      <c r="R161" s="289">
        <f t="shared" si="37"/>
        <v>36932.249999999993</v>
      </c>
      <c r="S161" s="37"/>
      <c r="T161" s="37"/>
      <c r="U161" s="37"/>
      <c r="V161" s="37"/>
      <c r="W161" s="37"/>
    </row>
    <row r="162" spans="1:23">
      <c r="A162" s="265"/>
      <c r="B162" s="235" t="s">
        <v>721</v>
      </c>
      <c r="C162" s="65">
        <v>757578.85</v>
      </c>
      <c r="D162" s="65">
        <v>20273.189999999999</v>
      </c>
      <c r="E162" s="285">
        <f t="shared" si="35"/>
        <v>777852.03999999992</v>
      </c>
      <c r="F162" s="65">
        <v>1204479.03</v>
      </c>
      <c r="G162" s="285">
        <f t="shared" si="36"/>
        <v>1982331.0699999998</v>
      </c>
      <c r="H162" s="65">
        <v>1917834.55</v>
      </c>
      <c r="I162" s="285">
        <f t="shared" si="34"/>
        <v>3938201.7699999996</v>
      </c>
      <c r="J162" s="65"/>
      <c r="K162" s="259">
        <v>0</v>
      </c>
      <c r="L162" s="65">
        <v>37123.31</v>
      </c>
      <c r="M162" s="60">
        <v>912.84</v>
      </c>
      <c r="N162" s="65"/>
      <c r="O162" s="259">
        <v>63850.85</v>
      </c>
      <c r="P162" s="65">
        <v>118.22</v>
      </c>
      <c r="Q162" s="65">
        <v>637.33000000000004</v>
      </c>
      <c r="R162" s="289">
        <f t="shared" si="37"/>
        <v>63095.299999999996</v>
      </c>
      <c r="S162" s="37"/>
      <c r="T162" s="37"/>
      <c r="U162" s="37"/>
      <c r="V162" s="37"/>
      <c r="W162" s="37"/>
    </row>
    <row r="163" spans="1:23">
      <c r="A163" s="265"/>
      <c r="B163" s="235" t="s">
        <v>722</v>
      </c>
      <c r="C163" s="65">
        <v>757578.85</v>
      </c>
      <c r="D163" s="65">
        <v>20273.189999999999</v>
      </c>
      <c r="E163" s="285">
        <f t="shared" si="35"/>
        <v>777852.03999999992</v>
      </c>
      <c r="F163" s="65">
        <v>1175976.79</v>
      </c>
      <c r="G163" s="285">
        <f t="shared" si="36"/>
        <v>1953828.83</v>
      </c>
      <c r="H163" s="65">
        <v>-1853983.7</v>
      </c>
      <c r="I163" s="285">
        <f t="shared" si="34"/>
        <v>128347.36999999988</v>
      </c>
      <c r="J163" s="65"/>
      <c r="K163" s="259">
        <v>0</v>
      </c>
      <c r="L163" s="65">
        <v>28259.45</v>
      </c>
      <c r="M163" s="60">
        <v>242.79</v>
      </c>
      <c r="N163" s="65"/>
      <c r="O163" s="259">
        <v>540825</v>
      </c>
      <c r="P163" s="65">
        <v>2594.1799999999998</v>
      </c>
      <c r="Q163" s="65">
        <v>5382.31</v>
      </c>
      <c r="R163" s="289">
        <f t="shared" si="37"/>
        <v>532848.50999999989</v>
      </c>
      <c r="S163" s="37"/>
      <c r="T163" s="37"/>
      <c r="U163" s="37"/>
      <c r="V163" s="37"/>
      <c r="W163" s="37"/>
    </row>
    <row r="164" spans="1:23">
      <c r="A164" s="265"/>
      <c r="B164" s="235" t="s">
        <v>723</v>
      </c>
      <c r="C164" s="65">
        <v>757578.85</v>
      </c>
      <c r="D164" s="65">
        <v>20273.189999999999</v>
      </c>
      <c r="E164" s="285">
        <f t="shared" si="35"/>
        <v>777852.03999999992</v>
      </c>
      <c r="F164" s="65">
        <v>1111575.18</v>
      </c>
      <c r="G164" s="285">
        <f t="shared" si="36"/>
        <v>1889427.2199999997</v>
      </c>
      <c r="H164" s="65">
        <v>-1313158.7</v>
      </c>
      <c r="I164" s="285">
        <f t="shared" si="34"/>
        <v>640670.13000000012</v>
      </c>
      <c r="J164" s="65"/>
      <c r="K164" s="259">
        <v>0</v>
      </c>
      <c r="L164" s="65">
        <v>63851.839999999997</v>
      </c>
      <c r="M164" s="60">
        <v>549.77</v>
      </c>
      <c r="N164" s="65"/>
      <c r="O164" s="259">
        <v>553762.76</v>
      </c>
      <c r="P164" s="65">
        <v>478.42</v>
      </c>
      <c r="Q164" s="65">
        <v>5532.84</v>
      </c>
      <c r="R164" s="289">
        <f t="shared" si="37"/>
        <v>547751.5</v>
      </c>
      <c r="S164" s="37"/>
      <c r="T164" s="37"/>
      <c r="U164" s="37"/>
      <c r="V164" s="37"/>
      <c r="W164" s="37"/>
    </row>
    <row r="165" spans="1:23">
      <c r="A165" s="261"/>
      <c r="B165" s="237" t="s">
        <v>724</v>
      </c>
      <c r="C165" s="282">
        <v>757578.85</v>
      </c>
      <c r="D165" s="282">
        <v>20273.189999999999</v>
      </c>
      <c r="E165" s="286">
        <f t="shared" si="35"/>
        <v>777852.03999999992</v>
      </c>
      <c r="F165" s="282">
        <v>540415.77</v>
      </c>
      <c r="G165" s="286">
        <f t="shared" si="36"/>
        <v>1318267.81</v>
      </c>
      <c r="H165" s="65">
        <v>-759395.94</v>
      </c>
      <c r="I165" s="285">
        <f t="shared" si="34"/>
        <v>1130031.2799999998</v>
      </c>
      <c r="J165" s="65"/>
      <c r="K165" s="259">
        <v>0</v>
      </c>
      <c r="L165" s="65">
        <v>570908.57999999996</v>
      </c>
      <c r="M165" s="60">
        <v>250.83</v>
      </c>
      <c r="N165" s="65"/>
      <c r="O165" s="259">
        <v>306810.09000000003</v>
      </c>
      <c r="P165" s="65">
        <v>32.18</v>
      </c>
      <c r="Q165" s="65">
        <v>3067.78</v>
      </c>
      <c r="R165" s="289">
        <f t="shared" si="37"/>
        <v>303710.13</v>
      </c>
      <c r="S165" s="37"/>
      <c r="T165" s="37"/>
      <c r="U165" s="37"/>
      <c r="V165" s="37"/>
      <c r="W165" s="37"/>
    </row>
    <row r="166" spans="1:23">
      <c r="A166" s="265">
        <v>2018</v>
      </c>
      <c r="B166" s="235" t="s">
        <v>713</v>
      </c>
      <c r="C166" s="65">
        <v>781464.39</v>
      </c>
      <c r="D166" s="65">
        <v>20155.48</v>
      </c>
      <c r="E166" s="285">
        <f t="shared" si="35"/>
        <v>801619.87</v>
      </c>
      <c r="F166" s="65">
        <v>2863375.82</v>
      </c>
      <c r="G166" s="285">
        <f t="shared" si="36"/>
        <v>3664995.69</v>
      </c>
      <c r="H166" s="282">
        <v>-452585.85</v>
      </c>
      <c r="I166" s="286">
        <f t="shared" si="34"/>
        <v>865681.96000000008</v>
      </c>
      <c r="J166" s="282"/>
      <c r="K166" s="292">
        <v>0</v>
      </c>
      <c r="L166" s="282">
        <v>538475.04</v>
      </c>
      <c r="M166" s="299">
        <v>1940.73</v>
      </c>
      <c r="N166" s="65"/>
      <c r="O166" s="292">
        <v>452585.85</v>
      </c>
      <c r="P166" s="282">
        <v>578.88</v>
      </c>
      <c r="Q166" s="282">
        <v>4520.07</v>
      </c>
      <c r="R166" s="290">
        <f t="shared" si="37"/>
        <v>447486.89999999997</v>
      </c>
      <c r="S166" s="37"/>
      <c r="T166" s="37"/>
      <c r="U166" s="37"/>
      <c r="V166" s="37"/>
      <c r="W166" s="37"/>
    </row>
    <row r="167" spans="1:23">
      <c r="A167" s="265"/>
      <c r="B167" s="235" t="s">
        <v>714</v>
      </c>
      <c r="C167" s="65">
        <v>781464.39</v>
      </c>
      <c r="D167" s="65">
        <v>20155.48</v>
      </c>
      <c r="E167" s="285">
        <f t="shared" si="35"/>
        <v>801619.87</v>
      </c>
      <c r="F167" s="65">
        <v>2566292.6</v>
      </c>
      <c r="G167" s="285">
        <f t="shared" si="36"/>
        <v>3367912.47</v>
      </c>
      <c r="H167" s="65">
        <v>-2887143.65</v>
      </c>
      <c r="I167" s="285">
        <f t="shared" si="34"/>
        <v>777852.04</v>
      </c>
      <c r="J167" s="65"/>
      <c r="K167" s="259">
        <v>295546.25</v>
      </c>
      <c r="L167" s="65">
        <v>65.23</v>
      </c>
      <c r="M167" s="60">
        <v>1471.74</v>
      </c>
      <c r="N167" s="69"/>
      <c r="O167" s="259">
        <v>487565.18</v>
      </c>
      <c r="P167" s="65">
        <v>1383.28</v>
      </c>
      <c r="Q167" s="65">
        <v>4861.82</v>
      </c>
      <c r="R167" s="289">
        <f t="shared" si="37"/>
        <v>481320.07999999996</v>
      </c>
      <c r="S167" s="37"/>
      <c r="T167" s="37"/>
      <c r="U167" s="37"/>
      <c r="V167" s="37"/>
      <c r="W167" s="37"/>
    </row>
    <row r="168" spans="1:23">
      <c r="A168" s="265"/>
      <c r="B168" s="235" t="s">
        <v>715</v>
      </c>
      <c r="C168" s="65">
        <v>781464.39</v>
      </c>
      <c r="D168" s="65">
        <v>20155.48</v>
      </c>
      <c r="E168" s="285">
        <f t="shared" si="35"/>
        <v>801619.87</v>
      </c>
      <c r="F168" s="65">
        <v>2113883.89</v>
      </c>
      <c r="G168" s="285">
        <f t="shared" si="36"/>
        <v>2915503.7600000002</v>
      </c>
      <c r="H168" s="65">
        <v>-2399578.4700000002</v>
      </c>
      <c r="I168" s="285">
        <f t="shared" si="34"/>
        <v>968334</v>
      </c>
      <c r="J168" s="65"/>
      <c r="K168" s="259">
        <v>448911.15</v>
      </c>
      <c r="L168" s="65">
        <v>3236.98</v>
      </c>
      <c r="M168" s="60">
        <v>260.58</v>
      </c>
      <c r="N168" s="65"/>
      <c r="O168" s="259">
        <v>329893.42</v>
      </c>
      <c r="P168" s="65">
        <v>1038.05</v>
      </c>
      <c r="Q168" s="65">
        <v>3288.55</v>
      </c>
      <c r="R168" s="289">
        <f t="shared" si="37"/>
        <v>325566.82</v>
      </c>
      <c r="S168" s="37"/>
      <c r="T168" s="37"/>
      <c r="U168" s="37"/>
      <c r="V168" s="37"/>
      <c r="W168" s="37"/>
    </row>
    <row r="169" spans="1:23">
      <c r="A169" s="265"/>
      <c r="B169" s="235" t="s">
        <v>716</v>
      </c>
      <c r="C169" s="65">
        <v>781464.39</v>
      </c>
      <c r="D169" s="65">
        <v>20155.48</v>
      </c>
      <c r="E169" s="285">
        <f t="shared" si="35"/>
        <v>801619.87</v>
      </c>
      <c r="F169" s="65">
        <v>1621341.68</v>
      </c>
      <c r="G169" s="285">
        <f t="shared" si="36"/>
        <v>2422961.5499999998</v>
      </c>
      <c r="H169" s="65">
        <v>-2069685.05</v>
      </c>
      <c r="I169" s="285">
        <f t="shared" si="34"/>
        <v>845818.7100000002</v>
      </c>
      <c r="J169" s="65"/>
      <c r="K169" s="259">
        <v>490309.1</v>
      </c>
      <c r="L169" s="65">
        <v>578.99</v>
      </c>
      <c r="M169" s="60">
        <v>1654.12</v>
      </c>
      <c r="N169" s="65"/>
      <c r="O169" s="259">
        <v>118812.05</v>
      </c>
      <c r="P169" s="65">
        <v>0</v>
      </c>
      <c r="Q169" s="65">
        <v>1188.1199999999999</v>
      </c>
      <c r="R169" s="289">
        <f t="shared" si="37"/>
        <v>117623.93000000001</v>
      </c>
      <c r="S169" s="37"/>
      <c r="T169" s="37"/>
      <c r="U169" s="37"/>
      <c r="V169" s="37"/>
      <c r="W169" s="37"/>
    </row>
    <row r="170" spans="1:23">
      <c r="A170" s="265"/>
      <c r="B170" s="235" t="s">
        <v>717</v>
      </c>
      <c r="C170" s="65">
        <v>781464.39</v>
      </c>
      <c r="D170" s="65">
        <v>20155.48</v>
      </c>
      <c r="E170" s="285">
        <f t="shared" si="35"/>
        <v>801619.87</v>
      </c>
      <c r="F170" s="65">
        <v>1292744.71</v>
      </c>
      <c r="G170" s="285">
        <f t="shared" si="36"/>
        <v>2094364.58</v>
      </c>
      <c r="H170" s="65">
        <v>-1950873</v>
      </c>
      <c r="I170" s="285">
        <f t="shared" si="34"/>
        <v>472088.54999999981</v>
      </c>
      <c r="J170" s="65"/>
      <c r="K170" s="259">
        <v>327642.39</v>
      </c>
      <c r="L170" s="65">
        <v>388.26</v>
      </c>
      <c r="M170" s="60">
        <v>566.32000000000005</v>
      </c>
      <c r="N170" s="65"/>
      <c r="O170" s="259">
        <v>4086.87</v>
      </c>
      <c r="P170" s="65">
        <v>357.01</v>
      </c>
      <c r="Q170" s="65">
        <v>37.299999999999997</v>
      </c>
      <c r="R170" s="289">
        <f t="shared" si="37"/>
        <v>3692.5599999999995</v>
      </c>
      <c r="S170" s="37"/>
      <c r="T170" s="37"/>
      <c r="U170" s="37"/>
      <c r="V170" s="37"/>
      <c r="W170" s="37"/>
    </row>
    <row r="171" spans="1:23">
      <c r="A171" s="265"/>
      <c r="B171" s="235" t="s">
        <v>718</v>
      </c>
      <c r="C171" s="65">
        <v>781464.39</v>
      </c>
      <c r="D171" s="65">
        <v>20155.48</v>
      </c>
      <c r="E171" s="285">
        <f t="shared" si="35"/>
        <v>801619.87</v>
      </c>
      <c r="F171" s="65">
        <v>1179207.25</v>
      </c>
      <c r="G171" s="285">
        <f t="shared" si="36"/>
        <v>1980827.12</v>
      </c>
      <c r="H171" s="65">
        <v>-1946786.13</v>
      </c>
      <c r="I171" s="285">
        <f t="shared" si="34"/>
        <v>147578.45000000019</v>
      </c>
      <c r="J171" s="65"/>
      <c r="K171" s="259">
        <v>113313.39</v>
      </c>
      <c r="L171" s="65">
        <v>170.54</v>
      </c>
      <c r="M171" s="60">
        <v>53.53</v>
      </c>
      <c r="N171" s="65"/>
      <c r="O171" s="259">
        <v>11844.69</v>
      </c>
      <c r="P171" s="65">
        <v>324.51</v>
      </c>
      <c r="Q171" s="65">
        <v>115.2</v>
      </c>
      <c r="R171" s="289">
        <f t="shared" ref="R171:R202" si="38">O171-P171-Q171</f>
        <v>11404.98</v>
      </c>
      <c r="S171" s="37"/>
      <c r="T171" s="37"/>
      <c r="U171" s="37"/>
      <c r="V171" s="37"/>
      <c r="W171" s="37"/>
    </row>
    <row r="172" spans="1:23">
      <c r="A172" s="265"/>
      <c r="B172" s="235" t="s">
        <v>719</v>
      </c>
      <c r="C172" s="65">
        <v>781464.39</v>
      </c>
      <c r="D172" s="65">
        <v>20155.488000000001</v>
      </c>
      <c r="E172" s="285">
        <f t="shared" si="35"/>
        <v>801619.87800000003</v>
      </c>
      <c r="F172" s="65">
        <v>1178817.79</v>
      </c>
      <c r="G172" s="285">
        <f t="shared" si="36"/>
        <v>1980437.6680000001</v>
      </c>
      <c r="H172" s="65">
        <v>-1934941.44</v>
      </c>
      <c r="I172" s="285">
        <f t="shared" si="34"/>
        <v>45885.680000000168</v>
      </c>
      <c r="J172" s="65"/>
      <c r="K172" s="259"/>
      <c r="L172" s="65">
        <v>148.06</v>
      </c>
      <c r="M172" s="60">
        <v>241.4</v>
      </c>
      <c r="N172" s="65"/>
      <c r="O172" s="259">
        <v>7035.15</v>
      </c>
      <c r="P172" s="65">
        <v>238.77</v>
      </c>
      <c r="Q172" s="65">
        <v>67.959999999999994</v>
      </c>
      <c r="R172" s="289">
        <f t="shared" si="38"/>
        <v>6728.4199999999992</v>
      </c>
      <c r="S172" s="37"/>
      <c r="T172" s="37"/>
      <c r="U172" s="37"/>
      <c r="V172" s="37"/>
      <c r="W172" s="37"/>
    </row>
    <row r="173" spans="1:23">
      <c r="A173" s="265"/>
      <c r="B173" s="235" t="s">
        <v>720</v>
      </c>
      <c r="C173" s="65">
        <v>781464.39</v>
      </c>
      <c r="D173" s="65">
        <v>20155.48</v>
      </c>
      <c r="E173" s="285">
        <f t="shared" si="35"/>
        <v>801619.87</v>
      </c>
      <c r="F173" s="65">
        <v>1165165.96</v>
      </c>
      <c r="G173" s="285">
        <f t="shared" si="36"/>
        <v>1966785.83</v>
      </c>
      <c r="H173" s="65">
        <v>-1927906.29</v>
      </c>
      <c r="I173" s="285">
        <f t="shared" si="34"/>
        <v>52531.378000000026</v>
      </c>
      <c r="J173" s="65"/>
      <c r="K173" s="259"/>
      <c r="L173" s="65">
        <v>13413.15</v>
      </c>
      <c r="M173" s="60">
        <v>238.68</v>
      </c>
      <c r="N173" s="65"/>
      <c r="O173" s="259">
        <v>23096.67</v>
      </c>
      <c r="P173" s="65">
        <v>377</v>
      </c>
      <c r="Q173" s="65">
        <v>227.19</v>
      </c>
      <c r="R173" s="289">
        <f t="shared" si="38"/>
        <v>22492.48</v>
      </c>
      <c r="S173" s="37"/>
      <c r="T173" s="37"/>
      <c r="U173" s="37"/>
      <c r="V173" s="37"/>
      <c r="W173" s="37"/>
    </row>
    <row r="174" spans="1:23">
      <c r="A174" s="265"/>
      <c r="B174" s="235" t="s">
        <v>721</v>
      </c>
      <c r="C174" s="65">
        <v>781464.39</v>
      </c>
      <c r="D174" s="65">
        <v>20155.48</v>
      </c>
      <c r="E174" s="285">
        <f t="shared" si="35"/>
        <v>801619.87</v>
      </c>
      <c r="F174" s="65">
        <v>1165165.96</v>
      </c>
      <c r="G174" s="285">
        <f t="shared" si="36"/>
        <v>1966785.83</v>
      </c>
      <c r="H174" s="65">
        <v>-1904809.62</v>
      </c>
      <c r="I174" s="285">
        <f t="shared" si="34"/>
        <v>61976.209999999963</v>
      </c>
      <c r="J174" s="65"/>
      <c r="K174" s="259"/>
      <c r="L174" s="65">
        <v>5490.69</v>
      </c>
      <c r="M174" s="60">
        <v>268.04000000000002</v>
      </c>
      <c r="N174" s="65"/>
      <c r="O174" s="259">
        <v>229037.3</v>
      </c>
      <c r="P174" s="65">
        <v>2953.53</v>
      </c>
      <c r="Q174" s="65">
        <v>2260.84</v>
      </c>
      <c r="R174" s="289">
        <f t="shared" si="38"/>
        <v>223822.93</v>
      </c>
      <c r="S174" s="37"/>
      <c r="T174" s="37"/>
      <c r="U174" s="37"/>
      <c r="V174" s="37"/>
      <c r="W174" s="37"/>
    </row>
    <row r="175" spans="1:23">
      <c r="A175" s="265"/>
      <c r="B175" s="235" t="s">
        <v>722</v>
      </c>
      <c r="C175" s="65">
        <v>781464.39</v>
      </c>
      <c r="D175" s="65">
        <v>20155.48</v>
      </c>
      <c r="E175" s="285">
        <f t="shared" si="35"/>
        <v>801619.87</v>
      </c>
      <c r="F175" s="65">
        <v>1146118.32</v>
      </c>
      <c r="G175" s="285">
        <f t="shared" si="36"/>
        <v>1947738.19</v>
      </c>
      <c r="H175" s="65">
        <v>-1904809.62</v>
      </c>
      <c r="I175" s="285">
        <f t="shared" si="34"/>
        <v>61976.209999999963</v>
      </c>
      <c r="J175" s="65"/>
      <c r="K175" s="259"/>
      <c r="L175" s="65">
        <v>5490.69</v>
      </c>
      <c r="M175" s="60">
        <v>268.04000000000002</v>
      </c>
      <c r="N175" s="65"/>
      <c r="O175" s="259">
        <v>229037.3</v>
      </c>
      <c r="P175" s="65">
        <v>2953.53</v>
      </c>
      <c r="Q175" s="65">
        <v>2260.84</v>
      </c>
      <c r="R175" s="289">
        <f t="shared" si="38"/>
        <v>223822.93</v>
      </c>
      <c r="S175" s="37"/>
      <c r="T175" s="37"/>
      <c r="U175" s="37"/>
      <c r="V175" s="37"/>
      <c r="W175" s="37"/>
    </row>
    <row r="176" spans="1:23">
      <c r="A176" s="265"/>
      <c r="B176" s="235" t="s">
        <v>723</v>
      </c>
      <c r="C176" s="65">
        <v>781464.39</v>
      </c>
      <c r="D176" s="65">
        <v>20155.48</v>
      </c>
      <c r="E176" s="285">
        <f t="shared" si="35"/>
        <v>801619.87</v>
      </c>
      <c r="F176" s="65">
        <v>907416.58</v>
      </c>
      <c r="G176" s="285">
        <f t="shared" si="36"/>
        <v>1709036.45</v>
      </c>
      <c r="H176" s="65">
        <v>-1008064.99</v>
      </c>
      <c r="I176" s="285">
        <f t="shared" si="34"/>
        <v>939673.2</v>
      </c>
      <c r="J176" s="65"/>
      <c r="K176" s="259"/>
      <c r="L176" s="65">
        <v>238152.51</v>
      </c>
      <c r="M176" s="60">
        <v>549.23</v>
      </c>
      <c r="N176" s="65"/>
      <c r="O176" s="259">
        <v>230049.25</v>
      </c>
      <c r="P176" s="65">
        <v>1413.35</v>
      </c>
      <c r="Q176" s="65">
        <v>2286.36</v>
      </c>
      <c r="R176" s="289">
        <f t="shared" si="38"/>
        <v>226349.54</v>
      </c>
      <c r="S176" s="37"/>
      <c r="T176" s="37"/>
      <c r="U176" s="37"/>
      <c r="V176" s="37"/>
      <c r="W176" s="37"/>
    </row>
    <row r="177" spans="1:23">
      <c r="A177" s="265"/>
      <c r="B177" s="235" t="s">
        <v>724</v>
      </c>
      <c r="C177" s="65">
        <v>781464.39</v>
      </c>
      <c r="D177" s="65">
        <v>20155.48</v>
      </c>
      <c r="E177" s="285">
        <f t="shared" si="35"/>
        <v>801619.87</v>
      </c>
      <c r="F177" s="65">
        <v>210550.28</v>
      </c>
      <c r="G177" s="285">
        <f t="shared" si="36"/>
        <v>1012170.15</v>
      </c>
      <c r="H177" s="65">
        <v>-521767.84</v>
      </c>
      <c r="I177" s="285">
        <f t="shared" si="34"/>
        <v>1187268.6099999999</v>
      </c>
      <c r="J177" s="65"/>
      <c r="K177" s="259"/>
      <c r="L177" s="65">
        <v>696697.76</v>
      </c>
      <c r="M177" s="60">
        <v>168.54</v>
      </c>
      <c r="N177" s="65"/>
      <c r="O177" s="259">
        <v>360943.41</v>
      </c>
      <c r="P177" s="65">
        <v>124.66</v>
      </c>
      <c r="Q177" s="65">
        <v>3608.19</v>
      </c>
      <c r="R177" s="289">
        <f t="shared" si="38"/>
        <v>357210.56</v>
      </c>
      <c r="S177" s="37"/>
      <c r="T177" s="37"/>
      <c r="U177" s="37"/>
      <c r="V177" s="37"/>
      <c r="W177" s="37"/>
    </row>
    <row r="178" spans="1:23">
      <c r="A178" s="271">
        <v>2017</v>
      </c>
      <c r="B178" s="283" t="s">
        <v>713</v>
      </c>
      <c r="C178" s="281">
        <v>531509.57999999996</v>
      </c>
      <c r="D178" s="281">
        <v>22558.53</v>
      </c>
      <c r="E178" s="284">
        <f t="shared" si="35"/>
        <v>554068.11</v>
      </c>
      <c r="F178" s="281">
        <v>3138125.81</v>
      </c>
      <c r="G178" s="284">
        <f t="shared" si="36"/>
        <v>3692193.92</v>
      </c>
      <c r="H178" s="65">
        <v>-417072.33</v>
      </c>
      <c r="I178" s="285">
        <f t="shared" si="34"/>
        <v>595097.82000000007</v>
      </c>
      <c r="J178" s="65"/>
      <c r="K178" s="259"/>
      <c r="L178" s="65">
        <v>209842.47</v>
      </c>
      <c r="M178" s="60">
        <v>707.81</v>
      </c>
      <c r="N178" s="69"/>
      <c r="O178" s="259">
        <v>417072.33</v>
      </c>
      <c r="P178" s="65">
        <v>198.06</v>
      </c>
      <c r="Q178" s="65">
        <v>4168.74</v>
      </c>
      <c r="R178" s="289">
        <f t="shared" si="38"/>
        <v>412705.53</v>
      </c>
      <c r="S178" s="37"/>
      <c r="T178" s="37"/>
      <c r="U178" s="37"/>
      <c r="V178" s="37"/>
      <c r="W178" s="37"/>
    </row>
    <row r="179" spans="1:23">
      <c r="A179" s="265"/>
      <c r="B179" s="235" t="s">
        <v>714</v>
      </c>
      <c r="C179" s="65">
        <v>531509.57999999996</v>
      </c>
      <c r="D179" s="65">
        <v>22558.53</v>
      </c>
      <c r="E179" s="285">
        <f t="shared" si="35"/>
        <v>554068.11</v>
      </c>
      <c r="F179" s="65">
        <v>2779642.44</v>
      </c>
      <c r="G179" s="285">
        <f t="shared" si="36"/>
        <v>3333710.55</v>
      </c>
      <c r="H179" s="281">
        <v>-2890574.05</v>
      </c>
      <c r="I179" s="284">
        <f t="shared" si="34"/>
        <v>801619.87000000011</v>
      </c>
      <c r="J179" s="69"/>
      <c r="K179" s="291">
        <v>358192.64000000001</v>
      </c>
      <c r="L179" s="281">
        <v>148.9</v>
      </c>
      <c r="M179" s="298">
        <v>141.83000000000001</v>
      </c>
      <c r="N179" s="65"/>
      <c r="O179" s="291">
        <v>359161.54</v>
      </c>
      <c r="P179" s="281">
        <v>714.08</v>
      </c>
      <c r="Q179" s="281">
        <v>3584.47</v>
      </c>
      <c r="R179" s="288">
        <f t="shared" si="38"/>
        <v>354862.99</v>
      </c>
      <c r="S179" s="37"/>
      <c r="T179" s="37"/>
      <c r="U179" s="37"/>
      <c r="V179" s="37"/>
      <c r="W179" s="37"/>
    </row>
    <row r="180" spans="1:23">
      <c r="A180" s="265"/>
      <c r="B180" s="235" t="s">
        <v>715</v>
      </c>
      <c r="C180" s="65">
        <v>531509.57999999996</v>
      </c>
      <c r="D180" s="65">
        <v>22558.53</v>
      </c>
      <c r="E180" s="285">
        <f t="shared" si="35"/>
        <v>554068.11</v>
      </c>
      <c r="F180" s="65">
        <v>2360459.4900000002</v>
      </c>
      <c r="G180" s="285">
        <f t="shared" si="36"/>
        <v>2914527.6</v>
      </c>
      <c r="H180" s="65">
        <v>-2531412.5099999998</v>
      </c>
      <c r="I180" s="285">
        <f t="shared" si="34"/>
        <v>802298.04</v>
      </c>
      <c r="J180" s="65"/>
      <c r="K180" s="259">
        <v>414967.76</v>
      </c>
      <c r="L180" s="65">
        <v>2235.31</v>
      </c>
      <c r="M180" s="60">
        <v>1979.88</v>
      </c>
      <c r="N180" s="65"/>
      <c r="O180" s="259">
        <v>425530.44</v>
      </c>
      <c r="P180" s="65">
        <v>3.97</v>
      </c>
      <c r="Q180" s="65">
        <v>4255.26</v>
      </c>
      <c r="R180" s="289">
        <f t="shared" si="38"/>
        <v>421271.21</v>
      </c>
      <c r="S180" s="37"/>
      <c r="T180" s="37"/>
      <c r="U180" s="37"/>
      <c r="V180" s="37"/>
      <c r="W180" s="37"/>
    </row>
    <row r="181" spans="1:23">
      <c r="A181" s="265"/>
      <c r="B181" s="235" t="s">
        <v>716</v>
      </c>
      <c r="C181" s="65">
        <v>531509.57999999996</v>
      </c>
      <c r="D181" s="65">
        <v>22558.53</v>
      </c>
      <c r="E181" s="285">
        <f t="shared" si="35"/>
        <v>554068.11</v>
      </c>
      <c r="F181" s="65">
        <v>2004005.24</v>
      </c>
      <c r="G181" s="285">
        <f t="shared" si="36"/>
        <v>2558073.35</v>
      </c>
      <c r="H181" s="65">
        <v>-2105882.0699999998</v>
      </c>
      <c r="I181" s="285">
        <f t="shared" si="34"/>
        <v>808645.53000000026</v>
      </c>
      <c r="J181" s="65"/>
      <c r="K181" s="259">
        <v>354404.86</v>
      </c>
      <c r="L181" s="65">
        <v>995.51</v>
      </c>
      <c r="M181" s="60">
        <v>1053.8800000000001</v>
      </c>
      <c r="N181" s="65"/>
      <c r="O181" s="259">
        <v>53928.75</v>
      </c>
      <c r="P181" s="65">
        <v>0</v>
      </c>
      <c r="Q181" s="65">
        <v>539.29</v>
      </c>
      <c r="R181" s="289">
        <f t="shared" si="38"/>
        <v>53389.46</v>
      </c>
      <c r="S181" s="37"/>
      <c r="T181" s="37"/>
      <c r="U181" s="37"/>
      <c r="V181" s="37"/>
      <c r="W181" s="37"/>
    </row>
    <row r="182" spans="1:23">
      <c r="A182" s="265"/>
      <c r="B182" s="235" t="s">
        <v>717</v>
      </c>
      <c r="C182" s="65">
        <v>531509.57999999996</v>
      </c>
      <c r="D182" s="65">
        <v>22558.53</v>
      </c>
      <c r="E182" s="285">
        <f t="shared" si="35"/>
        <v>554068.11</v>
      </c>
      <c r="F182" s="65">
        <v>1578769.09</v>
      </c>
      <c r="G182" s="285">
        <f t="shared" si="36"/>
        <v>2132837.2000000002</v>
      </c>
      <c r="H182" s="65">
        <v>-2051953.32</v>
      </c>
      <c r="I182" s="285">
        <f t="shared" ref="I182:I205" si="39">G181+H182</f>
        <v>506120.03</v>
      </c>
      <c r="J182" s="65"/>
      <c r="K182" s="259">
        <v>421072.65</v>
      </c>
      <c r="L182" s="65">
        <v>3725.87</v>
      </c>
      <c r="M182" s="60">
        <v>437.63</v>
      </c>
      <c r="N182" s="65"/>
      <c r="O182" s="259">
        <v>4734.66</v>
      </c>
      <c r="P182" s="65">
        <v>185.02</v>
      </c>
      <c r="Q182" s="65">
        <v>45.5</v>
      </c>
      <c r="R182" s="289">
        <f t="shared" si="38"/>
        <v>4504.1399999999994</v>
      </c>
      <c r="S182" s="37"/>
      <c r="T182" s="37"/>
      <c r="U182" s="37"/>
      <c r="V182" s="37"/>
      <c r="W182" s="37"/>
    </row>
    <row r="183" spans="1:23">
      <c r="A183" s="265"/>
      <c r="B183" s="235" t="s">
        <v>718</v>
      </c>
      <c r="C183" s="65">
        <v>531509.57999999996</v>
      </c>
      <c r="D183" s="65">
        <v>22558.53</v>
      </c>
      <c r="E183" s="285">
        <f t="shared" si="35"/>
        <v>554068.11</v>
      </c>
      <c r="F183" s="65">
        <v>1529019.73</v>
      </c>
      <c r="G183" s="285">
        <f t="shared" si="36"/>
        <v>2083087.8399999999</v>
      </c>
      <c r="H183" s="65">
        <v>-2047218.66</v>
      </c>
      <c r="I183" s="285">
        <f t="shared" si="39"/>
        <v>85618.54000000027</v>
      </c>
      <c r="J183" s="65"/>
      <c r="K183" s="259">
        <v>49464.82</v>
      </c>
      <c r="L183" s="65">
        <v>284.54000000000002</v>
      </c>
      <c r="M183" s="60">
        <v>0</v>
      </c>
      <c r="N183" s="65"/>
      <c r="O183" s="259">
        <v>13890.86</v>
      </c>
      <c r="P183" s="65">
        <v>437.85</v>
      </c>
      <c r="Q183" s="65">
        <v>134.53</v>
      </c>
      <c r="R183" s="289">
        <f t="shared" si="38"/>
        <v>13318.48</v>
      </c>
      <c r="S183" s="37"/>
      <c r="T183" s="37"/>
      <c r="U183" s="37"/>
      <c r="V183" s="37"/>
      <c r="W183" s="37"/>
    </row>
    <row r="184" spans="1:23">
      <c r="A184" s="265"/>
      <c r="B184" s="235" t="s">
        <v>719</v>
      </c>
      <c r="C184" s="65">
        <v>531509.57999999996</v>
      </c>
      <c r="D184" s="65">
        <v>22558.53</v>
      </c>
      <c r="E184" s="285">
        <f t="shared" si="35"/>
        <v>554068.11</v>
      </c>
      <c r="F184" s="65">
        <v>1525305.18</v>
      </c>
      <c r="G184" s="285">
        <f t="shared" si="36"/>
        <v>2079373.29</v>
      </c>
      <c r="H184" s="65">
        <v>-2033327.8</v>
      </c>
      <c r="I184" s="285">
        <f t="shared" si="39"/>
        <v>49760.039999999804</v>
      </c>
      <c r="J184" s="65"/>
      <c r="K184" s="259"/>
      <c r="L184" s="65">
        <v>3470.8</v>
      </c>
      <c r="M184" s="60">
        <v>243.78</v>
      </c>
      <c r="N184" s="65"/>
      <c r="O184" s="259">
        <v>38043.39</v>
      </c>
      <c r="P184" s="65">
        <v>199.39</v>
      </c>
      <c r="Q184" s="65">
        <v>378.44</v>
      </c>
      <c r="R184" s="289">
        <f t="shared" si="38"/>
        <v>37465.56</v>
      </c>
      <c r="S184" s="37"/>
      <c r="T184" s="37"/>
      <c r="U184" s="37"/>
      <c r="V184" s="37"/>
      <c r="W184" s="37"/>
    </row>
    <row r="185" spans="1:23">
      <c r="A185" s="265"/>
      <c r="B185" s="235" t="s">
        <v>720</v>
      </c>
      <c r="C185" s="65">
        <v>531509.57999999996</v>
      </c>
      <c r="D185" s="65">
        <v>22558.53</v>
      </c>
      <c r="E185" s="285">
        <f t="shared" si="35"/>
        <v>554068.11</v>
      </c>
      <c r="F185" s="65">
        <v>1509958.97</v>
      </c>
      <c r="G185" s="285">
        <f t="shared" si="36"/>
        <v>2064027.08</v>
      </c>
      <c r="H185" s="65">
        <v>-1995284.41</v>
      </c>
      <c r="I185" s="285">
        <f t="shared" si="39"/>
        <v>84088.880000000121</v>
      </c>
      <c r="J185" s="65"/>
      <c r="K185" s="259"/>
      <c r="L185" s="65">
        <v>14310.25</v>
      </c>
      <c r="M185" s="60">
        <v>1035.96</v>
      </c>
      <c r="N185" s="65"/>
      <c r="O185" s="259">
        <v>50360.77</v>
      </c>
      <c r="P185" s="65">
        <v>552.34</v>
      </c>
      <c r="Q185" s="65">
        <v>498.08</v>
      </c>
      <c r="R185" s="289">
        <f t="shared" si="38"/>
        <v>49310.35</v>
      </c>
      <c r="S185" s="37"/>
      <c r="T185" s="37"/>
      <c r="U185" s="37"/>
      <c r="V185" s="37"/>
      <c r="W185" s="37"/>
    </row>
    <row r="186" spans="1:23">
      <c r="A186" s="265"/>
      <c r="B186" s="235" t="s">
        <v>721</v>
      </c>
      <c r="C186" s="65">
        <v>531509.57999999996</v>
      </c>
      <c r="D186" s="65">
        <v>22558.53</v>
      </c>
      <c r="E186" s="285">
        <f t="shared" si="35"/>
        <v>554068.11</v>
      </c>
      <c r="F186" s="65">
        <v>1476336.96</v>
      </c>
      <c r="G186" s="285">
        <f t="shared" si="36"/>
        <v>2030405.0699999998</v>
      </c>
      <c r="H186" s="65">
        <v>-1944923.64</v>
      </c>
      <c r="I186" s="285">
        <f t="shared" si="39"/>
        <v>119103.44000000018</v>
      </c>
      <c r="J186" s="65"/>
      <c r="K186" s="259"/>
      <c r="L186" s="65">
        <v>30747.99</v>
      </c>
      <c r="M186" s="60">
        <v>2864.02</v>
      </c>
      <c r="N186" s="65"/>
      <c r="O186" s="259">
        <v>287711.01</v>
      </c>
      <c r="P186" s="65">
        <v>115.03</v>
      </c>
      <c r="Q186" s="65">
        <v>2875.95</v>
      </c>
      <c r="R186" s="289">
        <f t="shared" si="38"/>
        <v>284720.02999999997</v>
      </c>
      <c r="S186" s="37"/>
      <c r="T186" s="37"/>
      <c r="U186" s="37"/>
      <c r="V186" s="37"/>
      <c r="W186" s="37"/>
    </row>
    <row r="187" spans="1:23">
      <c r="A187" s="265"/>
      <c r="B187" s="235" t="s">
        <v>722</v>
      </c>
      <c r="C187" s="65">
        <v>531509.57999999996</v>
      </c>
      <c r="D187" s="65">
        <v>22558.53</v>
      </c>
      <c r="E187" s="285">
        <f t="shared" si="35"/>
        <v>554068.11</v>
      </c>
      <c r="F187" s="65">
        <v>1425255.02</v>
      </c>
      <c r="G187" s="285">
        <f t="shared" si="36"/>
        <v>1979323.13</v>
      </c>
      <c r="H187" s="65">
        <v>-1657212.63</v>
      </c>
      <c r="I187" s="285">
        <f t="shared" si="39"/>
        <v>373192.43999999994</v>
      </c>
      <c r="J187" s="65"/>
      <c r="K187" s="259"/>
      <c r="L187" s="65">
        <v>50770.19</v>
      </c>
      <c r="M187" s="60">
        <v>311.75</v>
      </c>
      <c r="N187" s="65"/>
      <c r="O187" s="259">
        <v>692606.29</v>
      </c>
      <c r="P187" s="65">
        <v>4146.67</v>
      </c>
      <c r="Q187" s="65">
        <v>6884.59</v>
      </c>
      <c r="R187" s="289">
        <f t="shared" si="38"/>
        <v>681575.03</v>
      </c>
      <c r="S187" s="37"/>
      <c r="T187" s="37"/>
      <c r="U187" s="37"/>
      <c r="V187" s="37"/>
      <c r="W187" s="37"/>
    </row>
    <row r="188" spans="1:23">
      <c r="A188" s="265"/>
      <c r="B188" s="235" t="s">
        <v>723</v>
      </c>
      <c r="C188" s="65">
        <v>531509.57999999996</v>
      </c>
      <c r="D188" s="65">
        <v>22558.53</v>
      </c>
      <c r="E188" s="285">
        <f t="shared" si="35"/>
        <v>554068.11</v>
      </c>
      <c r="F188" s="65">
        <v>1121949.83</v>
      </c>
      <c r="G188" s="285">
        <f t="shared" si="36"/>
        <v>1676017.94</v>
      </c>
      <c r="H188" s="65">
        <v>-964606.34</v>
      </c>
      <c r="I188" s="285">
        <f t="shared" si="39"/>
        <v>1014716.7899999999</v>
      </c>
      <c r="J188" s="65"/>
      <c r="K188" s="259"/>
      <c r="L188" s="65">
        <v>302966.74</v>
      </c>
      <c r="M188" s="60">
        <v>338.45</v>
      </c>
      <c r="N188" s="65"/>
      <c r="O188" s="259">
        <v>442838.5</v>
      </c>
      <c r="P188" s="65">
        <v>19.739999999999998</v>
      </c>
      <c r="Q188" s="65">
        <v>4428.18</v>
      </c>
      <c r="R188" s="289">
        <f t="shared" si="38"/>
        <v>438390.58</v>
      </c>
      <c r="S188" s="37"/>
      <c r="T188" s="37"/>
      <c r="U188" s="37"/>
      <c r="V188" s="37"/>
      <c r="W188" s="37"/>
    </row>
    <row r="189" spans="1:23">
      <c r="A189" s="261"/>
      <c r="B189" s="237" t="s">
        <v>724</v>
      </c>
      <c r="C189" s="282">
        <v>531509.57999999996</v>
      </c>
      <c r="D189" s="282">
        <v>22558.53</v>
      </c>
      <c r="E189" s="286">
        <f t="shared" si="35"/>
        <v>554068.11</v>
      </c>
      <c r="F189" s="282">
        <v>423250.15</v>
      </c>
      <c r="G189" s="286">
        <f t="shared" si="36"/>
        <v>977318.26</v>
      </c>
      <c r="H189" s="65">
        <v>-521767.84</v>
      </c>
      <c r="I189" s="285">
        <f t="shared" si="39"/>
        <v>1154250.0999999999</v>
      </c>
      <c r="J189" s="65"/>
      <c r="K189" s="259"/>
      <c r="L189" s="65">
        <v>698101.07</v>
      </c>
      <c r="M189" s="60">
        <v>598.61</v>
      </c>
      <c r="N189" s="65"/>
      <c r="O189" s="259">
        <v>291223.01</v>
      </c>
      <c r="P189" s="65">
        <v>243.95</v>
      </c>
      <c r="Q189" s="65">
        <v>2909.79</v>
      </c>
      <c r="R189" s="289">
        <f t="shared" si="38"/>
        <v>288069.27</v>
      </c>
      <c r="S189" s="37"/>
      <c r="T189" s="37"/>
      <c r="U189" s="37"/>
      <c r="V189" s="37"/>
      <c r="W189" s="37"/>
    </row>
    <row r="190" spans="1:23">
      <c r="A190" s="271">
        <v>2016</v>
      </c>
      <c r="B190" s="283" t="s">
        <v>713</v>
      </c>
      <c r="C190" s="281">
        <v>664370.92000000004</v>
      </c>
      <c r="D190" s="281">
        <v>22684.55</v>
      </c>
      <c r="E190" s="284">
        <f t="shared" si="35"/>
        <v>687055.47000000009</v>
      </c>
      <c r="F190" s="281">
        <v>2878920.67</v>
      </c>
      <c r="G190" s="284">
        <f t="shared" si="36"/>
        <v>3565976.14</v>
      </c>
      <c r="H190" s="282">
        <v>-230544.83</v>
      </c>
      <c r="I190" s="286">
        <f t="shared" si="39"/>
        <v>746773.43</v>
      </c>
      <c r="J190" s="65"/>
      <c r="K190" s="292"/>
      <c r="L190" s="282">
        <v>420444.1</v>
      </c>
      <c r="M190" s="299">
        <v>2806.05</v>
      </c>
      <c r="N190" s="69"/>
      <c r="O190" s="292">
        <v>230544.83</v>
      </c>
      <c r="P190" s="282">
        <v>246.45</v>
      </c>
      <c r="Q190" s="282">
        <v>2302.98</v>
      </c>
      <c r="R190" s="290">
        <f t="shared" si="38"/>
        <v>227995.39999999997</v>
      </c>
      <c r="S190" s="37"/>
      <c r="T190" s="37"/>
      <c r="U190" s="37"/>
      <c r="V190" s="37"/>
      <c r="W190" s="37"/>
    </row>
    <row r="191" spans="1:23">
      <c r="A191" s="265"/>
      <c r="B191" s="235" t="s">
        <v>714</v>
      </c>
      <c r="C191" s="65">
        <v>664370.92000000004</v>
      </c>
      <c r="D191" s="65">
        <v>22684.55</v>
      </c>
      <c r="E191" s="285">
        <f t="shared" si="35"/>
        <v>687055.47000000009</v>
      </c>
      <c r="F191" s="65">
        <v>2576878.747</v>
      </c>
      <c r="G191" s="285">
        <f t="shared" si="36"/>
        <v>3263934.2170000002</v>
      </c>
      <c r="H191" s="281">
        <v>-3011908.03</v>
      </c>
      <c r="I191" s="284">
        <f t="shared" si="39"/>
        <v>554068.11000000034</v>
      </c>
      <c r="J191" s="69"/>
      <c r="K191" s="291">
        <v>294906.28999999998</v>
      </c>
      <c r="L191" s="281">
        <v>1443.86</v>
      </c>
      <c r="M191" s="298">
        <v>5691.78</v>
      </c>
      <c r="N191" s="65"/>
      <c r="O191" s="291">
        <v>309957.11</v>
      </c>
      <c r="P191" s="281">
        <v>232.98</v>
      </c>
      <c r="Q191" s="281">
        <v>3097.24</v>
      </c>
      <c r="R191" s="288">
        <f t="shared" si="38"/>
        <v>306626.89</v>
      </c>
      <c r="S191" s="37"/>
      <c r="T191" s="37"/>
      <c r="U191" s="37"/>
      <c r="V191" s="37"/>
      <c r="W191" s="37"/>
    </row>
    <row r="192" spans="1:23">
      <c r="A192" s="265"/>
      <c r="B192" s="235" t="s">
        <v>715</v>
      </c>
      <c r="C192" s="65">
        <v>664370.92000000004</v>
      </c>
      <c r="D192" s="65">
        <v>22684.55</v>
      </c>
      <c r="E192" s="285">
        <f t="shared" si="35"/>
        <v>687055.47000000009</v>
      </c>
      <c r="F192" s="65">
        <v>2347872.7799999998</v>
      </c>
      <c r="G192" s="285">
        <f t="shared" si="36"/>
        <v>3034928.25</v>
      </c>
      <c r="H192" s="65">
        <v>-2701950.92</v>
      </c>
      <c r="I192" s="285">
        <f t="shared" si="39"/>
        <v>561983.29700000025</v>
      </c>
      <c r="J192" s="65"/>
      <c r="K192" s="259">
        <v>228279.32</v>
      </c>
      <c r="L192" s="65">
        <v>319.39999999999998</v>
      </c>
      <c r="M192" s="60">
        <v>407.24</v>
      </c>
      <c r="N192" s="65"/>
      <c r="O192" s="259">
        <v>309993.19</v>
      </c>
      <c r="P192" s="65">
        <v>342.32</v>
      </c>
      <c r="Q192" s="65">
        <v>3096.5</v>
      </c>
      <c r="R192" s="289">
        <f t="shared" si="38"/>
        <v>306554.37</v>
      </c>
      <c r="S192" s="37"/>
      <c r="T192" s="37"/>
      <c r="U192" s="37"/>
      <c r="V192" s="37"/>
      <c r="W192" s="37"/>
    </row>
    <row r="193" spans="1:23">
      <c r="A193" s="265"/>
      <c r="B193" s="235" t="s">
        <v>716</v>
      </c>
      <c r="C193" s="65">
        <v>664370.92000000004</v>
      </c>
      <c r="D193" s="65">
        <v>22684.55</v>
      </c>
      <c r="E193" s="285">
        <f t="shared" si="35"/>
        <v>687055.47000000009</v>
      </c>
      <c r="F193" s="65">
        <v>2044269.36</v>
      </c>
      <c r="G193" s="285">
        <f t="shared" si="36"/>
        <v>2731324.83</v>
      </c>
      <c r="H193" s="65">
        <v>-2391957.73</v>
      </c>
      <c r="I193" s="285">
        <f t="shared" si="39"/>
        <v>642970.52</v>
      </c>
      <c r="J193" s="65"/>
      <c r="K193" s="259">
        <v>302046.06</v>
      </c>
      <c r="L193" s="65">
        <v>913.22</v>
      </c>
      <c r="M193" s="60">
        <v>644.14</v>
      </c>
      <c r="N193" s="65"/>
      <c r="O193" s="259">
        <v>123808.39</v>
      </c>
      <c r="P193" s="65">
        <v>222.19</v>
      </c>
      <c r="Q193" s="65">
        <v>1235.8599999999999</v>
      </c>
      <c r="R193" s="289">
        <f t="shared" si="38"/>
        <v>122350.34</v>
      </c>
      <c r="S193" s="37"/>
      <c r="T193" s="37"/>
      <c r="U193" s="37"/>
      <c r="V193" s="37"/>
      <c r="W193" s="37"/>
    </row>
    <row r="194" spans="1:23">
      <c r="A194" s="265"/>
      <c r="B194" s="235" t="s">
        <v>717</v>
      </c>
      <c r="C194" s="65">
        <v>664370.92000000004</v>
      </c>
      <c r="D194" s="65">
        <v>22684.55</v>
      </c>
      <c r="E194" s="285">
        <f t="shared" si="35"/>
        <v>687055.47000000009</v>
      </c>
      <c r="F194" s="65">
        <v>1733782.64</v>
      </c>
      <c r="G194" s="285">
        <f t="shared" si="36"/>
        <v>2420838.11</v>
      </c>
      <c r="H194" s="65">
        <v>-2268149.34</v>
      </c>
      <c r="I194" s="285">
        <f t="shared" si="39"/>
        <v>463175.49000000022</v>
      </c>
      <c r="J194" s="65"/>
      <c r="K194" s="259">
        <v>309652.59999999998</v>
      </c>
      <c r="L194" s="65">
        <v>541.47</v>
      </c>
      <c r="M194" s="60">
        <v>292.64999999999998</v>
      </c>
      <c r="N194" s="65"/>
      <c r="O194" s="259">
        <v>3929.26</v>
      </c>
      <c r="P194" s="65">
        <v>0</v>
      </c>
      <c r="Q194" s="65">
        <v>39.29</v>
      </c>
      <c r="R194" s="289">
        <f t="shared" si="38"/>
        <v>3889.9700000000003</v>
      </c>
      <c r="S194" s="37"/>
      <c r="T194" s="37"/>
      <c r="U194" s="37"/>
      <c r="V194" s="37"/>
      <c r="W194" s="37"/>
    </row>
    <row r="195" spans="1:23">
      <c r="A195" s="265"/>
      <c r="B195" s="235" t="s">
        <v>718</v>
      </c>
      <c r="C195" s="65">
        <v>664370.92000000004</v>
      </c>
      <c r="D195" s="65">
        <v>22684.55</v>
      </c>
      <c r="E195" s="285">
        <f t="shared" si="35"/>
        <v>687055.47000000009</v>
      </c>
      <c r="F195" s="65">
        <v>1610319.77</v>
      </c>
      <c r="G195" s="285">
        <f t="shared" si="36"/>
        <v>2297375.2400000002</v>
      </c>
      <c r="H195" s="65">
        <v>-2264220.08</v>
      </c>
      <c r="I195" s="285">
        <f t="shared" si="39"/>
        <v>156618.0299999998</v>
      </c>
      <c r="J195" s="65"/>
      <c r="K195" s="259">
        <v>121124.46</v>
      </c>
      <c r="L195" s="65">
        <v>1114.43</v>
      </c>
      <c r="M195" s="60">
        <v>349.09</v>
      </c>
      <c r="N195" s="65"/>
      <c r="O195" s="259">
        <v>12393.68</v>
      </c>
      <c r="P195" s="65">
        <v>469.57</v>
      </c>
      <c r="Q195" s="65">
        <v>119.24</v>
      </c>
      <c r="R195" s="289">
        <f t="shared" si="38"/>
        <v>11804.87</v>
      </c>
      <c r="S195" s="37"/>
      <c r="T195" s="37"/>
      <c r="U195" s="37"/>
      <c r="V195" s="37"/>
      <c r="W195" s="37"/>
    </row>
    <row r="196" spans="1:23">
      <c r="A196" s="265"/>
      <c r="B196" s="235" t="s">
        <v>719</v>
      </c>
      <c r="C196" s="65">
        <v>664370.92000000004</v>
      </c>
      <c r="D196" s="65">
        <v>22684.55</v>
      </c>
      <c r="E196" s="285">
        <f t="shared" si="35"/>
        <v>687055.47000000009</v>
      </c>
      <c r="F196" s="65">
        <v>1610319.77</v>
      </c>
      <c r="G196" s="285">
        <f t="shared" si="36"/>
        <v>2297375.2400000002</v>
      </c>
      <c r="H196" s="65">
        <v>-2251826.4</v>
      </c>
      <c r="I196" s="285">
        <f t="shared" si="39"/>
        <v>45548.840000000317</v>
      </c>
      <c r="J196" s="65"/>
      <c r="K196" s="259"/>
      <c r="L196" s="65"/>
      <c r="M196" s="60"/>
      <c r="N196" s="65"/>
      <c r="O196" s="259">
        <v>70651.77</v>
      </c>
      <c r="P196" s="65">
        <v>356.34</v>
      </c>
      <c r="Q196" s="65">
        <v>702.95</v>
      </c>
      <c r="R196" s="289">
        <f t="shared" si="38"/>
        <v>69592.48000000001</v>
      </c>
      <c r="S196" s="37"/>
      <c r="T196" s="37"/>
      <c r="U196" s="37"/>
      <c r="V196" s="37"/>
      <c r="W196" s="37"/>
    </row>
    <row r="197" spans="1:23">
      <c r="A197" s="265"/>
      <c r="B197" s="235" t="s">
        <v>720</v>
      </c>
      <c r="C197" s="65">
        <v>664370.92000000004</v>
      </c>
      <c r="D197" s="65">
        <v>22684.55</v>
      </c>
      <c r="E197" s="285">
        <f t="shared" si="35"/>
        <v>687055.47000000009</v>
      </c>
      <c r="F197" s="65">
        <v>1601700.18</v>
      </c>
      <c r="G197" s="285">
        <f t="shared" si="36"/>
        <v>2288755.65</v>
      </c>
      <c r="H197" s="65">
        <v>-2181174.63</v>
      </c>
      <c r="I197" s="285">
        <f t="shared" si="39"/>
        <v>116200.61000000034</v>
      </c>
      <c r="J197" s="65"/>
      <c r="K197" s="259"/>
      <c r="L197" s="65">
        <v>8587.76</v>
      </c>
      <c r="M197" s="60">
        <v>31.83</v>
      </c>
      <c r="N197" s="65"/>
      <c r="O197" s="259">
        <v>69528.92</v>
      </c>
      <c r="P197" s="65">
        <v>307.42</v>
      </c>
      <c r="Q197" s="65">
        <v>692.21</v>
      </c>
      <c r="R197" s="289">
        <f t="shared" si="38"/>
        <v>68529.289999999994</v>
      </c>
      <c r="S197" s="37"/>
      <c r="T197" s="37"/>
      <c r="U197" s="37"/>
      <c r="V197" s="37"/>
      <c r="W197" s="37"/>
    </row>
    <row r="198" spans="1:23">
      <c r="A198" s="265"/>
      <c r="B198" s="235" t="s">
        <v>721</v>
      </c>
      <c r="C198" s="65">
        <v>664370.92000000004</v>
      </c>
      <c r="D198" s="65">
        <v>22684.55</v>
      </c>
      <c r="E198" s="285">
        <f t="shared" si="35"/>
        <v>687055.47000000009</v>
      </c>
      <c r="F198" s="65">
        <v>1532218.47</v>
      </c>
      <c r="G198" s="285">
        <f t="shared" si="36"/>
        <v>2219273.94</v>
      </c>
      <c r="H198" s="65">
        <v>-2111645.71</v>
      </c>
      <c r="I198" s="285">
        <f t="shared" si="39"/>
        <v>177109.93999999994</v>
      </c>
      <c r="J198" s="65"/>
      <c r="K198" s="259"/>
      <c r="L198" s="65">
        <v>69481.710000000006</v>
      </c>
      <c r="M198" s="60"/>
      <c r="N198" s="65"/>
      <c r="O198" s="259">
        <v>61089.440000000002</v>
      </c>
      <c r="P198" s="65">
        <v>2036.62</v>
      </c>
      <c r="Q198" s="65">
        <v>590.52</v>
      </c>
      <c r="R198" s="289">
        <f t="shared" si="38"/>
        <v>58462.3</v>
      </c>
      <c r="S198" s="37"/>
      <c r="T198" s="37"/>
      <c r="U198" s="37"/>
      <c r="V198" s="37"/>
      <c r="W198" s="37"/>
    </row>
    <row r="199" spans="1:23">
      <c r="A199" s="265"/>
      <c r="B199" s="235" t="s">
        <v>722</v>
      </c>
      <c r="C199" s="65">
        <v>664370.92000000004</v>
      </c>
      <c r="D199" s="65">
        <v>22684.55</v>
      </c>
      <c r="E199" s="285">
        <f t="shared" si="35"/>
        <v>687055.47000000009</v>
      </c>
      <c r="F199" s="65">
        <v>1454979.77</v>
      </c>
      <c r="G199" s="285">
        <f t="shared" si="36"/>
        <v>2142035.2400000002</v>
      </c>
      <c r="H199" s="65">
        <v>-2050556.27</v>
      </c>
      <c r="I199" s="285">
        <f t="shared" si="39"/>
        <v>168717.66999999993</v>
      </c>
      <c r="J199" s="65"/>
      <c r="K199" s="259"/>
      <c r="L199" s="65">
        <v>77151.5</v>
      </c>
      <c r="M199" s="60">
        <v>87.2</v>
      </c>
      <c r="N199" s="65"/>
      <c r="O199" s="259">
        <v>985130.51</v>
      </c>
      <c r="P199" s="65">
        <v>1038.97</v>
      </c>
      <c r="Q199" s="65">
        <v>9840.91</v>
      </c>
      <c r="R199" s="289">
        <f t="shared" si="38"/>
        <v>974250.63</v>
      </c>
      <c r="S199" s="37"/>
      <c r="T199" s="37"/>
      <c r="U199" s="37"/>
      <c r="V199" s="37"/>
      <c r="W199" s="37"/>
    </row>
    <row r="200" spans="1:23">
      <c r="A200" s="265"/>
      <c r="B200" s="235" t="s">
        <v>723</v>
      </c>
      <c r="C200" s="65">
        <v>664370.92000000004</v>
      </c>
      <c r="D200" s="65">
        <v>22684.55</v>
      </c>
      <c r="E200" s="285">
        <f t="shared" si="35"/>
        <v>687055.47000000009</v>
      </c>
      <c r="F200" s="65">
        <v>1422454.08</v>
      </c>
      <c r="G200" s="285">
        <f t="shared" si="36"/>
        <v>2109509.5500000003</v>
      </c>
      <c r="H200" s="65">
        <v>-1065425.76</v>
      </c>
      <c r="I200" s="285">
        <f t="shared" si="39"/>
        <v>1076609.4800000002</v>
      </c>
      <c r="J200" s="65"/>
      <c r="K200" s="259"/>
      <c r="L200" s="65">
        <v>32333.95</v>
      </c>
      <c r="M200" s="60">
        <v>191.74</v>
      </c>
      <c r="N200" s="65"/>
      <c r="O200" s="259">
        <v>397537</v>
      </c>
      <c r="P200" s="65">
        <v>2639.12</v>
      </c>
      <c r="Q200" s="65">
        <v>3948.97</v>
      </c>
      <c r="R200" s="289">
        <f t="shared" si="38"/>
        <v>390948.91000000003</v>
      </c>
      <c r="S200" s="37"/>
      <c r="T200" s="37"/>
      <c r="U200" s="37"/>
      <c r="V200" s="37"/>
      <c r="W200" s="37"/>
    </row>
    <row r="201" spans="1:23">
      <c r="A201" s="261"/>
      <c r="B201" s="237" t="s">
        <v>724</v>
      </c>
      <c r="C201" s="282">
        <v>664370.92000000004</v>
      </c>
      <c r="D201" s="282">
        <v>22684.55</v>
      </c>
      <c r="E201" s="286">
        <f t="shared" si="35"/>
        <v>687055.47000000009</v>
      </c>
      <c r="F201" s="282">
        <v>356525.86</v>
      </c>
      <c r="G201" s="286">
        <f t="shared" si="36"/>
        <v>1043581.3300000001</v>
      </c>
      <c r="H201" s="65">
        <v>-667888.76</v>
      </c>
      <c r="I201" s="285">
        <f t="shared" si="39"/>
        <v>1441620.7900000003</v>
      </c>
      <c r="J201" s="65"/>
      <c r="K201" s="259"/>
      <c r="L201" s="65">
        <v>1065514.07</v>
      </c>
      <c r="M201" s="60">
        <v>414.15</v>
      </c>
      <c r="N201" s="65"/>
      <c r="O201" s="259">
        <v>333370.56</v>
      </c>
      <c r="P201" s="65">
        <v>1538.57</v>
      </c>
      <c r="Q201" s="65">
        <v>3318.31</v>
      </c>
      <c r="R201" s="289">
        <f t="shared" si="38"/>
        <v>328513.68</v>
      </c>
      <c r="S201" s="37"/>
      <c r="T201" s="37"/>
      <c r="U201" s="37"/>
      <c r="V201" s="37"/>
      <c r="W201" s="37"/>
    </row>
    <row r="202" spans="1:23">
      <c r="A202" s="271">
        <v>2015</v>
      </c>
      <c r="B202" s="283" t="s">
        <v>713</v>
      </c>
      <c r="C202" s="281">
        <v>411593.7</v>
      </c>
      <c r="D202" s="281">
        <v>26254</v>
      </c>
      <c r="E202" s="284">
        <f t="shared" si="35"/>
        <v>437847.7</v>
      </c>
      <c r="F202" s="281">
        <v>3087457.64</v>
      </c>
      <c r="G202" s="284">
        <f t="shared" si="36"/>
        <v>3525305.3400000003</v>
      </c>
      <c r="H202" s="282">
        <v>-334518.2</v>
      </c>
      <c r="I202" s="286">
        <f t="shared" si="39"/>
        <v>709063.13000000012</v>
      </c>
      <c r="J202" s="65"/>
      <c r="K202" s="292"/>
      <c r="L202" s="282">
        <v>356478.97</v>
      </c>
      <c r="M202" s="299">
        <v>46.89</v>
      </c>
      <c r="N202" s="65"/>
      <c r="O202" s="292">
        <v>334518.2</v>
      </c>
      <c r="P202" s="282">
        <v>421.59</v>
      </c>
      <c r="Q202" s="282">
        <v>3340.96</v>
      </c>
      <c r="R202" s="290">
        <f t="shared" si="38"/>
        <v>330755.64999999997</v>
      </c>
      <c r="S202" s="37"/>
      <c r="T202" s="37"/>
      <c r="U202" s="37"/>
      <c r="V202" s="37"/>
      <c r="W202" s="37"/>
    </row>
    <row r="203" spans="1:23">
      <c r="A203" s="215"/>
      <c r="B203" s="235" t="s">
        <v>714</v>
      </c>
      <c r="C203" s="65">
        <v>411593.7</v>
      </c>
      <c r="D203" s="65">
        <v>26254</v>
      </c>
      <c r="E203" s="285">
        <f t="shared" si="35"/>
        <v>437847.7</v>
      </c>
      <c r="F203" s="65">
        <v>2752235.49</v>
      </c>
      <c r="G203" s="285">
        <f t="shared" si="36"/>
        <v>3190083.1900000004</v>
      </c>
      <c r="H203" s="281">
        <v>-2838249.87</v>
      </c>
      <c r="I203" s="284">
        <f t="shared" si="39"/>
        <v>687055.4700000002</v>
      </c>
      <c r="J203" s="69"/>
      <c r="K203" s="291">
        <v>332330.39</v>
      </c>
      <c r="L203" s="281">
        <v>1241.04</v>
      </c>
      <c r="M203" s="298">
        <v>1650.72</v>
      </c>
      <c r="N203" s="69"/>
      <c r="O203" s="291">
        <v>558190.77</v>
      </c>
      <c r="P203" s="281">
        <v>53.96</v>
      </c>
      <c r="Q203" s="281">
        <v>5581.36</v>
      </c>
      <c r="R203" s="288">
        <f>O203-P203-Q203</f>
        <v>552555.45000000007</v>
      </c>
      <c r="S203" s="37"/>
      <c r="T203" s="37"/>
      <c r="U203" s="37"/>
      <c r="V203" s="37"/>
      <c r="W203" s="37"/>
    </row>
    <row r="204" spans="1:23">
      <c r="A204" s="216"/>
      <c r="B204" s="237" t="s">
        <v>715</v>
      </c>
      <c r="C204" s="282">
        <v>411593.7</v>
      </c>
      <c r="D204" s="282">
        <v>26254</v>
      </c>
      <c r="E204" s="286">
        <f t="shared" si="35"/>
        <v>437847.7</v>
      </c>
      <c r="F204" s="282">
        <v>2413939.7400000002</v>
      </c>
      <c r="G204" s="286">
        <f t="shared" si="36"/>
        <v>2851787.4400000004</v>
      </c>
      <c r="H204" s="65">
        <v>-2280059.1</v>
      </c>
      <c r="I204" s="285">
        <f t="shared" si="39"/>
        <v>910024.09000000032</v>
      </c>
      <c r="J204" s="65"/>
      <c r="K204" s="259">
        <v>335780.61</v>
      </c>
      <c r="L204" s="65">
        <v>1061.8699999999999</v>
      </c>
      <c r="M204" s="60">
        <v>1453.27</v>
      </c>
      <c r="N204" s="65"/>
      <c r="O204" s="259">
        <v>245512.14</v>
      </c>
      <c r="P204" s="65">
        <v>176.33</v>
      </c>
      <c r="Q204" s="65">
        <v>2453.5500000000002</v>
      </c>
      <c r="R204" s="289">
        <f>O204-P204-Q204</f>
        <v>242882.26000000004</v>
      </c>
      <c r="S204" s="37"/>
      <c r="T204" s="37"/>
      <c r="U204" s="37"/>
      <c r="V204" s="37"/>
      <c r="W204" s="37"/>
    </row>
    <row r="205" spans="1:23">
      <c r="A205" s="42"/>
      <c r="B205" s="230"/>
      <c r="C205" s="231"/>
      <c r="D205" s="231"/>
      <c r="E205" s="287"/>
      <c r="F205" s="231"/>
      <c r="G205" s="231"/>
      <c r="H205" s="282">
        <v>-2034546.96</v>
      </c>
      <c r="I205" s="286">
        <f t="shared" si="39"/>
        <v>817240.48000000045</v>
      </c>
      <c r="J205" s="65"/>
      <c r="K205" s="292">
        <v>549327.41</v>
      </c>
      <c r="L205" s="282">
        <v>183.34</v>
      </c>
      <c r="M205" s="299">
        <v>99.09</v>
      </c>
      <c r="N205" s="69"/>
      <c r="O205" s="292">
        <v>9263.76</v>
      </c>
      <c r="P205" s="282">
        <v>316.75</v>
      </c>
      <c r="Q205" s="282">
        <v>89.47</v>
      </c>
      <c r="R205" s="290">
        <f>O205-P205-Q205</f>
        <v>8857.5400000000009</v>
      </c>
      <c r="S205" s="37"/>
      <c r="T205" s="37"/>
      <c r="U205" s="37"/>
      <c r="V205" s="37"/>
      <c r="W205" s="37"/>
    </row>
    <row r="206" spans="1:23">
      <c r="A206" s="42"/>
      <c r="B206" s="230"/>
      <c r="C206" s="231"/>
      <c r="D206" s="231"/>
      <c r="E206" s="231"/>
      <c r="F206" s="231"/>
      <c r="G206" s="231"/>
      <c r="H206" s="231"/>
      <c r="I206" s="231"/>
      <c r="J206" s="65"/>
      <c r="K206" s="231"/>
      <c r="L206" s="231"/>
      <c r="M206" s="231"/>
      <c r="N206" s="231"/>
      <c r="O206" s="231"/>
      <c r="P206" s="231"/>
      <c r="Q206" s="231"/>
      <c r="R206" s="232"/>
      <c r="S206" s="37"/>
      <c r="T206" s="37"/>
      <c r="U206" s="37"/>
      <c r="V206" s="37"/>
      <c r="W206" s="37"/>
    </row>
    <row r="207" spans="1:23">
      <c r="A207" s="42"/>
      <c r="B207" s="230"/>
      <c r="C207" s="231"/>
      <c r="D207" s="231"/>
      <c r="E207" s="231"/>
      <c r="F207" s="231"/>
      <c r="G207" s="231"/>
      <c r="H207" s="231"/>
      <c r="I207" s="231"/>
      <c r="J207" s="231"/>
      <c r="K207" s="231"/>
      <c r="L207" s="231"/>
      <c r="M207" s="231"/>
      <c r="N207" s="231"/>
      <c r="O207" s="231"/>
      <c r="P207" s="231"/>
      <c r="Q207" s="231"/>
      <c r="R207" s="232"/>
      <c r="S207" s="37"/>
      <c r="T207" s="37"/>
      <c r="U207" s="37"/>
      <c r="V207" s="37"/>
      <c r="W207" s="37"/>
    </row>
    <row r="208" spans="1:23">
      <c r="A208" s="42"/>
      <c r="B208" s="230"/>
      <c r="C208" s="231"/>
      <c r="D208" s="231"/>
      <c r="E208" s="231"/>
      <c r="F208" s="231"/>
      <c r="G208" s="231"/>
      <c r="H208" s="231"/>
      <c r="I208" s="231"/>
      <c r="J208" s="231"/>
      <c r="K208" s="231"/>
      <c r="L208" s="231"/>
      <c r="M208" s="231"/>
      <c r="N208" s="231"/>
      <c r="O208" s="231"/>
      <c r="P208" s="231"/>
      <c r="Q208" s="231"/>
      <c r="R208" s="232"/>
      <c r="S208" s="37"/>
      <c r="T208" s="37"/>
      <c r="U208" s="37"/>
      <c r="V208" s="37"/>
      <c r="W208" s="37"/>
    </row>
    <row r="209" spans="1:23">
      <c r="A209" s="42"/>
      <c r="B209" s="230"/>
      <c r="C209" s="231"/>
      <c r="D209" s="231"/>
      <c r="E209" s="231"/>
      <c r="F209" s="231"/>
      <c r="G209" s="231"/>
      <c r="H209" s="231"/>
      <c r="I209" s="231"/>
      <c r="J209" s="231"/>
      <c r="K209" s="231"/>
      <c r="L209" s="231"/>
      <c r="M209" s="231"/>
      <c r="N209" s="231"/>
      <c r="O209" s="231"/>
      <c r="P209" s="231"/>
      <c r="Q209" s="231"/>
      <c r="R209" s="232"/>
      <c r="S209" s="37"/>
      <c r="T209" s="37"/>
      <c r="U209" s="37"/>
      <c r="V209" s="37"/>
      <c r="W209" s="37"/>
    </row>
    <row r="210" spans="1:23">
      <c r="A210" s="42"/>
      <c r="B210" s="230"/>
      <c r="C210" s="231"/>
      <c r="D210" s="231"/>
      <c r="E210" s="231"/>
      <c r="F210" s="231"/>
      <c r="G210" s="231"/>
      <c r="H210" s="231"/>
      <c r="I210" s="231"/>
      <c r="J210" s="231"/>
      <c r="K210" s="231"/>
      <c r="L210" s="231"/>
      <c r="M210" s="231"/>
      <c r="N210" s="231"/>
      <c r="O210" s="231"/>
      <c r="P210" s="231"/>
      <c r="Q210" s="231"/>
      <c r="R210" s="231"/>
      <c r="S210" s="37"/>
      <c r="T210" s="37"/>
      <c r="U210" s="37"/>
      <c r="V210" s="37"/>
      <c r="W210" s="37"/>
    </row>
    <row r="211" spans="1:23">
      <c r="A211" s="42"/>
      <c r="B211" s="230"/>
      <c r="C211" s="231"/>
      <c r="D211" s="231"/>
      <c r="E211" s="231"/>
      <c r="F211" s="231"/>
      <c r="G211" s="231"/>
      <c r="H211" s="231"/>
      <c r="I211" s="231"/>
      <c r="J211" s="231"/>
      <c r="K211" s="231"/>
      <c r="L211" s="231"/>
      <c r="M211" s="231"/>
      <c r="N211" s="231"/>
      <c r="O211" s="231"/>
      <c r="P211" s="231"/>
      <c r="Q211" s="231"/>
      <c r="R211" s="231"/>
      <c r="S211" s="37"/>
      <c r="T211" s="37"/>
      <c r="U211" s="37"/>
      <c r="V211" s="37"/>
      <c r="W211" s="37"/>
    </row>
    <row r="212" spans="1:23">
      <c r="A212" s="42"/>
      <c r="B212" s="230"/>
      <c r="C212" s="231"/>
      <c r="D212" s="231"/>
      <c r="E212" s="231"/>
      <c r="F212" s="231"/>
      <c r="G212" s="231"/>
      <c r="H212" s="231"/>
      <c r="I212" s="231"/>
      <c r="J212" s="231"/>
      <c r="K212" s="231"/>
      <c r="L212" s="231"/>
      <c r="M212" s="231"/>
      <c r="N212" s="231"/>
      <c r="O212" s="231"/>
      <c r="P212" s="231"/>
      <c r="Q212" s="231"/>
      <c r="R212" s="231"/>
      <c r="S212" s="37"/>
      <c r="T212" s="37"/>
      <c r="U212" s="37"/>
      <c r="V212" s="37"/>
      <c r="W212" s="37"/>
    </row>
    <row r="213" spans="1:23">
      <c r="A213" s="42"/>
      <c r="B213" s="230"/>
      <c r="C213" s="231"/>
      <c r="D213" s="231"/>
      <c r="E213" s="231"/>
      <c r="F213" s="231"/>
      <c r="G213" s="231"/>
      <c r="H213" s="231"/>
      <c r="I213" s="231"/>
      <c r="J213" s="231"/>
      <c r="K213" s="231"/>
      <c r="L213" s="231"/>
      <c r="M213" s="231"/>
      <c r="N213" s="231"/>
      <c r="O213" s="231"/>
      <c r="P213" s="231"/>
      <c r="Q213" s="231"/>
      <c r="R213" s="231"/>
      <c r="S213" s="37"/>
      <c r="T213" s="37"/>
      <c r="U213" s="37"/>
      <c r="V213" s="37"/>
      <c r="W213" s="37"/>
    </row>
    <row r="214" spans="1:23">
      <c r="A214" s="42"/>
      <c r="B214" s="230"/>
      <c r="C214" s="231"/>
      <c r="D214" s="231"/>
      <c r="E214" s="231"/>
      <c r="F214" s="231"/>
      <c r="G214" s="231"/>
      <c r="H214" s="231"/>
      <c r="I214" s="231"/>
      <c r="J214" s="231"/>
      <c r="K214" s="231"/>
      <c r="L214" s="231"/>
      <c r="M214" s="231"/>
      <c r="N214" s="231"/>
      <c r="O214" s="231"/>
      <c r="P214" s="231"/>
      <c r="Q214" s="231"/>
      <c r="R214" s="231"/>
      <c r="S214" s="37"/>
      <c r="T214" s="37"/>
      <c r="U214" s="37"/>
      <c r="V214" s="37"/>
      <c r="W214" s="37"/>
    </row>
    <row r="215" spans="1:23">
      <c r="A215" s="37"/>
      <c r="B215" s="42"/>
      <c r="C215" s="231"/>
      <c r="D215" s="231"/>
      <c r="E215" s="231"/>
      <c r="F215" s="231"/>
      <c r="G215" s="231"/>
      <c r="H215" s="231"/>
      <c r="I215" s="231"/>
      <c r="J215" s="231"/>
      <c r="K215" s="231"/>
      <c r="L215" s="231"/>
      <c r="M215" s="231"/>
      <c r="N215" s="231"/>
      <c r="O215" s="231"/>
      <c r="P215" s="231"/>
      <c r="Q215" s="231"/>
      <c r="R215" s="231"/>
      <c r="S215" s="37"/>
      <c r="T215" s="37"/>
      <c r="U215" s="37"/>
      <c r="V215" s="37"/>
      <c r="W215" s="37"/>
    </row>
    <row r="216" spans="1:23">
      <c r="A216" s="37"/>
      <c r="B216" s="42"/>
      <c r="C216" s="231"/>
      <c r="D216" s="231"/>
      <c r="E216" s="231"/>
      <c r="F216" s="231"/>
      <c r="G216" s="231"/>
      <c r="H216" s="231"/>
      <c r="I216" s="231"/>
      <c r="J216" s="231"/>
      <c r="K216" s="231"/>
      <c r="L216" s="231"/>
      <c r="M216" s="231"/>
      <c r="N216" s="231"/>
      <c r="O216" s="231"/>
      <c r="P216" s="231"/>
      <c r="Q216" s="231"/>
      <c r="R216" s="231"/>
      <c r="S216" s="37"/>
      <c r="T216" s="37"/>
      <c r="U216" s="37"/>
      <c r="V216" s="37"/>
      <c r="W216" s="37"/>
    </row>
    <row r="217" spans="1:23">
      <c r="A217" s="37"/>
      <c r="B217" s="42"/>
      <c r="C217" s="231"/>
      <c r="D217" s="231"/>
      <c r="E217" s="231"/>
      <c r="F217" s="231"/>
      <c r="G217" s="231"/>
      <c r="H217" s="231"/>
      <c r="I217" s="231"/>
      <c r="J217" s="231"/>
      <c r="K217" s="231"/>
      <c r="L217" s="231"/>
      <c r="M217" s="231"/>
      <c r="N217" s="231"/>
      <c r="O217" s="231"/>
      <c r="P217" s="231"/>
      <c r="Q217" s="231"/>
      <c r="R217" s="231"/>
      <c r="S217" s="37"/>
      <c r="T217" s="37"/>
      <c r="U217" s="37"/>
      <c r="V217" s="37"/>
      <c r="W217" s="37"/>
    </row>
    <row r="218" spans="1:23">
      <c r="A218" s="37"/>
      <c r="B218" s="42"/>
      <c r="C218" s="231"/>
      <c r="D218" s="231"/>
      <c r="E218" s="231"/>
      <c r="F218" s="231"/>
      <c r="G218" s="231"/>
      <c r="H218" s="231"/>
      <c r="I218" s="231"/>
      <c r="J218" s="231"/>
      <c r="K218" s="231"/>
      <c r="L218" s="231"/>
      <c r="M218" s="231"/>
      <c r="N218" s="231"/>
      <c r="O218" s="231"/>
      <c r="P218" s="231"/>
      <c r="Q218" s="231"/>
      <c r="R218" s="231"/>
      <c r="S218" s="37"/>
      <c r="T218" s="37"/>
      <c r="U218" s="37"/>
      <c r="V218" s="37"/>
      <c r="W218" s="37"/>
    </row>
    <row r="219" spans="1:23">
      <c r="A219" s="37"/>
      <c r="B219" s="231"/>
      <c r="C219" s="231"/>
      <c r="D219" s="231"/>
      <c r="E219" s="231"/>
      <c r="F219" s="231"/>
      <c r="G219" s="231"/>
      <c r="H219" s="231"/>
      <c r="I219" s="231"/>
      <c r="J219" s="231"/>
      <c r="K219" s="231"/>
      <c r="L219" s="231"/>
      <c r="M219" s="231"/>
      <c r="N219" s="231"/>
      <c r="O219" s="231"/>
      <c r="P219" s="231"/>
      <c r="Q219" s="231"/>
      <c r="R219" s="42"/>
      <c r="S219" s="37"/>
      <c r="T219" s="37"/>
      <c r="U219" s="37"/>
      <c r="V219" s="37"/>
      <c r="W219" s="37"/>
    </row>
    <row r="220" spans="1:23">
      <c r="H220" s="231"/>
      <c r="I220" s="231"/>
      <c r="J220" s="231"/>
      <c r="K220" s="231"/>
      <c r="L220" s="231"/>
      <c r="M220" s="231"/>
      <c r="N220" s="231"/>
      <c r="O220" s="231"/>
      <c r="W220" s="37"/>
    </row>
    <row r="226" spans="1:8">
      <c r="A226" s="466" t="s">
        <v>850</v>
      </c>
      <c r="B226" s="466"/>
      <c r="C226" s="465"/>
      <c r="D226" s="334"/>
      <c r="E226" s="334"/>
      <c r="F226" s="334"/>
      <c r="G226" s="334"/>
    </row>
    <row r="227" spans="1:8">
      <c r="A227" s="466" t="s">
        <v>851</v>
      </c>
      <c r="B227" s="466"/>
      <c r="C227" s="465"/>
      <c r="D227" s="334"/>
      <c r="E227" s="334"/>
      <c r="F227" s="334"/>
      <c r="G227" s="334"/>
      <c r="H227" s="334"/>
    </row>
    <row r="228" spans="1:8" ht="15.75" thickBot="1">
      <c r="A228" s="464"/>
      <c r="B228" s="466"/>
      <c r="C228" s="465"/>
      <c r="D228" s="334"/>
      <c r="E228" s="334"/>
      <c r="F228" s="334"/>
      <c r="G228" s="334"/>
      <c r="H228" s="334"/>
    </row>
    <row r="229" spans="1:8" ht="15.75" thickBot="1">
      <c r="A229" s="463"/>
      <c r="B229" s="364"/>
      <c r="C229" s="462" t="s">
        <v>852</v>
      </c>
      <c r="D229" s="475" t="s">
        <v>853</v>
      </c>
      <c r="E229" s="364" t="s">
        <v>854</v>
      </c>
      <c r="F229" s="409"/>
      <c r="G229" s="409"/>
      <c r="H229" s="334"/>
    </row>
    <row r="230" spans="1:8">
      <c r="A230" s="360"/>
      <c r="B230" s="474" t="s">
        <v>156</v>
      </c>
      <c r="C230" s="473">
        <v>1920</v>
      </c>
      <c r="D230" s="461">
        <v>1920</v>
      </c>
      <c r="E230" s="354">
        <v>1209</v>
      </c>
      <c r="F230" s="334"/>
      <c r="G230" s="334"/>
      <c r="H230" s="409"/>
    </row>
    <row r="231" spans="1:8" ht="15.75" thickBot="1">
      <c r="A231" s="460" t="s">
        <v>855</v>
      </c>
      <c r="B231" s="468" t="s">
        <v>158</v>
      </c>
      <c r="C231" s="459">
        <v>7.7</v>
      </c>
      <c r="D231" s="467">
        <v>7.7</v>
      </c>
      <c r="E231" s="458">
        <v>7</v>
      </c>
      <c r="F231" s="331"/>
      <c r="G231" s="334"/>
      <c r="H231" s="334"/>
    </row>
    <row r="232" spans="1:8">
      <c r="A232" s="331"/>
      <c r="B232" s="331"/>
      <c r="C232" s="454"/>
      <c r="D232" s="334"/>
      <c r="E232" s="334"/>
      <c r="F232" s="334"/>
      <c r="G232" s="334"/>
      <c r="H232" s="334"/>
    </row>
    <row r="233" spans="1:8">
      <c r="A233" s="38" t="s">
        <v>856</v>
      </c>
      <c r="B233" s="38"/>
      <c r="C233" s="334"/>
      <c r="D233" s="334"/>
      <c r="E233" s="472"/>
      <c r="F233" s="472"/>
      <c r="G233" s="334"/>
      <c r="H233" s="334"/>
    </row>
    <row r="234" spans="1:8">
      <c r="A234" s="457" t="s">
        <v>857</v>
      </c>
      <c r="B234" s="457"/>
      <c r="C234" s="334"/>
      <c r="D234" s="334"/>
      <c r="E234" s="472"/>
      <c r="F234" s="472"/>
      <c r="G234" s="334"/>
      <c r="H234" s="472"/>
    </row>
    <row r="235" spans="1:8">
      <c r="A235" s="334"/>
      <c r="B235" s="334"/>
      <c r="C235" s="334"/>
      <c r="D235" s="334"/>
      <c r="E235" s="472"/>
      <c r="F235" s="472"/>
      <c r="G235" s="334"/>
      <c r="H235" s="472"/>
    </row>
    <row r="236" spans="1:8">
      <c r="A236" s="466" t="s">
        <v>858</v>
      </c>
      <c r="B236" s="466"/>
      <c r="C236" s="334"/>
      <c r="D236" s="334"/>
      <c r="E236" s="472"/>
      <c r="F236" s="472"/>
      <c r="G236" s="334"/>
      <c r="H236" s="472"/>
    </row>
    <row r="237" spans="1:8">
      <c r="A237" s="334"/>
      <c r="B237" s="334"/>
      <c r="C237" s="334"/>
      <c r="D237" s="334"/>
      <c r="E237" s="472"/>
      <c r="F237" s="472"/>
      <c r="G237" s="334"/>
      <c r="H237" s="472"/>
    </row>
    <row r="238" spans="1:8">
      <c r="A238" s="336" t="s">
        <v>859</v>
      </c>
      <c r="B238" s="336"/>
      <c r="C238" s="334"/>
      <c r="D238" s="334"/>
      <c r="E238" s="472"/>
      <c r="F238" s="472"/>
      <c r="G238" s="334"/>
      <c r="H238" s="472"/>
    </row>
    <row r="239" spans="1:8">
      <c r="A239" s="334"/>
      <c r="B239" s="334"/>
      <c r="C239" s="334"/>
      <c r="D239" s="334"/>
      <c r="E239" s="472"/>
      <c r="F239" s="472"/>
      <c r="G239" s="334"/>
      <c r="H239" s="472"/>
    </row>
    <row r="240" spans="1:8">
      <c r="A240" s="466" t="s">
        <v>860</v>
      </c>
      <c r="B240" s="466"/>
      <c r="C240" s="334"/>
      <c r="D240" s="334"/>
      <c r="E240" s="471"/>
      <c r="F240" s="471"/>
      <c r="G240" s="472"/>
      <c r="H240" s="472"/>
    </row>
    <row r="241" spans="1:11">
      <c r="A241" s="334"/>
      <c r="B241" s="334"/>
      <c r="C241" s="334"/>
      <c r="D241" s="334"/>
      <c r="E241" s="471"/>
      <c r="F241" s="471"/>
      <c r="G241" s="472"/>
      <c r="H241" s="472"/>
      <c r="I241" s="471"/>
      <c r="J241" s="470"/>
      <c r="K241" s="470"/>
    </row>
    <row r="242" spans="1:11">
      <c r="A242" s="476" t="s">
        <v>861</v>
      </c>
      <c r="B242" s="476"/>
      <c r="C242" s="334"/>
      <c r="D242" s="334"/>
      <c r="E242" s="471"/>
      <c r="F242" s="471"/>
      <c r="G242" s="472"/>
      <c r="H242" s="472"/>
      <c r="I242" s="471"/>
      <c r="J242" s="470"/>
      <c r="K242" s="470"/>
    </row>
    <row r="243" spans="1:11">
      <c r="A243" s="334"/>
      <c r="B243" s="334"/>
      <c r="C243" s="334"/>
      <c r="D243" s="334"/>
      <c r="E243" s="471"/>
      <c r="F243" s="471"/>
      <c r="G243" s="472"/>
      <c r="H243" s="472"/>
      <c r="I243" s="471"/>
      <c r="J243" s="470"/>
      <c r="K243" s="470"/>
    </row>
    <row r="244" spans="1:11">
      <c r="A244" s="466" t="s">
        <v>862</v>
      </c>
      <c r="B244" s="466"/>
      <c r="C244" s="334"/>
      <c r="D244" s="334"/>
      <c r="E244" s="471"/>
      <c r="F244" s="471"/>
      <c r="G244" s="472"/>
      <c r="H244" s="472"/>
      <c r="I244" s="471"/>
      <c r="J244" s="470"/>
      <c r="K244" s="470"/>
    </row>
    <row r="245" spans="1:11" ht="15.75" thickBot="1">
      <c r="A245" s="334"/>
      <c r="B245" s="334"/>
      <c r="C245" s="334"/>
      <c r="D245" s="334"/>
      <c r="E245" s="471"/>
      <c r="F245" s="471"/>
      <c r="G245" s="472"/>
      <c r="H245" s="472"/>
      <c r="I245" s="471"/>
      <c r="J245" s="470"/>
      <c r="K245" s="470"/>
    </row>
    <row r="246" spans="1:11" ht="15.75" thickBot="1">
      <c r="A246" s="478"/>
      <c r="B246" s="479"/>
      <c r="C246" s="480"/>
      <c r="D246" s="480"/>
      <c r="E246" s="480"/>
      <c r="F246" s="480"/>
      <c r="G246" s="481">
        <v>2010</v>
      </c>
      <c r="H246" s="472"/>
      <c r="I246" s="471"/>
      <c r="J246" s="470"/>
      <c r="K246" s="470"/>
    </row>
    <row r="247" spans="1:11" ht="15.75" thickBot="1">
      <c r="A247" s="4845" t="s">
        <v>863</v>
      </c>
      <c r="B247" s="4846"/>
      <c r="C247" s="4846"/>
      <c r="D247" s="4846"/>
      <c r="E247" s="4846"/>
      <c r="F247" s="483"/>
      <c r="G247" s="469"/>
      <c r="H247" s="481">
        <v>2011</v>
      </c>
      <c r="I247" s="482">
        <v>2012</v>
      </c>
      <c r="J247" s="456"/>
      <c r="K247" s="456"/>
    </row>
    <row r="248" spans="1:11">
      <c r="A248" s="4836" t="s">
        <v>190</v>
      </c>
      <c r="B248" s="4837"/>
      <c r="C248" s="4837"/>
      <c r="D248" s="4837"/>
      <c r="E248" s="4837"/>
      <c r="F248" s="484"/>
      <c r="G248" s="469"/>
      <c r="H248" s="469"/>
      <c r="I248" s="469"/>
      <c r="J248" s="469"/>
      <c r="K248" s="469"/>
    </row>
    <row r="249" spans="1:11">
      <c r="A249" s="4836" t="s">
        <v>864</v>
      </c>
      <c r="B249" s="4837"/>
      <c r="C249" s="4837"/>
      <c r="D249" s="4837"/>
      <c r="E249" s="4837"/>
      <c r="F249" s="484"/>
      <c r="G249" s="469"/>
      <c r="H249" s="469"/>
      <c r="I249" s="469"/>
      <c r="J249" s="469"/>
      <c r="K249" s="469"/>
    </row>
    <row r="250" spans="1:11">
      <c r="A250" s="4836" t="s">
        <v>865</v>
      </c>
      <c r="B250" s="4837"/>
      <c r="C250" s="4837"/>
      <c r="D250" s="4837"/>
      <c r="E250" s="4837"/>
      <c r="F250" s="484"/>
      <c r="G250" s="469"/>
      <c r="H250" s="469"/>
      <c r="I250" s="469"/>
      <c r="J250" s="469"/>
      <c r="K250" s="469"/>
    </row>
    <row r="251" spans="1:11">
      <c r="A251" s="4836" t="s">
        <v>866</v>
      </c>
      <c r="B251" s="4837"/>
      <c r="C251" s="4837"/>
      <c r="D251" s="4837"/>
      <c r="E251" s="4837"/>
      <c r="F251" s="4838"/>
      <c r="G251" s="469"/>
      <c r="H251" s="469"/>
      <c r="I251" s="469"/>
      <c r="J251" s="469"/>
      <c r="K251" s="469"/>
    </row>
    <row r="252" spans="1:11">
      <c r="A252" s="4842" t="s">
        <v>867</v>
      </c>
      <c r="B252" s="4843"/>
      <c r="C252" s="4843"/>
      <c r="D252" s="4843"/>
      <c r="E252" s="4843"/>
      <c r="F252" s="4844"/>
      <c r="G252" s="469"/>
      <c r="H252" s="469"/>
      <c r="I252" s="469"/>
      <c r="J252" s="469"/>
      <c r="K252" s="469"/>
    </row>
    <row r="253" spans="1:11">
      <c r="A253" s="4836" t="s">
        <v>868</v>
      </c>
      <c r="B253" s="4837"/>
      <c r="C253" s="4837"/>
      <c r="D253" s="4837"/>
      <c r="E253" s="4837"/>
      <c r="F253" s="4838"/>
      <c r="G253" s="469"/>
      <c r="H253" s="469"/>
      <c r="I253" s="469"/>
      <c r="J253" s="469"/>
      <c r="K253" s="469"/>
    </row>
    <row r="254" spans="1:11">
      <c r="A254" s="4836" t="s">
        <v>869</v>
      </c>
      <c r="B254" s="4837"/>
      <c r="C254" s="4837"/>
      <c r="D254" s="4837"/>
      <c r="E254" s="4837"/>
      <c r="F254" s="4838"/>
      <c r="G254" s="469"/>
      <c r="H254" s="469"/>
      <c r="I254" s="469"/>
      <c r="J254" s="469"/>
      <c r="K254" s="469"/>
    </row>
    <row r="255" spans="1:11" ht="25.5" customHeight="1">
      <c r="A255" s="4836" t="s">
        <v>870</v>
      </c>
      <c r="B255" s="4837"/>
      <c r="C255" s="4837"/>
      <c r="D255" s="4837"/>
      <c r="E255" s="4837"/>
      <c r="F255" s="4838"/>
      <c r="G255" s="455"/>
      <c r="H255" s="469"/>
      <c r="I255" s="469"/>
      <c r="J255" s="469"/>
      <c r="K255" s="469"/>
    </row>
    <row r="256" spans="1:11">
      <c r="A256" s="4836" t="s">
        <v>871</v>
      </c>
      <c r="B256" s="4837"/>
      <c r="C256" s="4837"/>
      <c r="D256" s="4837"/>
      <c r="E256" s="4837"/>
      <c r="F256" s="4838"/>
      <c r="G256" s="469"/>
      <c r="H256" s="469"/>
      <c r="I256" s="469"/>
      <c r="J256" s="469"/>
      <c r="K256" s="469"/>
    </row>
    <row r="257" spans="1:7">
      <c r="A257" s="4836" t="s">
        <v>872</v>
      </c>
      <c r="B257" s="4837"/>
      <c r="C257" s="4837"/>
      <c r="D257" s="4837"/>
      <c r="E257" s="4837"/>
      <c r="F257" s="4838"/>
      <c r="G257" s="469"/>
    </row>
    <row r="258" spans="1:7">
      <c r="A258" s="4836" t="s">
        <v>873</v>
      </c>
      <c r="B258" s="4837"/>
      <c r="C258" s="4837"/>
      <c r="D258" s="4837"/>
      <c r="E258" s="4837"/>
      <c r="F258" s="4838"/>
      <c r="G258" s="469"/>
    </row>
    <row r="259" spans="1:7">
      <c r="A259" s="4836" t="s">
        <v>874</v>
      </c>
      <c r="B259" s="4837"/>
      <c r="C259" s="4837"/>
      <c r="D259" s="4837"/>
      <c r="E259" s="4837"/>
      <c r="F259" s="4838"/>
      <c r="G259" s="469"/>
    </row>
    <row r="260" spans="1:7">
      <c r="A260" s="4836" t="s">
        <v>875</v>
      </c>
      <c r="B260" s="4837"/>
      <c r="C260" s="4837"/>
      <c r="D260" s="4837"/>
      <c r="E260" s="4837"/>
      <c r="F260" s="4838"/>
      <c r="G260" s="469"/>
    </row>
    <row r="261" spans="1:7" ht="15.75">
      <c r="A261" s="4836" t="s">
        <v>876</v>
      </c>
      <c r="B261" s="4837"/>
      <c r="C261" s="4837"/>
      <c r="D261" s="4837"/>
      <c r="E261" s="4837"/>
      <c r="F261" s="4838"/>
      <c r="G261" s="477"/>
    </row>
    <row r="262" spans="1:7" ht="15.75">
      <c r="A262" s="4836" t="s">
        <v>877</v>
      </c>
      <c r="B262" s="4837"/>
      <c r="C262" s="4837"/>
      <c r="D262" s="4837"/>
      <c r="E262" s="4837"/>
      <c r="F262" s="4838"/>
      <c r="G262" s="477"/>
    </row>
    <row r="263" spans="1:7">
      <c r="A263" s="4836" t="s">
        <v>878</v>
      </c>
      <c r="B263" s="4837"/>
      <c r="C263" s="4837"/>
      <c r="D263" s="4837"/>
      <c r="E263" s="4837"/>
      <c r="F263" s="4838"/>
      <c r="G263" s="469"/>
    </row>
    <row r="264" spans="1:7">
      <c r="A264" s="4836" t="s">
        <v>879</v>
      </c>
      <c r="B264" s="4837"/>
      <c r="C264" s="4837"/>
      <c r="D264" s="4837"/>
      <c r="E264" s="4837"/>
      <c r="F264" s="4838"/>
      <c r="G264" s="469"/>
    </row>
    <row r="265" spans="1:7">
      <c r="A265" s="4836" t="s">
        <v>880</v>
      </c>
      <c r="B265" s="4837"/>
      <c r="C265" s="4837"/>
      <c r="D265" s="4837"/>
      <c r="E265" s="4837"/>
      <c r="F265" s="4838"/>
      <c r="G265" s="469"/>
    </row>
    <row r="266" spans="1:7">
      <c r="A266" s="4836" t="s">
        <v>881</v>
      </c>
      <c r="B266" s="4837"/>
      <c r="C266" s="4837"/>
      <c r="D266" s="4837"/>
      <c r="E266" s="4837"/>
      <c r="F266" s="4838"/>
      <c r="G266" s="469"/>
    </row>
    <row r="267" spans="1:7">
      <c r="A267" s="4836" t="s">
        <v>882</v>
      </c>
      <c r="B267" s="4837"/>
      <c r="C267" s="4837"/>
      <c r="D267" s="4837"/>
      <c r="E267" s="4837"/>
      <c r="F267" s="4838"/>
      <c r="G267" s="469"/>
    </row>
    <row r="268" spans="1:7">
      <c r="A268" s="4836" t="s">
        <v>883</v>
      </c>
      <c r="B268" s="4837"/>
      <c r="C268" s="4837"/>
      <c r="D268" s="4837"/>
      <c r="E268" s="4837"/>
      <c r="F268" s="4838"/>
      <c r="G268" s="469"/>
    </row>
    <row r="269" spans="1:7">
      <c r="A269" s="4836" t="s">
        <v>884</v>
      </c>
      <c r="B269" s="4837"/>
      <c r="C269" s="4837"/>
      <c r="D269" s="4837"/>
      <c r="E269" s="4837"/>
      <c r="F269" s="4838"/>
      <c r="G269" s="334"/>
    </row>
    <row r="270" spans="1:7">
      <c r="A270" s="4836" t="s">
        <v>885</v>
      </c>
      <c r="B270" s="4837"/>
      <c r="C270" s="4837"/>
      <c r="D270" s="4837"/>
      <c r="E270" s="4837"/>
      <c r="F270" s="4838"/>
      <c r="G270" s="334"/>
    </row>
    <row r="271" spans="1:7">
      <c r="A271" s="4836" t="s">
        <v>886</v>
      </c>
      <c r="B271" s="4837"/>
      <c r="C271" s="4837"/>
      <c r="D271" s="4837"/>
      <c r="E271" s="4837"/>
      <c r="F271" s="4838"/>
      <c r="G271" s="334"/>
    </row>
    <row r="272" spans="1:7">
      <c r="A272" s="4836" t="s">
        <v>887</v>
      </c>
      <c r="B272" s="4837"/>
      <c r="C272" s="4837"/>
      <c r="D272" s="4837"/>
      <c r="E272" s="4837"/>
      <c r="F272" s="4838"/>
    </row>
    <row r="273" spans="1:6">
      <c r="A273" s="4836" t="s">
        <v>888</v>
      </c>
      <c r="B273" s="4837"/>
      <c r="C273" s="4837"/>
      <c r="D273" s="4837"/>
      <c r="E273" s="4837"/>
      <c r="F273" s="4838"/>
    </row>
    <row r="274" spans="1:6">
      <c r="A274" s="4836" t="s">
        <v>889</v>
      </c>
      <c r="B274" s="4837"/>
      <c r="C274" s="4837"/>
      <c r="D274" s="4837"/>
      <c r="E274" s="4837"/>
      <c r="F274" s="4838"/>
    </row>
    <row r="275" spans="1:6">
      <c r="A275" s="4836" t="s">
        <v>136</v>
      </c>
      <c r="B275" s="4837"/>
      <c r="C275" s="4837"/>
      <c r="D275" s="4837"/>
      <c r="E275" s="4837"/>
      <c r="F275" s="4838"/>
    </row>
    <row r="276" spans="1:6">
      <c r="A276" s="4836" t="s">
        <v>186</v>
      </c>
      <c r="B276" s="4837"/>
      <c r="C276" s="4837"/>
      <c r="D276" s="4837"/>
      <c r="E276" s="4837"/>
      <c r="F276" s="4838"/>
    </row>
    <row r="277" spans="1:6">
      <c r="A277" s="4836" t="s">
        <v>890</v>
      </c>
      <c r="B277" s="4837"/>
      <c r="C277" s="4837"/>
      <c r="D277" s="4837"/>
      <c r="E277" s="4837"/>
      <c r="F277" s="4838"/>
    </row>
    <row r="278" spans="1:6">
      <c r="A278" s="4836" t="s">
        <v>891</v>
      </c>
      <c r="B278" s="4837"/>
      <c r="C278" s="4837"/>
      <c r="D278" s="4837"/>
      <c r="E278" s="4837"/>
      <c r="F278" s="4838"/>
    </row>
    <row r="279" spans="1:6">
      <c r="A279" s="4836" t="s">
        <v>892</v>
      </c>
      <c r="B279" s="4837"/>
      <c r="C279" s="4837"/>
      <c r="D279" s="4837"/>
      <c r="E279" s="4837"/>
      <c r="F279" s="4838"/>
    </row>
    <row r="280" spans="1:6">
      <c r="A280" s="4836" t="s">
        <v>893</v>
      </c>
      <c r="B280" s="4837"/>
      <c r="C280" s="4837"/>
      <c r="D280" s="4837"/>
      <c r="E280" s="4837"/>
      <c r="F280" s="4838"/>
    </row>
    <row r="281" spans="1:6">
      <c r="A281" s="4836" t="s">
        <v>175</v>
      </c>
      <c r="B281" s="4837"/>
      <c r="C281" s="4837"/>
      <c r="D281" s="4837"/>
      <c r="E281" s="4837"/>
      <c r="F281" s="4838"/>
    </row>
    <row r="282" spans="1:6" ht="15" customHeight="1">
      <c r="A282" s="4836" t="s">
        <v>894</v>
      </c>
      <c r="B282" s="4837"/>
      <c r="C282" s="4837"/>
      <c r="D282" s="4837"/>
      <c r="E282" s="4837"/>
      <c r="F282" s="4838"/>
    </row>
    <row r="283" spans="1:6">
      <c r="A283" s="4836" t="s">
        <v>895</v>
      </c>
      <c r="B283" s="4837"/>
      <c r="C283" s="4837"/>
      <c r="D283" s="4837"/>
      <c r="E283" s="4837"/>
      <c r="F283" s="4838"/>
    </row>
    <row r="284" spans="1:6">
      <c r="A284" s="4836" t="s">
        <v>896</v>
      </c>
      <c r="B284" s="4837"/>
      <c r="C284" s="4837"/>
      <c r="D284" s="4837"/>
      <c r="E284" s="4837"/>
      <c r="F284" s="4838"/>
    </row>
    <row r="285" spans="1:6">
      <c r="A285" s="4836" t="s">
        <v>146</v>
      </c>
      <c r="B285" s="4837"/>
      <c r="C285" s="4837"/>
      <c r="D285" s="4837"/>
      <c r="E285" s="4837"/>
      <c r="F285" s="4838"/>
    </row>
    <row r="286" spans="1:6">
      <c r="A286" s="4836" t="s">
        <v>897</v>
      </c>
      <c r="B286" s="4837"/>
      <c r="C286" s="4837"/>
      <c r="D286" s="4837"/>
      <c r="E286" s="4837"/>
      <c r="F286" s="4838"/>
    </row>
    <row r="287" spans="1:6">
      <c r="A287" s="4836" t="s">
        <v>898</v>
      </c>
      <c r="B287" s="4837"/>
      <c r="C287" s="4837"/>
      <c r="D287" s="4837"/>
      <c r="E287" s="4837"/>
      <c r="F287" s="4838"/>
    </row>
    <row r="288" spans="1:6">
      <c r="A288" s="4836" t="s">
        <v>183</v>
      </c>
      <c r="B288" s="4837"/>
      <c r="C288" s="4837"/>
      <c r="D288" s="4837"/>
      <c r="E288" s="4837"/>
      <c r="F288" s="4838"/>
    </row>
    <row r="289" spans="1:6">
      <c r="A289" s="4836" t="s">
        <v>899</v>
      </c>
      <c r="B289" s="4837"/>
      <c r="C289" s="4837"/>
      <c r="D289" s="4837"/>
      <c r="E289" s="4837"/>
      <c r="F289" s="4838"/>
    </row>
    <row r="290" spans="1:6">
      <c r="A290" s="4836" t="s">
        <v>900</v>
      </c>
      <c r="B290" s="4837"/>
      <c r="C290" s="4837"/>
      <c r="D290" s="4837"/>
      <c r="E290" s="4837"/>
      <c r="F290" s="4838"/>
    </row>
    <row r="291" spans="1:6">
      <c r="A291" s="4836" t="s">
        <v>901</v>
      </c>
      <c r="B291" s="4837"/>
      <c r="C291" s="4837"/>
      <c r="D291" s="4837"/>
      <c r="E291" s="4837"/>
      <c r="F291" s="4838"/>
    </row>
    <row r="292" spans="1:6">
      <c r="A292" s="4836" t="s">
        <v>150</v>
      </c>
      <c r="B292" s="4837"/>
      <c r="C292" s="4837"/>
      <c r="D292" s="4837"/>
      <c r="E292" s="4837"/>
      <c r="F292" s="4838"/>
    </row>
    <row r="293" spans="1:6">
      <c r="A293" s="4836" t="s">
        <v>171</v>
      </c>
      <c r="B293" s="4837"/>
      <c r="C293" s="4837"/>
      <c r="D293" s="4837"/>
      <c r="E293" s="4837"/>
      <c r="F293" s="4838"/>
    </row>
    <row r="294" spans="1:6">
      <c r="A294" s="4839" t="s">
        <v>902</v>
      </c>
      <c r="B294" s="4840"/>
      <c r="C294" s="4840"/>
      <c r="D294" s="4840"/>
      <c r="E294" s="4840"/>
      <c r="F294" s="4841"/>
    </row>
    <row r="295" spans="1:6">
      <c r="A295" s="4835" t="s">
        <v>903</v>
      </c>
      <c r="B295" s="4835"/>
      <c r="C295" s="4835"/>
      <c r="D295" s="4835"/>
      <c r="E295" s="4835"/>
      <c r="F295" s="4835"/>
    </row>
  </sheetData>
  <mergeCells count="55">
    <mergeCell ref="A1:M1"/>
    <mergeCell ref="A112:B112"/>
    <mergeCell ref="B40:D40"/>
    <mergeCell ref="E40:F40"/>
    <mergeCell ref="A110:B110"/>
    <mergeCell ref="A111:B111"/>
    <mergeCell ref="A251:F251"/>
    <mergeCell ref="A252:F252"/>
    <mergeCell ref="A253:F253"/>
    <mergeCell ref="A254:F254"/>
    <mergeCell ref="A247:E247"/>
    <mergeCell ref="A248:E248"/>
    <mergeCell ref="A249:E249"/>
    <mergeCell ref="A250:E250"/>
    <mergeCell ref="A255:F255"/>
    <mergeCell ref="A256:F256"/>
    <mergeCell ref="A257:F257"/>
    <mergeCell ref="A258:F258"/>
    <mergeCell ref="A259:F259"/>
    <mergeCell ref="A260:F260"/>
    <mergeCell ref="A261:F261"/>
    <mergeCell ref="A262:F262"/>
    <mergeCell ref="A263:F263"/>
    <mergeCell ref="A264:F264"/>
    <mergeCell ref="A265:F265"/>
    <mergeCell ref="A266:F266"/>
    <mergeCell ref="A267:F267"/>
    <mergeCell ref="A268:F268"/>
    <mergeCell ref="A269:F269"/>
    <mergeCell ref="A270:F270"/>
    <mergeCell ref="A271:F271"/>
    <mergeCell ref="A272:F272"/>
    <mergeCell ref="A273:F273"/>
    <mergeCell ref="A274:F274"/>
    <mergeCell ref="A275:F275"/>
    <mergeCell ref="A276:F276"/>
    <mergeCell ref="A277:F277"/>
    <mergeCell ref="A278:F278"/>
    <mergeCell ref="A279:F279"/>
    <mergeCell ref="A280:F280"/>
    <mergeCell ref="A281:F281"/>
    <mergeCell ref="A282:F282"/>
    <mergeCell ref="A283:F283"/>
    <mergeCell ref="A284:F284"/>
    <mergeCell ref="A285:F285"/>
    <mergeCell ref="A286:F286"/>
    <mergeCell ref="A287:F287"/>
    <mergeCell ref="A288:F288"/>
    <mergeCell ref="A289:F289"/>
    <mergeCell ref="A295:F295"/>
    <mergeCell ref="A290:F290"/>
    <mergeCell ref="A291:F291"/>
    <mergeCell ref="A292:F292"/>
    <mergeCell ref="A293:F293"/>
    <mergeCell ref="A294:F294"/>
  </mergeCells>
  <hyperlinks>
    <hyperlink ref="A1:N1" location="FINANCIËN!A1" display="FISCALITEIT" xr:uid="{00000000-0004-0000-2B00-000000000000}"/>
    <hyperlink ref="A238" r:id="rId1" xr:uid="{00000000-0004-0000-2B00-000001000000}"/>
  </hyperlinks>
  <pageMargins left="0.7" right="0.7" top="0.75" bottom="0.75" header="0.3" footer="0.3"/>
  <pageSetup paperSize="9" orientation="landscape" horizontalDpi="4294967293" r:id="rId2"/>
  <drawing r:id="rId3"/>
  <legacyDrawing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EBD531"/>
  </sheetPr>
  <dimension ref="A1:P141"/>
  <sheetViews>
    <sheetView topLeftCell="A67" workbookViewId="0">
      <selection activeCell="A29" sqref="A29"/>
    </sheetView>
  </sheetViews>
  <sheetFormatPr defaultColWidth="9.140625" defaultRowHeight="12.75"/>
  <cols>
    <col min="1" max="1" width="9.140625" style="39"/>
    <col min="2" max="2" width="14.7109375" style="39" bestFit="1" customWidth="1"/>
    <col min="3" max="3" width="11.5703125" style="39" customWidth="1"/>
    <col min="4" max="4" width="9.85546875" style="39" customWidth="1"/>
    <col min="5" max="6" width="10.140625" style="39" customWidth="1"/>
    <col min="7" max="7" width="10.28515625" style="39" customWidth="1"/>
    <col min="8" max="12" width="9.140625" style="39"/>
    <col min="13" max="13" width="10.42578125" style="39" customWidth="1"/>
    <col min="14" max="14" width="28.7109375" style="39" customWidth="1"/>
    <col min="15" max="15" width="61.28515625" style="39" customWidth="1"/>
    <col min="16" max="16384" width="9.140625" style="39"/>
  </cols>
  <sheetData>
    <row r="1" spans="1:13" ht="21">
      <c r="A1" s="4856" t="s">
        <v>729</v>
      </c>
      <c r="B1" s="4857"/>
      <c r="C1" s="4857"/>
      <c r="D1" s="4857"/>
      <c r="E1" s="4857"/>
      <c r="F1" s="4857"/>
      <c r="G1" s="4857"/>
      <c r="H1" s="4857"/>
      <c r="I1" s="4857"/>
      <c r="J1" s="4857"/>
      <c r="K1" s="4857"/>
      <c r="L1" s="4857"/>
      <c r="M1" s="4858"/>
    </row>
    <row r="4" spans="1:13" ht="13.5" thickBot="1"/>
    <row r="5" spans="1:13" ht="27" customHeight="1" thickBot="1">
      <c r="A5" s="145" t="s">
        <v>726</v>
      </c>
      <c r="B5" s="323" t="s">
        <v>727</v>
      </c>
      <c r="C5" s="323" t="s">
        <v>636</v>
      </c>
      <c r="D5" s="323" t="s">
        <v>625</v>
      </c>
      <c r="E5" s="324" t="s">
        <v>656</v>
      </c>
      <c r="F5" s="325" t="s">
        <v>728</v>
      </c>
      <c r="G5" s="326" t="s">
        <v>636</v>
      </c>
    </row>
    <row r="6" spans="1:13">
      <c r="A6" s="319">
        <v>1995</v>
      </c>
      <c r="B6" s="320">
        <v>1128114</v>
      </c>
      <c r="C6" s="301"/>
      <c r="D6" s="302"/>
      <c r="E6" s="302"/>
      <c r="F6" s="303"/>
      <c r="G6" s="304"/>
    </row>
    <row r="7" spans="1:13">
      <c r="A7" s="319">
        <v>1996</v>
      </c>
      <c r="B7" s="320">
        <v>1145958</v>
      </c>
      <c r="C7" s="305">
        <f t="shared" ref="C7:C28" si="0">(B7-B6)/B6</f>
        <v>1.5817550353953588E-2</v>
      </c>
      <c r="D7" s="306"/>
      <c r="E7" s="306"/>
      <c r="F7" s="307"/>
      <c r="G7" s="308"/>
    </row>
    <row r="8" spans="1:13">
      <c r="A8" s="319">
        <v>1997</v>
      </c>
      <c r="B8" s="320">
        <v>1197540</v>
      </c>
      <c r="C8" s="305">
        <f t="shared" si="0"/>
        <v>4.5012120863068279E-2</v>
      </c>
      <c r="D8" s="306"/>
      <c r="E8" s="306"/>
      <c r="F8" s="307"/>
      <c r="G8" s="308"/>
    </row>
    <row r="9" spans="1:13">
      <c r="A9" s="319">
        <v>1998</v>
      </c>
      <c r="B9" s="320">
        <v>1214789</v>
      </c>
      <c r="C9" s="305">
        <f t="shared" si="0"/>
        <v>1.4403694239858376E-2</v>
      </c>
      <c r="D9" s="306"/>
      <c r="E9" s="306"/>
      <c r="F9" s="307"/>
      <c r="G9" s="308"/>
    </row>
    <row r="10" spans="1:13">
      <c r="A10" s="319">
        <v>1999</v>
      </c>
      <c r="B10" s="320">
        <v>1242050</v>
      </c>
      <c r="C10" s="305">
        <f t="shared" si="0"/>
        <v>2.2440934186924642E-2</v>
      </c>
      <c r="D10" s="306"/>
      <c r="E10" s="306"/>
      <c r="F10" s="307"/>
      <c r="G10" s="308"/>
    </row>
    <row r="11" spans="1:13">
      <c r="A11" s="319">
        <v>2000</v>
      </c>
      <c r="B11" s="320">
        <v>1281849</v>
      </c>
      <c r="C11" s="305">
        <f t="shared" si="0"/>
        <v>3.204299343826738E-2</v>
      </c>
      <c r="D11" s="306"/>
      <c r="E11" s="306"/>
      <c r="F11" s="307"/>
      <c r="G11" s="308"/>
    </row>
    <row r="12" spans="1:13">
      <c r="A12" s="319">
        <v>2001</v>
      </c>
      <c r="B12" s="320">
        <v>1335330</v>
      </c>
      <c r="C12" s="305">
        <f t="shared" si="0"/>
        <v>4.1721762859744008E-2</v>
      </c>
      <c r="D12" s="306"/>
      <c r="E12" s="306"/>
      <c r="F12" s="307"/>
      <c r="G12" s="308"/>
    </row>
    <row r="13" spans="1:13">
      <c r="A13" s="319">
        <v>2002</v>
      </c>
      <c r="B13" s="320">
        <v>1404505</v>
      </c>
      <c r="C13" s="305">
        <f t="shared" si="0"/>
        <v>5.1803673998187715E-2</v>
      </c>
      <c r="D13" s="306">
        <v>1418680</v>
      </c>
      <c r="E13" s="306">
        <f t="shared" ref="E13:E28" si="1">B13-D13</f>
        <v>-14175</v>
      </c>
      <c r="F13" s="307"/>
      <c r="G13" s="308"/>
    </row>
    <row r="14" spans="1:13">
      <c r="A14" s="319">
        <v>2003</v>
      </c>
      <c r="B14" s="320">
        <v>2262484</v>
      </c>
      <c r="C14" s="309">
        <f t="shared" si="0"/>
        <v>0.61087642977419088</v>
      </c>
      <c r="D14" s="310">
        <v>2228613</v>
      </c>
      <c r="E14" s="306">
        <f t="shared" si="1"/>
        <v>33871</v>
      </c>
      <c r="F14" s="307"/>
      <c r="G14" s="308"/>
    </row>
    <row r="15" spans="1:13">
      <c r="A15" s="319">
        <v>2004</v>
      </c>
      <c r="B15" s="320">
        <v>2409561</v>
      </c>
      <c r="C15" s="305">
        <f t="shared" si="0"/>
        <v>6.5006868556860511E-2</v>
      </c>
      <c r="D15" s="306">
        <v>2382524</v>
      </c>
      <c r="E15" s="306">
        <f t="shared" si="1"/>
        <v>27037</v>
      </c>
      <c r="F15" s="307"/>
      <c r="G15" s="308"/>
    </row>
    <row r="16" spans="1:13">
      <c r="A16" s="319">
        <v>2005</v>
      </c>
      <c r="B16" s="320">
        <v>2430749</v>
      </c>
      <c r="C16" s="305">
        <f t="shared" si="0"/>
        <v>8.7933030124574558E-3</v>
      </c>
      <c r="D16" s="306">
        <v>2546131</v>
      </c>
      <c r="E16" s="306">
        <f t="shared" si="1"/>
        <v>-115382</v>
      </c>
      <c r="F16" s="307"/>
      <c r="G16" s="308"/>
    </row>
    <row r="17" spans="1:7">
      <c r="A17" s="319">
        <v>2006</v>
      </c>
      <c r="B17" s="320">
        <v>2541584.64</v>
      </c>
      <c r="C17" s="305">
        <f t="shared" si="0"/>
        <v>4.559732000301147E-2</v>
      </c>
      <c r="D17" s="306">
        <v>2561927</v>
      </c>
      <c r="E17" s="306">
        <f t="shared" si="1"/>
        <v>-20342.35999999987</v>
      </c>
      <c r="F17" s="307"/>
      <c r="G17" s="308"/>
    </row>
    <row r="18" spans="1:7">
      <c r="A18" s="319">
        <v>2007</v>
      </c>
      <c r="B18" s="320">
        <v>2617193.92</v>
      </c>
      <c r="C18" s="305">
        <f t="shared" si="0"/>
        <v>2.9748873521678109E-2</v>
      </c>
      <c r="D18" s="306">
        <v>2647189</v>
      </c>
      <c r="E18" s="306">
        <f t="shared" si="1"/>
        <v>-29995.080000000075</v>
      </c>
      <c r="F18" s="307"/>
      <c r="G18" s="308"/>
    </row>
    <row r="19" spans="1:7">
      <c r="A19" s="319">
        <v>2008</v>
      </c>
      <c r="B19" s="320">
        <v>2662632.7200000002</v>
      </c>
      <c r="C19" s="305">
        <f t="shared" si="0"/>
        <v>1.7361648157886704E-2</v>
      </c>
      <c r="D19" s="306">
        <v>2751777</v>
      </c>
      <c r="E19" s="306">
        <f t="shared" si="1"/>
        <v>-89144.279999999795</v>
      </c>
      <c r="F19" s="311">
        <v>222843.82</v>
      </c>
      <c r="G19" s="308"/>
    </row>
    <row r="20" spans="1:7">
      <c r="A20" s="319">
        <v>2009</v>
      </c>
      <c r="B20" s="320">
        <v>2803821.44</v>
      </c>
      <c r="C20" s="305">
        <f t="shared" si="0"/>
        <v>5.3025983996771331E-2</v>
      </c>
      <c r="D20" s="306">
        <v>2810739</v>
      </c>
      <c r="E20" s="306">
        <f t="shared" si="1"/>
        <v>-6917.5600000000559</v>
      </c>
      <c r="F20" s="311">
        <v>244903.03</v>
      </c>
      <c r="G20" s="312">
        <f>(F20-F19)/F19</f>
        <v>9.8989552413883367E-2</v>
      </c>
    </row>
    <row r="21" spans="1:7">
      <c r="A21" s="319">
        <v>2010</v>
      </c>
      <c r="B21" s="320">
        <v>2808437</v>
      </c>
      <c r="C21" s="305">
        <f t="shared" si="0"/>
        <v>1.6461675961790406E-3</v>
      </c>
      <c r="D21" s="306">
        <v>2829504</v>
      </c>
      <c r="E21" s="306">
        <f t="shared" si="1"/>
        <v>-21067</v>
      </c>
      <c r="F21" s="311">
        <v>244903</v>
      </c>
      <c r="G21" s="312">
        <f t="shared" ref="G21:G28" si="2">(F21-F20)/F20</f>
        <v>-1.2249746358318166E-7</v>
      </c>
    </row>
    <row r="22" spans="1:7">
      <c r="A22" s="319">
        <v>2011</v>
      </c>
      <c r="B22" s="320">
        <v>2922964.2</v>
      </c>
      <c r="C22" s="305">
        <f t="shared" si="0"/>
        <v>4.0779693473629704E-2</v>
      </c>
      <c r="D22" s="306">
        <v>2944454</v>
      </c>
      <c r="E22" s="306">
        <f t="shared" si="1"/>
        <v>-21489.799999999814</v>
      </c>
      <c r="F22" s="311">
        <v>206621.3</v>
      </c>
      <c r="G22" s="312">
        <f t="shared" si="2"/>
        <v>-0.15631372420917675</v>
      </c>
    </row>
    <row r="23" spans="1:7">
      <c r="A23" s="319">
        <v>2012</v>
      </c>
      <c r="B23" s="320">
        <v>2933799.04</v>
      </c>
      <c r="C23" s="305">
        <f t="shared" si="0"/>
        <v>3.7067987353385477E-3</v>
      </c>
      <c r="D23" s="306">
        <v>3014770</v>
      </c>
      <c r="E23" s="306">
        <f t="shared" si="1"/>
        <v>-80970.959999999963</v>
      </c>
      <c r="F23" s="311">
        <v>230559.63</v>
      </c>
      <c r="G23" s="312">
        <f t="shared" si="2"/>
        <v>0.11585606130636104</v>
      </c>
    </row>
    <row r="24" spans="1:7">
      <c r="A24" s="319">
        <v>2013</v>
      </c>
      <c r="B24" s="320">
        <v>3014824</v>
      </c>
      <c r="C24" s="305">
        <f t="shared" si="0"/>
        <v>2.7617760758419214E-2</v>
      </c>
      <c r="D24" s="306">
        <v>3051975</v>
      </c>
      <c r="E24" s="306">
        <f t="shared" si="1"/>
        <v>-37151</v>
      </c>
      <c r="F24" s="313">
        <v>230559.6</v>
      </c>
      <c r="G24" s="312">
        <f t="shared" si="2"/>
        <v>-1.3011818243651695E-7</v>
      </c>
    </row>
    <row r="25" spans="1:7">
      <c r="A25" s="319">
        <v>2014</v>
      </c>
      <c r="B25" s="320">
        <v>3151226</v>
      </c>
      <c r="C25" s="305">
        <f t="shared" si="0"/>
        <v>4.5243768790483294E-2</v>
      </c>
      <c r="D25" s="306">
        <v>3159653</v>
      </c>
      <c r="E25" s="306">
        <f t="shared" si="1"/>
        <v>-8427</v>
      </c>
      <c r="F25" s="313">
        <v>230560</v>
      </c>
      <c r="G25" s="312">
        <f t="shared" si="2"/>
        <v>1.7349093249388844E-6</v>
      </c>
    </row>
    <row r="26" spans="1:7">
      <c r="A26" s="319">
        <v>2015</v>
      </c>
      <c r="B26" s="320">
        <v>3320519.2</v>
      </c>
      <c r="C26" s="305">
        <f t="shared" si="0"/>
        <v>5.3722963697303901E-2</v>
      </c>
      <c r="D26" s="306">
        <v>3261666</v>
      </c>
      <c r="E26" s="306">
        <f t="shared" si="1"/>
        <v>58853.200000000186</v>
      </c>
      <c r="F26" s="313">
        <v>230560</v>
      </c>
      <c r="G26" s="312">
        <f t="shared" si="2"/>
        <v>0</v>
      </c>
    </row>
    <row r="27" spans="1:7">
      <c r="A27" s="319">
        <v>2016</v>
      </c>
      <c r="B27" s="320">
        <v>3446532</v>
      </c>
      <c r="C27" s="305">
        <f t="shared" si="0"/>
        <v>3.7949727861835522E-2</v>
      </c>
      <c r="D27" s="306">
        <v>3432110</v>
      </c>
      <c r="E27" s="306">
        <f t="shared" si="1"/>
        <v>14422</v>
      </c>
      <c r="F27" s="313">
        <v>230560</v>
      </c>
      <c r="G27" s="312">
        <f t="shared" si="2"/>
        <v>0</v>
      </c>
    </row>
    <row r="28" spans="1:7">
      <c r="A28" s="319">
        <v>2017</v>
      </c>
      <c r="B28" s="320">
        <v>3544725.96</v>
      </c>
      <c r="C28" s="305">
        <f t="shared" si="0"/>
        <v>2.8490656694903735E-2</v>
      </c>
      <c r="D28" s="306">
        <v>3578006</v>
      </c>
      <c r="E28" s="306">
        <f t="shared" si="1"/>
        <v>-33280.040000000037</v>
      </c>
      <c r="F28" s="313">
        <v>230560</v>
      </c>
      <c r="G28" s="312">
        <f t="shared" si="2"/>
        <v>0</v>
      </c>
    </row>
    <row r="29" spans="1:7">
      <c r="A29" s="319"/>
      <c r="B29" s="320"/>
      <c r="C29" s="315"/>
      <c r="D29" s="306"/>
      <c r="E29" s="306"/>
      <c r="F29" s="313"/>
      <c r="G29" s="314"/>
    </row>
    <row r="30" spans="1:7" ht="13.5" thickBot="1">
      <c r="A30" s="321"/>
      <c r="B30" s="322"/>
      <c r="C30" s="316"/>
      <c r="D30" s="316"/>
      <c r="E30" s="316"/>
      <c r="F30" s="317"/>
      <c r="G30" s="318"/>
    </row>
    <row r="39" spans="1:16" ht="21">
      <c r="A39" s="4856" t="s">
        <v>766</v>
      </c>
      <c r="B39" s="4857"/>
      <c r="C39" s="4857"/>
      <c r="D39" s="4857"/>
      <c r="E39" s="4857"/>
      <c r="F39" s="4857"/>
      <c r="G39" s="4857"/>
      <c r="H39" s="4857"/>
      <c r="I39" s="4857"/>
      <c r="J39" s="4857"/>
      <c r="K39" s="4857"/>
      <c r="L39" s="4857"/>
      <c r="M39" s="4858"/>
    </row>
    <row r="44" spans="1:16" ht="27" customHeight="1">
      <c r="A44" s="329"/>
      <c r="B44" s="332"/>
      <c r="C44" s="332"/>
      <c r="D44" s="332" t="s">
        <v>730</v>
      </c>
      <c r="E44" s="327" t="s">
        <v>731</v>
      </c>
      <c r="F44" s="332" t="s">
        <v>732</v>
      </c>
      <c r="G44" s="332" t="s">
        <v>733</v>
      </c>
      <c r="H44" s="333"/>
      <c r="I44" s="335" t="s">
        <v>734</v>
      </c>
      <c r="J44" s="335"/>
      <c r="K44" s="333"/>
      <c r="L44" s="333" t="s">
        <v>735</v>
      </c>
      <c r="M44" s="333" t="s">
        <v>736</v>
      </c>
      <c r="N44" s="333" t="s">
        <v>737</v>
      </c>
      <c r="O44" s="328"/>
      <c r="P44" s="334"/>
    </row>
    <row r="45" spans="1:16" ht="15">
      <c r="A45" s="334">
        <v>2013</v>
      </c>
      <c r="B45" s="4859" t="s">
        <v>738</v>
      </c>
      <c r="C45" s="4859"/>
      <c r="D45" s="338">
        <v>41548</v>
      </c>
      <c r="E45" s="338">
        <v>41564</v>
      </c>
      <c r="F45" s="338">
        <v>41699</v>
      </c>
      <c r="G45" s="338">
        <v>41913</v>
      </c>
      <c r="H45" s="337">
        <v>160000</v>
      </c>
      <c r="I45" s="339">
        <v>42130</v>
      </c>
      <c r="J45" s="340">
        <v>214890</v>
      </c>
      <c r="K45" s="341">
        <v>160000</v>
      </c>
      <c r="L45" s="342">
        <v>234926</v>
      </c>
      <c r="M45" s="331"/>
      <c r="N45" s="331"/>
      <c r="O45" s="334"/>
      <c r="P45" s="2881" t="s">
        <v>7132</v>
      </c>
    </row>
    <row r="46" spans="1:16" ht="15">
      <c r="A46" s="334">
        <v>2013</v>
      </c>
      <c r="B46" s="4859" t="s">
        <v>739</v>
      </c>
      <c r="C46" s="4859"/>
      <c r="D46" s="338">
        <v>41548</v>
      </c>
      <c r="E46" s="338">
        <v>41564</v>
      </c>
      <c r="F46" s="338">
        <v>41699</v>
      </c>
      <c r="G46" s="338">
        <v>43101</v>
      </c>
      <c r="H46" s="337">
        <v>160000</v>
      </c>
      <c r="I46" s="337"/>
      <c r="J46" s="340">
        <v>11851</v>
      </c>
      <c r="K46" s="341">
        <v>285951</v>
      </c>
      <c r="L46" s="342"/>
      <c r="M46" s="343" t="s">
        <v>740</v>
      </c>
      <c r="N46" s="331" t="s">
        <v>741</v>
      </c>
      <c r="O46" s="38" t="s">
        <v>742</v>
      </c>
      <c r="P46" s="2880" t="s">
        <v>7131</v>
      </c>
    </row>
    <row r="47" spans="1:16">
      <c r="A47" s="334">
        <v>2013</v>
      </c>
      <c r="B47" s="4859" t="s">
        <v>739</v>
      </c>
      <c r="C47" s="4859"/>
      <c r="D47" s="338">
        <v>41548</v>
      </c>
      <c r="E47" s="338">
        <v>41564</v>
      </c>
      <c r="F47" s="338">
        <v>41699</v>
      </c>
      <c r="G47" s="338">
        <v>43101</v>
      </c>
      <c r="H47" s="337"/>
      <c r="I47" s="337"/>
      <c r="J47" s="340">
        <v>274100</v>
      </c>
      <c r="K47" s="342"/>
      <c r="L47" s="342"/>
      <c r="M47" s="343"/>
      <c r="N47" s="331"/>
      <c r="O47" s="38"/>
      <c r="P47" s="336"/>
    </row>
    <row r="48" spans="1:16">
      <c r="A48" s="344">
        <v>2014</v>
      </c>
      <c r="B48" s="4860" t="s">
        <v>739</v>
      </c>
      <c r="C48" s="4860"/>
      <c r="D48" s="345">
        <v>41830</v>
      </c>
      <c r="E48" s="345">
        <v>41858</v>
      </c>
      <c r="F48" s="345">
        <v>41821</v>
      </c>
      <c r="G48" s="345">
        <v>43101</v>
      </c>
      <c r="H48" s="346">
        <v>150000</v>
      </c>
      <c r="I48" s="346"/>
      <c r="J48" s="347">
        <v>142987</v>
      </c>
      <c r="K48" s="348">
        <v>300685</v>
      </c>
      <c r="L48" s="349">
        <v>234926</v>
      </c>
      <c r="M48" s="345">
        <v>42654</v>
      </c>
      <c r="N48" s="350" t="s">
        <v>743</v>
      </c>
      <c r="O48" s="344"/>
      <c r="P48" s="334"/>
    </row>
    <row r="49" spans="1:16">
      <c r="A49" s="344">
        <v>2014</v>
      </c>
      <c r="B49" s="4860" t="s">
        <v>739</v>
      </c>
      <c r="C49" s="4860"/>
      <c r="D49" s="345">
        <v>41830</v>
      </c>
      <c r="E49" s="345">
        <v>41858</v>
      </c>
      <c r="F49" s="345">
        <v>41821</v>
      </c>
      <c r="G49" s="345">
        <v>43101</v>
      </c>
      <c r="H49" s="346"/>
      <c r="I49" s="346"/>
      <c r="J49" s="347">
        <v>157698</v>
      </c>
      <c r="K49" s="349"/>
      <c r="L49" s="349"/>
      <c r="M49" s="345"/>
      <c r="N49" s="350" t="s">
        <v>743</v>
      </c>
      <c r="O49" s="344"/>
      <c r="P49" s="334"/>
    </row>
    <row r="50" spans="1:16">
      <c r="A50" s="344">
        <v>2014</v>
      </c>
      <c r="B50" s="4860" t="s">
        <v>744</v>
      </c>
      <c r="C50" s="4860"/>
      <c r="D50" s="345">
        <v>41830</v>
      </c>
      <c r="E50" s="345">
        <v>41858</v>
      </c>
      <c r="F50" s="345">
        <v>41821</v>
      </c>
      <c r="G50" s="345">
        <v>43101</v>
      </c>
      <c r="H50" s="346">
        <v>34000</v>
      </c>
      <c r="I50" s="346"/>
      <c r="J50" s="347"/>
      <c r="K50" s="349"/>
      <c r="L50" s="349"/>
      <c r="M50" s="350"/>
      <c r="N50" s="350" t="s">
        <v>743</v>
      </c>
      <c r="O50" s="344" t="s">
        <v>745</v>
      </c>
      <c r="P50" s="334"/>
    </row>
    <row r="51" spans="1:16" ht="15">
      <c r="A51" s="344">
        <v>2014</v>
      </c>
      <c r="B51" s="4860" t="s">
        <v>746</v>
      </c>
      <c r="C51" s="4860"/>
      <c r="D51" s="345">
        <v>41830</v>
      </c>
      <c r="E51" s="345">
        <v>41858</v>
      </c>
      <c r="F51" s="345">
        <v>41821</v>
      </c>
      <c r="G51" s="345">
        <v>43101</v>
      </c>
      <c r="H51" s="346">
        <v>170928</v>
      </c>
      <c r="I51" s="346"/>
      <c r="J51" s="349">
        <v>6140</v>
      </c>
      <c r="K51" s="349">
        <v>110308</v>
      </c>
      <c r="L51" s="349"/>
      <c r="M51" s="350"/>
      <c r="N51" s="350" t="s">
        <v>743</v>
      </c>
      <c r="O51" s="344" t="s">
        <v>747</v>
      </c>
      <c r="P51" s="2880" t="s">
        <v>7130</v>
      </c>
    </row>
    <row r="52" spans="1:16">
      <c r="A52" s="344">
        <v>2014</v>
      </c>
      <c r="B52" s="4860" t="s">
        <v>746</v>
      </c>
      <c r="C52" s="4860"/>
      <c r="D52" s="345">
        <v>41830</v>
      </c>
      <c r="E52" s="345">
        <v>41858</v>
      </c>
      <c r="F52" s="345">
        <v>41821</v>
      </c>
      <c r="G52" s="345">
        <v>43101</v>
      </c>
      <c r="H52" s="346"/>
      <c r="I52" s="346"/>
      <c r="J52" s="349">
        <v>16756</v>
      </c>
      <c r="K52" s="349"/>
      <c r="L52" s="349"/>
      <c r="M52" s="350"/>
      <c r="N52" s="350"/>
      <c r="O52" s="344"/>
      <c r="P52" s="336"/>
    </row>
    <row r="53" spans="1:16">
      <c r="A53" s="344">
        <v>2014</v>
      </c>
      <c r="B53" s="4860" t="s">
        <v>746</v>
      </c>
      <c r="C53" s="4860"/>
      <c r="D53" s="345">
        <v>41830</v>
      </c>
      <c r="E53" s="345">
        <v>41858</v>
      </c>
      <c r="F53" s="345">
        <v>41821</v>
      </c>
      <c r="G53" s="345">
        <v>43101</v>
      </c>
      <c r="H53" s="346"/>
      <c r="I53" s="346"/>
      <c r="J53" s="349">
        <v>73780</v>
      </c>
      <c r="K53" s="349"/>
      <c r="L53" s="349"/>
      <c r="M53" s="350"/>
      <c r="N53" s="350"/>
      <c r="O53" s="344"/>
      <c r="P53" s="336"/>
    </row>
    <row r="54" spans="1:16">
      <c r="A54" s="344">
        <v>2014</v>
      </c>
      <c r="B54" s="4860" t="s">
        <v>746</v>
      </c>
      <c r="C54" s="4860"/>
      <c r="D54" s="345">
        <v>41830</v>
      </c>
      <c r="E54" s="345">
        <v>41858</v>
      </c>
      <c r="F54" s="345">
        <v>41821</v>
      </c>
      <c r="G54" s="345">
        <v>43101</v>
      </c>
      <c r="H54" s="346"/>
      <c r="I54" s="346"/>
      <c r="J54" s="349">
        <v>13632</v>
      </c>
      <c r="K54" s="349"/>
      <c r="L54" s="349"/>
      <c r="M54" s="350"/>
      <c r="N54" s="350"/>
      <c r="O54" s="344"/>
      <c r="P54" s="336"/>
    </row>
    <row r="55" spans="1:16">
      <c r="A55" s="334">
        <v>2015</v>
      </c>
      <c r="B55" s="4859" t="s">
        <v>748</v>
      </c>
      <c r="C55" s="4859"/>
      <c r="D55" s="338">
        <v>42214</v>
      </c>
      <c r="E55" s="338">
        <v>42233</v>
      </c>
      <c r="F55" s="338">
        <v>42058</v>
      </c>
      <c r="G55" s="338">
        <v>43435</v>
      </c>
      <c r="H55" s="337">
        <v>350000</v>
      </c>
      <c r="I55" s="337"/>
      <c r="J55" s="340">
        <v>62814</v>
      </c>
      <c r="K55" s="342">
        <v>337047.32</v>
      </c>
      <c r="L55" s="342">
        <v>234926</v>
      </c>
      <c r="M55" s="331"/>
      <c r="N55" s="331" t="s">
        <v>749</v>
      </c>
      <c r="O55" s="334"/>
      <c r="P55" s="334"/>
    </row>
    <row r="56" spans="1:16">
      <c r="A56" s="334">
        <v>2015</v>
      </c>
      <c r="B56" s="4859" t="s">
        <v>748</v>
      </c>
      <c r="C56" s="4859"/>
      <c r="D56" s="338">
        <v>42214</v>
      </c>
      <c r="E56" s="338">
        <v>42233</v>
      </c>
      <c r="F56" s="338">
        <v>42058</v>
      </c>
      <c r="G56" s="338">
        <v>43435</v>
      </c>
      <c r="H56" s="337"/>
      <c r="I56" s="337"/>
      <c r="J56" s="340">
        <v>236464</v>
      </c>
      <c r="K56" s="342"/>
      <c r="L56" s="342"/>
      <c r="M56" s="331"/>
      <c r="N56" s="331"/>
      <c r="O56" s="334"/>
      <c r="P56" s="334"/>
    </row>
    <row r="57" spans="1:16">
      <c r="A57" s="334">
        <v>2015</v>
      </c>
      <c r="B57" s="4859" t="s">
        <v>748</v>
      </c>
      <c r="C57" s="4859"/>
      <c r="D57" s="338">
        <v>42214</v>
      </c>
      <c r="E57" s="338">
        <v>42233</v>
      </c>
      <c r="F57" s="338">
        <v>42058</v>
      </c>
      <c r="G57" s="338">
        <v>43435</v>
      </c>
      <c r="H57" s="337"/>
      <c r="I57" s="337"/>
      <c r="J57" s="340">
        <v>37769.32</v>
      </c>
      <c r="K57" s="342"/>
      <c r="L57" s="342"/>
      <c r="M57" s="331"/>
      <c r="N57" s="331"/>
      <c r="O57" s="334"/>
      <c r="P57" s="334"/>
    </row>
    <row r="58" spans="1:16" ht="15">
      <c r="A58" s="334">
        <v>2015</v>
      </c>
      <c r="B58" s="4859" t="s">
        <v>750</v>
      </c>
      <c r="C58" s="4859"/>
      <c r="D58" s="338">
        <v>42214</v>
      </c>
      <c r="E58" s="338">
        <v>42233</v>
      </c>
      <c r="F58" s="338">
        <v>42058</v>
      </c>
      <c r="G58" s="338">
        <v>43435</v>
      </c>
      <c r="H58" s="337">
        <v>46625</v>
      </c>
      <c r="I58" s="337"/>
      <c r="J58" s="340">
        <v>49117</v>
      </c>
      <c r="K58" s="341">
        <v>46625</v>
      </c>
      <c r="L58" s="342"/>
      <c r="M58" s="331"/>
      <c r="N58" s="331" t="s">
        <v>751</v>
      </c>
      <c r="O58" s="334"/>
      <c r="P58" s="2880" t="s">
        <v>7129</v>
      </c>
    </row>
    <row r="59" spans="1:16">
      <c r="A59" s="334">
        <v>2015</v>
      </c>
      <c r="B59" s="4859" t="s">
        <v>752</v>
      </c>
      <c r="C59" s="4859"/>
      <c r="D59" s="338">
        <v>42214</v>
      </c>
      <c r="E59" s="338">
        <v>42233</v>
      </c>
      <c r="F59" s="338">
        <v>42058</v>
      </c>
      <c r="G59" s="338">
        <v>43435</v>
      </c>
      <c r="H59" s="337">
        <v>150000</v>
      </c>
      <c r="I59" s="337"/>
      <c r="J59" s="340"/>
      <c r="K59" s="342"/>
      <c r="L59" s="342"/>
      <c r="M59" s="331"/>
      <c r="N59" s="331" t="s">
        <v>753</v>
      </c>
      <c r="O59" s="334"/>
    </row>
    <row r="60" spans="1:16">
      <c r="A60" s="344">
        <v>2016</v>
      </c>
      <c r="B60" s="4860" t="s">
        <v>754</v>
      </c>
      <c r="C60" s="4860"/>
      <c r="D60" s="345">
        <v>42577</v>
      </c>
      <c r="E60" s="350"/>
      <c r="F60" s="345">
        <v>42675</v>
      </c>
      <c r="G60" s="345">
        <v>43099</v>
      </c>
      <c r="H60" s="346">
        <v>150000</v>
      </c>
      <c r="I60" s="346"/>
      <c r="J60" s="347"/>
      <c r="K60" s="349"/>
      <c r="L60" s="349">
        <v>234926</v>
      </c>
      <c r="M60" s="350"/>
      <c r="N60" s="351" t="s">
        <v>755</v>
      </c>
      <c r="O60" s="344"/>
    </row>
    <row r="61" spans="1:16">
      <c r="A61" s="344">
        <v>2016</v>
      </c>
      <c r="B61" s="4860" t="s">
        <v>756</v>
      </c>
      <c r="C61" s="4860"/>
      <c r="D61" s="345">
        <v>42577</v>
      </c>
      <c r="E61" s="350"/>
      <c r="F61" s="345">
        <v>42675</v>
      </c>
      <c r="G61" s="345">
        <v>43099</v>
      </c>
      <c r="H61" s="346">
        <v>100000</v>
      </c>
      <c r="I61" s="346"/>
      <c r="J61" s="347"/>
      <c r="K61" s="349"/>
      <c r="L61" s="349"/>
      <c r="M61" s="350"/>
      <c r="N61" s="351" t="s">
        <v>755</v>
      </c>
      <c r="O61" s="344"/>
    </row>
    <row r="62" spans="1:16">
      <c r="A62" s="334"/>
      <c r="B62" s="331"/>
      <c r="C62" s="331"/>
      <c r="D62" s="331"/>
      <c r="E62" s="331"/>
      <c r="F62" s="331"/>
      <c r="G62" s="331"/>
      <c r="H62" s="337"/>
      <c r="I62" s="337"/>
      <c r="J62" s="330"/>
      <c r="K62" s="337"/>
      <c r="L62" s="337"/>
      <c r="M62" s="334"/>
      <c r="N62" s="331"/>
      <c r="O62" s="334"/>
    </row>
    <row r="63" spans="1:16">
      <c r="A63" s="334"/>
      <c r="B63" s="331"/>
      <c r="C63" s="331"/>
      <c r="D63" s="331"/>
      <c r="E63" s="331"/>
      <c r="F63" s="331"/>
      <c r="G63" s="331"/>
      <c r="H63" s="337"/>
      <c r="I63" s="337"/>
      <c r="J63" s="330"/>
      <c r="K63" s="337"/>
      <c r="L63" s="337"/>
      <c r="M63" s="334"/>
      <c r="N63" s="331"/>
      <c r="O63" s="334"/>
    </row>
    <row r="64" spans="1:16">
      <c r="A64" s="334"/>
      <c r="B64" s="331"/>
      <c r="C64" s="331"/>
      <c r="D64" s="331"/>
      <c r="E64" s="331"/>
      <c r="F64" s="331"/>
      <c r="G64" s="331"/>
      <c r="H64" s="337"/>
      <c r="I64" s="337"/>
      <c r="J64" s="330"/>
      <c r="K64" s="337"/>
      <c r="L64" s="337"/>
      <c r="M64" s="334"/>
      <c r="N64" s="331"/>
      <c r="O64" s="334"/>
    </row>
    <row r="65" spans="1:15">
      <c r="A65" s="334" t="s">
        <v>757</v>
      </c>
      <c r="B65" s="331"/>
      <c r="C65" s="331"/>
      <c r="D65" s="331"/>
      <c r="E65" s="331"/>
      <c r="F65" s="331"/>
      <c r="G65" s="331"/>
      <c r="H65" s="337"/>
      <c r="I65" s="337"/>
      <c r="J65" s="330"/>
      <c r="K65" s="337"/>
      <c r="L65" s="337"/>
      <c r="M65" s="334"/>
      <c r="N65" s="331"/>
      <c r="O65" s="334"/>
    </row>
    <row r="66" spans="1:15">
      <c r="A66" s="334" t="s">
        <v>758</v>
      </c>
      <c r="B66" s="331"/>
      <c r="C66" s="331"/>
      <c r="D66" s="331"/>
      <c r="E66" s="331"/>
      <c r="F66" s="331"/>
      <c r="G66" s="331"/>
      <c r="H66" s="337"/>
      <c r="I66" s="337"/>
      <c r="J66" s="337"/>
      <c r="K66" s="337"/>
      <c r="L66" s="337"/>
      <c r="M66" s="334"/>
      <c r="N66" s="331"/>
      <c r="O66" s="334"/>
    </row>
    <row r="67" spans="1:15">
      <c r="A67" s="334" t="s">
        <v>759</v>
      </c>
      <c r="B67" s="331"/>
      <c r="C67" s="331"/>
      <c r="D67" s="331"/>
      <c r="E67" s="331"/>
      <c r="F67" s="331"/>
      <c r="G67" s="331"/>
      <c r="H67" s="337"/>
      <c r="I67" s="337"/>
      <c r="J67" s="337"/>
      <c r="K67" s="337"/>
      <c r="L67" s="337"/>
      <c r="M67" s="334"/>
      <c r="N67" s="331"/>
      <c r="O67" s="334"/>
    </row>
    <row r="68" spans="1:15">
      <c r="A68" s="334" t="s">
        <v>760</v>
      </c>
      <c r="B68" s="331"/>
      <c r="C68" s="331"/>
      <c r="D68" s="331"/>
      <c r="E68" s="331"/>
      <c r="F68" s="331"/>
      <c r="G68" s="331"/>
      <c r="H68" s="337"/>
      <c r="I68" s="337"/>
      <c r="J68" s="337"/>
      <c r="K68" s="337"/>
      <c r="L68" s="337"/>
      <c r="M68" s="334"/>
      <c r="N68" s="331"/>
      <c r="O68" s="334"/>
    </row>
    <row r="69" spans="1:15">
      <c r="A69" s="334" t="s">
        <v>761</v>
      </c>
      <c r="B69" s="331"/>
      <c r="C69" s="331"/>
      <c r="D69" s="331"/>
      <c r="E69" s="331"/>
      <c r="F69" s="331"/>
      <c r="G69" s="331"/>
      <c r="H69" s="337"/>
      <c r="I69" s="337"/>
      <c r="J69" s="337"/>
      <c r="K69" s="337"/>
      <c r="L69" s="337"/>
      <c r="M69" s="334"/>
      <c r="N69" s="331"/>
      <c r="O69" s="334"/>
    </row>
    <row r="70" spans="1:15">
      <c r="A70" s="334" t="s">
        <v>762</v>
      </c>
      <c r="B70" s="331"/>
      <c r="C70" s="331"/>
      <c r="D70" s="331"/>
      <c r="E70" s="331"/>
      <c r="F70" s="331"/>
      <c r="G70" s="331"/>
      <c r="H70" s="337"/>
      <c r="I70" s="337"/>
      <c r="J70" s="337"/>
      <c r="K70" s="337"/>
      <c r="L70" s="337"/>
      <c r="M70" s="334"/>
      <c r="N70" s="331"/>
      <c r="O70" s="334"/>
    </row>
    <row r="71" spans="1:15">
      <c r="A71" s="334"/>
      <c r="B71" s="331"/>
      <c r="C71" s="331"/>
      <c r="D71" s="331"/>
      <c r="E71" s="331"/>
      <c r="F71" s="331"/>
      <c r="G71" s="331"/>
      <c r="H71" s="337"/>
      <c r="I71" s="337"/>
      <c r="J71" s="337"/>
      <c r="K71" s="337"/>
      <c r="L71" s="337"/>
      <c r="M71" s="334"/>
      <c r="N71" s="331"/>
      <c r="O71" s="334"/>
    </row>
    <row r="72" spans="1:15">
      <c r="A72" s="334"/>
      <c r="B72" s="331"/>
      <c r="C72" s="331"/>
      <c r="D72" s="331"/>
      <c r="E72" s="331"/>
      <c r="F72" s="331"/>
      <c r="G72" s="331"/>
      <c r="H72" s="337"/>
      <c r="I72" s="337"/>
      <c r="J72" s="337"/>
      <c r="K72" s="337"/>
      <c r="L72" s="337"/>
      <c r="M72" s="334"/>
      <c r="N72" s="331"/>
      <c r="O72" s="334"/>
    </row>
    <row r="73" spans="1:15">
      <c r="A73" s="334" t="s">
        <v>763</v>
      </c>
      <c r="B73" s="331"/>
      <c r="C73" s="331"/>
      <c r="D73" s="331"/>
      <c r="E73" s="331"/>
      <c r="F73" s="331"/>
      <c r="G73" s="331"/>
      <c r="H73" s="337"/>
      <c r="I73" s="337"/>
      <c r="J73" s="337"/>
      <c r="K73" s="337"/>
      <c r="L73" s="337"/>
      <c r="M73" s="334"/>
      <c r="N73" s="331"/>
      <c r="O73" s="334"/>
    </row>
    <row r="74" spans="1:15">
      <c r="A74" s="334" t="s">
        <v>764</v>
      </c>
      <c r="B74" s="331"/>
      <c r="C74" s="331"/>
      <c r="D74" s="331"/>
      <c r="E74" s="331"/>
      <c r="F74" s="331"/>
      <c r="G74" s="331"/>
      <c r="H74" s="337"/>
      <c r="I74" s="337"/>
      <c r="J74" s="337"/>
      <c r="K74" s="337"/>
      <c r="L74" s="337"/>
      <c r="M74" s="334"/>
      <c r="N74" s="331"/>
      <c r="O74" s="334"/>
    </row>
    <row r="75" spans="1:15">
      <c r="A75" s="334" t="s">
        <v>765</v>
      </c>
      <c r="B75" s="331"/>
      <c r="C75" s="331"/>
      <c r="D75" s="331"/>
      <c r="E75" s="331"/>
      <c r="F75" s="331"/>
      <c r="G75" s="331"/>
      <c r="H75" s="337"/>
      <c r="I75" s="337"/>
      <c r="J75" s="337"/>
      <c r="K75" s="337"/>
      <c r="L75" s="337"/>
      <c r="M75" s="334"/>
      <c r="N75" s="331"/>
    </row>
    <row r="77" spans="1:15" ht="21">
      <c r="A77" s="4856" t="s">
        <v>779</v>
      </c>
      <c r="B77" s="4857"/>
      <c r="C77" s="4857"/>
      <c r="D77" s="4857"/>
      <c r="E77" s="4857"/>
      <c r="F77" s="4857"/>
      <c r="G77" s="4857"/>
      <c r="H77" s="4857"/>
      <c r="I77" s="4857"/>
      <c r="J77" s="4857"/>
      <c r="K77" s="4857"/>
      <c r="L77" s="4857"/>
      <c r="M77" s="4858"/>
    </row>
    <row r="80" spans="1:15" ht="18">
      <c r="A80" s="365" t="s">
        <v>767</v>
      </c>
      <c r="B80" s="334"/>
      <c r="C80" s="334"/>
      <c r="D80" s="334"/>
    </row>
    <row r="82" spans="1:4" ht="13.5" thickBot="1">
      <c r="A82" s="334"/>
      <c r="B82" s="334"/>
      <c r="C82" s="334"/>
      <c r="D82" s="334"/>
    </row>
    <row r="83" spans="1:4" ht="27" customHeight="1" thickBot="1">
      <c r="A83" s="359" t="s">
        <v>634</v>
      </c>
      <c r="B83" s="358" t="s">
        <v>768</v>
      </c>
      <c r="C83" s="358" t="s">
        <v>769</v>
      </c>
      <c r="D83" s="357" t="s">
        <v>770</v>
      </c>
    </row>
    <row r="84" spans="1:4">
      <c r="A84" s="363">
        <v>1994</v>
      </c>
      <c r="B84" s="375">
        <v>592000</v>
      </c>
      <c r="C84" s="375">
        <v>0</v>
      </c>
      <c r="D84" s="373">
        <f>B84/40.3399</f>
        <v>14675.296666575772</v>
      </c>
    </row>
    <row r="85" spans="1:4">
      <c r="A85" s="363">
        <v>1995</v>
      </c>
      <c r="B85" s="375">
        <v>3592000</v>
      </c>
      <c r="C85" s="375">
        <v>3000000</v>
      </c>
      <c r="D85" s="373">
        <f t="shared" ref="D85:D91" si="3">B85/40.3399</f>
        <v>89043.354098547585</v>
      </c>
    </row>
    <row r="86" spans="1:4">
      <c r="A86" s="363">
        <v>1996</v>
      </c>
      <c r="B86" s="375">
        <v>15000000</v>
      </c>
      <c r="C86" s="375">
        <v>11408000</v>
      </c>
      <c r="D86" s="373">
        <f t="shared" si="3"/>
        <v>371840.28715985909</v>
      </c>
    </row>
    <row r="87" spans="1:4">
      <c r="A87" s="363">
        <v>1997</v>
      </c>
      <c r="B87" s="371">
        <v>25000000</v>
      </c>
      <c r="C87" s="371">
        <v>10000000</v>
      </c>
      <c r="D87" s="373">
        <f t="shared" si="3"/>
        <v>619733.81193309848</v>
      </c>
    </row>
    <row r="88" spans="1:4">
      <c r="A88" s="363">
        <v>1998</v>
      </c>
      <c r="B88" s="371">
        <v>30000000</v>
      </c>
      <c r="C88" s="371">
        <v>5000000</v>
      </c>
      <c r="D88" s="373">
        <f t="shared" si="3"/>
        <v>743680.57431971817</v>
      </c>
    </row>
    <row r="89" spans="1:4">
      <c r="A89" s="363">
        <v>1999</v>
      </c>
      <c r="B89" s="371">
        <v>30000000</v>
      </c>
      <c r="C89" s="375">
        <v>0</v>
      </c>
      <c r="D89" s="373">
        <f t="shared" si="3"/>
        <v>743680.57431971817</v>
      </c>
    </row>
    <row r="90" spans="1:4">
      <c r="A90" s="363">
        <v>2000</v>
      </c>
      <c r="B90" s="371">
        <v>30000000</v>
      </c>
      <c r="C90" s="375">
        <v>0</v>
      </c>
      <c r="D90" s="373">
        <f t="shared" si="3"/>
        <v>743680.57431971817</v>
      </c>
    </row>
    <row r="91" spans="1:4">
      <c r="A91" s="363">
        <v>2001</v>
      </c>
      <c r="B91" s="371">
        <v>20000000</v>
      </c>
      <c r="C91" s="375">
        <v>-10000000</v>
      </c>
      <c r="D91" s="373">
        <f t="shared" si="3"/>
        <v>495787.04954647878</v>
      </c>
    </row>
    <row r="92" spans="1:4">
      <c r="A92" s="363">
        <v>2002</v>
      </c>
      <c r="B92" s="371"/>
      <c r="C92" s="375">
        <v>50000</v>
      </c>
      <c r="D92" s="373">
        <f>D91+C92</f>
        <v>545787.04954647878</v>
      </c>
    </row>
    <row r="93" spans="1:4">
      <c r="A93" s="363">
        <v>2003</v>
      </c>
      <c r="B93" s="371"/>
      <c r="C93" s="375">
        <v>200000</v>
      </c>
      <c r="D93" s="373">
        <f t="shared" ref="D93:D103" si="4">D92+C93</f>
        <v>745787.04954647878</v>
      </c>
    </row>
    <row r="94" spans="1:4">
      <c r="A94" s="363">
        <v>2004</v>
      </c>
      <c r="B94" s="371"/>
      <c r="C94" s="375">
        <v>647213</v>
      </c>
      <c r="D94" s="373">
        <f t="shared" si="4"/>
        <v>1393000.0495464788</v>
      </c>
    </row>
    <row r="95" spans="1:4">
      <c r="A95" s="363">
        <v>2005</v>
      </c>
      <c r="B95" s="371"/>
      <c r="C95" s="375"/>
      <c r="D95" s="373">
        <f t="shared" si="4"/>
        <v>1393000.0495464788</v>
      </c>
    </row>
    <row r="96" spans="1:4">
      <c r="A96" s="363">
        <v>2006</v>
      </c>
      <c r="B96" s="371"/>
      <c r="C96" s="375"/>
      <c r="D96" s="373">
        <f t="shared" si="4"/>
        <v>1393000.0495464788</v>
      </c>
    </row>
    <row r="97" spans="1:4">
      <c r="A97" s="363">
        <v>2007</v>
      </c>
      <c r="B97" s="371"/>
      <c r="C97" s="375"/>
      <c r="D97" s="373">
        <f t="shared" si="4"/>
        <v>1393000.0495464788</v>
      </c>
    </row>
    <row r="98" spans="1:4">
      <c r="A98" s="363">
        <v>2008</v>
      </c>
      <c r="B98" s="371"/>
      <c r="C98" s="375"/>
      <c r="D98" s="373">
        <f t="shared" si="4"/>
        <v>1393000.0495464788</v>
      </c>
    </row>
    <row r="99" spans="1:4">
      <c r="A99" s="363">
        <v>2009</v>
      </c>
      <c r="B99" s="371"/>
      <c r="C99" s="375"/>
      <c r="D99" s="373">
        <f t="shared" si="4"/>
        <v>1393000.0495464788</v>
      </c>
    </row>
    <row r="100" spans="1:4">
      <c r="A100" s="363">
        <v>2010</v>
      </c>
      <c r="B100" s="371"/>
      <c r="C100" s="375"/>
      <c r="D100" s="373">
        <f t="shared" si="4"/>
        <v>1393000.0495464788</v>
      </c>
    </row>
    <row r="101" spans="1:4">
      <c r="A101" s="363">
        <v>2011</v>
      </c>
      <c r="B101" s="371"/>
      <c r="C101" s="375"/>
      <c r="D101" s="373">
        <f t="shared" si="4"/>
        <v>1393000.0495464788</v>
      </c>
    </row>
    <row r="102" spans="1:4">
      <c r="A102" s="363">
        <v>2012</v>
      </c>
      <c r="B102" s="371"/>
      <c r="C102" s="375"/>
      <c r="D102" s="373">
        <f t="shared" si="4"/>
        <v>1393000.0495464788</v>
      </c>
    </row>
    <row r="103" spans="1:4">
      <c r="A103" s="363">
        <v>2013</v>
      </c>
      <c r="B103" s="371"/>
      <c r="C103" s="375"/>
      <c r="D103" s="373">
        <f t="shared" si="4"/>
        <v>1393000.0495464788</v>
      </c>
    </row>
    <row r="104" spans="1:4" ht="13.5" thickBot="1">
      <c r="A104" s="370"/>
      <c r="B104" s="376"/>
      <c r="C104" s="376"/>
      <c r="D104" s="369"/>
    </row>
    <row r="105" spans="1:4">
      <c r="A105" s="334"/>
      <c r="B105" s="334"/>
      <c r="C105" s="334"/>
      <c r="D105" s="334"/>
    </row>
    <row r="106" spans="1:4" ht="18">
      <c r="A106" s="365" t="s">
        <v>771</v>
      </c>
      <c r="B106" s="334"/>
      <c r="C106" s="334"/>
      <c r="D106" s="334"/>
    </row>
    <row r="107" spans="1:4" ht="13.5" thickBot="1">
      <c r="A107" s="334"/>
      <c r="B107" s="334"/>
      <c r="C107" s="334"/>
      <c r="D107" s="334"/>
    </row>
    <row r="108" spans="1:4" ht="27.75" customHeight="1" thickBot="1">
      <c r="A108" s="355" t="s">
        <v>726</v>
      </c>
      <c r="B108" s="357" t="s">
        <v>725</v>
      </c>
      <c r="C108" s="334"/>
      <c r="D108" s="334"/>
    </row>
    <row r="109" spans="1:4">
      <c r="A109" s="354">
        <v>2007</v>
      </c>
      <c r="B109" s="373">
        <v>100000</v>
      </c>
    </row>
    <row r="110" spans="1:4">
      <c r="A110" s="353">
        <v>2008</v>
      </c>
      <c r="B110" s="373">
        <v>100000</v>
      </c>
    </row>
    <row r="111" spans="1:4">
      <c r="A111" s="353">
        <v>2009</v>
      </c>
      <c r="B111" s="373">
        <v>200000</v>
      </c>
    </row>
    <row r="112" spans="1:4">
      <c r="A112" s="353">
        <v>2010</v>
      </c>
      <c r="B112" s="373">
        <v>400000</v>
      </c>
    </row>
    <row r="113" spans="1:6">
      <c r="A113" s="353">
        <v>2011</v>
      </c>
      <c r="B113" s="373">
        <v>500000</v>
      </c>
    </row>
    <row r="114" spans="1:6">
      <c r="A114" s="353">
        <v>2012</v>
      </c>
      <c r="B114" s="373">
        <v>500000</v>
      </c>
    </row>
    <row r="115" spans="1:6">
      <c r="A115" s="353">
        <v>2013</v>
      </c>
      <c r="B115" s="373">
        <v>500000</v>
      </c>
    </row>
    <row r="116" spans="1:6">
      <c r="A116" s="353">
        <v>2014</v>
      </c>
      <c r="B116" s="373">
        <v>0</v>
      </c>
    </row>
    <row r="117" spans="1:6" ht="13.5" thickBot="1">
      <c r="A117" s="370"/>
      <c r="B117" s="374"/>
    </row>
    <row r="120" spans="1:6" ht="18">
      <c r="A120" s="365" t="s">
        <v>772</v>
      </c>
      <c r="B120" s="334"/>
    </row>
    <row r="121" spans="1:6" ht="13.5" thickBot="1">
      <c r="A121" s="334"/>
      <c r="B121" s="334"/>
      <c r="C121" s="334"/>
      <c r="D121" s="334"/>
      <c r="E121" s="334"/>
      <c r="F121" s="334"/>
    </row>
    <row r="122" spans="1:6" ht="13.5" thickBot="1">
      <c r="A122" s="359" t="s">
        <v>634</v>
      </c>
      <c r="B122" s="358" t="s">
        <v>773</v>
      </c>
      <c r="C122" s="356" t="s">
        <v>774</v>
      </c>
      <c r="D122" s="356" t="s">
        <v>775</v>
      </c>
      <c r="E122" s="356" t="s">
        <v>776</v>
      </c>
      <c r="F122" s="356" t="s">
        <v>8</v>
      </c>
    </row>
    <row r="123" spans="1:6">
      <c r="A123" s="353">
        <v>2002</v>
      </c>
      <c r="B123" s="375">
        <v>0</v>
      </c>
      <c r="C123" s="375">
        <v>461831</v>
      </c>
      <c r="D123" s="375"/>
      <c r="E123" s="375"/>
      <c r="F123" s="362">
        <f>SUM(B123:E123)</f>
        <v>461831</v>
      </c>
    </row>
    <row r="124" spans="1:6">
      <c r="A124" s="353">
        <v>2003</v>
      </c>
      <c r="B124" s="375">
        <v>350000</v>
      </c>
      <c r="C124" s="375">
        <v>1837059</v>
      </c>
      <c r="D124" s="375"/>
      <c r="E124" s="375"/>
      <c r="F124" s="362">
        <f t="shared" ref="F124:F135" si="5">SUM(B124:E124)</f>
        <v>2187059</v>
      </c>
    </row>
    <row r="125" spans="1:6">
      <c r="A125" s="353">
        <v>2004</v>
      </c>
      <c r="B125" s="375">
        <v>1250000</v>
      </c>
      <c r="C125" s="375">
        <v>2075294</v>
      </c>
      <c r="D125" s="375"/>
      <c r="E125" s="375"/>
      <c r="F125" s="362">
        <f t="shared" si="5"/>
        <v>3325294</v>
      </c>
    </row>
    <row r="126" spans="1:6">
      <c r="A126" s="353">
        <v>2005</v>
      </c>
      <c r="B126" s="375">
        <v>0</v>
      </c>
      <c r="C126" s="375">
        <v>2461580.92</v>
      </c>
      <c r="D126" s="375"/>
      <c r="E126" s="375"/>
      <c r="F126" s="362">
        <f t="shared" si="5"/>
        <v>2461580.92</v>
      </c>
    </row>
    <row r="127" spans="1:6">
      <c r="A127" s="353">
        <v>2006</v>
      </c>
      <c r="B127" s="375"/>
      <c r="C127" s="375">
        <v>628449.41</v>
      </c>
      <c r="D127" s="375"/>
      <c r="E127" s="375"/>
      <c r="F127" s="362">
        <f t="shared" si="5"/>
        <v>628449.41</v>
      </c>
    </row>
    <row r="128" spans="1:6">
      <c r="A128" s="353">
        <v>2007</v>
      </c>
      <c r="B128" s="375"/>
      <c r="C128" s="375">
        <v>0</v>
      </c>
      <c r="D128" s="375">
        <v>300000</v>
      </c>
      <c r="E128" s="375">
        <v>450000</v>
      </c>
      <c r="F128" s="362">
        <f t="shared" si="5"/>
        <v>750000</v>
      </c>
    </row>
    <row r="129" spans="1:7">
      <c r="A129" s="353">
        <v>2008</v>
      </c>
      <c r="B129" s="375"/>
      <c r="C129" s="375">
        <v>0</v>
      </c>
      <c r="D129" s="375">
        <v>600000</v>
      </c>
      <c r="E129" s="375">
        <v>900000</v>
      </c>
      <c r="F129" s="362">
        <f t="shared" si="5"/>
        <v>1500000</v>
      </c>
    </row>
    <row r="130" spans="1:7">
      <c r="A130" s="353">
        <v>2009</v>
      </c>
      <c r="B130" s="375"/>
      <c r="C130" s="375"/>
      <c r="D130" s="375">
        <v>600000</v>
      </c>
      <c r="E130" s="375">
        <v>900000</v>
      </c>
      <c r="F130" s="362">
        <f t="shared" si="5"/>
        <v>1500000</v>
      </c>
    </row>
    <row r="131" spans="1:7">
      <c r="A131" s="353">
        <v>2010</v>
      </c>
      <c r="B131" s="375"/>
      <c r="C131" s="375"/>
      <c r="D131" s="375">
        <v>600000</v>
      </c>
      <c r="E131" s="375">
        <v>900000</v>
      </c>
      <c r="F131" s="362">
        <f t="shared" si="5"/>
        <v>1500000</v>
      </c>
    </row>
    <row r="132" spans="1:7">
      <c r="A132" s="353">
        <v>2011</v>
      </c>
      <c r="B132" s="375"/>
      <c r="C132" s="375"/>
      <c r="D132" s="375">
        <v>600000</v>
      </c>
      <c r="E132" s="375">
        <v>900000</v>
      </c>
      <c r="F132" s="362">
        <f t="shared" si="5"/>
        <v>1500000</v>
      </c>
    </row>
    <row r="133" spans="1:7">
      <c r="A133" s="353">
        <v>2012</v>
      </c>
      <c r="B133" s="375"/>
      <c r="C133" s="375"/>
      <c r="D133" s="375">
        <v>600000</v>
      </c>
      <c r="E133" s="375">
        <v>900000</v>
      </c>
      <c r="F133" s="362">
        <f t="shared" si="5"/>
        <v>1500000</v>
      </c>
    </row>
    <row r="134" spans="1:7">
      <c r="A134" s="353">
        <v>2013</v>
      </c>
      <c r="B134" s="375"/>
      <c r="C134" s="375"/>
      <c r="D134" s="375">
        <v>0</v>
      </c>
      <c r="E134" s="375">
        <v>0</v>
      </c>
      <c r="F134" s="362">
        <f t="shared" si="5"/>
        <v>0</v>
      </c>
    </row>
    <row r="135" spans="1:7">
      <c r="A135" s="353">
        <v>2014</v>
      </c>
      <c r="B135" s="375"/>
      <c r="C135" s="375"/>
      <c r="D135" s="375">
        <v>0</v>
      </c>
      <c r="E135" s="375">
        <v>0</v>
      </c>
      <c r="F135" s="362">
        <f t="shared" si="5"/>
        <v>0</v>
      </c>
    </row>
    <row r="136" spans="1:7" ht="13.5" thickBot="1">
      <c r="A136" s="352"/>
      <c r="B136" s="361"/>
      <c r="C136" s="361"/>
      <c r="D136" s="361"/>
      <c r="E136" s="361"/>
      <c r="F136" s="352"/>
    </row>
    <row r="139" spans="1:7">
      <c r="A139" s="368" t="s">
        <v>777</v>
      </c>
      <c r="B139" s="334"/>
      <c r="C139" s="334"/>
      <c r="D139" s="334"/>
      <c r="E139" s="360"/>
      <c r="F139" s="360"/>
      <c r="G139" s="367"/>
    </row>
    <row r="140" spans="1:7">
      <c r="A140" s="368" t="s">
        <v>778</v>
      </c>
      <c r="B140" s="334"/>
      <c r="C140" s="334"/>
      <c r="D140" s="334"/>
      <c r="E140" s="366"/>
      <c r="F140" s="372"/>
      <c r="G140" s="372"/>
    </row>
    <row r="141" spans="1:7">
      <c r="A141" s="334"/>
      <c r="B141" s="334"/>
      <c r="C141" s="334"/>
      <c r="D141" s="334"/>
      <c r="E141" s="366"/>
      <c r="F141" s="372"/>
      <c r="G141" s="372"/>
    </row>
  </sheetData>
  <mergeCells count="20">
    <mergeCell ref="B46:C46"/>
    <mergeCell ref="B47:C47"/>
    <mergeCell ref="B48:C48"/>
    <mergeCell ref="B61:C61"/>
    <mergeCell ref="A1:M1"/>
    <mergeCell ref="A39:M39"/>
    <mergeCell ref="B49:C49"/>
    <mergeCell ref="B50:C50"/>
    <mergeCell ref="B51:C51"/>
    <mergeCell ref="B52:C52"/>
    <mergeCell ref="B53:C53"/>
    <mergeCell ref="B54:C54"/>
    <mergeCell ref="B45:C45"/>
    <mergeCell ref="A77:M77"/>
    <mergeCell ref="B55:C55"/>
    <mergeCell ref="B56:C56"/>
    <mergeCell ref="B57:C57"/>
    <mergeCell ref="B58:C58"/>
    <mergeCell ref="B59:C59"/>
    <mergeCell ref="B60:C60"/>
  </mergeCells>
  <hyperlinks>
    <hyperlink ref="A39:M39" location="FINANCIËN!A1" display="PLATTELANDSFONDS" xr:uid="{00000000-0004-0000-2C00-000000000000}"/>
    <hyperlink ref="A77:M77" location="FINANCIËN!A1" display="PLATTELANDSFONDS" xr:uid="{00000000-0004-0000-2C00-000001000000}"/>
    <hyperlink ref="A1:M1" location="FINANCIËN!A1" display="GEMEENTEFONDS" xr:uid="{00000000-0004-0000-2C00-000002000000}"/>
    <hyperlink ref="P58" r:id="rId1" xr:uid="{00000000-0004-0000-2C00-000003000000}"/>
    <hyperlink ref="P51" r:id="rId2" xr:uid="{00000000-0004-0000-2C00-000004000000}"/>
    <hyperlink ref="P46" r:id="rId3" xr:uid="{00000000-0004-0000-2C00-000005000000}"/>
    <hyperlink ref="P45" r:id="rId4" xr:uid="{00000000-0004-0000-2C00-000006000000}"/>
  </hyperlinks>
  <pageMargins left="0.7" right="0.7" top="0.75" bottom="0.75" header="0.3" footer="0.3"/>
  <pageSetup paperSize="9" orientation="landscape" horizontalDpi="4294967293" r:id="rId5"/>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E0C816"/>
  </sheetPr>
  <dimension ref="A1:BS320"/>
  <sheetViews>
    <sheetView workbookViewId="0">
      <pane ySplit="3" topLeftCell="A4" activePane="bottomLeft" state="frozen"/>
      <selection activeCell="E37" sqref="E37"/>
      <selection pane="bottomLeft" sqref="A1:I1"/>
    </sheetView>
  </sheetViews>
  <sheetFormatPr defaultColWidth="9.140625" defaultRowHeight="12.75"/>
  <cols>
    <col min="1" max="1" width="6.7109375" style="520" bestFit="1" customWidth="1"/>
    <col min="2" max="2" width="27.7109375" style="520" bestFit="1" customWidth="1"/>
    <col min="3" max="3" width="10.140625" style="520" customWidth="1"/>
    <col min="4" max="5" width="14.85546875" style="520" bestFit="1" customWidth="1"/>
    <col min="6" max="7" width="13.5703125" style="520" bestFit="1" customWidth="1"/>
    <col min="8" max="8" width="15.28515625" style="520" bestFit="1" customWidth="1"/>
    <col min="9" max="10" width="14.85546875" style="520" bestFit="1" customWidth="1"/>
    <col min="11" max="12" width="12" style="520" bestFit="1" customWidth="1"/>
    <col min="13" max="13" width="13.5703125" style="520" bestFit="1" customWidth="1"/>
    <col min="14" max="14" width="10.85546875" style="520" customWidth="1"/>
    <col min="15" max="15" width="11.5703125" style="520" bestFit="1" customWidth="1"/>
    <col min="16" max="16" width="13.5703125" style="520" bestFit="1" customWidth="1"/>
    <col min="17" max="17" width="14.85546875" style="520" bestFit="1" customWidth="1"/>
    <col min="18" max="18" width="10.140625" style="520" bestFit="1" customWidth="1"/>
    <col min="19" max="20" width="17.7109375" style="520" bestFit="1" customWidth="1"/>
    <col min="21" max="21" width="11.5703125" style="520" bestFit="1" customWidth="1"/>
    <col min="22" max="22" width="11.7109375" style="520" customWidth="1"/>
    <col min="23" max="23" width="14.85546875" style="520" bestFit="1" customWidth="1"/>
    <col min="24" max="24" width="16.42578125" style="520" bestFit="1" customWidth="1"/>
    <col min="25" max="25" width="16.7109375" style="520" bestFit="1" customWidth="1"/>
    <col min="26" max="26" width="12.7109375" style="520" bestFit="1" customWidth="1"/>
    <col min="27" max="27" width="12.7109375" style="520" customWidth="1"/>
    <col min="28" max="29" width="14.85546875" style="520" bestFit="1" customWidth="1"/>
    <col min="30" max="30" width="10.140625" style="520" bestFit="1" customWidth="1"/>
    <col min="31" max="31" width="11.42578125" style="520" bestFit="1" customWidth="1"/>
    <col min="32" max="32" width="12.7109375" style="520" bestFit="1" customWidth="1"/>
    <col min="33" max="34" width="14.85546875" style="520" bestFit="1" customWidth="1"/>
    <col min="35" max="35" width="10.140625" style="520" bestFit="1" customWidth="1"/>
    <col min="36" max="36" width="10.28515625" style="520" customWidth="1"/>
    <col min="37" max="37" width="11.5703125" style="520" bestFit="1" customWidth="1"/>
    <col min="38" max="38" width="13.5703125" style="520" bestFit="1" customWidth="1"/>
    <col min="39" max="39" width="10.42578125" style="520" customWidth="1"/>
    <col min="40" max="40" width="13.5703125" style="520" customWidth="1"/>
    <col min="41" max="41" width="13.5703125" style="520" bestFit="1" customWidth="1"/>
    <col min="42" max="42" width="11.42578125" style="520" customWidth="1"/>
    <col min="43" max="43" width="11.5703125" style="520" bestFit="1" customWidth="1"/>
    <col min="44" max="44" width="13.5703125" style="520" bestFit="1" customWidth="1"/>
    <col min="45" max="45" width="10.42578125" style="520" customWidth="1"/>
    <col min="46" max="46" width="11.5703125" style="520" bestFit="1" customWidth="1"/>
    <col min="47" max="47" width="13.5703125" style="520" bestFit="1" customWidth="1"/>
    <col min="48" max="48" width="10" style="520" customWidth="1"/>
    <col min="49" max="49" width="11.5703125" style="520" bestFit="1" customWidth="1"/>
    <col min="50" max="50" width="13.5703125" style="520" bestFit="1" customWidth="1"/>
    <col min="51" max="51" width="14.85546875" style="520" bestFit="1" customWidth="1"/>
    <col min="52" max="52" width="9" style="520" bestFit="1" customWidth="1"/>
    <col min="53" max="53" width="17.28515625" style="520" customWidth="1"/>
    <col min="54" max="54" width="16.42578125" style="520" bestFit="1" customWidth="1"/>
    <col min="55" max="55" width="13.7109375" style="520" customWidth="1"/>
    <col min="56" max="56" width="14.85546875" style="520" bestFit="1" customWidth="1"/>
    <col min="57" max="57" width="12.85546875" style="520" customWidth="1"/>
    <col min="58" max="58" width="13.140625" style="520" bestFit="1" customWidth="1"/>
    <col min="59" max="59" width="17.28515625" style="520" customWidth="1"/>
    <col min="60" max="60" width="9.7109375" style="520" bestFit="1" customWidth="1"/>
    <col min="61" max="61" width="13.5703125" style="520" customWidth="1"/>
    <col min="62" max="62" width="10.42578125" style="520" customWidth="1"/>
    <col min="63" max="63" width="11.28515625" style="520" customWidth="1"/>
    <col min="64" max="64" width="16.42578125" style="520" bestFit="1" customWidth="1"/>
    <col min="65" max="65" width="22.85546875" style="520" customWidth="1"/>
    <col min="66" max="66" width="12.140625" style="520" bestFit="1" customWidth="1"/>
    <col min="67" max="67" width="12.28515625" style="520" customWidth="1"/>
    <col min="68" max="68" width="21.28515625" style="520" customWidth="1"/>
    <col min="69" max="69" width="10.140625" style="520" bestFit="1" customWidth="1"/>
    <col min="70" max="16384" width="9.140625" style="520"/>
  </cols>
  <sheetData>
    <row r="1" spans="1:71" ht="21">
      <c r="A1" s="4856" t="s">
        <v>729</v>
      </c>
      <c r="B1" s="4857"/>
      <c r="C1" s="4857"/>
      <c r="D1" s="4857"/>
      <c r="E1" s="4857"/>
      <c r="F1" s="4857"/>
      <c r="G1" s="4857"/>
      <c r="H1" s="4857"/>
      <c r="I1" s="4857"/>
      <c r="J1" s="1600"/>
      <c r="K1" s="1600"/>
      <c r="L1" s="1600"/>
      <c r="M1" s="1601"/>
      <c r="N1" s="4872"/>
      <c r="O1" s="4873"/>
      <c r="P1" s="4873"/>
      <c r="Q1" s="4873"/>
      <c r="R1" s="4873"/>
      <c r="S1" s="4873"/>
      <c r="T1" s="4873"/>
      <c r="U1" s="4873"/>
      <c r="V1" s="4873"/>
      <c r="W1" s="4873"/>
      <c r="X1" s="4873"/>
      <c r="Y1" s="4873"/>
      <c r="Z1" s="4874"/>
      <c r="AA1" s="4872"/>
      <c r="AB1" s="4873"/>
      <c r="AC1" s="4873"/>
      <c r="AD1" s="4873"/>
      <c r="AE1" s="4873"/>
      <c r="AF1" s="4873"/>
      <c r="AG1" s="4873"/>
      <c r="AH1" s="4873"/>
      <c r="AI1" s="4873"/>
      <c r="AJ1" s="4873"/>
      <c r="AK1" s="4873"/>
      <c r="AL1" s="4873"/>
      <c r="AM1" s="4874"/>
      <c r="AN1" s="4872"/>
      <c r="AO1" s="4873"/>
      <c r="AP1" s="4873"/>
      <c r="AQ1" s="4873"/>
      <c r="AR1" s="4873"/>
      <c r="AS1" s="4873"/>
      <c r="AT1" s="4873"/>
      <c r="AU1" s="4873"/>
      <c r="AV1" s="4873"/>
      <c r="AW1" s="4873"/>
      <c r="AX1" s="4873"/>
      <c r="AY1" s="4873"/>
      <c r="AZ1" s="4874"/>
      <c r="BA1" s="4872"/>
      <c r="BB1" s="4873"/>
      <c r="BC1" s="4873"/>
      <c r="BD1" s="4873"/>
      <c r="BE1" s="4873"/>
      <c r="BF1" s="4873"/>
      <c r="BG1" s="4873"/>
      <c r="BH1" s="4873"/>
      <c r="BI1" s="4873"/>
      <c r="BJ1" s="4873"/>
      <c r="BK1" s="4873"/>
      <c r="BL1" s="4873"/>
      <c r="BM1" s="4874"/>
      <c r="BN1" s="4872"/>
      <c r="BO1" s="4873"/>
      <c r="BP1" s="4873"/>
      <c r="BQ1" s="4873"/>
      <c r="BR1" s="622"/>
      <c r="BS1" s="622"/>
    </row>
    <row r="2" spans="1:71" s="622" customFormat="1" ht="21">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c r="AO2" s="1537"/>
      <c r="AP2" s="1537"/>
      <c r="AQ2" s="1537"/>
      <c r="AR2" s="1537"/>
      <c r="AS2" s="1537"/>
      <c r="AT2" s="1537"/>
      <c r="AU2" s="1537"/>
      <c r="AV2" s="1537"/>
      <c r="AW2" s="1537"/>
      <c r="AX2" s="1537"/>
      <c r="AY2" s="1537"/>
      <c r="AZ2" s="1537"/>
      <c r="BA2" s="1537"/>
      <c r="BB2" s="1537"/>
      <c r="BC2" s="1537"/>
      <c r="BD2" s="1537"/>
      <c r="BE2" s="1537"/>
      <c r="BF2" s="1537"/>
      <c r="BG2" s="1537"/>
      <c r="BH2" s="1537"/>
      <c r="BI2" s="1537"/>
      <c r="BJ2" s="1537"/>
      <c r="BK2" s="1537"/>
      <c r="BL2" s="1537"/>
      <c r="BM2" s="1537"/>
      <c r="BN2" s="1537"/>
      <c r="BO2" s="1537"/>
      <c r="BP2" s="1537"/>
      <c r="BQ2" s="1537"/>
    </row>
    <row r="3" spans="1:71" s="877" customFormat="1" ht="15.75">
      <c r="B3" s="1599" t="s">
        <v>3372</v>
      </c>
    </row>
    <row r="4" spans="1:71" ht="15.75">
      <c r="A4" s="693"/>
      <c r="B4" s="694">
        <v>2098051000</v>
      </c>
      <c r="D4" s="4877" t="s">
        <v>3373</v>
      </c>
      <c r="E4" s="4878"/>
      <c r="F4" s="4878"/>
      <c r="G4" s="4878"/>
      <c r="H4" s="4878"/>
      <c r="I4" s="4878"/>
      <c r="J4" s="4879"/>
      <c r="K4" s="4880" t="s">
        <v>3374</v>
      </c>
      <c r="L4" s="4880"/>
      <c r="M4" s="4880"/>
      <c r="N4" s="4880"/>
      <c r="O4" s="4880"/>
      <c r="P4" s="4880"/>
      <c r="Q4" s="4880"/>
      <c r="R4" s="4880"/>
      <c r="S4" s="4877" t="s">
        <v>3375</v>
      </c>
      <c r="T4" s="4878"/>
      <c r="U4" s="4878"/>
      <c r="V4" s="4878"/>
      <c r="W4" s="4878"/>
      <c r="X4" s="4878"/>
      <c r="Y4" s="4878"/>
      <c r="Z4" s="4878"/>
      <c r="AA4" s="4878"/>
      <c r="AB4" s="4878"/>
      <c r="AC4" s="4878"/>
      <c r="AD4" s="4879"/>
      <c r="AE4" s="4877" t="s">
        <v>3376</v>
      </c>
      <c r="AF4" s="4880"/>
      <c r="AG4" s="4880"/>
      <c r="AH4" s="4880"/>
      <c r="AI4" s="4880"/>
      <c r="AJ4" s="4877" t="s">
        <v>3377</v>
      </c>
      <c r="AK4" s="4878"/>
      <c r="AL4" s="4878"/>
      <c r="AM4" s="4878"/>
      <c r="AN4" s="4878"/>
      <c r="AO4" s="4878"/>
      <c r="AP4" s="4878"/>
      <c r="AQ4" s="4878"/>
      <c r="AR4" s="4878"/>
      <c r="AS4" s="4878"/>
      <c r="AT4" s="4878"/>
      <c r="AU4" s="4878"/>
      <c r="AV4" s="4878"/>
      <c r="AW4" s="4878"/>
      <c r="AX4" s="4878"/>
      <c r="AY4" s="4878"/>
      <c r="AZ4" s="4879"/>
      <c r="BA4" s="4863" t="s">
        <v>3378</v>
      </c>
      <c r="BB4" s="4862" t="s">
        <v>3379</v>
      </c>
      <c r="BC4" s="4862"/>
      <c r="BD4" s="4862"/>
      <c r="BE4" s="4862"/>
      <c r="BF4" s="4862"/>
      <c r="BG4" s="4863" t="s">
        <v>3380</v>
      </c>
      <c r="BH4" s="4865" t="s">
        <v>3381</v>
      </c>
      <c r="BI4" s="4866"/>
      <c r="BJ4" s="4866"/>
      <c r="BK4" s="4866"/>
      <c r="BL4" s="4866"/>
      <c r="BM4" s="4866"/>
      <c r="BN4" s="4866"/>
      <c r="BO4" s="4867"/>
      <c r="BP4" s="4868" t="s">
        <v>3382</v>
      </c>
      <c r="BQ4" s="4870" t="s">
        <v>3383</v>
      </c>
    </row>
    <row r="5" spans="1:71" ht="14.25" customHeight="1">
      <c r="A5" s="619"/>
      <c r="B5" s="695"/>
      <c r="C5" s="696" t="s">
        <v>3384</v>
      </c>
      <c r="D5" s="697">
        <v>0.3</v>
      </c>
      <c r="E5" s="698">
        <v>6.2E-2</v>
      </c>
      <c r="F5" s="699">
        <v>1.6E-2</v>
      </c>
      <c r="G5" s="698">
        <v>0.02</v>
      </c>
      <c r="H5" s="699">
        <v>0.01</v>
      </c>
      <c r="I5" s="700">
        <v>0.40799999999999997</v>
      </c>
      <c r="J5" s="4861" t="s">
        <v>3385</v>
      </c>
      <c r="K5" s="619"/>
      <c r="L5" s="619"/>
      <c r="M5" s="699">
        <v>0.04</v>
      </c>
      <c r="N5" s="701"/>
      <c r="O5" s="701"/>
      <c r="P5" s="702">
        <v>0.04</v>
      </c>
      <c r="Q5" s="703">
        <v>0.08</v>
      </c>
      <c r="R5" s="4875" t="s">
        <v>3385</v>
      </c>
      <c r="S5" s="527"/>
      <c r="T5" s="619"/>
      <c r="U5" s="619"/>
      <c r="V5" s="619"/>
      <c r="W5" s="702">
        <v>0.19</v>
      </c>
      <c r="X5" s="701"/>
      <c r="Y5" s="701"/>
      <c r="Z5" s="701"/>
      <c r="AA5" s="701"/>
      <c r="AB5" s="699">
        <v>0.112</v>
      </c>
      <c r="AC5" s="703">
        <v>0.30199999999999999</v>
      </c>
      <c r="AD5" s="4875" t="s">
        <v>3385</v>
      </c>
      <c r="AE5" s="619"/>
      <c r="AF5" s="619"/>
      <c r="AG5" s="699">
        <v>0.06</v>
      </c>
      <c r="AH5" s="703">
        <v>0.06</v>
      </c>
      <c r="AI5" s="4875" t="s">
        <v>3385</v>
      </c>
      <c r="AJ5" s="527"/>
      <c r="AK5" s="619"/>
      <c r="AL5" s="704">
        <v>0.01</v>
      </c>
      <c r="AM5" s="705"/>
      <c r="AN5" s="701"/>
      <c r="AO5" s="702">
        <v>0.03</v>
      </c>
      <c r="AP5" s="701"/>
      <c r="AQ5" s="701"/>
      <c r="AR5" s="702">
        <v>0.04</v>
      </c>
      <c r="AS5" s="705"/>
      <c r="AT5" s="701"/>
      <c r="AU5" s="702">
        <v>0.04</v>
      </c>
      <c r="AV5" s="701"/>
      <c r="AW5" s="701"/>
      <c r="AX5" s="702">
        <v>0.03</v>
      </c>
      <c r="AY5" s="703">
        <v>0.15</v>
      </c>
      <c r="AZ5" s="4875" t="s">
        <v>3385</v>
      </c>
      <c r="BA5" s="4863"/>
      <c r="BB5" s="619"/>
      <c r="BC5" s="619"/>
      <c r="BD5" s="619"/>
      <c r="BE5" s="619"/>
      <c r="BF5" s="619"/>
      <c r="BG5" s="4863"/>
      <c r="BH5" s="527"/>
      <c r="BI5" s="619"/>
      <c r="BJ5" s="706"/>
      <c r="BK5" s="707"/>
      <c r="BL5" s="619"/>
      <c r="BM5" s="619"/>
      <c r="BN5" s="619"/>
      <c r="BO5" s="631"/>
      <c r="BP5" s="4868"/>
      <c r="BQ5" s="4870"/>
    </row>
    <row r="6" spans="1:71" ht="42.75" customHeight="1" thickBot="1">
      <c r="A6" s="708" t="s">
        <v>3386</v>
      </c>
      <c r="B6" s="709" t="s">
        <v>3387</v>
      </c>
      <c r="C6" s="710" t="s">
        <v>3388</v>
      </c>
      <c r="D6" s="711" t="s">
        <v>3389</v>
      </c>
      <c r="E6" s="712" t="s">
        <v>3390</v>
      </c>
      <c r="F6" s="713" t="s">
        <v>3391</v>
      </c>
      <c r="G6" s="712" t="s">
        <v>3392</v>
      </c>
      <c r="H6" s="713" t="s">
        <v>3393</v>
      </c>
      <c r="I6" s="714" t="s">
        <v>8</v>
      </c>
      <c r="J6" s="4861"/>
      <c r="K6" s="710" t="s">
        <v>3394</v>
      </c>
      <c r="L6" s="715" t="s">
        <v>3395</v>
      </c>
      <c r="M6" s="713" t="s">
        <v>725</v>
      </c>
      <c r="N6" s="716" t="s">
        <v>3396</v>
      </c>
      <c r="O6" s="715" t="s">
        <v>3397</v>
      </c>
      <c r="P6" s="717" t="s">
        <v>725</v>
      </c>
      <c r="Q6" s="718" t="s">
        <v>8</v>
      </c>
      <c r="R6" s="4876"/>
      <c r="S6" s="719" t="s">
        <v>3398</v>
      </c>
      <c r="T6" s="720" t="s">
        <v>3399</v>
      </c>
      <c r="U6" s="715" t="s">
        <v>3400</v>
      </c>
      <c r="V6" s="715" t="s">
        <v>3401</v>
      </c>
      <c r="W6" s="717" t="s">
        <v>725</v>
      </c>
      <c r="X6" s="721" t="s">
        <v>3402</v>
      </c>
      <c r="Y6" s="722" t="s">
        <v>3403</v>
      </c>
      <c r="Z6" s="722" t="s">
        <v>3404</v>
      </c>
      <c r="AA6" s="722" t="s">
        <v>3405</v>
      </c>
      <c r="AB6" s="713" t="s">
        <v>725</v>
      </c>
      <c r="AC6" s="718" t="s">
        <v>8</v>
      </c>
      <c r="AD6" s="4876"/>
      <c r="AE6" s="723" t="s">
        <v>3406</v>
      </c>
      <c r="AF6" s="724" t="s">
        <v>3407</v>
      </c>
      <c r="AG6" s="713" t="s">
        <v>725</v>
      </c>
      <c r="AH6" s="718" t="s">
        <v>8</v>
      </c>
      <c r="AI6" s="4876"/>
      <c r="AJ6" s="725" t="s">
        <v>3408</v>
      </c>
      <c r="AK6" s="715" t="s">
        <v>3409</v>
      </c>
      <c r="AL6" s="713" t="s">
        <v>725</v>
      </c>
      <c r="AM6" s="726" t="s">
        <v>3410</v>
      </c>
      <c r="AN6" s="727" t="s">
        <v>3411</v>
      </c>
      <c r="AO6" s="728" t="s">
        <v>725</v>
      </c>
      <c r="AP6" s="710" t="s">
        <v>3412</v>
      </c>
      <c r="AQ6" s="710" t="s">
        <v>3413</v>
      </c>
      <c r="AR6" s="729" t="s">
        <v>725</v>
      </c>
      <c r="AS6" s="730" t="s">
        <v>3414</v>
      </c>
      <c r="AT6" s="731" t="s">
        <v>3415</v>
      </c>
      <c r="AU6" s="732" t="s">
        <v>725</v>
      </c>
      <c r="AV6" s="710" t="s">
        <v>3416</v>
      </c>
      <c r="AW6" s="710" t="s">
        <v>3417</v>
      </c>
      <c r="AX6" s="732" t="s">
        <v>725</v>
      </c>
      <c r="AY6" s="718" t="s">
        <v>8</v>
      </c>
      <c r="AZ6" s="4876"/>
      <c r="BA6" s="4864"/>
      <c r="BB6" s="713" t="s">
        <v>3418</v>
      </c>
      <c r="BC6" s="713" t="s">
        <v>3419</v>
      </c>
      <c r="BD6" s="713" t="s">
        <v>3420</v>
      </c>
      <c r="BE6" s="721" t="s">
        <v>3421</v>
      </c>
      <c r="BF6" s="713" t="s">
        <v>3422</v>
      </c>
      <c r="BG6" s="4864"/>
      <c r="BH6" s="733" t="s">
        <v>3423</v>
      </c>
      <c r="BI6" s="734" t="s">
        <v>3424</v>
      </c>
      <c r="BJ6" s="735" t="s">
        <v>3425</v>
      </c>
      <c r="BK6" s="736" t="s">
        <v>3426</v>
      </c>
      <c r="BL6" s="713" t="s">
        <v>3427</v>
      </c>
      <c r="BM6" s="737" t="s">
        <v>3428</v>
      </c>
      <c r="BN6" s="738" t="s">
        <v>3429</v>
      </c>
      <c r="BO6" s="739" t="s">
        <v>3430</v>
      </c>
      <c r="BP6" s="4869"/>
      <c r="BQ6" s="4871"/>
    </row>
    <row r="7" spans="1:71" ht="16.5" thickBot="1">
      <c r="A7" s="740"/>
      <c r="B7" s="741" t="s">
        <v>8</v>
      </c>
      <c r="C7" s="742">
        <f>SUM(C8:C315)</f>
        <v>6350765</v>
      </c>
      <c r="D7" s="743">
        <f>$B$4*D5</f>
        <v>629415300</v>
      </c>
      <c r="E7" s="744">
        <f>$B$4*E5</f>
        <v>130079162</v>
      </c>
      <c r="F7" s="745">
        <f>$B$4*F5</f>
        <v>33568816</v>
      </c>
      <c r="G7" s="744">
        <f>$B$4*G5</f>
        <v>41961020</v>
      </c>
      <c r="H7" s="745">
        <f>$B$4*H5</f>
        <v>20980510</v>
      </c>
      <c r="I7" s="744">
        <f>SUM(D7:H7)</f>
        <v>856004808</v>
      </c>
      <c r="J7" s="746">
        <f>I7/C7</f>
        <v>134.78766857221137</v>
      </c>
      <c r="K7" s="742">
        <f>SUM(K8:K315)</f>
        <v>2770819</v>
      </c>
      <c r="L7" s="747">
        <f>SUM(L8:L315)</f>
        <v>1.0000000000000009</v>
      </c>
      <c r="M7" s="748">
        <f>$B$4*M5</f>
        <v>83922040</v>
      </c>
      <c r="N7" s="749">
        <f>SUM(N8:N315)</f>
        <v>879317</v>
      </c>
      <c r="O7" s="750">
        <f>SUM(O8:O315)</f>
        <v>0.99999999999999978</v>
      </c>
      <c r="P7" s="751">
        <f>$B$4*P5</f>
        <v>83922040</v>
      </c>
      <c r="Q7" s="748">
        <f t="shared" ref="Q7:Q70" si="0">M7+P7</f>
        <v>167844080</v>
      </c>
      <c r="R7" s="748">
        <f t="shared" ref="R7:R70" si="1">Q7/C7</f>
        <v>26.42895462200223</v>
      </c>
      <c r="S7" s="752">
        <f>SUM(S8:S315)</f>
        <v>22779678973.299988</v>
      </c>
      <c r="T7" s="753">
        <f>SUM(T8:T315)</f>
        <v>1839.6803073841404</v>
      </c>
      <c r="U7" s="754">
        <f>SUM(U8:U315)</f>
        <v>0.99999999999999989</v>
      </c>
      <c r="V7" s="755">
        <f t="shared" ref="V7:V70" si="2">S7/C7</f>
        <v>3586.918894542624</v>
      </c>
      <c r="W7" s="748">
        <f>$B$4*W5</f>
        <v>398629690</v>
      </c>
      <c r="X7" s="756">
        <f>SUM(X8:X315)</f>
        <v>6844650512.450099</v>
      </c>
      <c r="Y7" s="753">
        <f>SUM(Y8:Y315)</f>
        <v>6476.6190544395113</v>
      </c>
      <c r="Z7" s="753">
        <f>SUM(Z8:Z315)</f>
        <v>0.99999999999999889</v>
      </c>
      <c r="AA7" s="755">
        <f t="shared" ref="AA7:AA70" si="3">X7/C7</f>
        <v>1077.767877169144</v>
      </c>
      <c r="AB7" s="748">
        <f>$B$4*AB5</f>
        <v>234981712</v>
      </c>
      <c r="AC7" s="757">
        <f>W7+AB7</f>
        <v>633611402</v>
      </c>
      <c r="AD7" s="758">
        <f t="shared" ref="AD7:AD70" si="4">AC7/C7</f>
        <v>99.769303698058422</v>
      </c>
      <c r="AE7" s="752">
        <f>SUM(AE8:AE315)</f>
        <v>961450.40409999993</v>
      </c>
      <c r="AF7" s="753">
        <f>SUM(AF8:AF315)</f>
        <v>1.0000000000000009</v>
      </c>
      <c r="AG7" s="748">
        <f>$B$4*AG5</f>
        <v>125883060</v>
      </c>
      <c r="AH7" s="757">
        <f>AG7</f>
        <v>125883060</v>
      </c>
      <c r="AI7" s="748">
        <f t="shared" ref="AI7:AI70" si="5">AH7/C7</f>
        <v>19.821715966501674</v>
      </c>
      <c r="AJ7" s="759">
        <f>SUM(AJ8:AJ315)</f>
        <v>752286</v>
      </c>
      <c r="AK7" s="754">
        <f>SUM(AK8:AK315)</f>
        <v>1</v>
      </c>
      <c r="AL7" s="748">
        <f>$B$4*AL5</f>
        <v>20980510</v>
      </c>
      <c r="AM7" s="760">
        <f>SUM(AM8:AM315)</f>
        <v>6925.0000000000036</v>
      </c>
      <c r="AN7" s="754">
        <f>SUM(AN8:AN315)</f>
        <v>0.99999999999999967</v>
      </c>
      <c r="AO7" s="751">
        <f>$B$4*AO5</f>
        <v>62941530</v>
      </c>
      <c r="AP7" s="760">
        <f>SUM(AP8:AP315)</f>
        <v>73985</v>
      </c>
      <c r="AQ7" s="754">
        <f>SUM(AQ8:AQ315)</f>
        <v>0.99999999999999978</v>
      </c>
      <c r="AR7" s="751">
        <f>$B$4*AR5</f>
        <v>83922040</v>
      </c>
      <c r="AS7" s="760">
        <f>SUM(AS8:AS315)</f>
        <v>24934.583333333347</v>
      </c>
      <c r="AT7" s="754">
        <f>SUM(AT8:AT315)</f>
        <v>0.99999999999999878</v>
      </c>
      <c r="AU7" s="751">
        <f>$B$4*AU5</f>
        <v>83922040</v>
      </c>
      <c r="AV7" s="760">
        <f>SUM(AV8:AV315)</f>
        <v>78528</v>
      </c>
      <c r="AW7" s="754">
        <f>SUM(AW8:AW315)</f>
        <v>1.0000000000000002</v>
      </c>
      <c r="AX7" s="751">
        <f>$B$4*AX5</f>
        <v>62941530</v>
      </c>
      <c r="AY7" s="757">
        <f>AX7+AU7+AR7+AO7+AL7</f>
        <v>314707650</v>
      </c>
      <c r="AZ7" s="758">
        <f t="shared" ref="AZ7:AZ70" si="6">AY7/C7</f>
        <v>49.554289916254184</v>
      </c>
      <c r="BA7" s="761">
        <f>SUM(BA8:BA315)</f>
        <v>2098050999.9999993</v>
      </c>
      <c r="BB7" s="748">
        <f>SUM(BB8:BB315)</f>
        <v>1456701762</v>
      </c>
      <c r="BC7" s="748">
        <f>SUM(BC8:BC315)</f>
        <v>1323882.0972592961</v>
      </c>
      <c r="BD7" s="748">
        <f>SUM(BD8:BD315)</f>
        <v>642673120.09726</v>
      </c>
      <c r="BE7" s="754">
        <f>SUM(BE8:BE315)</f>
        <v>0.99999999999999878</v>
      </c>
      <c r="BF7" s="748">
        <f>BC7*-1</f>
        <v>-1323882.0972592961</v>
      </c>
      <c r="BG7" s="761">
        <f>SUM(BG8:BG315)</f>
        <v>2098050999.9999981</v>
      </c>
      <c r="BH7" s="762"/>
      <c r="BI7" s="748">
        <f>SUM(BI8:BI315)</f>
        <v>-4942831.2546153134</v>
      </c>
      <c r="BJ7" s="763"/>
      <c r="BK7" s="751">
        <f>SUM(BK8:BK315)</f>
        <v>0</v>
      </c>
      <c r="BL7" s="757">
        <f>BG7+BI7+BK7</f>
        <v>2093108168.7453828</v>
      </c>
      <c r="BM7" s="748">
        <f>SUM(BM8:BM315)</f>
        <v>2046600273.7827146</v>
      </c>
      <c r="BN7" s="754">
        <f>SUM(BN8:BN315)</f>
        <v>1.0000000000000007</v>
      </c>
      <c r="BO7" s="758">
        <f>BI7*-1</f>
        <v>4942831.2546153134</v>
      </c>
      <c r="BP7" s="764">
        <f>SUM(BP8:BP315)</f>
        <v>2098051000</v>
      </c>
      <c r="BQ7" s="765">
        <f t="shared" ref="BQ7:BQ70" si="7">BP7/C7</f>
        <v>330.36193277502787</v>
      </c>
    </row>
    <row r="8" spans="1:71" ht="15.75">
      <c r="A8" s="766" t="s">
        <v>3431</v>
      </c>
      <c r="B8" s="767" t="s">
        <v>3432</v>
      </c>
      <c r="C8" s="768">
        <v>81853</v>
      </c>
      <c r="D8" s="769">
        <v>0</v>
      </c>
      <c r="E8" s="770">
        <f>C8/($C$8+$C$149+$C$165+$C$99+$C$82+$C$188+$C$213+$C$236+$C$253+$C$271)*$E$7</f>
        <v>14778427.94629872</v>
      </c>
      <c r="F8" s="771">
        <v>0</v>
      </c>
      <c r="G8" s="770">
        <v>0</v>
      </c>
      <c r="H8" s="771">
        <v>0</v>
      </c>
      <c r="I8" s="770">
        <f>SUM(D8:H8)</f>
        <v>14778427.94629872</v>
      </c>
      <c r="J8" s="772">
        <f>I8/C8</f>
        <v>180.54839708133753</v>
      </c>
      <c r="K8" s="773">
        <v>36495</v>
      </c>
      <c r="L8" s="774">
        <f>K8/$K$7</f>
        <v>1.3171195953254255E-2</v>
      </c>
      <c r="M8" s="775">
        <f>$M$7*L8</f>
        <v>1105353.6336368418</v>
      </c>
      <c r="N8" s="776">
        <v>17210.5</v>
      </c>
      <c r="O8" s="777">
        <f>N8/$N$7</f>
        <v>1.9572577352649841E-2</v>
      </c>
      <c r="P8" s="778">
        <f>$P$7*O8</f>
        <v>1642570.6194921741</v>
      </c>
      <c r="Q8" s="779">
        <f t="shared" si="0"/>
        <v>2747924.2531290157</v>
      </c>
      <c r="R8" s="780">
        <f t="shared" si="1"/>
        <v>33.571454352669001</v>
      </c>
      <c r="S8" s="781">
        <v>308825736.79000008</v>
      </c>
      <c r="T8" s="782">
        <f t="shared" ref="T8:T71" si="8">C8*C8/S8</f>
        <v>21.694803284986275</v>
      </c>
      <c r="U8" s="777">
        <f>T8/$T$7</f>
        <v>1.1792702894033981E-2</v>
      </c>
      <c r="V8" s="783">
        <f t="shared" si="2"/>
        <v>3772.9311911597629</v>
      </c>
      <c r="W8" s="778">
        <f>$W$7*U8</f>
        <v>4700921.4989108685</v>
      </c>
      <c r="X8" s="784">
        <v>76827292.735599995</v>
      </c>
      <c r="Y8" s="782">
        <f t="shared" ref="Y8:Y71" si="9">C8*C8/X8</f>
        <v>87.207467170002388</v>
      </c>
      <c r="Z8" s="782">
        <f>Y8/$Y$7</f>
        <v>1.3464967823022493E-2</v>
      </c>
      <c r="AA8" s="785">
        <f t="shared" si="3"/>
        <v>938.60081775377807</v>
      </c>
      <c r="AB8" s="692">
        <f>$AB$7*Z8</f>
        <v>3164021.1910787383</v>
      </c>
      <c r="AC8" s="786">
        <f>W8+AB8</f>
        <v>7864942.6899896068</v>
      </c>
      <c r="AD8" s="787">
        <f t="shared" si="4"/>
        <v>96.086187311272738</v>
      </c>
      <c r="AE8" s="788">
        <v>4718.5826999999999</v>
      </c>
      <c r="AF8" s="774">
        <f>AE8/$AE$7</f>
        <v>4.9077754607810458E-3</v>
      </c>
      <c r="AG8" s="692">
        <f>$AG$7*AF8</f>
        <v>617805.79279602808</v>
      </c>
      <c r="AH8" s="786">
        <f>AG8</f>
        <v>617805.79279602808</v>
      </c>
      <c r="AI8" s="780">
        <f t="shared" si="5"/>
        <v>7.5477477037619645</v>
      </c>
      <c r="AJ8" s="789">
        <v>10133</v>
      </c>
      <c r="AK8" s="777">
        <f>AJ8/$AJ$7</f>
        <v>1.3469611291450327E-2</v>
      </c>
      <c r="AL8" s="692">
        <f>AK8*$AL$7</f>
        <v>282599.3143963865</v>
      </c>
      <c r="AM8" s="790">
        <v>67.333333333333329</v>
      </c>
      <c r="AN8" s="791">
        <f>AM8/$AM$7</f>
        <v>9.7232250300842305E-3</v>
      </c>
      <c r="AO8" s="778">
        <f>AN8*$AO$7</f>
        <v>611994.6599277975</v>
      </c>
      <c r="AP8" s="768">
        <v>1309</v>
      </c>
      <c r="AQ8" s="792">
        <f>AP8/$AP$7</f>
        <v>1.7692775562614043E-2</v>
      </c>
      <c r="AR8" s="793">
        <f>AQ8*$AR$7</f>
        <v>1484813.8184767182</v>
      </c>
      <c r="AS8" s="794">
        <v>431.75</v>
      </c>
      <c r="AT8" s="791">
        <f>AS8/$AS$7</f>
        <v>1.7315308390287911E-2</v>
      </c>
      <c r="AU8" s="795">
        <f>$AU$7*AT8</f>
        <v>1453136.0033420776</v>
      </c>
      <c r="AV8" s="796">
        <v>934</v>
      </c>
      <c r="AW8" s="791">
        <f>AV8/$AV$7</f>
        <v>1.1893846780766095E-2</v>
      </c>
      <c r="AX8" s="795">
        <f>AW8*$AX$7</f>
        <v>748616.91396699264</v>
      </c>
      <c r="AY8" s="786">
        <f>AX8+AU8+AR8+AO8+AL8</f>
        <v>4581160.7101099715</v>
      </c>
      <c r="AZ8" s="787">
        <f t="shared" si="6"/>
        <v>55.968146678924064</v>
      </c>
      <c r="BA8" s="797">
        <f t="shared" ref="BA8:BA71" si="10">I8+Q8+AC8+AH8+AY8</f>
        <v>30590261.392323341</v>
      </c>
      <c r="BB8" s="775">
        <v>19562503</v>
      </c>
      <c r="BC8" s="775">
        <f>IF(BA8&gt;BB8,0,BB8-BA8)</f>
        <v>0</v>
      </c>
      <c r="BD8" s="775">
        <f>IF(BA8&lt;BB8,0,BA8-BB8)</f>
        <v>11027758.392323341</v>
      </c>
      <c r="BE8" s="798">
        <f>BD8/$BD$7</f>
        <v>1.7159202785164623E-2</v>
      </c>
      <c r="BF8" s="775">
        <f>$BF$7*BE8</f>
        <v>-22716.761370521297</v>
      </c>
      <c r="BG8" s="797">
        <f>BA8+BC8+BF8</f>
        <v>30567544.63095282</v>
      </c>
      <c r="BH8" s="799">
        <v>7.5</v>
      </c>
      <c r="BI8" s="692">
        <f>IF(BH8&gt;=5,0,BG8*(5-BH8)/5*-0.25)</f>
        <v>0</v>
      </c>
      <c r="BJ8" s="800">
        <v>1500</v>
      </c>
      <c r="BK8" s="778">
        <f>IF(BJ8&gt;=700,0,BG8*(700-BJ8)/700*-0.25)</f>
        <v>0</v>
      </c>
      <c r="BL8" s="786">
        <f>BG8+BI8+BK8</f>
        <v>30567544.63095282</v>
      </c>
      <c r="BM8" s="692">
        <f>IF(BH8&lt;5,0,IF(BJ8&lt;700,0,IF(BC8&lt;&gt;0,0,BL8)))</f>
        <v>30567544.63095282</v>
      </c>
      <c r="BN8" s="801">
        <f>BM8/$BM$7</f>
        <v>1.493576690208053E-2</v>
      </c>
      <c r="BO8" s="787">
        <f>$BO$7*BN8</f>
        <v>73824.97545525257</v>
      </c>
      <c r="BP8" s="802">
        <f>ROUND(BG8+BI8+BO8,0)</f>
        <v>30641370</v>
      </c>
      <c r="BQ8" s="803">
        <f t="shared" si="7"/>
        <v>374.34632817367719</v>
      </c>
      <c r="BR8" s="804"/>
      <c r="BS8" s="618"/>
    </row>
    <row r="9" spans="1:71" ht="15.75">
      <c r="A9" s="805" t="s">
        <v>3433</v>
      </c>
      <c r="B9" s="767" t="s">
        <v>3434</v>
      </c>
      <c r="C9" s="768">
        <v>19860</v>
      </c>
      <c r="D9" s="769">
        <v>0</v>
      </c>
      <c r="E9" s="770">
        <v>0</v>
      </c>
      <c r="F9" s="771">
        <v>0</v>
      </c>
      <c r="G9" s="770">
        <v>0</v>
      </c>
      <c r="H9" s="771">
        <v>0</v>
      </c>
      <c r="I9" s="770">
        <f>SUM(D9:H9)</f>
        <v>0</v>
      </c>
      <c r="J9" s="772">
        <f t="shared" ref="J9:J72" si="11">I9/C9</f>
        <v>0</v>
      </c>
      <c r="K9" s="773">
        <v>8617</v>
      </c>
      <c r="L9" s="774">
        <f t="shared" ref="L9:L72" si="12">K9/$K$7</f>
        <v>3.1099108242003538E-3</v>
      </c>
      <c r="M9" s="775">
        <f>$M$7*L9</f>
        <v>260990.06058497506</v>
      </c>
      <c r="N9" s="806">
        <v>1864</v>
      </c>
      <c r="O9" s="777">
        <f t="shared" ref="O9:O72" si="13">N9/$N$7</f>
        <v>2.119827093073374E-3</v>
      </c>
      <c r="P9" s="778">
        <f t="shared" ref="P9:P72" si="14">$P$7*O9</f>
        <v>177900.21409798742</v>
      </c>
      <c r="Q9" s="786">
        <f t="shared" si="0"/>
        <v>438890.27468296245</v>
      </c>
      <c r="R9" s="692">
        <f t="shared" si="1"/>
        <v>22.099208191488543</v>
      </c>
      <c r="S9" s="807">
        <v>77282214.730000004</v>
      </c>
      <c r="T9" s="782">
        <f t="shared" si="8"/>
        <v>5.1036270295562733</v>
      </c>
      <c r="U9" s="777">
        <f t="shared" ref="U9:U72" si="15">T9/$T$7</f>
        <v>2.7741923469372628E-3</v>
      </c>
      <c r="V9" s="783">
        <f t="shared" si="2"/>
        <v>3891.3501878147031</v>
      </c>
      <c r="W9" s="778">
        <f t="shared" ref="W9:W72" si="16">$W$7*U9</f>
        <v>1105875.4352599734</v>
      </c>
      <c r="X9" s="784">
        <v>22480684.2755</v>
      </c>
      <c r="Y9" s="782">
        <f t="shared" si="9"/>
        <v>17.544821819763207</v>
      </c>
      <c r="Z9" s="782">
        <f t="shared" ref="Z9:Z72" si="17">Y9/$Y$7</f>
        <v>2.7089476271939762E-3</v>
      </c>
      <c r="AA9" s="783">
        <f t="shared" si="3"/>
        <v>1131.9579192094661</v>
      </c>
      <c r="AB9" s="692">
        <f t="shared" ref="AB9:AB72" si="18">$AB$7*Z9</f>
        <v>636553.15115637833</v>
      </c>
      <c r="AC9" s="786">
        <f t="shared" ref="AC9:AC72" si="19">W9+AB9</f>
        <v>1742428.5864163516</v>
      </c>
      <c r="AD9" s="787">
        <f t="shared" si="4"/>
        <v>87.735578369403399</v>
      </c>
      <c r="AE9" s="788">
        <v>6231.5394999999999</v>
      </c>
      <c r="AF9" s="774">
        <f t="shared" ref="AF9:AF72" si="20">AE9/$AE$7</f>
        <v>6.4813946444104474E-3</v>
      </c>
      <c r="AG9" s="692">
        <f t="shared" ref="AG9:AG72" si="21">$AG$7*AF9</f>
        <v>815897.79090599902</v>
      </c>
      <c r="AH9" s="786">
        <f t="shared" ref="AH9:AH72" si="22">AG9</f>
        <v>815897.79090599902</v>
      </c>
      <c r="AI9" s="692">
        <f t="shared" si="5"/>
        <v>41.082466812990887</v>
      </c>
      <c r="AJ9" s="789">
        <v>1864</v>
      </c>
      <c r="AK9" s="777">
        <f t="shared" ref="AK9:AK72" si="23">AJ9/$AJ$7</f>
        <v>2.4777810566725951E-3</v>
      </c>
      <c r="AL9" s="692">
        <f t="shared" ref="AL9:AL72" si="24">AK9*$AL$7</f>
        <v>51985.110237329951</v>
      </c>
      <c r="AM9" s="790">
        <v>3.6666666666666665</v>
      </c>
      <c r="AN9" s="791">
        <f t="shared" ref="AN9:AN72" si="25">AM9/$AM$7</f>
        <v>5.294825511432007E-4</v>
      </c>
      <c r="AO9" s="778">
        <f t="shared" ref="AO9:AO72" si="26">AN9*$AO$7</f>
        <v>33326.4418772563</v>
      </c>
      <c r="AP9" s="768">
        <v>120</v>
      </c>
      <c r="AQ9" s="792">
        <f t="shared" ref="AQ9:AQ72" si="27">AP9/$AP$7</f>
        <v>1.6219503953504089E-3</v>
      </c>
      <c r="AR9" s="793">
        <f t="shared" ref="AR9:AR72" si="28">AQ9*$AR$7</f>
        <v>136117.38595661282</v>
      </c>
      <c r="AS9" s="794">
        <v>26.388888888888889</v>
      </c>
      <c r="AT9" s="791">
        <f t="shared" ref="AT9:AT72" si="29">AS9/$AS$7</f>
        <v>1.058324838883968E-3</v>
      </c>
      <c r="AU9" s="795">
        <f t="shared" ref="AU9:AU72" si="30">$AU$7*AT9</f>
        <v>88816.779461813916</v>
      </c>
      <c r="AV9" s="796">
        <v>6</v>
      </c>
      <c r="AW9" s="791">
        <f t="shared" ref="AW9:AW72" si="31">AV9/$AV$7</f>
        <v>7.6405867970660146E-5</v>
      </c>
      <c r="AX9" s="795">
        <f t="shared" ref="AX9:AX72" si="32">AW9*$AX$7</f>
        <v>4809.1022310513445</v>
      </c>
      <c r="AY9" s="786">
        <f t="shared" ref="AY9:AY72" si="33">AX9+AU9+AR9+AO9+AL9</f>
        <v>315054.81976406439</v>
      </c>
      <c r="AZ9" s="787">
        <f t="shared" si="6"/>
        <v>15.863787500708177</v>
      </c>
      <c r="BA9" s="797">
        <f t="shared" si="10"/>
        <v>3312271.4717693776</v>
      </c>
      <c r="BB9" s="775">
        <v>2608932</v>
      </c>
      <c r="BC9" s="775">
        <f t="shared" ref="BC9:BC72" si="34">IF(BA9&gt;BB9,0,BB9-BA9)</f>
        <v>0</v>
      </c>
      <c r="BD9" s="775">
        <f t="shared" ref="BD9:BD72" si="35">IF(BA9&lt;BB9,0,BA9-BB9)</f>
        <v>703339.47176937759</v>
      </c>
      <c r="BE9" s="798">
        <f t="shared" ref="BE9:BE72" si="36">BD9/$BD$7</f>
        <v>1.0943969022120244E-3</v>
      </c>
      <c r="BF9" s="775">
        <f t="shared" ref="BF9:BF72" si="37">$BF$7*BE9</f>
        <v>-1448.8524661345316</v>
      </c>
      <c r="BG9" s="797">
        <f t="shared" ref="BG9:BG72" si="38">BA9+BC9+BF9</f>
        <v>3310822.6193032432</v>
      </c>
      <c r="BH9" s="799">
        <v>6.5</v>
      </c>
      <c r="BI9" s="692">
        <f>IF(BH9&gt;=5,0,BG9*(5-BH9)/5*-0.25)</f>
        <v>0</v>
      </c>
      <c r="BJ9" s="800">
        <v>1400</v>
      </c>
      <c r="BK9" s="778">
        <f t="shared" ref="BK9:BK72" si="39">IF(BJ9&gt;=700,0,BG9*(700-BJ9)/700*-0.25)</f>
        <v>0</v>
      </c>
      <c r="BL9" s="786">
        <f>BG9+BI9+BK9</f>
        <v>3310822.6193032432</v>
      </c>
      <c r="BM9" s="692">
        <f t="shared" ref="BM9:BM72" si="40">IF(BH9&lt;5,0,IF(BJ9&lt;700,0,IF(BC9&lt;&gt;0,0,BL9)))</f>
        <v>3310822.6193032432</v>
      </c>
      <c r="BN9" s="801">
        <f t="shared" ref="BN9:BN72" si="41">BM9/$BM$7</f>
        <v>1.6177182529072357E-3</v>
      </c>
      <c r="BO9" s="787">
        <f t="shared" ref="BO9:BO72" si="42">$BO$7*BN9</f>
        <v>7996.1083416315651</v>
      </c>
      <c r="BP9" s="802">
        <f t="shared" ref="BP9:BP72" si="43">ROUND(BG9+BI9+BO9,0)</f>
        <v>3318819</v>
      </c>
      <c r="BQ9" s="803">
        <f t="shared" si="7"/>
        <v>167.11072507552871</v>
      </c>
      <c r="BR9" s="682"/>
      <c r="BS9" s="618"/>
    </row>
    <row r="10" spans="1:71" ht="15.75">
      <c r="A10" s="805" t="s">
        <v>3435</v>
      </c>
      <c r="B10" s="767" t="s">
        <v>3436</v>
      </c>
      <c r="C10" s="768">
        <v>28755</v>
      </c>
      <c r="D10" s="769">
        <v>0</v>
      </c>
      <c r="E10" s="770">
        <v>0</v>
      </c>
      <c r="F10" s="771">
        <v>0</v>
      </c>
      <c r="G10" s="770">
        <f>C10/($C$10+$C$60+$C$62+$C$67+$C$74+$C$80+$C$94+$C$105+$C$127+$C$141+$C$168+$C$175+$C$201+$C$219+$C$237+$C$255+$C$265+$C$267+$C$268+$C$273+$C$281)*$G$7</f>
        <v>1765929.7047975881</v>
      </c>
      <c r="H10" s="771">
        <v>0</v>
      </c>
      <c r="I10" s="770">
        <f t="shared" ref="I10:I73" si="44">SUM(D10:H10)</f>
        <v>1765929.7047975881</v>
      </c>
      <c r="J10" s="772">
        <f t="shared" si="11"/>
        <v>61.412961390978545</v>
      </c>
      <c r="K10" s="773">
        <v>11753</v>
      </c>
      <c r="L10" s="774">
        <f t="shared" si="12"/>
        <v>4.2417061525852106E-3</v>
      </c>
      <c r="M10" s="775">
        <f t="shared" ref="M10:M73" si="45">$M$7*L10</f>
        <v>355972.63340550213</v>
      </c>
      <c r="N10" s="806">
        <v>7445</v>
      </c>
      <c r="O10" s="777">
        <f t="shared" si="13"/>
        <v>8.4667986630532557E-3</v>
      </c>
      <c r="P10" s="778">
        <f t="shared" si="14"/>
        <v>710551.0160727019</v>
      </c>
      <c r="Q10" s="786">
        <f t="shared" si="0"/>
        <v>1066523.6494782041</v>
      </c>
      <c r="R10" s="692">
        <f t="shared" si="1"/>
        <v>37.090024325446151</v>
      </c>
      <c r="S10" s="807">
        <v>110405632.28999999</v>
      </c>
      <c r="T10" s="782">
        <f t="shared" si="8"/>
        <v>7.4892014822951394</v>
      </c>
      <c r="U10" s="777">
        <f t="shared" si="15"/>
        <v>4.070925503868718E-3</v>
      </c>
      <c r="V10" s="783">
        <f t="shared" si="2"/>
        <v>3839.5281617110063</v>
      </c>
      <c r="W10" s="778">
        <f t="shared" si="16"/>
        <v>1622791.7716202808</v>
      </c>
      <c r="X10" s="784">
        <v>26103133.840399999</v>
      </c>
      <c r="Y10" s="782">
        <f t="shared" si="9"/>
        <v>31.676274199700824</v>
      </c>
      <c r="Z10" s="782">
        <f t="shared" si="17"/>
        <v>4.890865733100015E-3</v>
      </c>
      <c r="AA10" s="783">
        <f t="shared" si="3"/>
        <v>907.77721580246907</v>
      </c>
      <c r="AB10" s="692">
        <f t="shared" si="18"/>
        <v>1149264.0031259765</v>
      </c>
      <c r="AC10" s="786">
        <f t="shared" si="19"/>
        <v>2772055.7747462573</v>
      </c>
      <c r="AD10" s="787">
        <f t="shared" si="4"/>
        <v>96.402565631933825</v>
      </c>
      <c r="AE10" s="788">
        <v>4276.8114999999998</v>
      </c>
      <c r="AF10" s="774">
        <f t="shared" si="20"/>
        <v>4.4482913333459594E-3</v>
      </c>
      <c r="AG10" s="692">
        <f t="shared" si="21"/>
        <v>559964.52481306938</v>
      </c>
      <c r="AH10" s="786">
        <f t="shared" si="22"/>
        <v>559964.52481306938</v>
      </c>
      <c r="AI10" s="692">
        <f t="shared" si="5"/>
        <v>19.473640229979807</v>
      </c>
      <c r="AJ10" s="789">
        <v>3150</v>
      </c>
      <c r="AK10" s="777">
        <f t="shared" si="23"/>
        <v>4.1872373007074441E-3</v>
      </c>
      <c r="AL10" s="692">
        <f t="shared" si="24"/>
        <v>87850.374059865542</v>
      </c>
      <c r="AM10" s="790">
        <v>13.666666666666666</v>
      </c>
      <c r="AN10" s="791">
        <f t="shared" si="25"/>
        <v>1.9735258724428387E-3</v>
      </c>
      <c r="AO10" s="778">
        <f t="shared" si="26"/>
        <v>124216.7379061371</v>
      </c>
      <c r="AP10" s="768">
        <v>298</v>
      </c>
      <c r="AQ10" s="792">
        <f t="shared" si="27"/>
        <v>4.0278434817868488E-3</v>
      </c>
      <c r="AR10" s="793">
        <f t="shared" si="28"/>
        <v>338024.84179225517</v>
      </c>
      <c r="AS10" s="794">
        <v>63.638888888888886</v>
      </c>
      <c r="AT10" s="791">
        <f t="shared" si="29"/>
        <v>2.5522339009296535E-3</v>
      </c>
      <c r="AU10" s="795">
        <f t="shared" si="30"/>
        <v>214188.6755231744</v>
      </c>
      <c r="AV10" s="796">
        <v>51</v>
      </c>
      <c r="AW10" s="791">
        <f t="shared" si="31"/>
        <v>6.494498777506112E-4</v>
      </c>
      <c r="AX10" s="795">
        <f t="shared" si="32"/>
        <v>40877.368963936431</v>
      </c>
      <c r="AY10" s="786">
        <f t="shared" si="33"/>
        <v>805157.99824536871</v>
      </c>
      <c r="AZ10" s="787">
        <f t="shared" si="6"/>
        <v>28.000625917070725</v>
      </c>
      <c r="BA10" s="797">
        <f t="shared" si="10"/>
        <v>6969631.6520804865</v>
      </c>
      <c r="BB10" s="775">
        <v>4613481</v>
      </c>
      <c r="BC10" s="775">
        <f t="shared" si="34"/>
        <v>0</v>
      </c>
      <c r="BD10" s="775">
        <f t="shared" si="35"/>
        <v>2356150.6520804865</v>
      </c>
      <c r="BE10" s="798">
        <f t="shared" si="36"/>
        <v>3.6661727064668812E-3</v>
      </c>
      <c r="BF10" s="775">
        <f t="shared" si="37"/>
        <v>-4853.5804115521642</v>
      </c>
      <c r="BG10" s="797">
        <f t="shared" si="38"/>
        <v>6964778.0716689341</v>
      </c>
      <c r="BH10" s="799">
        <v>8</v>
      </c>
      <c r="BI10" s="692">
        <f>IF(BH10&gt;=5,0,BG10*(5-BH10)/5*-0.25)</f>
        <v>0</v>
      </c>
      <c r="BJ10" s="800">
        <v>1500</v>
      </c>
      <c r="BK10" s="778">
        <f t="shared" si="39"/>
        <v>0</v>
      </c>
      <c r="BL10" s="786">
        <f t="shared" ref="BL10:BL73" si="46">BG10+BI10+BK10</f>
        <v>6964778.0716689341</v>
      </c>
      <c r="BM10" s="692">
        <f t="shared" si="40"/>
        <v>6964778.0716689341</v>
      </c>
      <c r="BN10" s="801">
        <f t="shared" si="41"/>
        <v>3.4030964233166994E-3</v>
      </c>
      <c r="BO10" s="787">
        <f t="shared" si="42"/>
        <v>16820.931363639367</v>
      </c>
      <c r="BP10" s="802">
        <f t="shared" si="43"/>
        <v>6981599</v>
      </c>
      <c r="BQ10" s="803">
        <f t="shared" si="7"/>
        <v>242.79600069553121</v>
      </c>
      <c r="BR10" s="682"/>
      <c r="BS10" s="618"/>
    </row>
    <row r="11" spans="1:71" ht="15.75">
      <c r="A11" s="766" t="s">
        <v>3437</v>
      </c>
      <c r="B11" s="767" t="s">
        <v>3438</v>
      </c>
      <c r="C11" s="768">
        <v>14281</v>
      </c>
      <c r="D11" s="769">
        <v>0</v>
      </c>
      <c r="E11" s="770">
        <v>0</v>
      </c>
      <c r="F11" s="771">
        <v>0</v>
      </c>
      <c r="G11" s="770">
        <v>0</v>
      </c>
      <c r="H11" s="771">
        <v>0</v>
      </c>
      <c r="I11" s="770">
        <f t="shared" si="44"/>
        <v>0</v>
      </c>
      <c r="J11" s="772">
        <f t="shared" si="11"/>
        <v>0</v>
      </c>
      <c r="K11" s="773">
        <v>10184</v>
      </c>
      <c r="L11" s="774">
        <f t="shared" si="12"/>
        <v>3.6754475842702104E-3</v>
      </c>
      <c r="M11" s="775">
        <f t="shared" si="45"/>
        <v>308451.05918502796</v>
      </c>
      <c r="N11" s="806">
        <v>156</v>
      </c>
      <c r="O11" s="777">
        <f t="shared" si="13"/>
        <v>1.7741042195249266E-4</v>
      </c>
      <c r="P11" s="778">
        <f t="shared" si="14"/>
        <v>14888.644527513967</v>
      </c>
      <c r="Q11" s="786">
        <f t="shared" si="0"/>
        <v>323339.7037125419</v>
      </c>
      <c r="R11" s="692">
        <f t="shared" si="1"/>
        <v>22.641250872665914</v>
      </c>
      <c r="S11" s="807">
        <v>72067877.320000008</v>
      </c>
      <c r="T11" s="782">
        <f t="shared" si="8"/>
        <v>2.8299287919140834</v>
      </c>
      <c r="U11" s="777">
        <f t="shared" si="15"/>
        <v>1.5382720468090389E-3</v>
      </c>
      <c r="V11" s="783">
        <f t="shared" si="2"/>
        <v>5046.4167299208748</v>
      </c>
      <c r="W11" s="778">
        <f t="shared" si="16"/>
        <v>613200.90915515262</v>
      </c>
      <c r="X11" s="784">
        <v>20767807.719999999</v>
      </c>
      <c r="Y11" s="782">
        <f t="shared" si="9"/>
        <v>9.820341354739778</v>
      </c>
      <c r="Z11" s="782">
        <f t="shared" si="17"/>
        <v>1.5162758952154602E-3</v>
      </c>
      <c r="AA11" s="783">
        <f t="shared" si="3"/>
        <v>1454.2264351235906</v>
      </c>
      <c r="AB11" s="692">
        <f t="shared" si="18"/>
        <v>356297.10572206147</v>
      </c>
      <c r="AC11" s="786">
        <f t="shared" si="19"/>
        <v>969498.0148772141</v>
      </c>
      <c r="AD11" s="787">
        <f t="shared" si="4"/>
        <v>67.887263838471682</v>
      </c>
      <c r="AE11" s="788">
        <v>505.99520000000001</v>
      </c>
      <c r="AF11" s="774">
        <f t="shared" si="20"/>
        <v>5.2628320487696392E-4</v>
      </c>
      <c r="AG11" s="692">
        <f t="shared" si="21"/>
        <v>66250.140256519138</v>
      </c>
      <c r="AH11" s="786">
        <f t="shared" si="22"/>
        <v>66250.140256519138</v>
      </c>
      <c r="AI11" s="692">
        <f t="shared" si="5"/>
        <v>4.6390407013877972</v>
      </c>
      <c r="AJ11" s="789">
        <v>913</v>
      </c>
      <c r="AK11" s="777">
        <f t="shared" si="23"/>
        <v>1.2136341763637766E-3</v>
      </c>
      <c r="AL11" s="692">
        <f t="shared" si="24"/>
        <v>25462.663973541978</v>
      </c>
      <c r="AM11" s="790">
        <v>0.66666666666666663</v>
      </c>
      <c r="AN11" s="791">
        <f t="shared" si="25"/>
        <v>9.6269554753309204E-5</v>
      </c>
      <c r="AO11" s="778">
        <f t="shared" si="26"/>
        <v>6059.3530685920541</v>
      </c>
      <c r="AP11" s="768">
        <v>71</v>
      </c>
      <c r="AQ11" s="792">
        <f t="shared" si="27"/>
        <v>9.5965398391565856E-4</v>
      </c>
      <c r="AR11" s="793">
        <f t="shared" si="28"/>
        <v>80536.120024329255</v>
      </c>
      <c r="AS11" s="794">
        <v>34.30555555555555</v>
      </c>
      <c r="AT11" s="791">
        <f t="shared" si="29"/>
        <v>1.3758222905491582E-3</v>
      </c>
      <c r="AU11" s="795">
        <f t="shared" si="30"/>
        <v>115461.81330035807</v>
      </c>
      <c r="AV11" s="796">
        <v>9</v>
      </c>
      <c r="AW11" s="791">
        <f t="shared" si="31"/>
        <v>1.1460880195599022E-4</v>
      </c>
      <c r="AX11" s="795">
        <f t="shared" si="32"/>
        <v>7213.6533465770171</v>
      </c>
      <c r="AY11" s="786">
        <f t="shared" si="33"/>
        <v>234733.60371339839</v>
      </c>
      <c r="AZ11" s="787">
        <f t="shared" si="6"/>
        <v>16.436776396148616</v>
      </c>
      <c r="BA11" s="797">
        <f t="shared" si="10"/>
        <v>1593821.4625596735</v>
      </c>
      <c r="BB11" s="775">
        <v>1610630</v>
      </c>
      <c r="BC11" s="775">
        <f t="shared" si="34"/>
        <v>16808.53744032653</v>
      </c>
      <c r="BD11" s="775">
        <f t="shared" si="35"/>
        <v>0</v>
      </c>
      <c r="BE11" s="798">
        <f t="shared" si="36"/>
        <v>0</v>
      </c>
      <c r="BF11" s="775">
        <f t="shared" si="37"/>
        <v>0</v>
      </c>
      <c r="BG11" s="797">
        <f t="shared" si="38"/>
        <v>1610630</v>
      </c>
      <c r="BH11" s="799">
        <v>4</v>
      </c>
      <c r="BI11" s="692">
        <f>IF(BH11&gt;=5,0,BG11*(5-BH11)/5*-0.25)</f>
        <v>-80531.5</v>
      </c>
      <c r="BJ11" s="800">
        <v>700</v>
      </c>
      <c r="BK11" s="778">
        <f t="shared" si="39"/>
        <v>0</v>
      </c>
      <c r="BL11" s="786">
        <f t="shared" si="46"/>
        <v>1530098.5</v>
      </c>
      <c r="BM11" s="692">
        <f t="shared" si="40"/>
        <v>0</v>
      </c>
      <c r="BN11" s="801">
        <f t="shared" si="41"/>
        <v>0</v>
      </c>
      <c r="BO11" s="787">
        <f t="shared" si="42"/>
        <v>0</v>
      </c>
      <c r="BP11" s="802">
        <f t="shared" si="43"/>
        <v>1530099</v>
      </c>
      <c r="BQ11" s="803">
        <f t="shared" si="7"/>
        <v>107.14228695469505</v>
      </c>
      <c r="BR11" s="808"/>
      <c r="BS11" s="618"/>
    </row>
    <row r="12" spans="1:71" ht="15.75">
      <c r="A12" s="805" t="s">
        <v>3439</v>
      </c>
      <c r="B12" s="767" t="s">
        <v>3440</v>
      </c>
      <c r="C12" s="768">
        <v>12615</v>
      </c>
      <c r="D12" s="769">
        <v>0</v>
      </c>
      <c r="E12" s="770">
        <v>0</v>
      </c>
      <c r="F12" s="771">
        <v>0</v>
      </c>
      <c r="G12" s="770">
        <v>0</v>
      </c>
      <c r="H12" s="771">
        <v>0</v>
      </c>
      <c r="I12" s="770">
        <f t="shared" si="44"/>
        <v>0</v>
      </c>
      <c r="J12" s="772">
        <f t="shared" si="11"/>
        <v>0</v>
      </c>
      <c r="K12" s="773">
        <v>2449</v>
      </c>
      <c r="L12" s="774">
        <f t="shared" si="12"/>
        <v>8.8385419617809753E-4</v>
      </c>
      <c r="M12" s="775">
        <f t="shared" si="45"/>
        <v>74174.847205826154</v>
      </c>
      <c r="N12" s="806">
        <v>85</v>
      </c>
      <c r="O12" s="777">
        <f t="shared" si="13"/>
        <v>9.6665935038217166E-5</v>
      </c>
      <c r="P12" s="778">
        <f t="shared" si="14"/>
        <v>8112.4024669146629</v>
      </c>
      <c r="Q12" s="786">
        <f t="shared" si="0"/>
        <v>82287.249672740814</v>
      </c>
      <c r="R12" s="692">
        <f t="shared" si="1"/>
        <v>6.5229686621276901</v>
      </c>
      <c r="S12" s="807">
        <v>55596393.129999995</v>
      </c>
      <c r="T12" s="782">
        <f t="shared" si="8"/>
        <v>2.8623839792608505</v>
      </c>
      <c r="U12" s="777">
        <f t="shared" si="15"/>
        <v>1.5559138007684077E-3</v>
      </c>
      <c r="V12" s="783">
        <f t="shared" si="2"/>
        <v>4407.165527546571</v>
      </c>
      <c r="W12" s="778">
        <f t="shared" si="16"/>
        <v>620233.43606703216</v>
      </c>
      <c r="X12" s="784">
        <v>9596719.128800001</v>
      </c>
      <c r="Y12" s="782">
        <f t="shared" si="9"/>
        <v>16.582565652299035</v>
      </c>
      <c r="Z12" s="782">
        <f t="shared" si="17"/>
        <v>2.5603737865255833E-3</v>
      </c>
      <c r="AA12" s="783">
        <f t="shared" si="3"/>
        <v>760.73873395164492</v>
      </c>
      <c r="AB12" s="692">
        <f t="shared" si="18"/>
        <v>601641.01571770408</v>
      </c>
      <c r="AC12" s="786">
        <f t="shared" si="19"/>
        <v>1221874.4517847362</v>
      </c>
      <c r="AD12" s="787">
        <f t="shared" si="4"/>
        <v>96.858854679725425</v>
      </c>
      <c r="AE12" s="788">
        <v>1116.9830999999999</v>
      </c>
      <c r="AF12" s="774">
        <f t="shared" si="20"/>
        <v>1.1617688184816896E-3</v>
      </c>
      <c r="AG12" s="692">
        <f t="shared" si="21"/>
        <v>146247.01388305964</v>
      </c>
      <c r="AH12" s="786">
        <f t="shared" si="22"/>
        <v>146247.01388305964</v>
      </c>
      <c r="AI12" s="692">
        <f t="shared" si="5"/>
        <v>11.59310454879585</v>
      </c>
      <c r="AJ12" s="789">
        <v>1017</v>
      </c>
      <c r="AK12" s="777">
        <f t="shared" si="23"/>
        <v>1.3518794713712604E-3</v>
      </c>
      <c r="AL12" s="692">
        <f t="shared" si="24"/>
        <v>28363.120767899443</v>
      </c>
      <c r="AM12" s="790">
        <v>3.6666666666666665</v>
      </c>
      <c r="AN12" s="791">
        <f t="shared" si="25"/>
        <v>5.294825511432007E-4</v>
      </c>
      <c r="AO12" s="778">
        <f t="shared" si="26"/>
        <v>33326.4418772563</v>
      </c>
      <c r="AP12" s="768">
        <v>94</v>
      </c>
      <c r="AQ12" s="792">
        <f t="shared" si="27"/>
        <v>1.2705278096911536E-3</v>
      </c>
      <c r="AR12" s="793">
        <f t="shared" si="28"/>
        <v>106625.28566601338</v>
      </c>
      <c r="AS12" s="794">
        <v>16.472222222222221</v>
      </c>
      <c r="AT12" s="791">
        <f t="shared" si="29"/>
        <v>6.6061750469283479E-4</v>
      </c>
      <c r="AU12" s="795">
        <f t="shared" si="30"/>
        <v>55440.36865353227</v>
      </c>
      <c r="AV12" s="796">
        <v>24</v>
      </c>
      <c r="AW12" s="791">
        <f t="shared" si="31"/>
        <v>3.0562347188264059E-4</v>
      </c>
      <c r="AX12" s="795">
        <f t="shared" si="32"/>
        <v>19236.408924205378</v>
      </c>
      <c r="AY12" s="786">
        <f t="shared" si="33"/>
        <v>242991.62588890677</v>
      </c>
      <c r="AZ12" s="787">
        <f t="shared" si="6"/>
        <v>19.262118580174931</v>
      </c>
      <c r="BA12" s="797">
        <f t="shared" si="10"/>
        <v>1693400.3412294434</v>
      </c>
      <c r="BB12" s="775">
        <v>1376958</v>
      </c>
      <c r="BC12" s="775">
        <f t="shared" si="34"/>
        <v>0</v>
      </c>
      <c r="BD12" s="775">
        <f t="shared" si="35"/>
        <v>316442.34122944344</v>
      </c>
      <c r="BE12" s="798">
        <f t="shared" si="36"/>
        <v>4.923845907567351E-4</v>
      </c>
      <c r="BF12" s="775">
        <f t="shared" si="37"/>
        <v>-651.85914466918666</v>
      </c>
      <c r="BG12" s="797">
        <f t="shared" si="38"/>
        <v>1692748.4820847742</v>
      </c>
      <c r="BH12" s="799">
        <v>7</v>
      </c>
      <c r="BI12" s="692">
        <f t="shared" ref="BI12:BI75" si="47">IF(BH12&gt;=5,0,BG12*(5-BH12)/5*-0.25)</f>
        <v>0</v>
      </c>
      <c r="BJ12" s="800">
        <v>1250</v>
      </c>
      <c r="BK12" s="778">
        <f t="shared" si="39"/>
        <v>0</v>
      </c>
      <c r="BL12" s="786">
        <f t="shared" si="46"/>
        <v>1692748.4820847742</v>
      </c>
      <c r="BM12" s="692">
        <f t="shared" si="40"/>
        <v>1692748.4820847742</v>
      </c>
      <c r="BN12" s="801">
        <f t="shared" si="41"/>
        <v>8.2710263639126805E-4</v>
      </c>
      <c r="BO12" s="787">
        <f t="shared" si="42"/>
        <v>4088.2287619294848</v>
      </c>
      <c r="BP12" s="802">
        <f t="shared" si="43"/>
        <v>1696837</v>
      </c>
      <c r="BQ12" s="803">
        <f t="shared" si="7"/>
        <v>134.50947284978201</v>
      </c>
      <c r="BR12" s="682"/>
      <c r="BS12" s="618"/>
    </row>
    <row r="13" spans="1:71" ht="15.75">
      <c r="A13" s="766" t="s">
        <v>3441</v>
      </c>
      <c r="B13" s="767" t="s">
        <v>3442</v>
      </c>
      <c r="C13" s="768">
        <v>11315</v>
      </c>
      <c r="D13" s="769">
        <v>0</v>
      </c>
      <c r="E13" s="770">
        <v>0</v>
      </c>
      <c r="F13" s="771">
        <v>0</v>
      </c>
      <c r="G13" s="770">
        <v>0</v>
      </c>
      <c r="H13" s="771">
        <v>0</v>
      </c>
      <c r="I13" s="770">
        <f t="shared" si="44"/>
        <v>0</v>
      </c>
      <c r="J13" s="772">
        <f t="shared" si="11"/>
        <v>0</v>
      </c>
      <c r="K13" s="773">
        <v>4704</v>
      </c>
      <c r="L13" s="774">
        <f t="shared" si="12"/>
        <v>1.6976929925772849E-3</v>
      </c>
      <c r="M13" s="775">
        <f t="shared" si="45"/>
        <v>142473.85923079061</v>
      </c>
      <c r="N13" s="806">
        <v>154.5</v>
      </c>
      <c r="O13" s="777">
        <f t="shared" si="13"/>
        <v>1.7570455251064178E-4</v>
      </c>
      <c r="P13" s="778">
        <f t="shared" si="14"/>
        <v>14745.484483980181</v>
      </c>
      <c r="Q13" s="786">
        <f t="shared" si="0"/>
        <v>157219.3437147708</v>
      </c>
      <c r="R13" s="692">
        <f t="shared" si="1"/>
        <v>13.894771870505595</v>
      </c>
      <c r="S13" s="807">
        <v>41188406.640000001</v>
      </c>
      <c r="T13" s="782">
        <f t="shared" si="8"/>
        <v>3.1083801351923332</v>
      </c>
      <c r="U13" s="777">
        <f t="shared" si="15"/>
        <v>1.6896305965312906E-3</v>
      </c>
      <c r="V13" s="783">
        <f t="shared" si="2"/>
        <v>3640.1596676977465</v>
      </c>
      <c r="W13" s="778">
        <f t="shared" si="16"/>
        <v>673536.92090978345</v>
      </c>
      <c r="X13" s="784">
        <v>11162224.1634</v>
      </c>
      <c r="Y13" s="782">
        <f t="shared" si="9"/>
        <v>11.4698668585959</v>
      </c>
      <c r="Z13" s="782">
        <f t="shared" si="17"/>
        <v>1.7709651844867546E-3</v>
      </c>
      <c r="AA13" s="783">
        <f t="shared" si="3"/>
        <v>986.49793755192218</v>
      </c>
      <c r="AB13" s="692">
        <f t="shared" si="18"/>
        <v>416144.43094309344</v>
      </c>
      <c r="AC13" s="786">
        <f t="shared" si="19"/>
        <v>1089681.3518528768</v>
      </c>
      <c r="AD13" s="787">
        <f t="shared" si="4"/>
        <v>96.304140685185757</v>
      </c>
      <c r="AE13" s="788">
        <v>2053.0992999999999</v>
      </c>
      <c r="AF13" s="774">
        <f t="shared" si="20"/>
        <v>2.135418833092984E-3</v>
      </c>
      <c r="AG13" s="692">
        <f t="shared" si="21"/>
        <v>268813.05709137407</v>
      </c>
      <c r="AH13" s="786">
        <f t="shared" si="22"/>
        <v>268813.05709137407</v>
      </c>
      <c r="AI13" s="692">
        <f t="shared" si="5"/>
        <v>23.757229968305264</v>
      </c>
      <c r="AJ13" s="789">
        <v>1363</v>
      </c>
      <c r="AK13" s="777">
        <f t="shared" si="23"/>
        <v>1.8118109336076971E-3</v>
      </c>
      <c r="AL13" s="692">
        <f t="shared" si="24"/>
        <v>38012.717410665624</v>
      </c>
      <c r="AM13" s="790">
        <v>5.666666666666667</v>
      </c>
      <c r="AN13" s="791">
        <f t="shared" si="25"/>
        <v>8.1829121540312835E-4</v>
      </c>
      <c r="AO13" s="778">
        <f t="shared" si="26"/>
        <v>51504.501083032468</v>
      </c>
      <c r="AP13" s="768">
        <v>103</v>
      </c>
      <c r="AQ13" s="792">
        <f t="shared" si="27"/>
        <v>1.3921740893424342E-3</v>
      </c>
      <c r="AR13" s="793">
        <f t="shared" si="28"/>
        <v>116834.08961275934</v>
      </c>
      <c r="AS13" s="794">
        <v>17.166666666666668</v>
      </c>
      <c r="AT13" s="791">
        <f t="shared" si="29"/>
        <v>6.8846815834767614E-4</v>
      </c>
      <c r="AU13" s="795">
        <f t="shared" si="30"/>
        <v>57777.652323580012</v>
      </c>
      <c r="AV13" s="796">
        <v>3</v>
      </c>
      <c r="AW13" s="791">
        <f t="shared" si="31"/>
        <v>3.8202933985330073E-5</v>
      </c>
      <c r="AX13" s="795">
        <f t="shared" si="32"/>
        <v>2404.5511155256722</v>
      </c>
      <c r="AY13" s="786">
        <f t="shared" si="33"/>
        <v>266533.51154556312</v>
      </c>
      <c r="AZ13" s="787">
        <f t="shared" si="6"/>
        <v>23.555767701773142</v>
      </c>
      <c r="BA13" s="797">
        <f t="shared" si="10"/>
        <v>1782247.264204585</v>
      </c>
      <c r="BB13" s="775">
        <v>1335977</v>
      </c>
      <c r="BC13" s="775">
        <f t="shared" si="34"/>
        <v>0</v>
      </c>
      <c r="BD13" s="775">
        <f t="shared" si="35"/>
        <v>446270.26420458499</v>
      </c>
      <c r="BE13" s="798">
        <f t="shared" si="36"/>
        <v>6.9439696518978097E-4</v>
      </c>
      <c r="BF13" s="775">
        <f t="shared" si="37"/>
        <v>-919.29971060593766</v>
      </c>
      <c r="BG13" s="797">
        <f t="shared" si="38"/>
        <v>1781327.964493979</v>
      </c>
      <c r="BH13" s="799">
        <v>7</v>
      </c>
      <c r="BI13" s="692">
        <f t="shared" si="47"/>
        <v>0</v>
      </c>
      <c r="BJ13" s="800">
        <v>1350</v>
      </c>
      <c r="BK13" s="778">
        <f t="shared" si="39"/>
        <v>0</v>
      </c>
      <c r="BL13" s="786">
        <f t="shared" si="46"/>
        <v>1781327.964493979</v>
      </c>
      <c r="BM13" s="692">
        <f t="shared" si="40"/>
        <v>1781327.964493979</v>
      </c>
      <c r="BN13" s="801">
        <f t="shared" si="41"/>
        <v>8.7038391781388996E-4</v>
      </c>
      <c r="BO13" s="787">
        <f t="shared" si="42"/>
        <v>4302.1608324850213</v>
      </c>
      <c r="BP13" s="802">
        <f t="shared" si="43"/>
        <v>1785630</v>
      </c>
      <c r="BQ13" s="803">
        <f t="shared" si="7"/>
        <v>157.81087052585065</v>
      </c>
      <c r="BR13" s="682"/>
      <c r="BS13" s="618"/>
    </row>
    <row r="14" spans="1:71" ht="15.75">
      <c r="A14" s="805" t="s">
        <v>3443</v>
      </c>
      <c r="B14" s="767" t="s">
        <v>3444</v>
      </c>
      <c r="C14" s="768">
        <v>4990</v>
      </c>
      <c r="D14" s="769">
        <v>0</v>
      </c>
      <c r="E14" s="770">
        <v>0</v>
      </c>
      <c r="F14" s="771">
        <v>0</v>
      </c>
      <c r="G14" s="770">
        <v>0</v>
      </c>
      <c r="H14" s="771">
        <v>0</v>
      </c>
      <c r="I14" s="770">
        <f t="shared" si="44"/>
        <v>0</v>
      </c>
      <c r="J14" s="772">
        <f t="shared" si="11"/>
        <v>0</v>
      </c>
      <c r="K14" s="773">
        <v>1419</v>
      </c>
      <c r="L14" s="774">
        <f t="shared" si="12"/>
        <v>5.1212294992924469E-4</v>
      </c>
      <c r="M14" s="775">
        <f t="shared" si="45"/>
        <v>42978.402688880073</v>
      </c>
      <c r="N14" s="806">
        <v>38</v>
      </c>
      <c r="O14" s="777">
        <f t="shared" si="13"/>
        <v>4.3215359193555906E-5</v>
      </c>
      <c r="P14" s="778">
        <f t="shared" si="14"/>
        <v>3626.7211028559664</v>
      </c>
      <c r="Q14" s="786">
        <f t="shared" si="0"/>
        <v>46605.123791736041</v>
      </c>
      <c r="R14" s="692">
        <f t="shared" si="1"/>
        <v>9.3397041666805691</v>
      </c>
      <c r="S14" s="807">
        <v>11208001.699999999</v>
      </c>
      <c r="T14" s="782">
        <f t="shared" si="8"/>
        <v>2.2216359942200938</v>
      </c>
      <c r="U14" s="777">
        <f t="shared" si="15"/>
        <v>1.207620685671773E-3</v>
      </c>
      <c r="V14" s="783">
        <f t="shared" si="2"/>
        <v>2246.0925250501</v>
      </c>
      <c r="W14" s="778">
        <f t="shared" si="16"/>
        <v>481393.45956692629</v>
      </c>
      <c r="X14" s="784">
        <v>3324848.7179</v>
      </c>
      <c r="Y14" s="782">
        <f t="shared" si="9"/>
        <v>7.4890926212507782</v>
      </c>
      <c r="Z14" s="782">
        <f t="shared" si="17"/>
        <v>1.1563274848035488E-3</v>
      </c>
      <c r="AA14" s="783">
        <f t="shared" si="3"/>
        <v>666.30234827655306</v>
      </c>
      <c r="AB14" s="692">
        <f t="shared" si="18"/>
        <v>271715.81201179192</v>
      </c>
      <c r="AC14" s="786">
        <f t="shared" si="19"/>
        <v>753109.27157871821</v>
      </c>
      <c r="AD14" s="787">
        <f t="shared" si="4"/>
        <v>150.92370171918202</v>
      </c>
      <c r="AE14" s="788">
        <v>7216.3353999999999</v>
      </c>
      <c r="AF14" s="774">
        <f t="shared" si="20"/>
        <v>7.5056761838434181E-3</v>
      </c>
      <c r="AG14" s="692">
        <f t="shared" si="21"/>
        <v>944837.48539133207</v>
      </c>
      <c r="AH14" s="786">
        <f t="shared" si="22"/>
        <v>944837.48539133207</v>
      </c>
      <c r="AI14" s="692">
        <f t="shared" si="5"/>
        <v>189.34618945718077</v>
      </c>
      <c r="AJ14" s="789">
        <v>801</v>
      </c>
      <c r="AK14" s="777">
        <f t="shared" si="23"/>
        <v>1.0647546278941785E-3</v>
      </c>
      <c r="AL14" s="692">
        <f t="shared" si="24"/>
        <v>22339.095118080091</v>
      </c>
      <c r="AM14" s="790">
        <v>5.333333333333333</v>
      </c>
      <c r="AN14" s="791">
        <f t="shared" si="25"/>
        <v>7.7015643802647363E-4</v>
      </c>
      <c r="AO14" s="778">
        <f t="shared" si="26"/>
        <v>48474.824548736433</v>
      </c>
      <c r="AP14" s="768">
        <v>35</v>
      </c>
      <c r="AQ14" s="792">
        <f t="shared" si="27"/>
        <v>4.7306886531053594E-4</v>
      </c>
      <c r="AR14" s="793">
        <f t="shared" si="28"/>
        <v>39700.904237345407</v>
      </c>
      <c r="AS14" s="794">
        <v>8.1666666666666661</v>
      </c>
      <c r="AT14" s="791">
        <f t="shared" si="29"/>
        <v>3.2752368698093327E-4</v>
      </c>
      <c r="AU14" s="795">
        <f t="shared" si="30"/>
        <v>27486.455959761362</v>
      </c>
      <c r="AV14" s="796">
        <v>7</v>
      </c>
      <c r="AW14" s="791">
        <f t="shared" si="31"/>
        <v>8.9140179299103509E-5</v>
      </c>
      <c r="AX14" s="795">
        <f t="shared" si="32"/>
        <v>5610.619269559902</v>
      </c>
      <c r="AY14" s="786">
        <f t="shared" si="33"/>
        <v>143611.89913348318</v>
      </c>
      <c r="AZ14" s="787">
        <f t="shared" si="6"/>
        <v>28.779939706108856</v>
      </c>
      <c r="BA14" s="797">
        <f t="shared" si="10"/>
        <v>1888163.7798952695</v>
      </c>
      <c r="BB14" s="775">
        <v>875115</v>
      </c>
      <c r="BC14" s="775">
        <f t="shared" si="34"/>
        <v>0</v>
      </c>
      <c r="BD14" s="775">
        <f t="shared" si="35"/>
        <v>1013048.7798952695</v>
      </c>
      <c r="BE14" s="798">
        <f t="shared" si="36"/>
        <v>1.5763048869104066E-3</v>
      </c>
      <c r="BF14" s="775">
        <f t="shared" si="37"/>
        <v>-2086.8418196030266</v>
      </c>
      <c r="BG14" s="797">
        <f t="shared" si="38"/>
        <v>1886076.9380756665</v>
      </c>
      <c r="BH14" s="799">
        <v>8</v>
      </c>
      <c r="BI14" s="692">
        <f t="shared" si="47"/>
        <v>0</v>
      </c>
      <c r="BJ14" s="800">
        <v>2250</v>
      </c>
      <c r="BK14" s="778">
        <f t="shared" si="39"/>
        <v>0</v>
      </c>
      <c r="BL14" s="786">
        <f t="shared" si="46"/>
        <v>1886076.9380756665</v>
      </c>
      <c r="BM14" s="692">
        <f t="shared" si="40"/>
        <v>1886076.9380756665</v>
      </c>
      <c r="BN14" s="801">
        <f t="shared" si="41"/>
        <v>9.2156585838310576E-4</v>
      </c>
      <c r="BO14" s="787">
        <f t="shared" si="42"/>
        <v>4555.1445280024045</v>
      </c>
      <c r="BP14" s="802">
        <f t="shared" si="43"/>
        <v>1890632</v>
      </c>
      <c r="BQ14" s="803">
        <f t="shared" si="7"/>
        <v>378.88416833667333</v>
      </c>
      <c r="BR14" s="682"/>
      <c r="BS14" s="618"/>
    </row>
    <row r="15" spans="1:71" ht="15.75">
      <c r="A15" s="805" t="s">
        <v>3445</v>
      </c>
      <c r="B15" s="767" t="s">
        <v>3446</v>
      </c>
      <c r="C15" s="768">
        <v>502604</v>
      </c>
      <c r="D15" s="769">
        <f>C15/($C$15+$C$83)*$D$7</f>
        <v>421320280.64503241</v>
      </c>
      <c r="E15" s="770">
        <v>0</v>
      </c>
      <c r="F15" s="771">
        <v>0</v>
      </c>
      <c r="G15" s="770">
        <v>0</v>
      </c>
      <c r="H15" s="771">
        <v>0</v>
      </c>
      <c r="I15" s="770">
        <f t="shared" si="44"/>
        <v>421320280.64503241</v>
      </c>
      <c r="J15" s="772">
        <f t="shared" si="11"/>
        <v>838.27482599627615</v>
      </c>
      <c r="K15" s="773">
        <v>283288</v>
      </c>
      <c r="L15" s="774">
        <f t="shared" si="12"/>
        <v>0.10223980707509224</v>
      </c>
      <c r="M15" s="775">
        <f t="shared" si="45"/>
        <v>8580173.1789481733</v>
      </c>
      <c r="N15" s="806">
        <v>97421</v>
      </c>
      <c r="O15" s="777">
        <f t="shared" si="13"/>
        <v>0.1107916712630371</v>
      </c>
      <c r="P15" s="778">
        <f t="shared" si="14"/>
        <v>9297863.0674034506</v>
      </c>
      <c r="Q15" s="786">
        <f t="shared" si="0"/>
        <v>17878036.246351622</v>
      </c>
      <c r="R15" s="692">
        <f t="shared" si="1"/>
        <v>35.570819663893687</v>
      </c>
      <c r="S15" s="807">
        <v>1441112990.8099999</v>
      </c>
      <c r="T15" s="782">
        <f t="shared" si="8"/>
        <v>175.288670927889</v>
      </c>
      <c r="U15" s="777">
        <f t="shared" si="15"/>
        <v>9.5282136914936977E-2</v>
      </c>
      <c r="V15" s="783">
        <f t="shared" si="2"/>
        <v>2867.2931190559566</v>
      </c>
      <c r="W15" s="778">
        <f t="shared" si="16"/>
        <v>37982288.70093888</v>
      </c>
      <c r="X15" s="784">
        <v>748219250.49559999</v>
      </c>
      <c r="Y15" s="782">
        <f t="shared" si="9"/>
        <v>337.61598709025134</v>
      </c>
      <c r="Z15" s="782">
        <f t="shared" si="17"/>
        <v>5.2128430629068197E-2</v>
      </c>
      <c r="AA15" s="783">
        <f t="shared" si="3"/>
        <v>1488.685427285895</v>
      </c>
      <c r="AB15" s="692">
        <f t="shared" si="18"/>
        <v>12249227.873091681</v>
      </c>
      <c r="AC15" s="786">
        <f t="shared" si="19"/>
        <v>50231516.574030563</v>
      </c>
      <c r="AD15" s="787">
        <f t="shared" si="4"/>
        <v>99.942532439118196</v>
      </c>
      <c r="AE15" s="788">
        <v>5134.3491999999997</v>
      </c>
      <c r="AF15" s="774">
        <f t="shared" si="20"/>
        <v>5.3402122232255869E-3</v>
      </c>
      <c r="AG15" s="692">
        <f t="shared" si="21"/>
        <v>672242.25570903998</v>
      </c>
      <c r="AH15" s="786">
        <f t="shared" si="22"/>
        <v>672242.25570903998</v>
      </c>
      <c r="AI15" s="692">
        <f t="shared" si="5"/>
        <v>1.3375187139557982</v>
      </c>
      <c r="AJ15" s="789">
        <v>94371</v>
      </c>
      <c r="AK15" s="777">
        <f t="shared" si="23"/>
        <v>0.12544564168414671</v>
      </c>
      <c r="AL15" s="692">
        <f t="shared" si="24"/>
        <v>2631913.539810657</v>
      </c>
      <c r="AM15" s="790">
        <v>1891</v>
      </c>
      <c r="AN15" s="791">
        <f t="shared" si="25"/>
        <v>0.27306859205776157</v>
      </c>
      <c r="AO15" s="778">
        <f t="shared" si="26"/>
        <v>17187354.979061361</v>
      </c>
      <c r="AP15" s="768">
        <v>11350</v>
      </c>
      <c r="AQ15" s="792">
        <f t="shared" si="27"/>
        <v>0.15340947489355949</v>
      </c>
      <c r="AR15" s="793">
        <f t="shared" si="28"/>
        <v>12874436.088396296</v>
      </c>
      <c r="AS15" s="794">
        <v>4576.0277777777774</v>
      </c>
      <c r="AT15" s="791">
        <f t="shared" si="29"/>
        <v>0.18352132524550341</v>
      </c>
      <c r="AU15" s="795">
        <f t="shared" si="30"/>
        <v>15401483.998106146</v>
      </c>
      <c r="AV15" s="796">
        <v>19835</v>
      </c>
      <c r="AW15" s="791">
        <f t="shared" si="31"/>
        <v>0.252585065199674</v>
      </c>
      <c r="AX15" s="795">
        <f t="shared" si="32"/>
        <v>15898090.458817236</v>
      </c>
      <c r="AY15" s="786">
        <f t="shared" si="33"/>
        <v>63993279.064191699</v>
      </c>
      <c r="AZ15" s="787">
        <f t="shared" si="6"/>
        <v>127.32345756140361</v>
      </c>
      <c r="BA15" s="797">
        <f t="shared" si="10"/>
        <v>554095354.78531528</v>
      </c>
      <c r="BB15" s="775">
        <v>366118057</v>
      </c>
      <c r="BC15" s="775">
        <f t="shared" si="34"/>
        <v>0</v>
      </c>
      <c r="BD15" s="775">
        <f t="shared" si="35"/>
        <v>187977297.78531528</v>
      </c>
      <c r="BE15" s="798">
        <f t="shared" si="36"/>
        <v>0.29249285819962006</v>
      </c>
      <c r="BF15" s="775">
        <f t="shared" si="37"/>
        <v>-387226.05854667892</v>
      </c>
      <c r="BG15" s="797">
        <f t="shared" si="38"/>
        <v>553708128.72676861</v>
      </c>
      <c r="BH15" s="799">
        <v>8</v>
      </c>
      <c r="BI15" s="692">
        <f t="shared" si="47"/>
        <v>0</v>
      </c>
      <c r="BJ15" s="800">
        <v>1350</v>
      </c>
      <c r="BK15" s="778">
        <f t="shared" si="39"/>
        <v>0</v>
      </c>
      <c r="BL15" s="786">
        <f t="shared" si="46"/>
        <v>553708128.72676861</v>
      </c>
      <c r="BM15" s="692">
        <f t="shared" si="40"/>
        <v>553708128.72676861</v>
      </c>
      <c r="BN15" s="801">
        <f t="shared" si="41"/>
        <v>0.27055020749281655</v>
      </c>
      <c r="BO15" s="787">
        <f t="shared" si="42"/>
        <v>1337284.0215381519</v>
      </c>
      <c r="BP15" s="802">
        <f>ROUND(BG15+BI15+BO15,0)-1</f>
        <v>555045412</v>
      </c>
      <c r="BQ15" s="803">
        <f t="shared" si="7"/>
        <v>1104.3394242783584</v>
      </c>
      <c r="BR15" s="682"/>
      <c r="BS15" s="618"/>
    </row>
    <row r="16" spans="1:71" ht="15.75">
      <c r="A16" s="766" t="s">
        <v>3447</v>
      </c>
      <c r="B16" s="767" t="s">
        <v>3448</v>
      </c>
      <c r="C16" s="768">
        <v>14471</v>
      </c>
      <c r="D16" s="769">
        <v>0</v>
      </c>
      <c r="E16" s="770">
        <v>0</v>
      </c>
      <c r="F16" s="771">
        <v>0</v>
      </c>
      <c r="G16" s="770">
        <v>0</v>
      </c>
      <c r="H16" s="771">
        <v>0</v>
      </c>
      <c r="I16" s="770">
        <f t="shared" si="44"/>
        <v>0</v>
      </c>
      <c r="J16" s="772">
        <f t="shared" si="11"/>
        <v>0</v>
      </c>
      <c r="K16" s="773">
        <v>5317</v>
      </c>
      <c r="L16" s="774">
        <f t="shared" si="12"/>
        <v>1.918927219713738E-3</v>
      </c>
      <c r="M16" s="775">
        <f t="shared" si="45"/>
        <v>161040.28688990511</v>
      </c>
      <c r="N16" s="806">
        <v>871</v>
      </c>
      <c r="O16" s="777">
        <f t="shared" si="13"/>
        <v>9.9054152256808402E-4</v>
      </c>
      <c r="P16" s="778">
        <f t="shared" si="14"/>
        <v>83128.265278619656</v>
      </c>
      <c r="Q16" s="786">
        <f t="shared" si="0"/>
        <v>244168.55216852477</v>
      </c>
      <c r="R16" s="692">
        <f t="shared" si="1"/>
        <v>16.87295640719541</v>
      </c>
      <c r="S16" s="807">
        <v>48839163.400000006</v>
      </c>
      <c r="T16" s="782">
        <f t="shared" si="8"/>
        <v>4.2877442286409018</v>
      </c>
      <c r="U16" s="777">
        <f t="shared" si="15"/>
        <v>2.330700726333092E-3</v>
      </c>
      <c r="V16" s="783">
        <f t="shared" si="2"/>
        <v>3374.9681017206831</v>
      </c>
      <c r="W16" s="778">
        <f t="shared" si="16"/>
        <v>929086.50802093535</v>
      </c>
      <c r="X16" s="784">
        <v>11086155.5362</v>
      </c>
      <c r="Y16" s="782">
        <f t="shared" si="9"/>
        <v>18.889311115670978</v>
      </c>
      <c r="Z16" s="782">
        <f t="shared" si="17"/>
        <v>2.9165388541299137E-3</v>
      </c>
      <c r="AA16" s="783">
        <f t="shared" si="3"/>
        <v>766.0946400525188</v>
      </c>
      <c r="AB16" s="692">
        <f t="shared" si="18"/>
        <v>685333.29305796535</v>
      </c>
      <c r="AC16" s="786">
        <f t="shared" si="19"/>
        <v>1614419.8010789007</v>
      </c>
      <c r="AD16" s="787">
        <f t="shared" si="4"/>
        <v>111.56242146906922</v>
      </c>
      <c r="AE16" s="788">
        <v>3146.3078999999998</v>
      </c>
      <c r="AF16" s="774">
        <f t="shared" si="20"/>
        <v>3.2724599070143548E-3</v>
      </c>
      <c r="AG16" s="692">
        <f t="shared" si="21"/>
        <v>411947.26682228246</v>
      </c>
      <c r="AH16" s="786">
        <f t="shared" si="22"/>
        <v>411947.26682228246</v>
      </c>
      <c r="AI16" s="692">
        <f t="shared" si="5"/>
        <v>28.4670905135984</v>
      </c>
      <c r="AJ16" s="789">
        <v>1560</v>
      </c>
      <c r="AK16" s="777">
        <f t="shared" si="23"/>
        <v>2.073679425112258E-3</v>
      </c>
      <c r="AL16" s="692">
        <f t="shared" si="24"/>
        <v>43506.851915361978</v>
      </c>
      <c r="AM16" s="790">
        <v>1.6666666666666667</v>
      </c>
      <c r="AN16" s="791">
        <f t="shared" si="25"/>
        <v>2.4067388688327304E-4</v>
      </c>
      <c r="AO16" s="778">
        <f t="shared" si="26"/>
        <v>15148.382671480136</v>
      </c>
      <c r="AP16" s="768">
        <v>114</v>
      </c>
      <c r="AQ16" s="792">
        <f t="shared" si="27"/>
        <v>1.5408528755828884E-3</v>
      </c>
      <c r="AR16" s="793">
        <f t="shared" si="28"/>
        <v>129311.51665878219</v>
      </c>
      <c r="AS16" s="794">
        <v>9.9999999999999982</v>
      </c>
      <c r="AT16" s="791">
        <f t="shared" si="29"/>
        <v>4.0104941262971414E-4</v>
      </c>
      <c r="AU16" s="795">
        <f t="shared" si="30"/>
        <v>33656.884848687376</v>
      </c>
      <c r="AV16" s="796">
        <v>53</v>
      </c>
      <c r="AW16" s="791">
        <f t="shared" si="31"/>
        <v>6.7491850040749793E-4</v>
      </c>
      <c r="AX16" s="795">
        <f t="shared" si="32"/>
        <v>42480.403040953541</v>
      </c>
      <c r="AY16" s="786">
        <f t="shared" si="33"/>
        <v>264104.03913526522</v>
      </c>
      <c r="AZ16" s="787">
        <f t="shared" si="6"/>
        <v>18.250572810121291</v>
      </c>
      <c r="BA16" s="797">
        <f t="shared" si="10"/>
        <v>2534639.6592049729</v>
      </c>
      <c r="BB16" s="775">
        <v>1874393</v>
      </c>
      <c r="BC16" s="775">
        <f t="shared" si="34"/>
        <v>0</v>
      </c>
      <c r="BD16" s="775">
        <f t="shared" si="35"/>
        <v>660246.65920497291</v>
      </c>
      <c r="BE16" s="798">
        <f t="shared" si="36"/>
        <v>1.0273444439453971E-3</v>
      </c>
      <c r="BF16" s="775">
        <f t="shared" si="37"/>
        <v>-1360.0829170581176</v>
      </c>
      <c r="BG16" s="797">
        <f t="shared" si="38"/>
        <v>2533279.576287915</v>
      </c>
      <c r="BH16" s="799">
        <v>8</v>
      </c>
      <c r="BI16" s="692">
        <f t="shared" si="47"/>
        <v>0</v>
      </c>
      <c r="BJ16" s="800">
        <v>1750</v>
      </c>
      <c r="BK16" s="778">
        <f t="shared" si="39"/>
        <v>0</v>
      </c>
      <c r="BL16" s="786">
        <f t="shared" si="46"/>
        <v>2533279.576287915</v>
      </c>
      <c r="BM16" s="692">
        <f t="shared" si="40"/>
        <v>2533279.576287915</v>
      </c>
      <c r="BN16" s="801">
        <f t="shared" si="41"/>
        <v>1.237798904231394E-3</v>
      </c>
      <c r="BO16" s="787">
        <f t="shared" si="42"/>
        <v>6118.2311107635214</v>
      </c>
      <c r="BP16" s="802">
        <f t="shared" si="43"/>
        <v>2539398</v>
      </c>
      <c r="BQ16" s="803">
        <f t="shared" si="7"/>
        <v>175.48186027226868</v>
      </c>
      <c r="BR16" s="682"/>
      <c r="BS16" s="618"/>
    </row>
    <row r="17" spans="1:71" ht="15.75">
      <c r="A17" s="805" t="s">
        <v>3449</v>
      </c>
      <c r="B17" s="767" t="s">
        <v>3450</v>
      </c>
      <c r="C17" s="768">
        <v>9088</v>
      </c>
      <c r="D17" s="769">
        <v>0</v>
      </c>
      <c r="E17" s="770">
        <v>0</v>
      </c>
      <c r="F17" s="771">
        <v>0</v>
      </c>
      <c r="G17" s="770">
        <v>0</v>
      </c>
      <c r="H17" s="771">
        <v>0</v>
      </c>
      <c r="I17" s="770">
        <f t="shared" si="44"/>
        <v>0</v>
      </c>
      <c r="J17" s="772">
        <f t="shared" si="11"/>
        <v>0</v>
      </c>
      <c r="K17" s="773">
        <v>5099</v>
      </c>
      <c r="L17" s="774">
        <f t="shared" si="12"/>
        <v>1.8402501209931071E-3</v>
      </c>
      <c r="M17" s="775">
        <f t="shared" si="45"/>
        <v>154437.54426398838</v>
      </c>
      <c r="N17" s="806">
        <v>541</v>
      </c>
      <c r="O17" s="777">
        <f t="shared" si="13"/>
        <v>6.1525024536088809E-4</v>
      </c>
      <c r="P17" s="778">
        <f t="shared" si="14"/>
        <v>51633.055701186262</v>
      </c>
      <c r="Q17" s="786">
        <f t="shared" si="0"/>
        <v>206070.59996517465</v>
      </c>
      <c r="R17" s="692">
        <f t="shared" si="1"/>
        <v>22.675022003210238</v>
      </c>
      <c r="S17" s="807">
        <v>27993959.380000003</v>
      </c>
      <c r="T17" s="782">
        <f t="shared" si="8"/>
        <v>2.9503416390254116</v>
      </c>
      <c r="U17" s="777">
        <f t="shared" si="15"/>
        <v>1.6037251837633308E-3</v>
      </c>
      <c r="V17" s="783">
        <f t="shared" si="2"/>
        <v>3080.3212345950706</v>
      </c>
      <c r="W17" s="778">
        <f t="shared" si="16"/>
        <v>639292.47284876963</v>
      </c>
      <c r="X17" s="784">
        <v>11012459.1489</v>
      </c>
      <c r="Y17" s="782">
        <f t="shared" si="9"/>
        <v>7.4998456641947975</v>
      </c>
      <c r="Z17" s="782">
        <f t="shared" si="17"/>
        <v>1.157987771266846E-3</v>
      </c>
      <c r="AA17" s="783">
        <f t="shared" si="3"/>
        <v>1211.7582690250881</v>
      </c>
      <c r="AB17" s="692">
        <f t="shared" si="18"/>
        <v>272105.94896734791</v>
      </c>
      <c r="AC17" s="786">
        <f t="shared" si="19"/>
        <v>911398.4218161176</v>
      </c>
      <c r="AD17" s="787">
        <f t="shared" si="4"/>
        <v>100.28591789349886</v>
      </c>
      <c r="AE17" s="788">
        <v>2522.933</v>
      </c>
      <c r="AF17" s="774">
        <f t="shared" si="20"/>
        <v>2.6240906335274587E-3</v>
      </c>
      <c r="AG17" s="692">
        <f t="shared" si="21"/>
        <v>330328.55866577511</v>
      </c>
      <c r="AH17" s="786">
        <f t="shared" si="22"/>
        <v>330328.55866577511</v>
      </c>
      <c r="AI17" s="692">
        <f t="shared" si="5"/>
        <v>36.347772740512227</v>
      </c>
      <c r="AJ17" s="789">
        <v>1249</v>
      </c>
      <c r="AK17" s="777">
        <f t="shared" si="23"/>
        <v>1.6602728217725705E-3</v>
      </c>
      <c r="AL17" s="692">
        <f t="shared" si="24"/>
        <v>34833.370539927637</v>
      </c>
      <c r="AM17" s="790">
        <v>7</v>
      </c>
      <c r="AN17" s="791">
        <f t="shared" si="25"/>
        <v>1.0108303249097468E-3</v>
      </c>
      <c r="AO17" s="778">
        <f t="shared" si="26"/>
        <v>63623.207220216573</v>
      </c>
      <c r="AP17" s="768">
        <v>66</v>
      </c>
      <c r="AQ17" s="792">
        <f t="shared" si="27"/>
        <v>8.9207271744272485E-4</v>
      </c>
      <c r="AR17" s="793">
        <f t="shared" si="28"/>
        <v>74864.562276137047</v>
      </c>
      <c r="AS17" s="794">
        <v>7.8055555555555562</v>
      </c>
      <c r="AT17" s="791">
        <f t="shared" si="29"/>
        <v>3.1304134708041585E-4</v>
      </c>
      <c r="AU17" s="795">
        <f t="shared" si="30"/>
        <v>26271.068451336541</v>
      </c>
      <c r="AV17" s="796">
        <v>31</v>
      </c>
      <c r="AW17" s="791">
        <f t="shared" si="31"/>
        <v>3.9476365118174407E-4</v>
      </c>
      <c r="AX17" s="795">
        <f t="shared" si="32"/>
        <v>24847.02819376528</v>
      </c>
      <c r="AY17" s="786">
        <f t="shared" si="33"/>
        <v>224439.23668138304</v>
      </c>
      <c r="AZ17" s="787">
        <f t="shared" si="6"/>
        <v>24.696218824976128</v>
      </c>
      <c r="BA17" s="797">
        <f t="shared" si="10"/>
        <v>1672236.8171284506</v>
      </c>
      <c r="BB17" s="775">
        <v>1181961</v>
      </c>
      <c r="BC17" s="775">
        <f t="shared" si="34"/>
        <v>0</v>
      </c>
      <c r="BD17" s="775">
        <f t="shared" si="35"/>
        <v>490275.81712845061</v>
      </c>
      <c r="BE17" s="798">
        <f t="shared" si="36"/>
        <v>7.6286964834355279E-4</v>
      </c>
      <c r="BF17" s="775">
        <f t="shared" si="37"/>
        <v>-1009.9494699845244</v>
      </c>
      <c r="BG17" s="797">
        <f t="shared" si="38"/>
        <v>1671226.8676584661</v>
      </c>
      <c r="BH17" s="799">
        <v>6</v>
      </c>
      <c r="BI17" s="692">
        <f t="shared" si="47"/>
        <v>0</v>
      </c>
      <c r="BJ17" s="800">
        <v>950</v>
      </c>
      <c r="BK17" s="778">
        <f t="shared" si="39"/>
        <v>0</v>
      </c>
      <c r="BL17" s="786">
        <f t="shared" si="46"/>
        <v>1671226.8676584661</v>
      </c>
      <c r="BM17" s="692">
        <f t="shared" si="40"/>
        <v>1671226.8676584661</v>
      </c>
      <c r="BN17" s="801">
        <f t="shared" si="41"/>
        <v>8.1658684847605884E-4</v>
      </c>
      <c r="BO17" s="787">
        <f t="shared" si="42"/>
        <v>4036.2509967552828</v>
      </c>
      <c r="BP17" s="802">
        <f t="shared" si="43"/>
        <v>1675263</v>
      </c>
      <c r="BQ17" s="803">
        <f t="shared" si="7"/>
        <v>184.33791813380282</v>
      </c>
      <c r="BR17" s="682"/>
      <c r="BS17" s="618"/>
    </row>
    <row r="18" spans="1:71" ht="15.75">
      <c r="A18" s="805" t="s">
        <v>3451</v>
      </c>
      <c r="B18" s="767" t="s">
        <v>3452</v>
      </c>
      <c r="C18" s="768">
        <v>12894</v>
      </c>
      <c r="D18" s="769">
        <v>0</v>
      </c>
      <c r="E18" s="770">
        <v>0</v>
      </c>
      <c r="F18" s="771">
        <v>0</v>
      </c>
      <c r="G18" s="770">
        <v>0</v>
      </c>
      <c r="H18" s="771">
        <v>0</v>
      </c>
      <c r="I18" s="770">
        <f t="shared" si="44"/>
        <v>0</v>
      </c>
      <c r="J18" s="772">
        <f t="shared" si="11"/>
        <v>0</v>
      </c>
      <c r="K18" s="773">
        <v>4938</v>
      </c>
      <c r="L18" s="774">
        <f t="shared" si="12"/>
        <v>1.7821445572590632E-3</v>
      </c>
      <c r="M18" s="775">
        <f t="shared" si="45"/>
        <v>149561.20682007738</v>
      </c>
      <c r="N18" s="806">
        <v>1885.5</v>
      </c>
      <c r="O18" s="777">
        <f t="shared" si="13"/>
        <v>2.1442778884065701E-3</v>
      </c>
      <c r="P18" s="778">
        <f t="shared" si="14"/>
        <v>179952.17472197171</v>
      </c>
      <c r="Q18" s="786">
        <f t="shared" si="0"/>
        <v>329513.38154204912</v>
      </c>
      <c r="R18" s="692">
        <f t="shared" si="1"/>
        <v>25.555559294404304</v>
      </c>
      <c r="S18" s="807">
        <v>34069761.910000004</v>
      </c>
      <c r="T18" s="782">
        <f t="shared" si="8"/>
        <v>4.8798473097401223</v>
      </c>
      <c r="U18" s="777">
        <f t="shared" si="15"/>
        <v>2.652551799436732E-3</v>
      </c>
      <c r="V18" s="783">
        <f t="shared" si="2"/>
        <v>2642.2957895145032</v>
      </c>
      <c r="W18" s="778">
        <f t="shared" si="16"/>
        <v>1057385.9015184066</v>
      </c>
      <c r="X18" s="784">
        <v>10713373.8127</v>
      </c>
      <c r="Y18" s="782">
        <f t="shared" si="9"/>
        <v>15.518476150147524</v>
      </c>
      <c r="Z18" s="782">
        <f t="shared" si="17"/>
        <v>2.3960767214662895E-3</v>
      </c>
      <c r="AA18" s="783">
        <f t="shared" si="3"/>
        <v>830.88055007755543</v>
      </c>
      <c r="AB18" s="692">
        <f t="shared" si="18"/>
        <v>563034.2100934959</v>
      </c>
      <c r="AC18" s="786">
        <f t="shared" si="19"/>
        <v>1620420.1116119025</v>
      </c>
      <c r="AD18" s="787">
        <f t="shared" si="4"/>
        <v>125.6724144262372</v>
      </c>
      <c r="AE18" s="788">
        <v>4276.9260000000004</v>
      </c>
      <c r="AF18" s="774">
        <f t="shared" si="20"/>
        <v>4.4484104242522738E-3</v>
      </c>
      <c r="AG18" s="692">
        <f t="shared" si="21"/>
        <v>559979.51634077448</v>
      </c>
      <c r="AH18" s="786">
        <f t="shared" si="22"/>
        <v>559979.51634077448</v>
      </c>
      <c r="AI18" s="692">
        <f t="shared" si="5"/>
        <v>43.42946458358729</v>
      </c>
      <c r="AJ18" s="789">
        <v>1141</v>
      </c>
      <c r="AK18" s="777">
        <f t="shared" si="23"/>
        <v>1.5167104000340297E-3</v>
      </c>
      <c r="AL18" s="692">
        <f t="shared" si="24"/>
        <v>31821.357715017959</v>
      </c>
      <c r="AM18" s="790">
        <v>30</v>
      </c>
      <c r="AN18" s="791">
        <f t="shared" si="25"/>
        <v>4.3321299638989143E-3</v>
      </c>
      <c r="AO18" s="778">
        <f t="shared" si="26"/>
        <v>272670.88808664243</v>
      </c>
      <c r="AP18" s="768">
        <v>165</v>
      </c>
      <c r="AQ18" s="792">
        <f t="shared" si="27"/>
        <v>2.2301817936068121E-3</v>
      </c>
      <c r="AR18" s="793">
        <f t="shared" si="28"/>
        <v>187161.40569034262</v>
      </c>
      <c r="AS18" s="794">
        <v>15.666666666666666</v>
      </c>
      <c r="AT18" s="791">
        <f t="shared" si="29"/>
        <v>6.2831074645321888E-4</v>
      </c>
      <c r="AU18" s="795">
        <f t="shared" si="30"/>
        <v>52729.119596276891</v>
      </c>
      <c r="AV18" s="796">
        <v>47</v>
      </c>
      <c r="AW18" s="791">
        <f t="shared" si="31"/>
        <v>5.9851263243683786E-4</v>
      </c>
      <c r="AX18" s="795">
        <f t="shared" si="32"/>
        <v>37671.300809902204</v>
      </c>
      <c r="AY18" s="786">
        <f t="shared" si="33"/>
        <v>582054.07189818204</v>
      </c>
      <c r="AZ18" s="787">
        <f t="shared" si="6"/>
        <v>45.141466720814492</v>
      </c>
      <c r="BA18" s="797">
        <f t="shared" si="10"/>
        <v>3091967.081392908</v>
      </c>
      <c r="BB18" s="775">
        <v>1715812</v>
      </c>
      <c r="BC18" s="775">
        <f t="shared" si="34"/>
        <v>0</v>
      </c>
      <c r="BD18" s="775">
        <f t="shared" si="35"/>
        <v>1376155.081392908</v>
      </c>
      <c r="BE18" s="798">
        <f t="shared" si="36"/>
        <v>2.1412986452345249E-3</v>
      </c>
      <c r="BF18" s="775">
        <f t="shared" si="37"/>
        <v>-2834.8269413115722</v>
      </c>
      <c r="BG18" s="797">
        <f t="shared" si="38"/>
        <v>3089132.2544515966</v>
      </c>
      <c r="BH18" s="799">
        <v>7.5</v>
      </c>
      <c r="BI18" s="692">
        <f t="shared" si="47"/>
        <v>0</v>
      </c>
      <c r="BJ18" s="800">
        <v>1400</v>
      </c>
      <c r="BK18" s="778">
        <f t="shared" si="39"/>
        <v>0</v>
      </c>
      <c r="BL18" s="786">
        <f t="shared" si="46"/>
        <v>3089132.2544515966</v>
      </c>
      <c r="BM18" s="692">
        <f t="shared" si="40"/>
        <v>3089132.2544515966</v>
      </c>
      <c r="BN18" s="801">
        <f t="shared" si="41"/>
        <v>1.509396971174043E-3</v>
      </c>
      <c r="BO18" s="787">
        <f t="shared" si="42"/>
        <v>7460.6945247407484</v>
      </c>
      <c r="BP18" s="802">
        <f t="shared" si="43"/>
        <v>3096593</v>
      </c>
      <c r="BQ18" s="803">
        <f t="shared" si="7"/>
        <v>240.15767023421748</v>
      </c>
      <c r="BR18" s="682"/>
      <c r="BS18" s="618"/>
    </row>
    <row r="19" spans="1:71" ht="15.75">
      <c r="A19" s="766" t="s">
        <v>3453</v>
      </c>
      <c r="B19" s="767" t="s">
        <v>3454</v>
      </c>
      <c r="C19" s="768">
        <v>8004</v>
      </c>
      <c r="D19" s="769">
        <v>0</v>
      </c>
      <c r="E19" s="770">
        <v>0</v>
      </c>
      <c r="F19" s="771">
        <v>0</v>
      </c>
      <c r="G19" s="770">
        <v>0</v>
      </c>
      <c r="H19" s="771">
        <v>0</v>
      </c>
      <c r="I19" s="770">
        <f t="shared" si="44"/>
        <v>0</v>
      </c>
      <c r="J19" s="772">
        <f t="shared" si="11"/>
        <v>0</v>
      </c>
      <c r="K19" s="773">
        <v>1789</v>
      </c>
      <c r="L19" s="774">
        <f t="shared" si="12"/>
        <v>6.4565747528077437E-4</v>
      </c>
      <c r="M19" s="775">
        <f t="shared" si="45"/>
        <v>54184.892466812162</v>
      </c>
      <c r="N19" s="806">
        <v>102</v>
      </c>
      <c r="O19" s="777">
        <f t="shared" si="13"/>
        <v>1.159991220458606E-4</v>
      </c>
      <c r="P19" s="778">
        <f t="shared" si="14"/>
        <v>9734.8829602975948</v>
      </c>
      <c r="Q19" s="786">
        <f t="shared" si="0"/>
        <v>63919.775427109758</v>
      </c>
      <c r="R19" s="692">
        <f t="shared" si="1"/>
        <v>7.9859789389192599</v>
      </c>
      <c r="S19" s="807">
        <v>24578594.140000001</v>
      </c>
      <c r="T19" s="782">
        <f t="shared" si="8"/>
        <v>2.6064963534972958</v>
      </c>
      <c r="U19" s="777">
        <f t="shared" si="15"/>
        <v>1.4168202719979639E-3</v>
      </c>
      <c r="V19" s="783">
        <f t="shared" si="2"/>
        <v>3070.7888730634681</v>
      </c>
      <c r="W19" s="778">
        <f t="shared" si="16"/>
        <v>564786.62581226404</v>
      </c>
      <c r="X19" s="784">
        <v>5191803.1540999999</v>
      </c>
      <c r="Y19" s="782">
        <f t="shared" si="9"/>
        <v>12.339453962041731</v>
      </c>
      <c r="Z19" s="782">
        <f t="shared" si="17"/>
        <v>1.9052307783307769E-3</v>
      </c>
      <c r="AA19" s="783">
        <f t="shared" si="3"/>
        <v>648.6510687281359</v>
      </c>
      <c r="AB19" s="692">
        <f t="shared" si="18"/>
        <v>447694.39004725846</v>
      </c>
      <c r="AC19" s="786">
        <f t="shared" si="19"/>
        <v>1012481.0158595225</v>
      </c>
      <c r="AD19" s="787">
        <f t="shared" si="4"/>
        <v>126.49687854316873</v>
      </c>
      <c r="AE19" s="788">
        <v>1703.3946000000001</v>
      </c>
      <c r="AF19" s="774">
        <f t="shared" si="20"/>
        <v>1.7716926351437998E-3</v>
      </c>
      <c r="AG19" s="692">
        <f t="shared" si="21"/>
        <v>223026.09029136505</v>
      </c>
      <c r="AH19" s="786">
        <f t="shared" si="22"/>
        <v>223026.09029136505</v>
      </c>
      <c r="AI19" s="692">
        <f t="shared" si="5"/>
        <v>27.864329121859701</v>
      </c>
      <c r="AJ19" s="789">
        <v>873</v>
      </c>
      <c r="AK19" s="777">
        <f t="shared" si="23"/>
        <v>1.1604629090532059E-3</v>
      </c>
      <c r="AL19" s="692">
        <f t="shared" si="24"/>
        <v>24347.103668019878</v>
      </c>
      <c r="AM19" s="790">
        <v>4</v>
      </c>
      <c r="AN19" s="791">
        <f t="shared" si="25"/>
        <v>5.776173285198553E-4</v>
      </c>
      <c r="AO19" s="778">
        <f t="shared" si="26"/>
        <v>36356.118411552328</v>
      </c>
      <c r="AP19" s="768">
        <v>115</v>
      </c>
      <c r="AQ19" s="792">
        <f t="shared" si="27"/>
        <v>1.5543691288774752E-3</v>
      </c>
      <c r="AR19" s="793">
        <f t="shared" si="28"/>
        <v>130445.82820842063</v>
      </c>
      <c r="AS19" s="794">
        <v>13.916666666666666</v>
      </c>
      <c r="AT19" s="791">
        <f t="shared" si="29"/>
        <v>5.5812709924301892E-4</v>
      </c>
      <c r="AU19" s="795">
        <f t="shared" si="30"/>
        <v>46839.1647477566</v>
      </c>
      <c r="AV19" s="796">
        <v>141</v>
      </c>
      <c r="AW19" s="791">
        <f t="shared" si="31"/>
        <v>1.7955378973105135E-3</v>
      </c>
      <c r="AX19" s="795">
        <f t="shared" si="32"/>
        <v>113013.90242970661</v>
      </c>
      <c r="AY19" s="786">
        <f t="shared" si="33"/>
        <v>351002.11746545607</v>
      </c>
      <c r="AZ19" s="787">
        <f t="shared" si="6"/>
        <v>43.853338014174923</v>
      </c>
      <c r="BA19" s="797">
        <f t="shared" si="10"/>
        <v>1650428.9990434533</v>
      </c>
      <c r="BB19" s="775">
        <v>951176</v>
      </c>
      <c r="BC19" s="775">
        <f t="shared" si="34"/>
        <v>0</v>
      </c>
      <c r="BD19" s="775">
        <f t="shared" si="35"/>
        <v>699252.99904345325</v>
      </c>
      <c r="BE19" s="798">
        <f t="shared" si="36"/>
        <v>1.0880383466755708E-3</v>
      </c>
      <c r="BF19" s="775">
        <f t="shared" si="37"/>
        <v>-1440.4344882953917</v>
      </c>
      <c r="BG19" s="797">
        <f t="shared" si="38"/>
        <v>1648988.5645551579</v>
      </c>
      <c r="BH19" s="799">
        <v>7.5</v>
      </c>
      <c r="BI19" s="692">
        <f t="shared" si="47"/>
        <v>0</v>
      </c>
      <c r="BJ19" s="800">
        <v>1000</v>
      </c>
      <c r="BK19" s="778">
        <f t="shared" si="39"/>
        <v>0</v>
      </c>
      <c r="BL19" s="786">
        <f t="shared" si="46"/>
        <v>1648988.5645551579</v>
      </c>
      <c r="BM19" s="692">
        <f t="shared" si="40"/>
        <v>1648988.5645551579</v>
      </c>
      <c r="BN19" s="801">
        <f t="shared" si="41"/>
        <v>8.0572087558033296E-4</v>
      </c>
      <c r="BO19" s="787">
        <f t="shared" si="42"/>
        <v>3982.5423263144858</v>
      </c>
      <c r="BP19" s="802">
        <f t="shared" si="43"/>
        <v>1652971</v>
      </c>
      <c r="BQ19" s="803">
        <f t="shared" si="7"/>
        <v>206.518115942029</v>
      </c>
      <c r="BR19" s="682"/>
      <c r="BS19" s="618"/>
    </row>
    <row r="20" spans="1:71" ht="15.75">
      <c r="A20" s="805" t="s">
        <v>3455</v>
      </c>
      <c r="B20" s="767" t="s">
        <v>3456</v>
      </c>
      <c r="C20" s="768">
        <v>30875</v>
      </c>
      <c r="D20" s="769">
        <v>0</v>
      </c>
      <c r="E20" s="770">
        <v>0</v>
      </c>
      <c r="F20" s="771">
        <v>0</v>
      </c>
      <c r="G20" s="770">
        <v>0</v>
      </c>
      <c r="H20" s="771">
        <v>0</v>
      </c>
      <c r="I20" s="770">
        <f t="shared" si="44"/>
        <v>0</v>
      </c>
      <c r="J20" s="772">
        <f t="shared" si="11"/>
        <v>0</v>
      </c>
      <c r="K20" s="773">
        <v>18367</v>
      </c>
      <c r="L20" s="774">
        <f t="shared" si="12"/>
        <v>6.6287260192744455E-3</v>
      </c>
      <c r="M20" s="775">
        <f t="shared" si="45"/>
        <v>556296.21013859077</v>
      </c>
      <c r="N20" s="806">
        <v>2230.5</v>
      </c>
      <c r="O20" s="777">
        <f t="shared" si="13"/>
        <v>2.5366278600322751E-3</v>
      </c>
      <c r="P20" s="778">
        <f t="shared" si="14"/>
        <v>212878.98473474299</v>
      </c>
      <c r="Q20" s="786">
        <f t="shared" si="0"/>
        <v>769175.19487333379</v>
      </c>
      <c r="R20" s="692">
        <f t="shared" si="1"/>
        <v>24.912556918974374</v>
      </c>
      <c r="S20" s="807">
        <v>129866176.68000004</v>
      </c>
      <c r="T20" s="782">
        <f t="shared" si="8"/>
        <v>7.3403687501243509</v>
      </c>
      <c r="U20" s="777">
        <f t="shared" si="15"/>
        <v>3.9900240931326231E-3</v>
      </c>
      <c r="V20" s="783">
        <f t="shared" si="2"/>
        <v>4206.1919572469651</v>
      </c>
      <c r="W20" s="778">
        <f t="shared" si="16"/>
        <v>1590542.0673379886</v>
      </c>
      <c r="X20" s="784">
        <v>40481108.209799998</v>
      </c>
      <c r="Y20" s="782">
        <f t="shared" si="9"/>
        <v>23.54840732273297</v>
      </c>
      <c r="Z20" s="782">
        <f t="shared" si="17"/>
        <v>3.6359105151616573E-3</v>
      </c>
      <c r="AA20" s="783">
        <f t="shared" si="3"/>
        <v>1311.1290108437247</v>
      </c>
      <c r="AB20" s="692">
        <f t="shared" si="18"/>
        <v>854372.47753148817</v>
      </c>
      <c r="AC20" s="786">
        <f t="shared" si="19"/>
        <v>2444914.5448694769</v>
      </c>
      <c r="AD20" s="787">
        <f t="shared" si="4"/>
        <v>79.1875156233029</v>
      </c>
      <c r="AE20" s="788">
        <v>3517.5810000000001</v>
      </c>
      <c r="AF20" s="774">
        <f t="shared" si="20"/>
        <v>3.6586192953891967E-3</v>
      </c>
      <c r="AG20" s="692">
        <f t="shared" si="21"/>
        <v>460558.19227863598</v>
      </c>
      <c r="AH20" s="786">
        <f t="shared" si="22"/>
        <v>460558.19227863598</v>
      </c>
      <c r="AI20" s="692">
        <f t="shared" si="5"/>
        <v>14.91686452724327</v>
      </c>
      <c r="AJ20" s="789">
        <v>2953</v>
      </c>
      <c r="AK20" s="777">
        <f t="shared" si="23"/>
        <v>3.9253688092028829E-3</v>
      </c>
      <c r="AL20" s="692">
        <f t="shared" si="24"/>
        <v>82356.239555169173</v>
      </c>
      <c r="AM20" s="790">
        <v>29</v>
      </c>
      <c r="AN20" s="791">
        <f t="shared" si="25"/>
        <v>4.1877256317689512E-3</v>
      </c>
      <c r="AO20" s="778">
        <f t="shared" si="26"/>
        <v>263581.85848375439</v>
      </c>
      <c r="AP20" s="768">
        <v>324</v>
      </c>
      <c r="AQ20" s="792">
        <f t="shared" si="27"/>
        <v>4.379266067446104E-3</v>
      </c>
      <c r="AR20" s="793">
        <f t="shared" si="28"/>
        <v>367516.94208285463</v>
      </c>
      <c r="AS20" s="794">
        <v>132.58333333333334</v>
      </c>
      <c r="AT20" s="791">
        <f t="shared" si="29"/>
        <v>5.3172467957822945E-3</v>
      </c>
      <c r="AU20" s="795">
        <f t="shared" si="30"/>
        <v>446234.19828551356</v>
      </c>
      <c r="AV20" s="796">
        <v>237</v>
      </c>
      <c r="AW20" s="791">
        <f t="shared" si="31"/>
        <v>3.0180317848410758E-3</v>
      </c>
      <c r="AX20" s="795">
        <f t="shared" si="32"/>
        <v>189959.53812652812</v>
      </c>
      <c r="AY20" s="786">
        <f t="shared" si="33"/>
        <v>1349648.7765338197</v>
      </c>
      <c r="AZ20" s="787">
        <f t="shared" si="6"/>
        <v>43.71332069745165</v>
      </c>
      <c r="BA20" s="797">
        <f t="shared" si="10"/>
        <v>5024296.7085552663</v>
      </c>
      <c r="BB20" s="775">
        <v>3988721</v>
      </c>
      <c r="BC20" s="775">
        <f t="shared" si="34"/>
        <v>0</v>
      </c>
      <c r="BD20" s="775">
        <f t="shared" si="35"/>
        <v>1035575.7085552663</v>
      </c>
      <c r="BE20" s="798">
        <f t="shared" si="36"/>
        <v>1.6113568098173232E-3</v>
      </c>
      <c r="BF20" s="775">
        <f t="shared" si="37"/>
        <v>-2133.2464328140068</v>
      </c>
      <c r="BG20" s="797">
        <f t="shared" si="38"/>
        <v>5022163.4621224524</v>
      </c>
      <c r="BH20" s="799">
        <v>6</v>
      </c>
      <c r="BI20" s="692">
        <f t="shared" si="47"/>
        <v>0</v>
      </c>
      <c r="BJ20" s="800">
        <v>950</v>
      </c>
      <c r="BK20" s="778">
        <f t="shared" si="39"/>
        <v>0</v>
      </c>
      <c r="BL20" s="786">
        <f t="shared" si="46"/>
        <v>5022163.4621224524</v>
      </c>
      <c r="BM20" s="692">
        <f t="shared" si="40"/>
        <v>5022163.4621224524</v>
      </c>
      <c r="BN20" s="801">
        <f t="shared" si="41"/>
        <v>2.4539053993382054E-3</v>
      </c>
      <c r="BO20" s="787">
        <f t="shared" si="42"/>
        <v>12129.240303718154</v>
      </c>
      <c r="BP20" s="802">
        <f t="shared" si="43"/>
        <v>5034293</v>
      </c>
      <c r="BQ20" s="803">
        <f t="shared" si="7"/>
        <v>163.05402429149797</v>
      </c>
      <c r="BR20" s="682"/>
      <c r="BS20" s="618"/>
    </row>
    <row r="21" spans="1:71" ht="15.75">
      <c r="A21" s="805" t="s">
        <v>3457</v>
      </c>
      <c r="B21" s="767" t="s">
        <v>3458</v>
      </c>
      <c r="C21" s="768">
        <v>13942</v>
      </c>
      <c r="D21" s="769">
        <v>0</v>
      </c>
      <c r="E21" s="770">
        <v>0</v>
      </c>
      <c r="F21" s="771">
        <v>0</v>
      </c>
      <c r="G21" s="770">
        <v>0</v>
      </c>
      <c r="H21" s="771">
        <v>0</v>
      </c>
      <c r="I21" s="770">
        <f t="shared" si="44"/>
        <v>0</v>
      </c>
      <c r="J21" s="772">
        <f t="shared" si="11"/>
        <v>0</v>
      </c>
      <c r="K21" s="773">
        <v>3999</v>
      </c>
      <c r="L21" s="774">
        <f t="shared" si="12"/>
        <v>1.4432555861642353E-3</v>
      </c>
      <c r="M21" s="775">
        <f t="shared" si="45"/>
        <v>121120.95303229839</v>
      </c>
      <c r="N21" s="806">
        <v>474.5</v>
      </c>
      <c r="O21" s="777">
        <f t="shared" si="13"/>
        <v>5.3962336677216519E-4</v>
      </c>
      <c r="P21" s="778">
        <f t="shared" si="14"/>
        <v>45286.293771188321</v>
      </c>
      <c r="Q21" s="786">
        <f t="shared" si="0"/>
        <v>166407.24680348672</v>
      </c>
      <c r="R21" s="692">
        <f t="shared" si="1"/>
        <v>11.935679730561377</v>
      </c>
      <c r="S21" s="807">
        <v>47511931.390000001</v>
      </c>
      <c r="T21" s="782">
        <f t="shared" si="8"/>
        <v>4.0911694876060478</v>
      </c>
      <c r="U21" s="777">
        <f t="shared" si="15"/>
        <v>2.2238480627230946E-3</v>
      </c>
      <c r="V21" s="783">
        <f t="shared" si="2"/>
        <v>3407.8275276144027</v>
      </c>
      <c r="W21" s="778">
        <f t="shared" si="16"/>
        <v>886491.86385040777</v>
      </c>
      <c r="X21" s="784">
        <v>8886015.0196000002</v>
      </c>
      <c r="Y21" s="782">
        <f t="shared" si="9"/>
        <v>21.87475078212842</v>
      </c>
      <c r="Z21" s="782">
        <f t="shared" si="17"/>
        <v>3.3774953564906663E-3</v>
      </c>
      <c r="AA21" s="783">
        <f t="shared" si="3"/>
        <v>637.35583270692871</v>
      </c>
      <c r="AB21" s="692">
        <f t="shared" si="18"/>
        <v>793649.64114022709</v>
      </c>
      <c r="AC21" s="786">
        <f t="shared" si="19"/>
        <v>1680141.504990635</v>
      </c>
      <c r="AD21" s="787">
        <f t="shared" si="4"/>
        <v>120.50936056452697</v>
      </c>
      <c r="AE21" s="788">
        <v>7417.8491000000004</v>
      </c>
      <c r="AF21" s="774">
        <f t="shared" si="20"/>
        <v>7.7152696263555511E-3</v>
      </c>
      <c r="AG21" s="692">
        <f t="shared" si="21"/>
        <v>971221.74929069343</v>
      </c>
      <c r="AH21" s="786">
        <f t="shared" si="22"/>
        <v>971221.74929069343</v>
      </c>
      <c r="AI21" s="692">
        <f t="shared" si="5"/>
        <v>69.661580066754652</v>
      </c>
      <c r="AJ21" s="789">
        <v>1462</v>
      </c>
      <c r="AK21" s="777">
        <f t="shared" si="23"/>
        <v>1.9434098202013596E-3</v>
      </c>
      <c r="AL21" s="692">
        <f t="shared" si="24"/>
        <v>40773.729166832825</v>
      </c>
      <c r="AM21" s="790">
        <v>10.666666666666666</v>
      </c>
      <c r="AN21" s="791">
        <f t="shared" si="25"/>
        <v>1.5403128760529473E-3</v>
      </c>
      <c r="AO21" s="778">
        <f t="shared" si="26"/>
        <v>96949.649097472866</v>
      </c>
      <c r="AP21" s="768">
        <v>154</v>
      </c>
      <c r="AQ21" s="792">
        <f t="shared" si="27"/>
        <v>2.0815030073663581E-3</v>
      </c>
      <c r="AR21" s="793">
        <f t="shared" si="28"/>
        <v>174683.97864431981</v>
      </c>
      <c r="AS21" s="794">
        <v>19.944444444444443</v>
      </c>
      <c r="AT21" s="791">
        <f t="shared" si="29"/>
        <v>7.9987077296704101E-4</v>
      </c>
      <c r="AU21" s="795">
        <f t="shared" si="30"/>
        <v>67126.787003770936</v>
      </c>
      <c r="AV21" s="796">
        <v>17</v>
      </c>
      <c r="AW21" s="791">
        <f t="shared" si="31"/>
        <v>2.1648329258353708E-4</v>
      </c>
      <c r="AX21" s="795">
        <f t="shared" si="32"/>
        <v>13625.789654645476</v>
      </c>
      <c r="AY21" s="786">
        <f t="shared" si="33"/>
        <v>393159.93356704194</v>
      </c>
      <c r="AZ21" s="787">
        <f t="shared" si="6"/>
        <v>28.199679641876482</v>
      </c>
      <c r="BA21" s="797">
        <f t="shared" si="10"/>
        <v>3210930.4346518572</v>
      </c>
      <c r="BB21" s="775">
        <v>2214749</v>
      </c>
      <c r="BC21" s="775">
        <f t="shared" si="34"/>
        <v>0</v>
      </c>
      <c r="BD21" s="775">
        <f t="shared" si="35"/>
        <v>996181.43465185724</v>
      </c>
      <c r="BE21" s="798">
        <f t="shared" si="36"/>
        <v>1.5500592813047767E-3</v>
      </c>
      <c r="BF21" s="775">
        <f t="shared" si="37"/>
        <v>-2052.0957322100048</v>
      </c>
      <c r="BG21" s="797">
        <f t="shared" si="38"/>
        <v>3208878.338919647</v>
      </c>
      <c r="BH21" s="799">
        <v>7</v>
      </c>
      <c r="BI21" s="692">
        <f t="shared" si="47"/>
        <v>0</v>
      </c>
      <c r="BJ21" s="800">
        <v>1175</v>
      </c>
      <c r="BK21" s="778">
        <f t="shared" si="39"/>
        <v>0</v>
      </c>
      <c r="BL21" s="786">
        <f t="shared" si="46"/>
        <v>3208878.338919647</v>
      </c>
      <c r="BM21" s="692">
        <f t="shared" si="40"/>
        <v>3208878.338919647</v>
      </c>
      <c r="BN21" s="801">
        <f t="shared" si="41"/>
        <v>1.5679067280630738E-3</v>
      </c>
      <c r="BO21" s="787">
        <f t="shared" si="42"/>
        <v>7749.8983797917936</v>
      </c>
      <c r="BP21" s="802">
        <f t="shared" si="43"/>
        <v>3216628</v>
      </c>
      <c r="BQ21" s="803">
        <f t="shared" si="7"/>
        <v>230.71496198536795</v>
      </c>
      <c r="BR21" s="682"/>
      <c r="BS21" s="618"/>
    </row>
    <row r="22" spans="1:71" ht="15.75">
      <c r="A22" s="766" t="s">
        <v>3459</v>
      </c>
      <c r="B22" s="767" t="s">
        <v>3460</v>
      </c>
      <c r="C22" s="768">
        <v>9641</v>
      </c>
      <c r="D22" s="769">
        <v>0</v>
      </c>
      <c r="E22" s="770">
        <v>0</v>
      </c>
      <c r="F22" s="771">
        <v>0</v>
      </c>
      <c r="G22" s="770">
        <v>0</v>
      </c>
      <c r="H22" s="771">
        <v>0</v>
      </c>
      <c r="I22" s="770">
        <f t="shared" si="44"/>
        <v>0</v>
      </c>
      <c r="J22" s="772">
        <f t="shared" si="11"/>
        <v>0</v>
      </c>
      <c r="K22" s="773">
        <v>3900</v>
      </c>
      <c r="L22" s="774">
        <f t="shared" si="12"/>
        <v>1.4075260780296367E-3</v>
      </c>
      <c r="M22" s="775">
        <f t="shared" si="45"/>
        <v>118122.45982144629</v>
      </c>
      <c r="N22" s="806">
        <v>1858</v>
      </c>
      <c r="O22" s="777">
        <f t="shared" si="13"/>
        <v>2.1130036153059703E-3</v>
      </c>
      <c r="P22" s="778">
        <f t="shared" si="14"/>
        <v>177327.57392385224</v>
      </c>
      <c r="Q22" s="786">
        <f t="shared" si="0"/>
        <v>295450.03374529851</v>
      </c>
      <c r="R22" s="692">
        <f t="shared" si="1"/>
        <v>30.645164790509128</v>
      </c>
      <c r="S22" s="807">
        <v>28493472.34</v>
      </c>
      <c r="T22" s="782">
        <f t="shared" si="8"/>
        <v>3.2621114018987272</v>
      </c>
      <c r="U22" s="777">
        <f t="shared" si="15"/>
        <v>1.7731947169327238E-3</v>
      </c>
      <c r="V22" s="783">
        <f t="shared" si="2"/>
        <v>2955.4478103931128</v>
      </c>
      <c r="W22" s="778">
        <f t="shared" si="16"/>
        <v>706848.06032052939</v>
      </c>
      <c r="X22" s="784">
        <v>7886603.9194</v>
      </c>
      <c r="Y22" s="782">
        <f t="shared" si="9"/>
        <v>11.785666168850964</v>
      </c>
      <c r="Z22" s="782">
        <f t="shared" si="17"/>
        <v>1.8197250864665684E-3</v>
      </c>
      <c r="AA22" s="783">
        <f t="shared" si="3"/>
        <v>818.02758213878224</v>
      </c>
      <c r="AB22" s="692">
        <f t="shared" si="18"/>
        <v>427602.11618726229</v>
      </c>
      <c r="AC22" s="786">
        <f t="shared" si="19"/>
        <v>1134450.1765077917</v>
      </c>
      <c r="AD22" s="787">
        <f t="shared" si="4"/>
        <v>117.66934721582737</v>
      </c>
      <c r="AE22" s="788">
        <v>1537.4953</v>
      </c>
      <c r="AF22" s="774">
        <f t="shared" si="20"/>
        <v>1.5991415609619797E-3</v>
      </c>
      <c r="AG22" s="692">
        <f t="shared" si="21"/>
        <v>201304.83306707055</v>
      </c>
      <c r="AH22" s="786">
        <f t="shared" si="22"/>
        <v>201304.83306707055</v>
      </c>
      <c r="AI22" s="692">
        <f t="shared" si="5"/>
        <v>20.880078110887933</v>
      </c>
      <c r="AJ22" s="789">
        <v>1307</v>
      </c>
      <c r="AK22" s="777">
        <f t="shared" si="23"/>
        <v>1.737371159372898E-3</v>
      </c>
      <c r="AL22" s="692">
        <f t="shared" si="24"/>
        <v>36450.932982934683</v>
      </c>
      <c r="AM22" s="790">
        <v>4</v>
      </c>
      <c r="AN22" s="791">
        <f t="shared" si="25"/>
        <v>5.776173285198553E-4</v>
      </c>
      <c r="AO22" s="778">
        <f t="shared" si="26"/>
        <v>36356.118411552328</v>
      </c>
      <c r="AP22" s="768">
        <v>94</v>
      </c>
      <c r="AQ22" s="792">
        <f t="shared" si="27"/>
        <v>1.2705278096911536E-3</v>
      </c>
      <c r="AR22" s="793">
        <f t="shared" si="28"/>
        <v>106625.28566601338</v>
      </c>
      <c r="AS22" s="794">
        <v>16.222222222222221</v>
      </c>
      <c r="AT22" s="791">
        <f t="shared" si="29"/>
        <v>6.5059126937709187E-4</v>
      </c>
      <c r="AU22" s="795">
        <f t="shared" si="30"/>
        <v>54598.94653231508</v>
      </c>
      <c r="AV22" s="796">
        <v>33</v>
      </c>
      <c r="AW22" s="791">
        <f t="shared" si="31"/>
        <v>4.2023227383863079E-4</v>
      </c>
      <c r="AX22" s="795">
        <f t="shared" si="32"/>
        <v>26450.062270782397</v>
      </c>
      <c r="AY22" s="786">
        <f t="shared" si="33"/>
        <v>260481.34586359787</v>
      </c>
      <c r="AZ22" s="787">
        <f t="shared" si="6"/>
        <v>27.018083794585404</v>
      </c>
      <c r="BA22" s="797">
        <f t="shared" si="10"/>
        <v>1891686.3891837585</v>
      </c>
      <c r="BB22" s="775">
        <v>1176727</v>
      </c>
      <c r="BC22" s="775">
        <f t="shared" si="34"/>
        <v>0</v>
      </c>
      <c r="BD22" s="775">
        <f t="shared" si="35"/>
        <v>714959.38918375853</v>
      </c>
      <c r="BE22" s="798">
        <f t="shared" si="36"/>
        <v>1.1124775050115041E-3</v>
      </c>
      <c r="BF22" s="775">
        <f t="shared" si="37"/>
        <v>-1472.7890524884192</v>
      </c>
      <c r="BG22" s="797">
        <f t="shared" si="38"/>
        <v>1890213.60013127</v>
      </c>
      <c r="BH22" s="799">
        <v>7</v>
      </c>
      <c r="BI22" s="692">
        <f t="shared" si="47"/>
        <v>0</v>
      </c>
      <c r="BJ22" s="800">
        <v>2000</v>
      </c>
      <c r="BK22" s="778">
        <f t="shared" si="39"/>
        <v>0</v>
      </c>
      <c r="BL22" s="786">
        <f t="shared" si="46"/>
        <v>1890213.60013127</v>
      </c>
      <c r="BM22" s="692">
        <f t="shared" si="40"/>
        <v>1890213.60013127</v>
      </c>
      <c r="BN22" s="801">
        <f t="shared" si="41"/>
        <v>9.2358709433650358E-4</v>
      </c>
      <c r="BO22" s="787">
        <f t="shared" si="42"/>
        <v>4565.1351562458121</v>
      </c>
      <c r="BP22" s="802">
        <f t="shared" si="43"/>
        <v>1894779</v>
      </c>
      <c r="BQ22" s="803">
        <f t="shared" si="7"/>
        <v>196.53345088683747</v>
      </c>
      <c r="BR22" s="682"/>
      <c r="BS22" s="618"/>
    </row>
    <row r="23" spans="1:71" ht="15.75">
      <c r="A23" s="766" t="s">
        <v>3461</v>
      </c>
      <c r="B23" s="767" t="s">
        <v>3462</v>
      </c>
      <c r="C23" s="768">
        <v>2592</v>
      </c>
      <c r="D23" s="769">
        <v>0</v>
      </c>
      <c r="E23" s="770">
        <v>0</v>
      </c>
      <c r="F23" s="771">
        <v>0</v>
      </c>
      <c r="G23" s="770">
        <v>0</v>
      </c>
      <c r="H23" s="771">
        <v>0</v>
      </c>
      <c r="I23" s="770">
        <f t="shared" si="44"/>
        <v>0</v>
      </c>
      <c r="J23" s="772">
        <f t="shared" si="11"/>
        <v>0</v>
      </c>
      <c r="K23" s="773">
        <v>625</v>
      </c>
      <c r="L23" s="774">
        <f t="shared" si="12"/>
        <v>2.2556507660731359E-4</v>
      </c>
      <c r="M23" s="775">
        <f t="shared" si="45"/>
        <v>18929.881381642037</v>
      </c>
      <c r="N23" s="806">
        <v>84</v>
      </c>
      <c r="O23" s="777">
        <f t="shared" si="13"/>
        <v>9.5528688743649906E-5</v>
      </c>
      <c r="P23" s="778">
        <f t="shared" si="14"/>
        <v>8016.9624378921371</v>
      </c>
      <c r="Q23" s="786">
        <f t="shared" si="0"/>
        <v>26946.843819534173</v>
      </c>
      <c r="R23" s="692">
        <f t="shared" si="1"/>
        <v>10.396158880993122</v>
      </c>
      <c r="S23" s="807">
        <v>3878600.98</v>
      </c>
      <c r="T23" s="782">
        <f t="shared" si="8"/>
        <v>1.7321874651823554</v>
      </c>
      <c r="U23" s="777">
        <f t="shared" si="15"/>
        <v>9.4156982505583806E-4</v>
      </c>
      <c r="V23" s="783">
        <f t="shared" si="2"/>
        <v>1496.3738348765432</v>
      </c>
      <c r="W23" s="778">
        <f t="shared" si="16"/>
        <v>375337.68747536297</v>
      </c>
      <c r="X23" s="784">
        <v>2346106.0235000001</v>
      </c>
      <c r="Y23" s="782">
        <f t="shared" si="9"/>
        <v>2.8636659778815829</v>
      </c>
      <c r="Z23" s="782">
        <f t="shared" si="17"/>
        <v>4.4215445648584706E-4</v>
      </c>
      <c r="AA23" s="783">
        <f t="shared" si="3"/>
        <v>905.13349672067909</v>
      </c>
      <c r="AB23" s="692">
        <f t="shared" si="18"/>
        <v>103898.21115347385</v>
      </c>
      <c r="AC23" s="786">
        <f t="shared" si="19"/>
        <v>479235.89862883685</v>
      </c>
      <c r="AD23" s="787">
        <f t="shared" si="4"/>
        <v>184.89039298952039</v>
      </c>
      <c r="AE23" s="788">
        <v>568.21519999999998</v>
      </c>
      <c r="AF23" s="774">
        <f t="shared" si="20"/>
        <v>5.9099793143453736E-4</v>
      </c>
      <c r="AG23" s="692">
        <f t="shared" si="21"/>
        <v>74396.628062649746</v>
      </c>
      <c r="AH23" s="786">
        <f t="shared" si="22"/>
        <v>74396.628062649746</v>
      </c>
      <c r="AI23" s="692">
        <f t="shared" si="5"/>
        <v>28.702402801948203</v>
      </c>
      <c r="AJ23" s="789">
        <v>242</v>
      </c>
      <c r="AK23" s="777">
        <f t="shared" si="23"/>
        <v>3.2168616722895281E-4</v>
      </c>
      <c r="AL23" s="692">
        <f t="shared" si="24"/>
        <v>6749.1398484087167</v>
      </c>
      <c r="AM23" s="790">
        <v>1.6666666666666667</v>
      </c>
      <c r="AN23" s="791">
        <f t="shared" si="25"/>
        <v>2.4067388688327304E-4</v>
      </c>
      <c r="AO23" s="778">
        <f t="shared" si="26"/>
        <v>15148.382671480136</v>
      </c>
      <c r="AP23" s="768">
        <v>23</v>
      </c>
      <c r="AQ23" s="792">
        <f t="shared" si="27"/>
        <v>3.1087382577549505E-4</v>
      </c>
      <c r="AR23" s="793">
        <f t="shared" si="28"/>
        <v>26089.165641684125</v>
      </c>
      <c r="AS23" s="794">
        <v>3.0555555555555554</v>
      </c>
      <c r="AT23" s="791">
        <f t="shared" si="29"/>
        <v>1.2254287608130156E-4</v>
      </c>
      <c r="AU23" s="795">
        <f t="shared" si="30"/>
        <v>10284.048148210033</v>
      </c>
      <c r="AV23" s="796">
        <v>14</v>
      </c>
      <c r="AW23" s="791">
        <f t="shared" si="31"/>
        <v>1.7828035859820702E-4</v>
      </c>
      <c r="AX23" s="795">
        <f t="shared" si="32"/>
        <v>11221.238539119804</v>
      </c>
      <c r="AY23" s="786">
        <f t="shared" si="33"/>
        <v>69491.974848902813</v>
      </c>
      <c r="AZ23" s="787">
        <f t="shared" si="6"/>
        <v>26.810175481829788</v>
      </c>
      <c r="BA23" s="797">
        <f t="shared" si="10"/>
        <v>650071.34535992355</v>
      </c>
      <c r="BB23" s="775">
        <v>280026</v>
      </c>
      <c r="BC23" s="775">
        <f t="shared" si="34"/>
        <v>0</v>
      </c>
      <c r="BD23" s="775">
        <f t="shared" si="35"/>
        <v>370045.34535992355</v>
      </c>
      <c r="BE23" s="798">
        <f t="shared" si="36"/>
        <v>5.7579091732344763E-4</v>
      </c>
      <c r="BF23" s="775">
        <f t="shared" si="37"/>
        <v>-762.2792872090198</v>
      </c>
      <c r="BG23" s="797">
        <f t="shared" si="38"/>
        <v>649309.06607271452</v>
      </c>
      <c r="BH23" s="799">
        <v>7.2</v>
      </c>
      <c r="BI23" s="692">
        <f t="shared" si="47"/>
        <v>0</v>
      </c>
      <c r="BJ23" s="800">
        <v>1340</v>
      </c>
      <c r="BK23" s="778">
        <f t="shared" si="39"/>
        <v>0</v>
      </c>
      <c r="BL23" s="786">
        <f t="shared" si="46"/>
        <v>649309.06607271452</v>
      </c>
      <c r="BM23" s="692">
        <f t="shared" si="40"/>
        <v>649309.06607271452</v>
      </c>
      <c r="BN23" s="801">
        <f t="shared" si="41"/>
        <v>3.172622785164598E-4</v>
      </c>
      <c r="BO23" s="787">
        <f t="shared" si="42"/>
        <v>1568.1739061616261</v>
      </c>
      <c r="BP23" s="802">
        <f t="shared" si="43"/>
        <v>650877</v>
      </c>
      <c r="BQ23" s="803">
        <f t="shared" si="7"/>
        <v>251.1099537037037</v>
      </c>
      <c r="BR23" s="682"/>
      <c r="BS23" s="618"/>
    </row>
    <row r="24" spans="1:71" ht="15.75">
      <c r="A24" s="805" t="s">
        <v>3463</v>
      </c>
      <c r="B24" s="767" t="s">
        <v>3464</v>
      </c>
      <c r="C24" s="768">
        <v>21570</v>
      </c>
      <c r="D24" s="769">
        <v>0</v>
      </c>
      <c r="E24" s="770">
        <v>0</v>
      </c>
      <c r="F24" s="771">
        <v>0</v>
      </c>
      <c r="G24" s="770">
        <v>0</v>
      </c>
      <c r="H24" s="771">
        <v>0</v>
      </c>
      <c r="I24" s="770">
        <f t="shared" si="44"/>
        <v>0</v>
      </c>
      <c r="J24" s="772">
        <f t="shared" si="11"/>
        <v>0</v>
      </c>
      <c r="K24" s="773">
        <v>5573</v>
      </c>
      <c r="L24" s="774">
        <f t="shared" si="12"/>
        <v>2.0113186750920936E-3</v>
      </c>
      <c r="M24" s="775">
        <f t="shared" si="45"/>
        <v>168793.96630382567</v>
      </c>
      <c r="N24" s="806">
        <v>186</v>
      </c>
      <c r="O24" s="777">
        <f t="shared" si="13"/>
        <v>2.1152781078951049E-4</v>
      </c>
      <c r="P24" s="778">
        <f t="shared" si="14"/>
        <v>17751.845398189733</v>
      </c>
      <c r="Q24" s="786">
        <f t="shared" si="0"/>
        <v>186545.8117020154</v>
      </c>
      <c r="R24" s="692">
        <f t="shared" si="1"/>
        <v>8.6483918267044686</v>
      </c>
      <c r="S24" s="807">
        <v>67546152.519999981</v>
      </c>
      <c r="T24" s="782">
        <f t="shared" si="8"/>
        <v>6.8881036541975957</v>
      </c>
      <c r="U24" s="777">
        <f t="shared" si="15"/>
        <v>3.7441851318133954E-3</v>
      </c>
      <c r="V24" s="783">
        <f t="shared" si="2"/>
        <v>3131.4859768196561</v>
      </c>
      <c r="W24" s="778">
        <f t="shared" si="16"/>
        <v>1492543.358397383</v>
      </c>
      <c r="X24" s="784">
        <v>19064071.8904</v>
      </c>
      <c r="Y24" s="782">
        <f t="shared" si="9"/>
        <v>24.405326557454451</v>
      </c>
      <c r="Z24" s="782">
        <f t="shared" si="17"/>
        <v>3.7682201704800585E-3</v>
      </c>
      <c r="AA24" s="783">
        <f t="shared" si="3"/>
        <v>883.8234534260547</v>
      </c>
      <c r="AB24" s="692">
        <f t="shared" si="18"/>
        <v>885462.82685233606</v>
      </c>
      <c r="AC24" s="786">
        <f t="shared" si="19"/>
        <v>2378006.1852497188</v>
      </c>
      <c r="AD24" s="787">
        <f t="shared" si="4"/>
        <v>110.24599838895313</v>
      </c>
      <c r="AE24" s="788">
        <v>5197.6112000000003</v>
      </c>
      <c r="AF24" s="774">
        <f t="shared" si="20"/>
        <v>5.4060107290353791E-3</v>
      </c>
      <c r="AG24" s="692">
        <f t="shared" si="21"/>
        <v>680525.17296380433</v>
      </c>
      <c r="AH24" s="786">
        <f t="shared" si="22"/>
        <v>680525.17296380433</v>
      </c>
      <c r="AI24" s="692">
        <f t="shared" si="5"/>
        <v>31.549613952888471</v>
      </c>
      <c r="AJ24" s="789">
        <v>2302</v>
      </c>
      <c r="AK24" s="777">
        <f t="shared" si="23"/>
        <v>3.0600064337233447E-3</v>
      </c>
      <c r="AL24" s="692">
        <f t="shared" si="24"/>
        <v>64200.495582796968</v>
      </c>
      <c r="AM24" s="790">
        <v>7</v>
      </c>
      <c r="AN24" s="791">
        <f t="shared" si="25"/>
        <v>1.0108303249097468E-3</v>
      </c>
      <c r="AO24" s="778">
        <f t="shared" si="26"/>
        <v>63623.207220216573</v>
      </c>
      <c r="AP24" s="768">
        <v>235</v>
      </c>
      <c r="AQ24" s="792">
        <f t="shared" si="27"/>
        <v>3.1763195242278841E-3</v>
      </c>
      <c r="AR24" s="793">
        <f t="shared" si="28"/>
        <v>266563.21416503348</v>
      </c>
      <c r="AS24" s="794">
        <v>23.694444444444443</v>
      </c>
      <c r="AT24" s="791">
        <f t="shared" si="29"/>
        <v>9.5026430270318384E-4</v>
      </c>
      <c r="AU24" s="795">
        <f t="shared" si="30"/>
        <v>79748.1188220287</v>
      </c>
      <c r="AV24" s="796">
        <v>125</v>
      </c>
      <c r="AW24" s="791">
        <f t="shared" si="31"/>
        <v>1.5917889160554197E-3</v>
      </c>
      <c r="AX24" s="795">
        <f t="shared" si="32"/>
        <v>100189.62981356969</v>
      </c>
      <c r="AY24" s="786">
        <f t="shared" si="33"/>
        <v>574324.66560364538</v>
      </c>
      <c r="AZ24" s="787">
        <f t="shared" si="6"/>
        <v>26.62608556345134</v>
      </c>
      <c r="BA24" s="797">
        <f t="shared" si="10"/>
        <v>3819401.8355191834</v>
      </c>
      <c r="BB24" s="775">
        <v>2726891</v>
      </c>
      <c r="BC24" s="775">
        <f t="shared" si="34"/>
        <v>0</v>
      </c>
      <c r="BD24" s="775">
        <f t="shared" si="35"/>
        <v>1092510.8355191834</v>
      </c>
      <c r="BE24" s="798">
        <f t="shared" si="36"/>
        <v>1.6999479227540223E-3</v>
      </c>
      <c r="BF24" s="775">
        <f t="shared" si="37"/>
        <v>-2250.5306212071791</v>
      </c>
      <c r="BG24" s="797">
        <f t="shared" si="38"/>
        <v>3817151.3048979761</v>
      </c>
      <c r="BH24" s="799">
        <v>8</v>
      </c>
      <c r="BI24" s="692">
        <f t="shared" si="47"/>
        <v>0</v>
      </c>
      <c r="BJ24" s="800">
        <v>1400</v>
      </c>
      <c r="BK24" s="778">
        <f t="shared" si="39"/>
        <v>0</v>
      </c>
      <c r="BL24" s="786">
        <f t="shared" si="46"/>
        <v>3817151.3048979761</v>
      </c>
      <c r="BM24" s="692">
        <f t="shared" si="40"/>
        <v>3817151.3048979761</v>
      </c>
      <c r="BN24" s="801">
        <f t="shared" si="41"/>
        <v>1.8651181443666899E-3</v>
      </c>
      <c r="BO24" s="787">
        <f t="shared" si="42"/>
        <v>9218.9642575257913</v>
      </c>
      <c r="BP24" s="802">
        <f t="shared" si="43"/>
        <v>3826370</v>
      </c>
      <c r="BQ24" s="803">
        <f t="shared" si="7"/>
        <v>177.39313861845156</v>
      </c>
      <c r="BR24" s="682"/>
      <c r="BS24" s="618"/>
    </row>
    <row r="25" spans="1:71" ht="15.75">
      <c r="A25" s="805" t="s">
        <v>3465</v>
      </c>
      <c r="B25" s="767" t="s">
        <v>3466</v>
      </c>
      <c r="C25" s="768">
        <v>15357</v>
      </c>
      <c r="D25" s="769">
        <v>0</v>
      </c>
      <c r="E25" s="770">
        <v>0</v>
      </c>
      <c r="F25" s="771">
        <v>0</v>
      </c>
      <c r="G25" s="770">
        <v>0</v>
      </c>
      <c r="H25" s="771">
        <v>0</v>
      </c>
      <c r="I25" s="770">
        <f t="shared" si="44"/>
        <v>0</v>
      </c>
      <c r="J25" s="772">
        <f t="shared" si="11"/>
        <v>0</v>
      </c>
      <c r="K25" s="773">
        <v>5615</v>
      </c>
      <c r="L25" s="774">
        <f t="shared" si="12"/>
        <v>2.026476648240105E-3</v>
      </c>
      <c r="M25" s="775">
        <f t="shared" si="45"/>
        <v>170066.05433267201</v>
      </c>
      <c r="N25" s="806">
        <v>528</v>
      </c>
      <c r="O25" s="777">
        <f t="shared" si="13"/>
        <v>6.004660435315137E-4</v>
      </c>
      <c r="P25" s="778">
        <f t="shared" si="14"/>
        <v>50392.335323893436</v>
      </c>
      <c r="Q25" s="786">
        <f t="shared" si="0"/>
        <v>220458.38965656544</v>
      </c>
      <c r="R25" s="692">
        <f t="shared" si="1"/>
        <v>14.355563564274627</v>
      </c>
      <c r="S25" s="807">
        <v>53003855.000000015</v>
      </c>
      <c r="T25" s="782">
        <f t="shared" si="8"/>
        <v>4.4494395549153909</v>
      </c>
      <c r="U25" s="777">
        <f t="shared" si="15"/>
        <v>2.41859389213232E-3</v>
      </c>
      <c r="V25" s="783">
        <f t="shared" si="2"/>
        <v>3451.4459204271679</v>
      </c>
      <c r="W25" s="778">
        <f t="shared" si="16"/>
        <v>964123.3334566002</v>
      </c>
      <c r="X25" s="784">
        <v>11345252.8533</v>
      </c>
      <c r="Y25" s="782">
        <f t="shared" si="9"/>
        <v>20.787324183030599</v>
      </c>
      <c r="Z25" s="782">
        <f t="shared" si="17"/>
        <v>3.2095950075651841E-3</v>
      </c>
      <c r="AA25" s="783">
        <f t="shared" si="3"/>
        <v>738.76752316858756</v>
      </c>
      <c r="AB25" s="692">
        <f t="shared" si="18"/>
        <v>754196.12970431987</v>
      </c>
      <c r="AC25" s="786">
        <f t="shared" si="19"/>
        <v>1718319.46316092</v>
      </c>
      <c r="AD25" s="787">
        <f t="shared" si="4"/>
        <v>111.89161054639057</v>
      </c>
      <c r="AE25" s="788">
        <v>5695.9823999999999</v>
      </c>
      <c r="AF25" s="774">
        <f t="shared" si="20"/>
        <v>5.9243642477137736E-3</v>
      </c>
      <c r="AG25" s="692">
        <f t="shared" si="21"/>
        <v>745777.10005680786</v>
      </c>
      <c r="AH25" s="786">
        <f t="shared" si="22"/>
        <v>745777.10005680786</v>
      </c>
      <c r="AI25" s="692">
        <f t="shared" si="5"/>
        <v>48.562681517015555</v>
      </c>
      <c r="AJ25" s="789">
        <v>1964</v>
      </c>
      <c r="AK25" s="777">
        <f t="shared" si="23"/>
        <v>2.6107092249490222E-3</v>
      </c>
      <c r="AL25" s="692">
        <f t="shared" si="24"/>
        <v>54774.011001135208</v>
      </c>
      <c r="AM25" s="790">
        <v>7.666666666666667</v>
      </c>
      <c r="AN25" s="791">
        <f t="shared" si="25"/>
        <v>1.107099879663056E-3</v>
      </c>
      <c r="AO25" s="778">
        <f t="shared" si="26"/>
        <v>69682.560288808629</v>
      </c>
      <c r="AP25" s="768">
        <v>82</v>
      </c>
      <c r="AQ25" s="792">
        <f t="shared" si="27"/>
        <v>1.1083327701561128E-3</v>
      </c>
      <c r="AR25" s="793">
        <f t="shared" si="28"/>
        <v>93013.547070352099</v>
      </c>
      <c r="AS25" s="794">
        <v>19.722222222222225</v>
      </c>
      <c r="AT25" s="791">
        <f t="shared" si="29"/>
        <v>7.9095856379749201E-4</v>
      </c>
      <c r="AU25" s="795">
        <f t="shared" si="30"/>
        <v>66378.856229355675</v>
      </c>
      <c r="AV25" s="796">
        <v>9</v>
      </c>
      <c r="AW25" s="791">
        <f t="shared" si="31"/>
        <v>1.1460880195599022E-4</v>
      </c>
      <c r="AX25" s="795">
        <f t="shared" si="32"/>
        <v>7213.6533465770171</v>
      </c>
      <c r="AY25" s="786">
        <f t="shared" si="33"/>
        <v>291062.62793622864</v>
      </c>
      <c r="AZ25" s="787">
        <f t="shared" si="6"/>
        <v>18.953091615304334</v>
      </c>
      <c r="BA25" s="797">
        <f t="shared" si="10"/>
        <v>2975617.5808105217</v>
      </c>
      <c r="BB25" s="775">
        <v>2081010</v>
      </c>
      <c r="BC25" s="775">
        <f t="shared" si="34"/>
        <v>0</v>
      </c>
      <c r="BD25" s="775">
        <f t="shared" si="35"/>
        <v>894607.58081052173</v>
      </c>
      <c r="BE25" s="798">
        <f t="shared" si="36"/>
        <v>1.3920102659266888E-3</v>
      </c>
      <c r="BF25" s="775">
        <f t="shared" si="37"/>
        <v>-1842.8574702614953</v>
      </c>
      <c r="BG25" s="797">
        <f t="shared" si="38"/>
        <v>2973774.7233402603</v>
      </c>
      <c r="BH25" s="799">
        <v>7.5</v>
      </c>
      <c r="BI25" s="692">
        <f t="shared" si="47"/>
        <v>0</v>
      </c>
      <c r="BJ25" s="800">
        <v>1500</v>
      </c>
      <c r="BK25" s="778">
        <f t="shared" si="39"/>
        <v>0</v>
      </c>
      <c r="BL25" s="786">
        <f t="shared" si="46"/>
        <v>2973774.7233402603</v>
      </c>
      <c r="BM25" s="692">
        <f t="shared" si="40"/>
        <v>2973774.7233402603</v>
      </c>
      <c r="BN25" s="801">
        <f t="shared" si="41"/>
        <v>1.4530315281566228E-3</v>
      </c>
      <c r="BO25" s="787">
        <f t="shared" si="42"/>
        <v>7182.089651314006</v>
      </c>
      <c r="BP25" s="802">
        <f t="shared" si="43"/>
        <v>2980957</v>
      </c>
      <c r="BQ25" s="803">
        <f t="shared" si="7"/>
        <v>194.11063358728919</v>
      </c>
      <c r="BR25" s="682"/>
      <c r="BS25" s="618"/>
    </row>
    <row r="26" spans="1:71" ht="15.75">
      <c r="A26" s="766" t="s">
        <v>3467</v>
      </c>
      <c r="B26" s="767" t="s">
        <v>3468</v>
      </c>
      <c r="C26" s="768">
        <v>17167</v>
      </c>
      <c r="D26" s="769">
        <v>0</v>
      </c>
      <c r="E26" s="770">
        <v>0</v>
      </c>
      <c r="F26" s="771">
        <v>0</v>
      </c>
      <c r="G26" s="770">
        <v>0</v>
      </c>
      <c r="H26" s="771">
        <v>0</v>
      </c>
      <c r="I26" s="770">
        <f t="shared" si="44"/>
        <v>0</v>
      </c>
      <c r="J26" s="772">
        <f t="shared" si="11"/>
        <v>0</v>
      </c>
      <c r="K26" s="773">
        <v>10163</v>
      </c>
      <c r="L26" s="774">
        <f t="shared" si="12"/>
        <v>3.6678685976962045E-3</v>
      </c>
      <c r="M26" s="775">
        <f t="shared" si="45"/>
        <v>307815.01517060481</v>
      </c>
      <c r="N26" s="806">
        <v>227</v>
      </c>
      <c r="O26" s="777">
        <f t="shared" si="13"/>
        <v>2.5815490886676816E-4</v>
      </c>
      <c r="P26" s="778">
        <f t="shared" si="14"/>
        <v>21664.886588113273</v>
      </c>
      <c r="Q26" s="786">
        <f t="shared" si="0"/>
        <v>329479.90175871807</v>
      </c>
      <c r="R26" s="692">
        <f t="shared" si="1"/>
        <v>19.192631313492054</v>
      </c>
      <c r="S26" s="807">
        <v>64037998.93</v>
      </c>
      <c r="T26" s="782">
        <f t="shared" si="8"/>
        <v>4.6020471270837691</v>
      </c>
      <c r="U26" s="777">
        <f t="shared" si="15"/>
        <v>2.5015472028547532E-3</v>
      </c>
      <c r="V26" s="783">
        <f t="shared" si="2"/>
        <v>3730.296436768218</v>
      </c>
      <c r="W26" s="778">
        <f t="shared" si="16"/>
        <v>997190.98599435738</v>
      </c>
      <c r="X26" s="784">
        <v>23647829.576099999</v>
      </c>
      <c r="Y26" s="782">
        <f t="shared" si="9"/>
        <v>12.462280652506415</v>
      </c>
      <c r="Z26" s="782">
        <f t="shared" si="17"/>
        <v>1.9241954093260939E-3</v>
      </c>
      <c r="AA26" s="783">
        <f t="shared" si="3"/>
        <v>1377.5167225549019</v>
      </c>
      <c r="AB26" s="692">
        <f t="shared" si="18"/>
        <v>452150.7315059863</v>
      </c>
      <c r="AC26" s="786">
        <f t="shared" si="19"/>
        <v>1449341.7175003437</v>
      </c>
      <c r="AD26" s="787">
        <f t="shared" si="4"/>
        <v>84.426033523640925</v>
      </c>
      <c r="AE26" s="788">
        <v>2522.6523000000002</v>
      </c>
      <c r="AF26" s="774">
        <f t="shared" si="20"/>
        <v>2.6237986787903214E-3</v>
      </c>
      <c r="AG26" s="692">
        <f t="shared" si="21"/>
        <v>330291.80651008274</v>
      </c>
      <c r="AH26" s="786">
        <f t="shared" si="22"/>
        <v>330291.80651008274</v>
      </c>
      <c r="AI26" s="692">
        <f t="shared" si="5"/>
        <v>19.239925817561762</v>
      </c>
      <c r="AJ26" s="789">
        <v>1532</v>
      </c>
      <c r="AK26" s="777">
        <f t="shared" si="23"/>
        <v>2.0364595379948583E-3</v>
      </c>
      <c r="AL26" s="692">
        <f t="shared" si="24"/>
        <v>42725.959701496504</v>
      </c>
      <c r="AM26" s="790">
        <v>9.3333333333333339</v>
      </c>
      <c r="AN26" s="791">
        <f t="shared" si="25"/>
        <v>1.347773766546329E-3</v>
      </c>
      <c r="AO26" s="778">
        <f t="shared" si="26"/>
        <v>84830.942960288769</v>
      </c>
      <c r="AP26" s="768">
        <v>217</v>
      </c>
      <c r="AQ26" s="792">
        <f t="shared" si="27"/>
        <v>2.9330269649253228E-3</v>
      </c>
      <c r="AR26" s="793">
        <f t="shared" si="28"/>
        <v>246145.60627154153</v>
      </c>
      <c r="AS26" s="794">
        <v>15.777777777777777</v>
      </c>
      <c r="AT26" s="791">
        <f t="shared" si="29"/>
        <v>6.3276685103799343E-4</v>
      </c>
      <c r="AU26" s="795">
        <f t="shared" si="30"/>
        <v>53103.084983484528</v>
      </c>
      <c r="AV26" s="796">
        <v>88</v>
      </c>
      <c r="AW26" s="791">
        <f t="shared" si="31"/>
        <v>1.1206193969030154E-3</v>
      </c>
      <c r="AX26" s="795">
        <f t="shared" si="32"/>
        <v>70533.499388753058</v>
      </c>
      <c r="AY26" s="786">
        <f t="shared" si="33"/>
        <v>497339.09330556443</v>
      </c>
      <c r="AZ26" s="787">
        <f t="shared" si="6"/>
        <v>28.970646781940026</v>
      </c>
      <c r="BA26" s="797">
        <f t="shared" si="10"/>
        <v>2606452.5190747092</v>
      </c>
      <c r="BB26" s="775">
        <v>1965992</v>
      </c>
      <c r="BC26" s="775">
        <f t="shared" si="34"/>
        <v>0</v>
      </c>
      <c r="BD26" s="775">
        <f t="shared" si="35"/>
        <v>640460.51907470915</v>
      </c>
      <c r="BE26" s="798">
        <f t="shared" si="36"/>
        <v>9.9655719065671212E-4</v>
      </c>
      <c r="BF26" s="775">
        <f t="shared" si="37"/>
        <v>-1319.3242236054402</v>
      </c>
      <c r="BG26" s="797">
        <f t="shared" si="38"/>
        <v>2605133.1948511037</v>
      </c>
      <c r="BH26" s="799">
        <v>6.5</v>
      </c>
      <c r="BI26" s="692">
        <f t="shared" si="47"/>
        <v>0</v>
      </c>
      <c r="BJ26" s="800">
        <v>1200</v>
      </c>
      <c r="BK26" s="778">
        <f t="shared" si="39"/>
        <v>0</v>
      </c>
      <c r="BL26" s="786">
        <f t="shared" si="46"/>
        <v>2605133.1948511037</v>
      </c>
      <c r="BM26" s="692">
        <f t="shared" si="40"/>
        <v>2605133.1948511037</v>
      </c>
      <c r="BN26" s="801">
        <f t="shared" si="41"/>
        <v>1.2729076743628383E-3</v>
      </c>
      <c r="BO26" s="787">
        <f t="shared" si="42"/>
        <v>6291.7678370803287</v>
      </c>
      <c r="BP26" s="802">
        <f t="shared" si="43"/>
        <v>2611425</v>
      </c>
      <c r="BQ26" s="803">
        <f t="shared" si="7"/>
        <v>152.11889089532241</v>
      </c>
      <c r="BR26" s="682"/>
      <c r="BS26" s="618"/>
    </row>
    <row r="27" spans="1:71" ht="15.75">
      <c r="A27" s="766" t="s">
        <v>3469</v>
      </c>
      <c r="B27" s="767" t="s">
        <v>3470</v>
      </c>
      <c r="C27" s="768">
        <v>24244</v>
      </c>
      <c r="D27" s="769">
        <v>0</v>
      </c>
      <c r="E27" s="770">
        <v>0</v>
      </c>
      <c r="F27" s="771">
        <v>0</v>
      </c>
      <c r="G27" s="770">
        <v>0</v>
      </c>
      <c r="H27" s="771">
        <v>0</v>
      </c>
      <c r="I27" s="770">
        <f t="shared" si="44"/>
        <v>0</v>
      </c>
      <c r="J27" s="772">
        <f t="shared" si="11"/>
        <v>0</v>
      </c>
      <c r="K27" s="773">
        <v>9363</v>
      </c>
      <c r="L27" s="774">
        <f t="shared" si="12"/>
        <v>3.3791452996388433E-3</v>
      </c>
      <c r="M27" s="775">
        <f t="shared" si="45"/>
        <v>283584.76700210298</v>
      </c>
      <c r="N27" s="806">
        <v>1017</v>
      </c>
      <c r="O27" s="777">
        <f t="shared" si="13"/>
        <v>1.1565794815749041E-3</v>
      </c>
      <c r="P27" s="778">
        <f t="shared" si="14"/>
        <v>97062.509515908372</v>
      </c>
      <c r="Q27" s="786">
        <f t="shared" si="0"/>
        <v>380647.27651801135</v>
      </c>
      <c r="R27" s="692">
        <f t="shared" si="1"/>
        <v>15.700679612193175</v>
      </c>
      <c r="S27" s="807">
        <v>111942144.63000001</v>
      </c>
      <c r="T27" s="782">
        <f t="shared" si="8"/>
        <v>5.2506724606960926</v>
      </c>
      <c r="U27" s="777">
        <f t="shared" si="15"/>
        <v>2.8541222296182946E-3</v>
      </c>
      <c r="V27" s="783">
        <f t="shared" si="2"/>
        <v>4617.3133406203597</v>
      </c>
      <c r="W27" s="778">
        <f t="shared" si="16"/>
        <v>1137737.8596148496</v>
      </c>
      <c r="X27" s="784">
        <v>33634395.514600001</v>
      </c>
      <c r="Y27" s="782">
        <f t="shared" si="9"/>
        <v>17.475311418778446</v>
      </c>
      <c r="Z27" s="782">
        <f t="shared" si="17"/>
        <v>2.6982151137636681E-3</v>
      </c>
      <c r="AA27" s="783">
        <f t="shared" si="3"/>
        <v>1387.3286386157399</v>
      </c>
      <c r="AB27" s="692">
        <f t="shared" si="18"/>
        <v>634031.20677646145</v>
      </c>
      <c r="AC27" s="786">
        <f t="shared" si="19"/>
        <v>1771769.0663913111</v>
      </c>
      <c r="AD27" s="787">
        <f t="shared" si="4"/>
        <v>73.080723741598376</v>
      </c>
      <c r="AE27" s="788">
        <v>1725.2683999999999</v>
      </c>
      <c r="AF27" s="774">
        <f t="shared" si="20"/>
        <v>1.7944434706593099E-3</v>
      </c>
      <c r="AG27" s="692">
        <f t="shared" si="21"/>
        <v>225890.03508361414</v>
      </c>
      <c r="AH27" s="786">
        <f t="shared" si="22"/>
        <v>225890.03508361414</v>
      </c>
      <c r="AI27" s="692">
        <f t="shared" si="5"/>
        <v>9.3173583189083544</v>
      </c>
      <c r="AJ27" s="789">
        <v>1698</v>
      </c>
      <c r="AK27" s="777">
        <f t="shared" si="23"/>
        <v>2.2571202973337267E-3</v>
      </c>
      <c r="AL27" s="692">
        <f t="shared" si="24"/>
        <v>47355.534969413224</v>
      </c>
      <c r="AM27" s="790">
        <v>19</v>
      </c>
      <c r="AN27" s="791">
        <f t="shared" si="25"/>
        <v>2.7436823104693125E-3</v>
      </c>
      <c r="AO27" s="778">
        <f t="shared" si="26"/>
        <v>172691.56245487355</v>
      </c>
      <c r="AP27" s="768">
        <v>175</v>
      </c>
      <c r="AQ27" s="792">
        <f t="shared" si="27"/>
        <v>2.3653443265526796E-3</v>
      </c>
      <c r="AR27" s="793">
        <f t="shared" si="28"/>
        <v>198504.52118672704</v>
      </c>
      <c r="AS27" s="794">
        <v>69.527777777777771</v>
      </c>
      <c r="AT27" s="791">
        <f t="shared" si="29"/>
        <v>2.7884074439227073E-3</v>
      </c>
      <c r="AU27" s="795">
        <f t="shared" si="30"/>
        <v>234008.8410451792</v>
      </c>
      <c r="AV27" s="796">
        <v>171</v>
      </c>
      <c r="AW27" s="791">
        <f t="shared" si="31"/>
        <v>2.1775672371638142E-3</v>
      </c>
      <c r="AX27" s="795">
        <f t="shared" si="32"/>
        <v>137059.41358496333</v>
      </c>
      <c r="AY27" s="786">
        <f t="shared" si="33"/>
        <v>789619.87324115634</v>
      </c>
      <c r="AZ27" s="787">
        <f t="shared" si="6"/>
        <v>32.569702740519567</v>
      </c>
      <c r="BA27" s="797">
        <f t="shared" si="10"/>
        <v>3167926.2512340932</v>
      </c>
      <c r="BB27" s="775">
        <v>2688514</v>
      </c>
      <c r="BC27" s="775">
        <f t="shared" si="34"/>
        <v>0</v>
      </c>
      <c r="BD27" s="775">
        <f t="shared" si="35"/>
        <v>479412.25123409322</v>
      </c>
      <c r="BE27" s="798">
        <f t="shared" si="36"/>
        <v>7.4596592924493341E-4</v>
      </c>
      <c r="BF27" s="775">
        <f t="shared" si="37"/>
        <v>-987.57093889276211</v>
      </c>
      <c r="BG27" s="797">
        <f t="shared" si="38"/>
        <v>3166938.6802952006</v>
      </c>
      <c r="BH27" s="799">
        <v>7.5</v>
      </c>
      <c r="BI27" s="692">
        <f t="shared" si="47"/>
        <v>0</v>
      </c>
      <c r="BJ27" s="800">
        <v>1100</v>
      </c>
      <c r="BK27" s="778">
        <f t="shared" si="39"/>
        <v>0</v>
      </c>
      <c r="BL27" s="786">
        <f t="shared" si="46"/>
        <v>3166938.6802952006</v>
      </c>
      <c r="BM27" s="692">
        <f t="shared" si="40"/>
        <v>3166938.6802952006</v>
      </c>
      <c r="BN27" s="801">
        <f t="shared" si="41"/>
        <v>1.5474143734192773E-3</v>
      </c>
      <c r="BO27" s="787">
        <f t="shared" si="42"/>
        <v>7648.6081287777752</v>
      </c>
      <c r="BP27" s="802">
        <f t="shared" si="43"/>
        <v>3174587</v>
      </c>
      <c r="BQ27" s="803">
        <f t="shared" si="7"/>
        <v>130.94320244184129</v>
      </c>
      <c r="BR27" s="682"/>
      <c r="BS27" s="618"/>
    </row>
    <row r="28" spans="1:71" ht="15.75">
      <c r="A28" s="805" t="s">
        <v>3471</v>
      </c>
      <c r="B28" s="767" t="s">
        <v>3472</v>
      </c>
      <c r="C28" s="768">
        <v>9962</v>
      </c>
      <c r="D28" s="769">
        <v>0</v>
      </c>
      <c r="E28" s="770">
        <v>0</v>
      </c>
      <c r="F28" s="771">
        <v>0</v>
      </c>
      <c r="G28" s="770">
        <v>0</v>
      </c>
      <c r="H28" s="771">
        <v>0</v>
      </c>
      <c r="I28" s="770">
        <f t="shared" si="44"/>
        <v>0</v>
      </c>
      <c r="J28" s="772">
        <f t="shared" si="11"/>
        <v>0</v>
      </c>
      <c r="K28" s="773">
        <v>1932</v>
      </c>
      <c r="L28" s="774">
        <f t="shared" si="12"/>
        <v>6.972667648085277E-4</v>
      </c>
      <c r="M28" s="775">
        <f t="shared" si="45"/>
        <v>58516.049326931854</v>
      </c>
      <c r="N28" s="806">
        <v>654.5</v>
      </c>
      <c r="O28" s="777">
        <f t="shared" si="13"/>
        <v>7.4432769979427215E-4</v>
      </c>
      <c r="P28" s="778">
        <f t="shared" si="14"/>
        <v>62465.498995242902</v>
      </c>
      <c r="Q28" s="786">
        <f t="shared" si="0"/>
        <v>120981.54832217476</v>
      </c>
      <c r="R28" s="692">
        <f t="shared" si="1"/>
        <v>12.144303184317884</v>
      </c>
      <c r="S28" s="807">
        <v>39560300.899999999</v>
      </c>
      <c r="T28" s="782">
        <f t="shared" si="8"/>
        <v>2.5086119605323831</v>
      </c>
      <c r="U28" s="777">
        <f t="shared" si="15"/>
        <v>1.3636129877910165E-3</v>
      </c>
      <c r="V28" s="783">
        <f t="shared" si="2"/>
        <v>3971.1203473198152</v>
      </c>
      <c r="W28" s="778">
        <f t="shared" si="16"/>
        <v>543576.62260310666</v>
      </c>
      <c r="X28" s="784">
        <v>6493780.2926000003</v>
      </c>
      <c r="Y28" s="782">
        <f t="shared" si="9"/>
        <v>15.282537986862717</v>
      </c>
      <c r="Z28" s="782">
        <f t="shared" si="17"/>
        <v>2.359647504107415E-3</v>
      </c>
      <c r="AA28" s="783">
        <f t="shared" si="3"/>
        <v>651.85507855852245</v>
      </c>
      <c r="AB28" s="692">
        <f t="shared" si="18"/>
        <v>554474.01023168745</v>
      </c>
      <c r="AC28" s="786">
        <f t="shared" si="19"/>
        <v>1098050.632834794</v>
      </c>
      <c r="AD28" s="787">
        <f t="shared" si="4"/>
        <v>110.22391415727705</v>
      </c>
      <c r="AE28" s="788">
        <v>1132.2949000000001</v>
      </c>
      <c r="AF28" s="774">
        <f t="shared" si="20"/>
        <v>1.1776945489558822E-3</v>
      </c>
      <c r="AG28" s="692">
        <f t="shared" si="21"/>
        <v>148251.79356788626</v>
      </c>
      <c r="AH28" s="786">
        <f t="shared" si="22"/>
        <v>148251.79356788626</v>
      </c>
      <c r="AI28" s="692">
        <f t="shared" si="5"/>
        <v>14.881729930524619</v>
      </c>
      <c r="AJ28" s="789">
        <v>935</v>
      </c>
      <c r="AK28" s="777">
        <f t="shared" si="23"/>
        <v>1.2428783733845904E-3</v>
      </c>
      <c r="AL28" s="692">
        <f t="shared" si="24"/>
        <v>26076.222141579132</v>
      </c>
      <c r="AM28" s="790">
        <v>4.333333333333333</v>
      </c>
      <c r="AN28" s="791">
        <f t="shared" si="25"/>
        <v>6.257521058965098E-4</v>
      </c>
      <c r="AO28" s="778">
        <f t="shared" si="26"/>
        <v>39385.794945848349</v>
      </c>
      <c r="AP28" s="768">
        <v>80</v>
      </c>
      <c r="AQ28" s="792">
        <f t="shared" si="27"/>
        <v>1.0813002635669392E-3</v>
      </c>
      <c r="AR28" s="793">
        <f t="shared" si="28"/>
        <v>90744.923971075215</v>
      </c>
      <c r="AS28" s="794">
        <v>7.9722222222222223</v>
      </c>
      <c r="AT28" s="791">
        <f t="shared" si="29"/>
        <v>3.1972550395757774E-4</v>
      </c>
      <c r="AU28" s="795">
        <f t="shared" si="30"/>
        <v>26832.016532147998</v>
      </c>
      <c r="AV28" s="796">
        <v>9</v>
      </c>
      <c r="AW28" s="791">
        <f t="shared" si="31"/>
        <v>1.1460880195599022E-4</v>
      </c>
      <c r="AX28" s="795">
        <f t="shared" si="32"/>
        <v>7213.6533465770171</v>
      </c>
      <c r="AY28" s="786">
        <f t="shared" si="33"/>
        <v>190252.61093722773</v>
      </c>
      <c r="AZ28" s="787">
        <f t="shared" si="6"/>
        <v>19.097832858585399</v>
      </c>
      <c r="BA28" s="797">
        <f t="shared" si="10"/>
        <v>1557536.5856620828</v>
      </c>
      <c r="BB28" s="775">
        <v>1133071</v>
      </c>
      <c r="BC28" s="775">
        <f t="shared" si="34"/>
        <v>0</v>
      </c>
      <c r="BD28" s="775">
        <f t="shared" si="35"/>
        <v>424465.58566208277</v>
      </c>
      <c r="BE28" s="798">
        <f t="shared" si="36"/>
        <v>6.6046886416821907E-4</v>
      </c>
      <c r="BF28" s="775">
        <f t="shared" si="37"/>
        <v>-874.38290506948704</v>
      </c>
      <c r="BG28" s="797">
        <f t="shared" si="38"/>
        <v>1556662.2027570133</v>
      </c>
      <c r="BH28" s="799">
        <v>8</v>
      </c>
      <c r="BI28" s="692">
        <f t="shared" si="47"/>
        <v>0</v>
      </c>
      <c r="BJ28" s="800">
        <v>1200</v>
      </c>
      <c r="BK28" s="778">
        <f t="shared" si="39"/>
        <v>0</v>
      </c>
      <c r="BL28" s="786">
        <f t="shared" si="46"/>
        <v>1556662.2027570133</v>
      </c>
      <c r="BM28" s="692">
        <f t="shared" si="40"/>
        <v>1556662.2027570133</v>
      </c>
      <c r="BN28" s="801">
        <f t="shared" si="41"/>
        <v>7.6060881193954269E-4</v>
      </c>
      <c r="BO28" s="787">
        <f t="shared" si="42"/>
        <v>3759.5610081905929</v>
      </c>
      <c r="BP28" s="802">
        <f t="shared" si="43"/>
        <v>1560422</v>
      </c>
      <c r="BQ28" s="803">
        <f t="shared" si="7"/>
        <v>156.63742220437663</v>
      </c>
      <c r="BR28" s="682"/>
      <c r="BS28" s="618"/>
    </row>
    <row r="29" spans="1:71" ht="15.75">
      <c r="A29" s="805" t="s">
        <v>3473</v>
      </c>
      <c r="B29" s="767" t="s">
        <v>3474</v>
      </c>
      <c r="C29" s="768">
        <v>6079</v>
      </c>
      <c r="D29" s="769">
        <v>0</v>
      </c>
      <c r="E29" s="770">
        <v>0</v>
      </c>
      <c r="F29" s="771">
        <v>0</v>
      </c>
      <c r="G29" s="770">
        <v>0</v>
      </c>
      <c r="H29" s="771">
        <v>0</v>
      </c>
      <c r="I29" s="770">
        <f t="shared" si="44"/>
        <v>0</v>
      </c>
      <c r="J29" s="772">
        <f t="shared" si="11"/>
        <v>0</v>
      </c>
      <c r="K29" s="773">
        <v>1636</v>
      </c>
      <c r="L29" s="774">
        <f t="shared" si="12"/>
        <v>5.9043914452730397E-4</v>
      </c>
      <c r="M29" s="775">
        <f t="shared" si="45"/>
        <v>49550.857504586187</v>
      </c>
      <c r="N29" s="806">
        <v>0</v>
      </c>
      <c r="O29" s="777">
        <f t="shared" si="13"/>
        <v>0</v>
      </c>
      <c r="P29" s="778">
        <f t="shared" si="14"/>
        <v>0</v>
      </c>
      <c r="Q29" s="786">
        <f t="shared" si="0"/>
        <v>49550.857504586187</v>
      </c>
      <c r="R29" s="692">
        <f t="shared" si="1"/>
        <v>8.1511527396917565</v>
      </c>
      <c r="S29" s="807">
        <v>21946872.110000007</v>
      </c>
      <c r="T29" s="782">
        <f t="shared" si="8"/>
        <v>1.6838044535358614</v>
      </c>
      <c r="U29" s="777">
        <f t="shared" si="15"/>
        <v>9.1527014056593317E-4</v>
      </c>
      <c r="V29" s="783">
        <f t="shared" si="2"/>
        <v>3610.2767083401886</v>
      </c>
      <c r="W29" s="778">
        <f t="shared" si="16"/>
        <v>364853.85240005434</v>
      </c>
      <c r="X29" s="784">
        <v>4660387.0836000005</v>
      </c>
      <c r="Y29" s="782">
        <f t="shared" si="9"/>
        <v>7.9294359754027184</v>
      </c>
      <c r="Z29" s="782">
        <f t="shared" si="17"/>
        <v>1.2243171798050016E-3</v>
      </c>
      <c r="AA29" s="783">
        <f t="shared" si="3"/>
        <v>766.63712511926315</v>
      </c>
      <c r="AB29" s="692">
        <f t="shared" si="18"/>
        <v>287692.14694159111</v>
      </c>
      <c r="AC29" s="786">
        <f t="shared" si="19"/>
        <v>652545.99934164551</v>
      </c>
      <c r="AD29" s="787">
        <f t="shared" si="4"/>
        <v>107.34429994105042</v>
      </c>
      <c r="AE29" s="788">
        <v>3123.6473000000001</v>
      </c>
      <c r="AF29" s="774">
        <f t="shared" si="20"/>
        <v>3.2488907245548479E-3</v>
      </c>
      <c r="AG29" s="692">
        <f t="shared" si="21"/>
        <v>408980.30601258139</v>
      </c>
      <c r="AH29" s="786">
        <f t="shared" si="22"/>
        <v>408980.30601258139</v>
      </c>
      <c r="AI29" s="692">
        <f t="shared" si="5"/>
        <v>67.277563088103534</v>
      </c>
      <c r="AJ29" s="789">
        <v>757</v>
      </c>
      <c r="AK29" s="777">
        <f t="shared" si="23"/>
        <v>1.0062662338525508E-3</v>
      </c>
      <c r="AL29" s="692">
        <f t="shared" si="24"/>
        <v>21111.978782005783</v>
      </c>
      <c r="AM29" s="790">
        <v>2.3333333333333335</v>
      </c>
      <c r="AN29" s="791">
        <f t="shared" si="25"/>
        <v>3.3694344163658226E-4</v>
      </c>
      <c r="AO29" s="778">
        <f t="shared" si="26"/>
        <v>21207.735740072192</v>
      </c>
      <c r="AP29" s="768">
        <v>48</v>
      </c>
      <c r="AQ29" s="792">
        <f t="shared" si="27"/>
        <v>6.4878015814016357E-4</v>
      </c>
      <c r="AR29" s="793">
        <f t="shared" si="28"/>
        <v>54446.954382645134</v>
      </c>
      <c r="AS29" s="794">
        <v>8.4722222222222214</v>
      </c>
      <c r="AT29" s="791">
        <f t="shared" si="29"/>
        <v>3.3977797458906341E-4</v>
      </c>
      <c r="AU29" s="795">
        <f t="shared" si="30"/>
        <v>28514.860774582361</v>
      </c>
      <c r="AV29" s="796">
        <v>46</v>
      </c>
      <c r="AW29" s="791">
        <f t="shared" si="31"/>
        <v>5.8577832110839445E-4</v>
      </c>
      <c r="AX29" s="795">
        <f t="shared" si="32"/>
        <v>36869.783771393639</v>
      </c>
      <c r="AY29" s="786">
        <f t="shared" si="33"/>
        <v>162151.31345069909</v>
      </c>
      <c r="AZ29" s="787">
        <f t="shared" si="6"/>
        <v>26.674011095689931</v>
      </c>
      <c r="BA29" s="797">
        <f t="shared" si="10"/>
        <v>1273228.4763095123</v>
      </c>
      <c r="BB29" s="775">
        <v>777765</v>
      </c>
      <c r="BC29" s="775">
        <f t="shared" si="34"/>
        <v>0</v>
      </c>
      <c r="BD29" s="775">
        <f t="shared" si="35"/>
        <v>495463.47630951228</v>
      </c>
      <c r="BE29" s="798">
        <f t="shared" si="36"/>
        <v>7.7094165107532498E-4</v>
      </c>
      <c r="BF29" s="775">
        <f t="shared" si="37"/>
        <v>-1020.6358498901457</v>
      </c>
      <c r="BG29" s="797">
        <f t="shared" si="38"/>
        <v>1272207.8404596222</v>
      </c>
      <c r="BH29" s="799">
        <v>7.6</v>
      </c>
      <c r="BI29" s="692">
        <f t="shared" si="47"/>
        <v>0</v>
      </c>
      <c r="BJ29" s="800">
        <v>1400</v>
      </c>
      <c r="BK29" s="778">
        <f t="shared" si="39"/>
        <v>0</v>
      </c>
      <c r="BL29" s="786">
        <f t="shared" si="46"/>
        <v>1272207.8404596222</v>
      </c>
      <c r="BM29" s="692">
        <f t="shared" si="40"/>
        <v>1272207.8404596222</v>
      </c>
      <c r="BN29" s="801">
        <f t="shared" si="41"/>
        <v>6.216200871058279E-4</v>
      </c>
      <c r="BO29" s="787">
        <f t="shared" si="42"/>
        <v>3072.5631950433799</v>
      </c>
      <c r="BP29" s="802">
        <f t="shared" si="43"/>
        <v>1275280</v>
      </c>
      <c r="BQ29" s="803">
        <f t="shared" si="7"/>
        <v>209.78450403026812</v>
      </c>
      <c r="BR29" s="682"/>
      <c r="BS29" s="618"/>
    </row>
    <row r="30" spans="1:71" ht="15.75">
      <c r="A30" s="766" t="s">
        <v>3475</v>
      </c>
      <c r="B30" s="767" t="s">
        <v>3476</v>
      </c>
      <c r="C30" s="768">
        <v>43661</v>
      </c>
      <c r="D30" s="769">
        <v>0</v>
      </c>
      <c r="E30" s="770">
        <v>0</v>
      </c>
      <c r="F30" s="771">
        <v>0</v>
      </c>
      <c r="G30" s="770">
        <v>0</v>
      </c>
      <c r="H30" s="771">
        <v>0</v>
      </c>
      <c r="I30" s="770">
        <f t="shared" si="44"/>
        <v>0</v>
      </c>
      <c r="J30" s="772">
        <f t="shared" si="11"/>
        <v>0</v>
      </c>
      <c r="K30" s="773">
        <v>13712</v>
      </c>
      <c r="L30" s="774">
        <f t="shared" si="12"/>
        <v>4.9487173287031741E-3</v>
      </c>
      <c r="M30" s="775">
        <f t="shared" si="45"/>
        <v>415306.45360812091</v>
      </c>
      <c r="N30" s="806">
        <v>3668</v>
      </c>
      <c r="O30" s="777">
        <f t="shared" si="13"/>
        <v>4.1714194084727122E-3</v>
      </c>
      <c r="P30" s="778">
        <f t="shared" si="14"/>
        <v>350074.02645462332</v>
      </c>
      <c r="Q30" s="786">
        <f t="shared" si="0"/>
        <v>765380.48006274423</v>
      </c>
      <c r="R30" s="692">
        <f t="shared" si="1"/>
        <v>17.530072148204216</v>
      </c>
      <c r="S30" s="807">
        <v>121743316.13000003</v>
      </c>
      <c r="T30" s="782">
        <f t="shared" si="8"/>
        <v>15.658214196863439</v>
      </c>
      <c r="U30" s="777">
        <f t="shared" si="15"/>
        <v>8.5113778377766125E-3</v>
      </c>
      <c r="V30" s="783">
        <f t="shared" si="2"/>
        <v>2788.3767236206231</v>
      </c>
      <c r="W30" s="778">
        <f t="shared" si="16"/>
        <v>3392887.9089457612</v>
      </c>
      <c r="X30" s="784">
        <v>36100470.500100002</v>
      </c>
      <c r="Y30" s="782">
        <f t="shared" si="9"/>
        <v>52.804932860770315</v>
      </c>
      <c r="Z30" s="782">
        <f t="shared" si="17"/>
        <v>8.1531633120484753E-3</v>
      </c>
      <c r="AA30" s="783">
        <f t="shared" si="3"/>
        <v>826.8356313437622</v>
      </c>
      <c r="AB30" s="692">
        <f t="shared" si="18"/>
        <v>1915844.2732807409</v>
      </c>
      <c r="AC30" s="786">
        <f t="shared" si="19"/>
        <v>5308732.1822265023</v>
      </c>
      <c r="AD30" s="787">
        <f t="shared" si="4"/>
        <v>121.5897982690846</v>
      </c>
      <c r="AE30" s="788">
        <v>5027.0137000000004</v>
      </c>
      <c r="AF30" s="774">
        <f t="shared" si="20"/>
        <v>5.2285730793422639E-3</v>
      </c>
      <c r="AG30" s="692">
        <f t="shared" si="21"/>
        <v>658188.77866122697</v>
      </c>
      <c r="AH30" s="786">
        <f t="shared" si="22"/>
        <v>658188.77866122697</v>
      </c>
      <c r="AI30" s="692">
        <f t="shared" si="5"/>
        <v>15.074981760867296</v>
      </c>
      <c r="AJ30" s="789">
        <v>5611</v>
      </c>
      <c r="AK30" s="777">
        <f t="shared" si="23"/>
        <v>7.4585995219903067E-3</v>
      </c>
      <c r="AL30" s="692">
        <f t="shared" si="24"/>
        <v>156485.22185711286</v>
      </c>
      <c r="AM30" s="790">
        <v>61.666666666666664</v>
      </c>
      <c r="AN30" s="791">
        <f t="shared" si="25"/>
        <v>8.9049338146811024E-3</v>
      </c>
      <c r="AO30" s="778">
        <f t="shared" si="26"/>
        <v>560490.15884476504</v>
      </c>
      <c r="AP30" s="768">
        <v>586</v>
      </c>
      <c r="AQ30" s="792">
        <f t="shared" si="27"/>
        <v>7.9205244306278302E-3</v>
      </c>
      <c r="AR30" s="793">
        <f t="shared" si="28"/>
        <v>664706.56808812602</v>
      </c>
      <c r="AS30" s="794">
        <v>91.8611111111111</v>
      </c>
      <c r="AT30" s="791">
        <f t="shared" si="29"/>
        <v>3.6840844654624019E-3</v>
      </c>
      <c r="AU30" s="795">
        <f t="shared" si="30"/>
        <v>309175.88387391431</v>
      </c>
      <c r="AV30" s="796">
        <v>342</v>
      </c>
      <c r="AW30" s="791">
        <f t="shared" si="31"/>
        <v>4.3551344743276285E-3</v>
      </c>
      <c r="AX30" s="795">
        <f t="shared" si="32"/>
        <v>274118.82716992666</v>
      </c>
      <c r="AY30" s="786">
        <f t="shared" si="33"/>
        <v>1964976.659833845</v>
      </c>
      <c r="AZ30" s="787">
        <f t="shared" si="6"/>
        <v>45.00530587558336</v>
      </c>
      <c r="BA30" s="797">
        <f t="shared" si="10"/>
        <v>8697278.1007843185</v>
      </c>
      <c r="BB30" s="775">
        <v>8253445</v>
      </c>
      <c r="BC30" s="775">
        <f t="shared" si="34"/>
        <v>0</v>
      </c>
      <c r="BD30" s="775">
        <f t="shared" si="35"/>
        <v>443833.10078431852</v>
      </c>
      <c r="BE30" s="798">
        <f t="shared" si="36"/>
        <v>6.9060473653721549E-4</v>
      </c>
      <c r="BF30" s="775">
        <f t="shared" si="37"/>
        <v>-914.27924698409242</v>
      </c>
      <c r="BG30" s="797">
        <f t="shared" si="38"/>
        <v>8696363.8215373345</v>
      </c>
      <c r="BH30" s="799">
        <v>6.9</v>
      </c>
      <c r="BI30" s="692">
        <f t="shared" si="47"/>
        <v>0</v>
      </c>
      <c r="BJ30" s="800">
        <v>1290</v>
      </c>
      <c r="BK30" s="778">
        <f t="shared" si="39"/>
        <v>0</v>
      </c>
      <c r="BL30" s="786">
        <f t="shared" si="46"/>
        <v>8696363.8215373345</v>
      </c>
      <c r="BM30" s="692">
        <f t="shared" si="40"/>
        <v>8696363.8215373345</v>
      </c>
      <c r="BN30" s="801">
        <f t="shared" si="41"/>
        <v>4.2491755390337733E-3</v>
      </c>
      <c r="BO30" s="787">
        <f t="shared" si="42"/>
        <v>21002.957660683005</v>
      </c>
      <c r="BP30" s="802">
        <f t="shared" si="43"/>
        <v>8717367</v>
      </c>
      <c r="BQ30" s="803">
        <f t="shared" si="7"/>
        <v>199.66026888985593</v>
      </c>
      <c r="BR30" s="682"/>
      <c r="BS30" s="618"/>
    </row>
    <row r="31" spans="1:71" ht="15.75">
      <c r="A31" s="805" t="s">
        <v>3477</v>
      </c>
      <c r="B31" s="767" t="s">
        <v>3478</v>
      </c>
      <c r="C31" s="768">
        <v>10960</v>
      </c>
      <c r="D31" s="769">
        <v>0</v>
      </c>
      <c r="E31" s="770">
        <v>0</v>
      </c>
      <c r="F31" s="771">
        <v>0</v>
      </c>
      <c r="G31" s="770">
        <v>0</v>
      </c>
      <c r="H31" s="771">
        <v>0</v>
      </c>
      <c r="I31" s="770">
        <f t="shared" si="44"/>
        <v>0</v>
      </c>
      <c r="J31" s="772">
        <f t="shared" si="11"/>
        <v>0</v>
      </c>
      <c r="K31" s="773">
        <v>3246</v>
      </c>
      <c r="L31" s="774">
        <f t="shared" si="12"/>
        <v>1.1714947818677439E-3</v>
      </c>
      <c r="M31" s="775">
        <f t="shared" si="45"/>
        <v>98314.231943696082</v>
      </c>
      <c r="N31" s="806">
        <v>1159</v>
      </c>
      <c r="O31" s="777">
        <f t="shared" si="13"/>
        <v>1.3180684554034551E-3</v>
      </c>
      <c r="P31" s="778">
        <f t="shared" si="14"/>
        <v>110614.99363710698</v>
      </c>
      <c r="Q31" s="786">
        <f t="shared" si="0"/>
        <v>208929.22558080306</v>
      </c>
      <c r="R31" s="692">
        <f t="shared" si="1"/>
        <v>19.06288554569371</v>
      </c>
      <c r="S31" s="807">
        <v>38707445.710000008</v>
      </c>
      <c r="T31" s="782">
        <f t="shared" si="8"/>
        <v>3.1033202474780395</v>
      </c>
      <c r="U31" s="777">
        <f t="shared" si="15"/>
        <v>1.6868801796822413E-3</v>
      </c>
      <c r="V31" s="783">
        <f t="shared" si="2"/>
        <v>3531.7012509124097</v>
      </c>
      <c r="W31" s="778">
        <f t="shared" si="16"/>
        <v>672440.5230938762</v>
      </c>
      <c r="X31" s="784">
        <v>7120926.2977</v>
      </c>
      <c r="Y31" s="782">
        <f t="shared" si="9"/>
        <v>16.868816636790395</v>
      </c>
      <c r="Z31" s="782">
        <f t="shared" si="17"/>
        <v>2.6045713813023126E-3</v>
      </c>
      <c r="AA31" s="783">
        <f t="shared" si="3"/>
        <v>649.71955270985404</v>
      </c>
      <c r="AB31" s="692">
        <f t="shared" si="18"/>
        <v>612026.64220462216</v>
      </c>
      <c r="AC31" s="786">
        <f t="shared" si="19"/>
        <v>1284467.1652984982</v>
      </c>
      <c r="AD31" s="787">
        <f t="shared" si="4"/>
        <v>117.1959092425637</v>
      </c>
      <c r="AE31" s="788">
        <v>1793.1316999999999</v>
      </c>
      <c r="AF31" s="774">
        <f t="shared" si="20"/>
        <v>1.8650277667505118E-3</v>
      </c>
      <c r="AG31" s="692">
        <f t="shared" si="21"/>
        <v>234775.40226352069</v>
      </c>
      <c r="AH31" s="786">
        <f t="shared" si="22"/>
        <v>234775.40226352069</v>
      </c>
      <c r="AI31" s="692">
        <f t="shared" si="5"/>
        <v>21.421113345211744</v>
      </c>
      <c r="AJ31" s="789">
        <v>1359</v>
      </c>
      <c r="AK31" s="777">
        <f t="shared" si="23"/>
        <v>1.8064938068766401E-3</v>
      </c>
      <c r="AL31" s="692">
        <f t="shared" si="24"/>
        <v>37901.161380113415</v>
      </c>
      <c r="AM31" s="790">
        <v>3</v>
      </c>
      <c r="AN31" s="791">
        <f t="shared" si="25"/>
        <v>4.3321299638989148E-4</v>
      </c>
      <c r="AO31" s="778">
        <f t="shared" si="26"/>
        <v>27267.088808664244</v>
      </c>
      <c r="AP31" s="768">
        <v>114</v>
      </c>
      <c r="AQ31" s="792">
        <f t="shared" si="27"/>
        <v>1.5408528755828884E-3</v>
      </c>
      <c r="AR31" s="793">
        <f t="shared" si="28"/>
        <v>129311.51665878219</v>
      </c>
      <c r="AS31" s="794">
        <v>22.666666666666668</v>
      </c>
      <c r="AT31" s="791">
        <f t="shared" si="29"/>
        <v>9.0904533529401893E-4</v>
      </c>
      <c r="AU31" s="795">
        <f t="shared" si="30"/>
        <v>76288.938990358074</v>
      </c>
      <c r="AV31" s="796">
        <v>25</v>
      </c>
      <c r="AW31" s="791">
        <f t="shared" si="31"/>
        <v>3.1835778321108395E-4</v>
      </c>
      <c r="AX31" s="795">
        <f t="shared" si="32"/>
        <v>20037.925962713936</v>
      </c>
      <c r="AY31" s="786">
        <f t="shared" si="33"/>
        <v>290806.63180063182</v>
      </c>
      <c r="AZ31" s="787">
        <f t="shared" si="6"/>
        <v>26.533451806626992</v>
      </c>
      <c r="BA31" s="797">
        <f t="shared" si="10"/>
        <v>2018978.4249434539</v>
      </c>
      <c r="BB31" s="775">
        <v>1376286</v>
      </c>
      <c r="BC31" s="775">
        <f t="shared" si="34"/>
        <v>0</v>
      </c>
      <c r="BD31" s="775">
        <f t="shared" si="35"/>
        <v>642692.42494345387</v>
      </c>
      <c r="BE31" s="798">
        <f t="shared" si="36"/>
        <v>1.0000300383594554E-3</v>
      </c>
      <c r="BF31" s="775">
        <f t="shared" si="37"/>
        <v>-1323.9218645056101</v>
      </c>
      <c r="BG31" s="797">
        <f t="shared" si="38"/>
        <v>2017654.5030789482</v>
      </c>
      <c r="BH31" s="799">
        <v>8.1</v>
      </c>
      <c r="BI31" s="692">
        <f t="shared" si="47"/>
        <v>0</v>
      </c>
      <c r="BJ31" s="800">
        <v>1850</v>
      </c>
      <c r="BK31" s="778">
        <f t="shared" si="39"/>
        <v>0</v>
      </c>
      <c r="BL31" s="786">
        <f t="shared" si="46"/>
        <v>2017654.5030789482</v>
      </c>
      <c r="BM31" s="692">
        <f t="shared" si="40"/>
        <v>2017654.5030789482</v>
      </c>
      <c r="BN31" s="801">
        <f t="shared" si="41"/>
        <v>9.8585665648804688E-4</v>
      </c>
      <c r="BO31" s="787">
        <f t="shared" si="42"/>
        <v>4872.9230942596705</v>
      </c>
      <c r="BP31" s="802">
        <f t="shared" si="43"/>
        <v>2022527</v>
      </c>
      <c r="BQ31" s="803">
        <f t="shared" si="7"/>
        <v>184.53713503649635</v>
      </c>
      <c r="BR31" s="682"/>
      <c r="BS31" s="618"/>
    </row>
    <row r="32" spans="1:71" ht="15.75">
      <c r="A32" s="805" t="s">
        <v>3479</v>
      </c>
      <c r="B32" s="767" t="s">
        <v>3480</v>
      </c>
      <c r="C32" s="768">
        <v>14690</v>
      </c>
      <c r="D32" s="769">
        <v>0</v>
      </c>
      <c r="E32" s="770">
        <v>0</v>
      </c>
      <c r="F32" s="771">
        <v>0</v>
      </c>
      <c r="G32" s="770">
        <v>0</v>
      </c>
      <c r="H32" s="771">
        <v>0</v>
      </c>
      <c r="I32" s="770">
        <f t="shared" si="44"/>
        <v>0</v>
      </c>
      <c r="J32" s="772">
        <f t="shared" si="11"/>
        <v>0</v>
      </c>
      <c r="K32" s="773">
        <v>3360</v>
      </c>
      <c r="L32" s="774">
        <f t="shared" si="12"/>
        <v>1.2126378518409178E-3</v>
      </c>
      <c r="M32" s="775">
        <f t="shared" si="45"/>
        <v>101767.04230770758</v>
      </c>
      <c r="N32" s="806">
        <v>166</v>
      </c>
      <c r="O32" s="777">
        <f t="shared" si="13"/>
        <v>1.8878288489816529E-4</v>
      </c>
      <c r="P32" s="778">
        <f t="shared" si="14"/>
        <v>15843.044817739223</v>
      </c>
      <c r="Q32" s="786">
        <f t="shared" si="0"/>
        <v>117610.08712544681</v>
      </c>
      <c r="R32" s="692">
        <f t="shared" si="1"/>
        <v>8.0061325476818794</v>
      </c>
      <c r="S32" s="807">
        <v>53404190.719999991</v>
      </c>
      <c r="T32" s="782">
        <f t="shared" si="8"/>
        <v>4.0408083540002764</v>
      </c>
      <c r="U32" s="777">
        <f t="shared" si="15"/>
        <v>2.1964731251300621E-3</v>
      </c>
      <c r="V32" s="783">
        <f t="shared" si="2"/>
        <v>3635.4112130701151</v>
      </c>
      <c r="W32" s="778">
        <f t="shared" si="16"/>
        <v>875579.40096392785</v>
      </c>
      <c r="X32" s="784">
        <v>11014224.8409</v>
      </c>
      <c r="Y32" s="782">
        <f t="shared" si="9"/>
        <v>19.592490903097158</v>
      </c>
      <c r="Z32" s="782">
        <f t="shared" si="17"/>
        <v>3.0251109009826883E-3</v>
      </c>
      <c r="AA32" s="783">
        <f t="shared" si="3"/>
        <v>749.77704839346495</v>
      </c>
      <c r="AB32" s="692">
        <f t="shared" si="18"/>
        <v>710845.73850277462</v>
      </c>
      <c r="AC32" s="786">
        <f t="shared" si="19"/>
        <v>1586425.1394667025</v>
      </c>
      <c r="AD32" s="787">
        <f t="shared" si="4"/>
        <v>107.99354250964619</v>
      </c>
      <c r="AE32" s="788">
        <v>2917.6954000000001</v>
      </c>
      <c r="AF32" s="774">
        <f t="shared" si="20"/>
        <v>3.0346811312968488E-3</v>
      </c>
      <c r="AG32" s="692">
        <f t="shared" si="21"/>
        <v>382014.94693190907</v>
      </c>
      <c r="AH32" s="786">
        <f t="shared" si="22"/>
        <v>382014.94693190907</v>
      </c>
      <c r="AI32" s="692">
        <f t="shared" si="5"/>
        <v>26.005101901423355</v>
      </c>
      <c r="AJ32" s="789">
        <v>1707</v>
      </c>
      <c r="AK32" s="777">
        <f t="shared" si="23"/>
        <v>2.269083832478605E-3</v>
      </c>
      <c r="AL32" s="692">
        <f t="shared" si="24"/>
        <v>47606.536038155697</v>
      </c>
      <c r="AM32" s="790">
        <v>6.333333333333333</v>
      </c>
      <c r="AN32" s="791">
        <f t="shared" si="25"/>
        <v>9.1456077015643746E-4</v>
      </c>
      <c r="AO32" s="778">
        <f t="shared" si="26"/>
        <v>57563.85415162451</v>
      </c>
      <c r="AP32" s="768">
        <v>169</v>
      </c>
      <c r="AQ32" s="792">
        <f t="shared" si="27"/>
        <v>2.2842468067851593E-3</v>
      </c>
      <c r="AR32" s="793">
        <f t="shared" si="28"/>
        <v>191698.65188889642</v>
      </c>
      <c r="AS32" s="794">
        <v>42.611111111111107</v>
      </c>
      <c r="AT32" s="791">
        <f t="shared" si="29"/>
        <v>1.7089161082610598E-3</v>
      </c>
      <c r="AU32" s="795">
        <f t="shared" si="30"/>
        <v>143415.725994129</v>
      </c>
      <c r="AV32" s="796">
        <v>77</v>
      </c>
      <c r="AW32" s="791">
        <f t="shared" si="31"/>
        <v>9.8054197229013851E-4</v>
      </c>
      <c r="AX32" s="795">
        <f t="shared" si="32"/>
        <v>61716.811965158922</v>
      </c>
      <c r="AY32" s="786">
        <f t="shared" si="33"/>
        <v>502001.58003796451</v>
      </c>
      <c r="AZ32" s="787">
        <f t="shared" si="6"/>
        <v>34.173014298023453</v>
      </c>
      <c r="BA32" s="797">
        <f t="shared" si="10"/>
        <v>2588051.7535620229</v>
      </c>
      <c r="BB32" s="775">
        <v>1784055</v>
      </c>
      <c r="BC32" s="775">
        <f t="shared" si="34"/>
        <v>0</v>
      </c>
      <c r="BD32" s="775">
        <f t="shared" si="35"/>
        <v>803996.75356202293</v>
      </c>
      <c r="BE32" s="798">
        <f t="shared" si="36"/>
        <v>1.2510197305907998E-3</v>
      </c>
      <c r="BF32" s="775">
        <f t="shared" si="37"/>
        <v>-1656.2026246473076</v>
      </c>
      <c r="BG32" s="797">
        <f t="shared" si="38"/>
        <v>2586395.5509373755</v>
      </c>
      <c r="BH32" s="799">
        <v>7</v>
      </c>
      <c r="BI32" s="692">
        <f t="shared" si="47"/>
        <v>0</v>
      </c>
      <c r="BJ32" s="800">
        <v>1100</v>
      </c>
      <c r="BK32" s="778">
        <f t="shared" si="39"/>
        <v>0</v>
      </c>
      <c r="BL32" s="786">
        <f t="shared" si="46"/>
        <v>2586395.5509373755</v>
      </c>
      <c r="BM32" s="692">
        <f t="shared" si="40"/>
        <v>2586395.5509373755</v>
      </c>
      <c r="BN32" s="801">
        <f t="shared" si="41"/>
        <v>1.2637521767535785E-3</v>
      </c>
      <c r="BO32" s="787">
        <f t="shared" si="42"/>
        <v>6246.5137573457241</v>
      </c>
      <c r="BP32" s="802">
        <f t="shared" si="43"/>
        <v>2592642</v>
      </c>
      <c r="BQ32" s="803">
        <f t="shared" si="7"/>
        <v>176.49026548672566</v>
      </c>
      <c r="BR32" s="682"/>
      <c r="BS32" s="618"/>
    </row>
    <row r="33" spans="1:71" ht="15.75">
      <c r="A33" s="766" t="s">
        <v>3481</v>
      </c>
      <c r="B33" s="767" t="s">
        <v>3482</v>
      </c>
      <c r="C33" s="768">
        <v>9638</v>
      </c>
      <c r="D33" s="769">
        <v>0</v>
      </c>
      <c r="E33" s="770">
        <v>0</v>
      </c>
      <c r="F33" s="771">
        <v>0</v>
      </c>
      <c r="G33" s="770">
        <v>0</v>
      </c>
      <c r="H33" s="771">
        <v>0</v>
      </c>
      <c r="I33" s="770">
        <f t="shared" si="44"/>
        <v>0</v>
      </c>
      <c r="J33" s="772">
        <f t="shared" si="11"/>
        <v>0</v>
      </c>
      <c r="K33" s="773">
        <v>2117</v>
      </c>
      <c r="L33" s="774">
        <f t="shared" si="12"/>
        <v>7.6403402748429254E-4</v>
      </c>
      <c r="M33" s="775">
        <f t="shared" si="45"/>
        <v>64119.294215897899</v>
      </c>
      <c r="N33" s="806">
        <v>0</v>
      </c>
      <c r="O33" s="777">
        <f t="shared" si="13"/>
        <v>0</v>
      </c>
      <c r="P33" s="778">
        <f t="shared" si="14"/>
        <v>0</v>
      </c>
      <c r="Q33" s="786">
        <f t="shared" si="0"/>
        <v>64119.294215897899</v>
      </c>
      <c r="R33" s="692">
        <f t="shared" si="1"/>
        <v>6.6527593085596495</v>
      </c>
      <c r="S33" s="807">
        <v>47254544.390000001</v>
      </c>
      <c r="T33" s="782">
        <f t="shared" si="8"/>
        <v>1.9657589592517073</v>
      </c>
      <c r="U33" s="777">
        <f t="shared" si="15"/>
        <v>1.068532913768501E-3</v>
      </c>
      <c r="V33" s="783">
        <f t="shared" si="2"/>
        <v>4902.9408995642252</v>
      </c>
      <c r="W33" s="778">
        <f t="shared" si="16"/>
        <v>425948.94417033432</v>
      </c>
      <c r="X33" s="784">
        <v>10682206.0791</v>
      </c>
      <c r="Y33" s="782">
        <f t="shared" si="9"/>
        <v>8.6958670626794614</v>
      </c>
      <c r="Z33" s="782">
        <f t="shared" si="17"/>
        <v>1.3426553251914249E-3</v>
      </c>
      <c r="AA33" s="783">
        <f t="shared" si="3"/>
        <v>1108.3426104067235</v>
      </c>
      <c r="AB33" s="692">
        <f t="shared" si="18"/>
        <v>315499.44693939778</v>
      </c>
      <c r="AC33" s="786">
        <f t="shared" si="19"/>
        <v>741448.3911097321</v>
      </c>
      <c r="AD33" s="787">
        <f t="shared" si="4"/>
        <v>76.92969403504172</v>
      </c>
      <c r="AE33" s="788">
        <v>2429.7031000000002</v>
      </c>
      <c r="AF33" s="774">
        <f t="shared" si="20"/>
        <v>2.5271226572257887E-3</v>
      </c>
      <c r="AG33" s="692">
        <f t="shared" si="21"/>
        <v>318121.93308691337</v>
      </c>
      <c r="AH33" s="786">
        <f t="shared" si="22"/>
        <v>318121.93308691337</v>
      </c>
      <c r="AI33" s="692">
        <f t="shared" si="5"/>
        <v>33.007048463053884</v>
      </c>
      <c r="AJ33" s="789">
        <v>707</v>
      </c>
      <c r="AK33" s="777">
        <f t="shared" si="23"/>
        <v>9.3980214971433739E-4</v>
      </c>
      <c r="AL33" s="692">
        <f t="shared" si="24"/>
        <v>19717.528400103154</v>
      </c>
      <c r="AM33" s="790">
        <v>4.333333333333333</v>
      </c>
      <c r="AN33" s="791">
        <f t="shared" si="25"/>
        <v>6.257521058965098E-4</v>
      </c>
      <c r="AO33" s="778">
        <f t="shared" si="26"/>
        <v>39385.794945848349</v>
      </c>
      <c r="AP33" s="768">
        <v>33</v>
      </c>
      <c r="AQ33" s="792">
        <f t="shared" si="27"/>
        <v>4.4603635872136243E-4</v>
      </c>
      <c r="AR33" s="793">
        <f t="shared" si="28"/>
        <v>37432.281138068523</v>
      </c>
      <c r="AS33" s="794">
        <v>9.0555555555555554</v>
      </c>
      <c r="AT33" s="791">
        <f t="shared" si="29"/>
        <v>3.6317252365913009E-4</v>
      </c>
      <c r="AU33" s="795">
        <f t="shared" si="30"/>
        <v>30478.179057422461</v>
      </c>
      <c r="AV33" s="796">
        <v>71</v>
      </c>
      <c r="AW33" s="791">
        <f t="shared" si="31"/>
        <v>9.0413610431947845E-4</v>
      </c>
      <c r="AX33" s="795">
        <f t="shared" si="32"/>
        <v>56907.709734107586</v>
      </c>
      <c r="AY33" s="786">
        <f t="shared" si="33"/>
        <v>183921.49327555008</v>
      </c>
      <c r="AZ33" s="787">
        <f t="shared" si="6"/>
        <v>19.082952197089654</v>
      </c>
      <c r="BA33" s="797">
        <f t="shared" si="10"/>
        <v>1307611.1116880933</v>
      </c>
      <c r="BB33" s="775">
        <v>968039</v>
      </c>
      <c r="BC33" s="775">
        <f t="shared" si="34"/>
        <v>0</v>
      </c>
      <c r="BD33" s="775">
        <f t="shared" si="35"/>
        <v>339572.11168809328</v>
      </c>
      <c r="BE33" s="798">
        <f t="shared" si="36"/>
        <v>5.2837453608874064E-4</v>
      </c>
      <c r="BF33" s="775">
        <f t="shared" si="37"/>
        <v>-699.50558897556959</v>
      </c>
      <c r="BG33" s="797">
        <f t="shared" si="38"/>
        <v>1306911.6060991178</v>
      </c>
      <c r="BH33" s="799">
        <v>7.5</v>
      </c>
      <c r="BI33" s="692">
        <f t="shared" si="47"/>
        <v>0</v>
      </c>
      <c r="BJ33" s="800">
        <v>1050</v>
      </c>
      <c r="BK33" s="778">
        <f t="shared" si="39"/>
        <v>0</v>
      </c>
      <c r="BL33" s="786">
        <f t="shared" si="46"/>
        <v>1306911.6060991178</v>
      </c>
      <c r="BM33" s="692">
        <f t="shared" si="40"/>
        <v>1306911.6060991178</v>
      </c>
      <c r="BN33" s="801">
        <f t="shared" si="41"/>
        <v>6.3857687445900886E-4</v>
      </c>
      <c r="BO33" s="787">
        <f t="shared" si="42"/>
        <v>3156.3777335505483</v>
      </c>
      <c r="BP33" s="802">
        <f t="shared" si="43"/>
        <v>1310068</v>
      </c>
      <c r="BQ33" s="803">
        <f t="shared" si="7"/>
        <v>135.92737082382237</v>
      </c>
      <c r="BR33" s="682"/>
      <c r="BS33" s="618"/>
    </row>
    <row r="34" spans="1:71" ht="15.75">
      <c r="A34" s="805" t="s">
        <v>3483</v>
      </c>
      <c r="B34" s="767" t="s">
        <v>3484</v>
      </c>
      <c r="C34" s="768">
        <v>2171</v>
      </c>
      <c r="D34" s="769">
        <v>0</v>
      </c>
      <c r="E34" s="770">
        <v>0</v>
      </c>
      <c r="F34" s="771">
        <v>0</v>
      </c>
      <c r="G34" s="770">
        <v>0</v>
      </c>
      <c r="H34" s="771">
        <v>0</v>
      </c>
      <c r="I34" s="770">
        <f t="shared" si="44"/>
        <v>0</v>
      </c>
      <c r="J34" s="772">
        <f t="shared" si="11"/>
        <v>0</v>
      </c>
      <c r="K34" s="773">
        <v>492</v>
      </c>
      <c r="L34" s="774">
        <f t="shared" si="12"/>
        <v>1.7756482830527724E-4</v>
      </c>
      <c r="M34" s="775">
        <f t="shared" si="45"/>
        <v>14901.602623628609</v>
      </c>
      <c r="N34" s="806">
        <v>0</v>
      </c>
      <c r="O34" s="777">
        <f t="shared" si="13"/>
        <v>0</v>
      </c>
      <c r="P34" s="778">
        <f t="shared" si="14"/>
        <v>0</v>
      </c>
      <c r="Q34" s="786">
        <f t="shared" si="0"/>
        <v>14901.602623628609</v>
      </c>
      <c r="R34" s="692">
        <f t="shared" si="1"/>
        <v>6.863934879607835</v>
      </c>
      <c r="S34" s="807">
        <v>9003826.0899999999</v>
      </c>
      <c r="T34" s="782">
        <f t="shared" si="8"/>
        <v>0.52347090591128909</v>
      </c>
      <c r="U34" s="777">
        <f t="shared" si="15"/>
        <v>2.8454449602475634E-4</v>
      </c>
      <c r="V34" s="783">
        <f t="shared" si="2"/>
        <v>4147.3174067250111</v>
      </c>
      <c r="W34" s="778">
        <f t="shared" si="16"/>
        <v>113427.88424155486</v>
      </c>
      <c r="X34" s="784">
        <v>1382963.5449000001</v>
      </c>
      <c r="Y34" s="782">
        <f t="shared" si="9"/>
        <v>3.4080732043741668</v>
      </c>
      <c r="Z34" s="782">
        <f t="shared" si="17"/>
        <v>5.2621177434205332E-4</v>
      </c>
      <c r="AA34" s="783">
        <f t="shared" si="3"/>
        <v>637.01683321050211</v>
      </c>
      <c r="AB34" s="692">
        <f t="shared" si="18"/>
        <v>123650.14360945336</v>
      </c>
      <c r="AC34" s="786">
        <f t="shared" si="19"/>
        <v>237078.02785100823</v>
      </c>
      <c r="AD34" s="787">
        <f t="shared" si="4"/>
        <v>109.20222379134418</v>
      </c>
      <c r="AE34" s="788">
        <v>1728.2633000000001</v>
      </c>
      <c r="AF34" s="774">
        <f t="shared" si="20"/>
        <v>1.7975584519284724E-3</v>
      </c>
      <c r="AG34" s="692">
        <f t="shared" si="21"/>
        <v>226282.15845761899</v>
      </c>
      <c r="AH34" s="786">
        <f t="shared" si="22"/>
        <v>226282.15845761899</v>
      </c>
      <c r="AI34" s="692">
        <f t="shared" si="5"/>
        <v>104.22946036739705</v>
      </c>
      <c r="AJ34" s="789">
        <v>194</v>
      </c>
      <c r="AK34" s="777">
        <f t="shared" si="23"/>
        <v>2.5788064645626796E-4</v>
      </c>
      <c r="AL34" s="692">
        <f t="shared" si="24"/>
        <v>5410.4674817821942</v>
      </c>
      <c r="AM34" s="790">
        <v>1.6666666666666667</v>
      </c>
      <c r="AN34" s="791">
        <f t="shared" si="25"/>
        <v>2.4067388688327304E-4</v>
      </c>
      <c r="AO34" s="778">
        <f t="shared" si="26"/>
        <v>15148.382671480136</v>
      </c>
      <c r="AP34" s="768">
        <v>18</v>
      </c>
      <c r="AQ34" s="792">
        <f t="shared" si="27"/>
        <v>2.4329255930256134E-4</v>
      </c>
      <c r="AR34" s="793">
        <f t="shared" si="28"/>
        <v>20417.607893491924</v>
      </c>
      <c r="AS34" s="794">
        <v>2.8333333333333335</v>
      </c>
      <c r="AT34" s="791">
        <f t="shared" si="29"/>
        <v>1.1363066691175237E-4</v>
      </c>
      <c r="AU34" s="795">
        <f t="shared" si="30"/>
        <v>9536.1173737947593</v>
      </c>
      <c r="AV34" s="796">
        <v>5</v>
      </c>
      <c r="AW34" s="791">
        <f t="shared" si="31"/>
        <v>6.3671556642216784E-5</v>
      </c>
      <c r="AX34" s="795">
        <f t="shared" si="32"/>
        <v>4007.5851925427869</v>
      </c>
      <c r="AY34" s="786">
        <f t="shared" si="33"/>
        <v>54520.160613091808</v>
      </c>
      <c r="AZ34" s="787">
        <f t="shared" si="6"/>
        <v>25.112925201792635</v>
      </c>
      <c r="BA34" s="797">
        <f t="shared" si="10"/>
        <v>532781.9495453476</v>
      </c>
      <c r="BB34" s="775">
        <v>286510</v>
      </c>
      <c r="BC34" s="775">
        <f t="shared" si="34"/>
        <v>0</v>
      </c>
      <c r="BD34" s="775">
        <f t="shared" si="35"/>
        <v>246271.9495453476</v>
      </c>
      <c r="BE34" s="798">
        <f t="shared" si="36"/>
        <v>3.8319939304148529E-4</v>
      </c>
      <c r="BF34" s="775">
        <f t="shared" si="37"/>
        <v>-507.31081612825085</v>
      </c>
      <c r="BG34" s="797">
        <f t="shared" si="38"/>
        <v>532274.63872921932</v>
      </c>
      <c r="BH34" s="799">
        <v>7.5</v>
      </c>
      <c r="BI34" s="692">
        <f t="shared" si="47"/>
        <v>0</v>
      </c>
      <c r="BJ34" s="800">
        <v>1600</v>
      </c>
      <c r="BK34" s="778">
        <f t="shared" si="39"/>
        <v>0</v>
      </c>
      <c r="BL34" s="786">
        <f t="shared" si="46"/>
        <v>532274.63872921932</v>
      </c>
      <c r="BM34" s="692">
        <f t="shared" si="40"/>
        <v>532274.63872921932</v>
      </c>
      <c r="BN34" s="801">
        <f t="shared" si="41"/>
        <v>2.6007747851290004E-4</v>
      </c>
      <c r="BO34" s="787">
        <f t="shared" si="42"/>
        <v>1285.5190894151049</v>
      </c>
      <c r="BP34" s="802">
        <f t="shared" si="43"/>
        <v>533560</v>
      </c>
      <c r="BQ34" s="803">
        <f t="shared" si="7"/>
        <v>245.76692768309536</v>
      </c>
      <c r="BR34" s="682"/>
      <c r="BS34" s="618"/>
    </row>
    <row r="35" spans="1:71" ht="15.75">
      <c r="A35" s="805" t="s">
        <v>3485</v>
      </c>
      <c r="B35" s="767" t="s">
        <v>3486</v>
      </c>
      <c r="C35" s="768">
        <v>46752</v>
      </c>
      <c r="D35" s="769">
        <v>0</v>
      </c>
      <c r="E35" s="770">
        <v>0</v>
      </c>
      <c r="F35" s="771">
        <v>0</v>
      </c>
      <c r="G35" s="770">
        <v>0</v>
      </c>
      <c r="H35" s="771">
        <v>0</v>
      </c>
      <c r="I35" s="770">
        <f t="shared" si="44"/>
        <v>0</v>
      </c>
      <c r="J35" s="772">
        <f t="shared" si="11"/>
        <v>0</v>
      </c>
      <c r="K35" s="773">
        <v>20854</v>
      </c>
      <c r="L35" s="774">
        <f t="shared" si="12"/>
        <v>7.5262945721102674E-3</v>
      </c>
      <c r="M35" s="775">
        <f t="shared" si="45"/>
        <v>631621.99413242075</v>
      </c>
      <c r="N35" s="806">
        <v>4415.5</v>
      </c>
      <c r="O35" s="777">
        <f t="shared" si="13"/>
        <v>5.0215110136617395E-3</v>
      </c>
      <c r="P35" s="778">
        <f t="shared" si="14"/>
        <v>421415.44814896106</v>
      </c>
      <c r="Q35" s="786">
        <f t="shared" si="0"/>
        <v>1053037.4422813817</v>
      </c>
      <c r="R35" s="692">
        <f t="shared" si="1"/>
        <v>22.523901486169184</v>
      </c>
      <c r="S35" s="807">
        <v>186228646.89999998</v>
      </c>
      <c r="T35" s="782">
        <f t="shared" si="8"/>
        <v>11.736913414689049</v>
      </c>
      <c r="U35" s="777">
        <f t="shared" si="15"/>
        <v>6.3798657666656669E-3</v>
      </c>
      <c r="V35" s="783">
        <f t="shared" si="2"/>
        <v>3983.3300586071177</v>
      </c>
      <c r="W35" s="778">
        <f t="shared" si="16"/>
        <v>2543203.912807547</v>
      </c>
      <c r="X35" s="784">
        <v>100919254.34100001</v>
      </c>
      <c r="Y35" s="782">
        <f t="shared" si="9"/>
        <v>21.658399264569333</v>
      </c>
      <c r="Z35" s="782">
        <f t="shared" si="17"/>
        <v>3.344090347528346E-3</v>
      </c>
      <c r="AA35" s="783">
        <f t="shared" si="3"/>
        <v>2158.6082807366529</v>
      </c>
      <c r="AB35" s="692">
        <f t="shared" si="18"/>
        <v>785800.07494488568</v>
      </c>
      <c r="AC35" s="786">
        <f t="shared" si="19"/>
        <v>3329003.9877524329</v>
      </c>
      <c r="AD35" s="787">
        <f t="shared" si="4"/>
        <v>71.205595220577365</v>
      </c>
      <c r="AE35" s="788">
        <v>9552.2170999999998</v>
      </c>
      <c r="AF35" s="774">
        <f t="shared" si="20"/>
        <v>9.9352156484261867E-3</v>
      </c>
      <c r="AG35" s="692">
        <f t="shared" si="21"/>
        <v>1250675.3475837726</v>
      </c>
      <c r="AH35" s="786">
        <f t="shared" si="22"/>
        <v>1250675.3475837726</v>
      </c>
      <c r="AI35" s="692">
        <f t="shared" si="5"/>
        <v>26.751269412726142</v>
      </c>
      <c r="AJ35" s="789">
        <v>4193</v>
      </c>
      <c r="AK35" s="777">
        <f t="shared" si="23"/>
        <v>5.5736780958305747E-3</v>
      </c>
      <c r="AL35" s="692">
        <f t="shared" si="24"/>
        <v>116938.60902635433</v>
      </c>
      <c r="AM35" s="790">
        <v>24.666666666666668</v>
      </c>
      <c r="AN35" s="791">
        <f t="shared" si="25"/>
        <v>3.561973525872441E-3</v>
      </c>
      <c r="AO35" s="778">
        <f t="shared" si="26"/>
        <v>224196.06353790601</v>
      </c>
      <c r="AP35" s="768">
        <v>498</v>
      </c>
      <c r="AQ35" s="792">
        <f t="shared" si="27"/>
        <v>6.7310941407041965E-3</v>
      </c>
      <c r="AR35" s="793">
        <f t="shared" si="28"/>
        <v>564887.15171994315</v>
      </c>
      <c r="AS35" s="794">
        <v>200.2777777777778</v>
      </c>
      <c r="AT35" s="791">
        <f t="shared" si="29"/>
        <v>8.0321285140562207E-3</v>
      </c>
      <c r="AU35" s="795">
        <f t="shared" si="30"/>
        <v>674072.61044176668</v>
      </c>
      <c r="AV35" s="796">
        <v>547</v>
      </c>
      <c r="AW35" s="791">
        <f t="shared" si="31"/>
        <v>6.9656682966585167E-3</v>
      </c>
      <c r="AX35" s="795">
        <f t="shared" si="32"/>
        <v>438429.82006418094</v>
      </c>
      <c r="AY35" s="786">
        <f t="shared" si="33"/>
        <v>2018524.254790151</v>
      </c>
      <c r="AZ35" s="787">
        <f t="shared" si="6"/>
        <v>43.175142342362918</v>
      </c>
      <c r="BA35" s="797">
        <f t="shared" si="10"/>
        <v>7651241.0324077383</v>
      </c>
      <c r="BB35" s="775">
        <v>7470828</v>
      </c>
      <c r="BC35" s="775">
        <f t="shared" si="34"/>
        <v>0</v>
      </c>
      <c r="BD35" s="775">
        <f t="shared" si="35"/>
        <v>180413.03240773827</v>
      </c>
      <c r="BE35" s="798">
        <f t="shared" si="36"/>
        <v>2.8072285391434322E-4</v>
      </c>
      <c r="BF35" s="775">
        <f t="shared" si="37"/>
        <v>-371.64396058873569</v>
      </c>
      <c r="BG35" s="797">
        <f t="shared" si="38"/>
        <v>7650869.3884471497</v>
      </c>
      <c r="BH35" s="799">
        <v>4</v>
      </c>
      <c r="BI35" s="692">
        <f t="shared" si="47"/>
        <v>-382543.46942235751</v>
      </c>
      <c r="BJ35" s="800">
        <v>1200</v>
      </c>
      <c r="BK35" s="778">
        <f t="shared" si="39"/>
        <v>0</v>
      </c>
      <c r="BL35" s="786">
        <f t="shared" si="46"/>
        <v>7268325.9190247925</v>
      </c>
      <c r="BM35" s="692">
        <f t="shared" si="40"/>
        <v>0</v>
      </c>
      <c r="BN35" s="801">
        <f t="shared" si="41"/>
        <v>0</v>
      </c>
      <c r="BO35" s="787">
        <f t="shared" si="42"/>
        <v>0</v>
      </c>
      <c r="BP35" s="802">
        <f t="shared" si="43"/>
        <v>7268326</v>
      </c>
      <c r="BQ35" s="803">
        <f t="shared" si="7"/>
        <v>155.4655629705681</v>
      </c>
      <c r="BR35" s="682"/>
      <c r="BS35" s="618"/>
    </row>
    <row r="36" spans="1:71" ht="15.75">
      <c r="A36" s="805" t="s">
        <v>3487</v>
      </c>
      <c r="B36" s="767" t="s">
        <v>3488</v>
      </c>
      <c r="C36" s="768">
        <v>9609</v>
      </c>
      <c r="D36" s="769">
        <v>0</v>
      </c>
      <c r="E36" s="770">
        <v>0</v>
      </c>
      <c r="F36" s="771">
        <v>0</v>
      </c>
      <c r="G36" s="770">
        <v>0</v>
      </c>
      <c r="H36" s="771">
        <v>0</v>
      </c>
      <c r="I36" s="770">
        <f t="shared" si="44"/>
        <v>0</v>
      </c>
      <c r="J36" s="772">
        <f t="shared" si="11"/>
        <v>0</v>
      </c>
      <c r="K36" s="773">
        <v>3203</v>
      </c>
      <c r="L36" s="774">
        <f t="shared" si="12"/>
        <v>1.1559759045971607E-3</v>
      </c>
      <c r="M36" s="775">
        <f t="shared" si="45"/>
        <v>97011.856104639097</v>
      </c>
      <c r="N36" s="806">
        <v>190.5</v>
      </c>
      <c r="O36" s="777">
        <f t="shared" si="13"/>
        <v>2.1664541911506317E-4</v>
      </c>
      <c r="P36" s="778">
        <f t="shared" si="14"/>
        <v>18181.325528791094</v>
      </c>
      <c r="Q36" s="786">
        <f t="shared" si="0"/>
        <v>115193.18163343018</v>
      </c>
      <c r="R36" s="692">
        <f t="shared" si="1"/>
        <v>11.988050955711332</v>
      </c>
      <c r="S36" s="807">
        <v>50294908.429999992</v>
      </c>
      <c r="T36" s="782">
        <f t="shared" si="8"/>
        <v>1.8358295875716344</v>
      </c>
      <c r="U36" s="777">
        <f t="shared" si="15"/>
        <v>9.9790685381745403E-4</v>
      </c>
      <c r="V36" s="783">
        <f t="shared" si="2"/>
        <v>5234.1459496305542</v>
      </c>
      <c r="W36" s="778">
        <f t="shared" si="16"/>
        <v>397795.299786127</v>
      </c>
      <c r="X36" s="784">
        <v>9151032.3095999993</v>
      </c>
      <c r="Y36" s="782">
        <f t="shared" si="9"/>
        <v>10.089886897583904</v>
      </c>
      <c r="Z36" s="782">
        <f t="shared" si="17"/>
        <v>1.5578941439619821E-3</v>
      </c>
      <c r="AA36" s="783">
        <f t="shared" si="3"/>
        <v>952.33971376834211</v>
      </c>
      <c r="AB36" s="692">
        <f t="shared" si="18"/>
        <v>366076.63306296099</v>
      </c>
      <c r="AC36" s="786">
        <f t="shared" si="19"/>
        <v>763871.93284908799</v>
      </c>
      <c r="AD36" s="787">
        <f t="shared" si="4"/>
        <v>79.495466005732951</v>
      </c>
      <c r="AE36" s="788">
        <v>3180.7986999999998</v>
      </c>
      <c r="AF36" s="774">
        <f t="shared" si="20"/>
        <v>3.3083336243199153E-3</v>
      </c>
      <c r="AG36" s="692">
        <f t="shared" si="21"/>
        <v>416463.16013028135</v>
      </c>
      <c r="AH36" s="786">
        <f t="shared" si="22"/>
        <v>416463.16013028135</v>
      </c>
      <c r="AI36" s="692">
        <f t="shared" si="5"/>
        <v>43.340947042385402</v>
      </c>
      <c r="AJ36" s="789">
        <v>728</v>
      </c>
      <c r="AK36" s="777">
        <f t="shared" si="23"/>
        <v>9.6771706505238697E-4</v>
      </c>
      <c r="AL36" s="692">
        <f t="shared" si="24"/>
        <v>20303.197560502256</v>
      </c>
      <c r="AM36" s="790">
        <v>0.66666666666666663</v>
      </c>
      <c r="AN36" s="791">
        <f t="shared" si="25"/>
        <v>9.6269554753309204E-5</v>
      </c>
      <c r="AO36" s="778">
        <f t="shared" si="26"/>
        <v>6059.3530685920541</v>
      </c>
      <c r="AP36" s="768">
        <v>40</v>
      </c>
      <c r="AQ36" s="792">
        <f t="shared" si="27"/>
        <v>5.406501317834696E-4</v>
      </c>
      <c r="AR36" s="793">
        <f t="shared" si="28"/>
        <v>45372.461985537608</v>
      </c>
      <c r="AS36" s="794">
        <v>15.638888888888891</v>
      </c>
      <c r="AT36" s="791">
        <f t="shared" si="29"/>
        <v>6.271967203070254E-4</v>
      </c>
      <c r="AU36" s="795">
        <f t="shared" si="30"/>
        <v>52635.628249474998</v>
      </c>
      <c r="AV36" s="796">
        <v>1</v>
      </c>
      <c r="AW36" s="791">
        <f t="shared" si="31"/>
        <v>1.2734311328443357E-5</v>
      </c>
      <c r="AX36" s="795">
        <f t="shared" si="32"/>
        <v>801.51703850855745</v>
      </c>
      <c r="AY36" s="786">
        <f t="shared" si="33"/>
        <v>125172.15790261548</v>
      </c>
      <c r="AZ36" s="787">
        <f t="shared" si="6"/>
        <v>13.026554053763709</v>
      </c>
      <c r="BA36" s="797">
        <f t="shared" si="10"/>
        <v>1420700.4325154149</v>
      </c>
      <c r="BB36" s="775">
        <v>1035489</v>
      </c>
      <c r="BC36" s="775">
        <f t="shared" si="34"/>
        <v>0</v>
      </c>
      <c r="BD36" s="775">
        <f t="shared" si="35"/>
        <v>385211.4325154149</v>
      </c>
      <c r="BE36" s="798">
        <f t="shared" si="36"/>
        <v>5.9938936368945743E-4</v>
      </c>
      <c r="BF36" s="775">
        <f t="shared" si="37"/>
        <v>-793.52084787611386</v>
      </c>
      <c r="BG36" s="797">
        <f t="shared" si="38"/>
        <v>1419906.9116675388</v>
      </c>
      <c r="BH36" s="799">
        <v>7</v>
      </c>
      <c r="BI36" s="692">
        <f t="shared" si="47"/>
        <v>0</v>
      </c>
      <c r="BJ36" s="800">
        <v>1100</v>
      </c>
      <c r="BK36" s="778">
        <f t="shared" si="39"/>
        <v>0</v>
      </c>
      <c r="BL36" s="786">
        <f t="shared" si="46"/>
        <v>1419906.9116675388</v>
      </c>
      <c r="BM36" s="692">
        <f t="shared" si="40"/>
        <v>1419906.9116675388</v>
      </c>
      <c r="BN36" s="801">
        <f t="shared" si="41"/>
        <v>6.9378809817274986E-4</v>
      </c>
      <c r="BO36" s="787">
        <f t="shared" si="42"/>
        <v>3429.2774957283855</v>
      </c>
      <c r="BP36" s="802">
        <f t="shared" si="43"/>
        <v>1423336</v>
      </c>
      <c r="BQ36" s="803">
        <f t="shared" si="7"/>
        <v>148.1252991986679</v>
      </c>
      <c r="BR36" s="682"/>
      <c r="BS36" s="618"/>
    </row>
    <row r="37" spans="1:71" ht="15.75">
      <c r="A37" s="805" t="s">
        <v>3489</v>
      </c>
      <c r="B37" s="767" t="s">
        <v>3490</v>
      </c>
      <c r="C37" s="768">
        <v>31358</v>
      </c>
      <c r="D37" s="769">
        <v>0</v>
      </c>
      <c r="E37" s="770">
        <v>0</v>
      </c>
      <c r="F37" s="771">
        <v>0</v>
      </c>
      <c r="G37" s="770">
        <v>0</v>
      </c>
      <c r="H37" s="771">
        <v>0</v>
      </c>
      <c r="I37" s="770">
        <f t="shared" si="44"/>
        <v>0</v>
      </c>
      <c r="J37" s="772">
        <f t="shared" si="11"/>
        <v>0</v>
      </c>
      <c r="K37" s="773">
        <v>9594</v>
      </c>
      <c r="L37" s="774">
        <f t="shared" si="12"/>
        <v>3.4625141519529063E-3</v>
      </c>
      <c r="M37" s="775">
        <f t="shared" si="45"/>
        <v>290581.25116075791</v>
      </c>
      <c r="N37" s="806">
        <v>3118.5</v>
      </c>
      <c r="O37" s="777">
        <f t="shared" si="13"/>
        <v>3.5465025696080027E-3</v>
      </c>
      <c r="P37" s="778">
        <f t="shared" si="14"/>
        <v>297629.73050674557</v>
      </c>
      <c r="Q37" s="786">
        <f t="shared" si="0"/>
        <v>588210.98166750348</v>
      </c>
      <c r="R37" s="692">
        <f t="shared" si="1"/>
        <v>18.757924027919621</v>
      </c>
      <c r="S37" s="807">
        <v>93629306.380000025</v>
      </c>
      <c r="T37" s="782">
        <f t="shared" si="8"/>
        <v>10.502311744242997</v>
      </c>
      <c r="U37" s="777">
        <f t="shared" si="15"/>
        <v>5.7087699977483248E-3</v>
      </c>
      <c r="V37" s="783">
        <f t="shared" si="2"/>
        <v>2985.8188143376501</v>
      </c>
      <c r="W37" s="778">
        <f t="shared" si="16"/>
        <v>2275685.2144837156</v>
      </c>
      <c r="X37" s="784">
        <v>21178617.217500001</v>
      </c>
      <c r="Y37" s="782">
        <f t="shared" si="9"/>
        <v>46.43004563997097</v>
      </c>
      <c r="Z37" s="782">
        <f t="shared" si="17"/>
        <v>7.1688708645206928E-3</v>
      </c>
      <c r="AA37" s="783">
        <f t="shared" si="3"/>
        <v>675.38163203967099</v>
      </c>
      <c r="AB37" s="692">
        <f t="shared" si="18"/>
        <v>1684553.5488519925</v>
      </c>
      <c r="AC37" s="786">
        <f t="shared" si="19"/>
        <v>3960238.7633357081</v>
      </c>
      <c r="AD37" s="787">
        <f t="shared" si="4"/>
        <v>126.29117811517661</v>
      </c>
      <c r="AE37" s="788">
        <v>5675.1211000000003</v>
      </c>
      <c r="AF37" s="774">
        <f t="shared" si="20"/>
        <v>5.9026665086405585E-3</v>
      </c>
      <c r="AG37" s="692">
        <f t="shared" si="21"/>
        <v>743045.72226718999</v>
      </c>
      <c r="AH37" s="786">
        <f t="shared" si="22"/>
        <v>743045.72226718999</v>
      </c>
      <c r="AI37" s="692">
        <f t="shared" si="5"/>
        <v>23.695571218419222</v>
      </c>
      <c r="AJ37" s="789">
        <v>4226</v>
      </c>
      <c r="AK37" s="777">
        <f t="shared" si="23"/>
        <v>5.6175443913617958E-3</v>
      </c>
      <c r="AL37" s="692">
        <f t="shared" si="24"/>
        <v>117858.94627841008</v>
      </c>
      <c r="AM37" s="790">
        <v>42</v>
      </c>
      <c r="AN37" s="791">
        <f t="shared" si="25"/>
        <v>6.0649819494584803E-3</v>
      </c>
      <c r="AO37" s="778">
        <f t="shared" si="26"/>
        <v>381739.24332129944</v>
      </c>
      <c r="AP37" s="768">
        <v>408</v>
      </c>
      <c r="AQ37" s="792">
        <f t="shared" si="27"/>
        <v>5.5146313441913905E-3</v>
      </c>
      <c r="AR37" s="793">
        <f t="shared" si="28"/>
        <v>462799.11225248367</v>
      </c>
      <c r="AS37" s="794">
        <v>108.33333333333333</v>
      </c>
      <c r="AT37" s="791">
        <f t="shared" si="29"/>
        <v>4.3447019701552368E-3</v>
      </c>
      <c r="AU37" s="795">
        <f t="shared" si="30"/>
        <v>364616.2525274466</v>
      </c>
      <c r="AV37" s="796">
        <v>220</v>
      </c>
      <c r="AW37" s="791">
        <f t="shared" si="31"/>
        <v>2.8015484922575386E-3</v>
      </c>
      <c r="AX37" s="795">
        <f t="shared" si="32"/>
        <v>176333.74847188263</v>
      </c>
      <c r="AY37" s="786">
        <f t="shared" si="33"/>
        <v>1503347.3028515223</v>
      </c>
      <c r="AZ37" s="787">
        <f t="shared" si="6"/>
        <v>47.941428115680921</v>
      </c>
      <c r="BA37" s="797">
        <f t="shared" si="10"/>
        <v>6794842.7701219236</v>
      </c>
      <c r="BB37" s="775">
        <v>4645458</v>
      </c>
      <c r="BC37" s="775">
        <f t="shared" si="34"/>
        <v>0</v>
      </c>
      <c r="BD37" s="775">
        <f t="shared" si="35"/>
        <v>2149384.7701219236</v>
      </c>
      <c r="BE37" s="798">
        <f t="shared" si="36"/>
        <v>3.3444447930180165E-3</v>
      </c>
      <c r="BF37" s="775">
        <f t="shared" si="37"/>
        <v>-4427.6505867486239</v>
      </c>
      <c r="BG37" s="797">
        <f t="shared" si="38"/>
        <v>6790415.1195351752</v>
      </c>
      <c r="BH37" s="799">
        <v>8.4</v>
      </c>
      <c r="BI37" s="692">
        <f t="shared" si="47"/>
        <v>0</v>
      </c>
      <c r="BJ37" s="800">
        <v>1450</v>
      </c>
      <c r="BK37" s="778">
        <f t="shared" si="39"/>
        <v>0</v>
      </c>
      <c r="BL37" s="786">
        <f t="shared" si="46"/>
        <v>6790415.1195351752</v>
      </c>
      <c r="BM37" s="692">
        <f t="shared" si="40"/>
        <v>6790415.1195351752</v>
      </c>
      <c r="BN37" s="801">
        <f t="shared" si="41"/>
        <v>3.3179000347657076E-3</v>
      </c>
      <c r="BO37" s="787">
        <f t="shared" si="42"/>
        <v>16399.819991529173</v>
      </c>
      <c r="BP37" s="802">
        <f t="shared" si="43"/>
        <v>6806815</v>
      </c>
      <c r="BQ37" s="803">
        <f t="shared" si="7"/>
        <v>217.06789336054595</v>
      </c>
      <c r="BR37" s="682"/>
      <c r="BS37" s="618"/>
    </row>
    <row r="38" spans="1:71" ht="15.75">
      <c r="A38" s="766" t="s">
        <v>3491</v>
      </c>
      <c r="B38" s="767" t="s">
        <v>3492</v>
      </c>
      <c r="C38" s="768">
        <v>19337</v>
      </c>
      <c r="D38" s="769">
        <v>0</v>
      </c>
      <c r="E38" s="770">
        <v>0</v>
      </c>
      <c r="F38" s="771">
        <v>0</v>
      </c>
      <c r="G38" s="770">
        <v>0</v>
      </c>
      <c r="H38" s="771">
        <f>C38/($C$38+$C$51+$C$53+$C$56+$C$57+$C$141+$C$143+$C$199+$C$209+$C$213)*$H$7</f>
        <v>1218007.7814071483</v>
      </c>
      <c r="I38" s="770">
        <f t="shared" si="44"/>
        <v>1218007.7814071483</v>
      </c>
      <c r="J38" s="772">
        <f t="shared" si="11"/>
        <v>62.988456400018016</v>
      </c>
      <c r="K38" s="773">
        <v>5657</v>
      </c>
      <c r="L38" s="774">
        <f t="shared" si="12"/>
        <v>2.0416346213881168E-3</v>
      </c>
      <c r="M38" s="775">
        <f t="shared" si="45"/>
        <v>171338.1423615184</v>
      </c>
      <c r="N38" s="806">
        <v>1621.5</v>
      </c>
      <c r="O38" s="777">
        <f t="shared" si="13"/>
        <v>1.8440448666408133E-3</v>
      </c>
      <c r="P38" s="778">
        <f t="shared" si="14"/>
        <v>154756.007060025</v>
      </c>
      <c r="Q38" s="786">
        <f t="shared" si="0"/>
        <v>326094.14942154341</v>
      </c>
      <c r="R38" s="692">
        <f t="shared" si="1"/>
        <v>16.863740467577358</v>
      </c>
      <c r="S38" s="807">
        <v>54958544.939999998</v>
      </c>
      <c r="T38" s="782">
        <f t="shared" si="8"/>
        <v>6.8036657340222515</v>
      </c>
      <c r="U38" s="777">
        <f t="shared" si="15"/>
        <v>3.6982869831859271E-3</v>
      </c>
      <c r="V38" s="783">
        <f t="shared" si="2"/>
        <v>2842.1443315922843</v>
      </c>
      <c r="W38" s="778">
        <f t="shared" si="16"/>
        <v>1474246.9936384412</v>
      </c>
      <c r="X38" s="784">
        <v>28725544.5035</v>
      </c>
      <c r="Y38" s="782">
        <f t="shared" si="9"/>
        <v>13.016970625376331</v>
      </c>
      <c r="Z38" s="782">
        <f t="shared" si="17"/>
        <v>2.0098403991282493E-3</v>
      </c>
      <c r="AA38" s="783">
        <f t="shared" si="3"/>
        <v>1485.5222890572477</v>
      </c>
      <c r="AB38" s="692">
        <f t="shared" si="18"/>
        <v>472275.73783391929</v>
      </c>
      <c r="AC38" s="786">
        <f t="shared" si="19"/>
        <v>1946522.7314723604</v>
      </c>
      <c r="AD38" s="787">
        <f t="shared" si="4"/>
        <v>100.66311896738689</v>
      </c>
      <c r="AE38" s="788">
        <v>1248.6170999999999</v>
      </c>
      <c r="AF38" s="774">
        <f t="shared" si="20"/>
        <v>1.2986807168371963E-3</v>
      </c>
      <c r="AG38" s="692">
        <f t="shared" si="21"/>
        <v>163481.9025984598</v>
      </c>
      <c r="AH38" s="786">
        <f t="shared" si="22"/>
        <v>163481.9025984598</v>
      </c>
      <c r="AI38" s="692">
        <f t="shared" si="5"/>
        <v>8.4543570666835492</v>
      </c>
      <c r="AJ38" s="789">
        <v>2953</v>
      </c>
      <c r="AK38" s="777">
        <f t="shared" si="23"/>
        <v>3.9253688092028829E-3</v>
      </c>
      <c r="AL38" s="692">
        <f t="shared" si="24"/>
        <v>82356.239555169173</v>
      </c>
      <c r="AM38" s="790">
        <v>37.666666666666664</v>
      </c>
      <c r="AN38" s="791">
        <f t="shared" si="25"/>
        <v>5.4392298435619706E-3</v>
      </c>
      <c r="AO38" s="778">
        <f t="shared" si="26"/>
        <v>342353.44837545109</v>
      </c>
      <c r="AP38" s="768">
        <v>385</v>
      </c>
      <c r="AQ38" s="792">
        <f t="shared" si="27"/>
        <v>5.2037575184158951E-3</v>
      </c>
      <c r="AR38" s="793">
        <f t="shared" si="28"/>
        <v>436709.94661079947</v>
      </c>
      <c r="AS38" s="794">
        <v>136.36111111111111</v>
      </c>
      <c r="AT38" s="791">
        <f t="shared" si="29"/>
        <v>5.4687543516646307E-3</v>
      </c>
      <c r="AU38" s="795">
        <f t="shared" si="30"/>
        <v>458949.02145057323</v>
      </c>
      <c r="AV38" s="796">
        <v>321</v>
      </c>
      <c r="AW38" s="791">
        <f t="shared" si="31"/>
        <v>4.0877139364303176E-3</v>
      </c>
      <c r="AX38" s="795">
        <f t="shared" si="32"/>
        <v>257286.96936124694</v>
      </c>
      <c r="AY38" s="786">
        <f t="shared" si="33"/>
        <v>1577655.6253532399</v>
      </c>
      <c r="AZ38" s="787">
        <f t="shared" si="6"/>
        <v>81.587403700327869</v>
      </c>
      <c r="BA38" s="797">
        <f t="shared" si="10"/>
        <v>5231762.190252752</v>
      </c>
      <c r="BB38" s="775">
        <v>3975616</v>
      </c>
      <c r="BC38" s="775">
        <f t="shared" si="34"/>
        <v>0</v>
      </c>
      <c r="BD38" s="775">
        <f t="shared" si="35"/>
        <v>1256146.190252752</v>
      </c>
      <c r="BE38" s="798">
        <f t="shared" si="36"/>
        <v>1.9545646938876971E-3</v>
      </c>
      <c r="BF38" s="775">
        <f t="shared" si="37"/>
        <v>-2587.6132061730186</v>
      </c>
      <c r="BG38" s="797">
        <f t="shared" si="38"/>
        <v>5229174.5770465788</v>
      </c>
      <c r="BH38" s="799">
        <v>6.5</v>
      </c>
      <c r="BI38" s="692">
        <f t="shared" si="47"/>
        <v>0</v>
      </c>
      <c r="BJ38" s="800">
        <v>1745</v>
      </c>
      <c r="BK38" s="778">
        <f t="shared" si="39"/>
        <v>0</v>
      </c>
      <c r="BL38" s="786">
        <f t="shared" si="46"/>
        <v>5229174.5770465788</v>
      </c>
      <c r="BM38" s="692">
        <f t="shared" si="40"/>
        <v>5229174.5770465788</v>
      </c>
      <c r="BN38" s="801">
        <f t="shared" si="41"/>
        <v>2.5550541764472346E-3</v>
      </c>
      <c r="BO38" s="787">
        <f t="shared" si="42"/>
        <v>12629.201640578782</v>
      </c>
      <c r="BP38" s="802">
        <f t="shared" si="43"/>
        <v>5241804</v>
      </c>
      <c r="BQ38" s="803">
        <f t="shared" si="7"/>
        <v>271.07638206547034</v>
      </c>
      <c r="BR38" s="682"/>
      <c r="BS38" s="618"/>
    </row>
    <row r="39" spans="1:71" ht="15.75">
      <c r="A39" s="766" t="s">
        <v>3493</v>
      </c>
      <c r="B39" s="767" t="s">
        <v>3494</v>
      </c>
      <c r="C39" s="768">
        <v>12729</v>
      </c>
      <c r="D39" s="769">
        <v>0</v>
      </c>
      <c r="E39" s="770">
        <v>0</v>
      </c>
      <c r="F39" s="771">
        <v>0</v>
      </c>
      <c r="G39" s="770">
        <v>0</v>
      </c>
      <c r="H39" s="771">
        <v>0</v>
      </c>
      <c r="I39" s="770">
        <f t="shared" si="44"/>
        <v>0</v>
      </c>
      <c r="J39" s="772">
        <f t="shared" si="11"/>
        <v>0</v>
      </c>
      <c r="K39" s="773">
        <v>3469</v>
      </c>
      <c r="L39" s="774">
        <f t="shared" si="12"/>
        <v>1.2519764012012332E-3</v>
      </c>
      <c r="M39" s="775">
        <f t="shared" si="45"/>
        <v>105068.41362066593</v>
      </c>
      <c r="N39" s="806">
        <v>518</v>
      </c>
      <c r="O39" s="777">
        <f t="shared" si="13"/>
        <v>5.8909358058584107E-4</v>
      </c>
      <c r="P39" s="778">
        <f t="shared" si="14"/>
        <v>49437.935033668175</v>
      </c>
      <c r="Q39" s="786">
        <f t="shared" si="0"/>
        <v>154506.34865433411</v>
      </c>
      <c r="R39" s="692">
        <f t="shared" si="1"/>
        <v>12.13813721850374</v>
      </c>
      <c r="S39" s="807">
        <v>30202561.199999999</v>
      </c>
      <c r="T39" s="782">
        <f t="shared" si="8"/>
        <v>5.3646920844580563</v>
      </c>
      <c r="U39" s="777">
        <f t="shared" si="15"/>
        <v>2.9161001848664481E-3</v>
      </c>
      <c r="V39" s="783">
        <f t="shared" si="2"/>
        <v>2372.7363657789301</v>
      </c>
      <c r="W39" s="778">
        <f t="shared" si="16"/>
        <v>1162444.1127022549</v>
      </c>
      <c r="X39" s="784">
        <v>10307933.3268</v>
      </c>
      <c r="Y39" s="782">
        <f t="shared" si="9"/>
        <v>15.718712554992814</v>
      </c>
      <c r="Z39" s="782">
        <f t="shared" si="17"/>
        <v>2.4269935320988425E-3</v>
      </c>
      <c r="AA39" s="783">
        <f t="shared" si="3"/>
        <v>809.79914579307092</v>
      </c>
      <c r="AB39" s="692">
        <f t="shared" si="18"/>
        <v>570299.09518551303</v>
      </c>
      <c r="AC39" s="786">
        <f t="shared" si="19"/>
        <v>1732743.2078877678</v>
      </c>
      <c r="AD39" s="787">
        <f t="shared" si="4"/>
        <v>136.12563499786063</v>
      </c>
      <c r="AE39" s="788">
        <v>4570.2183000000005</v>
      </c>
      <c r="AF39" s="774">
        <f t="shared" si="20"/>
        <v>4.7534623528273584E-3</v>
      </c>
      <c r="AG39" s="692">
        <f t="shared" si="21"/>
        <v>598380.38656870753</v>
      </c>
      <c r="AH39" s="786">
        <f t="shared" si="22"/>
        <v>598380.38656870753</v>
      </c>
      <c r="AI39" s="692">
        <f t="shared" si="5"/>
        <v>47.009221978844174</v>
      </c>
      <c r="AJ39" s="789">
        <v>1546</v>
      </c>
      <c r="AK39" s="777">
        <f t="shared" si="23"/>
        <v>2.055069481553558E-3</v>
      </c>
      <c r="AL39" s="692">
        <f t="shared" si="24"/>
        <v>43116.405808429241</v>
      </c>
      <c r="AM39" s="790">
        <v>5.333333333333333</v>
      </c>
      <c r="AN39" s="791">
        <f t="shared" si="25"/>
        <v>7.7015643802647363E-4</v>
      </c>
      <c r="AO39" s="778">
        <f t="shared" si="26"/>
        <v>48474.824548736433</v>
      </c>
      <c r="AP39" s="768">
        <v>104</v>
      </c>
      <c r="AQ39" s="792">
        <f t="shared" si="27"/>
        <v>1.405690342637021E-3</v>
      </c>
      <c r="AR39" s="793">
        <f t="shared" si="28"/>
        <v>117968.40116239779</v>
      </c>
      <c r="AS39" s="794">
        <v>20.055555555555557</v>
      </c>
      <c r="AT39" s="791">
        <f t="shared" si="29"/>
        <v>8.0432687755181578E-4</v>
      </c>
      <c r="AU39" s="795">
        <f t="shared" si="30"/>
        <v>67500.752390978581</v>
      </c>
      <c r="AV39" s="796">
        <v>33</v>
      </c>
      <c r="AW39" s="791">
        <f t="shared" si="31"/>
        <v>4.2023227383863079E-4</v>
      </c>
      <c r="AX39" s="795">
        <f t="shared" si="32"/>
        <v>26450.062270782397</v>
      </c>
      <c r="AY39" s="786">
        <f t="shared" si="33"/>
        <v>303510.44618132443</v>
      </c>
      <c r="AZ39" s="787">
        <f t="shared" si="6"/>
        <v>23.844013369575332</v>
      </c>
      <c r="BA39" s="797">
        <f t="shared" si="10"/>
        <v>2789140.389292134</v>
      </c>
      <c r="BB39" s="775">
        <v>1711681</v>
      </c>
      <c r="BC39" s="775">
        <f t="shared" si="34"/>
        <v>0</v>
      </c>
      <c r="BD39" s="775">
        <f t="shared" si="35"/>
        <v>1077459.389292134</v>
      </c>
      <c r="BE39" s="798">
        <f t="shared" si="36"/>
        <v>1.6765278577841793E-3</v>
      </c>
      <c r="BF39" s="775">
        <f t="shared" si="37"/>
        <v>-2219.525216476954</v>
      </c>
      <c r="BG39" s="797">
        <f t="shared" si="38"/>
        <v>2786920.864075657</v>
      </c>
      <c r="BH39" s="799">
        <v>8</v>
      </c>
      <c r="BI39" s="692">
        <f t="shared" si="47"/>
        <v>0</v>
      </c>
      <c r="BJ39" s="800">
        <v>1350</v>
      </c>
      <c r="BK39" s="778">
        <f t="shared" si="39"/>
        <v>0</v>
      </c>
      <c r="BL39" s="786">
        <f t="shared" si="46"/>
        <v>2786920.864075657</v>
      </c>
      <c r="BM39" s="692">
        <f t="shared" si="40"/>
        <v>2786920.864075657</v>
      </c>
      <c r="BN39" s="801">
        <f t="shared" si="41"/>
        <v>1.3617318925324942E-3</v>
      </c>
      <c r="BO39" s="787">
        <f t="shared" si="42"/>
        <v>6730.8109588160733</v>
      </c>
      <c r="BP39" s="802">
        <f t="shared" si="43"/>
        <v>2793652</v>
      </c>
      <c r="BQ39" s="803">
        <f t="shared" si="7"/>
        <v>219.47144316128526</v>
      </c>
      <c r="BR39" s="682"/>
      <c r="BS39" s="618"/>
    </row>
    <row r="40" spans="1:71" ht="15.75">
      <c r="A40" s="766" t="s">
        <v>3495</v>
      </c>
      <c r="B40" s="767" t="s">
        <v>3496</v>
      </c>
      <c r="C40" s="768">
        <v>12724</v>
      </c>
      <c r="D40" s="769">
        <v>0</v>
      </c>
      <c r="E40" s="770">
        <v>0</v>
      </c>
      <c r="F40" s="771">
        <v>0</v>
      </c>
      <c r="G40" s="770">
        <v>0</v>
      </c>
      <c r="H40" s="771">
        <v>0</v>
      </c>
      <c r="I40" s="770">
        <f t="shared" si="44"/>
        <v>0</v>
      </c>
      <c r="J40" s="772">
        <f t="shared" si="11"/>
        <v>0</v>
      </c>
      <c r="K40" s="773">
        <v>4287</v>
      </c>
      <c r="L40" s="774">
        <f t="shared" si="12"/>
        <v>1.5471959734648852E-3</v>
      </c>
      <c r="M40" s="775">
        <f t="shared" si="45"/>
        <v>129843.84237295903</v>
      </c>
      <c r="N40" s="806">
        <v>1412</v>
      </c>
      <c r="O40" s="777">
        <f t="shared" si="13"/>
        <v>1.6057917679289722E-3</v>
      </c>
      <c r="P40" s="778">
        <f t="shared" si="14"/>
        <v>134761.32097980593</v>
      </c>
      <c r="Q40" s="786">
        <f t="shared" si="0"/>
        <v>264605.16335276497</v>
      </c>
      <c r="R40" s="692">
        <f t="shared" si="1"/>
        <v>20.79575317138989</v>
      </c>
      <c r="S40" s="807">
        <v>57791503.020000003</v>
      </c>
      <c r="T40" s="782">
        <f t="shared" si="8"/>
        <v>2.8014529392663645</v>
      </c>
      <c r="U40" s="777">
        <f t="shared" si="15"/>
        <v>1.5227933505739255E-3</v>
      </c>
      <c r="V40" s="783">
        <f t="shared" si="2"/>
        <v>4541.9288761395792</v>
      </c>
      <c r="W40" s="778">
        <f t="shared" si="16"/>
        <v>607030.64127334522</v>
      </c>
      <c r="X40" s="784">
        <v>10421143.612199999</v>
      </c>
      <c r="Y40" s="782">
        <f t="shared" si="9"/>
        <v>15.535739840535733</v>
      </c>
      <c r="Z40" s="782">
        <f t="shared" si="17"/>
        <v>2.3987422619655991E-3</v>
      </c>
      <c r="AA40" s="783">
        <f t="shared" si="3"/>
        <v>819.01474475007853</v>
      </c>
      <c r="AB40" s="692">
        <f t="shared" si="18"/>
        <v>563660.56336342893</v>
      </c>
      <c r="AC40" s="786">
        <f t="shared" si="19"/>
        <v>1170691.204636774</v>
      </c>
      <c r="AD40" s="787">
        <f t="shared" si="4"/>
        <v>92.006539188680762</v>
      </c>
      <c r="AE40" s="788">
        <v>1414.8018</v>
      </c>
      <c r="AF40" s="774">
        <f t="shared" si="20"/>
        <v>1.471528634203837E-3</v>
      </c>
      <c r="AG40" s="692">
        <f t="shared" si="21"/>
        <v>185240.52735119965</v>
      </c>
      <c r="AH40" s="786">
        <f t="shared" si="22"/>
        <v>185240.52735119965</v>
      </c>
      <c r="AI40" s="692">
        <f t="shared" si="5"/>
        <v>14.558356440679004</v>
      </c>
      <c r="AJ40" s="789">
        <v>1003</v>
      </c>
      <c r="AK40" s="777">
        <f t="shared" si="23"/>
        <v>1.3332695278125606E-3</v>
      </c>
      <c r="AL40" s="692">
        <f t="shared" si="24"/>
        <v>27972.674660966706</v>
      </c>
      <c r="AM40" s="790">
        <v>5</v>
      </c>
      <c r="AN40" s="791">
        <f t="shared" si="25"/>
        <v>7.2202166064981913E-4</v>
      </c>
      <c r="AO40" s="778">
        <f t="shared" si="26"/>
        <v>45445.148014440412</v>
      </c>
      <c r="AP40" s="768">
        <v>65</v>
      </c>
      <c r="AQ40" s="792">
        <f t="shared" si="27"/>
        <v>8.7855646414813817E-4</v>
      </c>
      <c r="AR40" s="793">
        <f t="shared" si="28"/>
        <v>73730.25072649862</v>
      </c>
      <c r="AS40" s="794">
        <v>29.111111111111111</v>
      </c>
      <c r="AT40" s="791">
        <f t="shared" si="29"/>
        <v>1.1674994012109458E-3</v>
      </c>
      <c r="AU40" s="795">
        <f t="shared" si="30"/>
        <v>97978.931448401039</v>
      </c>
      <c r="AV40" s="796">
        <v>69</v>
      </c>
      <c r="AW40" s="791">
        <f t="shared" si="31"/>
        <v>8.7866748166259172E-4</v>
      </c>
      <c r="AX40" s="795">
        <f t="shared" si="32"/>
        <v>55304.675657090469</v>
      </c>
      <c r="AY40" s="786">
        <f t="shared" si="33"/>
        <v>300431.68050739728</v>
      </c>
      <c r="AZ40" s="787">
        <f t="shared" si="6"/>
        <v>23.611417833023992</v>
      </c>
      <c r="BA40" s="797">
        <f t="shared" si="10"/>
        <v>1920968.5758481359</v>
      </c>
      <c r="BB40" s="775">
        <v>1445584</v>
      </c>
      <c r="BC40" s="775">
        <f t="shared" si="34"/>
        <v>0</v>
      </c>
      <c r="BD40" s="775">
        <f t="shared" si="35"/>
        <v>475384.57584813586</v>
      </c>
      <c r="BE40" s="798">
        <f t="shared" si="36"/>
        <v>7.3969886242666058E-4</v>
      </c>
      <c r="BF40" s="775">
        <f t="shared" si="37"/>
        <v>-979.274081329723</v>
      </c>
      <c r="BG40" s="797">
        <f t="shared" si="38"/>
        <v>1919989.301766806</v>
      </c>
      <c r="BH40" s="799">
        <v>7.3</v>
      </c>
      <c r="BI40" s="692">
        <f t="shared" si="47"/>
        <v>0</v>
      </c>
      <c r="BJ40" s="800">
        <v>1230</v>
      </c>
      <c r="BK40" s="778">
        <f t="shared" si="39"/>
        <v>0</v>
      </c>
      <c r="BL40" s="786">
        <f t="shared" si="46"/>
        <v>1919989.301766806</v>
      </c>
      <c r="BM40" s="692">
        <f t="shared" si="40"/>
        <v>1919989.301766806</v>
      </c>
      <c r="BN40" s="801">
        <f t="shared" si="41"/>
        <v>9.3813595471582028E-4</v>
      </c>
      <c r="BO40" s="787">
        <f t="shared" si="42"/>
        <v>4637.0477180477328</v>
      </c>
      <c r="BP40" s="802">
        <f t="shared" si="43"/>
        <v>1924626</v>
      </c>
      <c r="BQ40" s="803">
        <f t="shared" si="7"/>
        <v>151.25950958817981</v>
      </c>
      <c r="BR40" s="682"/>
      <c r="BS40" s="618"/>
    </row>
    <row r="41" spans="1:71" ht="15.75">
      <c r="A41" s="766" t="s">
        <v>3497</v>
      </c>
      <c r="B41" s="767" t="s">
        <v>3498</v>
      </c>
      <c r="C41" s="768">
        <v>14722</v>
      </c>
      <c r="D41" s="769">
        <v>0</v>
      </c>
      <c r="E41" s="770">
        <v>0</v>
      </c>
      <c r="F41" s="771">
        <v>0</v>
      </c>
      <c r="G41" s="770">
        <v>0</v>
      </c>
      <c r="H41" s="771">
        <v>0</v>
      </c>
      <c r="I41" s="770">
        <f t="shared" si="44"/>
        <v>0</v>
      </c>
      <c r="J41" s="772">
        <f t="shared" si="11"/>
        <v>0</v>
      </c>
      <c r="K41" s="773">
        <v>5058</v>
      </c>
      <c r="L41" s="774">
        <f t="shared" si="12"/>
        <v>1.8254530519676673E-3</v>
      </c>
      <c r="M41" s="775">
        <f t="shared" si="45"/>
        <v>153195.74404535265</v>
      </c>
      <c r="N41" s="806">
        <v>110.5</v>
      </c>
      <c r="O41" s="777">
        <f t="shared" si="13"/>
        <v>1.2566571554968232E-4</v>
      </c>
      <c r="P41" s="778">
        <f t="shared" si="14"/>
        <v>10546.123206989061</v>
      </c>
      <c r="Q41" s="786">
        <f t="shared" si="0"/>
        <v>163741.8672523417</v>
      </c>
      <c r="R41" s="692">
        <f t="shared" si="1"/>
        <v>11.122256979509693</v>
      </c>
      <c r="S41" s="807">
        <v>76583411.289999992</v>
      </c>
      <c r="T41" s="782">
        <f t="shared" si="8"/>
        <v>2.8300813498536441</v>
      </c>
      <c r="U41" s="777">
        <f t="shared" si="15"/>
        <v>1.5383549731408305E-3</v>
      </c>
      <c r="V41" s="783">
        <f t="shared" si="2"/>
        <v>5201.9706079337038</v>
      </c>
      <c r="W41" s="778">
        <f t="shared" si="16"/>
        <v>613233.96605308761</v>
      </c>
      <c r="X41" s="784">
        <v>13151433.151800001</v>
      </c>
      <c r="Y41" s="782">
        <f t="shared" si="9"/>
        <v>16.48012665222997</v>
      </c>
      <c r="Z41" s="782">
        <f t="shared" si="17"/>
        <v>2.5445570464629041E-3</v>
      </c>
      <c r="AA41" s="783">
        <f t="shared" si="3"/>
        <v>893.31837738079071</v>
      </c>
      <c r="AB41" s="692">
        <f t="shared" si="18"/>
        <v>597924.37105951679</v>
      </c>
      <c r="AC41" s="786">
        <f t="shared" si="19"/>
        <v>1211158.3371126044</v>
      </c>
      <c r="AD41" s="787">
        <f t="shared" si="4"/>
        <v>82.268600537468032</v>
      </c>
      <c r="AE41" s="788">
        <v>1977.6591000000001</v>
      </c>
      <c r="AF41" s="774">
        <f t="shared" si="20"/>
        <v>2.0569538392895665E-3</v>
      </c>
      <c r="AG41" s="692">
        <f t="shared" si="21"/>
        <v>258935.64356851886</v>
      </c>
      <c r="AH41" s="786">
        <f t="shared" si="22"/>
        <v>258935.64356851886</v>
      </c>
      <c r="AI41" s="692">
        <f t="shared" si="5"/>
        <v>17.58834693441916</v>
      </c>
      <c r="AJ41" s="789">
        <v>1276</v>
      </c>
      <c r="AK41" s="777">
        <f t="shared" si="23"/>
        <v>1.6961634272072057E-3</v>
      </c>
      <c r="AL41" s="692">
        <f t="shared" si="24"/>
        <v>35586.373746155048</v>
      </c>
      <c r="AM41" s="790">
        <v>1.6666666666666667</v>
      </c>
      <c r="AN41" s="791">
        <f t="shared" si="25"/>
        <v>2.4067388688327304E-4</v>
      </c>
      <c r="AO41" s="778">
        <f t="shared" si="26"/>
        <v>15148.382671480136</v>
      </c>
      <c r="AP41" s="768">
        <v>70</v>
      </c>
      <c r="AQ41" s="792">
        <f t="shared" si="27"/>
        <v>9.4613773062107189E-4</v>
      </c>
      <c r="AR41" s="793">
        <f t="shared" si="28"/>
        <v>79401.808474690813</v>
      </c>
      <c r="AS41" s="794">
        <v>16.833333333333332</v>
      </c>
      <c r="AT41" s="791">
        <f t="shared" si="29"/>
        <v>6.7509984459335215E-4</v>
      </c>
      <c r="AU41" s="795">
        <f t="shared" si="30"/>
        <v>56655.756161957084</v>
      </c>
      <c r="AV41" s="796">
        <v>15</v>
      </c>
      <c r="AW41" s="791">
        <f t="shared" si="31"/>
        <v>1.9101466992665038E-4</v>
      </c>
      <c r="AX41" s="795">
        <f t="shared" si="32"/>
        <v>12022.755577628363</v>
      </c>
      <c r="AY41" s="786">
        <f t="shared" si="33"/>
        <v>198815.07663191145</v>
      </c>
      <c r="AZ41" s="787">
        <f t="shared" si="6"/>
        <v>13.50462414290935</v>
      </c>
      <c r="BA41" s="797">
        <f t="shared" si="10"/>
        <v>1832650.9245653762</v>
      </c>
      <c r="BB41" s="775">
        <v>1703998</v>
      </c>
      <c r="BC41" s="775">
        <f t="shared" si="34"/>
        <v>0</v>
      </c>
      <c r="BD41" s="775">
        <f t="shared" si="35"/>
        <v>128652.92456537625</v>
      </c>
      <c r="BE41" s="798">
        <f t="shared" si="36"/>
        <v>2.0018407576452918E-4</v>
      </c>
      <c r="BF41" s="775">
        <f t="shared" si="37"/>
        <v>-265.02011406105873</v>
      </c>
      <c r="BG41" s="797">
        <f t="shared" si="38"/>
        <v>1832385.9044513153</v>
      </c>
      <c r="BH41" s="799">
        <v>7.5</v>
      </c>
      <c r="BI41" s="692">
        <f t="shared" si="47"/>
        <v>0</v>
      </c>
      <c r="BJ41" s="800">
        <v>1150</v>
      </c>
      <c r="BK41" s="778">
        <f t="shared" si="39"/>
        <v>0</v>
      </c>
      <c r="BL41" s="786">
        <f t="shared" si="46"/>
        <v>1832385.9044513153</v>
      </c>
      <c r="BM41" s="692">
        <f t="shared" si="40"/>
        <v>1832385.9044513153</v>
      </c>
      <c r="BN41" s="801">
        <f t="shared" si="41"/>
        <v>8.953316033054815E-4</v>
      </c>
      <c r="BO41" s="787">
        <f t="shared" si="42"/>
        <v>4425.4730320631734</v>
      </c>
      <c r="BP41" s="802">
        <f t="shared" si="43"/>
        <v>1836811</v>
      </c>
      <c r="BQ41" s="803">
        <f t="shared" si="7"/>
        <v>124.76640402119277</v>
      </c>
      <c r="BR41" s="682"/>
      <c r="BS41" s="618"/>
    </row>
    <row r="42" spans="1:71" ht="15.75">
      <c r="A42" s="805" t="s">
        <v>3499</v>
      </c>
      <c r="B42" s="767" t="s">
        <v>3500</v>
      </c>
      <c r="C42" s="768">
        <v>17166</v>
      </c>
      <c r="D42" s="769">
        <v>0</v>
      </c>
      <c r="E42" s="770">
        <v>0</v>
      </c>
      <c r="F42" s="771">
        <v>0</v>
      </c>
      <c r="G42" s="770">
        <v>0</v>
      </c>
      <c r="H42" s="771">
        <v>0</v>
      </c>
      <c r="I42" s="770">
        <f t="shared" si="44"/>
        <v>0</v>
      </c>
      <c r="J42" s="772">
        <f t="shared" si="11"/>
        <v>0</v>
      </c>
      <c r="K42" s="773">
        <v>6778</v>
      </c>
      <c r="L42" s="774">
        <f t="shared" si="12"/>
        <v>2.4462081427909944E-3</v>
      </c>
      <c r="M42" s="775">
        <f t="shared" si="45"/>
        <v>205290.77760763155</v>
      </c>
      <c r="N42" s="806">
        <v>4387</v>
      </c>
      <c r="O42" s="777">
        <f t="shared" si="13"/>
        <v>4.9890994942665724E-3</v>
      </c>
      <c r="P42" s="778">
        <f t="shared" si="14"/>
        <v>418695.40732181905</v>
      </c>
      <c r="Q42" s="786">
        <f t="shared" si="0"/>
        <v>623986.18492945062</v>
      </c>
      <c r="R42" s="692">
        <f t="shared" si="1"/>
        <v>36.350121456917783</v>
      </c>
      <c r="S42" s="807">
        <v>54389698.029999994</v>
      </c>
      <c r="T42" s="782">
        <f t="shared" si="8"/>
        <v>5.4177825336972187</v>
      </c>
      <c r="U42" s="777">
        <f t="shared" si="15"/>
        <v>2.9449587039396086E-3</v>
      </c>
      <c r="V42" s="783">
        <f t="shared" si="2"/>
        <v>3168.4549708726549</v>
      </c>
      <c r="W42" s="778">
        <f t="shared" si="16"/>
        <v>1173947.9752142478</v>
      </c>
      <c r="X42" s="784">
        <v>13287000.694700001</v>
      </c>
      <c r="Y42" s="782">
        <f t="shared" si="9"/>
        <v>22.177432121121239</v>
      </c>
      <c r="Z42" s="782">
        <f t="shared" si="17"/>
        <v>3.4242298234167922E-3</v>
      </c>
      <c r="AA42" s="783">
        <f t="shared" si="3"/>
        <v>774.03009988931615</v>
      </c>
      <c r="AB42" s="692">
        <f t="shared" si="18"/>
        <v>804631.38618793548</v>
      </c>
      <c r="AC42" s="786">
        <f t="shared" si="19"/>
        <v>1978579.3614021833</v>
      </c>
      <c r="AD42" s="787">
        <f t="shared" si="4"/>
        <v>115.26152635454872</v>
      </c>
      <c r="AE42" s="788">
        <v>277.654</v>
      </c>
      <c r="AF42" s="774">
        <f t="shared" si="20"/>
        <v>2.8878660700122952E-4</v>
      </c>
      <c r="AG42" s="692">
        <f t="shared" si="21"/>
        <v>36353.3417763322</v>
      </c>
      <c r="AH42" s="786">
        <f t="shared" si="22"/>
        <v>36353.3417763322</v>
      </c>
      <c r="AI42" s="692">
        <f t="shared" si="5"/>
        <v>2.1177526375586742</v>
      </c>
      <c r="AJ42" s="789">
        <v>2450</v>
      </c>
      <c r="AK42" s="777">
        <f t="shared" si="23"/>
        <v>3.2567401227724564E-3</v>
      </c>
      <c r="AL42" s="692">
        <f t="shared" si="24"/>
        <v>68328.068713228757</v>
      </c>
      <c r="AM42" s="790">
        <v>39</v>
      </c>
      <c r="AN42" s="791">
        <f t="shared" si="25"/>
        <v>5.631768953068589E-3</v>
      </c>
      <c r="AO42" s="778">
        <f t="shared" si="26"/>
        <v>354472.1545126352</v>
      </c>
      <c r="AP42" s="768">
        <v>283</v>
      </c>
      <c r="AQ42" s="792">
        <f t="shared" si="27"/>
        <v>3.8250996823680477E-3</v>
      </c>
      <c r="AR42" s="793">
        <f t="shared" si="28"/>
        <v>321010.16854767856</v>
      </c>
      <c r="AS42" s="794">
        <v>62.19444444444445</v>
      </c>
      <c r="AT42" s="791">
        <f t="shared" si="29"/>
        <v>2.494304541327584E-3</v>
      </c>
      <c r="AU42" s="795">
        <f t="shared" si="30"/>
        <v>209327.12548947515</v>
      </c>
      <c r="AV42" s="796">
        <v>657</v>
      </c>
      <c r="AW42" s="791">
        <f t="shared" si="31"/>
        <v>8.3664425427872856E-3</v>
      </c>
      <c r="AX42" s="795">
        <f t="shared" si="32"/>
        <v>526596.69430012221</v>
      </c>
      <c r="AY42" s="786">
        <f t="shared" si="33"/>
        <v>1479734.2115631397</v>
      </c>
      <c r="AZ42" s="787">
        <f t="shared" si="6"/>
        <v>86.201457040844673</v>
      </c>
      <c r="BA42" s="797">
        <f t="shared" si="10"/>
        <v>4118653.0996711059</v>
      </c>
      <c r="BB42" s="775">
        <v>2785502</v>
      </c>
      <c r="BC42" s="775">
        <f t="shared" si="34"/>
        <v>0</v>
      </c>
      <c r="BD42" s="775">
        <f t="shared" si="35"/>
        <v>1333151.0996711059</v>
      </c>
      <c r="BE42" s="798">
        <f t="shared" si="36"/>
        <v>2.0743844078453932E-3</v>
      </c>
      <c r="BF42" s="775">
        <f t="shared" si="37"/>
        <v>-2746.2403803803422</v>
      </c>
      <c r="BG42" s="797">
        <f t="shared" si="38"/>
        <v>4115906.8592907256</v>
      </c>
      <c r="BH42" s="799">
        <v>8.5</v>
      </c>
      <c r="BI42" s="692">
        <f t="shared" si="47"/>
        <v>0</v>
      </c>
      <c r="BJ42" s="800">
        <v>1550</v>
      </c>
      <c r="BK42" s="778">
        <f t="shared" si="39"/>
        <v>0</v>
      </c>
      <c r="BL42" s="786">
        <f t="shared" si="46"/>
        <v>4115906.8592907256</v>
      </c>
      <c r="BM42" s="692">
        <f t="shared" si="40"/>
        <v>4115906.8592907256</v>
      </c>
      <c r="BN42" s="801">
        <f t="shared" si="41"/>
        <v>2.0110946490216816E-3</v>
      </c>
      <c r="BO42" s="787">
        <f t="shared" si="42"/>
        <v>9940.5014871739822</v>
      </c>
      <c r="BP42" s="802">
        <f t="shared" si="43"/>
        <v>4125847</v>
      </c>
      <c r="BQ42" s="803">
        <f t="shared" si="7"/>
        <v>240.34993591984156</v>
      </c>
      <c r="BR42" s="682"/>
      <c r="BS42" s="618"/>
    </row>
    <row r="43" spans="1:71" ht="15.75">
      <c r="A43" s="805" t="s">
        <v>3501</v>
      </c>
      <c r="B43" s="767" t="s">
        <v>3502</v>
      </c>
      <c r="C43" s="768">
        <v>11967</v>
      </c>
      <c r="D43" s="769">
        <v>0</v>
      </c>
      <c r="E43" s="770">
        <v>0</v>
      </c>
      <c r="F43" s="771">
        <v>0</v>
      </c>
      <c r="G43" s="770">
        <v>0</v>
      </c>
      <c r="H43" s="771">
        <v>0</v>
      </c>
      <c r="I43" s="770">
        <f t="shared" si="44"/>
        <v>0</v>
      </c>
      <c r="J43" s="772">
        <f t="shared" si="11"/>
        <v>0</v>
      </c>
      <c r="K43" s="773">
        <v>3210</v>
      </c>
      <c r="L43" s="774">
        <f t="shared" si="12"/>
        <v>1.1585022334551626E-3</v>
      </c>
      <c r="M43" s="775">
        <f t="shared" si="45"/>
        <v>97223.870776113486</v>
      </c>
      <c r="N43" s="806">
        <v>0</v>
      </c>
      <c r="O43" s="777">
        <f t="shared" si="13"/>
        <v>0</v>
      </c>
      <c r="P43" s="778">
        <f t="shared" si="14"/>
        <v>0</v>
      </c>
      <c r="Q43" s="786">
        <f t="shared" si="0"/>
        <v>97223.870776113486</v>
      </c>
      <c r="R43" s="692">
        <f t="shared" si="1"/>
        <v>8.1243311419832445</v>
      </c>
      <c r="S43" s="807">
        <v>59046437.489999995</v>
      </c>
      <c r="T43" s="782">
        <f t="shared" si="8"/>
        <v>2.4253637490704438</v>
      </c>
      <c r="U43" s="777">
        <f t="shared" si="15"/>
        <v>1.3183615323463958E-3</v>
      </c>
      <c r="V43" s="783">
        <f t="shared" si="2"/>
        <v>4934.1052469290544</v>
      </c>
      <c r="W43" s="778">
        <f t="shared" si="16"/>
        <v>525538.04894716875</v>
      </c>
      <c r="X43" s="784">
        <v>12941147.4091</v>
      </c>
      <c r="Y43" s="782">
        <f t="shared" si="9"/>
        <v>11.066181728159417</v>
      </c>
      <c r="Z43" s="782">
        <f t="shared" si="17"/>
        <v>1.7086355759296837E-3</v>
      </c>
      <c r="AA43" s="783">
        <f t="shared" si="3"/>
        <v>1081.402808481658</v>
      </c>
      <c r="AB43" s="692">
        <f t="shared" si="18"/>
        <v>401498.11281606305</v>
      </c>
      <c r="AC43" s="786">
        <f t="shared" si="19"/>
        <v>927036.16176323174</v>
      </c>
      <c r="AD43" s="787">
        <f t="shared" si="4"/>
        <v>77.466045104306147</v>
      </c>
      <c r="AE43" s="788">
        <v>1134.1465000000001</v>
      </c>
      <c r="AF43" s="774">
        <f t="shared" si="20"/>
        <v>1.1796203893238346E-3</v>
      </c>
      <c r="AG43" s="692">
        <f t="shared" si="21"/>
        <v>148494.22424647564</v>
      </c>
      <c r="AH43" s="786">
        <f t="shared" si="22"/>
        <v>148494.22424647564</v>
      </c>
      <c r="AI43" s="692">
        <f t="shared" si="5"/>
        <v>12.408642453954679</v>
      </c>
      <c r="AJ43" s="789">
        <v>822</v>
      </c>
      <c r="AK43" s="777">
        <f t="shared" si="23"/>
        <v>1.0926695432322282E-3</v>
      </c>
      <c r="AL43" s="692">
        <f t="shared" si="24"/>
        <v>22924.764278479197</v>
      </c>
      <c r="AM43" s="790">
        <v>5.666666666666667</v>
      </c>
      <c r="AN43" s="791">
        <f t="shared" si="25"/>
        <v>8.1829121540312835E-4</v>
      </c>
      <c r="AO43" s="778">
        <f t="shared" si="26"/>
        <v>51504.501083032468</v>
      </c>
      <c r="AP43" s="768">
        <v>72</v>
      </c>
      <c r="AQ43" s="792">
        <f t="shared" si="27"/>
        <v>9.7317023721024535E-4</v>
      </c>
      <c r="AR43" s="793">
        <f t="shared" si="28"/>
        <v>81670.431573967697</v>
      </c>
      <c r="AS43" s="794">
        <v>17.916666666666668</v>
      </c>
      <c r="AT43" s="791">
        <f t="shared" si="29"/>
        <v>7.1854686429490466E-4</v>
      </c>
      <c r="AU43" s="795">
        <f t="shared" si="30"/>
        <v>60301.918687231562</v>
      </c>
      <c r="AV43" s="796">
        <v>0</v>
      </c>
      <c r="AW43" s="791">
        <f t="shared" si="31"/>
        <v>0</v>
      </c>
      <c r="AX43" s="795">
        <f t="shared" si="32"/>
        <v>0</v>
      </c>
      <c r="AY43" s="786">
        <f t="shared" si="33"/>
        <v>216401.6156227109</v>
      </c>
      <c r="AZ43" s="787">
        <f t="shared" si="6"/>
        <v>18.083196759648274</v>
      </c>
      <c r="BA43" s="797">
        <f t="shared" si="10"/>
        <v>1389155.8724085318</v>
      </c>
      <c r="BB43" s="775">
        <v>1219050</v>
      </c>
      <c r="BC43" s="775">
        <f t="shared" si="34"/>
        <v>0</v>
      </c>
      <c r="BD43" s="775">
        <f t="shared" si="35"/>
        <v>170105.87240853184</v>
      </c>
      <c r="BE43" s="798">
        <f t="shared" si="36"/>
        <v>2.6468490292979512E-4</v>
      </c>
      <c r="BF43" s="775">
        <f t="shared" si="37"/>
        <v>-350.41160440357038</v>
      </c>
      <c r="BG43" s="797">
        <f t="shared" si="38"/>
        <v>1388805.4608041283</v>
      </c>
      <c r="BH43" s="799">
        <v>5.8</v>
      </c>
      <c r="BI43" s="692">
        <f t="shared" si="47"/>
        <v>0</v>
      </c>
      <c r="BJ43" s="800">
        <v>1150</v>
      </c>
      <c r="BK43" s="778">
        <f t="shared" si="39"/>
        <v>0</v>
      </c>
      <c r="BL43" s="786">
        <f t="shared" si="46"/>
        <v>1388805.4608041283</v>
      </c>
      <c r="BM43" s="692">
        <f t="shared" si="40"/>
        <v>1388805.4608041283</v>
      </c>
      <c r="BN43" s="801">
        <f t="shared" si="41"/>
        <v>6.7859145657066223E-4</v>
      </c>
      <c r="BO43" s="787">
        <f t="shared" si="42"/>
        <v>3354.1630606523995</v>
      </c>
      <c r="BP43" s="802">
        <f t="shared" si="43"/>
        <v>1392160</v>
      </c>
      <c r="BQ43" s="803">
        <f t="shared" si="7"/>
        <v>116.33324977020139</v>
      </c>
      <c r="BR43" s="682"/>
      <c r="BS43" s="618"/>
    </row>
    <row r="44" spans="1:71" ht="15.75">
      <c r="A44" s="805" t="s">
        <v>3503</v>
      </c>
      <c r="B44" s="767" t="s">
        <v>3504</v>
      </c>
      <c r="C44" s="768">
        <v>10495</v>
      </c>
      <c r="D44" s="769">
        <v>0</v>
      </c>
      <c r="E44" s="770">
        <v>0</v>
      </c>
      <c r="F44" s="771">
        <v>0</v>
      </c>
      <c r="G44" s="770">
        <v>0</v>
      </c>
      <c r="H44" s="771">
        <v>0</v>
      </c>
      <c r="I44" s="770">
        <f t="shared" si="44"/>
        <v>0</v>
      </c>
      <c r="J44" s="772">
        <f t="shared" si="11"/>
        <v>0</v>
      </c>
      <c r="K44" s="773">
        <v>3459</v>
      </c>
      <c r="L44" s="774">
        <f t="shared" si="12"/>
        <v>1.2483673599755162E-3</v>
      </c>
      <c r="M44" s="775">
        <f t="shared" si="45"/>
        <v>104765.53551855967</v>
      </c>
      <c r="N44" s="806">
        <v>691</v>
      </c>
      <c r="O44" s="777">
        <f t="shared" si="13"/>
        <v>7.8583718954597717E-4</v>
      </c>
      <c r="P44" s="778">
        <f t="shared" si="14"/>
        <v>65949.060054565081</v>
      </c>
      <c r="Q44" s="786">
        <f t="shared" si="0"/>
        <v>170714.59557312477</v>
      </c>
      <c r="R44" s="692">
        <f t="shared" si="1"/>
        <v>16.266278758754147</v>
      </c>
      <c r="S44" s="807">
        <v>33690173.769999996</v>
      </c>
      <c r="T44" s="782">
        <f t="shared" si="8"/>
        <v>3.269351643952652</v>
      </c>
      <c r="U44" s="777">
        <f t="shared" si="15"/>
        <v>1.7771303148868161E-3</v>
      </c>
      <c r="V44" s="783">
        <f t="shared" si="2"/>
        <v>3210.1166050500233</v>
      </c>
      <c r="W44" s="778">
        <f t="shared" si="16"/>
        <v>708416.9065129339</v>
      </c>
      <c r="X44" s="784">
        <v>7752573.1825000001</v>
      </c>
      <c r="Y44" s="782">
        <f t="shared" si="9"/>
        <v>14.207544051132857</v>
      </c>
      <c r="Z44" s="782">
        <f t="shared" si="17"/>
        <v>2.1936667776367128E-3</v>
      </c>
      <c r="AA44" s="783">
        <f t="shared" si="3"/>
        <v>738.69206121962839</v>
      </c>
      <c r="AB44" s="692">
        <f t="shared" si="18"/>
        <v>515471.57496659807</v>
      </c>
      <c r="AC44" s="786">
        <f t="shared" si="19"/>
        <v>1223888.4814795321</v>
      </c>
      <c r="AD44" s="787">
        <f t="shared" si="4"/>
        <v>116.61633935012216</v>
      </c>
      <c r="AE44" s="788">
        <v>4371.9259000000002</v>
      </c>
      <c r="AF44" s="774">
        <f t="shared" si="20"/>
        <v>4.5472193691493612E-3</v>
      </c>
      <c r="AG44" s="692">
        <f t="shared" si="21"/>
        <v>572417.88867979113</v>
      </c>
      <c r="AH44" s="786">
        <f t="shared" si="22"/>
        <v>572417.88867979113</v>
      </c>
      <c r="AI44" s="692">
        <f t="shared" si="5"/>
        <v>54.541961760818594</v>
      </c>
      <c r="AJ44" s="789">
        <v>1494</v>
      </c>
      <c r="AK44" s="777">
        <f t="shared" si="23"/>
        <v>1.9859468340498163E-3</v>
      </c>
      <c r="AL44" s="692">
        <f t="shared" si="24"/>
        <v>41666.177411250515</v>
      </c>
      <c r="AM44" s="790">
        <v>5</v>
      </c>
      <c r="AN44" s="791">
        <f t="shared" si="25"/>
        <v>7.2202166064981913E-4</v>
      </c>
      <c r="AO44" s="778">
        <f t="shared" si="26"/>
        <v>45445.148014440412</v>
      </c>
      <c r="AP44" s="768">
        <v>116</v>
      </c>
      <c r="AQ44" s="792">
        <f t="shared" si="27"/>
        <v>1.567885382172062E-3</v>
      </c>
      <c r="AR44" s="793">
        <f t="shared" si="28"/>
        <v>131580.13975805909</v>
      </c>
      <c r="AS44" s="794">
        <v>23.138888888888889</v>
      </c>
      <c r="AT44" s="791">
        <f t="shared" si="29"/>
        <v>9.2798377977931096E-4</v>
      </c>
      <c r="AU44" s="795">
        <f t="shared" si="30"/>
        <v>77878.291885990518</v>
      </c>
      <c r="AV44" s="796">
        <v>55</v>
      </c>
      <c r="AW44" s="791">
        <f t="shared" si="31"/>
        <v>7.0038712306438465E-4</v>
      </c>
      <c r="AX44" s="795">
        <f t="shared" si="32"/>
        <v>44083.437117970658</v>
      </c>
      <c r="AY44" s="786">
        <f t="shared" si="33"/>
        <v>340653.19418771123</v>
      </c>
      <c r="AZ44" s="787">
        <f t="shared" si="6"/>
        <v>32.458617835894351</v>
      </c>
      <c r="BA44" s="797">
        <f t="shared" si="10"/>
        <v>2307674.1599201588</v>
      </c>
      <c r="BB44" s="775">
        <v>1423893</v>
      </c>
      <c r="BC44" s="775">
        <f t="shared" si="34"/>
        <v>0</v>
      </c>
      <c r="BD44" s="775">
        <f t="shared" si="35"/>
        <v>883781.1599201588</v>
      </c>
      <c r="BE44" s="798">
        <f t="shared" si="36"/>
        <v>1.3751643444904157E-3</v>
      </c>
      <c r="BF44" s="775">
        <f t="shared" si="37"/>
        <v>-1820.5554564601766</v>
      </c>
      <c r="BG44" s="797">
        <f t="shared" si="38"/>
        <v>2305853.6044636988</v>
      </c>
      <c r="BH44" s="799">
        <v>8.5</v>
      </c>
      <c r="BI44" s="692">
        <f t="shared" si="47"/>
        <v>0</v>
      </c>
      <c r="BJ44" s="800">
        <v>1700</v>
      </c>
      <c r="BK44" s="778">
        <f t="shared" si="39"/>
        <v>0</v>
      </c>
      <c r="BL44" s="786">
        <f t="shared" si="46"/>
        <v>2305853.6044636988</v>
      </c>
      <c r="BM44" s="692">
        <f t="shared" si="40"/>
        <v>2305853.6044636988</v>
      </c>
      <c r="BN44" s="801">
        <f t="shared" si="41"/>
        <v>1.1266751177560475E-3</v>
      </c>
      <c r="BO44" s="787">
        <f t="shared" si="42"/>
        <v>5568.9649858419798</v>
      </c>
      <c r="BP44" s="802">
        <f t="shared" si="43"/>
        <v>2311423</v>
      </c>
      <c r="BQ44" s="803">
        <f t="shared" si="7"/>
        <v>220.24040019056693</v>
      </c>
      <c r="BR44" s="682"/>
      <c r="BS44" s="618"/>
    </row>
    <row r="45" spans="1:71" ht="15.75">
      <c r="A45" s="805" t="s">
        <v>3505</v>
      </c>
      <c r="B45" s="767" t="s">
        <v>3506</v>
      </c>
      <c r="C45" s="768">
        <v>20866</v>
      </c>
      <c r="D45" s="769">
        <v>0</v>
      </c>
      <c r="E45" s="770">
        <v>0</v>
      </c>
      <c r="F45" s="771">
        <v>0</v>
      </c>
      <c r="G45" s="770">
        <v>0</v>
      </c>
      <c r="H45" s="771">
        <v>0</v>
      </c>
      <c r="I45" s="770">
        <f t="shared" si="44"/>
        <v>0</v>
      </c>
      <c r="J45" s="772">
        <f t="shared" si="11"/>
        <v>0</v>
      </c>
      <c r="K45" s="773">
        <v>9656</v>
      </c>
      <c r="L45" s="774">
        <f t="shared" si="12"/>
        <v>3.4848902075523516E-3</v>
      </c>
      <c r="M45" s="775">
        <f t="shared" si="45"/>
        <v>292459.09539381677</v>
      </c>
      <c r="N45" s="806">
        <v>1880.5</v>
      </c>
      <c r="O45" s="777">
        <f t="shared" si="13"/>
        <v>2.138591656933734E-3</v>
      </c>
      <c r="P45" s="778">
        <f t="shared" si="14"/>
        <v>179474.97457685909</v>
      </c>
      <c r="Q45" s="786">
        <f t="shared" si="0"/>
        <v>471934.06997067586</v>
      </c>
      <c r="R45" s="692">
        <f t="shared" si="1"/>
        <v>22.617371320362114</v>
      </c>
      <c r="S45" s="807">
        <v>83487515.870000005</v>
      </c>
      <c r="T45" s="782">
        <f t="shared" si="8"/>
        <v>5.2150306721061623</v>
      </c>
      <c r="U45" s="777">
        <f t="shared" si="15"/>
        <v>2.8347483262031901E-3</v>
      </c>
      <c r="V45" s="783">
        <f t="shared" si="2"/>
        <v>4001.1269946324164</v>
      </c>
      <c r="W45" s="778">
        <f t="shared" si="16"/>
        <v>1130014.8465023965</v>
      </c>
      <c r="X45" s="784">
        <v>22277284.731600001</v>
      </c>
      <c r="Y45" s="782">
        <f t="shared" si="9"/>
        <v>19.544121343585726</v>
      </c>
      <c r="Z45" s="782">
        <f t="shared" si="17"/>
        <v>3.0176425661763862E-3</v>
      </c>
      <c r="AA45" s="783">
        <f t="shared" si="3"/>
        <v>1067.6356144733058</v>
      </c>
      <c r="AB45" s="692">
        <f t="shared" si="18"/>
        <v>709090.81640420051</v>
      </c>
      <c r="AC45" s="786">
        <f t="shared" si="19"/>
        <v>1839105.6629065969</v>
      </c>
      <c r="AD45" s="787">
        <f t="shared" si="4"/>
        <v>88.138870071244938</v>
      </c>
      <c r="AE45" s="788">
        <v>3060.0666999999999</v>
      </c>
      <c r="AF45" s="774">
        <f t="shared" si="20"/>
        <v>3.1827608443978812E-3</v>
      </c>
      <c r="AG45" s="692">
        <f t="shared" si="21"/>
        <v>400655.67434098915</v>
      </c>
      <c r="AH45" s="786">
        <f t="shared" si="22"/>
        <v>400655.67434098915</v>
      </c>
      <c r="AI45" s="692">
        <f t="shared" si="5"/>
        <v>19.201364628629786</v>
      </c>
      <c r="AJ45" s="789">
        <v>1970</v>
      </c>
      <c r="AK45" s="777">
        <f t="shared" si="23"/>
        <v>2.6186849150456075E-3</v>
      </c>
      <c r="AL45" s="692">
        <f t="shared" si="24"/>
        <v>54941.345046963521</v>
      </c>
      <c r="AM45" s="790">
        <v>4.333333333333333</v>
      </c>
      <c r="AN45" s="791">
        <f t="shared" si="25"/>
        <v>6.257521058965098E-4</v>
      </c>
      <c r="AO45" s="778">
        <f t="shared" si="26"/>
        <v>39385.794945848349</v>
      </c>
      <c r="AP45" s="768">
        <v>160</v>
      </c>
      <c r="AQ45" s="792">
        <f t="shared" si="27"/>
        <v>2.1626005271338784E-3</v>
      </c>
      <c r="AR45" s="793">
        <f t="shared" si="28"/>
        <v>181489.84794215043</v>
      </c>
      <c r="AS45" s="794">
        <v>34.305555555555564</v>
      </c>
      <c r="AT45" s="791">
        <f t="shared" si="29"/>
        <v>1.3758222905491588E-3</v>
      </c>
      <c r="AU45" s="795">
        <f t="shared" si="30"/>
        <v>115461.81330035813</v>
      </c>
      <c r="AV45" s="796">
        <v>317</v>
      </c>
      <c r="AW45" s="791">
        <f t="shared" si="31"/>
        <v>4.0367766911165448E-3</v>
      </c>
      <c r="AX45" s="795">
        <f t="shared" si="32"/>
        <v>254080.90120721274</v>
      </c>
      <c r="AY45" s="786">
        <f t="shared" si="33"/>
        <v>645359.7024425331</v>
      </c>
      <c r="AZ45" s="787">
        <f t="shared" si="6"/>
        <v>30.928769406811707</v>
      </c>
      <c r="BA45" s="797">
        <f t="shared" si="10"/>
        <v>3357055.109660795</v>
      </c>
      <c r="BB45" s="775">
        <v>2613957</v>
      </c>
      <c r="BC45" s="775">
        <f t="shared" si="34"/>
        <v>0</v>
      </c>
      <c r="BD45" s="775">
        <f t="shared" si="35"/>
        <v>743098.10966079496</v>
      </c>
      <c r="BE45" s="798">
        <f t="shared" si="36"/>
        <v>1.1562613814443288E-3</v>
      </c>
      <c r="BF45" s="775">
        <f t="shared" si="37"/>
        <v>-1530.7537426464489</v>
      </c>
      <c r="BG45" s="797">
        <f t="shared" si="38"/>
        <v>3355524.3559181485</v>
      </c>
      <c r="BH45" s="799">
        <v>7.5</v>
      </c>
      <c r="BI45" s="692">
        <f t="shared" si="47"/>
        <v>0</v>
      </c>
      <c r="BJ45" s="800">
        <v>1275</v>
      </c>
      <c r="BK45" s="778">
        <f t="shared" si="39"/>
        <v>0</v>
      </c>
      <c r="BL45" s="786">
        <f t="shared" si="46"/>
        <v>3355524.3559181485</v>
      </c>
      <c r="BM45" s="692">
        <f t="shared" si="40"/>
        <v>3355524.3559181485</v>
      </c>
      <c r="BN45" s="801">
        <f t="shared" si="41"/>
        <v>1.6395602008379292E-3</v>
      </c>
      <c r="BO45" s="787">
        <f t="shared" si="42"/>
        <v>8104.0694045250766</v>
      </c>
      <c r="BP45" s="802">
        <f t="shared" si="43"/>
        <v>3363628</v>
      </c>
      <c r="BQ45" s="803">
        <f t="shared" si="7"/>
        <v>161.20138023579028</v>
      </c>
      <c r="BR45" s="682"/>
      <c r="BS45" s="618"/>
    </row>
    <row r="46" spans="1:71" ht="15.75">
      <c r="A46" s="805" t="s">
        <v>3507</v>
      </c>
      <c r="B46" s="767" t="s">
        <v>3508</v>
      </c>
      <c r="C46" s="768">
        <v>10233</v>
      </c>
      <c r="D46" s="769">
        <v>0</v>
      </c>
      <c r="E46" s="770">
        <v>0</v>
      </c>
      <c r="F46" s="771">
        <v>0</v>
      </c>
      <c r="G46" s="770">
        <v>0</v>
      </c>
      <c r="H46" s="771">
        <v>0</v>
      </c>
      <c r="I46" s="770">
        <f t="shared" si="44"/>
        <v>0</v>
      </c>
      <c r="J46" s="772">
        <f t="shared" si="11"/>
        <v>0</v>
      </c>
      <c r="K46" s="773">
        <v>2290</v>
      </c>
      <c r="L46" s="774">
        <f t="shared" si="12"/>
        <v>8.2647044068919699E-4</v>
      </c>
      <c r="M46" s="775">
        <f t="shared" si="45"/>
        <v>69359.085382336416</v>
      </c>
      <c r="N46" s="806">
        <v>1119.5</v>
      </c>
      <c r="O46" s="777">
        <f t="shared" si="13"/>
        <v>1.2731472267680484E-3</v>
      </c>
      <c r="P46" s="778">
        <f t="shared" si="14"/>
        <v>106845.11249071723</v>
      </c>
      <c r="Q46" s="786">
        <f t="shared" si="0"/>
        <v>176204.19787305366</v>
      </c>
      <c r="R46" s="692">
        <f t="shared" si="1"/>
        <v>17.219212144342194</v>
      </c>
      <c r="S46" s="807">
        <v>39914681.670000002</v>
      </c>
      <c r="T46" s="782">
        <f t="shared" si="8"/>
        <v>2.6234529405931246</v>
      </c>
      <c r="U46" s="777">
        <f t="shared" si="15"/>
        <v>1.4260374099038099E-3</v>
      </c>
      <c r="V46" s="783">
        <f t="shared" si="2"/>
        <v>3900.5845470536501</v>
      </c>
      <c r="W46" s="778">
        <f t="shared" si="16"/>
        <v>568460.85063835862</v>
      </c>
      <c r="X46" s="784">
        <v>8437262.7629000004</v>
      </c>
      <c r="Y46" s="782">
        <f t="shared" si="9"/>
        <v>12.410931358028288</v>
      </c>
      <c r="Z46" s="782">
        <f t="shared" si="17"/>
        <v>1.9162669988318981E-3</v>
      </c>
      <c r="AA46" s="783">
        <f t="shared" si="3"/>
        <v>824.51507504153233</v>
      </c>
      <c r="AB46" s="692">
        <f t="shared" si="18"/>
        <v>450287.7000346214</v>
      </c>
      <c r="AC46" s="786">
        <f t="shared" si="19"/>
        <v>1018748.55067298</v>
      </c>
      <c r="AD46" s="787">
        <f t="shared" si="4"/>
        <v>99.555218476788824</v>
      </c>
      <c r="AE46" s="788">
        <v>143.76560000000001</v>
      </c>
      <c r="AF46" s="774">
        <f t="shared" si="20"/>
        <v>1.4952991791040635E-4</v>
      </c>
      <c r="AG46" s="692">
        <f t="shared" si="21"/>
        <v>18823.283628110756</v>
      </c>
      <c r="AH46" s="786">
        <f t="shared" si="22"/>
        <v>18823.283628110756</v>
      </c>
      <c r="AI46" s="692">
        <f t="shared" si="5"/>
        <v>1.8394687411424564</v>
      </c>
      <c r="AJ46" s="789">
        <v>936</v>
      </c>
      <c r="AK46" s="777">
        <f t="shared" si="23"/>
        <v>1.2442076550673547E-3</v>
      </c>
      <c r="AL46" s="692">
        <f t="shared" si="24"/>
        <v>26104.111149217188</v>
      </c>
      <c r="AM46" s="790">
        <v>10</v>
      </c>
      <c r="AN46" s="791">
        <f t="shared" si="25"/>
        <v>1.4440433212996383E-3</v>
      </c>
      <c r="AO46" s="778">
        <f t="shared" si="26"/>
        <v>90890.296028880824</v>
      </c>
      <c r="AP46" s="768">
        <v>135</v>
      </c>
      <c r="AQ46" s="792">
        <f t="shared" si="27"/>
        <v>1.8246941947692101E-3</v>
      </c>
      <c r="AR46" s="793">
        <f t="shared" si="28"/>
        <v>153132.05920118943</v>
      </c>
      <c r="AS46" s="794">
        <v>49.972222222222229</v>
      </c>
      <c r="AT46" s="791">
        <f t="shared" si="29"/>
        <v>2.0041330370023777E-3</v>
      </c>
      <c r="AU46" s="795">
        <f t="shared" si="30"/>
        <v>168190.93289663503</v>
      </c>
      <c r="AV46" s="796">
        <v>12</v>
      </c>
      <c r="AW46" s="791">
        <f t="shared" si="31"/>
        <v>1.5281173594132029E-4</v>
      </c>
      <c r="AX46" s="795">
        <f t="shared" si="32"/>
        <v>9618.2044621026889</v>
      </c>
      <c r="AY46" s="786">
        <f t="shared" si="33"/>
        <v>447935.60373802518</v>
      </c>
      <c r="AZ46" s="787">
        <f t="shared" si="6"/>
        <v>43.7736346856274</v>
      </c>
      <c r="BA46" s="797">
        <f t="shared" si="10"/>
        <v>1661711.6359121697</v>
      </c>
      <c r="BB46" s="775">
        <v>1346140</v>
      </c>
      <c r="BC46" s="775">
        <f t="shared" si="34"/>
        <v>0</v>
      </c>
      <c r="BD46" s="775">
        <f t="shared" si="35"/>
        <v>315571.6359121697</v>
      </c>
      <c r="BE46" s="798">
        <f t="shared" si="36"/>
        <v>4.9102977243612139E-4</v>
      </c>
      <c r="BF46" s="775">
        <f t="shared" si="37"/>
        <v>-650.06552494948733</v>
      </c>
      <c r="BG46" s="797">
        <f t="shared" si="38"/>
        <v>1661061.5703872202</v>
      </c>
      <c r="BH46" s="799">
        <v>6</v>
      </c>
      <c r="BI46" s="692">
        <f t="shared" si="47"/>
        <v>0</v>
      </c>
      <c r="BJ46" s="800">
        <v>1250</v>
      </c>
      <c r="BK46" s="778">
        <f t="shared" si="39"/>
        <v>0</v>
      </c>
      <c r="BL46" s="786">
        <f t="shared" si="46"/>
        <v>1661061.5703872202</v>
      </c>
      <c r="BM46" s="692">
        <f t="shared" si="40"/>
        <v>1661061.5703872202</v>
      </c>
      <c r="BN46" s="801">
        <f t="shared" si="41"/>
        <v>8.1161992972721229E-4</v>
      </c>
      <c r="BO46" s="787">
        <f t="shared" si="42"/>
        <v>4011.7003555243491</v>
      </c>
      <c r="BP46" s="802">
        <f t="shared" si="43"/>
        <v>1665073</v>
      </c>
      <c r="BQ46" s="803">
        <f t="shared" si="7"/>
        <v>162.71601680836508</v>
      </c>
      <c r="BR46" s="682"/>
      <c r="BS46" s="618"/>
    </row>
    <row r="47" spans="1:71" ht="15.75">
      <c r="A47" s="805" t="s">
        <v>3509</v>
      </c>
      <c r="B47" s="767" t="s">
        <v>3510</v>
      </c>
      <c r="C47" s="768">
        <v>7792</v>
      </c>
      <c r="D47" s="769">
        <v>0</v>
      </c>
      <c r="E47" s="770">
        <v>0</v>
      </c>
      <c r="F47" s="771">
        <v>0</v>
      </c>
      <c r="G47" s="770">
        <v>0</v>
      </c>
      <c r="H47" s="771">
        <v>0</v>
      </c>
      <c r="I47" s="770">
        <f t="shared" si="44"/>
        <v>0</v>
      </c>
      <c r="J47" s="772">
        <f t="shared" si="11"/>
        <v>0</v>
      </c>
      <c r="K47" s="773">
        <v>1704</v>
      </c>
      <c r="L47" s="774">
        <f t="shared" si="12"/>
        <v>6.1498062486217979E-4</v>
      </c>
      <c r="M47" s="775">
        <f t="shared" si="45"/>
        <v>51610.428598908846</v>
      </c>
      <c r="N47" s="806">
        <v>116</v>
      </c>
      <c r="O47" s="777">
        <f t="shared" si="13"/>
        <v>1.3192057016980224E-4</v>
      </c>
      <c r="P47" s="778">
        <f t="shared" si="14"/>
        <v>11071.04336661295</v>
      </c>
      <c r="Q47" s="786">
        <f t="shared" si="0"/>
        <v>62681.471965521792</v>
      </c>
      <c r="R47" s="692">
        <f t="shared" si="1"/>
        <v>8.0443367512219961</v>
      </c>
      <c r="S47" s="807">
        <v>36051850.920000002</v>
      </c>
      <c r="T47" s="782">
        <f t="shared" si="8"/>
        <v>1.6841094826096101</v>
      </c>
      <c r="U47" s="777">
        <f t="shared" si="15"/>
        <v>9.154359460444853E-4</v>
      </c>
      <c r="V47" s="783">
        <f t="shared" si="2"/>
        <v>4626.7775821355235</v>
      </c>
      <c r="W47" s="778">
        <f t="shared" si="16"/>
        <v>364919.94738656993</v>
      </c>
      <c r="X47" s="784">
        <v>6518506.5202000001</v>
      </c>
      <c r="Y47" s="782">
        <f t="shared" si="9"/>
        <v>9.3142905989050302</v>
      </c>
      <c r="Z47" s="782">
        <f t="shared" si="17"/>
        <v>1.4381408757583769E-3</v>
      </c>
      <c r="AA47" s="783">
        <f t="shared" si="3"/>
        <v>836.56397846509242</v>
      </c>
      <c r="AB47" s="692">
        <f t="shared" si="18"/>
        <v>337936.8050828827</v>
      </c>
      <c r="AC47" s="786">
        <f t="shared" si="19"/>
        <v>702856.75246945256</v>
      </c>
      <c r="AD47" s="787">
        <f t="shared" si="4"/>
        <v>90.202355296387651</v>
      </c>
      <c r="AE47" s="788">
        <v>2470.1945999999998</v>
      </c>
      <c r="AF47" s="774">
        <f t="shared" si="20"/>
        <v>2.569237674107916E-3</v>
      </c>
      <c r="AG47" s="692">
        <f t="shared" si="21"/>
        <v>323423.50028398726</v>
      </c>
      <c r="AH47" s="786">
        <f t="shared" si="22"/>
        <v>323423.50028398726</v>
      </c>
      <c r="AI47" s="692">
        <f t="shared" si="5"/>
        <v>41.507122726384402</v>
      </c>
      <c r="AJ47" s="789">
        <v>592</v>
      </c>
      <c r="AK47" s="777">
        <f t="shared" si="23"/>
        <v>7.8693475619644659E-4</v>
      </c>
      <c r="AL47" s="692">
        <f t="shared" si="24"/>
        <v>16510.292521727111</v>
      </c>
      <c r="AM47" s="790">
        <v>2.6666666666666665</v>
      </c>
      <c r="AN47" s="791">
        <f t="shared" si="25"/>
        <v>3.8507821901323682E-4</v>
      </c>
      <c r="AO47" s="778">
        <f t="shared" si="26"/>
        <v>24237.412274368216</v>
      </c>
      <c r="AP47" s="768">
        <v>35</v>
      </c>
      <c r="AQ47" s="792">
        <f t="shared" si="27"/>
        <v>4.7306886531053594E-4</v>
      </c>
      <c r="AR47" s="793">
        <f t="shared" si="28"/>
        <v>39700.904237345407</v>
      </c>
      <c r="AS47" s="794">
        <v>17.611111111111111</v>
      </c>
      <c r="AT47" s="791">
        <f t="shared" si="29"/>
        <v>7.0629257668677447E-4</v>
      </c>
      <c r="AU47" s="795">
        <f t="shared" si="30"/>
        <v>59273.513872410556</v>
      </c>
      <c r="AV47" s="796">
        <v>4</v>
      </c>
      <c r="AW47" s="791">
        <f t="shared" si="31"/>
        <v>5.0937245313773429E-5</v>
      </c>
      <c r="AX47" s="795">
        <f t="shared" si="32"/>
        <v>3206.0681540342298</v>
      </c>
      <c r="AY47" s="786">
        <f t="shared" si="33"/>
        <v>142928.19105988555</v>
      </c>
      <c r="AZ47" s="787">
        <f t="shared" si="6"/>
        <v>18.342940331094141</v>
      </c>
      <c r="BA47" s="797">
        <f t="shared" si="10"/>
        <v>1231889.9157788472</v>
      </c>
      <c r="BB47" s="775">
        <v>869105</v>
      </c>
      <c r="BC47" s="775">
        <f t="shared" si="34"/>
        <v>0</v>
      </c>
      <c r="BD47" s="775">
        <f t="shared" si="35"/>
        <v>362784.91577884718</v>
      </c>
      <c r="BE47" s="798">
        <f t="shared" si="36"/>
        <v>5.6449368183306701E-4</v>
      </c>
      <c r="BF47" s="775">
        <f t="shared" si="37"/>
        <v>-747.32307939478255</v>
      </c>
      <c r="BG47" s="797">
        <f t="shared" si="38"/>
        <v>1231142.5926994523</v>
      </c>
      <c r="BH47" s="799">
        <v>7.2</v>
      </c>
      <c r="BI47" s="692">
        <f t="shared" si="47"/>
        <v>0</v>
      </c>
      <c r="BJ47" s="800">
        <v>1150</v>
      </c>
      <c r="BK47" s="778">
        <f t="shared" si="39"/>
        <v>0</v>
      </c>
      <c r="BL47" s="786">
        <f t="shared" si="46"/>
        <v>1231142.5926994523</v>
      </c>
      <c r="BM47" s="692">
        <f t="shared" si="40"/>
        <v>1231142.5926994523</v>
      </c>
      <c r="BN47" s="801">
        <f t="shared" si="41"/>
        <v>6.015549829004672E-4</v>
      </c>
      <c r="BO47" s="787">
        <f t="shared" si="42"/>
        <v>2973.3847708500098</v>
      </c>
      <c r="BP47" s="802">
        <f t="shared" si="43"/>
        <v>1234116</v>
      </c>
      <c r="BQ47" s="803">
        <f t="shared" si="7"/>
        <v>158.38244353182751</v>
      </c>
      <c r="BR47" s="682"/>
      <c r="BS47" s="618"/>
    </row>
    <row r="48" spans="1:71" ht="15.75">
      <c r="A48" s="805" t="s">
        <v>3511</v>
      </c>
      <c r="B48" s="767" t="s">
        <v>3512</v>
      </c>
      <c r="C48" s="768">
        <v>14330</v>
      </c>
      <c r="D48" s="769">
        <v>0</v>
      </c>
      <c r="E48" s="770">
        <v>0</v>
      </c>
      <c r="F48" s="771">
        <v>0</v>
      </c>
      <c r="G48" s="770">
        <v>0</v>
      </c>
      <c r="H48" s="771">
        <v>0</v>
      </c>
      <c r="I48" s="770">
        <f t="shared" si="44"/>
        <v>0</v>
      </c>
      <c r="J48" s="772">
        <f t="shared" si="11"/>
        <v>0</v>
      </c>
      <c r="K48" s="773">
        <v>3286</v>
      </c>
      <c r="L48" s="774">
        <f t="shared" si="12"/>
        <v>1.185930946770612E-3</v>
      </c>
      <c r="M48" s="775">
        <f t="shared" si="45"/>
        <v>99525.744352121168</v>
      </c>
      <c r="N48" s="806">
        <v>1484</v>
      </c>
      <c r="O48" s="777">
        <f t="shared" si="13"/>
        <v>1.6876735011378148E-3</v>
      </c>
      <c r="P48" s="778">
        <f t="shared" si="14"/>
        <v>141633.00306942774</v>
      </c>
      <c r="Q48" s="786">
        <f t="shared" si="0"/>
        <v>241158.74742154891</v>
      </c>
      <c r="R48" s="692">
        <f t="shared" si="1"/>
        <v>16.828942597456308</v>
      </c>
      <c r="S48" s="807">
        <v>49891987.950000003</v>
      </c>
      <c r="T48" s="782">
        <f t="shared" si="8"/>
        <v>4.1158692695467147</v>
      </c>
      <c r="U48" s="777">
        <f t="shared" si="15"/>
        <v>2.2372741899917979E-3</v>
      </c>
      <c r="V48" s="783">
        <f t="shared" si="2"/>
        <v>3481.6460537334265</v>
      </c>
      <c r="W48" s="778">
        <f t="shared" si="16"/>
        <v>891843.91680143157</v>
      </c>
      <c r="X48" s="784">
        <v>8742598.321800001</v>
      </c>
      <c r="Y48" s="782">
        <f t="shared" si="9"/>
        <v>23.48831462243378</v>
      </c>
      <c r="Z48" s="782">
        <f t="shared" si="17"/>
        <v>3.6266321092844429E-3</v>
      </c>
      <c r="AA48" s="783">
        <f t="shared" si="3"/>
        <v>610.09060166085146</v>
      </c>
      <c r="AB48" s="692">
        <f t="shared" si="18"/>
        <v>852192.22183382954</v>
      </c>
      <c r="AC48" s="786">
        <f t="shared" si="19"/>
        <v>1744036.138635261</v>
      </c>
      <c r="AD48" s="787">
        <f t="shared" si="4"/>
        <v>121.70524344977397</v>
      </c>
      <c r="AE48" s="788">
        <v>4677.3424000000005</v>
      </c>
      <c r="AF48" s="774">
        <f t="shared" si="20"/>
        <v>4.8648816205744839E-3</v>
      </c>
      <c r="AG48" s="692">
        <f t="shared" si="21"/>
        <v>612406.184935675</v>
      </c>
      <c r="AH48" s="786">
        <f t="shared" si="22"/>
        <v>612406.184935675</v>
      </c>
      <c r="AI48" s="692">
        <f t="shared" si="5"/>
        <v>42.735951495860085</v>
      </c>
      <c r="AJ48" s="789">
        <v>1652</v>
      </c>
      <c r="AK48" s="777">
        <f t="shared" si="23"/>
        <v>2.1959733399265703E-3</v>
      </c>
      <c r="AL48" s="692">
        <f t="shared" si="24"/>
        <v>46072.640618062811</v>
      </c>
      <c r="AM48" s="790">
        <v>3</v>
      </c>
      <c r="AN48" s="791">
        <f t="shared" si="25"/>
        <v>4.3321299638989148E-4</v>
      </c>
      <c r="AO48" s="778">
        <f t="shared" si="26"/>
        <v>27267.088808664244</v>
      </c>
      <c r="AP48" s="768">
        <v>137</v>
      </c>
      <c r="AQ48" s="792">
        <f t="shared" si="27"/>
        <v>1.8517267013583834E-3</v>
      </c>
      <c r="AR48" s="793">
        <f t="shared" si="28"/>
        <v>155400.68230046632</v>
      </c>
      <c r="AS48" s="794">
        <v>12.388888888888888</v>
      </c>
      <c r="AT48" s="791">
        <f t="shared" si="29"/>
        <v>4.9685566120236807E-4</v>
      </c>
      <c r="AU48" s="795">
        <f t="shared" si="30"/>
        <v>41697.140673651578</v>
      </c>
      <c r="AV48" s="796">
        <v>43</v>
      </c>
      <c r="AW48" s="791">
        <f t="shared" si="31"/>
        <v>5.4757538712306441E-4</v>
      </c>
      <c r="AX48" s="795">
        <f t="shared" si="32"/>
        <v>34465.232655867971</v>
      </c>
      <c r="AY48" s="786">
        <f t="shared" si="33"/>
        <v>304902.78505671292</v>
      </c>
      <c r="AZ48" s="787">
        <f t="shared" si="6"/>
        <v>21.277235523845981</v>
      </c>
      <c r="BA48" s="797">
        <f t="shared" si="10"/>
        <v>2902503.8560491977</v>
      </c>
      <c r="BB48" s="775">
        <v>1962718</v>
      </c>
      <c r="BC48" s="775">
        <f t="shared" si="34"/>
        <v>0</v>
      </c>
      <c r="BD48" s="775">
        <f t="shared" si="35"/>
        <v>939785.85604919773</v>
      </c>
      <c r="BE48" s="798">
        <f t="shared" si="36"/>
        <v>1.4623077061430136E-3</v>
      </c>
      <c r="BF48" s="775">
        <f t="shared" si="37"/>
        <v>-1935.9229928470434</v>
      </c>
      <c r="BG48" s="797">
        <f t="shared" si="38"/>
        <v>2900567.9330563508</v>
      </c>
      <c r="BH48" s="799">
        <v>8</v>
      </c>
      <c r="BI48" s="692">
        <f t="shared" si="47"/>
        <v>0</v>
      </c>
      <c r="BJ48" s="800">
        <v>1300</v>
      </c>
      <c r="BK48" s="778">
        <f t="shared" si="39"/>
        <v>0</v>
      </c>
      <c r="BL48" s="786">
        <f t="shared" si="46"/>
        <v>2900567.9330563508</v>
      </c>
      <c r="BM48" s="692">
        <f t="shared" si="40"/>
        <v>2900567.9330563508</v>
      </c>
      <c r="BN48" s="801">
        <f t="shared" si="41"/>
        <v>1.4172615777556087E-3</v>
      </c>
      <c r="BO48" s="787">
        <f t="shared" si="42"/>
        <v>7005.2848224958343</v>
      </c>
      <c r="BP48" s="802">
        <f t="shared" si="43"/>
        <v>2907573</v>
      </c>
      <c r="BQ48" s="803">
        <f t="shared" si="7"/>
        <v>202.90111653872995</v>
      </c>
      <c r="BR48" s="682"/>
      <c r="BS48" s="618"/>
    </row>
    <row r="49" spans="1:71" ht="15.75">
      <c r="A49" s="766" t="s">
        <v>3513</v>
      </c>
      <c r="B49" s="767" t="s">
        <v>3514</v>
      </c>
      <c r="C49" s="768">
        <v>37301</v>
      </c>
      <c r="D49" s="769">
        <v>0</v>
      </c>
      <c r="E49" s="770">
        <v>0</v>
      </c>
      <c r="F49" s="771">
        <v>0</v>
      </c>
      <c r="G49" s="770">
        <v>0</v>
      </c>
      <c r="H49" s="771">
        <v>0</v>
      </c>
      <c r="I49" s="770">
        <f t="shared" si="44"/>
        <v>0</v>
      </c>
      <c r="J49" s="772">
        <f t="shared" si="11"/>
        <v>0</v>
      </c>
      <c r="K49" s="773">
        <v>14781</v>
      </c>
      <c r="L49" s="774">
        <f t="shared" si="12"/>
        <v>5.3345238357323235E-3</v>
      </c>
      <c r="M49" s="775">
        <f t="shared" si="45"/>
        <v>447684.1227232815</v>
      </c>
      <c r="N49" s="806">
        <v>5560</v>
      </c>
      <c r="O49" s="777">
        <f t="shared" si="13"/>
        <v>6.3230893977939693E-3</v>
      </c>
      <c r="P49" s="778">
        <f t="shared" si="14"/>
        <v>530646.56136524142</v>
      </c>
      <c r="Q49" s="786">
        <f t="shared" si="0"/>
        <v>978330.68408852292</v>
      </c>
      <c r="R49" s="692">
        <f t="shared" si="1"/>
        <v>26.22800150367344</v>
      </c>
      <c r="S49" s="807">
        <v>162259189.22</v>
      </c>
      <c r="T49" s="782">
        <f t="shared" si="8"/>
        <v>8.5749510255071648</v>
      </c>
      <c r="U49" s="777">
        <f t="shared" si="15"/>
        <v>4.6611093194229881E-3</v>
      </c>
      <c r="V49" s="783">
        <f t="shared" si="2"/>
        <v>4349.9956896597951</v>
      </c>
      <c r="W49" s="778">
        <f t="shared" si="16"/>
        <v>1858056.5630576967</v>
      </c>
      <c r="X49" s="784">
        <v>45172177.4617</v>
      </c>
      <c r="Y49" s="782">
        <f t="shared" si="9"/>
        <v>30.801362236294501</v>
      </c>
      <c r="Z49" s="782">
        <f t="shared" si="17"/>
        <v>4.7557779726416314E-3</v>
      </c>
      <c r="AA49" s="783">
        <f t="shared" si="3"/>
        <v>1211.0178671268866</v>
      </c>
      <c r="AB49" s="692">
        <f t="shared" si="18"/>
        <v>1117520.8499032196</v>
      </c>
      <c r="AC49" s="786">
        <f t="shared" si="19"/>
        <v>2975577.4129609163</v>
      </c>
      <c r="AD49" s="787">
        <f t="shared" si="4"/>
        <v>79.772054715983927</v>
      </c>
      <c r="AE49" s="788">
        <v>1669.6895999999999</v>
      </c>
      <c r="AF49" s="774">
        <f t="shared" si="20"/>
        <v>1.7366362246869849E-3</v>
      </c>
      <c r="AG49" s="692">
        <f t="shared" si="21"/>
        <v>218613.08207044521</v>
      </c>
      <c r="AH49" s="786">
        <f t="shared" si="22"/>
        <v>218613.08207044521</v>
      </c>
      <c r="AI49" s="692">
        <f t="shared" si="5"/>
        <v>5.8607834125209832</v>
      </c>
      <c r="AJ49" s="789">
        <v>2780</v>
      </c>
      <c r="AK49" s="777">
        <f t="shared" si="23"/>
        <v>3.6954030780846645E-3</v>
      </c>
      <c r="AL49" s="692">
        <f t="shared" si="24"/>
        <v>77531.441233786085</v>
      </c>
      <c r="AM49" s="790">
        <v>13</v>
      </c>
      <c r="AN49" s="791">
        <f t="shared" si="25"/>
        <v>1.8772563176895297E-3</v>
      </c>
      <c r="AO49" s="778">
        <f t="shared" si="26"/>
        <v>118157.38483754506</v>
      </c>
      <c r="AP49" s="768">
        <v>244</v>
      </c>
      <c r="AQ49" s="792">
        <f t="shared" si="27"/>
        <v>3.2979658038791645E-3</v>
      </c>
      <c r="AR49" s="793">
        <f t="shared" si="28"/>
        <v>276772.01811177941</v>
      </c>
      <c r="AS49" s="794">
        <v>94.527777777777771</v>
      </c>
      <c r="AT49" s="791">
        <f t="shared" si="29"/>
        <v>3.7910309754969926E-3</v>
      </c>
      <c r="AU49" s="795">
        <f t="shared" si="30"/>
        <v>318151.05316689762</v>
      </c>
      <c r="AV49" s="796">
        <v>187</v>
      </c>
      <c r="AW49" s="791">
        <f t="shared" si="31"/>
        <v>2.381316218418908E-3</v>
      </c>
      <c r="AX49" s="795">
        <f t="shared" si="32"/>
        <v>149883.68620110027</v>
      </c>
      <c r="AY49" s="786">
        <f t="shared" si="33"/>
        <v>940495.58355110849</v>
      </c>
      <c r="AZ49" s="787">
        <f t="shared" si="6"/>
        <v>25.213682838291426</v>
      </c>
      <c r="BA49" s="797">
        <f t="shared" si="10"/>
        <v>5113016.7626709929</v>
      </c>
      <c r="BB49" s="775">
        <v>5355855</v>
      </c>
      <c r="BC49" s="775">
        <f t="shared" si="34"/>
        <v>242838.23732900713</v>
      </c>
      <c r="BD49" s="775">
        <f t="shared" si="35"/>
        <v>0</v>
      </c>
      <c r="BE49" s="798">
        <f t="shared" si="36"/>
        <v>0</v>
      </c>
      <c r="BF49" s="775">
        <f t="shared" si="37"/>
        <v>0</v>
      </c>
      <c r="BG49" s="797">
        <f t="shared" si="38"/>
        <v>5355855</v>
      </c>
      <c r="BH49" s="799">
        <v>6</v>
      </c>
      <c r="BI49" s="692">
        <f t="shared" si="47"/>
        <v>0</v>
      </c>
      <c r="BJ49" s="800">
        <v>900</v>
      </c>
      <c r="BK49" s="778">
        <f t="shared" si="39"/>
        <v>0</v>
      </c>
      <c r="BL49" s="786">
        <f t="shared" si="46"/>
        <v>5355855</v>
      </c>
      <c r="BM49" s="692">
        <f t="shared" si="40"/>
        <v>0</v>
      </c>
      <c r="BN49" s="801">
        <f t="shared" si="41"/>
        <v>0</v>
      </c>
      <c r="BO49" s="787">
        <f t="shared" si="42"/>
        <v>0</v>
      </c>
      <c r="BP49" s="802">
        <f t="shared" si="43"/>
        <v>5355855</v>
      </c>
      <c r="BQ49" s="803">
        <f t="shared" si="7"/>
        <v>143.58475644084609</v>
      </c>
      <c r="BR49" s="682"/>
      <c r="BS49" s="618"/>
    </row>
    <row r="50" spans="1:71" ht="15.75">
      <c r="A50" s="805" t="s">
        <v>3515</v>
      </c>
      <c r="B50" s="767" t="s">
        <v>3516</v>
      </c>
      <c r="C50" s="768">
        <v>27906</v>
      </c>
      <c r="D50" s="769">
        <v>0</v>
      </c>
      <c r="E50" s="770">
        <v>0</v>
      </c>
      <c r="F50" s="771">
        <v>0</v>
      </c>
      <c r="G50" s="770">
        <v>0</v>
      </c>
      <c r="H50" s="771">
        <v>0</v>
      </c>
      <c r="I50" s="770">
        <f t="shared" si="44"/>
        <v>0</v>
      </c>
      <c r="J50" s="772">
        <f t="shared" si="11"/>
        <v>0</v>
      </c>
      <c r="K50" s="773">
        <v>8748</v>
      </c>
      <c r="L50" s="774">
        <f t="shared" si="12"/>
        <v>3.1571892642572466E-3</v>
      </c>
      <c r="M50" s="775">
        <f t="shared" si="45"/>
        <v>264957.76372256724</v>
      </c>
      <c r="N50" s="806">
        <v>655.5</v>
      </c>
      <c r="O50" s="777">
        <f t="shared" si="13"/>
        <v>7.4546494608883937E-4</v>
      </c>
      <c r="P50" s="778">
        <f t="shared" si="14"/>
        <v>62560.939024265419</v>
      </c>
      <c r="Q50" s="786">
        <f t="shared" si="0"/>
        <v>327518.70274683263</v>
      </c>
      <c r="R50" s="692">
        <f t="shared" si="1"/>
        <v>11.736497625845074</v>
      </c>
      <c r="S50" s="807">
        <v>108764266.33000001</v>
      </c>
      <c r="T50" s="782">
        <f t="shared" si="8"/>
        <v>7.1599327819416541</v>
      </c>
      <c r="U50" s="777">
        <f t="shared" si="15"/>
        <v>3.8919440259283056E-3</v>
      </c>
      <c r="V50" s="783">
        <f t="shared" si="2"/>
        <v>3897.5226234501547</v>
      </c>
      <c r="W50" s="778">
        <f t="shared" si="16"/>
        <v>1551444.4405531525</v>
      </c>
      <c r="X50" s="784">
        <v>22828471.647799999</v>
      </c>
      <c r="Y50" s="782">
        <f t="shared" si="9"/>
        <v>34.112876587384172</v>
      </c>
      <c r="Z50" s="782">
        <f t="shared" si="17"/>
        <v>5.2670809106799181E-3</v>
      </c>
      <c r="AA50" s="783">
        <f t="shared" si="3"/>
        <v>818.0488657564681</v>
      </c>
      <c r="AB50" s="692">
        <f t="shared" si="18"/>
        <v>1237667.6896340863</v>
      </c>
      <c r="AC50" s="786">
        <f t="shared" si="19"/>
        <v>2789112.1301872386</v>
      </c>
      <c r="AD50" s="787">
        <f t="shared" si="4"/>
        <v>99.946682798940685</v>
      </c>
      <c r="AE50" s="788">
        <v>5721.4776000000002</v>
      </c>
      <c r="AF50" s="774">
        <f t="shared" si="20"/>
        <v>5.9508816841736048E-3</v>
      </c>
      <c r="AG50" s="692">
        <f t="shared" si="21"/>
        <v>749115.19610172696</v>
      </c>
      <c r="AH50" s="786">
        <f t="shared" si="22"/>
        <v>749115.19610172696</v>
      </c>
      <c r="AI50" s="692">
        <f t="shared" si="5"/>
        <v>26.84423407517118</v>
      </c>
      <c r="AJ50" s="789">
        <v>2323</v>
      </c>
      <c r="AK50" s="777">
        <f t="shared" si="23"/>
        <v>3.0879213490613944E-3</v>
      </c>
      <c r="AL50" s="692">
        <f t="shared" si="24"/>
        <v>64786.164743196074</v>
      </c>
      <c r="AM50" s="790">
        <v>8.3333333333333339</v>
      </c>
      <c r="AN50" s="791">
        <f t="shared" si="25"/>
        <v>1.2033694344163652E-3</v>
      </c>
      <c r="AO50" s="778">
        <f t="shared" si="26"/>
        <v>75741.913357400685</v>
      </c>
      <c r="AP50" s="768">
        <v>252</v>
      </c>
      <c r="AQ50" s="792">
        <f t="shared" si="27"/>
        <v>3.4060958302358584E-3</v>
      </c>
      <c r="AR50" s="793">
        <f t="shared" si="28"/>
        <v>285846.51050888695</v>
      </c>
      <c r="AS50" s="794">
        <v>36.916666666666664</v>
      </c>
      <c r="AT50" s="791">
        <f t="shared" si="29"/>
        <v>1.4805407482913614E-3</v>
      </c>
      <c r="AU50" s="795">
        <f t="shared" si="30"/>
        <v>124249.99989973757</v>
      </c>
      <c r="AV50" s="796">
        <v>79</v>
      </c>
      <c r="AW50" s="791">
        <f t="shared" si="31"/>
        <v>1.0060105949470253E-3</v>
      </c>
      <c r="AX50" s="795">
        <f t="shared" si="32"/>
        <v>63319.846042176046</v>
      </c>
      <c r="AY50" s="786">
        <f t="shared" si="33"/>
        <v>613944.43455139734</v>
      </c>
      <c r="AZ50" s="787">
        <f t="shared" si="6"/>
        <v>22.000445587020618</v>
      </c>
      <c r="BA50" s="797">
        <f t="shared" si="10"/>
        <v>4479690.4635871956</v>
      </c>
      <c r="BB50" s="775">
        <v>3611549</v>
      </c>
      <c r="BC50" s="775">
        <f t="shared" si="34"/>
        <v>0</v>
      </c>
      <c r="BD50" s="775">
        <f t="shared" si="35"/>
        <v>868141.46358719561</v>
      </c>
      <c r="BE50" s="798">
        <f t="shared" si="36"/>
        <v>1.3508289617835797E-3</v>
      </c>
      <c r="BF50" s="775">
        <f t="shared" si="37"/>
        <v>-1788.338278964643</v>
      </c>
      <c r="BG50" s="797">
        <f t="shared" si="38"/>
        <v>4477902.1253082305</v>
      </c>
      <c r="BH50" s="799">
        <v>7</v>
      </c>
      <c r="BI50" s="692">
        <f t="shared" si="47"/>
        <v>0</v>
      </c>
      <c r="BJ50" s="800">
        <v>995</v>
      </c>
      <c r="BK50" s="778">
        <f t="shared" si="39"/>
        <v>0</v>
      </c>
      <c r="BL50" s="786">
        <f t="shared" si="46"/>
        <v>4477902.1253082305</v>
      </c>
      <c r="BM50" s="692">
        <f t="shared" si="40"/>
        <v>4477902.1253082305</v>
      </c>
      <c r="BN50" s="801">
        <f t="shared" si="41"/>
        <v>2.1879710379554287E-3</v>
      </c>
      <c r="BO50" s="787">
        <f t="shared" si="42"/>
        <v>10814.771630599202</v>
      </c>
      <c r="BP50" s="802">
        <f t="shared" si="43"/>
        <v>4488717</v>
      </c>
      <c r="BQ50" s="803">
        <f t="shared" si="7"/>
        <v>160.85132229628036</v>
      </c>
      <c r="BR50" s="682"/>
      <c r="BS50" s="618"/>
    </row>
    <row r="51" spans="1:71" ht="15.75">
      <c r="A51" s="766" t="s">
        <v>3517</v>
      </c>
      <c r="B51" s="767" t="s">
        <v>3518</v>
      </c>
      <c r="C51" s="768">
        <v>16496</v>
      </c>
      <c r="D51" s="769">
        <v>0</v>
      </c>
      <c r="E51" s="770">
        <v>0</v>
      </c>
      <c r="F51" s="771">
        <v>0</v>
      </c>
      <c r="G51" s="770">
        <v>0</v>
      </c>
      <c r="H51" s="771">
        <f>C51/($C$38+$C$51+$C$53+$C$56+$C$57+$C$141+$C$143+$C$199+$C$209+$C$213)*$H$7</f>
        <v>1039057.5767746972</v>
      </c>
      <c r="I51" s="770">
        <f t="shared" si="44"/>
        <v>1039057.5767746972</v>
      </c>
      <c r="J51" s="772">
        <f t="shared" si="11"/>
        <v>62.988456400018016</v>
      </c>
      <c r="K51" s="773">
        <v>3235</v>
      </c>
      <c r="L51" s="774">
        <f t="shared" si="12"/>
        <v>1.1675248365194551E-3</v>
      </c>
      <c r="M51" s="775">
        <f t="shared" si="45"/>
        <v>97981.066031379174</v>
      </c>
      <c r="N51" s="806">
        <v>95</v>
      </c>
      <c r="O51" s="777">
        <f t="shared" si="13"/>
        <v>1.0803839798388977E-4</v>
      </c>
      <c r="P51" s="778">
        <f t="shared" si="14"/>
        <v>9066.8027571399161</v>
      </c>
      <c r="Q51" s="786">
        <f t="shared" si="0"/>
        <v>107047.86878851909</v>
      </c>
      <c r="R51" s="692">
        <f t="shared" si="1"/>
        <v>6.4893227927084798</v>
      </c>
      <c r="S51" s="807">
        <v>55666546.990000002</v>
      </c>
      <c r="T51" s="782">
        <f t="shared" si="8"/>
        <v>4.8883581021988585</v>
      </c>
      <c r="U51" s="777">
        <f t="shared" si="15"/>
        <v>2.6571780339105021E-3</v>
      </c>
      <c r="V51" s="783">
        <f t="shared" si="2"/>
        <v>3374.5481928952477</v>
      </c>
      <c r="W51" s="778">
        <f t="shared" si="16"/>
        <v>1059230.055932553</v>
      </c>
      <c r="X51" s="784">
        <v>14041132.6526</v>
      </c>
      <c r="Y51" s="782">
        <f t="shared" si="9"/>
        <v>19.380061618434453</v>
      </c>
      <c r="Z51" s="782">
        <f t="shared" si="17"/>
        <v>2.9923114908464552E-3</v>
      </c>
      <c r="AA51" s="783">
        <f t="shared" si="3"/>
        <v>851.18408417798253</v>
      </c>
      <c r="AB51" s="692">
        <f t="shared" si="18"/>
        <v>703138.47695637238</v>
      </c>
      <c r="AC51" s="786">
        <f t="shared" si="19"/>
        <v>1762368.5328889254</v>
      </c>
      <c r="AD51" s="787">
        <f t="shared" si="4"/>
        <v>106.83611377842661</v>
      </c>
      <c r="AE51" s="788">
        <v>702.03150000000005</v>
      </c>
      <c r="AF51" s="774">
        <f t="shared" si="20"/>
        <v>7.3017962965771677E-4</v>
      </c>
      <c r="AG51" s="692">
        <f t="shared" si="21"/>
        <v>91917.246130980144</v>
      </c>
      <c r="AH51" s="786">
        <f t="shared" si="22"/>
        <v>91917.246130980144</v>
      </c>
      <c r="AI51" s="692">
        <f t="shared" si="5"/>
        <v>5.5720930001806588</v>
      </c>
      <c r="AJ51" s="789">
        <v>1879</v>
      </c>
      <c r="AK51" s="777">
        <f t="shared" si="23"/>
        <v>2.4977202819140591E-3</v>
      </c>
      <c r="AL51" s="692">
        <f t="shared" si="24"/>
        <v>52403.445351900737</v>
      </c>
      <c r="AM51" s="790">
        <v>12.666666666666666</v>
      </c>
      <c r="AN51" s="791">
        <f t="shared" si="25"/>
        <v>1.8291215403128749E-3</v>
      </c>
      <c r="AO51" s="778">
        <f t="shared" si="26"/>
        <v>115127.70830324902</v>
      </c>
      <c r="AP51" s="768">
        <v>245</v>
      </c>
      <c r="AQ51" s="792">
        <f t="shared" si="27"/>
        <v>3.3114820571737516E-3</v>
      </c>
      <c r="AR51" s="793">
        <f t="shared" si="28"/>
        <v>277906.32966141787</v>
      </c>
      <c r="AS51" s="794">
        <v>36.44444444444445</v>
      </c>
      <c r="AT51" s="791">
        <f t="shared" si="29"/>
        <v>1.4616023038060697E-3</v>
      </c>
      <c r="AU51" s="795">
        <f t="shared" si="30"/>
        <v>122660.64700410514</v>
      </c>
      <c r="AV51" s="796">
        <v>91</v>
      </c>
      <c r="AW51" s="791">
        <f t="shared" si="31"/>
        <v>1.1588223308883455E-3</v>
      </c>
      <c r="AX51" s="795">
        <f t="shared" si="32"/>
        <v>72938.050504278726</v>
      </c>
      <c r="AY51" s="786">
        <f t="shared" si="33"/>
        <v>641036.1808249515</v>
      </c>
      <c r="AZ51" s="787">
        <f t="shared" si="6"/>
        <v>38.860098255634789</v>
      </c>
      <c r="BA51" s="797">
        <f t="shared" si="10"/>
        <v>3641427.4054080732</v>
      </c>
      <c r="BB51" s="775">
        <v>2315757</v>
      </c>
      <c r="BC51" s="775">
        <f t="shared" si="34"/>
        <v>0</v>
      </c>
      <c r="BD51" s="775">
        <f t="shared" si="35"/>
        <v>1325670.4054080732</v>
      </c>
      <c r="BE51" s="798">
        <f t="shared" si="36"/>
        <v>2.0627444402956368E-3</v>
      </c>
      <c r="BF51" s="775">
        <f t="shared" si="37"/>
        <v>-2730.8304357285406</v>
      </c>
      <c r="BG51" s="797">
        <f t="shared" si="38"/>
        <v>3638696.5749723446</v>
      </c>
      <c r="BH51" s="799">
        <v>7</v>
      </c>
      <c r="BI51" s="692">
        <f t="shared" si="47"/>
        <v>0</v>
      </c>
      <c r="BJ51" s="800">
        <v>1775</v>
      </c>
      <c r="BK51" s="778">
        <f t="shared" si="39"/>
        <v>0</v>
      </c>
      <c r="BL51" s="786">
        <f t="shared" si="46"/>
        <v>3638696.5749723446</v>
      </c>
      <c r="BM51" s="692">
        <f t="shared" si="40"/>
        <v>3638696.5749723446</v>
      </c>
      <c r="BN51" s="801">
        <f t="shared" si="41"/>
        <v>1.7779224509957537E-3</v>
      </c>
      <c r="BO51" s="787">
        <f t="shared" si="42"/>
        <v>8787.9706590640744</v>
      </c>
      <c r="BP51" s="802">
        <f t="shared" si="43"/>
        <v>3647485</v>
      </c>
      <c r="BQ51" s="803">
        <f t="shared" si="7"/>
        <v>221.11330019398642</v>
      </c>
      <c r="BR51" s="682"/>
      <c r="BS51" s="618"/>
    </row>
    <row r="52" spans="1:71" ht="15.75">
      <c r="A52" s="805" t="s">
        <v>3519</v>
      </c>
      <c r="B52" s="767" t="s">
        <v>3520</v>
      </c>
      <c r="C52" s="768">
        <v>15379</v>
      </c>
      <c r="D52" s="769">
        <v>0</v>
      </c>
      <c r="E52" s="770">
        <v>0</v>
      </c>
      <c r="F52" s="771">
        <v>0</v>
      </c>
      <c r="G52" s="770">
        <v>0</v>
      </c>
      <c r="H52" s="771">
        <v>0</v>
      </c>
      <c r="I52" s="770">
        <f t="shared" si="44"/>
        <v>0</v>
      </c>
      <c r="J52" s="772">
        <f t="shared" si="11"/>
        <v>0</v>
      </c>
      <c r="K52" s="773">
        <v>7639</v>
      </c>
      <c r="L52" s="774">
        <f t="shared" si="12"/>
        <v>2.7569465923252294E-3</v>
      </c>
      <c r="M52" s="775">
        <f t="shared" si="45"/>
        <v>231368.5821989816</v>
      </c>
      <c r="N52" s="806">
        <v>2496.5</v>
      </c>
      <c r="O52" s="777">
        <f t="shared" si="13"/>
        <v>2.8391353743871662E-3</v>
      </c>
      <c r="P52" s="778">
        <f t="shared" si="14"/>
        <v>238266.03245473476</v>
      </c>
      <c r="Q52" s="786">
        <f t="shared" si="0"/>
        <v>469634.61465371633</v>
      </c>
      <c r="R52" s="692">
        <f t="shared" si="1"/>
        <v>30.537396102068815</v>
      </c>
      <c r="S52" s="807">
        <v>45311398.039999999</v>
      </c>
      <c r="T52" s="782">
        <f t="shared" si="8"/>
        <v>5.219738327014551</v>
      </c>
      <c r="U52" s="777">
        <f t="shared" si="15"/>
        <v>2.8373072789133393E-3</v>
      </c>
      <c r="V52" s="783">
        <f t="shared" si="2"/>
        <v>2946.316278041485</v>
      </c>
      <c r="W52" s="778">
        <f t="shared" si="16"/>
        <v>1131034.9210279679</v>
      </c>
      <c r="X52" s="784">
        <v>14373084.3835</v>
      </c>
      <c r="Y52" s="782">
        <f t="shared" si="9"/>
        <v>16.455315692121914</v>
      </c>
      <c r="Z52" s="782">
        <f t="shared" si="17"/>
        <v>2.5407261958447797E-3</v>
      </c>
      <c r="AA52" s="783">
        <f t="shared" si="3"/>
        <v>934.5916108654659</v>
      </c>
      <c r="AB52" s="692">
        <f t="shared" si="18"/>
        <v>597024.19122285361</v>
      </c>
      <c r="AC52" s="786">
        <f t="shared" si="19"/>
        <v>1728059.1122508217</v>
      </c>
      <c r="AD52" s="787">
        <f t="shared" si="4"/>
        <v>112.36485546854942</v>
      </c>
      <c r="AE52" s="788">
        <v>5195.2664999999997</v>
      </c>
      <c r="AF52" s="774">
        <f t="shared" si="20"/>
        <v>5.4035720176988378E-3</v>
      </c>
      <c r="AG52" s="692">
        <f t="shared" si="21"/>
        <v>680218.18051830388</v>
      </c>
      <c r="AH52" s="786">
        <f t="shared" si="22"/>
        <v>680218.18051830388</v>
      </c>
      <c r="AI52" s="692">
        <f t="shared" si="5"/>
        <v>44.230325802607702</v>
      </c>
      <c r="AJ52" s="789">
        <v>1973</v>
      </c>
      <c r="AK52" s="777">
        <f t="shared" si="23"/>
        <v>2.6226727600939005E-3</v>
      </c>
      <c r="AL52" s="692">
        <f t="shared" si="24"/>
        <v>55025.012069877681</v>
      </c>
      <c r="AM52" s="790">
        <v>6.333333333333333</v>
      </c>
      <c r="AN52" s="791">
        <f t="shared" si="25"/>
        <v>9.1456077015643746E-4</v>
      </c>
      <c r="AO52" s="778">
        <f t="shared" si="26"/>
        <v>57563.85415162451</v>
      </c>
      <c r="AP52" s="768">
        <v>139</v>
      </c>
      <c r="AQ52" s="792">
        <f t="shared" si="27"/>
        <v>1.878759207947557E-3</v>
      </c>
      <c r="AR52" s="793">
        <f t="shared" si="28"/>
        <v>157669.3053997432</v>
      </c>
      <c r="AS52" s="794">
        <v>17.027777777777775</v>
      </c>
      <c r="AT52" s="791">
        <f t="shared" si="29"/>
        <v>6.8289802761670767E-4</v>
      </c>
      <c r="AU52" s="795">
        <f t="shared" si="30"/>
        <v>57310.195589570445</v>
      </c>
      <c r="AV52" s="796">
        <v>150</v>
      </c>
      <c r="AW52" s="791">
        <f t="shared" si="31"/>
        <v>1.9101466992665036E-3</v>
      </c>
      <c r="AX52" s="795">
        <f t="shared" si="32"/>
        <v>120227.55577628361</v>
      </c>
      <c r="AY52" s="786">
        <f t="shared" si="33"/>
        <v>447795.92298709945</v>
      </c>
      <c r="AZ52" s="787">
        <f t="shared" si="6"/>
        <v>29.117362831594995</v>
      </c>
      <c r="BA52" s="797">
        <f t="shared" si="10"/>
        <v>3325707.8304099413</v>
      </c>
      <c r="BB52" s="775">
        <v>2049740</v>
      </c>
      <c r="BC52" s="775">
        <f t="shared" si="34"/>
        <v>0</v>
      </c>
      <c r="BD52" s="775">
        <f t="shared" si="35"/>
        <v>1275967.8304099413</v>
      </c>
      <c r="BE52" s="798">
        <f t="shared" si="36"/>
        <v>1.9854071852528085E-3</v>
      </c>
      <c r="BF52" s="775">
        <f t="shared" si="37"/>
        <v>-2628.445028326164</v>
      </c>
      <c r="BG52" s="797">
        <f t="shared" si="38"/>
        <v>3323079.3853816153</v>
      </c>
      <c r="BH52" s="799">
        <v>7</v>
      </c>
      <c r="BI52" s="692">
        <f t="shared" si="47"/>
        <v>0</v>
      </c>
      <c r="BJ52" s="800">
        <v>1150</v>
      </c>
      <c r="BK52" s="778">
        <f t="shared" si="39"/>
        <v>0</v>
      </c>
      <c r="BL52" s="786">
        <f t="shared" si="46"/>
        <v>3323079.3853816153</v>
      </c>
      <c r="BM52" s="692">
        <f t="shared" si="40"/>
        <v>3323079.3853816153</v>
      </c>
      <c r="BN52" s="801">
        <f t="shared" si="41"/>
        <v>1.6237070951034295E-3</v>
      </c>
      <c r="BO52" s="787">
        <f t="shared" si="42"/>
        <v>8025.7101780178709</v>
      </c>
      <c r="BP52" s="802">
        <f t="shared" si="43"/>
        <v>3331105</v>
      </c>
      <c r="BQ52" s="803">
        <f t="shared" si="7"/>
        <v>216.6008843227778</v>
      </c>
      <c r="BR52" s="682"/>
      <c r="BS52" s="618"/>
    </row>
    <row r="53" spans="1:71" ht="15.75">
      <c r="A53" s="766" t="s">
        <v>3521</v>
      </c>
      <c r="B53" s="767" t="s">
        <v>3522</v>
      </c>
      <c r="C53" s="768">
        <v>117170</v>
      </c>
      <c r="D53" s="769">
        <v>0</v>
      </c>
      <c r="E53" s="770">
        <v>0</v>
      </c>
      <c r="F53" s="771">
        <f>F7</f>
        <v>33568816</v>
      </c>
      <c r="G53" s="770">
        <v>0</v>
      </c>
      <c r="H53" s="771">
        <f>C53/($C$38+$C$51+$C$53+$C$56+$C$57+$C$141+$C$143+$C$199+$C$209+$C$213)*$H$7</f>
        <v>7380357.4363901112</v>
      </c>
      <c r="I53" s="770">
        <f t="shared" si="44"/>
        <v>40949173.436390109</v>
      </c>
      <c r="J53" s="772">
        <f t="shared" si="11"/>
        <v>349.4851364375703</v>
      </c>
      <c r="K53" s="773">
        <v>73753</v>
      </c>
      <c r="L53" s="774">
        <f t="shared" si="12"/>
        <v>2.6617761752030716E-2</v>
      </c>
      <c r="M53" s="775">
        <f t="shared" si="45"/>
        <v>2233816.8664643918</v>
      </c>
      <c r="N53" s="806">
        <v>32885</v>
      </c>
      <c r="O53" s="777">
        <f t="shared" si="13"/>
        <v>3.739834439684437E-2</v>
      </c>
      <c r="P53" s="778">
        <f t="shared" si="14"/>
        <v>3138545.3544057491</v>
      </c>
      <c r="Q53" s="786">
        <f t="shared" si="0"/>
        <v>5372362.2208701409</v>
      </c>
      <c r="R53" s="692">
        <f t="shared" si="1"/>
        <v>45.851004701460624</v>
      </c>
      <c r="S53" s="781">
        <v>447062984.10999995</v>
      </c>
      <c r="T53" s="782">
        <f t="shared" si="8"/>
        <v>30.708892008429004</v>
      </c>
      <c r="U53" s="777">
        <f t="shared" si="15"/>
        <v>1.6692515479547792E-2</v>
      </c>
      <c r="V53" s="783">
        <f t="shared" si="2"/>
        <v>3815.5072468208582</v>
      </c>
      <c r="W53" s="778">
        <f t="shared" si="16"/>
        <v>6654132.2709323373</v>
      </c>
      <c r="X53" s="784">
        <v>135587163.33489999</v>
      </c>
      <c r="Y53" s="782">
        <f t="shared" si="9"/>
        <v>101.25448871653043</v>
      </c>
      <c r="Z53" s="782">
        <f t="shared" si="17"/>
        <v>1.5633849677653001E-2</v>
      </c>
      <c r="AA53" s="783">
        <f t="shared" si="3"/>
        <v>1157.1832664922761</v>
      </c>
      <c r="AB53" s="692">
        <f t="shared" si="18"/>
        <v>3673668.7624055506</v>
      </c>
      <c r="AC53" s="786">
        <f t="shared" si="19"/>
        <v>10327801.033337887</v>
      </c>
      <c r="AD53" s="787">
        <f t="shared" si="4"/>
        <v>88.143731615071161</v>
      </c>
      <c r="AE53" s="788">
        <v>6624.3175000000001</v>
      </c>
      <c r="AF53" s="774">
        <f t="shared" si="20"/>
        <v>6.8899211771624664E-3</v>
      </c>
      <c r="AG53" s="692">
        <f t="shared" si="21"/>
        <v>867324.36094001343</v>
      </c>
      <c r="AH53" s="786">
        <f t="shared" si="22"/>
        <v>867324.36094001343</v>
      </c>
      <c r="AI53" s="692">
        <f t="shared" si="5"/>
        <v>7.4022732861655154</v>
      </c>
      <c r="AJ53" s="789">
        <v>13084</v>
      </c>
      <c r="AK53" s="777">
        <f t="shared" si="23"/>
        <v>1.7392321537287682E-2</v>
      </c>
      <c r="AL53" s="692">
        <f t="shared" si="24"/>
        <v>364899.77593627956</v>
      </c>
      <c r="AM53" s="790">
        <v>80</v>
      </c>
      <c r="AN53" s="791">
        <f t="shared" si="25"/>
        <v>1.1552346570397106E-2</v>
      </c>
      <c r="AO53" s="778">
        <f t="shared" si="26"/>
        <v>727122.3682310466</v>
      </c>
      <c r="AP53" s="768">
        <v>1049</v>
      </c>
      <c r="AQ53" s="792">
        <f t="shared" si="27"/>
        <v>1.4178549706021492E-2</v>
      </c>
      <c r="AR53" s="793">
        <f t="shared" si="28"/>
        <v>1189892.815570724</v>
      </c>
      <c r="AS53" s="794">
        <v>510.5</v>
      </c>
      <c r="AT53" s="791">
        <f t="shared" si="29"/>
        <v>2.0473572514746911E-2</v>
      </c>
      <c r="AU53" s="795">
        <f t="shared" si="30"/>
        <v>1718183.9715254907</v>
      </c>
      <c r="AV53" s="796">
        <v>1552</v>
      </c>
      <c r="AW53" s="791">
        <f t="shared" si="31"/>
        <v>1.9763651181744092E-2</v>
      </c>
      <c r="AX53" s="795">
        <f t="shared" si="32"/>
        <v>1243954.4437652812</v>
      </c>
      <c r="AY53" s="786">
        <f t="shared" si="33"/>
        <v>5244053.3750288226</v>
      </c>
      <c r="AZ53" s="787">
        <f t="shared" si="6"/>
        <v>44.755939020473008</v>
      </c>
      <c r="BA53" s="797">
        <f t="shared" si="10"/>
        <v>62760714.426566988</v>
      </c>
      <c r="BB53" s="775">
        <v>47936516</v>
      </c>
      <c r="BC53" s="775">
        <f t="shared" si="34"/>
        <v>0</v>
      </c>
      <c r="BD53" s="775">
        <f t="shared" si="35"/>
        <v>14824198.426566988</v>
      </c>
      <c r="BE53" s="798">
        <f t="shared" si="36"/>
        <v>2.3066467171248026E-2</v>
      </c>
      <c r="BF53" s="775">
        <f t="shared" si="37"/>
        <v>-30537.282935034542</v>
      </c>
      <c r="BG53" s="797">
        <f t="shared" si="38"/>
        <v>62730177.14363195</v>
      </c>
      <c r="BH53" s="799">
        <v>6.9</v>
      </c>
      <c r="BI53" s="692">
        <f t="shared" si="47"/>
        <v>0</v>
      </c>
      <c r="BJ53" s="800">
        <v>1600</v>
      </c>
      <c r="BK53" s="778">
        <f t="shared" si="39"/>
        <v>0</v>
      </c>
      <c r="BL53" s="786">
        <f t="shared" si="46"/>
        <v>62730177.14363195</v>
      </c>
      <c r="BM53" s="692">
        <f t="shared" si="40"/>
        <v>62730177.14363195</v>
      </c>
      <c r="BN53" s="801">
        <f t="shared" si="41"/>
        <v>3.0650917986875997E-2</v>
      </c>
      <c r="BO53" s="787">
        <f t="shared" si="42"/>
        <v>151502.31540818137</v>
      </c>
      <c r="BP53" s="802">
        <f t="shared" si="43"/>
        <v>62881679</v>
      </c>
      <c r="BQ53" s="803">
        <f t="shared" si="7"/>
        <v>536.67047025689169</v>
      </c>
      <c r="BR53" s="682"/>
      <c r="BS53" s="618"/>
    </row>
    <row r="54" spans="1:71" ht="15.75">
      <c r="A54" s="805" t="s">
        <v>3523</v>
      </c>
      <c r="B54" s="767" t="s">
        <v>3524</v>
      </c>
      <c r="C54" s="768">
        <v>14237</v>
      </c>
      <c r="D54" s="769">
        <v>0</v>
      </c>
      <c r="E54" s="770">
        <v>0</v>
      </c>
      <c r="F54" s="771">
        <v>0</v>
      </c>
      <c r="G54" s="770">
        <v>0</v>
      </c>
      <c r="H54" s="771">
        <v>0</v>
      </c>
      <c r="I54" s="770">
        <f t="shared" si="44"/>
        <v>0</v>
      </c>
      <c r="J54" s="772">
        <f t="shared" si="11"/>
        <v>0</v>
      </c>
      <c r="K54" s="773">
        <v>4383</v>
      </c>
      <c r="L54" s="774">
        <f t="shared" si="12"/>
        <v>1.5818427692317687E-3</v>
      </c>
      <c r="M54" s="775">
        <f t="shared" si="45"/>
        <v>132751.47215317926</v>
      </c>
      <c r="N54" s="806">
        <v>1111</v>
      </c>
      <c r="O54" s="777">
        <f t="shared" si="13"/>
        <v>1.2634806332642266E-3</v>
      </c>
      <c r="P54" s="778">
        <f t="shared" si="14"/>
        <v>106033.87224402576</v>
      </c>
      <c r="Q54" s="786">
        <f t="shared" si="0"/>
        <v>238785.34439720502</v>
      </c>
      <c r="R54" s="692">
        <f t="shared" si="1"/>
        <v>16.772167197949358</v>
      </c>
      <c r="S54" s="807">
        <v>57407354.039999984</v>
      </c>
      <c r="T54" s="782">
        <f t="shared" si="8"/>
        <v>3.5307700971337095</v>
      </c>
      <c r="U54" s="777">
        <f t="shared" si="15"/>
        <v>1.9192302504744134E-3</v>
      </c>
      <c r="V54" s="783">
        <f t="shared" si="2"/>
        <v>4032.264805787735</v>
      </c>
      <c r="W54" s="778">
        <f t="shared" si="16"/>
        <v>765062.15978523775</v>
      </c>
      <c r="X54" s="784">
        <v>13911251.2919</v>
      </c>
      <c r="Y54" s="782">
        <f t="shared" si="9"/>
        <v>14.570376506534682</v>
      </c>
      <c r="Z54" s="782">
        <f t="shared" si="17"/>
        <v>2.2496886699777661E-3</v>
      </c>
      <c r="AA54" s="783">
        <f t="shared" si="3"/>
        <v>977.11956816042698</v>
      </c>
      <c r="AB54" s="692">
        <f t="shared" si="18"/>
        <v>528635.69513837853</v>
      </c>
      <c r="AC54" s="786">
        <f t="shared" si="19"/>
        <v>1293697.8549236162</v>
      </c>
      <c r="AD54" s="787">
        <f t="shared" si="4"/>
        <v>90.868712153095188</v>
      </c>
      <c r="AE54" s="788">
        <v>1763.0019</v>
      </c>
      <c r="AF54" s="774">
        <f t="shared" si="20"/>
        <v>1.8336899048373909E-3</v>
      </c>
      <c r="AG54" s="692">
        <f t="shared" si="21"/>
        <v>230830.49631203956</v>
      </c>
      <c r="AH54" s="786">
        <f t="shared" si="22"/>
        <v>230830.49631203956</v>
      </c>
      <c r="AI54" s="692">
        <f t="shared" si="5"/>
        <v>16.213422512610773</v>
      </c>
      <c r="AJ54" s="789">
        <v>1369</v>
      </c>
      <c r="AK54" s="777">
        <f t="shared" si="23"/>
        <v>1.8197866237042828E-3</v>
      </c>
      <c r="AL54" s="692">
        <f t="shared" si="24"/>
        <v>38180.051456493944</v>
      </c>
      <c r="AM54" s="790">
        <v>5.666666666666667</v>
      </c>
      <c r="AN54" s="791">
        <f t="shared" si="25"/>
        <v>8.1829121540312835E-4</v>
      </c>
      <c r="AO54" s="778">
        <f t="shared" si="26"/>
        <v>51504.501083032468</v>
      </c>
      <c r="AP54" s="768">
        <v>114</v>
      </c>
      <c r="AQ54" s="792">
        <f t="shared" si="27"/>
        <v>1.5408528755828884E-3</v>
      </c>
      <c r="AR54" s="793">
        <f t="shared" si="28"/>
        <v>129311.51665878219</v>
      </c>
      <c r="AS54" s="794">
        <v>22.388888888888889</v>
      </c>
      <c r="AT54" s="791">
        <f t="shared" si="29"/>
        <v>8.9790507383208232E-4</v>
      </c>
      <c r="AU54" s="795">
        <f t="shared" si="30"/>
        <v>75354.025522338969</v>
      </c>
      <c r="AV54" s="796">
        <v>55</v>
      </c>
      <c r="AW54" s="791">
        <f t="shared" si="31"/>
        <v>7.0038712306438465E-4</v>
      </c>
      <c r="AX54" s="795">
        <f t="shared" si="32"/>
        <v>44083.437117970658</v>
      </c>
      <c r="AY54" s="786">
        <f t="shared" si="33"/>
        <v>338433.53183861822</v>
      </c>
      <c r="AZ54" s="787">
        <f t="shared" si="6"/>
        <v>23.771407729059369</v>
      </c>
      <c r="BA54" s="797">
        <f t="shared" si="10"/>
        <v>2101747.2274714787</v>
      </c>
      <c r="BB54" s="775">
        <v>1709908</v>
      </c>
      <c r="BC54" s="775">
        <f t="shared" si="34"/>
        <v>0</v>
      </c>
      <c r="BD54" s="775">
        <f t="shared" si="35"/>
        <v>391839.22747147875</v>
      </c>
      <c r="BE54" s="798">
        <f t="shared" si="36"/>
        <v>6.0970221908795421E-4</v>
      </c>
      <c r="BF54" s="775">
        <f t="shared" si="37"/>
        <v>-807.1738525098076</v>
      </c>
      <c r="BG54" s="797">
        <f t="shared" si="38"/>
        <v>2100940.0536189689</v>
      </c>
      <c r="BH54" s="799">
        <v>7.8</v>
      </c>
      <c r="BI54" s="692">
        <f t="shared" si="47"/>
        <v>0</v>
      </c>
      <c r="BJ54" s="800">
        <v>1300</v>
      </c>
      <c r="BK54" s="778">
        <f t="shared" si="39"/>
        <v>0</v>
      </c>
      <c r="BL54" s="786">
        <f t="shared" si="46"/>
        <v>2100940.0536189689</v>
      </c>
      <c r="BM54" s="692">
        <f t="shared" si="40"/>
        <v>2100940.0536189689</v>
      </c>
      <c r="BN54" s="801">
        <f t="shared" si="41"/>
        <v>1.0265512423370386E-3</v>
      </c>
      <c r="BO54" s="787">
        <f t="shared" si="42"/>
        <v>5074.0695650876933</v>
      </c>
      <c r="BP54" s="802">
        <f t="shared" si="43"/>
        <v>2106014</v>
      </c>
      <c r="BQ54" s="803">
        <f t="shared" si="7"/>
        <v>147.92540563320924</v>
      </c>
      <c r="BR54" s="682"/>
      <c r="BS54" s="618"/>
    </row>
    <row r="55" spans="1:71" ht="15.75">
      <c r="A55" s="766" t="s">
        <v>3525</v>
      </c>
      <c r="B55" s="767" t="s">
        <v>3526</v>
      </c>
      <c r="C55" s="768">
        <v>10844</v>
      </c>
      <c r="D55" s="769">
        <v>0</v>
      </c>
      <c r="E55" s="770">
        <v>0</v>
      </c>
      <c r="F55" s="771">
        <v>0</v>
      </c>
      <c r="G55" s="770">
        <v>0</v>
      </c>
      <c r="H55" s="771">
        <v>0</v>
      </c>
      <c r="I55" s="770">
        <f t="shared" si="44"/>
        <v>0</v>
      </c>
      <c r="J55" s="772">
        <f t="shared" si="11"/>
        <v>0</v>
      </c>
      <c r="K55" s="773">
        <v>4080</v>
      </c>
      <c r="L55" s="774">
        <f t="shared" si="12"/>
        <v>1.472488820092543E-3</v>
      </c>
      <c r="M55" s="775">
        <f t="shared" si="45"/>
        <v>123574.2656593592</v>
      </c>
      <c r="N55" s="806">
        <v>0</v>
      </c>
      <c r="O55" s="777">
        <f t="shared" si="13"/>
        <v>0</v>
      </c>
      <c r="P55" s="778">
        <f t="shared" si="14"/>
        <v>0</v>
      </c>
      <c r="Q55" s="786">
        <f t="shared" si="0"/>
        <v>123574.2656593592</v>
      </c>
      <c r="R55" s="692">
        <f t="shared" si="1"/>
        <v>11.395634974120176</v>
      </c>
      <c r="S55" s="807">
        <v>37757590.359999999</v>
      </c>
      <c r="T55" s="782">
        <f t="shared" si="8"/>
        <v>3.114402557970863</v>
      </c>
      <c r="U55" s="777">
        <f t="shared" si="15"/>
        <v>1.6929042211683305E-3</v>
      </c>
      <c r="V55" s="783">
        <f t="shared" si="2"/>
        <v>3481.8877130210253</v>
      </c>
      <c r="W55" s="778">
        <f t="shared" si="16"/>
        <v>674841.88488402299</v>
      </c>
      <c r="X55" s="784">
        <v>7764852.9164000005</v>
      </c>
      <c r="Y55" s="782">
        <f t="shared" si="9"/>
        <v>15.144180741870258</v>
      </c>
      <c r="Z55" s="782">
        <f t="shared" si="17"/>
        <v>2.3382849314704428E-3</v>
      </c>
      <c r="AA55" s="783">
        <f t="shared" si="3"/>
        <v>716.05061936554785</v>
      </c>
      <c r="AB55" s="692">
        <f t="shared" si="18"/>
        <v>549454.19634072739</v>
      </c>
      <c r="AC55" s="786">
        <f t="shared" si="19"/>
        <v>1224296.0812247503</v>
      </c>
      <c r="AD55" s="787">
        <f t="shared" si="4"/>
        <v>112.90078211220494</v>
      </c>
      <c r="AE55" s="788">
        <v>7677.5825999999997</v>
      </c>
      <c r="AF55" s="774">
        <f t="shared" si="20"/>
        <v>7.9854172063996125E-3</v>
      </c>
      <c r="AG55" s="692">
        <f t="shared" si="21"/>
        <v>1005228.7533182348</v>
      </c>
      <c r="AH55" s="786">
        <f t="shared" si="22"/>
        <v>1005228.7533182348</v>
      </c>
      <c r="AI55" s="692">
        <f t="shared" si="5"/>
        <v>92.699073526211251</v>
      </c>
      <c r="AJ55" s="789">
        <v>1217</v>
      </c>
      <c r="AK55" s="777">
        <f t="shared" si="23"/>
        <v>1.617735807924114E-3</v>
      </c>
      <c r="AL55" s="692">
        <f t="shared" si="24"/>
        <v>33940.922295509954</v>
      </c>
      <c r="AM55" s="790">
        <v>3.3333333333333335</v>
      </c>
      <c r="AN55" s="791">
        <f t="shared" si="25"/>
        <v>4.8134777376654609E-4</v>
      </c>
      <c r="AO55" s="778">
        <f t="shared" si="26"/>
        <v>30296.765342960272</v>
      </c>
      <c r="AP55" s="768">
        <v>61</v>
      </c>
      <c r="AQ55" s="792">
        <f t="shared" si="27"/>
        <v>8.2449145096979114E-4</v>
      </c>
      <c r="AR55" s="793">
        <f t="shared" si="28"/>
        <v>69193.004527944853</v>
      </c>
      <c r="AS55" s="794">
        <v>5.4722222222222223</v>
      </c>
      <c r="AT55" s="791">
        <f t="shared" si="29"/>
        <v>2.1946315080014918E-4</v>
      </c>
      <c r="AU55" s="795">
        <f t="shared" si="30"/>
        <v>18417.79531997615</v>
      </c>
      <c r="AV55" s="796">
        <v>5</v>
      </c>
      <c r="AW55" s="791">
        <f t="shared" si="31"/>
        <v>6.3671556642216784E-5</v>
      </c>
      <c r="AX55" s="795">
        <f t="shared" si="32"/>
        <v>4007.5851925427869</v>
      </c>
      <c r="AY55" s="786">
        <f t="shared" si="33"/>
        <v>155856.07267893403</v>
      </c>
      <c r="AZ55" s="787">
        <f t="shared" si="6"/>
        <v>14.372562954530988</v>
      </c>
      <c r="BA55" s="797">
        <f t="shared" si="10"/>
        <v>2508955.1728812782</v>
      </c>
      <c r="BB55" s="775">
        <v>1680527</v>
      </c>
      <c r="BC55" s="775">
        <f t="shared" si="34"/>
        <v>0</v>
      </c>
      <c r="BD55" s="775">
        <f t="shared" si="35"/>
        <v>828428.17288127821</v>
      </c>
      <c r="BE55" s="798">
        <f t="shared" si="36"/>
        <v>1.2890350428160224E-3</v>
      </c>
      <c r="BF55" s="775">
        <f t="shared" si="37"/>
        <v>-1706.5304159240022</v>
      </c>
      <c r="BG55" s="797">
        <f t="shared" si="38"/>
        <v>2507248.6424653544</v>
      </c>
      <c r="BH55" s="799">
        <v>8</v>
      </c>
      <c r="BI55" s="692">
        <f t="shared" si="47"/>
        <v>0</v>
      </c>
      <c r="BJ55" s="800">
        <v>1800</v>
      </c>
      <c r="BK55" s="778">
        <f t="shared" si="39"/>
        <v>0</v>
      </c>
      <c r="BL55" s="786">
        <f t="shared" si="46"/>
        <v>2507248.6424653544</v>
      </c>
      <c r="BM55" s="692">
        <f t="shared" si="40"/>
        <v>2507248.6424653544</v>
      </c>
      <c r="BN55" s="801">
        <f t="shared" si="41"/>
        <v>1.2250797943221356E-3</v>
      </c>
      <c r="BO55" s="787">
        <f t="shared" si="42"/>
        <v>6055.3626967731516</v>
      </c>
      <c r="BP55" s="802">
        <f t="shared" si="43"/>
        <v>2513304</v>
      </c>
      <c r="BQ55" s="803">
        <f t="shared" si="7"/>
        <v>231.76908889708594</v>
      </c>
      <c r="BR55" s="682"/>
      <c r="BS55" s="618"/>
    </row>
    <row r="56" spans="1:71" ht="15.75">
      <c r="A56" s="805" t="s">
        <v>3527</v>
      </c>
      <c r="B56" s="767" t="s">
        <v>3528</v>
      </c>
      <c r="C56" s="768">
        <v>12473</v>
      </c>
      <c r="D56" s="769">
        <v>0</v>
      </c>
      <c r="E56" s="770">
        <v>0</v>
      </c>
      <c r="F56" s="771">
        <v>0</v>
      </c>
      <c r="G56" s="770">
        <v>0</v>
      </c>
      <c r="H56" s="771">
        <f>C56/($C$38+$C$51+$C$53+$C$56+$C$57+$C$141+$C$143+$C$199+$C$209+$C$213)*$H$7</f>
        <v>785655.01667742478</v>
      </c>
      <c r="I56" s="770">
        <f t="shared" si="44"/>
        <v>785655.01667742478</v>
      </c>
      <c r="J56" s="772">
        <f t="shared" si="11"/>
        <v>62.988456400018023</v>
      </c>
      <c r="K56" s="773">
        <v>3627</v>
      </c>
      <c r="L56" s="774">
        <f t="shared" si="12"/>
        <v>1.3089992525675621E-3</v>
      </c>
      <c r="M56" s="775">
        <f t="shared" si="45"/>
        <v>109853.88763394505</v>
      </c>
      <c r="N56" s="806">
        <v>278</v>
      </c>
      <c r="O56" s="777">
        <f t="shared" si="13"/>
        <v>3.1615446988969846E-4</v>
      </c>
      <c r="P56" s="778">
        <f t="shared" si="14"/>
        <v>26532.328068262072</v>
      </c>
      <c r="Q56" s="786">
        <f t="shared" si="0"/>
        <v>136386.21570220712</v>
      </c>
      <c r="R56" s="692">
        <f t="shared" si="1"/>
        <v>10.934515810326875</v>
      </c>
      <c r="S56" s="807">
        <v>45615911.81000001</v>
      </c>
      <c r="T56" s="782">
        <f t="shared" si="8"/>
        <v>3.4105583518313973</v>
      </c>
      <c r="U56" s="777">
        <f t="shared" si="15"/>
        <v>1.8538864269743171E-3</v>
      </c>
      <c r="V56" s="783">
        <f t="shared" si="2"/>
        <v>3657.1724372644921</v>
      </c>
      <c r="W56" s="778">
        <f t="shared" si="16"/>
        <v>739014.17167997966</v>
      </c>
      <c r="X56" s="784">
        <v>23845176.720199998</v>
      </c>
      <c r="Y56" s="782">
        <f t="shared" si="9"/>
        <v>6.5244108200803108</v>
      </c>
      <c r="Z56" s="782">
        <f t="shared" si="17"/>
        <v>1.0073791225389487E-3</v>
      </c>
      <c r="AA56" s="783">
        <f t="shared" si="3"/>
        <v>1911.7435035837407</v>
      </c>
      <c r="AB56" s="692">
        <f t="shared" si="18"/>
        <v>236715.67084725996</v>
      </c>
      <c r="AC56" s="786">
        <f t="shared" si="19"/>
        <v>975729.84252723958</v>
      </c>
      <c r="AD56" s="787">
        <f t="shared" si="4"/>
        <v>78.227358496531679</v>
      </c>
      <c r="AE56" s="788">
        <v>3320.2953000000002</v>
      </c>
      <c r="AF56" s="774">
        <f t="shared" si="20"/>
        <v>3.4534233756010344E-3</v>
      </c>
      <c r="AG56" s="692">
        <f t="shared" si="21"/>
        <v>434727.50199618755</v>
      </c>
      <c r="AH56" s="786">
        <f t="shared" si="22"/>
        <v>434727.50199618755</v>
      </c>
      <c r="AI56" s="692">
        <f t="shared" si="5"/>
        <v>34.853483684453423</v>
      </c>
      <c r="AJ56" s="789">
        <v>1559</v>
      </c>
      <c r="AK56" s="777">
        <f t="shared" si="23"/>
        <v>2.0723501434294937E-3</v>
      </c>
      <c r="AL56" s="692">
        <f t="shared" si="24"/>
        <v>43478.96290772393</v>
      </c>
      <c r="AM56" s="790">
        <v>7</v>
      </c>
      <c r="AN56" s="791">
        <f t="shared" si="25"/>
        <v>1.0108303249097468E-3</v>
      </c>
      <c r="AO56" s="778">
        <f t="shared" si="26"/>
        <v>63623.207220216573</v>
      </c>
      <c r="AP56" s="768">
        <v>151</v>
      </c>
      <c r="AQ56" s="792">
        <f t="shared" si="27"/>
        <v>2.040954247482598E-3</v>
      </c>
      <c r="AR56" s="793">
        <f t="shared" si="28"/>
        <v>171281.0439954045</v>
      </c>
      <c r="AS56" s="794">
        <v>30.444444444444443</v>
      </c>
      <c r="AT56" s="791">
        <f t="shared" si="29"/>
        <v>1.2209726562282409E-3</v>
      </c>
      <c r="AU56" s="795">
        <f t="shared" si="30"/>
        <v>102466.51609489268</v>
      </c>
      <c r="AV56" s="796">
        <v>68</v>
      </c>
      <c r="AW56" s="791">
        <f t="shared" si="31"/>
        <v>8.6593317033414831E-4</v>
      </c>
      <c r="AX56" s="795">
        <f t="shared" si="32"/>
        <v>54503.158618581903</v>
      </c>
      <c r="AY56" s="786">
        <f t="shared" si="33"/>
        <v>435352.88883681956</v>
      </c>
      <c r="AZ56" s="787">
        <f t="shared" si="6"/>
        <v>34.90362293247972</v>
      </c>
      <c r="BA56" s="797">
        <f t="shared" si="10"/>
        <v>2767851.4657398788</v>
      </c>
      <c r="BB56" s="775">
        <v>1772302</v>
      </c>
      <c r="BC56" s="775">
        <f t="shared" si="34"/>
        <v>0</v>
      </c>
      <c r="BD56" s="775">
        <f t="shared" si="35"/>
        <v>995549.46573987883</v>
      </c>
      <c r="BE56" s="798">
        <f t="shared" si="36"/>
        <v>1.5490759370630216E-3</v>
      </c>
      <c r="BF56" s="775">
        <f t="shared" si="37"/>
        <v>-2050.7939003729025</v>
      </c>
      <c r="BG56" s="797">
        <f t="shared" si="38"/>
        <v>2765800.6718395059</v>
      </c>
      <c r="BH56" s="799">
        <v>5</v>
      </c>
      <c r="BI56" s="692">
        <f t="shared" si="47"/>
        <v>0</v>
      </c>
      <c r="BJ56" s="800">
        <v>1400</v>
      </c>
      <c r="BK56" s="778">
        <f t="shared" si="39"/>
        <v>0</v>
      </c>
      <c r="BL56" s="786">
        <f t="shared" si="46"/>
        <v>2765800.6718395059</v>
      </c>
      <c r="BM56" s="692">
        <f t="shared" si="40"/>
        <v>2765800.6718395059</v>
      </c>
      <c r="BN56" s="801">
        <f t="shared" si="41"/>
        <v>1.3514122456006023E-3</v>
      </c>
      <c r="BO56" s="787">
        <f t="shared" si="42"/>
        <v>6679.8026854245236</v>
      </c>
      <c r="BP56" s="802">
        <f t="shared" si="43"/>
        <v>2772480</v>
      </c>
      <c r="BQ56" s="803">
        <f t="shared" si="7"/>
        <v>222.27852160667041</v>
      </c>
      <c r="BR56" s="682"/>
      <c r="BS56" s="618"/>
    </row>
    <row r="57" spans="1:71" ht="15.75">
      <c r="A57" s="805" t="s">
        <v>3529</v>
      </c>
      <c r="B57" s="767" t="s">
        <v>3530</v>
      </c>
      <c r="C57" s="768">
        <v>10748</v>
      </c>
      <c r="D57" s="769">
        <v>0</v>
      </c>
      <c r="E57" s="770">
        <v>0</v>
      </c>
      <c r="F57" s="771">
        <v>0</v>
      </c>
      <c r="G57" s="770">
        <v>0</v>
      </c>
      <c r="H57" s="771">
        <f>C57/($C$38+$C$51+$C$53+$C$56+$C$57+$C$141+$C$143+$C$199+$C$209+$C$213)*$H$7</f>
        <v>676999.92938739352</v>
      </c>
      <c r="I57" s="770">
        <f t="shared" si="44"/>
        <v>676999.92938739352</v>
      </c>
      <c r="J57" s="772">
        <f t="shared" si="11"/>
        <v>62.988456400018002</v>
      </c>
      <c r="K57" s="773">
        <v>3239</v>
      </c>
      <c r="L57" s="774">
        <f t="shared" si="12"/>
        <v>1.168968453009742E-3</v>
      </c>
      <c r="M57" s="775">
        <f t="shared" si="45"/>
        <v>98102.217272221678</v>
      </c>
      <c r="N57" s="806">
        <v>1571.5</v>
      </c>
      <c r="O57" s="777">
        <f t="shared" si="13"/>
        <v>1.7871825519124502E-3</v>
      </c>
      <c r="P57" s="778">
        <f t="shared" si="14"/>
        <v>149984.00560889873</v>
      </c>
      <c r="Q57" s="786">
        <f t="shared" si="0"/>
        <v>248086.2228811204</v>
      </c>
      <c r="R57" s="692">
        <f t="shared" si="1"/>
        <v>23.08208251592114</v>
      </c>
      <c r="S57" s="807">
        <v>31090069.409999996</v>
      </c>
      <c r="T57" s="782">
        <f t="shared" si="8"/>
        <v>3.7156399516703433</v>
      </c>
      <c r="U57" s="777">
        <f t="shared" si="15"/>
        <v>2.0197204572753452E-3</v>
      </c>
      <c r="V57" s="783">
        <f t="shared" si="2"/>
        <v>2892.637645143282</v>
      </c>
      <c r="W57" s="778">
        <f t="shared" si="16"/>
        <v>805120.53977032914</v>
      </c>
      <c r="X57" s="784">
        <v>20578963.6908</v>
      </c>
      <c r="Y57" s="782">
        <f t="shared" si="9"/>
        <v>5.6134752816364593</v>
      </c>
      <c r="Z57" s="782">
        <f t="shared" si="17"/>
        <v>8.6672926637372701E-4</v>
      </c>
      <c r="AA57" s="783">
        <f t="shared" si="3"/>
        <v>1914.6784230368442</v>
      </c>
      <c r="AB57" s="692">
        <f t="shared" si="18"/>
        <v>203665.5268530024</v>
      </c>
      <c r="AC57" s="786">
        <f t="shared" si="19"/>
        <v>1008786.0666233315</v>
      </c>
      <c r="AD57" s="787">
        <f t="shared" si="4"/>
        <v>93.858026295434641</v>
      </c>
      <c r="AE57" s="788">
        <v>1795.4536000000001</v>
      </c>
      <c r="AF57" s="774">
        <f t="shared" si="20"/>
        <v>1.8674427639153147E-3</v>
      </c>
      <c r="AG57" s="692">
        <f t="shared" si="21"/>
        <v>235079.40949651739</v>
      </c>
      <c r="AH57" s="786">
        <f t="shared" si="22"/>
        <v>235079.40949651739</v>
      </c>
      <c r="AI57" s="692">
        <f t="shared" si="5"/>
        <v>21.871921240837121</v>
      </c>
      <c r="AJ57" s="789">
        <v>1763</v>
      </c>
      <c r="AK57" s="777">
        <f t="shared" si="23"/>
        <v>2.343523606713404E-3</v>
      </c>
      <c r="AL57" s="692">
        <f t="shared" si="24"/>
        <v>49168.320465886638</v>
      </c>
      <c r="AM57" s="790">
        <v>8</v>
      </c>
      <c r="AN57" s="791">
        <f t="shared" si="25"/>
        <v>1.1552346570397106E-3</v>
      </c>
      <c r="AO57" s="778">
        <f t="shared" si="26"/>
        <v>72712.236823104657</v>
      </c>
      <c r="AP57" s="768">
        <v>183</v>
      </c>
      <c r="AQ57" s="792">
        <f t="shared" si="27"/>
        <v>2.4734743529093734E-3</v>
      </c>
      <c r="AR57" s="793">
        <f t="shared" si="28"/>
        <v>207579.01358383454</v>
      </c>
      <c r="AS57" s="794">
        <v>37.722222222222229</v>
      </c>
      <c r="AT57" s="791">
        <f t="shared" si="29"/>
        <v>1.5128475065309776E-3</v>
      </c>
      <c r="AU57" s="795">
        <f t="shared" si="30"/>
        <v>126961.24895699296</v>
      </c>
      <c r="AV57" s="796">
        <v>121</v>
      </c>
      <c r="AW57" s="791">
        <f t="shared" si="31"/>
        <v>1.5408516707416462E-3</v>
      </c>
      <c r="AX57" s="795">
        <f t="shared" si="32"/>
        <v>96983.561659535451</v>
      </c>
      <c r="AY57" s="786">
        <f t="shared" si="33"/>
        <v>553404.3814893543</v>
      </c>
      <c r="AZ57" s="787">
        <f t="shared" si="6"/>
        <v>51.489056707234305</v>
      </c>
      <c r="BA57" s="797">
        <f t="shared" si="10"/>
        <v>2722356.0098777171</v>
      </c>
      <c r="BB57" s="775">
        <v>1863065</v>
      </c>
      <c r="BC57" s="775">
        <f t="shared" si="34"/>
        <v>0</v>
      </c>
      <c r="BD57" s="775">
        <f t="shared" si="35"/>
        <v>859291.00987771712</v>
      </c>
      <c r="BE57" s="798">
        <f t="shared" si="36"/>
        <v>1.3370576472027877E-3</v>
      </c>
      <c r="BF57" s="775">
        <f t="shared" si="37"/>
        <v>-1770.1066821354066</v>
      </c>
      <c r="BG57" s="797">
        <f t="shared" si="38"/>
        <v>2720585.9031955819</v>
      </c>
      <c r="BH57" s="799">
        <v>0</v>
      </c>
      <c r="BI57" s="692">
        <f t="shared" si="47"/>
        <v>-680146.47579889547</v>
      </c>
      <c r="BJ57" s="800">
        <v>1950</v>
      </c>
      <c r="BK57" s="778">
        <f t="shared" si="39"/>
        <v>0</v>
      </c>
      <c r="BL57" s="786">
        <f t="shared" si="46"/>
        <v>2040439.4273966863</v>
      </c>
      <c r="BM57" s="692">
        <f t="shared" si="40"/>
        <v>0</v>
      </c>
      <c r="BN57" s="801">
        <f t="shared" si="41"/>
        <v>0</v>
      </c>
      <c r="BO57" s="787">
        <f t="shared" si="42"/>
        <v>0</v>
      </c>
      <c r="BP57" s="802">
        <f t="shared" si="43"/>
        <v>2040439</v>
      </c>
      <c r="BQ57" s="803">
        <f t="shared" si="7"/>
        <v>189.84359880908076</v>
      </c>
      <c r="BR57" s="682"/>
      <c r="BS57" s="618"/>
    </row>
    <row r="58" spans="1:71" ht="15.75">
      <c r="A58" s="805" t="s">
        <v>3531</v>
      </c>
      <c r="B58" s="767" t="s">
        <v>3532</v>
      </c>
      <c r="C58" s="768">
        <v>10204</v>
      </c>
      <c r="D58" s="769">
        <v>0</v>
      </c>
      <c r="E58" s="770">
        <v>0</v>
      </c>
      <c r="F58" s="771">
        <v>0</v>
      </c>
      <c r="G58" s="770">
        <v>0</v>
      </c>
      <c r="H58" s="771">
        <v>0</v>
      </c>
      <c r="I58" s="770">
        <f t="shared" si="44"/>
        <v>0</v>
      </c>
      <c r="J58" s="772">
        <f t="shared" si="11"/>
        <v>0</v>
      </c>
      <c r="K58" s="773">
        <v>2370</v>
      </c>
      <c r="L58" s="774">
        <f t="shared" si="12"/>
        <v>8.5534277049493308E-4</v>
      </c>
      <c r="M58" s="775">
        <f t="shared" si="45"/>
        <v>71782.110199186587</v>
      </c>
      <c r="N58" s="806">
        <v>529.5</v>
      </c>
      <c r="O58" s="777">
        <f t="shared" si="13"/>
        <v>6.0217191297336453E-4</v>
      </c>
      <c r="P58" s="778">
        <f t="shared" si="14"/>
        <v>50535.495367427218</v>
      </c>
      <c r="Q58" s="786">
        <f t="shared" si="0"/>
        <v>122317.60556661381</v>
      </c>
      <c r="R58" s="692">
        <f t="shared" si="1"/>
        <v>11.9872212432981</v>
      </c>
      <c r="S58" s="807">
        <v>59762701.199999996</v>
      </c>
      <c r="T58" s="782">
        <f t="shared" si="8"/>
        <v>1.7422508338696043</v>
      </c>
      <c r="U58" s="777">
        <f t="shared" si="15"/>
        <v>9.4703999758899849E-4</v>
      </c>
      <c r="V58" s="783">
        <f t="shared" si="2"/>
        <v>5856.7915719325747</v>
      </c>
      <c r="W58" s="778">
        <f t="shared" si="16"/>
        <v>377518.2606565032</v>
      </c>
      <c r="X58" s="784">
        <v>9972590.8133000005</v>
      </c>
      <c r="Y58" s="782">
        <f t="shared" si="9"/>
        <v>10.440778925887306</v>
      </c>
      <c r="Z58" s="782">
        <f t="shared" si="17"/>
        <v>1.6120724158896597E-3</v>
      </c>
      <c r="AA58" s="783">
        <f t="shared" si="3"/>
        <v>977.32171827714626</v>
      </c>
      <c r="AB58" s="692">
        <f t="shared" si="18"/>
        <v>378807.53615372826</v>
      </c>
      <c r="AC58" s="786">
        <f t="shared" si="19"/>
        <v>756325.7968102314</v>
      </c>
      <c r="AD58" s="787">
        <f t="shared" si="4"/>
        <v>74.120521051571089</v>
      </c>
      <c r="AE58" s="788">
        <v>1133.9209000000001</v>
      </c>
      <c r="AF58" s="774">
        <f t="shared" si="20"/>
        <v>1.1793857438350628E-3</v>
      </c>
      <c r="AG58" s="692">
        <f t="shared" si="21"/>
        <v>148464.68635433383</v>
      </c>
      <c r="AH58" s="786">
        <f t="shared" si="22"/>
        <v>148464.68635433383</v>
      </c>
      <c r="AI58" s="692">
        <f t="shared" si="5"/>
        <v>14.549655659969995</v>
      </c>
      <c r="AJ58" s="789">
        <v>520</v>
      </c>
      <c r="AK58" s="777">
        <f t="shared" si="23"/>
        <v>6.9122647503741931E-4</v>
      </c>
      <c r="AL58" s="692">
        <f t="shared" si="24"/>
        <v>14502.283971787327</v>
      </c>
      <c r="AM58" s="790">
        <v>2.3333333333333335</v>
      </c>
      <c r="AN58" s="791">
        <f t="shared" si="25"/>
        <v>3.3694344163658226E-4</v>
      </c>
      <c r="AO58" s="778">
        <f t="shared" si="26"/>
        <v>21207.735740072192</v>
      </c>
      <c r="AP58" s="768">
        <v>35</v>
      </c>
      <c r="AQ58" s="792">
        <f t="shared" si="27"/>
        <v>4.7306886531053594E-4</v>
      </c>
      <c r="AR58" s="793">
        <f t="shared" si="28"/>
        <v>39700.904237345407</v>
      </c>
      <c r="AS58" s="794">
        <v>10.055555555555555</v>
      </c>
      <c r="AT58" s="791">
        <f t="shared" si="29"/>
        <v>4.0327746492210148E-4</v>
      </c>
      <c r="AU58" s="795">
        <f t="shared" si="30"/>
        <v>33843.867542291198</v>
      </c>
      <c r="AV58" s="796">
        <v>0</v>
      </c>
      <c r="AW58" s="791">
        <f t="shared" si="31"/>
        <v>0</v>
      </c>
      <c r="AX58" s="795">
        <f t="shared" si="32"/>
        <v>0</v>
      </c>
      <c r="AY58" s="786">
        <f t="shared" si="33"/>
        <v>109254.79149149613</v>
      </c>
      <c r="AZ58" s="787">
        <f t="shared" si="6"/>
        <v>10.707055222608401</v>
      </c>
      <c r="BA58" s="797">
        <f t="shared" si="10"/>
        <v>1136362.8802226752</v>
      </c>
      <c r="BB58" s="775">
        <v>1064326</v>
      </c>
      <c r="BC58" s="775">
        <f t="shared" si="34"/>
        <v>0</v>
      </c>
      <c r="BD58" s="775">
        <f t="shared" si="35"/>
        <v>72036.880222675158</v>
      </c>
      <c r="BE58" s="798">
        <f t="shared" si="36"/>
        <v>1.1208945569681418E-4</v>
      </c>
      <c r="BF58" s="775">
        <f t="shared" si="37"/>
        <v>-148.3932236885513</v>
      </c>
      <c r="BG58" s="797">
        <f t="shared" si="38"/>
        <v>1136214.4869989867</v>
      </c>
      <c r="BH58" s="799">
        <v>7.2</v>
      </c>
      <c r="BI58" s="692">
        <f t="shared" si="47"/>
        <v>0</v>
      </c>
      <c r="BJ58" s="800">
        <v>950</v>
      </c>
      <c r="BK58" s="778">
        <f t="shared" si="39"/>
        <v>0</v>
      </c>
      <c r="BL58" s="786">
        <f t="shared" si="46"/>
        <v>1136214.4869989867</v>
      </c>
      <c r="BM58" s="692">
        <f t="shared" si="40"/>
        <v>1136214.4869989867</v>
      </c>
      <c r="BN58" s="801">
        <f t="shared" si="41"/>
        <v>5.5517166764515805E-4</v>
      </c>
      <c r="BO58" s="787">
        <f t="shared" si="42"/>
        <v>2744.1198705133925</v>
      </c>
      <c r="BP58" s="802">
        <f t="shared" si="43"/>
        <v>1138959</v>
      </c>
      <c r="BQ58" s="803">
        <f t="shared" si="7"/>
        <v>111.61887495099961</v>
      </c>
      <c r="BR58" s="682"/>
      <c r="BS58" s="618"/>
    </row>
    <row r="59" spans="1:71" ht="15.75">
      <c r="A59" s="766" t="s">
        <v>3533</v>
      </c>
      <c r="B59" s="767" t="s">
        <v>3534</v>
      </c>
      <c r="C59" s="768">
        <v>11414</v>
      </c>
      <c r="D59" s="769">
        <v>0</v>
      </c>
      <c r="E59" s="770">
        <v>0</v>
      </c>
      <c r="F59" s="771">
        <v>0</v>
      </c>
      <c r="G59" s="770">
        <v>0</v>
      </c>
      <c r="H59" s="771">
        <v>0</v>
      </c>
      <c r="I59" s="770">
        <f t="shared" si="44"/>
        <v>0</v>
      </c>
      <c r="J59" s="772">
        <f t="shared" si="11"/>
        <v>0</v>
      </c>
      <c r="K59" s="773">
        <v>5159</v>
      </c>
      <c r="L59" s="774">
        <f t="shared" si="12"/>
        <v>1.8619043683474092E-3</v>
      </c>
      <c r="M59" s="775">
        <f t="shared" si="45"/>
        <v>156254.81287662601</v>
      </c>
      <c r="N59" s="806">
        <v>253</v>
      </c>
      <c r="O59" s="777">
        <f t="shared" si="13"/>
        <v>2.8772331252551695E-4</v>
      </c>
      <c r="P59" s="778">
        <f t="shared" si="14"/>
        <v>24146.327342698936</v>
      </c>
      <c r="Q59" s="786">
        <f t="shared" si="0"/>
        <v>180401.14021932494</v>
      </c>
      <c r="R59" s="692">
        <f t="shared" si="1"/>
        <v>15.805251464808563</v>
      </c>
      <c r="S59" s="807">
        <v>35807662.930000007</v>
      </c>
      <c r="T59" s="782">
        <f t="shared" si="8"/>
        <v>3.63831049947833</v>
      </c>
      <c r="U59" s="777">
        <f t="shared" si="15"/>
        <v>1.9776862778140402E-3</v>
      </c>
      <c r="V59" s="783">
        <f t="shared" si="2"/>
        <v>3137.1703986332582</v>
      </c>
      <c r="W59" s="778">
        <f t="shared" si="16"/>
        <v>788364.46784226468</v>
      </c>
      <c r="X59" s="784">
        <v>11605524.0286</v>
      </c>
      <c r="Y59" s="782">
        <f t="shared" si="9"/>
        <v>11.225636660520179</v>
      </c>
      <c r="Z59" s="782">
        <f t="shared" si="17"/>
        <v>1.7332556641300944E-3</v>
      </c>
      <c r="AA59" s="783">
        <f t="shared" si="3"/>
        <v>1016.7797466795164</v>
      </c>
      <c r="AB59" s="692">
        <f t="shared" si="18"/>
        <v>407283.38329098659</v>
      </c>
      <c r="AC59" s="786">
        <f t="shared" si="19"/>
        <v>1195647.8511332513</v>
      </c>
      <c r="AD59" s="787">
        <f t="shared" si="4"/>
        <v>104.75274672623544</v>
      </c>
      <c r="AE59" s="788">
        <v>929.21400000000006</v>
      </c>
      <c r="AF59" s="774">
        <f t="shared" si="20"/>
        <v>9.6647106916536592E-4</v>
      </c>
      <c r="AG59" s="692">
        <f t="shared" si="21"/>
        <v>121662.3355880079</v>
      </c>
      <c r="AH59" s="786">
        <f t="shared" si="22"/>
        <v>121662.3355880079</v>
      </c>
      <c r="AI59" s="692">
        <f t="shared" si="5"/>
        <v>10.659044645874181</v>
      </c>
      <c r="AJ59" s="789">
        <v>1310</v>
      </c>
      <c r="AK59" s="777">
        <f t="shared" si="23"/>
        <v>1.7413590044211909E-3</v>
      </c>
      <c r="AL59" s="692">
        <f t="shared" si="24"/>
        <v>36534.600005848843</v>
      </c>
      <c r="AM59" s="790">
        <v>4</v>
      </c>
      <c r="AN59" s="791">
        <f t="shared" si="25"/>
        <v>5.776173285198553E-4</v>
      </c>
      <c r="AO59" s="778">
        <f t="shared" si="26"/>
        <v>36356.118411552328</v>
      </c>
      <c r="AP59" s="768">
        <v>92</v>
      </c>
      <c r="AQ59" s="792">
        <f t="shared" si="27"/>
        <v>1.2434953031019802E-3</v>
      </c>
      <c r="AR59" s="793">
        <f t="shared" si="28"/>
        <v>104356.6625667365</v>
      </c>
      <c r="AS59" s="794">
        <v>14.277777777777777</v>
      </c>
      <c r="AT59" s="791">
        <f t="shared" si="29"/>
        <v>5.7260943914353639E-4</v>
      </c>
      <c r="AU59" s="795">
        <f t="shared" si="30"/>
        <v>48054.552256181429</v>
      </c>
      <c r="AV59" s="796">
        <v>43</v>
      </c>
      <c r="AW59" s="791">
        <f t="shared" si="31"/>
        <v>5.4757538712306441E-4</v>
      </c>
      <c r="AX59" s="795">
        <f t="shared" si="32"/>
        <v>34465.232655867971</v>
      </c>
      <c r="AY59" s="786">
        <f t="shared" si="33"/>
        <v>259767.16589618707</v>
      </c>
      <c r="AZ59" s="787">
        <f t="shared" si="6"/>
        <v>22.758644287382783</v>
      </c>
      <c r="BA59" s="797">
        <f t="shared" si="10"/>
        <v>1757478.4928367713</v>
      </c>
      <c r="BB59" s="775">
        <v>1361237</v>
      </c>
      <c r="BC59" s="775">
        <f t="shared" si="34"/>
        <v>0</v>
      </c>
      <c r="BD59" s="775">
        <f t="shared" si="35"/>
        <v>396241.4928367713</v>
      </c>
      <c r="BE59" s="798">
        <f t="shared" si="36"/>
        <v>6.1655214827843654E-4</v>
      </c>
      <c r="BF59" s="775">
        <f t="shared" si="37"/>
        <v>-816.24235113258112</v>
      </c>
      <c r="BG59" s="797">
        <f t="shared" si="38"/>
        <v>1756662.2504856386</v>
      </c>
      <c r="BH59" s="799">
        <v>7</v>
      </c>
      <c r="BI59" s="692">
        <f t="shared" si="47"/>
        <v>0</v>
      </c>
      <c r="BJ59" s="800">
        <v>1550</v>
      </c>
      <c r="BK59" s="778">
        <f t="shared" si="39"/>
        <v>0</v>
      </c>
      <c r="BL59" s="786">
        <f t="shared" si="46"/>
        <v>1756662.2504856386</v>
      </c>
      <c r="BM59" s="692">
        <f t="shared" si="40"/>
        <v>1756662.2504856386</v>
      </c>
      <c r="BN59" s="801">
        <f t="shared" si="41"/>
        <v>8.5833187505580369E-4</v>
      </c>
      <c r="BO59" s="787">
        <f t="shared" si="42"/>
        <v>4242.5896188583929</v>
      </c>
      <c r="BP59" s="802">
        <f t="shared" si="43"/>
        <v>1760905</v>
      </c>
      <c r="BQ59" s="803">
        <f t="shared" si="7"/>
        <v>154.27588925880497</v>
      </c>
      <c r="BR59" s="682"/>
      <c r="BS59" s="618"/>
    </row>
    <row r="60" spans="1:71" ht="15.75">
      <c r="A60" s="805" t="s">
        <v>3535</v>
      </c>
      <c r="B60" s="767" t="s">
        <v>3536</v>
      </c>
      <c r="C60" s="768">
        <v>29724</v>
      </c>
      <c r="D60" s="769">
        <v>0</v>
      </c>
      <c r="E60" s="770">
        <v>0</v>
      </c>
      <c r="F60" s="771">
        <v>0</v>
      </c>
      <c r="G60" s="770">
        <f>C60/($C$10+$C$60+$C$62+$C$67+$C$74+$C$80+$C$94+$C$105+$C$127+$C$141+$C$168+$C$175+$C$201+$C$219+$C$237+$C$255+$C$265+$C$267+$C$268+$C$273+$C$281)*$G$7</f>
        <v>1825438.8643854463</v>
      </c>
      <c r="H60" s="771">
        <v>0</v>
      </c>
      <c r="I60" s="770">
        <f t="shared" si="44"/>
        <v>1825438.8643854463</v>
      </c>
      <c r="J60" s="772">
        <f t="shared" si="11"/>
        <v>61.412961390978545</v>
      </c>
      <c r="K60" s="773">
        <v>14771</v>
      </c>
      <c r="L60" s="774">
        <f t="shared" si="12"/>
        <v>5.3309147945066063E-3</v>
      </c>
      <c r="M60" s="775">
        <f t="shared" si="45"/>
        <v>447381.24462117517</v>
      </c>
      <c r="N60" s="806">
        <v>5043.5</v>
      </c>
      <c r="O60" s="777">
        <f t="shared" si="13"/>
        <v>5.7357016866499792E-3</v>
      </c>
      <c r="P60" s="778">
        <f t="shared" si="14"/>
        <v>481351.78637510701</v>
      </c>
      <c r="Q60" s="786">
        <f t="shared" si="0"/>
        <v>928733.03099628212</v>
      </c>
      <c r="R60" s="692">
        <f t="shared" si="1"/>
        <v>31.245223758453847</v>
      </c>
      <c r="S60" s="807">
        <v>112709290.66</v>
      </c>
      <c r="T60" s="782">
        <f t="shared" si="8"/>
        <v>7.8388939441134804</v>
      </c>
      <c r="U60" s="777">
        <f t="shared" si="15"/>
        <v>4.2610087810635326E-3</v>
      </c>
      <c r="V60" s="783">
        <f t="shared" si="2"/>
        <v>3791.8614809581481</v>
      </c>
      <c r="W60" s="778">
        <f t="shared" si="16"/>
        <v>1698564.6094826339</v>
      </c>
      <c r="X60" s="784">
        <v>28298714.620900001</v>
      </c>
      <c r="Y60" s="782">
        <f t="shared" si="9"/>
        <v>31.221070915619595</v>
      </c>
      <c r="Z60" s="782">
        <f t="shared" si="17"/>
        <v>4.8205816419322313E-3</v>
      </c>
      <c r="AA60" s="783">
        <f t="shared" si="3"/>
        <v>952.04934130332401</v>
      </c>
      <c r="AB60" s="692">
        <f t="shared" si="18"/>
        <v>1132748.5270570067</v>
      </c>
      <c r="AC60" s="786">
        <f t="shared" si="19"/>
        <v>2831313.1365396408</v>
      </c>
      <c r="AD60" s="787">
        <f t="shared" si="4"/>
        <v>95.253436164030447</v>
      </c>
      <c r="AE60" s="788">
        <v>5418.9862000000003</v>
      </c>
      <c r="AF60" s="774">
        <f t="shared" si="20"/>
        <v>5.6362618153690787E-3</v>
      </c>
      <c r="AG60" s="692">
        <f t="shared" si="21"/>
        <v>709509.88427981467</v>
      </c>
      <c r="AH60" s="786">
        <f t="shared" si="22"/>
        <v>709509.88427981467</v>
      </c>
      <c r="AI60" s="692">
        <f t="shared" si="5"/>
        <v>23.869932858290092</v>
      </c>
      <c r="AJ60" s="789">
        <v>3190</v>
      </c>
      <c r="AK60" s="777">
        <f t="shared" si="23"/>
        <v>4.2404085680180148E-3</v>
      </c>
      <c r="AL60" s="692">
        <f t="shared" si="24"/>
        <v>88965.934365387642</v>
      </c>
      <c r="AM60" s="790">
        <v>20.666666666666668</v>
      </c>
      <c r="AN60" s="791">
        <f t="shared" si="25"/>
        <v>2.9843561973525857E-3</v>
      </c>
      <c r="AO60" s="778">
        <f t="shared" si="26"/>
        <v>187839.9451263537</v>
      </c>
      <c r="AP60" s="768">
        <v>231</v>
      </c>
      <c r="AQ60" s="792">
        <f t="shared" si="27"/>
        <v>3.122254511049537E-3</v>
      </c>
      <c r="AR60" s="793">
        <f t="shared" si="28"/>
        <v>262025.96796647969</v>
      </c>
      <c r="AS60" s="794">
        <v>35.583333333333336</v>
      </c>
      <c r="AT60" s="791">
        <f t="shared" si="29"/>
        <v>1.4270674932740665E-3</v>
      </c>
      <c r="AU60" s="795">
        <f t="shared" si="30"/>
        <v>119762.41525324594</v>
      </c>
      <c r="AV60" s="796">
        <v>89</v>
      </c>
      <c r="AW60" s="791">
        <f t="shared" si="31"/>
        <v>1.1333537082314589E-3</v>
      </c>
      <c r="AX60" s="795">
        <f t="shared" si="32"/>
        <v>71335.016427261609</v>
      </c>
      <c r="AY60" s="786">
        <f t="shared" si="33"/>
        <v>729929.27913872863</v>
      </c>
      <c r="AZ60" s="787">
        <f t="shared" si="6"/>
        <v>24.556899446195956</v>
      </c>
      <c r="BA60" s="797">
        <f t="shared" si="10"/>
        <v>7024924.1953399125</v>
      </c>
      <c r="BB60" s="775">
        <v>4263094</v>
      </c>
      <c r="BC60" s="775">
        <f t="shared" si="34"/>
        <v>0</v>
      </c>
      <c r="BD60" s="775">
        <f t="shared" si="35"/>
        <v>2761830.1953399125</v>
      </c>
      <c r="BE60" s="798">
        <f t="shared" si="36"/>
        <v>4.2974104703833674E-3</v>
      </c>
      <c r="BF60" s="775">
        <f t="shared" si="37"/>
        <v>-5689.2647863151906</v>
      </c>
      <c r="BG60" s="797">
        <f t="shared" si="38"/>
        <v>7019234.9305535974</v>
      </c>
      <c r="BH60" s="799">
        <v>7.7</v>
      </c>
      <c r="BI60" s="692">
        <f t="shared" si="47"/>
        <v>0</v>
      </c>
      <c r="BJ60" s="800">
        <v>1100</v>
      </c>
      <c r="BK60" s="778">
        <f t="shared" si="39"/>
        <v>0</v>
      </c>
      <c r="BL60" s="786">
        <f t="shared" si="46"/>
        <v>7019234.9305535974</v>
      </c>
      <c r="BM60" s="692">
        <f t="shared" si="40"/>
        <v>7019234.9305535974</v>
      </c>
      <c r="BN60" s="801">
        <f t="shared" si="41"/>
        <v>3.4297048722562724E-3</v>
      </c>
      <c r="BO60" s="787">
        <f t="shared" si="42"/>
        <v>16952.452436694723</v>
      </c>
      <c r="BP60" s="802">
        <f t="shared" si="43"/>
        <v>7036187</v>
      </c>
      <c r="BQ60" s="803">
        <f t="shared" si="7"/>
        <v>236.71736643789529</v>
      </c>
      <c r="BR60" s="682"/>
      <c r="BS60" s="618"/>
    </row>
    <row r="61" spans="1:71" ht="15.75">
      <c r="A61" s="766" t="s">
        <v>3537</v>
      </c>
      <c r="B61" s="767" t="s">
        <v>3538</v>
      </c>
      <c r="C61" s="768">
        <v>19069</v>
      </c>
      <c r="D61" s="769">
        <v>0</v>
      </c>
      <c r="E61" s="770">
        <v>0</v>
      </c>
      <c r="F61" s="771">
        <v>0</v>
      </c>
      <c r="G61" s="770">
        <v>0</v>
      </c>
      <c r="H61" s="771">
        <v>0</v>
      </c>
      <c r="I61" s="770">
        <f t="shared" si="44"/>
        <v>0</v>
      </c>
      <c r="J61" s="772">
        <f t="shared" si="11"/>
        <v>0</v>
      </c>
      <c r="K61" s="773">
        <v>3580</v>
      </c>
      <c r="L61" s="774">
        <f t="shared" si="12"/>
        <v>1.2920367588066923E-3</v>
      </c>
      <c r="M61" s="775">
        <f t="shared" si="45"/>
        <v>108430.36055404558</v>
      </c>
      <c r="N61" s="806">
        <v>1486</v>
      </c>
      <c r="O61" s="777">
        <f t="shared" si="13"/>
        <v>1.6899479937269495E-3</v>
      </c>
      <c r="P61" s="778">
        <f t="shared" si="14"/>
        <v>141823.8831274728</v>
      </c>
      <c r="Q61" s="786">
        <f t="shared" si="0"/>
        <v>250254.24368151836</v>
      </c>
      <c r="R61" s="692">
        <f t="shared" si="1"/>
        <v>13.123616533720613</v>
      </c>
      <c r="S61" s="807">
        <v>70598214.340000004</v>
      </c>
      <c r="T61" s="782">
        <f t="shared" si="8"/>
        <v>5.1506509675836654</v>
      </c>
      <c r="U61" s="777">
        <f t="shared" si="15"/>
        <v>2.7997532761044916E-3</v>
      </c>
      <c r="V61" s="783">
        <f t="shared" si="2"/>
        <v>3702.2504766899156</v>
      </c>
      <c r="W61" s="778">
        <f t="shared" si="16"/>
        <v>1116064.7805300178</v>
      </c>
      <c r="X61" s="784">
        <v>14196459.596899999</v>
      </c>
      <c r="Y61" s="782">
        <f t="shared" si="9"/>
        <v>25.61390454556734</v>
      </c>
      <c r="Z61" s="782">
        <f t="shared" si="17"/>
        <v>3.9548264812656912E-3</v>
      </c>
      <c r="AA61" s="783">
        <f t="shared" si="3"/>
        <v>744.47845177513238</v>
      </c>
      <c r="AB61" s="692">
        <f t="shared" si="18"/>
        <v>929311.89723074809</v>
      </c>
      <c r="AC61" s="786">
        <f t="shared" si="19"/>
        <v>2045376.6777607659</v>
      </c>
      <c r="AD61" s="787">
        <f t="shared" si="4"/>
        <v>107.26187412873071</v>
      </c>
      <c r="AE61" s="788">
        <v>745.55470000000003</v>
      </c>
      <c r="AF61" s="774">
        <f t="shared" si="20"/>
        <v>7.7544790331426732E-4</v>
      </c>
      <c r="AG61" s="692">
        <f t="shared" si="21"/>
        <v>97615.754939784107</v>
      </c>
      <c r="AH61" s="786">
        <f t="shared" si="22"/>
        <v>97615.754939784107</v>
      </c>
      <c r="AI61" s="692">
        <f t="shared" si="5"/>
        <v>5.1190809659543817</v>
      </c>
      <c r="AJ61" s="789">
        <v>2117</v>
      </c>
      <c r="AK61" s="777">
        <f t="shared" si="23"/>
        <v>2.8140893224119549E-3</v>
      </c>
      <c r="AL61" s="692">
        <f t="shared" si="24"/>
        <v>59041.029169757247</v>
      </c>
      <c r="AM61" s="790">
        <v>11</v>
      </c>
      <c r="AN61" s="791">
        <f t="shared" si="25"/>
        <v>1.5884476534296021E-3</v>
      </c>
      <c r="AO61" s="778">
        <f t="shared" si="26"/>
        <v>99979.325631768908</v>
      </c>
      <c r="AP61" s="768">
        <v>232</v>
      </c>
      <c r="AQ61" s="792">
        <f t="shared" si="27"/>
        <v>3.135770764344124E-3</v>
      </c>
      <c r="AR61" s="793">
        <f t="shared" si="28"/>
        <v>263160.27951611817</v>
      </c>
      <c r="AS61" s="794">
        <v>63.277777777777771</v>
      </c>
      <c r="AT61" s="791">
        <f t="shared" si="29"/>
        <v>2.5377515610291359E-3</v>
      </c>
      <c r="AU61" s="795">
        <f t="shared" si="30"/>
        <v>212973.28801474959</v>
      </c>
      <c r="AV61" s="796">
        <v>197</v>
      </c>
      <c r="AW61" s="791">
        <f t="shared" si="31"/>
        <v>2.5086593317033413E-3</v>
      </c>
      <c r="AX61" s="795">
        <f t="shared" si="32"/>
        <v>157898.85658618581</v>
      </c>
      <c r="AY61" s="786">
        <f t="shared" si="33"/>
        <v>793052.7789185798</v>
      </c>
      <c r="AZ61" s="787">
        <f t="shared" si="6"/>
        <v>41.588587703528226</v>
      </c>
      <c r="BA61" s="797">
        <f t="shared" si="10"/>
        <v>3186299.4553006482</v>
      </c>
      <c r="BB61" s="775">
        <v>2173238</v>
      </c>
      <c r="BC61" s="775">
        <f t="shared" si="34"/>
        <v>0</v>
      </c>
      <c r="BD61" s="775">
        <f t="shared" si="35"/>
        <v>1013061.4553006482</v>
      </c>
      <c r="BE61" s="798">
        <f t="shared" si="36"/>
        <v>1.5763246098535052E-3</v>
      </c>
      <c r="BF61" s="775">
        <f t="shared" si="37"/>
        <v>-2086.8679304543002</v>
      </c>
      <c r="BG61" s="797">
        <f t="shared" si="38"/>
        <v>3184212.587370194</v>
      </c>
      <c r="BH61" s="799">
        <v>7</v>
      </c>
      <c r="BI61" s="692">
        <f t="shared" si="47"/>
        <v>0</v>
      </c>
      <c r="BJ61" s="800">
        <v>1300</v>
      </c>
      <c r="BK61" s="778">
        <f t="shared" si="39"/>
        <v>0</v>
      </c>
      <c r="BL61" s="786">
        <f t="shared" si="46"/>
        <v>3184212.587370194</v>
      </c>
      <c r="BM61" s="692">
        <f t="shared" si="40"/>
        <v>3184212.587370194</v>
      </c>
      <c r="BN61" s="801">
        <f t="shared" si="41"/>
        <v>1.5558546669618293E-3</v>
      </c>
      <c r="BO61" s="787">
        <f t="shared" si="42"/>
        <v>7690.3270754980294</v>
      </c>
      <c r="BP61" s="802">
        <f t="shared" si="43"/>
        <v>3191903</v>
      </c>
      <c r="BQ61" s="803">
        <f t="shared" si="7"/>
        <v>167.38701557501705</v>
      </c>
      <c r="BR61" s="682"/>
      <c r="BS61" s="618"/>
    </row>
    <row r="62" spans="1:71" ht="15.75">
      <c r="A62" s="766" t="s">
        <v>3539</v>
      </c>
      <c r="B62" s="767" t="s">
        <v>3540</v>
      </c>
      <c r="C62" s="768">
        <v>44484</v>
      </c>
      <c r="D62" s="769">
        <v>0</v>
      </c>
      <c r="E62" s="770">
        <v>0</v>
      </c>
      <c r="F62" s="771">
        <v>0</v>
      </c>
      <c r="G62" s="770">
        <f>C62/($C$10+$C$60+$C$62+$C$67+$C$74+$C$80+$C$94+$C$105+$C$127+$C$141+$C$168+$C$175+$C$201+$C$219+$C$237+$C$255+$C$265+$C$267+$C$268+$C$273+$C$281)*$G$7</f>
        <v>2731894.1745162895</v>
      </c>
      <c r="H62" s="771">
        <v>0</v>
      </c>
      <c r="I62" s="770">
        <f t="shared" si="44"/>
        <v>2731894.1745162895</v>
      </c>
      <c r="J62" s="772">
        <f t="shared" si="11"/>
        <v>61.412961390978545</v>
      </c>
      <c r="K62" s="773">
        <v>18633</v>
      </c>
      <c r="L62" s="774">
        <f t="shared" si="12"/>
        <v>6.7247265158785182E-3</v>
      </c>
      <c r="M62" s="775">
        <f t="shared" si="45"/>
        <v>564352.76765461767</v>
      </c>
      <c r="N62" s="806">
        <v>6386</v>
      </c>
      <c r="O62" s="777">
        <f t="shared" si="13"/>
        <v>7.2624548371065271E-3</v>
      </c>
      <c r="P62" s="778">
        <f t="shared" si="14"/>
        <v>609480.02533784742</v>
      </c>
      <c r="Q62" s="786">
        <f t="shared" si="0"/>
        <v>1173832.7929924652</v>
      </c>
      <c r="R62" s="692">
        <f t="shared" si="1"/>
        <v>26.38775274238974</v>
      </c>
      <c r="S62" s="807">
        <v>162001099.78999999</v>
      </c>
      <c r="T62" s="782">
        <f t="shared" si="8"/>
        <v>12.214893964084984</v>
      </c>
      <c r="U62" s="777">
        <f t="shared" si="15"/>
        <v>6.639682946573181E-3</v>
      </c>
      <c r="V62" s="783">
        <f t="shared" si="2"/>
        <v>3641.7835579084613</v>
      </c>
      <c r="W62" s="778">
        <f t="shared" si="16"/>
        <v>2646774.7546907538</v>
      </c>
      <c r="X62" s="784">
        <v>37546716.1193</v>
      </c>
      <c r="Y62" s="782">
        <f t="shared" si="9"/>
        <v>52.703044647434062</v>
      </c>
      <c r="Z62" s="782">
        <f t="shared" si="17"/>
        <v>8.1374316143092967E-3</v>
      </c>
      <c r="AA62" s="783">
        <f t="shared" si="3"/>
        <v>844.04990826589335</v>
      </c>
      <c r="AB62" s="692">
        <f t="shared" si="18"/>
        <v>1912147.6120133223</v>
      </c>
      <c r="AC62" s="786">
        <f t="shared" si="19"/>
        <v>4558922.3667040765</v>
      </c>
      <c r="AD62" s="787">
        <f t="shared" si="4"/>
        <v>102.4845420084542</v>
      </c>
      <c r="AE62" s="788">
        <v>3326.2136999999998</v>
      </c>
      <c r="AF62" s="774">
        <f t="shared" si="20"/>
        <v>3.4595790753383909E-3</v>
      </c>
      <c r="AG62" s="692">
        <f t="shared" si="21"/>
        <v>435502.40031556715</v>
      </c>
      <c r="AH62" s="786">
        <f t="shared" si="22"/>
        <v>435502.40031556715</v>
      </c>
      <c r="AI62" s="692">
        <f t="shared" si="5"/>
        <v>9.7900908262648851</v>
      </c>
      <c r="AJ62" s="789">
        <v>5748</v>
      </c>
      <c r="AK62" s="777">
        <f t="shared" si="23"/>
        <v>7.6407111125290118E-3</v>
      </c>
      <c r="AL62" s="692">
        <f t="shared" si="24"/>
        <v>160306.01590352604</v>
      </c>
      <c r="AM62" s="790">
        <v>18</v>
      </c>
      <c r="AN62" s="791">
        <f t="shared" si="25"/>
        <v>2.5992779783393489E-3</v>
      </c>
      <c r="AO62" s="778">
        <f t="shared" si="26"/>
        <v>163602.53285198548</v>
      </c>
      <c r="AP62" s="768">
        <v>530</v>
      </c>
      <c r="AQ62" s="792">
        <f t="shared" si="27"/>
        <v>7.1636142461309728E-3</v>
      </c>
      <c r="AR62" s="793">
        <f t="shared" si="28"/>
        <v>601185.1213083734</v>
      </c>
      <c r="AS62" s="794">
        <v>135.58333333333334</v>
      </c>
      <c r="AT62" s="791">
        <f t="shared" si="29"/>
        <v>5.4375616195712091E-3</v>
      </c>
      <c r="AU62" s="795">
        <f t="shared" si="30"/>
        <v>456331.26374011982</v>
      </c>
      <c r="AV62" s="796">
        <v>919</v>
      </c>
      <c r="AW62" s="791">
        <f t="shared" si="31"/>
        <v>1.1702832110839445E-2</v>
      </c>
      <c r="AX62" s="795">
        <f t="shared" si="32"/>
        <v>736594.15838936425</v>
      </c>
      <c r="AY62" s="786">
        <f t="shared" si="33"/>
        <v>2118019.0921933693</v>
      </c>
      <c r="AZ62" s="787">
        <f t="shared" si="6"/>
        <v>47.613053956329672</v>
      </c>
      <c r="BA62" s="797">
        <f t="shared" si="10"/>
        <v>11018170.826721769</v>
      </c>
      <c r="BB62" s="775">
        <v>7864186</v>
      </c>
      <c r="BC62" s="775">
        <f t="shared" si="34"/>
        <v>0</v>
      </c>
      <c r="BD62" s="775">
        <f t="shared" si="35"/>
        <v>3153984.8267217688</v>
      </c>
      <c r="BE62" s="798">
        <f t="shared" si="36"/>
        <v>4.907603458262663E-3</v>
      </c>
      <c r="BF62" s="775">
        <f t="shared" si="37"/>
        <v>-6497.0883588417491</v>
      </c>
      <c r="BG62" s="797">
        <f t="shared" si="38"/>
        <v>11011673.738362927</v>
      </c>
      <c r="BH62" s="799">
        <v>7.8</v>
      </c>
      <c r="BI62" s="692">
        <f t="shared" si="47"/>
        <v>0</v>
      </c>
      <c r="BJ62" s="800">
        <v>1400</v>
      </c>
      <c r="BK62" s="778">
        <f t="shared" si="39"/>
        <v>0</v>
      </c>
      <c r="BL62" s="786">
        <f t="shared" si="46"/>
        <v>11011673.738362927</v>
      </c>
      <c r="BM62" s="692">
        <f t="shared" si="40"/>
        <v>11011673.738362927</v>
      </c>
      <c r="BN62" s="801">
        <f t="shared" si="41"/>
        <v>5.3804711547361132E-3</v>
      </c>
      <c r="BO62" s="787">
        <f t="shared" si="42"/>
        <v>26594.760988185808</v>
      </c>
      <c r="BP62" s="802">
        <f t="shared" si="43"/>
        <v>11038268</v>
      </c>
      <c r="BQ62" s="803">
        <f t="shared" si="7"/>
        <v>248.14018523514073</v>
      </c>
      <c r="BR62" s="682"/>
      <c r="BS62" s="618"/>
    </row>
    <row r="63" spans="1:71" ht="15.75">
      <c r="A63" s="805" t="s">
        <v>3541</v>
      </c>
      <c r="B63" s="767" t="s">
        <v>3542</v>
      </c>
      <c r="C63" s="768">
        <v>8339</v>
      </c>
      <c r="D63" s="769">
        <v>0</v>
      </c>
      <c r="E63" s="770">
        <v>0</v>
      </c>
      <c r="F63" s="771">
        <v>0</v>
      </c>
      <c r="G63" s="770">
        <v>0</v>
      </c>
      <c r="H63" s="771">
        <v>0</v>
      </c>
      <c r="I63" s="770">
        <f t="shared" si="44"/>
        <v>0</v>
      </c>
      <c r="J63" s="772">
        <f t="shared" si="11"/>
        <v>0</v>
      </c>
      <c r="K63" s="773">
        <v>2632</v>
      </c>
      <c r="L63" s="774">
        <f t="shared" si="12"/>
        <v>9.4989965060871895E-4</v>
      </c>
      <c r="M63" s="775">
        <f t="shared" si="45"/>
        <v>79717.516474370932</v>
      </c>
      <c r="N63" s="806">
        <v>111.5</v>
      </c>
      <c r="O63" s="777">
        <f t="shared" si="13"/>
        <v>1.2680296184424956E-4</v>
      </c>
      <c r="P63" s="778">
        <f t="shared" si="14"/>
        <v>10641.563236011585</v>
      </c>
      <c r="Q63" s="786">
        <f t="shared" si="0"/>
        <v>90359.079710382517</v>
      </c>
      <c r="R63" s="692">
        <f t="shared" si="1"/>
        <v>10.835721274779052</v>
      </c>
      <c r="S63" s="807">
        <v>26161795.539999999</v>
      </c>
      <c r="T63" s="782">
        <f t="shared" si="8"/>
        <v>2.6580331955304319</v>
      </c>
      <c r="U63" s="777">
        <f t="shared" si="15"/>
        <v>1.4448342926004984E-3</v>
      </c>
      <c r="V63" s="783">
        <f t="shared" si="2"/>
        <v>3137.2821129631848</v>
      </c>
      <c r="W63" s="778">
        <f t="shared" si="16"/>
        <v>575953.84616070602</v>
      </c>
      <c r="X63" s="784">
        <v>5524569.0652000001</v>
      </c>
      <c r="Y63" s="782">
        <f t="shared" si="9"/>
        <v>12.587211813141222</v>
      </c>
      <c r="Z63" s="782">
        <f t="shared" si="17"/>
        <v>1.9434849737708594E-3</v>
      </c>
      <c r="AA63" s="783">
        <f t="shared" si="3"/>
        <v>662.49778932725746</v>
      </c>
      <c r="AB63" s="692">
        <f t="shared" si="18"/>
        <v>456683.42638295161</v>
      </c>
      <c r="AC63" s="786">
        <f t="shared" si="19"/>
        <v>1032637.2725436576</v>
      </c>
      <c r="AD63" s="787">
        <f t="shared" si="4"/>
        <v>123.8322667638395</v>
      </c>
      <c r="AE63" s="788">
        <v>1915.6027999999999</v>
      </c>
      <c r="AF63" s="774">
        <f t="shared" si="20"/>
        <v>1.9924093763246877E-3</v>
      </c>
      <c r="AG63" s="692">
        <f t="shared" si="21"/>
        <v>250810.58906444325</v>
      </c>
      <c r="AH63" s="786">
        <f t="shared" si="22"/>
        <v>250810.58906444325</v>
      </c>
      <c r="AI63" s="692">
        <f t="shared" si="5"/>
        <v>30.076818451186384</v>
      </c>
      <c r="AJ63" s="789">
        <v>1207</v>
      </c>
      <c r="AK63" s="777">
        <f t="shared" si="23"/>
        <v>1.6044429910964714E-3</v>
      </c>
      <c r="AL63" s="692">
        <f t="shared" si="24"/>
        <v>33662.032219129425</v>
      </c>
      <c r="AM63" s="790">
        <v>2</v>
      </c>
      <c r="AN63" s="791">
        <f t="shared" si="25"/>
        <v>2.8880866425992765E-4</v>
      </c>
      <c r="AO63" s="778">
        <f t="shared" si="26"/>
        <v>18178.059205776164</v>
      </c>
      <c r="AP63" s="768">
        <v>59</v>
      </c>
      <c r="AQ63" s="792">
        <f t="shared" si="27"/>
        <v>7.9745894438061767E-4</v>
      </c>
      <c r="AR63" s="793">
        <f t="shared" si="28"/>
        <v>66924.38142866797</v>
      </c>
      <c r="AS63" s="794">
        <v>6.1944444444444438</v>
      </c>
      <c r="AT63" s="791">
        <f t="shared" si="29"/>
        <v>2.4842783060118404E-4</v>
      </c>
      <c r="AU63" s="795">
        <f t="shared" si="30"/>
        <v>20848.570336825789</v>
      </c>
      <c r="AV63" s="796">
        <v>19</v>
      </c>
      <c r="AW63" s="791">
        <f t="shared" si="31"/>
        <v>2.419519152404238E-4</v>
      </c>
      <c r="AX63" s="795">
        <f t="shared" si="32"/>
        <v>15228.823731662593</v>
      </c>
      <c r="AY63" s="786">
        <f t="shared" si="33"/>
        <v>154841.86692206195</v>
      </c>
      <c r="AZ63" s="787">
        <f t="shared" si="6"/>
        <v>18.568397520333608</v>
      </c>
      <c r="BA63" s="797">
        <f t="shared" si="10"/>
        <v>1528648.8082405452</v>
      </c>
      <c r="BB63" s="775">
        <v>1038659</v>
      </c>
      <c r="BC63" s="775">
        <f t="shared" si="34"/>
        <v>0</v>
      </c>
      <c r="BD63" s="775">
        <f t="shared" si="35"/>
        <v>489989.80824054522</v>
      </c>
      <c r="BE63" s="798">
        <f t="shared" si="36"/>
        <v>7.6242461823577089E-4</v>
      </c>
      <c r="BF63" s="775">
        <f t="shared" si="37"/>
        <v>-1009.3603025920905</v>
      </c>
      <c r="BG63" s="797">
        <f t="shared" si="38"/>
        <v>1527639.4479379531</v>
      </c>
      <c r="BH63" s="799">
        <v>7.5</v>
      </c>
      <c r="BI63" s="692">
        <f t="shared" si="47"/>
        <v>0</v>
      </c>
      <c r="BJ63" s="800">
        <v>1475</v>
      </c>
      <c r="BK63" s="778">
        <f t="shared" si="39"/>
        <v>0</v>
      </c>
      <c r="BL63" s="786">
        <f t="shared" si="46"/>
        <v>1527639.4479379531</v>
      </c>
      <c r="BM63" s="692">
        <f t="shared" si="40"/>
        <v>1527639.4479379531</v>
      </c>
      <c r="BN63" s="801">
        <f t="shared" si="41"/>
        <v>7.4642785281877711E-4</v>
      </c>
      <c r="BO63" s="787">
        <f t="shared" si="42"/>
        <v>3689.4669202280506</v>
      </c>
      <c r="BP63" s="802">
        <f t="shared" si="43"/>
        <v>1531329</v>
      </c>
      <c r="BQ63" s="803">
        <f t="shared" si="7"/>
        <v>183.63460846624295</v>
      </c>
      <c r="BR63" s="682"/>
      <c r="BS63" s="618"/>
    </row>
    <row r="64" spans="1:71" ht="15.75">
      <c r="A64" s="766" t="s">
        <v>3543</v>
      </c>
      <c r="B64" s="767" t="s">
        <v>3544</v>
      </c>
      <c r="C64" s="768">
        <v>9231</v>
      </c>
      <c r="D64" s="769">
        <v>0</v>
      </c>
      <c r="E64" s="770">
        <v>0</v>
      </c>
      <c r="F64" s="771">
        <v>0</v>
      </c>
      <c r="G64" s="770">
        <v>0</v>
      </c>
      <c r="H64" s="771">
        <v>0</v>
      </c>
      <c r="I64" s="770">
        <f t="shared" si="44"/>
        <v>0</v>
      </c>
      <c r="J64" s="772">
        <f t="shared" si="11"/>
        <v>0</v>
      </c>
      <c r="K64" s="773">
        <v>4085</v>
      </c>
      <c r="L64" s="774">
        <f t="shared" si="12"/>
        <v>1.4742933407054016E-3</v>
      </c>
      <c r="M64" s="775">
        <f t="shared" si="45"/>
        <v>123725.70471041235</v>
      </c>
      <c r="N64" s="806">
        <v>29</v>
      </c>
      <c r="O64" s="777">
        <f t="shared" si="13"/>
        <v>3.298014254245056E-5</v>
      </c>
      <c r="P64" s="778">
        <f t="shared" si="14"/>
        <v>2767.7608416532375</v>
      </c>
      <c r="Q64" s="786">
        <f t="shared" si="0"/>
        <v>126493.46555206558</v>
      </c>
      <c r="R64" s="692">
        <f t="shared" si="1"/>
        <v>13.703116190235681</v>
      </c>
      <c r="S64" s="807">
        <v>27833078.810000002</v>
      </c>
      <c r="T64" s="782">
        <f t="shared" si="8"/>
        <v>3.0615140201228783</v>
      </c>
      <c r="U64" s="777">
        <f t="shared" si="15"/>
        <v>1.664155455616131E-3</v>
      </c>
      <c r="V64" s="783">
        <f t="shared" si="2"/>
        <v>3015.174825046041</v>
      </c>
      <c r="W64" s="778">
        <f t="shared" si="16"/>
        <v>663381.77338406711</v>
      </c>
      <c r="X64" s="784">
        <v>9740562.5354999993</v>
      </c>
      <c r="Y64" s="782">
        <f t="shared" si="9"/>
        <v>8.748094444180472</v>
      </c>
      <c r="Z64" s="782">
        <f t="shared" si="17"/>
        <v>1.3507193136801736E-3</v>
      </c>
      <c r="AA64" s="783">
        <f t="shared" si="3"/>
        <v>1055.2012279818005</v>
      </c>
      <c r="AB64" s="692">
        <f t="shared" si="18"/>
        <v>317394.33676003222</v>
      </c>
      <c r="AC64" s="786">
        <f t="shared" si="19"/>
        <v>980776.11014409934</v>
      </c>
      <c r="AD64" s="787">
        <f t="shared" si="4"/>
        <v>106.24808906338417</v>
      </c>
      <c r="AE64" s="788">
        <v>1951.893</v>
      </c>
      <c r="AF64" s="774">
        <f t="shared" si="20"/>
        <v>2.0301546410260644E-3</v>
      </c>
      <c r="AG64" s="692">
        <f t="shared" si="21"/>
        <v>255562.07848556252</v>
      </c>
      <c r="AH64" s="786">
        <f t="shared" si="22"/>
        <v>255562.07848556252</v>
      </c>
      <c r="AI64" s="692">
        <f t="shared" si="5"/>
        <v>27.68519970594329</v>
      </c>
      <c r="AJ64" s="789">
        <v>899</v>
      </c>
      <c r="AK64" s="777">
        <f t="shared" si="23"/>
        <v>1.1950242328050767E-3</v>
      </c>
      <c r="AL64" s="692">
        <f t="shared" si="24"/>
        <v>25072.21786660924</v>
      </c>
      <c r="AM64" s="790">
        <v>2.3333333333333335</v>
      </c>
      <c r="AN64" s="791">
        <f t="shared" si="25"/>
        <v>3.3694344163658226E-4</v>
      </c>
      <c r="AO64" s="778">
        <f t="shared" si="26"/>
        <v>21207.735740072192</v>
      </c>
      <c r="AP64" s="768">
        <v>102</v>
      </c>
      <c r="AQ64" s="792">
        <f t="shared" si="27"/>
        <v>1.3786578360478476E-3</v>
      </c>
      <c r="AR64" s="793">
        <f t="shared" si="28"/>
        <v>115699.77806312092</v>
      </c>
      <c r="AS64" s="794">
        <v>10.111111111111112</v>
      </c>
      <c r="AT64" s="791">
        <f t="shared" si="29"/>
        <v>4.0550551721448886E-4</v>
      </c>
      <c r="AU64" s="795">
        <f t="shared" si="30"/>
        <v>34030.850235895021</v>
      </c>
      <c r="AV64" s="796">
        <v>0</v>
      </c>
      <c r="AW64" s="791">
        <f t="shared" si="31"/>
        <v>0</v>
      </c>
      <c r="AX64" s="795">
        <f t="shared" si="32"/>
        <v>0</v>
      </c>
      <c r="AY64" s="786">
        <f t="shared" si="33"/>
        <v>196010.58190569736</v>
      </c>
      <c r="AZ64" s="787">
        <f t="shared" si="6"/>
        <v>21.233948857729104</v>
      </c>
      <c r="BA64" s="797">
        <f t="shared" si="10"/>
        <v>1558842.2360874247</v>
      </c>
      <c r="BB64" s="775">
        <v>1060756</v>
      </c>
      <c r="BC64" s="775">
        <f t="shared" si="34"/>
        <v>0</v>
      </c>
      <c r="BD64" s="775">
        <f t="shared" si="35"/>
        <v>498086.23608742468</v>
      </c>
      <c r="BE64" s="798">
        <f t="shared" si="36"/>
        <v>7.7502266784091733E-4</v>
      </c>
      <c r="BF64" s="775">
        <f t="shared" si="37"/>
        <v>-1026.0386349247285</v>
      </c>
      <c r="BG64" s="797">
        <f t="shared" si="38"/>
        <v>1557816.1974525</v>
      </c>
      <c r="BH64" s="799">
        <v>6</v>
      </c>
      <c r="BI64" s="692">
        <f t="shared" si="47"/>
        <v>0</v>
      </c>
      <c r="BJ64" s="800">
        <v>900</v>
      </c>
      <c r="BK64" s="778">
        <f t="shared" si="39"/>
        <v>0</v>
      </c>
      <c r="BL64" s="786">
        <f t="shared" si="46"/>
        <v>1557816.1974525</v>
      </c>
      <c r="BM64" s="692">
        <f t="shared" si="40"/>
        <v>1557816.1974525</v>
      </c>
      <c r="BN64" s="801">
        <f t="shared" si="41"/>
        <v>7.6117267128729589E-4</v>
      </c>
      <c r="BO64" s="787">
        <f t="shared" si="42"/>
        <v>3762.3480697978744</v>
      </c>
      <c r="BP64" s="802">
        <f t="shared" si="43"/>
        <v>1561579</v>
      </c>
      <c r="BQ64" s="803">
        <f t="shared" si="7"/>
        <v>169.16682916260427</v>
      </c>
      <c r="BR64" s="682"/>
      <c r="BS64" s="618"/>
    </row>
    <row r="65" spans="1:71" ht="15.75">
      <c r="A65" s="805" t="s">
        <v>3545</v>
      </c>
      <c r="B65" s="767" t="s">
        <v>3546</v>
      </c>
      <c r="C65" s="768">
        <v>17685</v>
      </c>
      <c r="D65" s="769">
        <v>0</v>
      </c>
      <c r="E65" s="770">
        <v>0</v>
      </c>
      <c r="F65" s="771">
        <v>0</v>
      </c>
      <c r="G65" s="770">
        <v>0</v>
      </c>
      <c r="H65" s="771">
        <v>0</v>
      </c>
      <c r="I65" s="770">
        <f t="shared" si="44"/>
        <v>0</v>
      </c>
      <c r="J65" s="772">
        <f t="shared" si="11"/>
        <v>0</v>
      </c>
      <c r="K65" s="773">
        <v>6591</v>
      </c>
      <c r="L65" s="774">
        <f t="shared" si="12"/>
        <v>2.3787190718700859E-3</v>
      </c>
      <c r="M65" s="775">
        <f t="shared" si="45"/>
        <v>199626.95709824422</v>
      </c>
      <c r="N65" s="806">
        <v>290.5</v>
      </c>
      <c r="O65" s="777">
        <f t="shared" si="13"/>
        <v>3.3037004857178925E-4</v>
      </c>
      <c r="P65" s="778">
        <f t="shared" si="14"/>
        <v>27725.328431043639</v>
      </c>
      <c r="Q65" s="786">
        <f t="shared" si="0"/>
        <v>227352.28552928785</v>
      </c>
      <c r="R65" s="692">
        <f t="shared" si="1"/>
        <v>12.85565651847825</v>
      </c>
      <c r="S65" s="807">
        <v>82093672.640000015</v>
      </c>
      <c r="T65" s="782">
        <f t="shared" si="8"/>
        <v>3.809784785381968</v>
      </c>
      <c r="U65" s="777">
        <f t="shared" si="15"/>
        <v>2.0708950191455485E-3</v>
      </c>
      <c r="V65" s="783">
        <f t="shared" si="2"/>
        <v>4641.9944947695794</v>
      </c>
      <c r="W65" s="778">
        <f t="shared" si="16"/>
        <v>825520.23950453405</v>
      </c>
      <c r="X65" s="784">
        <v>16803968.146499999</v>
      </c>
      <c r="Y65" s="782">
        <f t="shared" si="9"/>
        <v>18.612224343280655</v>
      </c>
      <c r="Z65" s="782">
        <f t="shared" si="17"/>
        <v>2.8737562278767317E-3</v>
      </c>
      <c r="AA65" s="783">
        <f t="shared" si="3"/>
        <v>950.18197039864287</v>
      </c>
      <c r="AB65" s="692">
        <f t="shared" si="18"/>
        <v>675280.15829713654</v>
      </c>
      <c r="AC65" s="786">
        <f t="shared" si="19"/>
        <v>1500800.3978016707</v>
      </c>
      <c r="AD65" s="787">
        <f t="shared" si="4"/>
        <v>84.862900639054047</v>
      </c>
      <c r="AE65" s="788">
        <v>1490.9371000000001</v>
      </c>
      <c r="AF65" s="774">
        <f t="shared" si="20"/>
        <v>1.5507165982166758E-3</v>
      </c>
      <c r="AG65" s="692">
        <f t="shared" si="21"/>
        <v>195208.95057630568</v>
      </c>
      <c r="AH65" s="786">
        <f t="shared" si="22"/>
        <v>195208.95057630568</v>
      </c>
      <c r="AI65" s="692">
        <f t="shared" si="5"/>
        <v>11.038108599169108</v>
      </c>
      <c r="AJ65" s="789">
        <v>1443</v>
      </c>
      <c r="AK65" s="777">
        <f t="shared" si="23"/>
        <v>1.9181534682288384E-3</v>
      </c>
      <c r="AL65" s="692">
        <f t="shared" si="24"/>
        <v>40243.838021709824</v>
      </c>
      <c r="AM65" s="790">
        <v>4.333333333333333</v>
      </c>
      <c r="AN65" s="791">
        <f t="shared" si="25"/>
        <v>6.257521058965098E-4</v>
      </c>
      <c r="AO65" s="778">
        <f t="shared" si="26"/>
        <v>39385.794945848349</v>
      </c>
      <c r="AP65" s="768">
        <v>119</v>
      </c>
      <c r="AQ65" s="792">
        <f t="shared" si="27"/>
        <v>1.6084341420558221E-3</v>
      </c>
      <c r="AR65" s="793">
        <f t="shared" si="28"/>
        <v>134983.0744069744</v>
      </c>
      <c r="AS65" s="794">
        <v>21.305555555555557</v>
      </c>
      <c r="AT65" s="791">
        <f t="shared" si="29"/>
        <v>8.5445805413053002E-4</v>
      </c>
      <c r="AU65" s="795">
        <f t="shared" si="30"/>
        <v>71707.862997064512</v>
      </c>
      <c r="AV65" s="796">
        <v>0</v>
      </c>
      <c r="AW65" s="791">
        <f t="shared" si="31"/>
        <v>0</v>
      </c>
      <c r="AX65" s="795">
        <f t="shared" si="32"/>
        <v>0</v>
      </c>
      <c r="AY65" s="786">
        <f t="shared" si="33"/>
        <v>286320.57037159707</v>
      </c>
      <c r="AZ65" s="787">
        <f t="shared" si="6"/>
        <v>16.190023769951772</v>
      </c>
      <c r="BA65" s="797">
        <f t="shared" si="10"/>
        <v>2209682.2042788612</v>
      </c>
      <c r="BB65" s="775">
        <v>2087905</v>
      </c>
      <c r="BC65" s="775">
        <f t="shared" si="34"/>
        <v>0</v>
      </c>
      <c r="BD65" s="775">
        <f t="shared" si="35"/>
        <v>121777.20427886117</v>
      </c>
      <c r="BE65" s="798">
        <f t="shared" si="36"/>
        <v>1.8948544831069302E-4</v>
      </c>
      <c r="BF65" s="775">
        <f t="shared" si="37"/>
        <v>-250.85639270967823</v>
      </c>
      <c r="BG65" s="797">
        <f t="shared" si="38"/>
        <v>2209431.3478861516</v>
      </c>
      <c r="BH65" s="799">
        <v>6</v>
      </c>
      <c r="BI65" s="692">
        <f t="shared" si="47"/>
        <v>0</v>
      </c>
      <c r="BJ65" s="800">
        <v>750</v>
      </c>
      <c r="BK65" s="778">
        <f t="shared" si="39"/>
        <v>0</v>
      </c>
      <c r="BL65" s="786">
        <f t="shared" si="46"/>
        <v>2209431.3478861516</v>
      </c>
      <c r="BM65" s="692">
        <f t="shared" si="40"/>
        <v>2209431.3478861516</v>
      </c>
      <c r="BN65" s="801">
        <f t="shared" si="41"/>
        <v>1.0795617376726319E-3</v>
      </c>
      <c r="BO65" s="787">
        <f t="shared" si="42"/>
        <v>5336.091498255103</v>
      </c>
      <c r="BP65" s="802">
        <f t="shared" si="43"/>
        <v>2214767</v>
      </c>
      <c r="BQ65" s="803">
        <f t="shared" si="7"/>
        <v>125.23420978230139</v>
      </c>
      <c r="BR65" s="682"/>
      <c r="BS65" s="618"/>
    </row>
    <row r="66" spans="1:71" ht="15.75">
      <c r="A66" s="805" t="s">
        <v>3547</v>
      </c>
      <c r="B66" s="767" t="s">
        <v>3548</v>
      </c>
      <c r="C66" s="768">
        <v>18377</v>
      </c>
      <c r="D66" s="769">
        <v>0</v>
      </c>
      <c r="E66" s="770">
        <v>0</v>
      </c>
      <c r="F66" s="771">
        <v>0</v>
      </c>
      <c r="G66" s="770">
        <v>0</v>
      </c>
      <c r="H66" s="771">
        <v>0</v>
      </c>
      <c r="I66" s="770">
        <f t="shared" si="44"/>
        <v>0</v>
      </c>
      <c r="J66" s="772">
        <f t="shared" si="11"/>
        <v>0</v>
      </c>
      <c r="K66" s="773">
        <v>7874</v>
      </c>
      <c r="L66" s="774">
        <f t="shared" si="12"/>
        <v>2.8417590611295794E-3</v>
      </c>
      <c r="M66" s="775">
        <f t="shared" si="45"/>
        <v>238486.21759847901</v>
      </c>
      <c r="N66" s="806">
        <v>9347.5</v>
      </c>
      <c r="O66" s="777">
        <f t="shared" si="13"/>
        <v>1.063040973846747E-2</v>
      </c>
      <c r="P66" s="778">
        <f t="shared" si="14"/>
        <v>892125.67128805653</v>
      </c>
      <c r="Q66" s="786">
        <f t="shared" si="0"/>
        <v>1130611.8888865355</v>
      </c>
      <c r="R66" s="692">
        <f t="shared" si="1"/>
        <v>61.523202311940771</v>
      </c>
      <c r="S66" s="807">
        <v>64428955.370000005</v>
      </c>
      <c r="T66" s="782">
        <f t="shared" si="8"/>
        <v>5.2416514758091131</v>
      </c>
      <c r="U66" s="777">
        <f t="shared" si="15"/>
        <v>2.8492186684665171E-3</v>
      </c>
      <c r="V66" s="783">
        <f t="shared" si="2"/>
        <v>3505.9561065462267</v>
      </c>
      <c r="W66" s="778">
        <f t="shared" si="16"/>
        <v>1135783.1545530204</v>
      </c>
      <c r="X66" s="784">
        <v>14700579.377</v>
      </c>
      <c r="Y66" s="782">
        <f t="shared" si="9"/>
        <v>22.972844834155001</v>
      </c>
      <c r="Z66" s="782">
        <f t="shared" si="17"/>
        <v>3.5470427766487E-3</v>
      </c>
      <c r="AA66" s="783">
        <f t="shared" si="3"/>
        <v>799.94446193611577</v>
      </c>
      <c r="AB66" s="692">
        <f t="shared" si="18"/>
        <v>833490.18419414514</v>
      </c>
      <c r="AC66" s="786">
        <f t="shared" si="19"/>
        <v>1969273.3387471656</v>
      </c>
      <c r="AD66" s="787">
        <f t="shared" si="4"/>
        <v>107.15967452506752</v>
      </c>
      <c r="AE66" s="788">
        <v>2785.4967000000001</v>
      </c>
      <c r="AF66" s="774">
        <f t="shared" si="20"/>
        <v>2.8971818911527362E-3</v>
      </c>
      <c r="AG66" s="692">
        <f t="shared" si="21"/>
        <v>364706.12183489336</v>
      </c>
      <c r="AH66" s="786">
        <f t="shared" si="22"/>
        <v>364706.12183489336</v>
      </c>
      <c r="AI66" s="692">
        <f t="shared" si="5"/>
        <v>19.845792122484266</v>
      </c>
      <c r="AJ66" s="789">
        <v>2001</v>
      </c>
      <c r="AK66" s="777">
        <f t="shared" si="23"/>
        <v>2.6598926472112998E-3</v>
      </c>
      <c r="AL66" s="692">
        <f t="shared" si="24"/>
        <v>55805.904283743148</v>
      </c>
      <c r="AM66" s="790">
        <v>7.666666666666667</v>
      </c>
      <c r="AN66" s="791">
        <f t="shared" si="25"/>
        <v>1.107099879663056E-3</v>
      </c>
      <c r="AO66" s="778">
        <f t="shared" si="26"/>
        <v>69682.560288808629</v>
      </c>
      <c r="AP66" s="768">
        <v>201</v>
      </c>
      <c r="AQ66" s="792">
        <f t="shared" si="27"/>
        <v>2.7167669122119347E-3</v>
      </c>
      <c r="AR66" s="793">
        <f t="shared" si="28"/>
        <v>227996.62147732647</v>
      </c>
      <c r="AS66" s="794">
        <v>22.111111111111114</v>
      </c>
      <c r="AT66" s="791">
        <f t="shared" si="29"/>
        <v>8.8676481237014593E-4</v>
      </c>
      <c r="AU66" s="795">
        <f t="shared" si="30"/>
        <v>74419.112054319878</v>
      </c>
      <c r="AV66" s="796">
        <v>126</v>
      </c>
      <c r="AW66" s="791">
        <f t="shared" si="31"/>
        <v>1.6045232273838631E-3</v>
      </c>
      <c r="AX66" s="795">
        <f t="shared" si="32"/>
        <v>100991.14685207824</v>
      </c>
      <c r="AY66" s="786">
        <f t="shared" si="33"/>
        <v>528895.34495627636</v>
      </c>
      <c r="AZ66" s="787">
        <f t="shared" si="6"/>
        <v>28.780287585366292</v>
      </c>
      <c r="BA66" s="797">
        <f t="shared" si="10"/>
        <v>3993486.6944248709</v>
      </c>
      <c r="BB66" s="775">
        <v>2639337</v>
      </c>
      <c r="BC66" s="775">
        <f t="shared" si="34"/>
        <v>0</v>
      </c>
      <c r="BD66" s="775">
        <f t="shared" si="35"/>
        <v>1354149.6944248709</v>
      </c>
      <c r="BE66" s="798">
        <f t="shared" si="36"/>
        <v>2.1070582417076016E-3</v>
      </c>
      <c r="BF66" s="775">
        <f t="shared" si="37"/>
        <v>-2789.4966840793445</v>
      </c>
      <c r="BG66" s="797">
        <f t="shared" si="38"/>
        <v>3990697.1977407914</v>
      </c>
      <c r="BH66" s="799">
        <v>8</v>
      </c>
      <c r="BI66" s="692">
        <f t="shared" si="47"/>
        <v>0</v>
      </c>
      <c r="BJ66" s="800">
        <v>1390</v>
      </c>
      <c r="BK66" s="778">
        <f t="shared" si="39"/>
        <v>0</v>
      </c>
      <c r="BL66" s="786">
        <f t="shared" si="46"/>
        <v>3990697.1977407914</v>
      </c>
      <c r="BM66" s="692">
        <f t="shared" si="40"/>
        <v>3990697.1977407914</v>
      </c>
      <c r="BN66" s="801">
        <f t="shared" si="41"/>
        <v>1.9499153053296617E-3</v>
      </c>
      <c r="BO66" s="787">
        <f t="shared" si="42"/>
        <v>9638.1023150362143</v>
      </c>
      <c r="BP66" s="802">
        <f t="shared" si="43"/>
        <v>4000335</v>
      </c>
      <c r="BQ66" s="803">
        <f t="shared" si="7"/>
        <v>217.68161288567231</v>
      </c>
      <c r="BR66" s="682"/>
      <c r="BS66" s="618"/>
    </row>
    <row r="67" spans="1:71" ht="15.75">
      <c r="A67" s="805" t="s">
        <v>3549</v>
      </c>
      <c r="B67" s="767" t="s">
        <v>3550</v>
      </c>
      <c r="C67" s="768">
        <v>23259</v>
      </c>
      <c r="D67" s="769">
        <v>0</v>
      </c>
      <c r="E67" s="770">
        <v>0</v>
      </c>
      <c r="F67" s="771">
        <v>0</v>
      </c>
      <c r="G67" s="770">
        <f>C67/($C$10+$C$60+$C$62+$C$67+$C$74+$C$80+$C$94+$C$105+$C$127+$C$141+$C$168+$C$175+$C$201+$C$219+$C$237+$C$255+$C$265+$C$267+$C$268+$C$273+$C$281)*$G$7</f>
        <v>1428404.0689927698</v>
      </c>
      <c r="H67" s="771">
        <v>0</v>
      </c>
      <c r="I67" s="770">
        <f t="shared" si="44"/>
        <v>1428404.0689927698</v>
      </c>
      <c r="J67" s="772">
        <f t="shared" si="11"/>
        <v>61.412961390978538</v>
      </c>
      <c r="K67" s="773">
        <v>11920</v>
      </c>
      <c r="L67" s="774">
        <f t="shared" si="12"/>
        <v>4.3019771410546847E-3</v>
      </c>
      <c r="M67" s="775">
        <f t="shared" si="45"/>
        <v>361030.69771067688</v>
      </c>
      <c r="N67" s="806">
        <v>5540</v>
      </c>
      <c r="O67" s="777">
        <f t="shared" si="13"/>
        <v>6.300344471902624E-3</v>
      </c>
      <c r="P67" s="778">
        <f t="shared" si="14"/>
        <v>528737.76078479085</v>
      </c>
      <c r="Q67" s="786">
        <f t="shared" si="0"/>
        <v>889768.45849546767</v>
      </c>
      <c r="R67" s="692">
        <f t="shared" si="1"/>
        <v>38.254802807320509</v>
      </c>
      <c r="S67" s="807">
        <v>87913552.950000003</v>
      </c>
      <c r="T67" s="782">
        <f t="shared" si="8"/>
        <v>6.1535572485357051</v>
      </c>
      <c r="U67" s="777">
        <f t="shared" si="15"/>
        <v>3.3449057555470108E-3</v>
      </c>
      <c r="V67" s="783">
        <f t="shared" si="2"/>
        <v>3779.7649490519798</v>
      </c>
      <c r="W67" s="778">
        <f t="shared" si="16"/>
        <v>1333378.7444129207</v>
      </c>
      <c r="X67" s="784">
        <v>22027449.123</v>
      </c>
      <c r="Y67" s="782">
        <f t="shared" si="9"/>
        <v>24.559406673881892</v>
      </c>
      <c r="Z67" s="782">
        <f t="shared" si="17"/>
        <v>3.7920103787866324E-3</v>
      </c>
      <c r="AA67" s="783">
        <f t="shared" si="3"/>
        <v>947.05056636140853</v>
      </c>
      <c r="AB67" s="692">
        <f t="shared" si="18"/>
        <v>891053.09072905139</v>
      </c>
      <c r="AC67" s="786">
        <f t="shared" si="19"/>
        <v>2224431.8351419722</v>
      </c>
      <c r="AD67" s="787">
        <f t="shared" si="4"/>
        <v>95.637466578183592</v>
      </c>
      <c r="AE67" s="788">
        <v>4287.2955000000002</v>
      </c>
      <c r="AF67" s="774">
        <f t="shared" si="20"/>
        <v>4.4591956919642428E-3</v>
      </c>
      <c r="AG67" s="692">
        <f t="shared" si="21"/>
        <v>561337.19884327624</v>
      </c>
      <c r="AH67" s="786">
        <f t="shared" si="22"/>
        <v>561337.19884327624</v>
      </c>
      <c r="AI67" s="692">
        <f t="shared" si="5"/>
        <v>24.134193165797164</v>
      </c>
      <c r="AJ67" s="789">
        <v>2806</v>
      </c>
      <c r="AK67" s="777">
        <f t="shared" si="23"/>
        <v>3.7299644018365355E-3</v>
      </c>
      <c r="AL67" s="692">
        <f t="shared" si="24"/>
        <v>78256.555432375448</v>
      </c>
      <c r="AM67" s="790">
        <v>16.666666666666668</v>
      </c>
      <c r="AN67" s="791">
        <f t="shared" si="25"/>
        <v>2.4067388688327304E-3</v>
      </c>
      <c r="AO67" s="778">
        <f t="shared" si="26"/>
        <v>151483.82671480137</v>
      </c>
      <c r="AP67" s="768">
        <v>242</v>
      </c>
      <c r="AQ67" s="792">
        <f t="shared" si="27"/>
        <v>3.2709332972899914E-3</v>
      </c>
      <c r="AR67" s="793">
        <f t="shared" si="28"/>
        <v>274503.39501250256</v>
      </c>
      <c r="AS67" s="794">
        <v>54.861111111111114</v>
      </c>
      <c r="AT67" s="791">
        <f t="shared" si="29"/>
        <v>2.2002016387324599E-3</v>
      </c>
      <c r="AU67" s="795">
        <f t="shared" si="30"/>
        <v>184645.40993377104</v>
      </c>
      <c r="AV67" s="796">
        <v>308</v>
      </c>
      <c r="AW67" s="791">
        <f t="shared" si="31"/>
        <v>3.9221678891605541E-3</v>
      </c>
      <c r="AX67" s="795">
        <f t="shared" si="32"/>
        <v>246867.24786063569</v>
      </c>
      <c r="AY67" s="786">
        <f t="shared" si="33"/>
        <v>935756.43495408609</v>
      </c>
      <c r="AZ67" s="787">
        <f t="shared" si="6"/>
        <v>40.232014916982074</v>
      </c>
      <c r="BA67" s="797">
        <f t="shared" si="10"/>
        <v>6039697.9964275714</v>
      </c>
      <c r="BB67" s="775">
        <v>3692322</v>
      </c>
      <c r="BC67" s="775">
        <f t="shared" si="34"/>
        <v>0</v>
      </c>
      <c r="BD67" s="775">
        <f t="shared" si="35"/>
        <v>2347375.9964275714</v>
      </c>
      <c r="BE67" s="798">
        <f t="shared" si="36"/>
        <v>3.6525193337358305E-3</v>
      </c>
      <c r="BF67" s="775">
        <f t="shared" si="37"/>
        <v>-4835.5049558263181</v>
      </c>
      <c r="BG67" s="797">
        <f t="shared" si="38"/>
        <v>6034862.4914717451</v>
      </c>
      <c r="BH67" s="799">
        <v>7.9</v>
      </c>
      <c r="BI67" s="692">
        <f t="shared" si="47"/>
        <v>0</v>
      </c>
      <c r="BJ67" s="800">
        <v>1560</v>
      </c>
      <c r="BK67" s="778">
        <f t="shared" si="39"/>
        <v>0</v>
      </c>
      <c r="BL67" s="786">
        <f t="shared" si="46"/>
        <v>6034862.4914717451</v>
      </c>
      <c r="BM67" s="692">
        <f t="shared" si="40"/>
        <v>6034862.4914717451</v>
      </c>
      <c r="BN67" s="801">
        <f t="shared" si="41"/>
        <v>2.9487255370671665E-3</v>
      </c>
      <c r="BO67" s="787">
        <f t="shared" si="42"/>
        <v>14575.052745897916</v>
      </c>
      <c r="BP67" s="802">
        <f t="shared" si="43"/>
        <v>6049438</v>
      </c>
      <c r="BQ67" s="803">
        <f t="shared" si="7"/>
        <v>260.09020164237501</v>
      </c>
      <c r="BR67" s="682"/>
      <c r="BS67" s="618"/>
    </row>
    <row r="68" spans="1:71" ht="15.75">
      <c r="A68" s="766" t="s">
        <v>3551</v>
      </c>
      <c r="B68" s="767" t="s">
        <v>3552</v>
      </c>
      <c r="C68" s="768">
        <v>16432</v>
      </c>
      <c r="D68" s="769">
        <v>0</v>
      </c>
      <c r="E68" s="770">
        <v>0</v>
      </c>
      <c r="F68" s="771">
        <v>0</v>
      </c>
      <c r="G68" s="770">
        <v>0</v>
      </c>
      <c r="H68" s="771">
        <v>0</v>
      </c>
      <c r="I68" s="770">
        <f t="shared" si="44"/>
        <v>0</v>
      </c>
      <c r="J68" s="772">
        <f t="shared" si="11"/>
        <v>0</v>
      </c>
      <c r="K68" s="773">
        <v>6885</v>
      </c>
      <c r="L68" s="774">
        <f t="shared" si="12"/>
        <v>2.4848248839061662E-3</v>
      </c>
      <c r="M68" s="775">
        <f t="shared" si="45"/>
        <v>208531.57330016865</v>
      </c>
      <c r="N68" s="806">
        <v>2016.5</v>
      </c>
      <c r="O68" s="777">
        <f t="shared" si="13"/>
        <v>2.2932571529948815E-3</v>
      </c>
      <c r="P68" s="778">
        <f t="shared" si="14"/>
        <v>192454.81852392256</v>
      </c>
      <c r="Q68" s="786">
        <f t="shared" si="0"/>
        <v>400986.3918240912</v>
      </c>
      <c r="R68" s="692">
        <f t="shared" si="1"/>
        <v>24.402774575468062</v>
      </c>
      <c r="S68" s="807">
        <v>44328031.359999999</v>
      </c>
      <c r="T68" s="782">
        <f t="shared" si="8"/>
        <v>6.091193669467752</v>
      </c>
      <c r="U68" s="777">
        <f t="shared" si="15"/>
        <v>3.3110066162141401E-3</v>
      </c>
      <c r="V68" s="783">
        <f t="shared" si="2"/>
        <v>2697.6650048685492</v>
      </c>
      <c r="W68" s="778">
        <f t="shared" si="16"/>
        <v>1319865.5410093917</v>
      </c>
      <c r="X68" s="784">
        <v>12955339.976</v>
      </c>
      <c r="Y68" s="782">
        <f t="shared" si="9"/>
        <v>20.841647112325848</v>
      </c>
      <c r="Z68" s="782">
        <f t="shared" si="17"/>
        <v>3.2179825518747437E-3</v>
      </c>
      <c r="AA68" s="783">
        <f t="shared" si="3"/>
        <v>788.42137147030189</v>
      </c>
      <c r="AB68" s="692">
        <f t="shared" si="18"/>
        <v>756167.04922565608</v>
      </c>
      <c r="AC68" s="786">
        <f t="shared" si="19"/>
        <v>2076032.5902350477</v>
      </c>
      <c r="AD68" s="787">
        <f t="shared" si="4"/>
        <v>126.34083436191868</v>
      </c>
      <c r="AE68" s="788">
        <v>13299.7156</v>
      </c>
      <c r="AF68" s="774">
        <f t="shared" si="20"/>
        <v>1.383297104383629E-2</v>
      </c>
      <c r="AG68" s="692">
        <f t="shared" si="21"/>
        <v>1741336.7238895064</v>
      </c>
      <c r="AH68" s="786">
        <f t="shared" si="22"/>
        <v>1741336.7238895064</v>
      </c>
      <c r="AI68" s="692">
        <f t="shared" si="5"/>
        <v>105.97229332336335</v>
      </c>
      <c r="AJ68" s="789">
        <v>2648</v>
      </c>
      <c r="AK68" s="777">
        <f t="shared" si="23"/>
        <v>3.5199378959597811E-3</v>
      </c>
      <c r="AL68" s="692">
        <f t="shared" si="24"/>
        <v>73850.092225563145</v>
      </c>
      <c r="AM68" s="790">
        <v>10.666666666666666</v>
      </c>
      <c r="AN68" s="791">
        <f t="shared" si="25"/>
        <v>1.5403128760529473E-3</v>
      </c>
      <c r="AO68" s="778">
        <f t="shared" si="26"/>
        <v>96949.649097472866</v>
      </c>
      <c r="AP68" s="768">
        <v>132</v>
      </c>
      <c r="AQ68" s="792">
        <f t="shared" si="27"/>
        <v>1.7841454348854497E-3</v>
      </c>
      <c r="AR68" s="793">
        <f t="shared" si="28"/>
        <v>149729.12455227409</v>
      </c>
      <c r="AS68" s="794">
        <v>40.972222222222221</v>
      </c>
      <c r="AT68" s="791">
        <f t="shared" si="29"/>
        <v>1.6431885656356345E-3</v>
      </c>
      <c r="AU68" s="795">
        <f t="shared" si="30"/>
        <v>137899.73653281634</v>
      </c>
      <c r="AV68" s="796">
        <v>84</v>
      </c>
      <c r="AW68" s="791">
        <f t="shared" si="31"/>
        <v>1.069682151589242E-3</v>
      </c>
      <c r="AX68" s="795">
        <f t="shared" si="32"/>
        <v>67327.431234718824</v>
      </c>
      <c r="AY68" s="786">
        <f t="shared" si="33"/>
        <v>525756.03364284523</v>
      </c>
      <c r="AZ68" s="787">
        <f t="shared" si="6"/>
        <v>31.995863780601585</v>
      </c>
      <c r="BA68" s="797">
        <f t="shared" si="10"/>
        <v>4744111.7395914905</v>
      </c>
      <c r="BB68" s="775">
        <v>2842060</v>
      </c>
      <c r="BC68" s="775">
        <f t="shared" si="34"/>
        <v>0</v>
      </c>
      <c r="BD68" s="775">
        <f t="shared" si="35"/>
        <v>1902051.7395914905</v>
      </c>
      <c r="BE68" s="798">
        <f t="shared" si="36"/>
        <v>2.9595943569316239E-3</v>
      </c>
      <c r="BF68" s="775">
        <f t="shared" si="37"/>
        <v>-3918.1539842914158</v>
      </c>
      <c r="BG68" s="797">
        <f t="shared" si="38"/>
        <v>4740193.585607199</v>
      </c>
      <c r="BH68" s="799">
        <v>8</v>
      </c>
      <c r="BI68" s="692">
        <f t="shared" si="47"/>
        <v>0</v>
      </c>
      <c r="BJ68" s="800">
        <v>2200</v>
      </c>
      <c r="BK68" s="778">
        <f t="shared" si="39"/>
        <v>0</v>
      </c>
      <c r="BL68" s="786">
        <f t="shared" si="46"/>
        <v>4740193.585607199</v>
      </c>
      <c r="BM68" s="692">
        <f t="shared" si="40"/>
        <v>4740193.585607199</v>
      </c>
      <c r="BN68" s="801">
        <f t="shared" si="41"/>
        <v>2.3161306320192841E-3</v>
      </c>
      <c r="BO68" s="787">
        <f t="shared" si="42"/>
        <v>11448.242877716837</v>
      </c>
      <c r="BP68" s="802">
        <f t="shared" si="43"/>
        <v>4751642</v>
      </c>
      <c r="BQ68" s="803">
        <f t="shared" si="7"/>
        <v>289.17003407984419</v>
      </c>
      <c r="BR68" s="682"/>
      <c r="BS68" s="618"/>
    </row>
    <row r="69" spans="1:71" ht="15.75">
      <c r="A69" s="805" t="s">
        <v>3553</v>
      </c>
      <c r="B69" s="767" t="s">
        <v>3554</v>
      </c>
      <c r="C69" s="768">
        <v>40388</v>
      </c>
      <c r="D69" s="769">
        <v>0</v>
      </c>
      <c r="E69" s="770">
        <v>0</v>
      </c>
      <c r="F69" s="771">
        <v>0</v>
      </c>
      <c r="G69" s="770">
        <v>0</v>
      </c>
      <c r="H69" s="771">
        <v>0</v>
      </c>
      <c r="I69" s="770">
        <f t="shared" si="44"/>
        <v>0</v>
      </c>
      <c r="J69" s="772">
        <f t="shared" si="11"/>
        <v>0</v>
      </c>
      <c r="K69" s="773">
        <v>14867</v>
      </c>
      <c r="L69" s="774">
        <f t="shared" si="12"/>
        <v>5.3655615902734894E-3</v>
      </c>
      <c r="M69" s="775">
        <f t="shared" si="45"/>
        <v>450288.87440139538</v>
      </c>
      <c r="N69" s="806">
        <v>3288</v>
      </c>
      <c r="O69" s="777">
        <f t="shared" si="13"/>
        <v>3.7392658165371533E-3</v>
      </c>
      <c r="P69" s="778">
        <f t="shared" si="14"/>
        <v>313806.81542606367</v>
      </c>
      <c r="Q69" s="786">
        <f t="shared" si="0"/>
        <v>764095.68982745905</v>
      </c>
      <c r="R69" s="692">
        <f t="shared" si="1"/>
        <v>18.918879118239552</v>
      </c>
      <c r="S69" s="807">
        <v>190797857.18000001</v>
      </c>
      <c r="T69" s="782">
        <f t="shared" si="8"/>
        <v>8.5493127025065263</v>
      </c>
      <c r="U69" s="777">
        <f t="shared" si="15"/>
        <v>4.6471730268520832E-3</v>
      </c>
      <c r="V69" s="783">
        <f t="shared" si="2"/>
        <v>4724.1224418144002</v>
      </c>
      <c r="W69" s="778">
        <f t="shared" si="16"/>
        <v>1852501.1430704077</v>
      </c>
      <c r="X69" s="784">
        <v>50698577.6149</v>
      </c>
      <c r="Y69" s="782">
        <f t="shared" si="9"/>
        <v>32.174286158288652</v>
      </c>
      <c r="Z69" s="782">
        <f t="shared" si="17"/>
        <v>4.9677595498278113E-3</v>
      </c>
      <c r="AA69" s="783">
        <f t="shared" si="3"/>
        <v>1255.2881453624839</v>
      </c>
      <c r="AB69" s="692">
        <f t="shared" si="18"/>
        <v>1167332.6438228884</v>
      </c>
      <c r="AC69" s="786">
        <f t="shared" si="19"/>
        <v>3019833.7868932961</v>
      </c>
      <c r="AD69" s="787">
        <f t="shared" si="4"/>
        <v>74.770570141955432</v>
      </c>
      <c r="AE69" s="788">
        <v>2374.0084000000002</v>
      </c>
      <c r="AF69" s="774">
        <f t="shared" si="20"/>
        <v>2.4691948642137978E-3</v>
      </c>
      <c r="AG69" s="692">
        <f t="shared" si="21"/>
        <v>310829.80524351739</v>
      </c>
      <c r="AH69" s="786">
        <f t="shared" si="22"/>
        <v>310829.80524351739</v>
      </c>
      <c r="AI69" s="692">
        <f t="shared" si="5"/>
        <v>7.6960930287094529</v>
      </c>
      <c r="AJ69" s="789">
        <v>3345</v>
      </c>
      <c r="AK69" s="777">
        <f t="shared" si="23"/>
        <v>4.4464472288464757E-3</v>
      </c>
      <c r="AL69" s="692">
        <f t="shared" si="24"/>
        <v>93288.73054928577</v>
      </c>
      <c r="AM69" s="790">
        <v>30.666666666666668</v>
      </c>
      <c r="AN69" s="791">
        <f t="shared" si="25"/>
        <v>4.428399518652224E-3</v>
      </c>
      <c r="AO69" s="778">
        <f t="shared" si="26"/>
        <v>278730.24115523451</v>
      </c>
      <c r="AP69" s="768">
        <v>331</v>
      </c>
      <c r="AQ69" s="792">
        <f t="shared" si="27"/>
        <v>4.4738798405082108E-3</v>
      </c>
      <c r="AR69" s="793">
        <f t="shared" si="28"/>
        <v>375457.12293032371</v>
      </c>
      <c r="AS69" s="794">
        <v>107.05555555555554</v>
      </c>
      <c r="AT69" s="791">
        <f t="shared" si="29"/>
        <v>4.2934567674303287E-3</v>
      </c>
      <c r="AU69" s="795">
        <f t="shared" si="30"/>
        <v>360315.65057455876</v>
      </c>
      <c r="AV69" s="796">
        <v>325</v>
      </c>
      <c r="AW69" s="791">
        <f t="shared" si="31"/>
        <v>4.1386511817440913E-3</v>
      </c>
      <c r="AX69" s="795">
        <f t="shared" si="32"/>
        <v>260493.03751528118</v>
      </c>
      <c r="AY69" s="786">
        <f t="shared" si="33"/>
        <v>1368284.7827246836</v>
      </c>
      <c r="AZ69" s="787">
        <f t="shared" si="6"/>
        <v>33.878498136195986</v>
      </c>
      <c r="BA69" s="797">
        <f t="shared" si="10"/>
        <v>5463044.0646889564</v>
      </c>
      <c r="BB69" s="775">
        <v>5059123</v>
      </c>
      <c r="BC69" s="775">
        <f t="shared" si="34"/>
        <v>0</v>
      </c>
      <c r="BD69" s="775">
        <f t="shared" si="35"/>
        <v>403921.06468895636</v>
      </c>
      <c r="BE69" s="798">
        <f t="shared" si="36"/>
        <v>6.2850156955036223E-4</v>
      </c>
      <c r="BF69" s="775">
        <f t="shared" si="37"/>
        <v>-832.0619760270929</v>
      </c>
      <c r="BG69" s="797">
        <f t="shared" si="38"/>
        <v>5462212.0027129296</v>
      </c>
      <c r="BH69" s="799">
        <v>5.5</v>
      </c>
      <c r="BI69" s="692">
        <f t="shared" si="47"/>
        <v>0</v>
      </c>
      <c r="BJ69" s="800">
        <v>920</v>
      </c>
      <c r="BK69" s="778">
        <f t="shared" si="39"/>
        <v>0</v>
      </c>
      <c r="BL69" s="786">
        <f t="shared" si="46"/>
        <v>5462212.0027129296</v>
      </c>
      <c r="BM69" s="692">
        <f t="shared" si="40"/>
        <v>5462212.0027129296</v>
      </c>
      <c r="BN69" s="801">
        <f t="shared" si="41"/>
        <v>2.668919804558204E-3</v>
      </c>
      <c r="BO69" s="787">
        <f t="shared" si="42"/>
        <v>13192.020226032084</v>
      </c>
      <c r="BP69" s="802">
        <f t="shared" si="43"/>
        <v>5475404</v>
      </c>
      <c r="BQ69" s="803">
        <f t="shared" si="7"/>
        <v>135.57007031791622</v>
      </c>
      <c r="BR69" s="682"/>
      <c r="BS69" s="618"/>
    </row>
    <row r="70" spans="1:71" ht="15.75">
      <c r="A70" s="805" t="s">
        <v>3555</v>
      </c>
      <c r="B70" s="767" t="s">
        <v>3556</v>
      </c>
      <c r="C70" s="768">
        <v>19947</v>
      </c>
      <c r="D70" s="769">
        <v>0</v>
      </c>
      <c r="E70" s="770">
        <v>0</v>
      </c>
      <c r="F70" s="771">
        <v>0</v>
      </c>
      <c r="G70" s="770">
        <v>0</v>
      </c>
      <c r="H70" s="771">
        <v>0</v>
      </c>
      <c r="I70" s="770">
        <f t="shared" si="44"/>
        <v>0</v>
      </c>
      <c r="J70" s="772">
        <f t="shared" si="11"/>
        <v>0</v>
      </c>
      <c r="K70" s="773">
        <v>6391</v>
      </c>
      <c r="L70" s="774">
        <f t="shared" si="12"/>
        <v>2.3065382473557456E-3</v>
      </c>
      <c r="M70" s="775">
        <f t="shared" si="45"/>
        <v>193569.39505611878</v>
      </c>
      <c r="N70" s="806">
        <v>1942.5</v>
      </c>
      <c r="O70" s="777">
        <f t="shared" si="13"/>
        <v>2.2091009271969038E-3</v>
      </c>
      <c r="P70" s="778">
        <f t="shared" si="14"/>
        <v>185392.25637625565</v>
      </c>
      <c r="Q70" s="786">
        <f t="shared" si="0"/>
        <v>378961.65143237443</v>
      </c>
      <c r="R70" s="692">
        <f t="shared" si="1"/>
        <v>18.998428406896998</v>
      </c>
      <c r="S70" s="807">
        <v>49313400.740000002</v>
      </c>
      <c r="T70" s="782">
        <f t="shared" si="8"/>
        <v>8.0684520440558849</v>
      </c>
      <c r="U70" s="777">
        <f t="shared" si="15"/>
        <v>4.3857902982766045E-3</v>
      </c>
      <c r="V70" s="783">
        <f t="shared" si="2"/>
        <v>2472.2214237729986</v>
      </c>
      <c r="W70" s="778">
        <f t="shared" si="16"/>
        <v>1748306.2270070103</v>
      </c>
      <c r="X70" s="784">
        <v>17928630.570599999</v>
      </c>
      <c r="Y70" s="782">
        <f t="shared" si="9"/>
        <v>22.192593429442528</v>
      </c>
      <c r="Z70" s="782">
        <f t="shared" si="17"/>
        <v>3.4265707528730177E-3</v>
      </c>
      <c r="AA70" s="783">
        <f t="shared" si="3"/>
        <v>898.81338399759363</v>
      </c>
      <c r="AB70" s="692">
        <f t="shared" si="18"/>
        <v>805181.46179923066</v>
      </c>
      <c r="AC70" s="786">
        <f t="shared" si="19"/>
        <v>2553487.6888062409</v>
      </c>
      <c r="AD70" s="787">
        <f t="shared" si="4"/>
        <v>128.01362053472909</v>
      </c>
      <c r="AE70" s="788">
        <v>4752.3221000000003</v>
      </c>
      <c r="AF70" s="774">
        <f t="shared" si="20"/>
        <v>4.9428676505145173E-3</v>
      </c>
      <c r="AG70" s="692">
        <f t="shared" si="21"/>
        <v>622223.30502177798</v>
      </c>
      <c r="AH70" s="786">
        <f t="shared" si="22"/>
        <v>622223.30502177798</v>
      </c>
      <c r="AI70" s="692">
        <f t="shared" si="5"/>
        <v>31.193828897667718</v>
      </c>
      <c r="AJ70" s="789">
        <v>2836</v>
      </c>
      <c r="AK70" s="777">
        <f t="shared" si="23"/>
        <v>3.7698428523194635E-3</v>
      </c>
      <c r="AL70" s="692">
        <f t="shared" si="24"/>
        <v>79093.225661517034</v>
      </c>
      <c r="AM70" s="790">
        <v>18.666666666666668</v>
      </c>
      <c r="AN70" s="791">
        <f t="shared" si="25"/>
        <v>2.6955475330926581E-3</v>
      </c>
      <c r="AO70" s="778">
        <f t="shared" si="26"/>
        <v>169661.88592057754</v>
      </c>
      <c r="AP70" s="768">
        <v>306</v>
      </c>
      <c r="AQ70" s="792">
        <f t="shared" si="27"/>
        <v>4.1359735081435423E-3</v>
      </c>
      <c r="AR70" s="793">
        <f t="shared" si="28"/>
        <v>347099.33418936271</v>
      </c>
      <c r="AS70" s="794">
        <v>41.19444444444445</v>
      </c>
      <c r="AT70" s="791">
        <f t="shared" si="29"/>
        <v>1.6521007748051841E-3</v>
      </c>
      <c r="AU70" s="795">
        <f t="shared" si="30"/>
        <v>138647.66730723166</v>
      </c>
      <c r="AV70" s="796">
        <v>164</v>
      </c>
      <c r="AW70" s="791">
        <f t="shared" si="31"/>
        <v>2.0884270578647108E-3</v>
      </c>
      <c r="AX70" s="795">
        <f t="shared" si="32"/>
        <v>131448.79431540341</v>
      </c>
      <c r="AY70" s="786">
        <f t="shared" si="33"/>
        <v>865950.9073940923</v>
      </c>
      <c r="AZ70" s="787">
        <f t="shared" si="6"/>
        <v>43.412588729838689</v>
      </c>
      <c r="BA70" s="797">
        <f t="shared" si="10"/>
        <v>4420623.5526544861</v>
      </c>
      <c r="BB70" s="775">
        <v>2748584</v>
      </c>
      <c r="BC70" s="775">
        <f t="shared" si="34"/>
        <v>0</v>
      </c>
      <c r="BD70" s="775">
        <f t="shared" si="35"/>
        <v>1672039.5526544861</v>
      </c>
      <c r="BE70" s="798">
        <f t="shared" si="36"/>
        <v>2.6016951703246049E-3</v>
      </c>
      <c r="BF70" s="775">
        <f t="shared" si="37"/>
        <v>-3444.3376585187193</v>
      </c>
      <c r="BG70" s="797">
        <f t="shared" si="38"/>
        <v>4417179.2149959672</v>
      </c>
      <c r="BH70" s="799">
        <v>8</v>
      </c>
      <c r="BI70" s="692">
        <f t="shared" si="47"/>
        <v>0</v>
      </c>
      <c r="BJ70" s="800">
        <v>1300</v>
      </c>
      <c r="BK70" s="778">
        <f t="shared" si="39"/>
        <v>0</v>
      </c>
      <c r="BL70" s="786">
        <f t="shared" si="46"/>
        <v>4417179.2149959672</v>
      </c>
      <c r="BM70" s="692">
        <f t="shared" si="40"/>
        <v>4417179.2149959672</v>
      </c>
      <c r="BN70" s="801">
        <f t="shared" si="41"/>
        <v>2.1583009010507611E-3</v>
      </c>
      <c r="BO70" s="787">
        <f t="shared" si="42"/>
        <v>10668.117150578095</v>
      </c>
      <c r="BP70" s="802">
        <f t="shared" si="43"/>
        <v>4427847</v>
      </c>
      <c r="BQ70" s="803">
        <f t="shared" si="7"/>
        <v>221.98059858625356</v>
      </c>
      <c r="BR70" s="682"/>
      <c r="BS70" s="618"/>
    </row>
    <row r="71" spans="1:71" ht="15.75">
      <c r="A71" s="805" t="s">
        <v>3557</v>
      </c>
      <c r="B71" s="767" t="s">
        <v>3558</v>
      </c>
      <c r="C71" s="768">
        <v>5013</v>
      </c>
      <c r="D71" s="769">
        <v>0</v>
      </c>
      <c r="E71" s="770">
        <v>0</v>
      </c>
      <c r="F71" s="771">
        <v>0</v>
      </c>
      <c r="G71" s="770">
        <v>0</v>
      </c>
      <c r="H71" s="771">
        <v>0</v>
      </c>
      <c r="I71" s="770">
        <f t="shared" si="44"/>
        <v>0</v>
      </c>
      <c r="J71" s="772">
        <f t="shared" si="11"/>
        <v>0</v>
      </c>
      <c r="K71" s="773">
        <v>3777</v>
      </c>
      <c r="L71" s="774">
        <f t="shared" si="12"/>
        <v>1.3631348709533175E-3</v>
      </c>
      <c r="M71" s="775">
        <f t="shared" si="45"/>
        <v>114397.05916553915</v>
      </c>
      <c r="N71" s="806">
        <v>70.5</v>
      </c>
      <c r="O71" s="777">
        <f t="shared" si="13"/>
        <v>8.0175863766991876E-5</v>
      </c>
      <c r="P71" s="778">
        <f t="shared" si="14"/>
        <v>6728.5220460880428</v>
      </c>
      <c r="Q71" s="786">
        <f t="shared" ref="Q71:Q134" si="48">M71+P71</f>
        <v>121125.58121162718</v>
      </c>
      <c r="R71" s="692">
        <f t="shared" ref="R71:R134" si="49">Q71/C71</f>
        <v>24.162294277204705</v>
      </c>
      <c r="S71" s="807">
        <v>16351804.620000001</v>
      </c>
      <c r="T71" s="782">
        <f t="shared" si="8"/>
        <v>1.5368437664221553</v>
      </c>
      <c r="U71" s="777">
        <f t="shared" si="15"/>
        <v>8.3538632242436111E-4</v>
      </c>
      <c r="V71" s="783">
        <f t="shared" ref="V71:V134" si="50">S71/C71</f>
        <v>3261.8800359066431</v>
      </c>
      <c r="W71" s="778">
        <f t="shared" si="16"/>
        <v>333009.79073826311</v>
      </c>
      <c r="X71" s="784">
        <v>11471145.058</v>
      </c>
      <c r="Y71" s="782">
        <f t="shared" si="9"/>
        <v>2.1907289004661457</v>
      </c>
      <c r="Z71" s="782">
        <f t="shared" si="17"/>
        <v>3.3825193083796901E-4</v>
      </c>
      <c r="AA71" s="783">
        <f t="shared" ref="AA71:AA134" si="51">X71/C71</f>
        <v>2288.279484939158</v>
      </c>
      <c r="AB71" s="692">
        <f t="shared" si="18"/>
        <v>79483.017795611551</v>
      </c>
      <c r="AC71" s="786">
        <f t="shared" si="19"/>
        <v>412492.80853387469</v>
      </c>
      <c r="AD71" s="787">
        <f t="shared" ref="AD71:AD134" si="52">AC71/C71</f>
        <v>82.28462169037995</v>
      </c>
      <c r="AE71" s="788">
        <v>46.6387</v>
      </c>
      <c r="AF71" s="774">
        <f t="shared" si="20"/>
        <v>4.850869041306174E-5</v>
      </c>
      <c r="AG71" s="692">
        <f t="shared" si="21"/>
        <v>6106.4223857888755</v>
      </c>
      <c r="AH71" s="786">
        <f t="shared" si="22"/>
        <v>6106.4223857888755</v>
      </c>
      <c r="AI71" s="692">
        <f t="shared" ref="AI71:AI134" si="53">AH71/C71</f>
        <v>1.2181173719905996</v>
      </c>
      <c r="AJ71" s="789">
        <v>643</v>
      </c>
      <c r="AK71" s="777">
        <f t="shared" si="23"/>
        <v>8.5472812201742418E-4</v>
      </c>
      <c r="AL71" s="692">
        <f t="shared" si="24"/>
        <v>17932.631911267788</v>
      </c>
      <c r="AM71" s="790">
        <v>4</v>
      </c>
      <c r="AN71" s="791">
        <f t="shared" si="25"/>
        <v>5.776173285198553E-4</v>
      </c>
      <c r="AO71" s="778">
        <f t="shared" si="26"/>
        <v>36356.118411552328</v>
      </c>
      <c r="AP71" s="768">
        <v>81</v>
      </c>
      <c r="AQ71" s="792">
        <f t="shared" si="27"/>
        <v>1.094816516861526E-3</v>
      </c>
      <c r="AR71" s="793">
        <f t="shared" si="28"/>
        <v>91879.235520713657</v>
      </c>
      <c r="AS71" s="794">
        <v>25.166666666666668</v>
      </c>
      <c r="AT71" s="791">
        <f t="shared" si="29"/>
        <v>1.0093076884514474E-3</v>
      </c>
      <c r="AU71" s="795">
        <f t="shared" si="30"/>
        <v>84703.160202529907</v>
      </c>
      <c r="AV71" s="796">
        <v>77</v>
      </c>
      <c r="AW71" s="791">
        <f t="shared" si="31"/>
        <v>9.8054197229013851E-4</v>
      </c>
      <c r="AX71" s="795">
        <f t="shared" si="32"/>
        <v>61716.811965158922</v>
      </c>
      <c r="AY71" s="786">
        <f t="shared" si="33"/>
        <v>292587.95801122265</v>
      </c>
      <c r="AZ71" s="787">
        <f t="shared" ref="AZ71:AZ134" si="54">AY71/C71</f>
        <v>58.365840417159916</v>
      </c>
      <c r="BA71" s="797">
        <f t="shared" si="10"/>
        <v>832312.77014251344</v>
      </c>
      <c r="BB71" s="775">
        <v>701443</v>
      </c>
      <c r="BC71" s="775">
        <f t="shared" si="34"/>
        <v>0</v>
      </c>
      <c r="BD71" s="775">
        <f t="shared" si="35"/>
        <v>130869.77014251344</v>
      </c>
      <c r="BE71" s="798">
        <f t="shared" si="36"/>
        <v>2.0363348963888214E-4</v>
      </c>
      <c r="BF71" s="775">
        <f t="shared" si="37"/>
        <v>-269.58673133535245</v>
      </c>
      <c r="BG71" s="797">
        <f t="shared" si="38"/>
        <v>832043.18341117806</v>
      </c>
      <c r="BH71" s="799">
        <v>7</v>
      </c>
      <c r="BI71" s="692">
        <f t="shared" si="47"/>
        <v>0</v>
      </c>
      <c r="BJ71" s="800">
        <v>1150</v>
      </c>
      <c r="BK71" s="778">
        <f t="shared" si="39"/>
        <v>0</v>
      </c>
      <c r="BL71" s="786">
        <f t="shared" si="46"/>
        <v>832043.18341117806</v>
      </c>
      <c r="BM71" s="692">
        <f t="shared" si="40"/>
        <v>832043.18341117806</v>
      </c>
      <c r="BN71" s="801">
        <f t="shared" si="41"/>
        <v>4.0654894561961501E-4</v>
      </c>
      <c r="BO71" s="787">
        <f t="shared" si="42"/>
        <v>2009.5028349395345</v>
      </c>
      <c r="BP71" s="802">
        <f t="shared" si="43"/>
        <v>834053</v>
      </c>
      <c r="BQ71" s="803">
        <f t="shared" ref="BQ71:BQ134" si="55">BP71/C71</f>
        <v>166.37801715539598</v>
      </c>
      <c r="BR71" s="682"/>
      <c r="BS71" s="618"/>
    </row>
    <row r="72" spans="1:71" ht="15.75">
      <c r="A72" s="766" t="s">
        <v>3559</v>
      </c>
      <c r="B72" s="767" t="s">
        <v>3560</v>
      </c>
      <c r="C72" s="768">
        <v>16941</v>
      </c>
      <c r="D72" s="769">
        <v>0</v>
      </c>
      <c r="E72" s="770">
        <v>0</v>
      </c>
      <c r="F72" s="771">
        <v>0</v>
      </c>
      <c r="G72" s="770">
        <v>0</v>
      </c>
      <c r="H72" s="771">
        <v>0</v>
      </c>
      <c r="I72" s="770">
        <f t="shared" si="44"/>
        <v>0</v>
      </c>
      <c r="J72" s="772">
        <f t="shared" si="11"/>
        <v>0</v>
      </c>
      <c r="K72" s="773">
        <v>7014</v>
      </c>
      <c r="L72" s="774">
        <f t="shared" si="12"/>
        <v>2.5313815157179159E-3</v>
      </c>
      <c r="M72" s="775">
        <f t="shared" si="45"/>
        <v>212438.70081733956</v>
      </c>
      <c r="N72" s="806">
        <v>1660</v>
      </c>
      <c r="O72" s="777">
        <f t="shared" si="13"/>
        <v>1.8878288489816528E-3</v>
      </c>
      <c r="P72" s="778">
        <f t="shared" si="14"/>
        <v>158430.44817739222</v>
      </c>
      <c r="Q72" s="786">
        <f t="shared" si="48"/>
        <v>370869.14899473178</v>
      </c>
      <c r="R72" s="692">
        <f t="shared" si="49"/>
        <v>21.89180975117949</v>
      </c>
      <c r="S72" s="807">
        <v>66921382.830000006</v>
      </c>
      <c r="T72" s="782">
        <f t="shared" ref="T72:T135" si="56">C72*C72/S72</f>
        <v>4.2885766680742092</v>
      </c>
      <c r="U72" s="777">
        <f t="shared" si="15"/>
        <v>2.3311532176871421E-3</v>
      </c>
      <c r="V72" s="783">
        <f t="shared" si="50"/>
        <v>3950.2616628298215</v>
      </c>
      <c r="W72" s="778">
        <f t="shared" si="16"/>
        <v>929266.88450912794</v>
      </c>
      <c r="X72" s="784">
        <v>23206125.373300001</v>
      </c>
      <c r="Y72" s="782">
        <f t="shared" ref="Y72:Y135" si="57">C72*C72/X72</f>
        <v>12.367315800603548</v>
      </c>
      <c r="Z72" s="782">
        <f t="shared" si="17"/>
        <v>1.909532689301242E-3</v>
      </c>
      <c r="AA72" s="783">
        <f t="shared" si="51"/>
        <v>1369.8202805796589</v>
      </c>
      <c r="AB72" s="692">
        <f t="shared" si="18"/>
        <v>448705.26045196992</v>
      </c>
      <c r="AC72" s="786">
        <f t="shared" si="19"/>
        <v>1377972.1449610977</v>
      </c>
      <c r="AD72" s="787">
        <f t="shared" si="52"/>
        <v>81.339480842990241</v>
      </c>
      <c r="AE72" s="788">
        <v>1257.1796999999999</v>
      </c>
      <c r="AF72" s="774">
        <f t="shared" si="20"/>
        <v>1.3075866364389622E-3</v>
      </c>
      <c r="AG72" s="692">
        <f t="shared" si="21"/>
        <v>164603.00701004406</v>
      </c>
      <c r="AH72" s="786">
        <f t="shared" si="22"/>
        <v>164603.00701004406</v>
      </c>
      <c r="AI72" s="692">
        <f t="shared" si="53"/>
        <v>9.7162509302900695</v>
      </c>
      <c r="AJ72" s="789">
        <v>1936</v>
      </c>
      <c r="AK72" s="777">
        <f t="shared" si="23"/>
        <v>2.5734893378316225E-3</v>
      </c>
      <c r="AL72" s="692">
        <f t="shared" si="24"/>
        <v>53993.118787269734</v>
      </c>
      <c r="AM72" s="790">
        <v>9.3333333333333339</v>
      </c>
      <c r="AN72" s="791">
        <f t="shared" si="25"/>
        <v>1.347773766546329E-3</v>
      </c>
      <c r="AO72" s="778">
        <f t="shared" si="26"/>
        <v>84830.942960288769</v>
      </c>
      <c r="AP72" s="768">
        <v>160</v>
      </c>
      <c r="AQ72" s="792">
        <f t="shared" si="27"/>
        <v>2.1626005271338784E-3</v>
      </c>
      <c r="AR72" s="793">
        <f t="shared" si="28"/>
        <v>181489.84794215043</v>
      </c>
      <c r="AS72" s="794">
        <v>36.333333333333336</v>
      </c>
      <c r="AT72" s="791">
        <f t="shared" si="29"/>
        <v>1.4571461992212949E-3</v>
      </c>
      <c r="AU72" s="795">
        <f t="shared" si="30"/>
        <v>122286.68161689748</v>
      </c>
      <c r="AV72" s="796">
        <v>224</v>
      </c>
      <c r="AW72" s="791">
        <f t="shared" si="31"/>
        <v>2.8524857375713123E-3</v>
      </c>
      <c r="AX72" s="795">
        <f t="shared" si="32"/>
        <v>179539.81662591686</v>
      </c>
      <c r="AY72" s="786">
        <f t="shared" si="33"/>
        <v>622140.40793252317</v>
      </c>
      <c r="AZ72" s="787">
        <f t="shared" si="54"/>
        <v>36.723948287144985</v>
      </c>
      <c r="BA72" s="797">
        <f t="shared" ref="BA72:BA135" si="58">I72+Q72+AC72+AH72+AY72</f>
        <v>2535584.7088983967</v>
      </c>
      <c r="BB72" s="775">
        <v>1863197</v>
      </c>
      <c r="BC72" s="775">
        <f t="shared" si="34"/>
        <v>0</v>
      </c>
      <c r="BD72" s="775">
        <f t="shared" si="35"/>
        <v>672387.7088983967</v>
      </c>
      <c r="BE72" s="798">
        <f t="shared" si="36"/>
        <v>1.0462359290779732E-3</v>
      </c>
      <c r="BF72" s="775">
        <f t="shared" si="37"/>
        <v>-1385.0930160157752</v>
      </c>
      <c r="BG72" s="797">
        <f t="shared" si="38"/>
        <v>2534199.6158823809</v>
      </c>
      <c r="BH72" s="799">
        <v>6.5</v>
      </c>
      <c r="BI72" s="692">
        <f t="shared" si="47"/>
        <v>0</v>
      </c>
      <c r="BJ72" s="800">
        <v>850</v>
      </c>
      <c r="BK72" s="778">
        <f t="shared" si="39"/>
        <v>0</v>
      </c>
      <c r="BL72" s="786">
        <f t="shared" si="46"/>
        <v>2534199.6158823809</v>
      </c>
      <c r="BM72" s="692">
        <f t="shared" si="40"/>
        <v>2534199.6158823809</v>
      </c>
      <c r="BN72" s="801">
        <f t="shared" si="41"/>
        <v>1.2382484495609104E-3</v>
      </c>
      <c r="BO72" s="787">
        <f t="shared" si="42"/>
        <v>6120.4531374686212</v>
      </c>
      <c r="BP72" s="802">
        <f t="shared" si="43"/>
        <v>2540320</v>
      </c>
      <c r="BQ72" s="803">
        <f t="shared" si="55"/>
        <v>149.95100643409481</v>
      </c>
      <c r="BR72" s="682"/>
      <c r="BS72" s="618"/>
    </row>
    <row r="73" spans="1:71" ht="15.75">
      <c r="A73" s="766" t="s">
        <v>3561</v>
      </c>
      <c r="B73" s="767" t="s">
        <v>3562</v>
      </c>
      <c r="C73" s="768">
        <v>21064</v>
      </c>
      <c r="D73" s="769">
        <v>0</v>
      </c>
      <c r="E73" s="770">
        <v>0</v>
      </c>
      <c r="F73" s="771">
        <v>0</v>
      </c>
      <c r="G73" s="770">
        <v>0</v>
      </c>
      <c r="H73" s="771">
        <v>0</v>
      </c>
      <c r="I73" s="770">
        <f t="shared" si="44"/>
        <v>0</v>
      </c>
      <c r="J73" s="772">
        <f t="shared" ref="J73:J136" si="59">I73/C73</f>
        <v>0</v>
      </c>
      <c r="K73" s="773">
        <v>8958</v>
      </c>
      <c r="L73" s="774">
        <f t="shared" ref="L73:L136" si="60">K73/$K$7</f>
        <v>3.2329791299973041E-3</v>
      </c>
      <c r="M73" s="775">
        <f t="shared" si="45"/>
        <v>271318.20386679895</v>
      </c>
      <c r="N73" s="806">
        <v>1322</v>
      </c>
      <c r="O73" s="777">
        <f t="shared" ref="O73:O136" si="61">N73/$N$7</f>
        <v>1.5034396014179186E-3</v>
      </c>
      <c r="P73" s="778">
        <f t="shared" ref="P73:P136" si="62">$P$7*O73</f>
        <v>126171.71836777862</v>
      </c>
      <c r="Q73" s="786">
        <f t="shared" si="48"/>
        <v>397489.92223457759</v>
      </c>
      <c r="R73" s="692">
        <f t="shared" si="49"/>
        <v>18.870581192298594</v>
      </c>
      <c r="S73" s="807">
        <v>103028480.89000002</v>
      </c>
      <c r="T73" s="782">
        <f t="shared" si="56"/>
        <v>4.3064994472131923</v>
      </c>
      <c r="U73" s="777">
        <f t="shared" ref="U73:U136" si="63">T73/$T$7</f>
        <v>2.3408955512148992E-3</v>
      </c>
      <c r="V73" s="783">
        <f t="shared" si="50"/>
        <v>4891.2115880174715</v>
      </c>
      <c r="W73" s="778">
        <f t="shared" ref="W73:W136" si="64">$W$7*U73</f>
        <v>933150.46790317434</v>
      </c>
      <c r="X73" s="784">
        <v>21548629.420400001</v>
      </c>
      <c r="Y73" s="782">
        <f t="shared" si="57"/>
        <v>20.590269912013916</v>
      </c>
      <c r="Z73" s="782">
        <f t="shared" ref="Z73:Z136" si="65">Y73/$Y$7</f>
        <v>3.1791695233178733E-3</v>
      </c>
      <c r="AA73" s="783">
        <f t="shared" si="51"/>
        <v>1023.007473433346</v>
      </c>
      <c r="AB73" s="692">
        <f t="shared" ref="AB73:AB136" si="66">$AB$7*Z73</f>
        <v>747046.69732745783</v>
      </c>
      <c r="AC73" s="786">
        <f t="shared" ref="AC73:AC136" si="67">W73+AB73</f>
        <v>1680197.1652306323</v>
      </c>
      <c r="AD73" s="787">
        <f t="shared" si="52"/>
        <v>79.766291551017488</v>
      </c>
      <c r="AE73" s="788">
        <v>279.73149999999998</v>
      </c>
      <c r="AF73" s="774">
        <f t="shared" ref="AF73:AF136" si="68">AE73/$AE$7</f>
        <v>2.9094740488652942E-4</v>
      </c>
      <c r="AG73" s="692">
        <f t="shared" ref="AG73:AG136" si="69">$AG$7*AF73</f>
        <v>36625.349626175273</v>
      </c>
      <c r="AH73" s="786">
        <f t="shared" ref="AH73:AH136" si="70">AG73</f>
        <v>36625.349626175273</v>
      </c>
      <c r="AI73" s="692">
        <f t="shared" si="53"/>
        <v>1.7387651740493388</v>
      </c>
      <c r="AJ73" s="789">
        <v>1383</v>
      </c>
      <c r="AK73" s="777">
        <f t="shared" ref="AK73:AK136" si="71">AJ73/$AJ$7</f>
        <v>1.8383965672629824E-3</v>
      </c>
      <c r="AL73" s="692">
        <f t="shared" ref="AL73:AL136" si="72">AK73*$AL$7</f>
        <v>38570.497563426674</v>
      </c>
      <c r="AM73" s="790">
        <v>12.333333333333334</v>
      </c>
      <c r="AN73" s="791">
        <f t="shared" ref="AN73:AN136" si="73">AM73/$AM$7</f>
        <v>1.7809867629362205E-3</v>
      </c>
      <c r="AO73" s="778">
        <f t="shared" ref="AO73:AO136" si="74">AN73*$AO$7</f>
        <v>112098.03176895301</v>
      </c>
      <c r="AP73" s="768">
        <v>113</v>
      </c>
      <c r="AQ73" s="792">
        <f t="shared" ref="AQ73:AQ136" si="75">AP73/$AP$7</f>
        <v>1.5273366222883016E-3</v>
      </c>
      <c r="AR73" s="793">
        <f t="shared" ref="AR73:AR136" si="76">AQ73*$AR$7</f>
        <v>128177.20510914375</v>
      </c>
      <c r="AS73" s="794">
        <v>61.083333333333336</v>
      </c>
      <c r="AT73" s="791">
        <f t="shared" ref="AT73:AT136" si="77">AS73/$AS$7</f>
        <v>2.4497434954798376E-3</v>
      </c>
      <c r="AU73" s="795">
        <f t="shared" ref="AU73:AU136" si="78">$AU$7*AT73</f>
        <v>205587.47161739875</v>
      </c>
      <c r="AV73" s="796">
        <v>240</v>
      </c>
      <c r="AW73" s="791">
        <f t="shared" ref="AW73:AW136" si="79">AV73/$AV$7</f>
        <v>3.0562347188264061E-3</v>
      </c>
      <c r="AX73" s="795">
        <f t="shared" ref="AX73:AX136" si="80">AW73*$AX$7</f>
        <v>192364.0892420538</v>
      </c>
      <c r="AY73" s="786">
        <f t="shared" ref="AY73:AY136" si="81">AX73+AU73+AR73+AO73+AL73</f>
        <v>676797.29530097591</v>
      </c>
      <c r="AZ73" s="787">
        <f t="shared" si="54"/>
        <v>32.13052104543182</v>
      </c>
      <c r="BA73" s="797">
        <f t="shared" si="58"/>
        <v>2791109.7323923609</v>
      </c>
      <c r="BB73" s="775">
        <v>3206001</v>
      </c>
      <c r="BC73" s="775">
        <f t="shared" ref="BC73:BC136" si="82">IF(BA73&gt;BB73,0,BB73-BA73)</f>
        <v>414891.26760763908</v>
      </c>
      <c r="BD73" s="775">
        <f t="shared" ref="BD73:BD136" si="83">IF(BA73&lt;BB73,0,BA73-BB73)</f>
        <v>0</v>
      </c>
      <c r="BE73" s="798">
        <f t="shared" ref="BE73:BE136" si="84">BD73/$BD$7</f>
        <v>0</v>
      </c>
      <c r="BF73" s="775">
        <f t="shared" ref="BF73:BF136" si="85">$BF$7*BE73</f>
        <v>0</v>
      </c>
      <c r="BG73" s="797">
        <f t="shared" ref="BG73:BG136" si="86">BA73+BC73+BF73</f>
        <v>3206001</v>
      </c>
      <c r="BH73" s="799">
        <v>7.2</v>
      </c>
      <c r="BI73" s="692">
        <f t="shared" si="47"/>
        <v>0</v>
      </c>
      <c r="BJ73" s="800">
        <v>775</v>
      </c>
      <c r="BK73" s="778">
        <f t="shared" ref="BK73:BK136" si="87">IF(BJ73&gt;=700,0,BG73*(700-BJ73)/700*-0.25)</f>
        <v>0</v>
      </c>
      <c r="BL73" s="786">
        <f t="shared" si="46"/>
        <v>3206001</v>
      </c>
      <c r="BM73" s="692">
        <f t="shared" ref="BM73:BM136" si="88">IF(BH73&lt;5,0,IF(BJ73&lt;700,0,IF(BC73&lt;&gt;0,0,BL73)))</f>
        <v>0</v>
      </c>
      <c r="BN73" s="801">
        <f t="shared" ref="BN73:BN136" si="89">BM73/$BM$7</f>
        <v>0</v>
      </c>
      <c r="BO73" s="787">
        <f t="shared" ref="BO73:BO136" si="90">$BO$7*BN73</f>
        <v>0</v>
      </c>
      <c r="BP73" s="802">
        <f t="shared" ref="BP73:BP136" si="91">ROUND(BG73+BI73+BO73,0)</f>
        <v>3206001</v>
      </c>
      <c r="BQ73" s="803">
        <f t="shared" si="55"/>
        <v>152.20285795670338</v>
      </c>
      <c r="BR73" s="682"/>
      <c r="BS73" s="618"/>
    </row>
    <row r="74" spans="1:71" ht="15.75">
      <c r="A74" s="766" t="s">
        <v>3563</v>
      </c>
      <c r="B74" s="767" t="s">
        <v>3564</v>
      </c>
      <c r="C74" s="768">
        <v>20274</v>
      </c>
      <c r="D74" s="769">
        <v>0</v>
      </c>
      <c r="E74" s="770">
        <v>0</v>
      </c>
      <c r="F74" s="771">
        <v>0</v>
      </c>
      <c r="G74" s="770">
        <f>C74/($C$10+$C$60+$C$62+$C$67+$C$74+$C$80+$C$94+$C$105+$C$127+$C$141+$C$168+$C$175+$C$201+$C$219+$C$237+$C$255+$C$265+$C$267+$C$268+$C$273+$C$281)*$G$7</f>
        <v>1245086.3792406991</v>
      </c>
      <c r="H74" s="771">
        <v>0</v>
      </c>
      <c r="I74" s="770">
        <f t="shared" ref="I74:I137" si="92">SUM(D74:H74)</f>
        <v>1245086.3792406991</v>
      </c>
      <c r="J74" s="772">
        <f t="shared" si="59"/>
        <v>61.412961390978552</v>
      </c>
      <c r="K74" s="773">
        <v>9987</v>
      </c>
      <c r="L74" s="774">
        <f t="shared" si="60"/>
        <v>3.6043494721235852E-3</v>
      </c>
      <c r="M74" s="775">
        <f t="shared" ref="M74:M137" si="93">$M$7*L74</f>
        <v>302484.36057353439</v>
      </c>
      <c r="N74" s="806">
        <v>5678.5</v>
      </c>
      <c r="O74" s="777">
        <f t="shared" si="61"/>
        <v>6.4578530837001904E-3</v>
      </c>
      <c r="P74" s="778">
        <f t="shared" si="62"/>
        <v>541956.20480441069</v>
      </c>
      <c r="Q74" s="786">
        <f t="shared" si="48"/>
        <v>844440.56537794508</v>
      </c>
      <c r="R74" s="692">
        <f t="shared" si="49"/>
        <v>41.651404033636432</v>
      </c>
      <c r="S74" s="807">
        <v>63390766.129999995</v>
      </c>
      <c r="T74" s="782">
        <f t="shared" si="56"/>
        <v>6.4841474727890311</v>
      </c>
      <c r="U74" s="777">
        <f t="shared" si="63"/>
        <v>3.5246055778076486E-3</v>
      </c>
      <c r="V74" s="783">
        <f t="shared" si="50"/>
        <v>3126.7024824898881</v>
      </c>
      <c r="W74" s="778">
        <f t="shared" si="64"/>
        <v>1405012.4288537339</v>
      </c>
      <c r="X74" s="784">
        <v>19214968.2557</v>
      </c>
      <c r="Y74" s="782">
        <f t="shared" si="57"/>
        <v>21.391400211034387</v>
      </c>
      <c r="Z74" s="782">
        <f t="shared" si="65"/>
        <v>3.3028652806700557E-3</v>
      </c>
      <c r="AA74" s="783">
        <f t="shared" si="51"/>
        <v>947.76404536351981</v>
      </c>
      <c r="AB74" s="692">
        <f t="shared" si="66"/>
        <v>776112.93815721013</v>
      </c>
      <c r="AC74" s="786">
        <f t="shared" si="67"/>
        <v>2181125.3670109441</v>
      </c>
      <c r="AD74" s="787">
        <f t="shared" si="52"/>
        <v>107.58238961285114</v>
      </c>
      <c r="AE74" s="788">
        <v>1997.8945000000001</v>
      </c>
      <c r="AF74" s="774">
        <f t="shared" si="68"/>
        <v>2.078000582744776E-3</v>
      </c>
      <c r="AG74" s="692">
        <f t="shared" si="69"/>
        <v>261585.07203769562</v>
      </c>
      <c r="AH74" s="786">
        <f t="shared" si="70"/>
        <v>261585.07203769562</v>
      </c>
      <c r="AI74" s="692">
        <f t="shared" si="53"/>
        <v>12.902489495792425</v>
      </c>
      <c r="AJ74" s="789">
        <v>3005</v>
      </c>
      <c r="AK74" s="777">
        <f t="shared" si="71"/>
        <v>3.994491456706625E-3</v>
      </c>
      <c r="AL74" s="692">
        <f t="shared" si="72"/>
        <v>83806.467952347914</v>
      </c>
      <c r="AM74" s="790">
        <v>33.333333333333336</v>
      </c>
      <c r="AN74" s="791">
        <f t="shared" si="73"/>
        <v>4.8134777376654609E-3</v>
      </c>
      <c r="AO74" s="778">
        <f t="shared" si="74"/>
        <v>302967.65342960274</v>
      </c>
      <c r="AP74" s="768">
        <v>336</v>
      </c>
      <c r="AQ74" s="792">
        <f t="shared" si="75"/>
        <v>4.5414611069811445E-3</v>
      </c>
      <c r="AR74" s="793">
        <f t="shared" si="76"/>
        <v>381128.68067851587</v>
      </c>
      <c r="AS74" s="794">
        <v>134.16666666666666</v>
      </c>
      <c r="AT74" s="791">
        <f t="shared" si="77"/>
        <v>5.3807462861153316E-3</v>
      </c>
      <c r="AU74" s="795">
        <f t="shared" si="78"/>
        <v>451563.20505322231</v>
      </c>
      <c r="AV74" s="796">
        <v>172</v>
      </c>
      <c r="AW74" s="791">
        <f t="shared" si="79"/>
        <v>2.1903015484922577E-3</v>
      </c>
      <c r="AX74" s="795">
        <f t="shared" si="80"/>
        <v>137860.93062347188</v>
      </c>
      <c r="AY74" s="786">
        <f t="shared" si="81"/>
        <v>1357326.9377371606</v>
      </c>
      <c r="AZ74" s="787">
        <f t="shared" si="54"/>
        <v>66.949143619273983</v>
      </c>
      <c r="BA74" s="797">
        <f t="shared" si="58"/>
        <v>5889564.3214044441</v>
      </c>
      <c r="BB74" s="775">
        <v>3762504</v>
      </c>
      <c r="BC74" s="775">
        <f t="shared" si="82"/>
        <v>0</v>
      </c>
      <c r="BD74" s="775">
        <f t="shared" si="83"/>
        <v>2127060.3214044441</v>
      </c>
      <c r="BE74" s="798">
        <f t="shared" si="84"/>
        <v>3.3097079290986091E-3</v>
      </c>
      <c r="BF74" s="775">
        <f t="shared" si="85"/>
        <v>-4381.6630744907879</v>
      </c>
      <c r="BG74" s="797">
        <f t="shared" si="86"/>
        <v>5885182.6583299534</v>
      </c>
      <c r="BH74" s="799">
        <v>7.7</v>
      </c>
      <c r="BI74" s="692">
        <f t="shared" si="47"/>
        <v>0</v>
      </c>
      <c r="BJ74" s="800">
        <v>1150</v>
      </c>
      <c r="BK74" s="778">
        <f t="shared" si="87"/>
        <v>0</v>
      </c>
      <c r="BL74" s="786">
        <f t="shared" ref="BL74:BL137" si="94">BG74+BI74+BK74</f>
        <v>5885182.6583299534</v>
      </c>
      <c r="BM74" s="692">
        <f t="shared" si="88"/>
        <v>5885182.6583299534</v>
      </c>
      <c r="BN74" s="801">
        <f t="shared" si="89"/>
        <v>2.8755896956137988E-3</v>
      </c>
      <c r="BO74" s="787">
        <f t="shared" si="90"/>
        <v>14213.55462292962</v>
      </c>
      <c r="BP74" s="802">
        <f t="shared" si="91"/>
        <v>5899396</v>
      </c>
      <c r="BQ74" s="803">
        <f t="shared" si="55"/>
        <v>290.98332840090757</v>
      </c>
      <c r="BR74" s="682"/>
      <c r="BS74" s="618"/>
    </row>
    <row r="75" spans="1:71" ht="15.75">
      <c r="A75" s="805" t="s">
        <v>3565</v>
      </c>
      <c r="B75" s="767" t="s">
        <v>3566</v>
      </c>
      <c r="C75" s="768">
        <v>19475</v>
      </c>
      <c r="D75" s="769">
        <v>0</v>
      </c>
      <c r="E75" s="770">
        <v>0</v>
      </c>
      <c r="F75" s="771">
        <v>0</v>
      </c>
      <c r="G75" s="770">
        <v>0</v>
      </c>
      <c r="H75" s="771">
        <v>0</v>
      </c>
      <c r="I75" s="770">
        <f t="shared" si="92"/>
        <v>0</v>
      </c>
      <c r="J75" s="772">
        <f t="shared" si="59"/>
        <v>0</v>
      </c>
      <c r="K75" s="773">
        <v>5354</v>
      </c>
      <c r="L75" s="774">
        <f t="shared" si="60"/>
        <v>1.9322806722488911E-3</v>
      </c>
      <c r="M75" s="775">
        <f t="shared" si="93"/>
        <v>162160.93586769834</v>
      </c>
      <c r="N75" s="806">
        <v>362</v>
      </c>
      <c r="O75" s="777">
        <f t="shared" si="61"/>
        <v>4.1168315863334841E-4</v>
      </c>
      <c r="P75" s="778">
        <f t="shared" si="62"/>
        <v>34549.290506154211</v>
      </c>
      <c r="Q75" s="786">
        <f t="shared" si="48"/>
        <v>196710.22637385255</v>
      </c>
      <c r="R75" s="692">
        <f t="shared" si="49"/>
        <v>10.100653472341595</v>
      </c>
      <c r="S75" s="807">
        <v>81811450.459999993</v>
      </c>
      <c r="T75" s="782">
        <f t="shared" si="56"/>
        <v>4.6359723836633222</v>
      </c>
      <c r="U75" s="777">
        <f t="shared" si="63"/>
        <v>2.5199880463227099E-3</v>
      </c>
      <c r="V75" s="783">
        <f t="shared" si="50"/>
        <v>4200.8446962772787</v>
      </c>
      <c r="W75" s="778">
        <f t="shared" si="64"/>
        <v>1004542.0537093275</v>
      </c>
      <c r="X75" s="784">
        <v>15092234.3861</v>
      </c>
      <c r="Y75" s="782">
        <f t="shared" si="57"/>
        <v>25.130515157471592</v>
      </c>
      <c r="Z75" s="782">
        <f t="shared" si="65"/>
        <v>3.8801904120399737E-3</v>
      </c>
      <c r="AA75" s="783">
        <f t="shared" si="51"/>
        <v>774.95426886264443</v>
      </c>
      <c r="AB75" s="692">
        <f t="shared" si="66"/>
        <v>911773.78590713849</v>
      </c>
      <c r="AC75" s="786">
        <f t="shared" si="67"/>
        <v>1916315.8396164658</v>
      </c>
      <c r="AD75" s="787">
        <f t="shared" si="52"/>
        <v>98.398759415479631</v>
      </c>
      <c r="AE75" s="788">
        <v>2341.2815000000001</v>
      </c>
      <c r="AF75" s="774">
        <f t="shared" si="68"/>
        <v>2.4351557709226201E-3</v>
      </c>
      <c r="AG75" s="692">
        <f t="shared" si="69"/>
        <v>306544.86002039845</v>
      </c>
      <c r="AH75" s="786">
        <f t="shared" si="70"/>
        <v>306544.86002039845</v>
      </c>
      <c r="AI75" s="692">
        <f t="shared" si="53"/>
        <v>15.740429269340101</v>
      </c>
      <c r="AJ75" s="789">
        <v>2107</v>
      </c>
      <c r="AK75" s="777">
        <f t="shared" si="71"/>
        <v>2.8007965055843122E-3</v>
      </c>
      <c r="AL75" s="692">
        <f t="shared" si="72"/>
        <v>58762.139093376718</v>
      </c>
      <c r="AM75" s="790">
        <v>9</v>
      </c>
      <c r="AN75" s="791">
        <f t="shared" si="73"/>
        <v>1.2996389891696744E-3</v>
      </c>
      <c r="AO75" s="778">
        <f t="shared" si="74"/>
        <v>81801.266425992741</v>
      </c>
      <c r="AP75" s="768">
        <v>195</v>
      </c>
      <c r="AQ75" s="792">
        <f t="shared" si="75"/>
        <v>2.6356693924444144E-3</v>
      </c>
      <c r="AR75" s="793">
        <f t="shared" si="76"/>
        <v>221190.75217949584</v>
      </c>
      <c r="AS75" s="794">
        <v>19.027777777777775</v>
      </c>
      <c r="AT75" s="791">
        <f t="shared" si="77"/>
        <v>7.6310791014265055E-4</v>
      </c>
      <c r="AU75" s="795">
        <f t="shared" si="78"/>
        <v>64041.572559307926</v>
      </c>
      <c r="AV75" s="796">
        <v>61</v>
      </c>
      <c r="AW75" s="791">
        <f t="shared" si="79"/>
        <v>7.7679299103504483E-4</v>
      </c>
      <c r="AX75" s="795">
        <f t="shared" si="80"/>
        <v>48892.539349022009</v>
      </c>
      <c r="AY75" s="786">
        <f t="shared" si="81"/>
        <v>474688.26960719517</v>
      </c>
      <c r="AZ75" s="787">
        <f t="shared" si="54"/>
        <v>24.374237207044683</v>
      </c>
      <c r="BA75" s="797">
        <f t="shared" si="58"/>
        <v>2894259.1956179123</v>
      </c>
      <c r="BB75" s="775">
        <v>2420873</v>
      </c>
      <c r="BC75" s="775">
        <f t="shared" si="82"/>
        <v>0</v>
      </c>
      <c r="BD75" s="775">
        <f t="shared" si="83"/>
        <v>473386.19561791234</v>
      </c>
      <c r="BE75" s="798">
        <f t="shared" si="84"/>
        <v>7.3658938084460678E-4</v>
      </c>
      <c r="BF75" s="775">
        <f t="shared" si="85"/>
        <v>-975.15749433148437</v>
      </c>
      <c r="BG75" s="797">
        <f t="shared" si="86"/>
        <v>2893284.0381235806</v>
      </c>
      <c r="BH75" s="799">
        <v>7</v>
      </c>
      <c r="BI75" s="692">
        <f t="shared" si="47"/>
        <v>0</v>
      </c>
      <c r="BJ75" s="800">
        <v>1200</v>
      </c>
      <c r="BK75" s="778">
        <f t="shared" si="87"/>
        <v>0</v>
      </c>
      <c r="BL75" s="786">
        <f t="shared" si="94"/>
        <v>2893284.0381235806</v>
      </c>
      <c r="BM75" s="692">
        <f t="shared" si="88"/>
        <v>2893284.0381235806</v>
      </c>
      <c r="BN75" s="801">
        <f t="shared" si="89"/>
        <v>1.4137025559837083E-3</v>
      </c>
      <c r="BO75" s="787">
        <f t="shared" si="90"/>
        <v>6987.6931784458284</v>
      </c>
      <c r="BP75" s="802">
        <f t="shared" si="91"/>
        <v>2900272</v>
      </c>
      <c r="BQ75" s="803">
        <f t="shared" si="55"/>
        <v>148.92282413350449</v>
      </c>
      <c r="BR75" s="682"/>
      <c r="BS75" s="618"/>
    </row>
    <row r="76" spans="1:71" ht="15.75">
      <c r="A76" s="805" t="s">
        <v>3567</v>
      </c>
      <c r="B76" s="767" t="s">
        <v>3568</v>
      </c>
      <c r="C76" s="768">
        <v>18075</v>
      </c>
      <c r="D76" s="769">
        <v>0</v>
      </c>
      <c r="E76" s="770">
        <v>0</v>
      </c>
      <c r="F76" s="771">
        <v>0</v>
      </c>
      <c r="G76" s="770">
        <v>0</v>
      </c>
      <c r="H76" s="771">
        <v>0</v>
      </c>
      <c r="I76" s="770">
        <f t="shared" si="92"/>
        <v>0</v>
      </c>
      <c r="J76" s="772">
        <f t="shared" si="59"/>
        <v>0</v>
      </c>
      <c r="K76" s="773">
        <v>4982</v>
      </c>
      <c r="L76" s="774">
        <f t="shared" si="60"/>
        <v>1.7980243386522181E-3</v>
      </c>
      <c r="M76" s="775">
        <f t="shared" si="93"/>
        <v>150893.87046934498</v>
      </c>
      <c r="N76" s="806">
        <v>1607.5</v>
      </c>
      <c r="O76" s="777">
        <f t="shared" si="61"/>
        <v>1.8281234185168716E-3</v>
      </c>
      <c r="P76" s="778">
        <f t="shared" si="62"/>
        <v>153419.84665370965</v>
      </c>
      <c r="Q76" s="786">
        <f t="shared" si="48"/>
        <v>304313.71712305467</v>
      </c>
      <c r="R76" s="692">
        <f t="shared" si="49"/>
        <v>16.836166922437325</v>
      </c>
      <c r="S76" s="807">
        <v>50140127.649999991</v>
      </c>
      <c r="T76" s="782">
        <f t="shared" si="56"/>
        <v>6.5158514808846935</v>
      </c>
      <c r="U76" s="777">
        <f t="shared" si="63"/>
        <v>3.5418390112299711E-3</v>
      </c>
      <c r="V76" s="783">
        <f t="shared" si="50"/>
        <v>2774.0042959889347</v>
      </c>
      <c r="W76" s="778">
        <f t="shared" si="64"/>
        <v>1411882.1870765099</v>
      </c>
      <c r="X76" s="784">
        <v>16364652.532600001</v>
      </c>
      <c r="Y76" s="782">
        <f t="shared" si="57"/>
        <v>19.964103994824832</v>
      </c>
      <c r="Z76" s="782">
        <f t="shared" si="65"/>
        <v>3.0824885371542872E-3</v>
      </c>
      <c r="AA76" s="783">
        <f t="shared" si="51"/>
        <v>905.3749672254495</v>
      </c>
      <c r="AB76" s="692">
        <f t="shared" si="66"/>
        <v>724328.43368089001</v>
      </c>
      <c r="AC76" s="786">
        <f t="shared" si="67"/>
        <v>2136210.6207574001</v>
      </c>
      <c r="AD76" s="787">
        <f t="shared" si="52"/>
        <v>118.1859264596072</v>
      </c>
      <c r="AE76" s="788">
        <v>3443.0826999999999</v>
      </c>
      <c r="AF76" s="774">
        <f t="shared" si="68"/>
        <v>3.5811339673033063E-3</v>
      </c>
      <c r="AG76" s="692">
        <f t="shared" si="69"/>
        <v>450804.10207408015</v>
      </c>
      <c r="AH76" s="786">
        <f t="shared" si="70"/>
        <v>450804.10207408015</v>
      </c>
      <c r="AI76" s="692">
        <f t="shared" si="53"/>
        <v>24.94075253521882</v>
      </c>
      <c r="AJ76" s="789">
        <v>1415</v>
      </c>
      <c r="AK76" s="777">
        <f t="shared" si="71"/>
        <v>1.8809335811114389E-3</v>
      </c>
      <c r="AL76" s="692">
        <f t="shared" si="72"/>
        <v>39462.945807844357</v>
      </c>
      <c r="AM76" s="790">
        <v>3.3333333333333335</v>
      </c>
      <c r="AN76" s="791">
        <f t="shared" si="73"/>
        <v>4.8134777376654609E-4</v>
      </c>
      <c r="AO76" s="778">
        <f t="shared" si="74"/>
        <v>30296.765342960272</v>
      </c>
      <c r="AP76" s="768">
        <v>176</v>
      </c>
      <c r="AQ76" s="792">
        <f t="shared" si="75"/>
        <v>2.3788605798472661E-3</v>
      </c>
      <c r="AR76" s="793">
        <f t="shared" si="76"/>
        <v>199638.83273636547</v>
      </c>
      <c r="AS76" s="794">
        <v>78.3888888888889</v>
      </c>
      <c r="AT76" s="791">
        <f t="shared" si="77"/>
        <v>3.1437817845584824E-3</v>
      </c>
      <c r="AU76" s="795">
        <f t="shared" si="78"/>
        <v>263832.58067498833</v>
      </c>
      <c r="AV76" s="796">
        <v>124</v>
      </c>
      <c r="AW76" s="791">
        <f t="shared" si="79"/>
        <v>1.5790546047269763E-3</v>
      </c>
      <c r="AX76" s="795">
        <f t="shared" si="80"/>
        <v>99388.112775061119</v>
      </c>
      <c r="AY76" s="786">
        <f t="shared" si="81"/>
        <v>632619.23733721953</v>
      </c>
      <c r="AZ76" s="787">
        <f t="shared" si="54"/>
        <v>34.999681180482405</v>
      </c>
      <c r="BA76" s="797">
        <f t="shared" si="58"/>
        <v>3523947.6772917546</v>
      </c>
      <c r="BB76" s="775">
        <v>2281414</v>
      </c>
      <c r="BC76" s="775">
        <f t="shared" si="82"/>
        <v>0</v>
      </c>
      <c r="BD76" s="775">
        <f t="shared" si="83"/>
        <v>1242533.6772917546</v>
      </c>
      <c r="BE76" s="798">
        <f t="shared" si="84"/>
        <v>1.9333836104794826E-3</v>
      </c>
      <c r="BF76" s="775">
        <f t="shared" si="85"/>
        <v>-2559.5719490483275</v>
      </c>
      <c r="BG76" s="797">
        <f t="shared" si="86"/>
        <v>3521388.1053427062</v>
      </c>
      <c r="BH76" s="799">
        <v>7</v>
      </c>
      <c r="BI76" s="692">
        <f t="shared" ref="BI76:BI139" si="95">IF(BH76&gt;=5,0,BG76*(5-BH76)/5*-0.25)</f>
        <v>0</v>
      </c>
      <c r="BJ76" s="800">
        <v>1150</v>
      </c>
      <c r="BK76" s="778">
        <f t="shared" si="87"/>
        <v>0</v>
      </c>
      <c r="BL76" s="786">
        <f t="shared" si="94"/>
        <v>3521388.1053427062</v>
      </c>
      <c r="BM76" s="692">
        <f t="shared" si="88"/>
        <v>3521388.1053427062</v>
      </c>
      <c r="BN76" s="801">
        <f t="shared" si="89"/>
        <v>1.7206037497660221E-3</v>
      </c>
      <c r="BO76" s="787">
        <f t="shared" si="90"/>
        <v>8504.6539911517993</v>
      </c>
      <c r="BP76" s="802">
        <f t="shared" si="91"/>
        <v>3529893</v>
      </c>
      <c r="BQ76" s="803">
        <f t="shared" si="55"/>
        <v>195.29145228215768</v>
      </c>
      <c r="BR76" s="682"/>
      <c r="BS76" s="618"/>
    </row>
    <row r="77" spans="1:71" ht="15.75">
      <c r="A77" s="805" t="s">
        <v>3569</v>
      </c>
      <c r="B77" s="767" t="s">
        <v>3570</v>
      </c>
      <c r="C77" s="768">
        <v>33692</v>
      </c>
      <c r="D77" s="769">
        <v>0</v>
      </c>
      <c r="E77" s="770">
        <v>0</v>
      </c>
      <c r="F77" s="771">
        <v>0</v>
      </c>
      <c r="G77" s="770">
        <v>0</v>
      </c>
      <c r="H77" s="771">
        <v>0</v>
      </c>
      <c r="I77" s="770">
        <f t="shared" si="92"/>
        <v>0</v>
      </c>
      <c r="J77" s="772">
        <f t="shared" si="59"/>
        <v>0</v>
      </c>
      <c r="K77" s="773">
        <v>10355</v>
      </c>
      <c r="L77" s="774">
        <f t="shared" si="60"/>
        <v>3.7371621892299711E-3</v>
      </c>
      <c r="M77" s="775">
        <f t="shared" si="93"/>
        <v>313630.27473104518</v>
      </c>
      <c r="N77" s="806">
        <v>1683.5</v>
      </c>
      <c r="O77" s="777">
        <f t="shared" si="61"/>
        <v>1.9145541369039833E-3</v>
      </c>
      <c r="P77" s="778">
        <f t="shared" si="62"/>
        <v>160673.28885942156</v>
      </c>
      <c r="Q77" s="786">
        <f t="shared" si="48"/>
        <v>474303.56359046674</v>
      </c>
      <c r="R77" s="692">
        <f t="shared" si="49"/>
        <v>14.07763159178638</v>
      </c>
      <c r="S77" s="807">
        <v>126713869.77000001</v>
      </c>
      <c r="T77" s="782">
        <f t="shared" si="56"/>
        <v>8.9583789529940727</v>
      </c>
      <c r="U77" s="777">
        <f t="shared" si="63"/>
        <v>4.8695302749269956E-3</v>
      </c>
      <c r="V77" s="783">
        <f t="shared" si="50"/>
        <v>3760.9482895049273</v>
      </c>
      <c r="W77" s="778">
        <f t="shared" si="64"/>
        <v>1941139.343939763</v>
      </c>
      <c r="X77" s="784">
        <v>30591620.998399999</v>
      </c>
      <c r="Y77" s="782">
        <f t="shared" si="57"/>
        <v>37.106594124560139</v>
      </c>
      <c r="Z77" s="782">
        <f t="shared" si="65"/>
        <v>5.7293155290837703E-3</v>
      </c>
      <c r="AA77" s="783">
        <f t="shared" si="51"/>
        <v>907.97877829751872</v>
      </c>
      <c r="AB77" s="692">
        <f t="shared" si="66"/>
        <v>1346284.3716122902</v>
      </c>
      <c r="AC77" s="786">
        <f t="shared" si="67"/>
        <v>3287423.7155520534</v>
      </c>
      <c r="AD77" s="787">
        <f t="shared" si="52"/>
        <v>97.572827839013812</v>
      </c>
      <c r="AE77" s="788">
        <v>5338.2272999999996</v>
      </c>
      <c r="AF77" s="774">
        <f t="shared" si="68"/>
        <v>5.5522648669507173E-3</v>
      </c>
      <c r="AG77" s="692">
        <f t="shared" si="69"/>
        <v>698936.09138224914</v>
      </c>
      <c r="AH77" s="786">
        <f t="shared" si="70"/>
        <v>698936.09138224914</v>
      </c>
      <c r="AI77" s="692">
        <f t="shared" si="53"/>
        <v>20.744867962194263</v>
      </c>
      <c r="AJ77" s="789">
        <v>2876</v>
      </c>
      <c r="AK77" s="777">
        <f t="shared" si="71"/>
        <v>3.8230141196300342E-3</v>
      </c>
      <c r="AL77" s="692">
        <f t="shared" si="72"/>
        <v>80208.785967039134</v>
      </c>
      <c r="AM77" s="790">
        <v>17.666666666666668</v>
      </c>
      <c r="AN77" s="791">
        <f t="shared" si="73"/>
        <v>2.5511432009626945E-3</v>
      </c>
      <c r="AO77" s="778">
        <f t="shared" si="74"/>
        <v>160572.85631768947</v>
      </c>
      <c r="AP77" s="768">
        <v>293</v>
      </c>
      <c r="AQ77" s="792">
        <f t="shared" si="75"/>
        <v>3.9602622153139151E-3</v>
      </c>
      <c r="AR77" s="793">
        <f t="shared" si="76"/>
        <v>332353.28404406301</v>
      </c>
      <c r="AS77" s="794">
        <v>44.361111111111114</v>
      </c>
      <c r="AT77" s="791">
        <f t="shared" si="77"/>
        <v>1.7790997554712601E-3</v>
      </c>
      <c r="AU77" s="795">
        <f t="shared" si="78"/>
        <v>149305.68084264931</v>
      </c>
      <c r="AV77" s="796">
        <v>8</v>
      </c>
      <c r="AW77" s="791">
        <f t="shared" si="79"/>
        <v>1.0187449062754686E-4</v>
      </c>
      <c r="AX77" s="795">
        <f t="shared" si="80"/>
        <v>6412.1363080684596</v>
      </c>
      <c r="AY77" s="786">
        <f t="shared" si="81"/>
        <v>728852.74347950937</v>
      </c>
      <c r="AZ77" s="787">
        <f t="shared" si="54"/>
        <v>21.632813233987576</v>
      </c>
      <c r="BA77" s="797">
        <f t="shared" si="58"/>
        <v>5189516.1140042786</v>
      </c>
      <c r="BB77" s="775">
        <v>4391962</v>
      </c>
      <c r="BC77" s="775">
        <f t="shared" si="82"/>
        <v>0</v>
      </c>
      <c r="BD77" s="775">
        <f t="shared" si="83"/>
        <v>797554.11400427856</v>
      </c>
      <c r="BE77" s="798">
        <f t="shared" si="84"/>
        <v>1.2409949771721889E-3</v>
      </c>
      <c r="BF77" s="775">
        <f t="shared" si="85"/>
        <v>-1642.9310330669698</v>
      </c>
      <c r="BG77" s="797">
        <f t="shared" si="86"/>
        <v>5187873.1829712112</v>
      </c>
      <c r="BH77" s="799">
        <v>7.9</v>
      </c>
      <c r="BI77" s="692">
        <f t="shared" si="95"/>
        <v>0</v>
      </c>
      <c r="BJ77" s="800">
        <v>1300</v>
      </c>
      <c r="BK77" s="778">
        <f t="shared" si="87"/>
        <v>0</v>
      </c>
      <c r="BL77" s="786">
        <f t="shared" si="94"/>
        <v>5187873.1829712112</v>
      </c>
      <c r="BM77" s="692">
        <f t="shared" si="88"/>
        <v>5187873.1829712112</v>
      </c>
      <c r="BN77" s="801">
        <f t="shared" si="89"/>
        <v>2.5348736875630859E-3</v>
      </c>
      <c r="BO77" s="787">
        <f t="shared" si="90"/>
        <v>12529.452889388795</v>
      </c>
      <c r="BP77" s="802">
        <f t="shared" si="91"/>
        <v>5200403</v>
      </c>
      <c r="BQ77" s="803">
        <f t="shared" si="55"/>
        <v>154.3512703312359</v>
      </c>
      <c r="BR77" s="682"/>
      <c r="BS77" s="618"/>
    </row>
    <row r="78" spans="1:71" ht="15.75">
      <c r="A78" s="805" t="s">
        <v>3571</v>
      </c>
      <c r="B78" s="767" t="s">
        <v>3572</v>
      </c>
      <c r="C78" s="768">
        <v>8535</v>
      </c>
      <c r="D78" s="769">
        <v>0</v>
      </c>
      <c r="E78" s="770">
        <v>0</v>
      </c>
      <c r="F78" s="771">
        <v>0</v>
      </c>
      <c r="G78" s="770">
        <v>0</v>
      </c>
      <c r="H78" s="771">
        <v>0</v>
      </c>
      <c r="I78" s="770">
        <f t="shared" si="92"/>
        <v>0</v>
      </c>
      <c r="J78" s="772">
        <f t="shared" si="59"/>
        <v>0</v>
      </c>
      <c r="K78" s="773">
        <v>1702</v>
      </c>
      <c r="L78" s="774">
        <f t="shared" si="60"/>
        <v>6.1425881661703638E-4</v>
      </c>
      <c r="M78" s="775">
        <f t="shared" si="93"/>
        <v>51549.852978487594</v>
      </c>
      <c r="N78" s="806">
        <v>131.5</v>
      </c>
      <c r="O78" s="777">
        <f t="shared" si="61"/>
        <v>1.4954788773559479E-4</v>
      </c>
      <c r="P78" s="778">
        <f t="shared" si="62"/>
        <v>12550.363816462095</v>
      </c>
      <c r="Q78" s="786">
        <f t="shared" si="48"/>
        <v>64100.216794949687</v>
      </c>
      <c r="R78" s="692">
        <f t="shared" si="49"/>
        <v>7.5102773046221074</v>
      </c>
      <c r="S78" s="807">
        <v>35570450.449999996</v>
      </c>
      <c r="T78" s="782">
        <f t="shared" si="56"/>
        <v>2.0479421564367626</v>
      </c>
      <c r="U78" s="777">
        <f t="shared" si="63"/>
        <v>1.1132054565223628E-3</v>
      </c>
      <c r="V78" s="783">
        <f t="shared" si="50"/>
        <v>4167.5981780902166</v>
      </c>
      <c r="W78" s="778">
        <f t="shared" si="64"/>
        <v>443756.74603981798</v>
      </c>
      <c r="X78" s="784">
        <v>6156804.5140000004</v>
      </c>
      <c r="Y78" s="782">
        <f t="shared" si="57"/>
        <v>11.831823608229637</v>
      </c>
      <c r="Z78" s="782">
        <f t="shared" si="65"/>
        <v>1.8268518665026791E-3</v>
      </c>
      <c r="AA78" s="783">
        <f t="shared" si="51"/>
        <v>721.35963842999422</v>
      </c>
      <c r="AB78" s="692">
        <f t="shared" si="66"/>
        <v>429276.77916119498</v>
      </c>
      <c r="AC78" s="786">
        <f t="shared" si="67"/>
        <v>873033.52520101296</v>
      </c>
      <c r="AD78" s="787">
        <f t="shared" si="52"/>
        <v>102.28863798488729</v>
      </c>
      <c r="AE78" s="788">
        <v>2885.6691999999998</v>
      </c>
      <c r="AF78" s="774">
        <f t="shared" si="68"/>
        <v>3.0013708327485014E-3</v>
      </c>
      <c r="AG78" s="692">
        <f t="shared" si="69"/>
        <v>377821.74462112959</v>
      </c>
      <c r="AH78" s="786">
        <f t="shared" si="70"/>
        <v>377821.74462112959</v>
      </c>
      <c r="AI78" s="692">
        <f t="shared" si="53"/>
        <v>44.267339732997023</v>
      </c>
      <c r="AJ78" s="789">
        <v>683</v>
      </c>
      <c r="AK78" s="777">
        <f t="shared" si="71"/>
        <v>9.0789938932799496E-4</v>
      </c>
      <c r="AL78" s="692">
        <f t="shared" si="72"/>
        <v>19048.192216789892</v>
      </c>
      <c r="AM78" s="790">
        <v>1</v>
      </c>
      <c r="AN78" s="791">
        <f t="shared" si="73"/>
        <v>1.4440433212996383E-4</v>
      </c>
      <c r="AO78" s="778">
        <f t="shared" si="74"/>
        <v>9089.0296028880821</v>
      </c>
      <c r="AP78" s="768">
        <v>50</v>
      </c>
      <c r="AQ78" s="792">
        <f t="shared" si="75"/>
        <v>6.7581266472933703E-4</v>
      </c>
      <c r="AR78" s="793">
        <f t="shared" si="76"/>
        <v>56715.57748192201</v>
      </c>
      <c r="AS78" s="794">
        <v>8.6388888888888893</v>
      </c>
      <c r="AT78" s="791">
        <f t="shared" si="77"/>
        <v>3.4646213146622535E-4</v>
      </c>
      <c r="AU78" s="795">
        <f t="shared" si="78"/>
        <v>29075.808855393821</v>
      </c>
      <c r="AV78" s="796">
        <v>25</v>
      </c>
      <c r="AW78" s="791">
        <f t="shared" si="79"/>
        <v>3.1835778321108395E-4</v>
      </c>
      <c r="AX78" s="795">
        <f t="shared" si="80"/>
        <v>20037.925962713936</v>
      </c>
      <c r="AY78" s="786">
        <f t="shared" si="81"/>
        <v>133966.53411970774</v>
      </c>
      <c r="AZ78" s="787">
        <f t="shared" si="54"/>
        <v>15.696137565285031</v>
      </c>
      <c r="BA78" s="797">
        <f t="shared" si="58"/>
        <v>1448922.0207368</v>
      </c>
      <c r="BB78" s="775">
        <v>984486</v>
      </c>
      <c r="BC78" s="775">
        <f t="shared" si="82"/>
        <v>0</v>
      </c>
      <c r="BD78" s="775">
        <f t="shared" si="83"/>
        <v>464436.02073680004</v>
      </c>
      <c r="BE78" s="798">
        <f t="shared" si="84"/>
        <v>7.2266290002375366E-4</v>
      </c>
      <c r="BF78" s="775">
        <f t="shared" si="85"/>
        <v>-956.72047569493202</v>
      </c>
      <c r="BG78" s="797">
        <f t="shared" si="86"/>
        <v>1447965.3002611052</v>
      </c>
      <c r="BH78" s="799">
        <v>7.5</v>
      </c>
      <c r="BI78" s="692">
        <f t="shared" si="95"/>
        <v>0</v>
      </c>
      <c r="BJ78" s="800">
        <v>1300</v>
      </c>
      <c r="BK78" s="778">
        <f t="shared" si="87"/>
        <v>0</v>
      </c>
      <c r="BL78" s="786">
        <f t="shared" si="94"/>
        <v>1447965.3002611052</v>
      </c>
      <c r="BM78" s="692">
        <f t="shared" si="88"/>
        <v>1447965.3002611052</v>
      </c>
      <c r="BN78" s="801">
        <f t="shared" si="89"/>
        <v>7.0749785329835935E-4</v>
      </c>
      <c r="BO78" s="787">
        <f t="shared" si="90"/>
        <v>3497.0425018563706</v>
      </c>
      <c r="BP78" s="802">
        <f t="shared" si="91"/>
        <v>1451462</v>
      </c>
      <c r="BQ78" s="803">
        <f t="shared" si="55"/>
        <v>170.05998828353836</v>
      </c>
      <c r="BR78" s="682"/>
      <c r="BS78" s="618"/>
    </row>
    <row r="79" spans="1:71" ht="15.75">
      <c r="A79" s="805" t="s">
        <v>3573</v>
      </c>
      <c r="B79" s="767" t="s">
        <v>3574</v>
      </c>
      <c r="C79" s="768">
        <v>12529</v>
      </c>
      <c r="D79" s="769">
        <v>0</v>
      </c>
      <c r="E79" s="770">
        <v>0</v>
      </c>
      <c r="F79" s="771">
        <v>0</v>
      </c>
      <c r="G79" s="770">
        <v>0</v>
      </c>
      <c r="H79" s="771">
        <v>0</v>
      </c>
      <c r="I79" s="770">
        <f t="shared" si="92"/>
        <v>0</v>
      </c>
      <c r="J79" s="772">
        <f t="shared" si="59"/>
        <v>0</v>
      </c>
      <c r="K79" s="773">
        <v>3785</v>
      </c>
      <c r="L79" s="774">
        <f t="shared" si="60"/>
        <v>1.3660221039338909E-3</v>
      </c>
      <c r="M79" s="775">
        <f t="shared" si="93"/>
        <v>114639.36164722416</v>
      </c>
      <c r="N79" s="806">
        <v>226</v>
      </c>
      <c r="O79" s="777">
        <f t="shared" si="61"/>
        <v>2.5701766257220094E-4</v>
      </c>
      <c r="P79" s="778">
        <f t="shared" si="62"/>
        <v>21569.446559090749</v>
      </c>
      <c r="Q79" s="786">
        <f t="shared" si="48"/>
        <v>136208.80820631492</v>
      </c>
      <c r="R79" s="692">
        <f t="shared" si="49"/>
        <v>10.871482816371213</v>
      </c>
      <c r="S79" s="807">
        <v>53011145.169999994</v>
      </c>
      <c r="T79" s="782">
        <f t="shared" si="56"/>
        <v>2.9611856242040888</v>
      </c>
      <c r="U79" s="777">
        <f t="shared" si="63"/>
        <v>1.6096196781138718E-3</v>
      </c>
      <c r="V79" s="783">
        <f t="shared" si="50"/>
        <v>4231.0755183973179</v>
      </c>
      <c r="W79" s="778">
        <f t="shared" si="64"/>
        <v>641642.19330443244</v>
      </c>
      <c r="X79" s="784">
        <v>8843399.7161999997</v>
      </c>
      <c r="Y79" s="782">
        <f t="shared" si="57"/>
        <v>17.750621484680821</v>
      </c>
      <c r="Z79" s="782">
        <f t="shared" si="65"/>
        <v>2.7407234137869123E-3</v>
      </c>
      <c r="AA79" s="783">
        <f t="shared" si="51"/>
        <v>705.83444139197059</v>
      </c>
      <c r="AB79" s="692">
        <f t="shared" si="66"/>
        <v>644019.87989013304</v>
      </c>
      <c r="AC79" s="786">
        <f t="shared" si="67"/>
        <v>1285662.0731945655</v>
      </c>
      <c r="AD79" s="787">
        <f t="shared" si="52"/>
        <v>102.61489928921426</v>
      </c>
      <c r="AE79" s="788">
        <v>2272.9904000000001</v>
      </c>
      <c r="AF79" s="774">
        <f t="shared" si="68"/>
        <v>2.3641265220827631E-3</v>
      </c>
      <c r="AG79" s="692">
        <f t="shared" si="69"/>
        <v>297603.48082693579</v>
      </c>
      <c r="AH79" s="786">
        <f t="shared" si="70"/>
        <v>297603.48082693579</v>
      </c>
      <c r="AI79" s="692">
        <f t="shared" si="53"/>
        <v>23.753171109181562</v>
      </c>
      <c r="AJ79" s="789">
        <v>1118</v>
      </c>
      <c r="AK79" s="777">
        <f t="shared" si="71"/>
        <v>1.4861369213304515E-3</v>
      </c>
      <c r="AL79" s="692">
        <f t="shared" si="72"/>
        <v>31179.910539342749</v>
      </c>
      <c r="AM79" s="790">
        <v>2.3333333333333335</v>
      </c>
      <c r="AN79" s="791">
        <f t="shared" si="73"/>
        <v>3.3694344163658226E-4</v>
      </c>
      <c r="AO79" s="778">
        <f t="shared" si="74"/>
        <v>21207.735740072192</v>
      </c>
      <c r="AP79" s="768">
        <v>96</v>
      </c>
      <c r="AQ79" s="792">
        <f t="shared" si="75"/>
        <v>1.2975603162803271E-3</v>
      </c>
      <c r="AR79" s="793">
        <f t="shared" si="76"/>
        <v>108893.90876529027</v>
      </c>
      <c r="AS79" s="794">
        <v>23.166666666666668</v>
      </c>
      <c r="AT79" s="791">
        <f t="shared" si="77"/>
        <v>9.2909780592550465E-4</v>
      </c>
      <c r="AU79" s="795">
        <f t="shared" si="78"/>
        <v>77971.783232792441</v>
      </c>
      <c r="AV79" s="796">
        <v>36</v>
      </c>
      <c r="AW79" s="791">
        <f t="shared" si="79"/>
        <v>4.5843520782396088E-4</v>
      </c>
      <c r="AX79" s="795">
        <f t="shared" si="80"/>
        <v>28854.613386308069</v>
      </c>
      <c r="AY79" s="786">
        <f t="shared" si="81"/>
        <v>268107.9516638057</v>
      </c>
      <c r="AZ79" s="787">
        <f t="shared" si="54"/>
        <v>21.398990475201987</v>
      </c>
      <c r="BA79" s="797">
        <f t="shared" si="58"/>
        <v>1987582.3138916218</v>
      </c>
      <c r="BB79" s="775">
        <v>1507544</v>
      </c>
      <c r="BC79" s="775">
        <f t="shared" si="82"/>
        <v>0</v>
      </c>
      <c r="BD79" s="775">
        <f t="shared" si="83"/>
        <v>480038.31389162177</v>
      </c>
      <c r="BE79" s="798">
        <f t="shared" si="84"/>
        <v>7.469400833490195E-4</v>
      </c>
      <c r="BF79" s="775">
        <f t="shared" si="85"/>
        <v>-988.86060407113337</v>
      </c>
      <c r="BG79" s="797">
        <f t="shared" si="86"/>
        <v>1986593.4532875507</v>
      </c>
      <c r="BH79" s="799">
        <v>6.5</v>
      </c>
      <c r="BI79" s="692">
        <f t="shared" si="95"/>
        <v>0</v>
      </c>
      <c r="BJ79" s="800">
        <v>1200</v>
      </c>
      <c r="BK79" s="778">
        <f t="shared" si="87"/>
        <v>0</v>
      </c>
      <c r="BL79" s="786">
        <f t="shared" si="94"/>
        <v>1986593.4532875507</v>
      </c>
      <c r="BM79" s="692">
        <f t="shared" si="88"/>
        <v>1986593.4532875507</v>
      </c>
      <c r="BN79" s="801">
        <f t="shared" si="89"/>
        <v>9.706797554637996E-4</v>
      </c>
      <c r="BO79" s="787">
        <f t="shared" si="90"/>
        <v>4797.9062335288181</v>
      </c>
      <c r="BP79" s="802">
        <f t="shared" si="91"/>
        <v>1991391</v>
      </c>
      <c r="BQ79" s="803">
        <f t="shared" si="55"/>
        <v>158.94253332269136</v>
      </c>
      <c r="BR79" s="682"/>
      <c r="BS79" s="618"/>
    </row>
    <row r="80" spans="1:71" ht="15.75">
      <c r="A80" s="805" t="s">
        <v>3575</v>
      </c>
      <c r="B80" s="767" t="s">
        <v>3576</v>
      </c>
      <c r="C80" s="768">
        <v>37848</v>
      </c>
      <c r="D80" s="769">
        <v>0</v>
      </c>
      <c r="E80" s="770">
        <v>0</v>
      </c>
      <c r="F80" s="771">
        <v>0</v>
      </c>
      <c r="G80" s="770">
        <f>C80/($C$10+$C$60+$C$62+$C$67+$C$74+$C$80+$C$94+$C$105+$C$127+$C$141+$C$168+$C$175+$C$201+$C$219+$C$237+$C$255+$C$265+$C$267+$C$268+$C$273+$C$281)*$G$7</f>
        <v>2324357.762725756</v>
      </c>
      <c r="H80" s="771">
        <v>0</v>
      </c>
      <c r="I80" s="770">
        <f t="shared" si="92"/>
        <v>2324357.762725756</v>
      </c>
      <c r="J80" s="772">
        <f t="shared" si="59"/>
        <v>61.412961390978545</v>
      </c>
      <c r="K80" s="773">
        <v>22027</v>
      </c>
      <c r="L80" s="774">
        <f t="shared" si="60"/>
        <v>7.9496351078868731E-3</v>
      </c>
      <c r="M80" s="775">
        <f t="shared" si="93"/>
        <v>667149.59550948651</v>
      </c>
      <c r="N80" s="806">
        <v>11722</v>
      </c>
      <c r="O80" s="777">
        <f t="shared" si="61"/>
        <v>1.3330801064917431E-2</v>
      </c>
      <c r="P80" s="778">
        <f t="shared" si="62"/>
        <v>1118748.0202020432</v>
      </c>
      <c r="Q80" s="786">
        <f t="shared" si="48"/>
        <v>1785897.6157115297</v>
      </c>
      <c r="R80" s="692">
        <f t="shared" si="49"/>
        <v>47.186049876123697</v>
      </c>
      <c r="S80" s="807">
        <v>138964859.63000005</v>
      </c>
      <c r="T80" s="782">
        <f t="shared" si="56"/>
        <v>10.308153498762321</v>
      </c>
      <c r="U80" s="777">
        <f t="shared" si="63"/>
        <v>5.6032308751619931E-3</v>
      </c>
      <c r="V80" s="783">
        <f t="shared" si="50"/>
        <v>3671.6566167300798</v>
      </c>
      <c r="W80" s="778">
        <f t="shared" si="64"/>
        <v>2233614.1867642538</v>
      </c>
      <c r="X80" s="784">
        <v>52646065.5902</v>
      </c>
      <c r="Y80" s="782">
        <f t="shared" si="57"/>
        <v>27.209461674694506</v>
      </c>
      <c r="Z80" s="782">
        <f t="shared" si="65"/>
        <v>4.2011829700008847E-3</v>
      </c>
      <c r="AA80" s="783">
        <f t="shared" si="51"/>
        <v>1390.9867255918409</v>
      </c>
      <c r="AB80" s="692">
        <f t="shared" si="66"/>
        <v>987201.16671605257</v>
      </c>
      <c r="AC80" s="786">
        <f t="shared" si="67"/>
        <v>3220815.3534803065</v>
      </c>
      <c r="AD80" s="787">
        <f t="shared" si="52"/>
        <v>85.098693549997535</v>
      </c>
      <c r="AE80" s="788">
        <v>7923.6334999999999</v>
      </c>
      <c r="AF80" s="774">
        <f t="shared" si="68"/>
        <v>8.2413335791534665E-3</v>
      </c>
      <c r="AG80" s="692">
        <f t="shared" si="69"/>
        <v>1037444.2894245905</v>
      </c>
      <c r="AH80" s="786">
        <f t="shared" si="70"/>
        <v>1037444.2894245905</v>
      </c>
      <c r="AI80" s="692">
        <f t="shared" si="53"/>
        <v>27.410808746158068</v>
      </c>
      <c r="AJ80" s="789">
        <v>4379</v>
      </c>
      <c r="AK80" s="777">
        <f t="shared" si="71"/>
        <v>5.8209244888247288E-3</v>
      </c>
      <c r="AL80" s="692">
        <f t="shared" si="72"/>
        <v>122125.96444703211</v>
      </c>
      <c r="AM80" s="790">
        <v>16.666666666666668</v>
      </c>
      <c r="AN80" s="791">
        <f t="shared" si="73"/>
        <v>2.4067388688327304E-3</v>
      </c>
      <c r="AO80" s="778">
        <f t="shared" si="74"/>
        <v>151483.82671480137</v>
      </c>
      <c r="AP80" s="768">
        <v>412</v>
      </c>
      <c r="AQ80" s="792">
        <f t="shared" si="75"/>
        <v>5.5686963573697368E-3</v>
      </c>
      <c r="AR80" s="793">
        <f t="shared" si="76"/>
        <v>467336.35845103738</v>
      </c>
      <c r="AS80" s="794">
        <v>197.72222222222226</v>
      </c>
      <c r="AT80" s="791">
        <f t="shared" si="77"/>
        <v>7.9296381086064061E-3</v>
      </c>
      <c r="AU80" s="795">
        <f t="shared" si="78"/>
        <v>665471.40653599112</v>
      </c>
      <c r="AV80" s="796">
        <v>484</v>
      </c>
      <c r="AW80" s="791">
        <f t="shared" si="79"/>
        <v>6.1634066829665849E-3</v>
      </c>
      <c r="AX80" s="795">
        <f t="shared" si="80"/>
        <v>387934.24663814181</v>
      </c>
      <c r="AY80" s="786">
        <f t="shared" si="81"/>
        <v>1794351.802787004</v>
      </c>
      <c r="AZ80" s="787">
        <f t="shared" si="54"/>
        <v>47.409421971755549</v>
      </c>
      <c r="BA80" s="797">
        <f t="shared" si="58"/>
        <v>10162866.824129187</v>
      </c>
      <c r="BB80" s="775">
        <v>6347409</v>
      </c>
      <c r="BC80" s="775">
        <f t="shared" si="82"/>
        <v>0</v>
      </c>
      <c r="BD80" s="775">
        <f t="shared" si="83"/>
        <v>3815457.8241291866</v>
      </c>
      <c r="BE80" s="798">
        <f t="shared" si="84"/>
        <v>5.9368560856439241E-3</v>
      </c>
      <c r="BF80" s="775">
        <f t="shared" si="85"/>
        <v>-7859.6974857888936</v>
      </c>
      <c r="BG80" s="797">
        <f t="shared" si="86"/>
        <v>10155007.126643397</v>
      </c>
      <c r="BH80" s="799">
        <v>7</v>
      </c>
      <c r="BI80" s="692">
        <f t="shared" si="95"/>
        <v>0</v>
      </c>
      <c r="BJ80" s="800">
        <v>1170</v>
      </c>
      <c r="BK80" s="778">
        <f t="shared" si="87"/>
        <v>0</v>
      </c>
      <c r="BL80" s="786">
        <f t="shared" si="94"/>
        <v>10155007.126643397</v>
      </c>
      <c r="BM80" s="692">
        <f t="shared" si="88"/>
        <v>10155007.126643397</v>
      </c>
      <c r="BN80" s="801">
        <f t="shared" si="89"/>
        <v>4.961890827794125E-3</v>
      </c>
      <c r="BO80" s="787">
        <f t="shared" si="90"/>
        <v>24525.78906560985</v>
      </c>
      <c r="BP80" s="802">
        <f t="shared" si="91"/>
        <v>10179533</v>
      </c>
      <c r="BQ80" s="803">
        <f t="shared" si="55"/>
        <v>268.95828049038261</v>
      </c>
      <c r="BR80" s="682"/>
      <c r="BS80" s="618"/>
    </row>
    <row r="81" spans="1:71" ht="15.75">
      <c r="A81" s="766" t="s">
        <v>3577</v>
      </c>
      <c r="B81" s="767" t="s">
        <v>3578</v>
      </c>
      <c r="C81" s="768">
        <v>5947</v>
      </c>
      <c r="D81" s="769">
        <v>0</v>
      </c>
      <c r="E81" s="770">
        <v>0</v>
      </c>
      <c r="F81" s="771">
        <v>0</v>
      </c>
      <c r="G81" s="770">
        <v>0</v>
      </c>
      <c r="H81" s="771">
        <v>0</v>
      </c>
      <c r="I81" s="770">
        <f t="shared" si="92"/>
        <v>0</v>
      </c>
      <c r="J81" s="772">
        <f t="shared" si="59"/>
        <v>0</v>
      </c>
      <c r="K81" s="773">
        <v>1365</v>
      </c>
      <c r="L81" s="774">
        <f t="shared" si="60"/>
        <v>4.926341273103729E-4</v>
      </c>
      <c r="M81" s="775">
        <f t="shared" si="93"/>
        <v>41342.860937506208</v>
      </c>
      <c r="N81" s="806">
        <v>36</v>
      </c>
      <c r="O81" s="777">
        <f t="shared" si="61"/>
        <v>4.0940866604421386E-5</v>
      </c>
      <c r="P81" s="778">
        <f t="shared" si="62"/>
        <v>3435.8410448109157</v>
      </c>
      <c r="Q81" s="786">
        <f t="shared" si="48"/>
        <v>44778.701982317121</v>
      </c>
      <c r="R81" s="692">
        <f t="shared" si="49"/>
        <v>7.5296287173897971</v>
      </c>
      <c r="S81" s="807">
        <v>18633148.490000002</v>
      </c>
      <c r="T81" s="782">
        <f t="shared" si="56"/>
        <v>1.8980586678081046</v>
      </c>
      <c r="U81" s="777">
        <f t="shared" si="63"/>
        <v>1.0317328832567508E-3</v>
      </c>
      <c r="V81" s="783">
        <f t="shared" si="50"/>
        <v>3133.2013603497567</v>
      </c>
      <c r="W81" s="778">
        <f t="shared" si="64"/>
        <v>411279.35941544478</v>
      </c>
      <c r="X81" s="784">
        <v>4581102.6080999998</v>
      </c>
      <c r="Y81" s="782">
        <f t="shared" si="57"/>
        <v>7.7201521174109411</v>
      </c>
      <c r="Z81" s="782">
        <f t="shared" si="65"/>
        <v>1.1920034284120863E-3</v>
      </c>
      <c r="AA81" s="783">
        <f t="shared" si="51"/>
        <v>770.3216088952413</v>
      </c>
      <c r="AB81" s="692">
        <f t="shared" si="66"/>
        <v>280099.00631814147</v>
      </c>
      <c r="AC81" s="786">
        <f t="shared" si="67"/>
        <v>691378.36573358625</v>
      </c>
      <c r="AD81" s="787">
        <f t="shared" si="52"/>
        <v>116.25666146520703</v>
      </c>
      <c r="AE81" s="788">
        <v>2999.1522</v>
      </c>
      <c r="AF81" s="774">
        <f t="shared" si="68"/>
        <v>3.119403962191335E-3</v>
      </c>
      <c r="AG81" s="692">
        <f t="shared" si="69"/>
        <v>392680.11613676959</v>
      </c>
      <c r="AH81" s="786">
        <f t="shared" si="70"/>
        <v>392680.11613676959</v>
      </c>
      <c r="AI81" s="692">
        <f t="shared" si="53"/>
        <v>66.029950586307308</v>
      </c>
      <c r="AJ81" s="789">
        <v>764</v>
      </c>
      <c r="AK81" s="777">
        <f t="shared" si="71"/>
        <v>1.0155712056319007E-3</v>
      </c>
      <c r="AL81" s="692">
        <f t="shared" si="72"/>
        <v>21307.201835472148</v>
      </c>
      <c r="AM81" s="790">
        <v>2.3333333333333335</v>
      </c>
      <c r="AN81" s="791">
        <f t="shared" si="73"/>
        <v>3.3694344163658226E-4</v>
      </c>
      <c r="AO81" s="778">
        <f t="shared" si="74"/>
        <v>21207.735740072192</v>
      </c>
      <c r="AP81" s="768">
        <v>59</v>
      </c>
      <c r="AQ81" s="792">
        <f t="shared" si="75"/>
        <v>7.9745894438061767E-4</v>
      </c>
      <c r="AR81" s="793">
        <f t="shared" si="76"/>
        <v>66924.38142866797</v>
      </c>
      <c r="AS81" s="794">
        <v>6.25</v>
      </c>
      <c r="AT81" s="791">
        <f t="shared" si="77"/>
        <v>2.5065588289357137E-4</v>
      </c>
      <c r="AU81" s="795">
        <f t="shared" si="78"/>
        <v>21035.553030429612</v>
      </c>
      <c r="AV81" s="796">
        <v>6</v>
      </c>
      <c r="AW81" s="791">
        <f t="shared" si="79"/>
        <v>7.6405867970660146E-5</v>
      </c>
      <c r="AX81" s="795">
        <f t="shared" si="80"/>
        <v>4809.1022310513445</v>
      </c>
      <c r="AY81" s="786">
        <f t="shared" si="81"/>
        <v>135283.97426569328</v>
      </c>
      <c r="AZ81" s="787">
        <f t="shared" si="54"/>
        <v>22.748272114628094</v>
      </c>
      <c r="BA81" s="797">
        <f t="shared" si="58"/>
        <v>1264121.1581183663</v>
      </c>
      <c r="BB81" s="775">
        <v>761335</v>
      </c>
      <c r="BC81" s="775">
        <f t="shared" si="82"/>
        <v>0</v>
      </c>
      <c r="BD81" s="775">
        <f t="shared" si="83"/>
        <v>502786.15811836626</v>
      </c>
      <c r="BE81" s="798">
        <f t="shared" si="84"/>
        <v>7.8233575109268034E-4</v>
      </c>
      <c r="BF81" s="775">
        <f t="shared" si="85"/>
        <v>-1035.7202949175044</v>
      </c>
      <c r="BG81" s="797">
        <f t="shared" si="86"/>
        <v>1263085.4378234488</v>
      </c>
      <c r="BH81" s="799">
        <v>8</v>
      </c>
      <c r="BI81" s="692">
        <f t="shared" si="95"/>
        <v>0</v>
      </c>
      <c r="BJ81" s="800">
        <v>1500</v>
      </c>
      <c r="BK81" s="778">
        <f t="shared" si="87"/>
        <v>0</v>
      </c>
      <c r="BL81" s="786">
        <f t="shared" si="94"/>
        <v>1263085.4378234488</v>
      </c>
      <c r="BM81" s="692">
        <f t="shared" si="88"/>
        <v>1263085.4378234488</v>
      </c>
      <c r="BN81" s="801">
        <f t="shared" si="89"/>
        <v>6.1716274252660887E-4</v>
      </c>
      <c r="BO81" s="787">
        <f t="shared" si="90"/>
        <v>3050.5312929446259</v>
      </c>
      <c r="BP81" s="802">
        <f t="shared" si="91"/>
        <v>1266136</v>
      </c>
      <c r="BQ81" s="803">
        <f t="shared" si="55"/>
        <v>212.90331259458551</v>
      </c>
      <c r="BR81" s="682"/>
      <c r="BS81" s="618"/>
    </row>
    <row r="82" spans="1:71" ht="15.75">
      <c r="A82" s="766" t="s">
        <v>3579</v>
      </c>
      <c r="B82" s="767" t="s">
        <v>3580</v>
      </c>
      <c r="C82" s="768">
        <v>65264</v>
      </c>
      <c r="D82" s="769">
        <v>0</v>
      </c>
      <c r="E82" s="770">
        <f>C82/($C$8+$C$149+$C$165+$C$99+$C$82+$C$188+$C$213+$C$236+$C$253+$C$271)*$E$7</f>
        <v>11783310.587116411</v>
      </c>
      <c r="F82" s="771">
        <v>0</v>
      </c>
      <c r="G82" s="770">
        <v>0</v>
      </c>
      <c r="H82" s="771">
        <v>0</v>
      </c>
      <c r="I82" s="770">
        <f t="shared" si="92"/>
        <v>11783310.587116411</v>
      </c>
      <c r="J82" s="772">
        <f t="shared" si="59"/>
        <v>180.5483970813375</v>
      </c>
      <c r="K82" s="773">
        <v>40079</v>
      </c>
      <c r="L82" s="774">
        <f t="shared" si="60"/>
        <v>1.4464676328551234E-2</v>
      </c>
      <c r="M82" s="775">
        <f t="shared" si="93"/>
        <v>1213905.1454317297</v>
      </c>
      <c r="N82" s="806">
        <v>10082</v>
      </c>
      <c r="O82" s="777">
        <f t="shared" si="61"/>
        <v>1.1465717141827123E-2</v>
      </c>
      <c r="P82" s="778">
        <f t="shared" si="62"/>
        <v>962226.37260510155</v>
      </c>
      <c r="Q82" s="786">
        <f t="shared" si="48"/>
        <v>2176131.5180368312</v>
      </c>
      <c r="R82" s="692">
        <f t="shared" si="49"/>
        <v>33.34352044062318</v>
      </c>
      <c r="S82" s="781">
        <v>168186861.19999999</v>
      </c>
      <c r="T82" s="782">
        <f t="shared" si="56"/>
        <v>25.325341501765301</v>
      </c>
      <c r="U82" s="777">
        <f t="shared" si="63"/>
        <v>1.3766164371121445E-2</v>
      </c>
      <c r="V82" s="783">
        <f t="shared" si="50"/>
        <v>2577.0234922775189</v>
      </c>
      <c r="W82" s="778">
        <f t="shared" si="64"/>
        <v>5487601.8357491866</v>
      </c>
      <c r="X82" s="784">
        <v>119832274.55060001</v>
      </c>
      <c r="Y82" s="782">
        <f t="shared" si="57"/>
        <v>35.544595243424538</v>
      </c>
      <c r="Z82" s="782">
        <f t="shared" si="65"/>
        <v>5.4881404857461671E-3</v>
      </c>
      <c r="AA82" s="783">
        <f t="shared" si="51"/>
        <v>1836.1159988753373</v>
      </c>
      <c r="AB82" s="692">
        <f t="shared" si="66"/>
        <v>1289612.6470371459</v>
      </c>
      <c r="AC82" s="786">
        <f t="shared" si="67"/>
        <v>6777214.4827863323</v>
      </c>
      <c r="AD82" s="787">
        <f t="shared" si="52"/>
        <v>103.84307555139637</v>
      </c>
      <c r="AE82" s="788">
        <v>4200.6126999999997</v>
      </c>
      <c r="AF82" s="774">
        <f t="shared" si="68"/>
        <v>4.3690373232846405E-3</v>
      </c>
      <c r="AG82" s="692">
        <f t="shared" si="69"/>
        <v>549987.78750927979</v>
      </c>
      <c r="AH82" s="786">
        <f t="shared" si="70"/>
        <v>549987.78750927979</v>
      </c>
      <c r="AI82" s="692">
        <f t="shared" si="53"/>
        <v>8.4271234908874693</v>
      </c>
      <c r="AJ82" s="789">
        <v>11069</v>
      </c>
      <c r="AK82" s="777">
        <f t="shared" si="71"/>
        <v>1.471381894651768E-2</v>
      </c>
      <c r="AL82" s="692">
        <f t="shared" si="72"/>
        <v>308703.42554560368</v>
      </c>
      <c r="AM82" s="790">
        <v>132.66666666666666</v>
      </c>
      <c r="AN82" s="791">
        <f t="shared" si="73"/>
        <v>1.9157641395908531E-2</v>
      </c>
      <c r="AO82" s="778">
        <f t="shared" si="74"/>
        <v>1205811.2606498187</v>
      </c>
      <c r="AP82" s="768">
        <v>1476</v>
      </c>
      <c r="AQ82" s="792">
        <f t="shared" si="75"/>
        <v>1.994998986281003E-2</v>
      </c>
      <c r="AR82" s="793">
        <f t="shared" si="76"/>
        <v>1674243.8472663378</v>
      </c>
      <c r="AS82" s="794">
        <v>191.86111111111109</v>
      </c>
      <c r="AT82" s="791">
        <f t="shared" si="77"/>
        <v>7.6945785917595438E-3</v>
      </c>
      <c r="AU82" s="795">
        <f t="shared" si="78"/>
        <v>645744.73236078816</v>
      </c>
      <c r="AV82" s="796">
        <v>2052</v>
      </c>
      <c r="AW82" s="791">
        <f t="shared" si="79"/>
        <v>2.6130806845965769E-2</v>
      </c>
      <c r="AX82" s="795">
        <f t="shared" si="80"/>
        <v>1644712.9630195599</v>
      </c>
      <c r="AY82" s="786">
        <f t="shared" si="81"/>
        <v>5479216.2288421085</v>
      </c>
      <c r="AZ82" s="787">
        <f t="shared" si="54"/>
        <v>83.954649252912915</v>
      </c>
      <c r="BA82" s="797">
        <f t="shared" si="58"/>
        <v>26765860.604290966</v>
      </c>
      <c r="BB82" s="775">
        <v>16698832</v>
      </c>
      <c r="BC82" s="775">
        <f t="shared" si="82"/>
        <v>0</v>
      </c>
      <c r="BD82" s="775">
        <f t="shared" si="83"/>
        <v>10067028.604290966</v>
      </c>
      <c r="BE82" s="798">
        <f t="shared" si="84"/>
        <v>1.5664306300483606E-2</v>
      </c>
      <c r="BF82" s="775">
        <f t="shared" si="85"/>
        <v>-20737.694677196243</v>
      </c>
      <c r="BG82" s="797">
        <f t="shared" si="86"/>
        <v>26745122.90961377</v>
      </c>
      <c r="BH82" s="799">
        <v>7</v>
      </c>
      <c r="BI82" s="692">
        <f t="shared" si="95"/>
        <v>0</v>
      </c>
      <c r="BJ82" s="800">
        <v>1190</v>
      </c>
      <c r="BK82" s="778">
        <f t="shared" si="87"/>
        <v>0</v>
      </c>
      <c r="BL82" s="786">
        <f t="shared" si="94"/>
        <v>26745122.90961377</v>
      </c>
      <c r="BM82" s="692">
        <f t="shared" si="88"/>
        <v>26745122.90961377</v>
      </c>
      <c r="BN82" s="801">
        <f t="shared" si="89"/>
        <v>1.3068073552135795E-2</v>
      </c>
      <c r="BO82" s="787">
        <f t="shared" si="90"/>
        <v>64593.282391108565</v>
      </c>
      <c r="BP82" s="802">
        <f t="shared" si="91"/>
        <v>26809716</v>
      </c>
      <c r="BQ82" s="803">
        <f t="shared" si="55"/>
        <v>410.78873498406472</v>
      </c>
      <c r="BR82" s="682"/>
      <c r="BS82" s="618"/>
    </row>
    <row r="83" spans="1:71" ht="15.75">
      <c r="A83" s="766" t="s">
        <v>3581</v>
      </c>
      <c r="B83" s="767" t="s">
        <v>3582</v>
      </c>
      <c r="C83" s="768">
        <v>248242</v>
      </c>
      <c r="D83" s="769">
        <f>C83/($C$15+$C$83)*$D$7</f>
        <v>208095019.35496759</v>
      </c>
      <c r="E83" s="770">
        <v>0</v>
      </c>
      <c r="F83" s="771">
        <v>0</v>
      </c>
      <c r="G83" s="770">
        <v>0</v>
      </c>
      <c r="H83" s="771">
        <v>0</v>
      </c>
      <c r="I83" s="770">
        <f t="shared" si="92"/>
        <v>208095019.35496759</v>
      </c>
      <c r="J83" s="772">
        <f t="shared" si="59"/>
        <v>838.27482599627615</v>
      </c>
      <c r="K83" s="773">
        <v>170725</v>
      </c>
      <c r="L83" s="774">
        <f t="shared" si="60"/>
        <v>6.1615356326053777E-2</v>
      </c>
      <c r="M83" s="775">
        <f t="shared" si="93"/>
        <v>5170886.3982093381</v>
      </c>
      <c r="N83" s="806">
        <v>113552.5</v>
      </c>
      <c r="O83" s="777">
        <f t="shared" si="61"/>
        <v>0.12913715986384888</v>
      </c>
      <c r="P83" s="778">
        <f t="shared" si="62"/>
        <v>10837453.89558032</v>
      </c>
      <c r="Q83" s="786">
        <f t="shared" si="48"/>
        <v>16008340.293789659</v>
      </c>
      <c r="R83" s="692">
        <f t="shared" si="49"/>
        <v>64.486832581874381</v>
      </c>
      <c r="S83" s="807">
        <v>890792293.12</v>
      </c>
      <c r="T83" s="782">
        <f t="shared" si="56"/>
        <v>69.178966903902619</v>
      </c>
      <c r="U83" s="777">
        <f t="shared" si="63"/>
        <v>3.7603798130702873E-2</v>
      </c>
      <c r="V83" s="783">
        <f t="shared" si="50"/>
        <v>3588.4028211181026</v>
      </c>
      <c r="W83" s="778">
        <f t="shared" si="64"/>
        <v>14989990.391664665</v>
      </c>
      <c r="X83" s="784">
        <v>312836766.20749998</v>
      </c>
      <c r="Y83" s="782">
        <f t="shared" si="57"/>
        <v>196.98480875846178</v>
      </c>
      <c r="Z83" s="782">
        <f t="shared" si="65"/>
        <v>3.0414759167197755E-2</v>
      </c>
      <c r="AA83" s="783">
        <f t="shared" si="51"/>
        <v>1260.2088534877257</v>
      </c>
      <c r="AB83" s="692">
        <f t="shared" si="66"/>
        <v>7146912.179175823</v>
      </c>
      <c r="AC83" s="786">
        <f t="shared" si="67"/>
        <v>22136902.570840489</v>
      </c>
      <c r="AD83" s="787">
        <f t="shared" si="52"/>
        <v>89.1746866800964</v>
      </c>
      <c r="AE83" s="788">
        <v>5637.3975</v>
      </c>
      <c r="AF83" s="774">
        <f t="shared" si="68"/>
        <v>5.8634303714054682E-3</v>
      </c>
      <c r="AG83" s="692">
        <f t="shared" si="69"/>
        <v>738106.55724945688</v>
      </c>
      <c r="AH83" s="786">
        <f t="shared" si="70"/>
        <v>738106.55724945688</v>
      </c>
      <c r="AI83" s="692">
        <f t="shared" si="53"/>
        <v>2.9733347187400074</v>
      </c>
      <c r="AJ83" s="789">
        <v>31995</v>
      </c>
      <c r="AK83" s="777">
        <f t="shared" si="71"/>
        <v>4.2530367440042752E-2</v>
      </c>
      <c r="AL83" s="692">
        <f t="shared" si="72"/>
        <v>892308.79937949136</v>
      </c>
      <c r="AM83" s="790">
        <v>609</v>
      </c>
      <c r="AN83" s="791">
        <f t="shared" si="73"/>
        <v>8.7942238267147962E-2</v>
      </c>
      <c r="AO83" s="778">
        <f t="shared" si="74"/>
        <v>5535219.0281588417</v>
      </c>
      <c r="AP83" s="768">
        <v>4315</v>
      </c>
      <c r="AQ83" s="792">
        <f t="shared" si="75"/>
        <v>5.8322632966141784E-2</v>
      </c>
      <c r="AR83" s="793">
        <f t="shared" si="76"/>
        <v>4894554.3366898699</v>
      </c>
      <c r="AS83" s="794">
        <v>4342.4722222222217</v>
      </c>
      <c r="AT83" s="791">
        <f t="shared" si="77"/>
        <v>0.17415459340830719</v>
      </c>
      <c r="AU83" s="795">
        <f t="shared" si="78"/>
        <v>14615408.754195692</v>
      </c>
      <c r="AV83" s="796">
        <v>11489</v>
      </c>
      <c r="AW83" s="791">
        <f t="shared" si="79"/>
        <v>0.14630450285248572</v>
      </c>
      <c r="AX83" s="795">
        <f t="shared" si="80"/>
        <v>9208629.2554248162</v>
      </c>
      <c r="AY83" s="786">
        <f t="shared" si="81"/>
        <v>35146120.173848711</v>
      </c>
      <c r="AZ83" s="787">
        <f t="shared" si="54"/>
        <v>141.58007176001124</v>
      </c>
      <c r="BA83" s="797">
        <f t="shared" si="58"/>
        <v>282124488.95069587</v>
      </c>
      <c r="BB83" s="775">
        <v>199485208</v>
      </c>
      <c r="BC83" s="775">
        <f t="shared" si="82"/>
        <v>0</v>
      </c>
      <c r="BD83" s="775">
        <f t="shared" si="83"/>
        <v>82639280.950695872</v>
      </c>
      <c r="BE83" s="798">
        <f t="shared" si="84"/>
        <v>0.12858680154257815</v>
      </c>
      <c r="BF83" s="775">
        <f t="shared" si="85"/>
        <v>-170233.76450605324</v>
      </c>
      <c r="BG83" s="797">
        <f t="shared" si="86"/>
        <v>281954255.18618983</v>
      </c>
      <c r="BH83" s="799">
        <v>6.9</v>
      </c>
      <c r="BI83" s="692">
        <f t="shared" si="95"/>
        <v>0</v>
      </c>
      <c r="BJ83" s="800">
        <v>1450</v>
      </c>
      <c r="BK83" s="778">
        <f t="shared" si="87"/>
        <v>0</v>
      </c>
      <c r="BL83" s="786">
        <f t="shared" si="94"/>
        <v>281954255.18618983</v>
      </c>
      <c r="BM83" s="692">
        <f t="shared" si="88"/>
        <v>281954255.18618983</v>
      </c>
      <c r="BN83" s="801">
        <f t="shared" si="89"/>
        <v>0.13776713450011227</v>
      </c>
      <c r="BO83" s="787">
        <f t="shared" si="90"/>
        <v>680959.69826594659</v>
      </c>
      <c r="BP83" s="802">
        <f t="shared" si="91"/>
        <v>282635215</v>
      </c>
      <c r="BQ83" s="803">
        <f t="shared" si="55"/>
        <v>1138.5471233715487</v>
      </c>
      <c r="BR83" s="682"/>
      <c r="BS83" s="618"/>
    </row>
    <row r="84" spans="1:71" ht="15.75">
      <c r="A84" s="805" t="s">
        <v>3583</v>
      </c>
      <c r="B84" s="767" t="s">
        <v>3584</v>
      </c>
      <c r="C84" s="768">
        <v>32629</v>
      </c>
      <c r="D84" s="769">
        <v>0</v>
      </c>
      <c r="E84" s="770">
        <v>0</v>
      </c>
      <c r="F84" s="771">
        <v>0</v>
      </c>
      <c r="G84" s="770">
        <v>0</v>
      </c>
      <c r="H84" s="771">
        <v>0</v>
      </c>
      <c r="I84" s="770">
        <f t="shared" si="92"/>
        <v>0</v>
      </c>
      <c r="J84" s="772">
        <f t="shared" si="59"/>
        <v>0</v>
      </c>
      <c r="K84" s="773">
        <v>9104</v>
      </c>
      <c r="L84" s="774">
        <f t="shared" si="60"/>
        <v>3.2856711318927723E-3</v>
      </c>
      <c r="M84" s="775">
        <f t="shared" si="93"/>
        <v>275740.22415755049</v>
      </c>
      <c r="N84" s="806">
        <v>4081</v>
      </c>
      <c r="O84" s="777">
        <f t="shared" si="61"/>
        <v>4.6411021281289912E-3</v>
      </c>
      <c r="P84" s="778">
        <f t="shared" si="62"/>
        <v>389490.75844092632</v>
      </c>
      <c r="Q84" s="786">
        <f t="shared" si="48"/>
        <v>665230.98259847681</v>
      </c>
      <c r="R84" s="692">
        <f t="shared" si="49"/>
        <v>20.387722044760086</v>
      </c>
      <c r="S84" s="807">
        <v>110281612.09999999</v>
      </c>
      <c r="T84" s="782">
        <f t="shared" si="56"/>
        <v>9.6539361433582087</v>
      </c>
      <c r="U84" s="777">
        <f t="shared" si="63"/>
        <v>5.2476161779897706E-3</v>
      </c>
      <c r="V84" s="783">
        <f t="shared" si="50"/>
        <v>3379.8649085169632</v>
      </c>
      <c r="W84" s="778">
        <f t="shared" si="64"/>
        <v>2091855.6102710471</v>
      </c>
      <c r="X84" s="784">
        <v>21957570.227200001</v>
      </c>
      <c r="Y84" s="782">
        <f t="shared" si="57"/>
        <v>48.486769254694664</v>
      </c>
      <c r="Z84" s="782">
        <f t="shared" si="65"/>
        <v>7.4864321719614749E-3</v>
      </c>
      <c r="AA84" s="783">
        <f t="shared" si="51"/>
        <v>672.94646563486469</v>
      </c>
      <c r="AB84" s="692">
        <f t="shared" si="66"/>
        <v>1759174.6485393858</v>
      </c>
      <c r="AC84" s="786">
        <f t="shared" si="67"/>
        <v>3851030.2588104326</v>
      </c>
      <c r="AD84" s="787">
        <f t="shared" si="52"/>
        <v>118.02477117933228</v>
      </c>
      <c r="AE84" s="788">
        <v>6163.5861000000004</v>
      </c>
      <c r="AF84" s="774">
        <f t="shared" si="68"/>
        <v>6.4107166357370727E-3</v>
      </c>
      <c r="AG84" s="692">
        <f t="shared" si="69"/>
        <v>807000.62689948804</v>
      </c>
      <c r="AH84" s="786">
        <f t="shared" si="70"/>
        <v>807000.62689948804</v>
      </c>
      <c r="AI84" s="692">
        <f t="shared" si="53"/>
        <v>24.732619047457415</v>
      </c>
      <c r="AJ84" s="789">
        <v>4349</v>
      </c>
      <c r="AK84" s="777">
        <f t="shared" si="71"/>
        <v>5.7810460383418008E-3</v>
      </c>
      <c r="AL84" s="692">
        <f t="shared" si="72"/>
        <v>121289.29421789054</v>
      </c>
      <c r="AM84" s="790">
        <v>37.333333333333336</v>
      </c>
      <c r="AN84" s="791">
        <f t="shared" si="73"/>
        <v>5.3910950661853162E-3</v>
      </c>
      <c r="AO84" s="778">
        <f t="shared" si="74"/>
        <v>339323.77184115507</v>
      </c>
      <c r="AP84" s="768">
        <v>388</v>
      </c>
      <c r="AQ84" s="792">
        <f t="shared" si="75"/>
        <v>5.2443062782996557E-3</v>
      </c>
      <c r="AR84" s="793">
        <f t="shared" si="76"/>
        <v>440112.88125971484</v>
      </c>
      <c r="AS84" s="794">
        <v>170.5277777777778</v>
      </c>
      <c r="AT84" s="791">
        <f t="shared" si="77"/>
        <v>6.8390065114828221E-3</v>
      </c>
      <c r="AU84" s="795">
        <f t="shared" si="78"/>
        <v>573943.37801692181</v>
      </c>
      <c r="AV84" s="796">
        <v>167</v>
      </c>
      <c r="AW84" s="791">
        <f t="shared" si="79"/>
        <v>2.1266299918500406E-3</v>
      </c>
      <c r="AX84" s="795">
        <f t="shared" si="80"/>
        <v>133853.3454309291</v>
      </c>
      <c r="AY84" s="786">
        <f t="shared" si="81"/>
        <v>1608522.6707666114</v>
      </c>
      <c r="AZ84" s="787">
        <f t="shared" si="54"/>
        <v>49.297332764308173</v>
      </c>
      <c r="BA84" s="797">
        <f t="shared" si="58"/>
        <v>6931784.5390750095</v>
      </c>
      <c r="BB84" s="775">
        <v>5501143</v>
      </c>
      <c r="BC84" s="775">
        <f t="shared" si="82"/>
        <v>0</v>
      </c>
      <c r="BD84" s="775">
        <f t="shared" si="83"/>
        <v>1430641.5390750095</v>
      </c>
      <c r="BE84" s="798">
        <f t="shared" si="84"/>
        <v>2.2260796263868965E-3</v>
      </c>
      <c r="BF84" s="775">
        <f t="shared" si="85"/>
        <v>-2947.066964447275</v>
      </c>
      <c r="BG84" s="797">
        <f t="shared" si="86"/>
        <v>6928837.472110562</v>
      </c>
      <c r="BH84" s="799">
        <v>8.1999999999999993</v>
      </c>
      <c r="BI84" s="692">
        <f t="shared" si="95"/>
        <v>0</v>
      </c>
      <c r="BJ84" s="800">
        <v>1400</v>
      </c>
      <c r="BK84" s="778">
        <f t="shared" si="87"/>
        <v>0</v>
      </c>
      <c r="BL84" s="786">
        <f t="shared" si="94"/>
        <v>6928837.472110562</v>
      </c>
      <c r="BM84" s="692">
        <f t="shared" si="88"/>
        <v>6928837.472110562</v>
      </c>
      <c r="BN84" s="801">
        <f t="shared" si="89"/>
        <v>3.3855353001121455E-3</v>
      </c>
      <c r="BO84" s="787">
        <f t="shared" si="90"/>
        <v>16734.129694997748</v>
      </c>
      <c r="BP84" s="802">
        <f t="shared" si="91"/>
        <v>6945572</v>
      </c>
      <c r="BQ84" s="803">
        <f t="shared" si="55"/>
        <v>212.8649973949554</v>
      </c>
      <c r="BR84" s="682"/>
      <c r="BS84" s="618"/>
    </row>
    <row r="85" spans="1:71" ht="15.75">
      <c r="A85" s="805" t="s">
        <v>3585</v>
      </c>
      <c r="B85" s="767" t="s">
        <v>3586</v>
      </c>
      <c r="C85" s="768">
        <v>8245</v>
      </c>
      <c r="D85" s="769">
        <v>0</v>
      </c>
      <c r="E85" s="770">
        <v>0</v>
      </c>
      <c r="F85" s="771">
        <v>0</v>
      </c>
      <c r="G85" s="770">
        <v>0</v>
      </c>
      <c r="H85" s="771">
        <v>0</v>
      </c>
      <c r="I85" s="770">
        <f t="shared" si="92"/>
        <v>0</v>
      </c>
      <c r="J85" s="772">
        <f t="shared" si="59"/>
        <v>0</v>
      </c>
      <c r="K85" s="773">
        <v>1919</v>
      </c>
      <c r="L85" s="774">
        <f t="shared" si="60"/>
        <v>6.9257501121509565E-4</v>
      </c>
      <c r="M85" s="775">
        <f t="shared" si="93"/>
        <v>58122.307794193708</v>
      </c>
      <c r="N85" s="806">
        <v>56</v>
      </c>
      <c r="O85" s="777">
        <f t="shared" si="61"/>
        <v>6.3685792495766599E-5</v>
      </c>
      <c r="P85" s="778">
        <f t="shared" si="62"/>
        <v>5344.6416252614245</v>
      </c>
      <c r="Q85" s="786">
        <f t="shared" si="48"/>
        <v>63466.94941945513</v>
      </c>
      <c r="R85" s="692">
        <f t="shared" si="49"/>
        <v>7.6976287955676321</v>
      </c>
      <c r="S85" s="807">
        <v>27400405.069999997</v>
      </c>
      <c r="T85" s="782">
        <f t="shared" si="56"/>
        <v>2.4809861323703419</v>
      </c>
      <c r="U85" s="777">
        <f t="shared" si="63"/>
        <v>1.348596341664428E-3</v>
      </c>
      <c r="V85" s="783">
        <f t="shared" si="50"/>
        <v>3323.2753268647662</v>
      </c>
      <c r="W85" s="778">
        <f t="shared" si="64"/>
        <v>537590.54161282501</v>
      </c>
      <c r="X85" s="784">
        <v>4211489.3207999999</v>
      </c>
      <c r="Y85" s="782">
        <f t="shared" si="57"/>
        <v>16.141564140802984</v>
      </c>
      <c r="Z85" s="782">
        <f t="shared" si="65"/>
        <v>2.4922824710121661E-3</v>
      </c>
      <c r="AA85" s="783">
        <f t="shared" si="51"/>
        <v>510.79312562765313</v>
      </c>
      <c r="AB85" s="692">
        <f t="shared" si="66"/>
        <v>585640.8018260292</v>
      </c>
      <c r="AC85" s="786">
        <f t="shared" si="67"/>
        <v>1123231.3434388542</v>
      </c>
      <c r="AD85" s="787">
        <f t="shared" si="52"/>
        <v>136.23181848864212</v>
      </c>
      <c r="AE85" s="788">
        <v>4977.9156000000003</v>
      </c>
      <c r="AF85" s="774">
        <f t="shared" si="68"/>
        <v>5.1775063786672973E-3</v>
      </c>
      <c r="AG85" s="692">
        <f t="shared" si="69"/>
        <v>651760.34611615806</v>
      </c>
      <c r="AH85" s="786">
        <f t="shared" si="70"/>
        <v>651760.34611615806</v>
      </c>
      <c r="AI85" s="692">
        <f t="shared" si="53"/>
        <v>79.04916265811498</v>
      </c>
      <c r="AJ85" s="789">
        <v>1091</v>
      </c>
      <c r="AK85" s="777">
        <f t="shared" si="71"/>
        <v>1.4502463158958163E-3</v>
      </c>
      <c r="AL85" s="692">
        <f t="shared" si="72"/>
        <v>30426.907333115334</v>
      </c>
      <c r="AM85" s="790">
        <v>2.6666666666666665</v>
      </c>
      <c r="AN85" s="791">
        <f t="shared" si="73"/>
        <v>3.8507821901323682E-4</v>
      </c>
      <c r="AO85" s="778">
        <f t="shared" si="74"/>
        <v>24237.412274368216</v>
      </c>
      <c r="AP85" s="768">
        <v>88</v>
      </c>
      <c r="AQ85" s="792">
        <f t="shared" si="75"/>
        <v>1.1894302899236331E-3</v>
      </c>
      <c r="AR85" s="793">
        <f t="shared" si="76"/>
        <v>99819.416368182734</v>
      </c>
      <c r="AS85" s="794">
        <v>17.027777777777775</v>
      </c>
      <c r="AT85" s="791">
        <f t="shared" si="77"/>
        <v>6.8289802761670767E-4</v>
      </c>
      <c r="AU85" s="795">
        <f t="shared" si="78"/>
        <v>57310.195589570445</v>
      </c>
      <c r="AV85" s="796">
        <v>90</v>
      </c>
      <c r="AW85" s="791">
        <f t="shared" si="79"/>
        <v>1.1460880195599023E-3</v>
      </c>
      <c r="AX85" s="795">
        <f t="shared" si="80"/>
        <v>72136.533465770175</v>
      </c>
      <c r="AY85" s="786">
        <f t="shared" si="81"/>
        <v>283930.4650310069</v>
      </c>
      <c r="AZ85" s="787">
        <f t="shared" si="54"/>
        <v>34.436684661128794</v>
      </c>
      <c r="BA85" s="797">
        <f t="shared" si="58"/>
        <v>2122389.1040054741</v>
      </c>
      <c r="BB85" s="775">
        <v>1256589</v>
      </c>
      <c r="BC85" s="775">
        <f t="shared" si="82"/>
        <v>0</v>
      </c>
      <c r="BD85" s="775">
        <f t="shared" si="83"/>
        <v>865800.10400547413</v>
      </c>
      <c r="BE85" s="798">
        <f t="shared" si="84"/>
        <v>1.3471858039969789E-3</v>
      </c>
      <c r="BF85" s="775">
        <f t="shared" si="85"/>
        <v>-1783.5151675934715</v>
      </c>
      <c r="BG85" s="797">
        <f t="shared" si="86"/>
        <v>2120605.5888378806</v>
      </c>
      <c r="BH85" s="799">
        <v>8</v>
      </c>
      <c r="BI85" s="692">
        <f t="shared" si="95"/>
        <v>0</v>
      </c>
      <c r="BJ85" s="800">
        <v>1650</v>
      </c>
      <c r="BK85" s="778">
        <f t="shared" si="87"/>
        <v>0</v>
      </c>
      <c r="BL85" s="786">
        <f t="shared" si="94"/>
        <v>2120605.5888378806</v>
      </c>
      <c r="BM85" s="692">
        <f t="shared" si="88"/>
        <v>2120605.5888378806</v>
      </c>
      <c r="BN85" s="801">
        <f t="shared" si="89"/>
        <v>1.0361601217410094E-3</v>
      </c>
      <c r="BO85" s="787">
        <f t="shared" si="90"/>
        <v>5121.564634527469</v>
      </c>
      <c r="BP85" s="802">
        <f t="shared" si="91"/>
        <v>2125727</v>
      </c>
      <c r="BQ85" s="803">
        <f t="shared" si="55"/>
        <v>257.82013341419042</v>
      </c>
      <c r="BR85" s="682"/>
      <c r="BS85" s="618"/>
    </row>
    <row r="86" spans="1:71" ht="15.75">
      <c r="A86" s="805" t="s">
        <v>3587</v>
      </c>
      <c r="B86" s="767" t="s">
        <v>3588</v>
      </c>
      <c r="C86" s="768">
        <v>11792</v>
      </c>
      <c r="D86" s="769">
        <v>0</v>
      </c>
      <c r="E86" s="770">
        <v>0</v>
      </c>
      <c r="F86" s="771">
        <v>0</v>
      </c>
      <c r="G86" s="770">
        <v>0</v>
      </c>
      <c r="H86" s="771">
        <v>0</v>
      </c>
      <c r="I86" s="770">
        <f t="shared" si="92"/>
        <v>0</v>
      </c>
      <c r="J86" s="772">
        <f t="shared" si="59"/>
        <v>0</v>
      </c>
      <c r="K86" s="773">
        <v>3338</v>
      </c>
      <c r="L86" s="774">
        <f t="shared" si="60"/>
        <v>1.2046979611443403E-3</v>
      </c>
      <c r="M86" s="775">
        <f t="shared" si="93"/>
        <v>101100.71048307378</v>
      </c>
      <c r="N86" s="806">
        <v>1618.5</v>
      </c>
      <c r="O86" s="777">
        <f t="shared" si="61"/>
        <v>1.8406331277571115E-3</v>
      </c>
      <c r="P86" s="778">
        <f t="shared" si="62"/>
        <v>154469.68697295742</v>
      </c>
      <c r="Q86" s="786">
        <f t="shared" si="48"/>
        <v>255570.39745603121</v>
      </c>
      <c r="R86" s="692">
        <f t="shared" si="49"/>
        <v>21.673201955226528</v>
      </c>
      <c r="S86" s="807">
        <v>37118292.200000003</v>
      </c>
      <c r="T86" s="782">
        <f t="shared" si="56"/>
        <v>3.7461654553169339</v>
      </c>
      <c r="U86" s="777">
        <f t="shared" si="63"/>
        <v>2.0363132878470844E-3</v>
      </c>
      <c r="V86" s="783">
        <f t="shared" si="50"/>
        <v>3147.7520522388063</v>
      </c>
      <c r="W86" s="778">
        <f t="shared" si="64"/>
        <v>811734.93467736396</v>
      </c>
      <c r="X86" s="784">
        <v>7934557.1713000005</v>
      </c>
      <c r="Y86" s="782">
        <f t="shared" si="57"/>
        <v>17.524766788871446</v>
      </c>
      <c r="Z86" s="782">
        <f t="shared" si="65"/>
        <v>2.7058510994032899E-3</v>
      </c>
      <c r="AA86" s="783">
        <f t="shared" si="51"/>
        <v>672.8762865756446</v>
      </c>
      <c r="AB86" s="692">
        <f t="shared" si="66"/>
        <v>635825.52375486726</v>
      </c>
      <c r="AC86" s="786">
        <f t="shared" si="67"/>
        <v>1447560.4584322311</v>
      </c>
      <c r="AD86" s="787">
        <f t="shared" si="52"/>
        <v>122.75784077613901</v>
      </c>
      <c r="AE86" s="788">
        <v>3394.4776999999999</v>
      </c>
      <c r="AF86" s="774">
        <f t="shared" si="68"/>
        <v>3.530580137596928E-3</v>
      </c>
      <c r="AG86" s="692">
        <f t="shared" si="69"/>
        <v>444440.23129592236</v>
      </c>
      <c r="AH86" s="786">
        <f t="shared" si="70"/>
        <v>444440.23129592236</v>
      </c>
      <c r="AI86" s="692">
        <f t="shared" si="53"/>
        <v>37.689978909084324</v>
      </c>
      <c r="AJ86" s="789">
        <v>1425</v>
      </c>
      <c r="AK86" s="777">
        <f t="shared" si="71"/>
        <v>1.8942263979390816E-3</v>
      </c>
      <c r="AL86" s="692">
        <f t="shared" si="72"/>
        <v>39741.835884224878</v>
      </c>
      <c r="AM86" s="790">
        <v>7</v>
      </c>
      <c r="AN86" s="791">
        <f t="shared" si="73"/>
        <v>1.0108303249097468E-3</v>
      </c>
      <c r="AO86" s="778">
        <f t="shared" si="74"/>
        <v>63623.207220216573</v>
      </c>
      <c r="AP86" s="768">
        <v>117</v>
      </c>
      <c r="AQ86" s="792">
        <f t="shared" si="75"/>
        <v>1.5814016354666486E-3</v>
      </c>
      <c r="AR86" s="793">
        <f t="shared" si="76"/>
        <v>132714.45130769751</v>
      </c>
      <c r="AS86" s="794">
        <v>29.388888888888889</v>
      </c>
      <c r="AT86" s="791">
        <f t="shared" si="77"/>
        <v>1.1786396626728823E-3</v>
      </c>
      <c r="AU86" s="795">
        <f t="shared" si="78"/>
        <v>98913.84491642013</v>
      </c>
      <c r="AV86" s="796">
        <v>112</v>
      </c>
      <c r="AW86" s="791">
        <f t="shared" si="79"/>
        <v>1.4262428687856561E-3</v>
      </c>
      <c r="AX86" s="795">
        <f t="shared" si="80"/>
        <v>89769.908312958432</v>
      </c>
      <c r="AY86" s="786">
        <f t="shared" si="81"/>
        <v>424763.24764151749</v>
      </c>
      <c r="AZ86" s="787">
        <f t="shared" si="54"/>
        <v>36.021306618174819</v>
      </c>
      <c r="BA86" s="797">
        <f t="shared" si="58"/>
        <v>2572334.334825702</v>
      </c>
      <c r="BB86" s="775">
        <v>1537888</v>
      </c>
      <c r="BC86" s="775">
        <f t="shared" si="82"/>
        <v>0</v>
      </c>
      <c r="BD86" s="775">
        <f t="shared" si="83"/>
        <v>1034446.334825702</v>
      </c>
      <c r="BE86" s="798">
        <f t="shared" si="84"/>
        <v>1.6095995031955785E-3</v>
      </c>
      <c r="BF86" s="775">
        <f t="shared" si="85"/>
        <v>-2130.9199660380837</v>
      </c>
      <c r="BG86" s="797">
        <f t="shared" si="86"/>
        <v>2570203.4148596637</v>
      </c>
      <c r="BH86" s="799">
        <v>7.5</v>
      </c>
      <c r="BI86" s="692">
        <f t="shared" si="95"/>
        <v>0</v>
      </c>
      <c r="BJ86" s="800">
        <v>1500</v>
      </c>
      <c r="BK86" s="778">
        <f t="shared" si="87"/>
        <v>0</v>
      </c>
      <c r="BL86" s="786">
        <f t="shared" si="94"/>
        <v>2570203.4148596637</v>
      </c>
      <c r="BM86" s="692">
        <f t="shared" si="88"/>
        <v>2570203.4148596637</v>
      </c>
      <c r="BN86" s="801">
        <f t="shared" si="89"/>
        <v>1.2558404529621106E-3</v>
      </c>
      <c r="BO86" s="787">
        <f t="shared" si="90"/>
        <v>6207.4074417113725</v>
      </c>
      <c r="BP86" s="802">
        <f t="shared" si="91"/>
        <v>2576411</v>
      </c>
      <c r="BQ86" s="803">
        <f t="shared" si="55"/>
        <v>218.48804274084125</v>
      </c>
      <c r="BR86" s="682"/>
      <c r="BS86" s="618"/>
    </row>
    <row r="87" spans="1:71" ht="15.75">
      <c r="A87" s="805" t="s">
        <v>3589</v>
      </c>
      <c r="B87" s="767" t="s">
        <v>3590</v>
      </c>
      <c r="C87" s="768">
        <v>5269</v>
      </c>
      <c r="D87" s="769">
        <v>0</v>
      </c>
      <c r="E87" s="770">
        <v>0</v>
      </c>
      <c r="F87" s="771">
        <v>0</v>
      </c>
      <c r="G87" s="770">
        <v>0</v>
      </c>
      <c r="H87" s="771">
        <v>0</v>
      </c>
      <c r="I87" s="770">
        <f t="shared" si="92"/>
        <v>0</v>
      </c>
      <c r="J87" s="772">
        <f t="shared" si="59"/>
        <v>0</v>
      </c>
      <c r="K87" s="773">
        <v>1270</v>
      </c>
      <c r="L87" s="774">
        <f t="shared" si="60"/>
        <v>4.5834823566606118E-4</v>
      </c>
      <c r="M87" s="775">
        <f t="shared" si="93"/>
        <v>38465.51896749661</v>
      </c>
      <c r="N87" s="806">
        <v>0</v>
      </c>
      <c r="O87" s="777">
        <f t="shared" si="61"/>
        <v>0</v>
      </c>
      <c r="P87" s="778">
        <f t="shared" si="62"/>
        <v>0</v>
      </c>
      <c r="Q87" s="786">
        <f t="shared" si="48"/>
        <v>38465.51896749661</v>
      </c>
      <c r="R87" s="692">
        <f t="shared" si="49"/>
        <v>7.300345220629457</v>
      </c>
      <c r="S87" s="807">
        <v>20838201.02</v>
      </c>
      <c r="T87" s="782">
        <f t="shared" si="56"/>
        <v>1.3322820416865333</v>
      </c>
      <c r="U87" s="777">
        <f t="shared" si="63"/>
        <v>7.2419215248377487E-4</v>
      </c>
      <c r="V87" s="783">
        <f t="shared" si="50"/>
        <v>3954.8682899981022</v>
      </c>
      <c r="W87" s="778">
        <f t="shared" si="64"/>
        <v>288684.49324503989</v>
      </c>
      <c r="X87" s="784">
        <v>4301206.0932</v>
      </c>
      <c r="Y87" s="782">
        <f t="shared" si="57"/>
        <v>6.4545526065098251</v>
      </c>
      <c r="Z87" s="782">
        <f t="shared" si="65"/>
        <v>9.9659290630741055E-4</v>
      </c>
      <c r="AA87" s="783">
        <f t="shared" si="51"/>
        <v>816.32303913456064</v>
      </c>
      <c r="AB87" s="692">
        <f t="shared" si="66"/>
        <v>234181.10729117092</v>
      </c>
      <c r="AC87" s="786">
        <f t="shared" si="67"/>
        <v>522865.60053621081</v>
      </c>
      <c r="AD87" s="787">
        <f t="shared" si="52"/>
        <v>99.23431401332526</v>
      </c>
      <c r="AE87" s="788">
        <v>2198.6527999999998</v>
      </c>
      <c r="AF87" s="774">
        <f t="shared" si="68"/>
        <v>2.2868083373038129E-3</v>
      </c>
      <c r="AG87" s="692">
        <f t="shared" si="69"/>
        <v>287870.43113331613</v>
      </c>
      <c r="AH87" s="786">
        <f t="shared" si="70"/>
        <v>287870.43113331613</v>
      </c>
      <c r="AI87" s="692">
        <f t="shared" si="53"/>
        <v>54.634737356863944</v>
      </c>
      <c r="AJ87" s="789">
        <v>530</v>
      </c>
      <c r="AK87" s="777">
        <f t="shared" si="71"/>
        <v>7.0451929186506198E-4</v>
      </c>
      <c r="AL87" s="692">
        <f t="shared" si="72"/>
        <v>14781.174048167852</v>
      </c>
      <c r="AM87" s="790">
        <v>1</v>
      </c>
      <c r="AN87" s="791">
        <f t="shared" si="73"/>
        <v>1.4440433212996383E-4</v>
      </c>
      <c r="AO87" s="778">
        <f t="shared" si="74"/>
        <v>9089.0296028880821</v>
      </c>
      <c r="AP87" s="768">
        <v>24</v>
      </c>
      <c r="AQ87" s="792">
        <f t="shared" si="75"/>
        <v>3.2439007907008178E-4</v>
      </c>
      <c r="AR87" s="793">
        <f t="shared" si="76"/>
        <v>27223.477191322567</v>
      </c>
      <c r="AS87" s="794">
        <v>5.1111111111111107</v>
      </c>
      <c r="AT87" s="791">
        <f t="shared" si="77"/>
        <v>2.0498081089963168E-4</v>
      </c>
      <c r="AU87" s="795">
        <f t="shared" si="78"/>
        <v>17202.407811551326</v>
      </c>
      <c r="AV87" s="796">
        <v>0</v>
      </c>
      <c r="AW87" s="791">
        <f t="shared" si="79"/>
        <v>0</v>
      </c>
      <c r="AX87" s="795">
        <f t="shared" si="80"/>
        <v>0</v>
      </c>
      <c r="AY87" s="786">
        <f t="shared" si="81"/>
        <v>68296.088653929837</v>
      </c>
      <c r="AZ87" s="787">
        <f t="shared" si="54"/>
        <v>12.961869169468558</v>
      </c>
      <c r="BA87" s="797">
        <f t="shared" si="58"/>
        <v>917497.6392909534</v>
      </c>
      <c r="BB87" s="775">
        <v>620330</v>
      </c>
      <c r="BC87" s="775">
        <f t="shared" si="82"/>
        <v>0</v>
      </c>
      <c r="BD87" s="775">
        <f t="shared" si="83"/>
        <v>297167.6392909534</v>
      </c>
      <c r="BE87" s="798">
        <f t="shared" si="84"/>
        <v>4.6239313579192644E-4</v>
      </c>
      <c r="BF87" s="775">
        <f t="shared" si="85"/>
        <v>-612.15399437051803</v>
      </c>
      <c r="BG87" s="797">
        <f t="shared" si="86"/>
        <v>916885.48529658292</v>
      </c>
      <c r="BH87" s="799">
        <v>8</v>
      </c>
      <c r="BI87" s="692">
        <f t="shared" si="95"/>
        <v>0</v>
      </c>
      <c r="BJ87" s="800">
        <v>1200</v>
      </c>
      <c r="BK87" s="778">
        <f t="shared" si="87"/>
        <v>0</v>
      </c>
      <c r="BL87" s="786">
        <f t="shared" si="94"/>
        <v>916885.48529658292</v>
      </c>
      <c r="BM87" s="692">
        <f t="shared" si="88"/>
        <v>916885.48529658292</v>
      </c>
      <c r="BN87" s="801">
        <f t="shared" si="89"/>
        <v>4.4800418383698882E-4</v>
      </c>
      <c r="BO87" s="787">
        <f t="shared" si="90"/>
        <v>2214.409082067893</v>
      </c>
      <c r="BP87" s="802">
        <f t="shared" si="91"/>
        <v>919100</v>
      </c>
      <c r="BQ87" s="803">
        <f t="shared" si="55"/>
        <v>174.43537673182766</v>
      </c>
      <c r="BR87" s="682"/>
      <c r="BS87" s="618"/>
    </row>
    <row r="88" spans="1:71" ht="15.75">
      <c r="A88" s="805" t="s">
        <v>3591</v>
      </c>
      <c r="B88" s="767" t="s">
        <v>3592</v>
      </c>
      <c r="C88" s="768">
        <v>9181</v>
      </c>
      <c r="D88" s="769">
        <v>0</v>
      </c>
      <c r="E88" s="770">
        <v>0</v>
      </c>
      <c r="F88" s="771">
        <v>0</v>
      </c>
      <c r="G88" s="770">
        <v>0</v>
      </c>
      <c r="H88" s="771">
        <v>0</v>
      </c>
      <c r="I88" s="770">
        <f t="shared" si="92"/>
        <v>0</v>
      </c>
      <c r="J88" s="772">
        <f t="shared" si="59"/>
        <v>0</v>
      </c>
      <c r="K88" s="773">
        <v>2191</v>
      </c>
      <c r="L88" s="774">
        <f t="shared" si="60"/>
        <v>7.9074093255459849E-4</v>
      </c>
      <c r="M88" s="775">
        <f t="shared" si="93"/>
        <v>66360.592171484313</v>
      </c>
      <c r="N88" s="806">
        <v>196</v>
      </c>
      <c r="O88" s="777">
        <f t="shared" si="61"/>
        <v>2.2290027373518309E-4</v>
      </c>
      <c r="P88" s="778">
        <f t="shared" si="62"/>
        <v>18706.245688414983</v>
      </c>
      <c r="Q88" s="786">
        <f t="shared" si="48"/>
        <v>85066.8378598993</v>
      </c>
      <c r="R88" s="692">
        <f t="shared" si="49"/>
        <v>9.2655307548087684</v>
      </c>
      <c r="S88" s="807">
        <v>40171051.210000001</v>
      </c>
      <c r="T88" s="782">
        <f t="shared" si="56"/>
        <v>2.098296122731711</v>
      </c>
      <c r="U88" s="777">
        <f t="shared" si="63"/>
        <v>1.1405764981608673E-3</v>
      </c>
      <c r="V88" s="783">
        <f t="shared" si="50"/>
        <v>4375.4548752859164</v>
      </c>
      <c r="W88" s="778">
        <f t="shared" si="64"/>
        <v>454667.6558831521</v>
      </c>
      <c r="X88" s="784">
        <v>7484060.4763000002</v>
      </c>
      <c r="Y88" s="782">
        <f t="shared" si="57"/>
        <v>11.262704419202128</v>
      </c>
      <c r="Z88" s="782">
        <f t="shared" si="65"/>
        <v>1.7389789834067685E-3</v>
      </c>
      <c r="AA88" s="783">
        <f t="shared" si="51"/>
        <v>815.16833420106741</v>
      </c>
      <c r="AB88" s="692">
        <f t="shared" si="66"/>
        <v>408628.25865294208</v>
      </c>
      <c r="AC88" s="786">
        <f t="shared" si="67"/>
        <v>863295.91453609418</v>
      </c>
      <c r="AD88" s="787">
        <f t="shared" si="52"/>
        <v>94.030706299541905</v>
      </c>
      <c r="AE88" s="788">
        <v>3331.9533000000001</v>
      </c>
      <c r="AF88" s="774">
        <f t="shared" si="68"/>
        <v>3.4655488060447532E-3</v>
      </c>
      <c r="AG88" s="692">
        <f t="shared" si="69"/>
        <v>436253.88828426006</v>
      </c>
      <c r="AH88" s="786">
        <f t="shared" si="70"/>
        <v>436253.88828426006</v>
      </c>
      <c r="AI88" s="692">
        <f t="shared" si="53"/>
        <v>47.517033905267404</v>
      </c>
      <c r="AJ88" s="789">
        <v>805</v>
      </c>
      <c r="AK88" s="777">
        <f t="shared" si="71"/>
        <v>1.0700717546252357E-3</v>
      </c>
      <c r="AL88" s="692">
        <f t="shared" si="72"/>
        <v>22450.651148632303</v>
      </c>
      <c r="AM88" s="790">
        <v>2.3333333333333335</v>
      </c>
      <c r="AN88" s="791">
        <f t="shared" si="73"/>
        <v>3.3694344163658226E-4</v>
      </c>
      <c r="AO88" s="778">
        <f t="shared" si="74"/>
        <v>21207.735740072192</v>
      </c>
      <c r="AP88" s="768">
        <v>46</v>
      </c>
      <c r="AQ88" s="792">
        <f t="shared" si="75"/>
        <v>6.217476515509901E-4</v>
      </c>
      <c r="AR88" s="793">
        <f t="shared" si="76"/>
        <v>52178.33128336825</v>
      </c>
      <c r="AS88" s="794">
        <v>8.5555555555555571</v>
      </c>
      <c r="AT88" s="791">
        <f t="shared" si="77"/>
        <v>3.4312005302764443E-4</v>
      </c>
      <c r="AU88" s="795">
        <f t="shared" si="78"/>
        <v>28795.334814988099</v>
      </c>
      <c r="AV88" s="796">
        <v>13</v>
      </c>
      <c r="AW88" s="791">
        <f t="shared" si="79"/>
        <v>1.6554604726976365E-4</v>
      </c>
      <c r="AX88" s="795">
        <f t="shared" si="80"/>
        <v>10419.721500611247</v>
      </c>
      <c r="AY88" s="786">
        <f t="shared" si="81"/>
        <v>135051.77448767208</v>
      </c>
      <c r="AZ88" s="787">
        <f t="shared" si="54"/>
        <v>14.709919887558227</v>
      </c>
      <c r="BA88" s="797">
        <f t="shared" si="58"/>
        <v>1519668.4151679256</v>
      </c>
      <c r="BB88" s="775">
        <v>1086970</v>
      </c>
      <c r="BC88" s="775">
        <f t="shared" si="82"/>
        <v>0</v>
      </c>
      <c r="BD88" s="775">
        <f t="shared" si="83"/>
        <v>432698.41516792565</v>
      </c>
      <c r="BE88" s="798">
        <f t="shared" si="84"/>
        <v>6.732791548873905E-4</v>
      </c>
      <c r="BF88" s="775">
        <f t="shared" si="85"/>
        <v>-891.34221961328501</v>
      </c>
      <c r="BG88" s="797">
        <f t="shared" si="86"/>
        <v>1518777.0729483124</v>
      </c>
      <c r="BH88" s="799">
        <v>7</v>
      </c>
      <c r="BI88" s="692">
        <f t="shared" si="95"/>
        <v>0</v>
      </c>
      <c r="BJ88" s="800">
        <v>1100</v>
      </c>
      <c r="BK88" s="778">
        <f t="shared" si="87"/>
        <v>0</v>
      </c>
      <c r="BL88" s="786">
        <f t="shared" si="94"/>
        <v>1518777.0729483124</v>
      </c>
      <c r="BM88" s="692">
        <f t="shared" si="88"/>
        <v>1518777.0729483124</v>
      </c>
      <c r="BN88" s="801">
        <f t="shared" si="89"/>
        <v>7.4209756169980824E-4</v>
      </c>
      <c r="BO88" s="787">
        <f t="shared" si="90"/>
        <v>3668.063021943628</v>
      </c>
      <c r="BP88" s="802">
        <f t="shared" si="91"/>
        <v>1522445</v>
      </c>
      <c r="BQ88" s="803">
        <f t="shared" si="55"/>
        <v>165.82561812438732</v>
      </c>
      <c r="BR88" s="682"/>
      <c r="BS88" s="618"/>
    </row>
    <row r="89" spans="1:71" ht="15.75">
      <c r="A89" s="766" t="s">
        <v>3593</v>
      </c>
      <c r="B89" s="767" t="s">
        <v>3594</v>
      </c>
      <c r="C89" s="768">
        <v>35810</v>
      </c>
      <c r="D89" s="769">
        <v>0</v>
      </c>
      <c r="E89" s="770">
        <v>0</v>
      </c>
      <c r="F89" s="771">
        <v>0</v>
      </c>
      <c r="G89" s="770">
        <v>0</v>
      </c>
      <c r="H89" s="771">
        <v>0</v>
      </c>
      <c r="I89" s="770">
        <f t="shared" si="92"/>
        <v>0</v>
      </c>
      <c r="J89" s="772">
        <f t="shared" si="59"/>
        <v>0</v>
      </c>
      <c r="K89" s="773">
        <v>13561</v>
      </c>
      <c r="L89" s="774">
        <f t="shared" si="60"/>
        <v>4.8942208061948473E-3</v>
      </c>
      <c r="M89" s="775">
        <f t="shared" si="93"/>
        <v>410732.99426631624</v>
      </c>
      <c r="N89" s="806">
        <v>1912</v>
      </c>
      <c r="O89" s="777">
        <f t="shared" si="61"/>
        <v>2.1744149152126027E-3</v>
      </c>
      <c r="P89" s="778">
        <f t="shared" si="62"/>
        <v>182481.33549106866</v>
      </c>
      <c r="Q89" s="786">
        <f t="shared" si="48"/>
        <v>593214.32975738496</v>
      </c>
      <c r="R89" s="692">
        <f t="shared" si="49"/>
        <v>16.565605410706087</v>
      </c>
      <c r="S89" s="807">
        <v>170057085.22</v>
      </c>
      <c r="T89" s="782">
        <f t="shared" si="56"/>
        <v>7.5407390309026958</v>
      </c>
      <c r="U89" s="777">
        <f t="shared" si="63"/>
        <v>4.0989399085458204E-3</v>
      </c>
      <c r="V89" s="783">
        <f t="shared" si="50"/>
        <v>4748.871410779112</v>
      </c>
      <c r="W89" s="778">
        <f t="shared" si="64"/>
        <v>1633959.1450722488</v>
      </c>
      <c r="X89" s="784">
        <v>47327008.359700002</v>
      </c>
      <c r="Y89" s="782">
        <f t="shared" si="57"/>
        <v>27.095650970661282</v>
      </c>
      <c r="Z89" s="782">
        <f t="shared" si="65"/>
        <v>4.1836104212564576E-3</v>
      </c>
      <c r="AA89" s="783">
        <f t="shared" si="51"/>
        <v>1321.6143077268919</v>
      </c>
      <c r="AB89" s="692">
        <f t="shared" si="66"/>
        <v>983071.93912788364</v>
      </c>
      <c r="AC89" s="786">
        <f t="shared" si="67"/>
        <v>2617031.0842001326</v>
      </c>
      <c r="AD89" s="787">
        <f t="shared" si="52"/>
        <v>73.08101324211485</v>
      </c>
      <c r="AE89" s="788">
        <v>2343.23</v>
      </c>
      <c r="AF89" s="774">
        <f t="shared" si="68"/>
        <v>2.4371823965204575E-3</v>
      </c>
      <c r="AG89" s="692">
        <f t="shared" si="69"/>
        <v>306799.97785212856</v>
      </c>
      <c r="AH89" s="786">
        <f t="shared" si="70"/>
        <v>306799.97785212856</v>
      </c>
      <c r="AI89" s="692">
        <f t="shared" si="53"/>
        <v>8.5674386442928956</v>
      </c>
      <c r="AJ89" s="789">
        <v>2821</v>
      </c>
      <c r="AK89" s="777">
        <f t="shared" si="71"/>
        <v>3.7499036270779995E-3</v>
      </c>
      <c r="AL89" s="692">
        <f t="shared" si="72"/>
        <v>78674.890546946233</v>
      </c>
      <c r="AM89" s="790">
        <v>15.666666666666666</v>
      </c>
      <c r="AN89" s="791">
        <f t="shared" si="73"/>
        <v>2.2623345367027664E-3</v>
      </c>
      <c r="AO89" s="778">
        <f t="shared" si="74"/>
        <v>142394.79711191327</v>
      </c>
      <c r="AP89" s="768">
        <v>307</v>
      </c>
      <c r="AQ89" s="792">
        <f t="shared" si="75"/>
        <v>4.1494897614381297E-3</v>
      </c>
      <c r="AR89" s="793">
        <f t="shared" si="76"/>
        <v>348233.64573900116</v>
      </c>
      <c r="AS89" s="794">
        <v>130.36111111111111</v>
      </c>
      <c r="AT89" s="791">
        <f t="shared" si="77"/>
        <v>5.2281247040868025E-3</v>
      </c>
      <c r="AU89" s="795">
        <f t="shared" si="78"/>
        <v>438754.89054136083</v>
      </c>
      <c r="AV89" s="796">
        <v>330</v>
      </c>
      <c r="AW89" s="791">
        <f t="shared" si="79"/>
        <v>4.2023227383863083E-3</v>
      </c>
      <c r="AX89" s="795">
        <f t="shared" si="80"/>
        <v>264500.62270782399</v>
      </c>
      <c r="AY89" s="786">
        <f t="shared" si="81"/>
        <v>1272558.8466470456</v>
      </c>
      <c r="AZ89" s="787">
        <f t="shared" si="54"/>
        <v>35.536410126976975</v>
      </c>
      <c r="BA89" s="797">
        <f t="shared" si="58"/>
        <v>4789604.2384566916</v>
      </c>
      <c r="BB89" s="775">
        <v>4357819</v>
      </c>
      <c r="BC89" s="775">
        <f t="shared" si="82"/>
        <v>0</v>
      </c>
      <c r="BD89" s="775">
        <f t="shared" si="83"/>
        <v>431785.23845669162</v>
      </c>
      <c r="BE89" s="798">
        <f t="shared" si="84"/>
        <v>6.7185825103646267E-4</v>
      </c>
      <c r="BF89" s="775">
        <f t="shared" si="85"/>
        <v>-889.46111044311488</v>
      </c>
      <c r="BG89" s="797">
        <f t="shared" si="86"/>
        <v>4788714.7773462487</v>
      </c>
      <c r="BH89" s="799">
        <v>6.5</v>
      </c>
      <c r="BI89" s="692">
        <f t="shared" si="95"/>
        <v>0</v>
      </c>
      <c r="BJ89" s="800">
        <v>775</v>
      </c>
      <c r="BK89" s="778">
        <f t="shared" si="87"/>
        <v>0</v>
      </c>
      <c r="BL89" s="786">
        <f t="shared" si="94"/>
        <v>4788714.7773462487</v>
      </c>
      <c r="BM89" s="692">
        <f t="shared" si="88"/>
        <v>4788714.7773462487</v>
      </c>
      <c r="BN89" s="801">
        <f t="shared" si="89"/>
        <v>2.339838823775444E-3</v>
      </c>
      <c r="BO89" s="787">
        <f t="shared" si="90"/>
        <v>11565.428468919597</v>
      </c>
      <c r="BP89" s="802">
        <f t="shared" si="91"/>
        <v>4800280</v>
      </c>
      <c r="BQ89" s="803">
        <f t="shared" si="55"/>
        <v>134.04858977939122</v>
      </c>
      <c r="BR89" s="682"/>
      <c r="BS89" s="618"/>
    </row>
    <row r="90" spans="1:71" ht="15.75">
      <c r="A90" s="766" t="s">
        <v>3595</v>
      </c>
      <c r="B90" s="767" t="s">
        <v>3596</v>
      </c>
      <c r="C90" s="768">
        <v>11047</v>
      </c>
      <c r="D90" s="769">
        <v>0</v>
      </c>
      <c r="E90" s="770">
        <v>0</v>
      </c>
      <c r="F90" s="771">
        <v>0</v>
      </c>
      <c r="G90" s="770">
        <v>0</v>
      </c>
      <c r="H90" s="771">
        <v>0</v>
      </c>
      <c r="I90" s="770">
        <f t="shared" si="92"/>
        <v>0</v>
      </c>
      <c r="J90" s="772">
        <f t="shared" si="59"/>
        <v>0</v>
      </c>
      <c r="K90" s="773">
        <v>5153</v>
      </c>
      <c r="L90" s="774">
        <f t="shared" si="60"/>
        <v>1.859738943611979E-3</v>
      </c>
      <c r="M90" s="775">
        <f t="shared" si="93"/>
        <v>156073.08601536223</v>
      </c>
      <c r="N90" s="806">
        <v>24.5</v>
      </c>
      <c r="O90" s="777">
        <f t="shared" si="61"/>
        <v>2.7862534216897886E-5</v>
      </c>
      <c r="P90" s="778">
        <f t="shared" si="62"/>
        <v>2338.2807110518729</v>
      </c>
      <c r="Q90" s="786">
        <f t="shared" si="48"/>
        <v>158411.3667264141</v>
      </c>
      <c r="R90" s="692">
        <f t="shared" si="49"/>
        <v>14.339763440428541</v>
      </c>
      <c r="S90" s="807">
        <v>46114102.700000003</v>
      </c>
      <c r="T90" s="782">
        <f t="shared" si="56"/>
        <v>2.6463966954733782</v>
      </c>
      <c r="U90" s="777">
        <f t="shared" si="63"/>
        <v>1.4385090087942051E-3</v>
      </c>
      <c r="V90" s="783">
        <f t="shared" si="50"/>
        <v>4174.3552729247758</v>
      </c>
      <c r="W90" s="778">
        <f t="shared" si="64"/>
        <v>573432.4002378413</v>
      </c>
      <c r="X90" s="784">
        <v>11946696.5955</v>
      </c>
      <c r="Y90" s="782">
        <f t="shared" si="57"/>
        <v>10.215058867902259</v>
      </c>
      <c r="Z90" s="782">
        <f t="shared" si="65"/>
        <v>1.5772208897943704E-3</v>
      </c>
      <c r="AA90" s="783">
        <f t="shared" si="51"/>
        <v>1081.4426174979633</v>
      </c>
      <c r="AB90" s="692">
        <f t="shared" si="66"/>
        <v>370618.06488604448</v>
      </c>
      <c r="AC90" s="786">
        <f t="shared" si="67"/>
        <v>944050.46512388578</v>
      </c>
      <c r="AD90" s="787">
        <f t="shared" si="52"/>
        <v>85.457632400098291</v>
      </c>
      <c r="AE90" s="788">
        <v>1657.2738999999999</v>
      </c>
      <c r="AF90" s="774">
        <f t="shared" si="68"/>
        <v>1.7237227140710918E-3</v>
      </c>
      <c r="AG90" s="692">
        <f t="shared" si="69"/>
        <v>216987.48983877408</v>
      </c>
      <c r="AH90" s="786">
        <f t="shared" si="70"/>
        <v>216987.48983877408</v>
      </c>
      <c r="AI90" s="692">
        <f t="shared" si="53"/>
        <v>19.642209635084104</v>
      </c>
      <c r="AJ90" s="789">
        <v>1100</v>
      </c>
      <c r="AK90" s="777">
        <f t="shared" si="71"/>
        <v>1.4622098510406946E-3</v>
      </c>
      <c r="AL90" s="692">
        <f t="shared" si="72"/>
        <v>30677.908401857803</v>
      </c>
      <c r="AM90" s="790">
        <v>2.6666666666666665</v>
      </c>
      <c r="AN90" s="791">
        <f t="shared" si="73"/>
        <v>3.8507821901323682E-4</v>
      </c>
      <c r="AO90" s="778">
        <f t="shared" si="74"/>
        <v>24237.412274368216</v>
      </c>
      <c r="AP90" s="768">
        <v>134</v>
      </c>
      <c r="AQ90" s="792">
        <f t="shared" si="75"/>
        <v>1.8111779414746233E-3</v>
      </c>
      <c r="AR90" s="793">
        <f t="shared" si="76"/>
        <v>151997.74765155101</v>
      </c>
      <c r="AS90" s="794">
        <v>14.277777777777777</v>
      </c>
      <c r="AT90" s="791">
        <f t="shared" si="77"/>
        <v>5.7260943914353639E-4</v>
      </c>
      <c r="AU90" s="795">
        <f t="shared" si="78"/>
        <v>48054.552256181429</v>
      </c>
      <c r="AV90" s="796">
        <v>55</v>
      </c>
      <c r="AW90" s="791">
        <f t="shared" si="79"/>
        <v>7.0038712306438465E-4</v>
      </c>
      <c r="AX90" s="795">
        <f t="shared" si="80"/>
        <v>44083.437117970658</v>
      </c>
      <c r="AY90" s="786">
        <f t="shared" si="81"/>
        <v>299051.05770192912</v>
      </c>
      <c r="AZ90" s="787">
        <f t="shared" si="54"/>
        <v>27.070793672664898</v>
      </c>
      <c r="BA90" s="797">
        <f t="shared" si="58"/>
        <v>1618500.3793910029</v>
      </c>
      <c r="BB90" s="775">
        <v>1254397</v>
      </c>
      <c r="BC90" s="775">
        <f t="shared" si="82"/>
        <v>0</v>
      </c>
      <c r="BD90" s="775">
        <f t="shared" si="83"/>
        <v>364103.37939100293</v>
      </c>
      <c r="BE90" s="798">
        <f t="shared" si="84"/>
        <v>5.6654521249605201E-4</v>
      </c>
      <c r="BF90" s="775">
        <f t="shared" si="85"/>
        <v>-750.03906411148694</v>
      </c>
      <c r="BG90" s="797">
        <f t="shared" si="86"/>
        <v>1617750.3403268915</v>
      </c>
      <c r="BH90" s="799">
        <v>7.5</v>
      </c>
      <c r="BI90" s="692">
        <f t="shared" si="95"/>
        <v>0</v>
      </c>
      <c r="BJ90" s="800">
        <v>1350</v>
      </c>
      <c r="BK90" s="778">
        <f t="shared" si="87"/>
        <v>0</v>
      </c>
      <c r="BL90" s="786">
        <f t="shared" si="94"/>
        <v>1617750.3403268915</v>
      </c>
      <c r="BM90" s="692">
        <f t="shared" si="88"/>
        <v>1617750.3403268915</v>
      </c>
      <c r="BN90" s="801">
        <f t="shared" si="89"/>
        <v>7.9045740443336142E-4</v>
      </c>
      <c r="BO90" s="787">
        <f t="shared" si="90"/>
        <v>3907.0975640753159</v>
      </c>
      <c r="BP90" s="802">
        <f t="shared" si="91"/>
        <v>1621657</v>
      </c>
      <c r="BQ90" s="803">
        <f t="shared" si="55"/>
        <v>146.79614374943424</v>
      </c>
      <c r="BR90" s="682"/>
      <c r="BS90" s="618"/>
    </row>
    <row r="91" spans="1:71" ht="15.75">
      <c r="A91" s="805" t="s">
        <v>3597</v>
      </c>
      <c r="B91" s="767" t="s">
        <v>3598</v>
      </c>
      <c r="C91" s="768">
        <v>14186</v>
      </c>
      <c r="D91" s="769">
        <v>0</v>
      </c>
      <c r="E91" s="770">
        <v>0</v>
      </c>
      <c r="F91" s="771">
        <v>0</v>
      </c>
      <c r="G91" s="770">
        <v>0</v>
      </c>
      <c r="H91" s="771">
        <v>0</v>
      </c>
      <c r="I91" s="770">
        <f t="shared" si="92"/>
        <v>0</v>
      </c>
      <c r="J91" s="772">
        <f t="shared" si="59"/>
        <v>0</v>
      </c>
      <c r="K91" s="773">
        <v>4145</v>
      </c>
      <c r="L91" s="774">
        <f t="shared" si="60"/>
        <v>1.4959475880597037E-3</v>
      </c>
      <c r="M91" s="775">
        <f t="shared" si="93"/>
        <v>125542.97332304997</v>
      </c>
      <c r="N91" s="806">
        <v>3179</v>
      </c>
      <c r="O91" s="777">
        <f t="shared" si="61"/>
        <v>3.6153059704293221E-3</v>
      </c>
      <c r="P91" s="778">
        <f t="shared" si="62"/>
        <v>303403.85226260836</v>
      </c>
      <c r="Q91" s="786">
        <f t="shared" si="48"/>
        <v>428946.82558565831</v>
      </c>
      <c r="R91" s="692">
        <f t="shared" si="49"/>
        <v>30.237334385003404</v>
      </c>
      <c r="S91" s="807">
        <v>64363772.450000003</v>
      </c>
      <c r="T91" s="782">
        <f t="shared" si="56"/>
        <v>3.1266438920486239</v>
      </c>
      <c r="U91" s="777">
        <f t="shared" si="63"/>
        <v>1.6995582762390003E-3</v>
      </c>
      <c r="V91" s="783">
        <f t="shared" si="50"/>
        <v>4537.1332616664322</v>
      </c>
      <c r="W91" s="778">
        <f t="shared" si="64"/>
        <v>677494.38879408711</v>
      </c>
      <c r="X91" s="784">
        <v>12437261.4197</v>
      </c>
      <c r="Y91" s="782">
        <f t="shared" si="57"/>
        <v>16.180619608207461</v>
      </c>
      <c r="Z91" s="782">
        <f t="shared" si="65"/>
        <v>2.4983126955901744E-3</v>
      </c>
      <c r="AA91" s="783">
        <f t="shared" si="51"/>
        <v>876.72785984068798</v>
      </c>
      <c r="AB91" s="692">
        <f t="shared" si="66"/>
        <v>587057.79432111396</v>
      </c>
      <c r="AC91" s="786">
        <f t="shared" si="67"/>
        <v>1264552.1831152011</v>
      </c>
      <c r="AD91" s="787">
        <f t="shared" si="52"/>
        <v>89.140855992894473</v>
      </c>
      <c r="AE91" s="788">
        <v>2243.9854999999998</v>
      </c>
      <c r="AF91" s="774">
        <f t="shared" si="68"/>
        <v>2.3339586633182217E-3</v>
      </c>
      <c r="AG91" s="692">
        <f t="shared" si="69"/>
        <v>293805.85845200752</v>
      </c>
      <c r="AH91" s="786">
        <f t="shared" si="70"/>
        <v>293805.85845200752</v>
      </c>
      <c r="AI91" s="692">
        <f t="shared" si="53"/>
        <v>20.710972680953581</v>
      </c>
      <c r="AJ91" s="789">
        <v>1179</v>
      </c>
      <c r="AK91" s="777">
        <f t="shared" si="71"/>
        <v>1.5672231039790718E-3</v>
      </c>
      <c r="AL91" s="692">
        <f t="shared" si="72"/>
        <v>32881.140005263958</v>
      </c>
      <c r="AM91" s="790">
        <v>4</v>
      </c>
      <c r="AN91" s="791">
        <f t="shared" si="73"/>
        <v>5.776173285198553E-4</v>
      </c>
      <c r="AO91" s="778">
        <f t="shared" si="74"/>
        <v>36356.118411552328</v>
      </c>
      <c r="AP91" s="768">
        <v>104</v>
      </c>
      <c r="AQ91" s="792">
        <f t="shared" si="75"/>
        <v>1.405690342637021E-3</v>
      </c>
      <c r="AR91" s="793">
        <f t="shared" si="76"/>
        <v>117968.40116239779</v>
      </c>
      <c r="AS91" s="794">
        <v>16.666666666666668</v>
      </c>
      <c r="AT91" s="791">
        <f t="shared" si="77"/>
        <v>6.6841568771619042E-4</v>
      </c>
      <c r="AU91" s="795">
        <f t="shared" si="78"/>
        <v>56094.808081145638</v>
      </c>
      <c r="AV91" s="796">
        <v>51</v>
      </c>
      <c r="AW91" s="791">
        <f t="shared" si="79"/>
        <v>6.494498777506112E-4</v>
      </c>
      <c r="AX91" s="795">
        <f t="shared" si="80"/>
        <v>40877.368963936431</v>
      </c>
      <c r="AY91" s="786">
        <f t="shared" si="81"/>
        <v>284177.83662429615</v>
      </c>
      <c r="AZ91" s="787">
        <f t="shared" si="54"/>
        <v>20.032273835069514</v>
      </c>
      <c r="BA91" s="797">
        <f t="shared" si="58"/>
        <v>2271482.7037771633</v>
      </c>
      <c r="BB91" s="775">
        <v>1702174</v>
      </c>
      <c r="BC91" s="775">
        <f t="shared" si="82"/>
        <v>0</v>
      </c>
      <c r="BD91" s="775">
        <f t="shared" si="83"/>
        <v>569308.70377716329</v>
      </c>
      <c r="BE91" s="798">
        <f t="shared" si="84"/>
        <v>8.8584489684430249E-4</v>
      </c>
      <c r="BF91" s="775">
        <f t="shared" si="85"/>
        <v>-1172.7541998806801</v>
      </c>
      <c r="BG91" s="797">
        <f t="shared" si="86"/>
        <v>2270309.9495772826</v>
      </c>
      <c r="BH91" s="799">
        <v>7.1</v>
      </c>
      <c r="BI91" s="692">
        <f t="shared" si="95"/>
        <v>0</v>
      </c>
      <c r="BJ91" s="800">
        <v>1200</v>
      </c>
      <c r="BK91" s="778">
        <f t="shared" si="87"/>
        <v>0</v>
      </c>
      <c r="BL91" s="786">
        <f t="shared" si="94"/>
        <v>2270309.9495772826</v>
      </c>
      <c r="BM91" s="692">
        <f t="shared" si="88"/>
        <v>2270309.9495772826</v>
      </c>
      <c r="BN91" s="801">
        <f t="shared" si="89"/>
        <v>1.1093079477513638E-3</v>
      </c>
      <c r="BO91" s="787">
        <f t="shared" si="90"/>
        <v>5483.121995138612</v>
      </c>
      <c r="BP91" s="802">
        <f t="shared" si="91"/>
        <v>2275793</v>
      </c>
      <c r="BQ91" s="803">
        <f t="shared" si="55"/>
        <v>160.42527844353589</v>
      </c>
      <c r="BR91" s="682"/>
      <c r="BS91" s="618"/>
    </row>
    <row r="92" spans="1:71" ht="15.75">
      <c r="A92" s="805" t="s">
        <v>3599</v>
      </c>
      <c r="B92" s="767" t="s">
        <v>3600</v>
      </c>
      <c r="C92" s="768">
        <v>17709</v>
      </c>
      <c r="D92" s="769">
        <v>0</v>
      </c>
      <c r="E92" s="770">
        <v>0</v>
      </c>
      <c r="F92" s="771">
        <v>0</v>
      </c>
      <c r="G92" s="770">
        <v>0</v>
      </c>
      <c r="H92" s="771">
        <v>0</v>
      </c>
      <c r="I92" s="770">
        <f t="shared" si="92"/>
        <v>0</v>
      </c>
      <c r="J92" s="772">
        <f t="shared" si="59"/>
        <v>0</v>
      </c>
      <c r="K92" s="773">
        <v>3298</v>
      </c>
      <c r="L92" s="774">
        <f t="shared" si="60"/>
        <v>1.1902617962414722E-3</v>
      </c>
      <c r="M92" s="775">
        <f t="shared" si="93"/>
        <v>99889.198074648681</v>
      </c>
      <c r="N92" s="806">
        <v>173</v>
      </c>
      <c r="O92" s="777">
        <f t="shared" si="61"/>
        <v>1.967436089601361E-4</v>
      </c>
      <c r="P92" s="778">
        <f t="shared" si="62"/>
        <v>16511.1250208969</v>
      </c>
      <c r="Q92" s="786">
        <f t="shared" si="48"/>
        <v>116400.32309554558</v>
      </c>
      <c r="R92" s="692">
        <f t="shared" si="49"/>
        <v>6.5729472638514643</v>
      </c>
      <c r="S92" s="807">
        <v>71268396.569999993</v>
      </c>
      <c r="T92" s="782">
        <f t="shared" si="56"/>
        <v>4.4003891779994344</v>
      </c>
      <c r="U92" s="777">
        <f t="shared" si="63"/>
        <v>2.3919314460980404E-3</v>
      </c>
      <c r="V92" s="783">
        <f t="shared" si="50"/>
        <v>4024.4167694392677</v>
      </c>
      <c r="W92" s="778">
        <f t="shared" si="64"/>
        <v>953494.89085931354</v>
      </c>
      <c r="X92" s="784">
        <v>11436687.9056</v>
      </c>
      <c r="Y92" s="782">
        <f t="shared" si="57"/>
        <v>27.421285217238534</v>
      </c>
      <c r="Z92" s="782">
        <f t="shared" si="65"/>
        <v>4.2338888526170359E-3</v>
      </c>
      <c r="AA92" s="783">
        <f t="shared" si="51"/>
        <v>645.81218056355522</v>
      </c>
      <c r="AB92" s="692">
        <f t="shared" si="66"/>
        <v>994886.45100566675</v>
      </c>
      <c r="AC92" s="786">
        <f t="shared" si="67"/>
        <v>1948381.3418649803</v>
      </c>
      <c r="AD92" s="787">
        <f t="shared" si="52"/>
        <v>110.022098473374</v>
      </c>
      <c r="AE92" s="788">
        <v>2184.3661999999999</v>
      </c>
      <c r="AF92" s="774">
        <f t="shared" si="68"/>
        <v>2.2719489124816109E-3</v>
      </c>
      <c r="AG92" s="692">
        <f t="shared" si="69"/>
        <v>285999.88126685738</v>
      </c>
      <c r="AH92" s="786">
        <f t="shared" si="70"/>
        <v>285999.88126685738</v>
      </c>
      <c r="AI92" s="692">
        <f t="shared" si="53"/>
        <v>16.149973531360178</v>
      </c>
      <c r="AJ92" s="789">
        <v>1948</v>
      </c>
      <c r="AK92" s="777">
        <f t="shared" si="71"/>
        <v>2.5894407180247938E-3</v>
      </c>
      <c r="AL92" s="692">
        <f t="shared" si="72"/>
        <v>54327.786878926367</v>
      </c>
      <c r="AM92" s="790">
        <v>6</v>
      </c>
      <c r="AN92" s="791">
        <f t="shared" si="73"/>
        <v>8.6642599277978296E-4</v>
      </c>
      <c r="AO92" s="778">
        <f t="shared" si="74"/>
        <v>54534.177617328489</v>
      </c>
      <c r="AP92" s="768">
        <v>177</v>
      </c>
      <c r="AQ92" s="792">
        <f t="shared" si="75"/>
        <v>2.3923768331418531E-3</v>
      </c>
      <c r="AR92" s="793">
        <f t="shared" si="76"/>
        <v>200773.14428600392</v>
      </c>
      <c r="AS92" s="794">
        <v>31.611111111111111</v>
      </c>
      <c r="AT92" s="791">
        <f t="shared" si="77"/>
        <v>1.2677617543683743E-3</v>
      </c>
      <c r="AU92" s="795">
        <f t="shared" si="78"/>
        <v>106393.15266057287</v>
      </c>
      <c r="AV92" s="796">
        <v>0</v>
      </c>
      <c r="AW92" s="791">
        <f t="shared" si="79"/>
        <v>0</v>
      </c>
      <c r="AX92" s="795">
        <f t="shared" si="80"/>
        <v>0</v>
      </c>
      <c r="AY92" s="786">
        <f t="shared" si="81"/>
        <v>416028.26144283166</v>
      </c>
      <c r="AZ92" s="787">
        <f t="shared" si="54"/>
        <v>23.492476223549136</v>
      </c>
      <c r="BA92" s="797">
        <f t="shared" si="58"/>
        <v>2766809.8076702151</v>
      </c>
      <c r="BB92" s="775">
        <v>2214130</v>
      </c>
      <c r="BC92" s="775">
        <f t="shared" si="82"/>
        <v>0</v>
      </c>
      <c r="BD92" s="775">
        <f t="shared" si="83"/>
        <v>552679.80767021514</v>
      </c>
      <c r="BE92" s="798">
        <f t="shared" si="84"/>
        <v>8.5997031832695046E-4</v>
      </c>
      <c r="BF92" s="775">
        <f t="shared" si="85"/>
        <v>-1138.4993086074276</v>
      </c>
      <c r="BG92" s="797">
        <f t="shared" si="86"/>
        <v>2765671.3083616076</v>
      </c>
      <c r="BH92" s="799">
        <v>6</v>
      </c>
      <c r="BI92" s="692">
        <f t="shared" si="95"/>
        <v>0</v>
      </c>
      <c r="BJ92" s="800">
        <v>1250</v>
      </c>
      <c r="BK92" s="778">
        <f t="shared" si="87"/>
        <v>0</v>
      </c>
      <c r="BL92" s="786">
        <f t="shared" si="94"/>
        <v>2765671.3083616076</v>
      </c>
      <c r="BM92" s="692">
        <f t="shared" si="88"/>
        <v>2765671.3083616076</v>
      </c>
      <c r="BN92" s="801">
        <f t="shared" si="89"/>
        <v>1.3513490366391088E-3</v>
      </c>
      <c r="BO92" s="787">
        <f t="shared" si="90"/>
        <v>6679.490254194081</v>
      </c>
      <c r="BP92" s="802">
        <f t="shared" si="91"/>
        <v>2772351</v>
      </c>
      <c r="BQ92" s="803">
        <f t="shared" si="55"/>
        <v>156.55039810265967</v>
      </c>
      <c r="BR92" s="682"/>
      <c r="BS92" s="618"/>
    </row>
    <row r="93" spans="1:71" ht="15.75">
      <c r="A93" s="805" t="s">
        <v>3601</v>
      </c>
      <c r="B93" s="767" t="s">
        <v>3602</v>
      </c>
      <c r="C93" s="768">
        <v>9352</v>
      </c>
      <c r="D93" s="769">
        <v>0</v>
      </c>
      <c r="E93" s="770">
        <v>0</v>
      </c>
      <c r="F93" s="771">
        <v>0</v>
      </c>
      <c r="G93" s="770">
        <v>0</v>
      </c>
      <c r="H93" s="771">
        <v>0</v>
      </c>
      <c r="I93" s="770">
        <f t="shared" si="92"/>
        <v>0</v>
      </c>
      <c r="J93" s="772">
        <f t="shared" si="59"/>
        <v>0</v>
      </c>
      <c r="K93" s="773">
        <v>3394</v>
      </c>
      <c r="L93" s="774">
        <f t="shared" si="60"/>
        <v>1.2249085920083556E-3</v>
      </c>
      <c r="M93" s="775">
        <f t="shared" si="93"/>
        <v>102796.8278548689</v>
      </c>
      <c r="N93" s="806">
        <v>95</v>
      </c>
      <c r="O93" s="777">
        <f t="shared" si="61"/>
        <v>1.0803839798388977E-4</v>
      </c>
      <c r="P93" s="778">
        <f t="shared" si="62"/>
        <v>9066.8027571399161</v>
      </c>
      <c r="Q93" s="786">
        <f t="shared" si="48"/>
        <v>111863.63061200881</v>
      </c>
      <c r="R93" s="692">
        <f t="shared" si="49"/>
        <v>11.961466062019761</v>
      </c>
      <c r="S93" s="807">
        <v>30596342.910000004</v>
      </c>
      <c r="T93" s="782">
        <f t="shared" si="56"/>
        <v>2.8585084255744468</v>
      </c>
      <c r="U93" s="777">
        <f t="shared" si="63"/>
        <v>1.5538071555698653E-3</v>
      </c>
      <c r="V93" s="783">
        <f t="shared" si="50"/>
        <v>3271.6363248502998</v>
      </c>
      <c r="W93" s="778">
        <f t="shared" si="64"/>
        <v>619393.66474459716</v>
      </c>
      <c r="X93" s="784">
        <v>7902179.6117000002</v>
      </c>
      <c r="Y93" s="782">
        <f t="shared" si="57"/>
        <v>11.067820310045407</v>
      </c>
      <c r="Z93" s="782">
        <f t="shared" si="65"/>
        <v>1.7088885755074288E-3</v>
      </c>
      <c r="AA93" s="783">
        <f t="shared" si="51"/>
        <v>844.97215693969213</v>
      </c>
      <c r="AB93" s="692">
        <f t="shared" si="66"/>
        <v>401557.5630899769</v>
      </c>
      <c r="AC93" s="786">
        <f t="shared" si="67"/>
        <v>1020951.2278345741</v>
      </c>
      <c r="AD93" s="787">
        <f t="shared" si="52"/>
        <v>109.16929296776883</v>
      </c>
      <c r="AE93" s="788">
        <v>2939.7311</v>
      </c>
      <c r="AF93" s="774">
        <f t="shared" si="68"/>
        <v>3.0576003582336009E-3</v>
      </c>
      <c r="AG93" s="692">
        <f t="shared" si="69"/>
        <v>384900.08935154189</v>
      </c>
      <c r="AH93" s="786">
        <f t="shared" si="70"/>
        <v>384900.08935154189</v>
      </c>
      <c r="AI93" s="692">
        <f t="shared" si="53"/>
        <v>41.156981325015174</v>
      </c>
      <c r="AJ93" s="789">
        <v>1339</v>
      </c>
      <c r="AK93" s="777">
        <f t="shared" si="71"/>
        <v>1.7799081732213545E-3</v>
      </c>
      <c r="AL93" s="692">
        <f t="shared" si="72"/>
        <v>37343.381227352358</v>
      </c>
      <c r="AM93" s="790">
        <v>6.333333333333333</v>
      </c>
      <c r="AN93" s="791">
        <f t="shared" si="73"/>
        <v>9.1456077015643746E-4</v>
      </c>
      <c r="AO93" s="778">
        <f t="shared" si="74"/>
        <v>57563.85415162451</v>
      </c>
      <c r="AP93" s="768">
        <v>101</v>
      </c>
      <c r="AQ93" s="792">
        <f t="shared" si="75"/>
        <v>1.3651415827532608E-3</v>
      </c>
      <c r="AR93" s="793">
        <f t="shared" si="76"/>
        <v>114565.46651348246</v>
      </c>
      <c r="AS93" s="794">
        <v>5.916666666666667</v>
      </c>
      <c r="AT93" s="791">
        <f t="shared" si="77"/>
        <v>2.3728756913924759E-4</v>
      </c>
      <c r="AU93" s="795">
        <f t="shared" si="78"/>
        <v>19913.656868806702</v>
      </c>
      <c r="AV93" s="796">
        <v>37</v>
      </c>
      <c r="AW93" s="791">
        <f t="shared" si="79"/>
        <v>4.7116951915240424E-4</v>
      </c>
      <c r="AX93" s="795">
        <f t="shared" si="80"/>
        <v>29656.130424816627</v>
      </c>
      <c r="AY93" s="786">
        <f t="shared" si="81"/>
        <v>259042.48918608268</v>
      </c>
      <c r="AZ93" s="787">
        <f t="shared" si="54"/>
        <v>27.6991541045854</v>
      </c>
      <c r="BA93" s="797">
        <f t="shared" si="58"/>
        <v>1776757.4369842075</v>
      </c>
      <c r="BB93" s="775">
        <v>1068720</v>
      </c>
      <c r="BC93" s="775">
        <f t="shared" si="82"/>
        <v>0</v>
      </c>
      <c r="BD93" s="775">
        <f t="shared" si="83"/>
        <v>708037.43698420748</v>
      </c>
      <c r="BE93" s="798">
        <f t="shared" si="84"/>
        <v>1.1017069406560141E-3</v>
      </c>
      <c r="BF93" s="775">
        <f t="shared" si="85"/>
        <v>-1458.5300951608067</v>
      </c>
      <c r="BG93" s="797">
        <f t="shared" si="86"/>
        <v>1775298.9068890468</v>
      </c>
      <c r="BH93" s="799">
        <v>7</v>
      </c>
      <c r="BI93" s="692">
        <f t="shared" si="95"/>
        <v>0</v>
      </c>
      <c r="BJ93" s="800">
        <v>1350</v>
      </c>
      <c r="BK93" s="778">
        <f t="shared" si="87"/>
        <v>0</v>
      </c>
      <c r="BL93" s="786">
        <f t="shared" si="94"/>
        <v>1775298.9068890468</v>
      </c>
      <c r="BM93" s="692">
        <f t="shared" si="88"/>
        <v>1775298.9068890468</v>
      </c>
      <c r="BN93" s="801">
        <f t="shared" si="89"/>
        <v>8.674380286326144E-4</v>
      </c>
      <c r="BO93" s="787">
        <f t="shared" si="90"/>
        <v>4287.5997993671799</v>
      </c>
      <c r="BP93" s="802">
        <f t="shared" si="91"/>
        <v>1779587</v>
      </c>
      <c r="BQ93" s="803">
        <f t="shared" si="55"/>
        <v>190.28945680068435</v>
      </c>
      <c r="BR93" s="682"/>
      <c r="BS93" s="618"/>
    </row>
    <row r="94" spans="1:71" ht="15.75">
      <c r="A94" s="766" t="s">
        <v>3603</v>
      </c>
      <c r="B94" s="767" t="s">
        <v>3604</v>
      </c>
      <c r="C94" s="768">
        <v>36852</v>
      </c>
      <c r="D94" s="769">
        <v>0</v>
      </c>
      <c r="E94" s="770">
        <v>0</v>
      </c>
      <c r="F94" s="771">
        <v>0</v>
      </c>
      <c r="G94" s="770">
        <f>C94/($C$10+$C$60+$C$62+$C$67+$C$74+$C$80+$C$94+$C$105+$C$127+$C$141+$C$168+$C$175+$C$201+$C$219+$C$237+$C$255+$C$265+$C$267+$C$268+$C$273+$C$281)*$G$7</f>
        <v>2263190.4531803411</v>
      </c>
      <c r="H94" s="771">
        <v>0</v>
      </c>
      <c r="I94" s="770">
        <f t="shared" si="92"/>
        <v>2263190.4531803411</v>
      </c>
      <c r="J94" s="772">
        <f t="shared" si="59"/>
        <v>61.412961390978538</v>
      </c>
      <c r="K94" s="773">
        <v>18659</v>
      </c>
      <c r="L94" s="774">
        <f t="shared" si="60"/>
        <v>6.7341100230653827E-3</v>
      </c>
      <c r="M94" s="775">
        <f t="shared" si="93"/>
        <v>565140.25072009396</v>
      </c>
      <c r="N94" s="806">
        <v>7300.5</v>
      </c>
      <c r="O94" s="777">
        <f t="shared" si="61"/>
        <v>8.3024665734882878E-3</v>
      </c>
      <c r="P94" s="778">
        <f t="shared" si="62"/>
        <v>696759.93187894707</v>
      </c>
      <c r="Q94" s="786">
        <f t="shared" si="48"/>
        <v>1261900.1825990411</v>
      </c>
      <c r="R94" s="692">
        <f t="shared" si="49"/>
        <v>34.24237985995444</v>
      </c>
      <c r="S94" s="807">
        <v>139203626.43000001</v>
      </c>
      <c r="T94" s="782">
        <f t="shared" si="56"/>
        <v>9.7559951477479618</v>
      </c>
      <c r="U94" s="777">
        <f t="shared" si="63"/>
        <v>5.3030926670189276E-3</v>
      </c>
      <c r="V94" s="783">
        <f t="shared" si="50"/>
        <v>3777.3696523933572</v>
      </c>
      <c r="W94" s="778">
        <f t="shared" si="64"/>
        <v>2113970.1858950285</v>
      </c>
      <c r="X94" s="784">
        <v>38249121.476099998</v>
      </c>
      <c r="Y94" s="782">
        <f t="shared" si="57"/>
        <v>35.505911027226894</v>
      </c>
      <c r="Z94" s="782">
        <f t="shared" si="65"/>
        <v>5.4821675829287422E-3</v>
      </c>
      <c r="AA94" s="783">
        <f t="shared" si="51"/>
        <v>1037.9116866411591</v>
      </c>
      <c r="AB94" s="692">
        <f t="shared" si="66"/>
        <v>1288209.1241074977</v>
      </c>
      <c r="AC94" s="786">
        <f t="shared" si="67"/>
        <v>3402179.3100025263</v>
      </c>
      <c r="AD94" s="787">
        <f t="shared" si="52"/>
        <v>92.320072452038588</v>
      </c>
      <c r="AE94" s="788">
        <v>2995.3123000000001</v>
      </c>
      <c r="AF94" s="774">
        <f t="shared" si="68"/>
        <v>3.1154101004345299E-3</v>
      </c>
      <c r="AG94" s="692">
        <f t="shared" si="69"/>
        <v>392177.35659760598</v>
      </c>
      <c r="AH94" s="786">
        <f t="shared" si="70"/>
        <v>392177.35659760598</v>
      </c>
      <c r="AI94" s="692">
        <f t="shared" si="53"/>
        <v>10.641955839509551</v>
      </c>
      <c r="AJ94" s="789">
        <v>3442</v>
      </c>
      <c r="AK94" s="777">
        <f t="shared" si="71"/>
        <v>4.5753875520746102E-3</v>
      </c>
      <c r="AL94" s="692">
        <f t="shared" si="72"/>
        <v>95993.964290176882</v>
      </c>
      <c r="AM94" s="790">
        <v>28</v>
      </c>
      <c r="AN94" s="791">
        <f t="shared" si="73"/>
        <v>4.0433212996389871E-3</v>
      </c>
      <c r="AO94" s="778">
        <f t="shared" si="74"/>
        <v>254492.82888086629</v>
      </c>
      <c r="AP94" s="768">
        <v>389</v>
      </c>
      <c r="AQ94" s="792">
        <f t="shared" si="75"/>
        <v>5.2578225315942423E-3</v>
      </c>
      <c r="AR94" s="793">
        <f t="shared" si="76"/>
        <v>441247.19280935323</v>
      </c>
      <c r="AS94" s="794">
        <v>106.6388888888889</v>
      </c>
      <c r="AT94" s="791">
        <f t="shared" si="77"/>
        <v>4.276746375237425E-3</v>
      </c>
      <c r="AU94" s="795">
        <f t="shared" si="78"/>
        <v>358913.28037253016</v>
      </c>
      <c r="AV94" s="796">
        <v>605</v>
      </c>
      <c r="AW94" s="791">
        <f t="shared" si="79"/>
        <v>7.7042583537082314E-3</v>
      </c>
      <c r="AX94" s="795">
        <f t="shared" si="80"/>
        <v>484917.80829767726</v>
      </c>
      <c r="AY94" s="786">
        <f t="shared" si="81"/>
        <v>1635565.074650604</v>
      </c>
      <c r="AZ94" s="787">
        <f t="shared" si="54"/>
        <v>44.381989434782483</v>
      </c>
      <c r="BA94" s="797">
        <f t="shared" si="58"/>
        <v>8955012.3770301193</v>
      </c>
      <c r="BB94" s="775">
        <v>5365419</v>
      </c>
      <c r="BC94" s="775">
        <f t="shared" si="82"/>
        <v>0</v>
      </c>
      <c r="BD94" s="775">
        <f t="shared" si="83"/>
        <v>3589593.3770301193</v>
      </c>
      <c r="BE94" s="798">
        <f t="shared" si="84"/>
        <v>5.5854107862592451E-3</v>
      </c>
      <c r="BF94" s="775">
        <f t="shared" si="85"/>
        <v>-7394.4253457675832</v>
      </c>
      <c r="BG94" s="797">
        <f t="shared" si="86"/>
        <v>8947617.951684352</v>
      </c>
      <c r="BH94" s="799">
        <v>7.9</v>
      </c>
      <c r="BI94" s="692">
        <f t="shared" si="95"/>
        <v>0</v>
      </c>
      <c r="BJ94" s="800">
        <v>1300</v>
      </c>
      <c r="BK94" s="778">
        <f t="shared" si="87"/>
        <v>0</v>
      </c>
      <c r="BL94" s="786">
        <f t="shared" si="94"/>
        <v>8947617.951684352</v>
      </c>
      <c r="BM94" s="692">
        <f t="shared" si="88"/>
        <v>8947617.951684352</v>
      </c>
      <c r="BN94" s="801">
        <f t="shared" si="89"/>
        <v>4.3719421258292621E-3</v>
      </c>
      <c r="BO94" s="787">
        <f t="shared" si="90"/>
        <v>21609.772182918194</v>
      </c>
      <c r="BP94" s="802">
        <f t="shared" si="91"/>
        <v>8969228</v>
      </c>
      <c r="BQ94" s="803">
        <f t="shared" si="55"/>
        <v>243.38510799956583</v>
      </c>
      <c r="BR94" s="682"/>
      <c r="BS94" s="618"/>
    </row>
    <row r="95" spans="1:71" ht="15.75">
      <c r="A95" s="805" t="s">
        <v>3605</v>
      </c>
      <c r="B95" s="767" t="s">
        <v>3606</v>
      </c>
      <c r="C95" s="768">
        <v>10393</v>
      </c>
      <c r="D95" s="769">
        <v>0</v>
      </c>
      <c r="E95" s="770">
        <v>0</v>
      </c>
      <c r="F95" s="771">
        <v>0</v>
      </c>
      <c r="G95" s="770">
        <v>0</v>
      </c>
      <c r="H95" s="771">
        <v>0</v>
      </c>
      <c r="I95" s="770">
        <f t="shared" si="92"/>
        <v>0</v>
      </c>
      <c r="J95" s="772">
        <f t="shared" si="59"/>
        <v>0</v>
      </c>
      <c r="K95" s="773">
        <v>3008</v>
      </c>
      <c r="L95" s="774">
        <f t="shared" si="60"/>
        <v>1.0855996006956788E-3</v>
      </c>
      <c r="M95" s="775">
        <f t="shared" si="93"/>
        <v>91105.733113566777</v>
      </c>
      <c r="N95" s="806">
        <v>48.5</v>
      </c>
      <c r="O95" s="777">
        <f t="shared" si="61"/>
        <v>5.5156445286512143E-5</v>
      </c>
      <c r="P95" s="778">
        <f t="shared" si="62"/>
        <v>4628.8414075924838</v>
      </c>
      <c r="Q95" s="786">
        <f t="shared" si="48"/>
        <v>95734.574521159258</v>
      </c>
      <c r="R95" s="692">
        <f t="shared" si="49"/>
        <v>9.2114475628941843</v>
      </c>
      <c r="S95" s="807">
        <v>33005967.890000001</v>
      </c>
      <c r="T95" s="782">
        <f t="shared" si="56"/>
        <v>3.2725732921992488</v>
      </c>
      <c r="U95" s="777">
        <f t="shared" si="63"/>
        <v>1.7788815149369908E-3</v>
      </c>
      <c r="V95" s="783">
        <f t="shared" si="50"/>
        <v>3175.7883084768596</v>
      </c>
      <c r="W95" s="778">
        <f t="shared" si="64"/>
        <v>709114.98684606305</v>
      </c>
      <c r="X95" s="784">
        <v>10496829.672800001</v>
      </c>
      <c r="Y95" s="782">
        <f t="shared" si="57"/>
        <v>10.290197361198816</v>
      </c>
      <c r="Z95" s="782">
        <f t="shared" si="65"/>
        <v>1.5888223893831181E-3</v>
      </c>
      <c r="AA95" s="783">
        <f t="shared" si="51"/>
        <v>1009.9903466564034</v>
      </c>
      <c r="AB95" s="692">
        <f t="shared" si="66"/>
        <v>373344.20512117574</v>
      </c>
      <c r="AC95" s="786">
        <f t="shared" si="67"/>
        <v>1082459.1919672387</v>
      </c>
      <c r="AD95" s="787">
        <f t="shared" si="52"/>
        <v>104.15271740279407</v>
      </c>
      <c r="AE95" s="788">
        <v>2276.6682999999998</v>
      </c>
      <c r="AF95" s="774">
        <f t="shared" si="68"/>
        <v>2.367951888408801E-3</v>
      </c>
      <c r="AG95" s="692">
        <f t="shared" si="69"/>
        <v>298085.02964567841</v>
      </c>
      <c r="AH95" s="786">
        <f t="shared" si="70"/>
        <v>298085.02964567841</v>
      </c>
      <c r="AI95" s="692">
        <f t="shared" si="53"/>
        <v>28.681326820521353</v>
      </c>
      <c r="AJ95" s="789">
        <v>1222</v>
      </c>
      <c r="AK95" s="777">
        <f t="shared" si="71"/>
        <v>1.6243822163379354E-3</v>
      </c>
      <c r="AL95" s="692">
        <f t="shared" si="72"/>
        <v>34080.367333700218</v>
      </c>
      <c r="AM95" s="790">
        <v>9</v>
      </c>
      <c r="AN95" s="791">
        <f t="shared" si="73"/>
        <v>1.2996389891696744E-3</v>
      </c>
      <c r="AO95" s="778">
        <f t="shared" si="74"/>
        <v>81801.266425992741</v>
      </c>
      <c r="AP95" s="768">
        <v>119</v>
      </c>
      <c r="AQ95" s="792">
        <f t="shared" si="75"/>
        <v>1.6084341420558221E-3</v>
      </c>
      <c r="AR95" s="793">
        <f t="shared" si="76"/>
        <v>134983.0744069744</v>
      </c>
      <c r="AS95" s="794">
        <v>21.138888888888889</v>
      </c>
      <c r="AT95" s="791">
        <f t="shared" si="77"/>
        <v>8.4777389725336808E-4</v>
      </c>
      <c r="AU95" s="795">
        <f t="shared" si="78"/>
        <v>71146.914916253052</v>
      </c>
      <c r="AV95" s="796">
        <v>55</v>
      </c>
      <c r="AW95" s="791">
        <f t="shared" si="79"/>
        <v>7.0038712306438465E-4</v>
      </c>
      <c r="AX95" s="795">
        <f t="shared" si="80"/>
        <v>44083.437117970658</v>
      </c>
      <c r="AY95" s="786">
        <f t="shared" si="81"/>
        <v>366095.06020089105</v>
      </c>
      <c r="AZ95" s="787">
        <f t="shared" si="54"/>
        <v>35.225157336754648</v>
      </c>
      <c r="BA95" s="797">
        <f t="shared" si="58"/>
        <v>1842373.8563349673</v>
      </c>
      <c r="BB95" s="775">
        <v>1104041</v>
      </c>
      <c r="BC95" s="775">
        <f t="shared" si="82"/>
        <v>0</v>
      </c>
      <c r="BD95" s="775">
        <f t="shared" si="83"/>
        <v>738332.85633496731</v>
      </c>
      <c r="BE95" s="798">
        <f t="shared" si="84"/>
        <v>1.1488466426341753E-3</v>
      </c>
      <c r="BF95" s="775">
        <f t="shared" si="85"/>
        <v>-1520.937502679833</v>
      </c>
      <c r="BG95" s="797">
        <f t="shared" si="86"/>
        <v>1840852.9188322874</v>
      </c>
      <c r="BH95" s="799">
        <v>7</v>
      </c>
      <c r="BI95" s="692">
        <f t="shared" si="95"/>
        <v>0</v>
      </c>
      <c r="BJ95" s="800">
        <v>1250</v>
      </c>
      <c r="BK95" s="778">
        <f t="shared" si="87"/>
        <v>0</v>
      </c>
      <c r="BL95" s="786">
        <f t="shared" si="94"/>
        <v>1840852.9188322874</v>
      </c>
      <c r="BM95" s="692">
        <f t="shared" si="88"/>
        <v>1840852.9188322874</v>
      </c>
      <c r="BN95" s="801">
        <f t="shared" si="89"/>
        <v>8.9946871522197838E-4</v>
      </c>
      <c r="BO95" s="787">
        <f t="shared" si="90"/>
        <v>4445.9220781478753</v>
      </c>
      <c r="BP95" s="802">
        <f t="shared" si="91"/>
        <v>1845299</v>
      </c>
      <c r="BQ95" s="803">
        <f t="shared" si="55"/>
        <v>177.55210237659963</v>
      </c>
      <c r="BR95" s="682"/>
      <c r="BS95" s="618"/>
    </row>
    <row r="96" spans="1:71" ht="15.75">
      <c r="A96" s="805" t="s">
        <v>3607</v>
      </c>
      <c r="B96" s="767" t="s">
        <v>3608</v>
      </c>
      <c r="C96" s="768">
        <v>24436</v>
      </c>
      <c r="D96" s="769">
        <v>0</v>
      </c>
      <c r="E96" s="770">
        <v>0</v>
      </c>
      <c r="F96" s="771">
        <v>0</v>
      </c>
      <c r="G96" s="770">
        <v>0</v>
      </c>
      <c r="H96" s="771">
        <v>0</v>
      </c>
      <c r="I96" s="770">
        <f t="shared" si="92"/>
        <v>0</v>
      </c>
      <c r="J96" s="772">
        <f t="shared" si="59"/>
        <v>0</v>
      </c>
      <c r="K96" s="773">
        <v>6917</v>
      </c>
      <c r="L96" s="774">
        <f t="shared" si="60"/>
        <v>2.4963738158284609E-3</v>
      </c>
      <c r="M96" s="775">
        <f t="shared" si="93"/>
        <v>209500.78322690874</v>
      </c>
      <c r="N96" s="806">
        <v>1678.5</v>
      </c>
      <c r="O96" s="777">
        <f t="shared" si="61"/>
        <v>1.9088679054311472E-3</v>
      </c>
      <c r="P96" s="778">
        <f t="shared" si="62"/>
        <v>160196.08871430895</v>
      </c>
      <c r="Q96" s="786">
        <f t="shared" si="48"/>
        <v>369696.87194121769</v>
      </c>
      <c r="R96" s="692">
        <f t="shared" si="49"/>
        <v>15.129189390293734</v>
      </c>
      <c r="S96" s="807">
        <v>77027394.129999995</v>
      </c>
      <c r="T96" s="782">
        <f t="shared" si="56"/>
        <v>7.7520225465791706</v>
      </c>
      <c r="U96" s="777">
        <f t="shared" si="63"/>
        <v>4.2137878605668436E-3</v>
      </c>
      <c r="V96" s="783">
        <f t="shared" si="50"/>
        <v>3152.2096140939593</v>
      </c>
      <c r="W96" s="778">
        <f t="shared" si="64"/>
        <v>1679740.948583524</v>
      </c>
      <c r="X96" s="784">
        <v>15816763.2097</v>
      </c>
      <c r="Y96" s="782">
        <f t="shared" si="57"/>
        <v>37.752230850481681</v>
      </c>
      <c r="Z96" s="782">
        <f t="shared" si="65"/>
        <v>5.829002838232975E-3</v>
      </c>
      <c r="AA96" s="783">
        <f t="shared" si="51"/>
        <v>647.27300743575051</v>
      </c>
      <c r="AB96" s="692">
        <f t="shared" si="66"/>
        <v>1369709.0661808436</v>
      </c>
      <c r="AC96" s="786">
        <f t="shared" si="67"/>
        <v>3049450.0147643676</v>
      </c>
      <c r="AD96" s="787">
        <f t="shared" si="52"/>
        <v>124.79333830268324</v>
      </c>
      <c r="AE96" s="788">
        <v>2633.5356999999999</v>
      </c>
      <c r="AF96" s="774">
        <f t="shared" si="68"/>
        <v>2.7391279766169688E-3</v>
      </c>
      <c r="AG96" s="692">
        <f t="shared" si="69"/>
        <v>344809.81142815249</v>
      </c>
      <c r="AH96" s="786">
        <f t="shared" si="70"/>
        <v>344809.81142815249</v>
      </c>
      <c r="AI96" s="692">
        <f t="shared" si="53"/>
        <v>14.110730538064843</v>
      </c>
      <c r="AJ96" s="789">
        <v>3050</v>
      </c>
      <c r="AK96" s="777">
        <f t="shared" si="71"/>
        <v>4.0543091324310165E-3</v>
      </c>
      <c r="AL96" s="692">
        <f t="shared" si="72"/>
        <v>85061.473296060271</v>
      </c>
      <c r="AM96" s="790">
        <v>10.666666666666666</v>
      </c>
      <c r="AN96" s="791">
        <f t="shared" si="73"/>
        <v>1.5403128760529473E-3</v>
      </c>
      <c r="AO96" s="778">
        <f t="shared" si="74"/>
        <v>96949.649097472866</v>
      </c>
      <c r="AP96" s="768">
        <v>305</v>
      </c>
      <c r="AQ96" s="792">
        <f t="shared" si="75"/>
        <v>4.1224572548489557E-3</v>
      </c>
      <c r="AR96" s="793">
        <f t="shared" si="76"/>
        <v>345965.02263972425</v>
      </c>
      <c r="AS96" s="794">
        <v>74.055555555555543</v>
      </c>
      <c r="AT96" s="791">
        <f t="shared" si="77"/>
        <v>2.9699937057522719E-3</v>
      </c>
      <c r="AU96" s="795">
        <f t="shared" si="78"/>
        <v>249247.93057389039</v>
      </c>
      <c r="AV96" s="796">
        <v>418</v>
      </c>
      <c r="AW96" s="791">
        <f t="shared" si="79"/>
        <v>5.3229421352893238E-3</v>
      </c>
      <c r="AX96" s="795">
        <f t="shared" si="80"/>
        <v>335034.12209657702</v>
      </c>
      <c r="AY96" s="786">
        <f t="shared" si="81"/>
        <v>1112258.1977037247</v>
      </c>
      <c r="AZ96" s="787">
        <f t="shared" si="54"/>
        <v>45.517195846444785</v>
      </c>
      <c r="BA96" s="797">
        <f t="shared" si="58"/>
        <v>4876214.8958374625</v>
      </c>
      <c r="BB96" s="775">
        <v>3380632</v>
      </c>
      <c r="BC96" s="775">
        <f t="shared" si="82"/>
        <v>0</v>
      </c>
      <c r="BD96" s="775">
        <f t="shared" si="83"/>
        <v>1495582.8958374625</v>
      </c>
      <c r="BE96" s="798">
        <f t="shared" si="84"/>
        <v>2.3271284406777832E-3</v>
      </c>
      <c r="BF96" s="775">
        <f t="shared" si="85"/>
        <v>-3080.8436806362593</v>
      </c>
      <c r="BG96" s="797">
        <f t="shared" si="86"/>
        <v>4873134.0521568265</v>
      </c>
      <c r="BH96" s="799">
        <v>8</v>
      </c>
      <c r="BI96" s="692">
        <f t="shared" si="95"/>
        <v>0</v>
      </c>
      <c r="BJ96" s="800">
        <v>1650</v>
      </c>
      <c r="BK96" s="778">
        <f t="shared" si="87"/>
        <v>0</v>
      </c>
      <c r="BL96" s="786">
        <f t="shared" si="94"/>
        <v>4873134.0521568265</v>
      </c>
      <c r="BM96" s="692">
        <f t="shared" si="88"/>
        <v>4873134.0521568265</v>
      </c>
      <c r="BN96" s="801">
        <f t="shared" si="89"/>
        <v>2.3810873645344786E-3</v>
      </c>
      <c r="BO96" s="787">
        <f t="shared" si="90"/>
        <v>11769.313045390627</v>
      </c>
      <c r="BP96" s="802">
        <f t="shared" si="91"/>
        <v>4884903</v>
      </c>
      <c r="BQ96" s="803">
        <f t="shared" si="55"/>
        <v>199.90599934522834</v>
      </c>
      <c r="BR96" s="682"/>
      <c r="BS96" s="618"/>
    </row>
    <row r="97" spans="1:71" ht="15.75">
      <c r="A97" s="805" t="s">
        <v>3609</v>
      </c>
      <c r="B97" s="767" t="s">
        <v>3610</v>
      </c>
      <c r="C97" s="768">
        <v>14225</v>
      </c>
      <c r="D97" s="769">
        <v>0</v>
      </c>
      <c r="E97" s="770">
        <v>0</v>
      </c>
      <c r="F97" s="771">
        <v>0</v>
      </c>
      <c r="G97" s="770">
        <v>0</v>
      </c>
      <c r="H97" s="771">
        <v>0</v>
      </c>
      <c r="I97" s="770">
        <f t="shared" si="92"/>
        <v>0</v>
      </c>
      <c r="J97" s="772">
        <f t="shared" si="59"/>
        <v>0</v>
      </c>
      <c r="K97" s="773">
        <v>4648</v>
      </c>
      <c r="L97" s="774">
        <f t="shared" si="60"/>
        <v>1.6774823617132697E-3</v>
      </c>
      <c r="M97" s="775">
        <f t="shared" si="93"/>
        <v>140777.74185899549</v>
      </c>
      <c r="N97" s="806">
        <v>564</v>
      </c>
      <c r="O97" s="777">
        <f t="shared" si="61"/>
        <v>6.4140691013593501E-4</v>
      </c>
      <c r="P97" s="778">
        <f t="shared" si="62"/>
        <v>53828.176368704342</v>
      </c>
      <c r="Q97" s="786">
        <f t="shared" si="48"/>
        <v>194605.91822769982</v>
      </c>
      <c r="R97" s="692">
        <f t="shared" si="49"/>
        <v>13.680556641666069</v>
      </c>
      <c r="S97" s="807">
        <v>28248435.580000002</v>
      </c>
      <c r="T97" s="782">
        <f t="shared" si="56"/>
        <v>7.1632506666409874</v>
      </c>
      <c r="U97" s="777">
        <f t="shared" si="63"/>
        <v>3.8937475374873605E-3</v>
      </c>
      <c r="V97" s="783">
        <f t="shared" si="50"/>
        <v>1985.8302692442883</v>
      </c>
      <c r="W97" s="778">
        <f t="shared" si="64"/>
        <v>1552163.3738068498</v>
      </c>
      <c r="X97" s="784">
        <v>13413577.922499999</v>
      </c>
      <c r="Y97" s="782">
        <f t="shared" si="57"/>
        <v>15.085507101023069</v>
      </c>
      <c r="Z97" s="782">
        <f t="shared" si="65"/>
        <v>2.3292256305676102E-3</v>
      </c>
      <c r="AA97" s="783">
        <f t="shared" si="51"/>
        <v>942.9580261862917</v>
      </c>
      <c r="AB97" s="692">
        <f t="shared" si="66"/>
        <v>547325.42630505655</v>
      </c>
      <c r="AC97" s="786">
        <f t="shared" si="67"/>
        <v>2099488.8001119066</v>
      </c>
      <c r="AD97" s="787">
        <f t="shared" si="52"/>
        <v>147.59147979697059</v>
      </c>
      <c r="AE97" s="788">
        <v>3263.7636000000002</v>
      </c>
      <c r="AF97" s="774">
        <f t="shared" si="68"/>
        <v>3.3946250228634135E-3</v>
      </c>
      <c r="AG97" s="692">
        <f t="shared" si="69"/>
        <v>427325.78543061647</v>
      </c>
      <c r="AH97" s="786">
        <f t="shared" si="70"/>
        <v>427325.78543061647</v>
      </c>
      <c r="AI97" s="692">
        <f t="shared" si="53"/>
        <v>30.040477007424709</v>
      </c>
      <c r="AJ97" s="789">
        <v>1535</v>
      </c>
      <c r="AK97" s="777">
        <f t="shared" si="71"/>
        <v>2.0404473830431509E-3</v>
      </c>
      <c r="AL97" s="692">
        <f t="shared" si="72"/>
        <v>42809.626724410657</v>
      </c>
      <c r="AM97" s="790">
        <v>12</v>
      </c>
      <c r="AN97" s="791">
        <f t="shared" si="73"/>
        <v>1.7328519855595659E-3</v>
      </c>
      <c r="AO97" s="778">
        <f t="shared" si="74"/>
        <v>109068.35523465698</v>
      </c>
      <c r="AP97" s="768">
        <v>124</v>
      </c>
      <c r="AQ97" s="792">
        <f t="shared" si="75"/>
        <v>1.6760154085287558E-3</v>
      </c>
      <c r="AR97" s="793">
        <f t="shared" si="76"/>
        <v>140654.63215516659</v>
      </c>
      <c r="AS97" s="794">
        <v>30.166666666666668</v>
      </c>
      <c r="AT97" s="791">
        <f t="shared" si="77"/>
        <v>1.2098323947663046E-3</v>
      </c>
      <c r="AU97" s="795">
        <f t="shared" si="78"/>
        <v>101531.6026268736</v>
      </c>
      <c r="AV97" s="796">
        <v>68</v>
      </c>
      <c r="AW97" s="791">
        <f t="shared" si="79"/>
        <v>8.6593317033414831E-4</v>
      </c>
      <c r="AX97" s="795">
        <f t="shared" si="80"/>
        <v>54503.158618581903</v>
      </c>
      <c r="AY97" s="786">
        <f t="shared" si="81"/>
        <v>448567.3753596897</v>
      </c>
      <c r="AZ97" s="787">
        <f t="shared" si="54"/>
        <v>31.533734647429856</v>
      </c>
      <c r="BA97" s="797">
        <f t="shared" si="58"/>
        <v>3169987.8791299127</v>
      </c>
      <c r="BB97" s="775">
        <v>1831756</v>
      </c>
      <c r="BC97" s="775">
        <f t="shared" si="82"/>
        <v>0</v>
      </c>
      <c r="BD97" s="775">
        <f t="shared" si="83"/>
        <v>1338231.8791299127</v>
      </c>
      <c r="BE97" s="798">
        <f t="shared" si="84"/>
        <v>2.0822901056253749E-3</v>
      </c>
      <c r="BF97" s="775">
        <f t="shared" si="85"/>
        <v>-2756.7065921376025</v>
      </c>
      <c r="BG97" s="797">
        <f t="shared" si="86"/>
        <v>3167231.1725377752</v>
      </c>
      <c r="BH97" s="799">
        <v>6.5</v>
      </c>
      <c r="BI97" s="692">
        <f t="shared" si="95"/>
        <v>0</v>
      </c>
      <c r="BJ97" s="800">
        <v>900</v>
      </c>
      <c r="BK97" s="778">
        <f t="shared" si="87"/>
        <v>0</v>
      </c>
      <c r="BL97" s="786">
        <f t="shared" si="94"/>
        <v>3167231.1725377752</v>
      </c>
      <c r="BM97" s="692">
        <f t="shared" si="88"/>
        <v>3167231.1725377752</v>
      </c>
      <c r="BN97" s="801">
        <f t="shared" si="89"/>
        <v>1.5475572895745819E-3</v>
      </c>
      <c r="BO97" s="787">
        <f t="shared" si="90"/>
        <v>7649.3145392170045</v>
      </c>
      <c r="BP97" s="802">
        <f t="shared" si="91"/>
        <v>3174880</v>
      </c>
      <c r="BQ97" s="803">
        <f t="shared" si="55"/>
        <v>223.19015817223197</v>
      </c>
      <c r="BR97" s="682"/>
      <c r="BS97" s="618"/>
    </row>
    <row r="98" spans="1:71" ht="15.75">
      <c r="A98" s="766" t="s">
        <v>3611</v>
      </c>
      <c r="B98" s="767" t="s">
        <v>3612</v>
      </c>
      <c r="C98" s="768">
        <v>26957</v>
      </c>
      <c r="D98" s="769">
        <v>0</v>
      </c>
      <c r="E98" s="770">
        <v>0</v>
      </c>
      <c r="F98" s="771">
        <v>0</v>
      </c>
      <c r="G98" s="770">
        <v>0</v>
      </c>
      <c r="H98" s="771">
        <v>0</v>
      </c>
      <c r="I98" s="770">
        <f t="shared" si="92"/>
        <v>0</v>
      </c>
      <c r="J98" s="772">
        <f t="shared" si="59"/>
        <v>0</v>
      </c>
      <c r="K98" s="773">
        <v>9918</v>
      </c>
      <c r="L98" s="774">
        <f t="shared" si="60"/>
        <v>3.5794470876661377E-3</v>
      </c>
      <c r="M98" s="775">
        <f t="shared" si="93"/>
        <v>300394.50166900113</v>
      </c>
      <c r="N98" s="806">
        <v>1995.5</v>
      </c>
      <c r="O98" s="777">
        <f t="shared" si="61"/>
        <v>2.269374980808969E-3</v>
      </c>
      <c r="P98" s="778">
        <f t="shared" si="62"/>
        <v>190450.57791444953</v>
      </c>
      <c r="Q98" s="786">
        <f t="shared" si="48"/>
        <v>490845.07958345069</v>
      </c>
      <c r="R98" s="692">
        <f t="shared" si="49"/>
        <v>18.208446028246865</v>
      </c>
      <c r="S98" s="807">
        <v>85188038.439999998</v>
      </c>
      <c r="T98" s="782">
        <f t="shared" si="56"/>
        <v>8.5303038115124377</v>
      </c>
      <c r="U98" s="777">
        <f t="shared" si="63"/>
        <v>4.6368403125659156E-3</v>
      </c>
      <c r="V98" s="783">
        <f t="shared" si="50"/>
        <v>3160.1453589049224</v>
      </c>
      <c r="W98" s="778">
        <f t="shared" si="64"/>
        <v>1848382.2163776541</v>
      </c>
      <c r="X98" s="784">
        <v>24563476.5748</v>
      </c>
      <c r="Y98" s="782">
        <f t="shared" si="57"/>
        <v>29.583754025499413</v>
      </c>
      <c r="Z98" s="782">
        <f t="shared" si="65"/>
        <v>4.5677773815059747E-3</v>
      </c>
      <c r="AA98" s="783">
        <f t="shared" si="51"/>
        <v>911.2095772823385</v>
      </c>
      <c r="AB98" s="692">
        <f t="shared" si="66"/>
        <v>1073344.149141151</v>
      </c>
      <c r="AC98" s="786">
        <f t="shared" si="67"/>
        <v>2921726.3655188051</v>
      </c>
      <c r="AD98" s="787">
        <f t="shared" si="52"/>
        <v>108.38470028262807</v>
      </c>
      <c r="AE98" s="788">
        <v>1504.0952</v>
      </c>
      <c r="AF98" s="774">
        <f t="shared" si="68"/>
        <v>1.5644022755473925E-3</v>
      </c>
      <c r="AG98" s="692">
        <f t="shared" si="69"/>
        <v>196931.74551686895</v>
      </c>
      <c r="AH98" s="786">
        <f t="shared" si="70"/>
        <v>196931.74551686895</v>
      </c>
      <c r="AI98" s="692">
        <f t="shared" si="53"/>
        <v>7.3054028829939881</v>
      </c>
      <c r="AJ98" s="789">
        <v>3219</v>
      </c>
      <c r="AK98" s="777">
        <f t="shared" si="71"/>
        <v>4.2789577368181784E-3</v>
      </c>
      <c r="AL98" s="692">
        <f t="shared" si="72"/>
        <v>89774.715586891165</v>
      </c>
      <c r="AM98" s="790">
        <v>19.333333333333332</v>
      </c>
      <c r="AN98" s="791">
        <f t="shared" si="73"/>
        <v>2.7918170878459669E-3</v>
      </c>
      <c r="AO98" s="778">
        <f t="shared" si="74"/>
        <v>175721.23898916956</v>
      </c>
      <c r="AP98" s="768">
        <v>265</v>
      </c>
      <c r="AQ98" s="792">
        <f t="shared" si="75"/>
        <v>3.5818071230654864E-3</v>
      </c>
      <c r="AR98" s="793">
        <f t="shared" si="76"/>
        <v>300592.5606541867</v>
      </c>
      <c r="AS98" s="794">
        <v>67.944444444444443</v>
      </c>
      <c r="AT98" s="791">
        <f t="shared" si="77"/>
        <v>2.7249079535896694E-3</v>
      </c>
      <c r="AU98" s="795">
        <f t="shared" si="78"/>
        <v>228679.83427747039</v>
      </c>
      <c r="AV98" s="796">
        <v>290</v>
      </c>
      <c r="AW98" s="791">
        <f t="shared" si="79"/>
        <v>3.6929502852485739E-3</v>
      </c>
      <c r="AX98" s="795">
        <f t="shared" si="80"/>
        <v>232439.94116748168</v>
      </c>
      <c r="AY98" s="786">
        <f t="shared" si="81"/>
        <v>1027208.2906751995</v>
      </c>
      <c r="AZ98" s="787">
        <f t="shared" si="54"/>
        <v>38.105437944697094</v>
      </c>
      <c r="BA98" s="797">
        <f t="shared" si="58"/>
        <v>4636711.4812943237</v>
      </c>
      <c r="BB98" s="775">
        <v>3641534</v>
      </c>
      <c r="BC98" s="775">
        <f t="shared" si="82"/>
        <v>0</v>
      </c>
      <c r="BD98" s="775">
        <f t="shared" si="83"/>
        <v>995177.48129432369</v>
      </c>
      <c r="BE98" s="798">
        <f t="shared" si="84"/>
        <v>1.5484971289039082E-3</v>
      </c>
      <c r="BF98" s="775">
        <f t="shared" si="85"/>
        <v>-2050.0276266133046</v>
      </c>
      <c r="BG98" s="797">
        <f t="shared" si="86"/>
        <v>4634661.4536677105</v>
      </c>
      <c r="BH98" s="799">
        <v>7.7</v>
      </c>
      <c r="BI98" s="692">
        <f t="shared" si="95"/>
        <v>0</v>
      </c>
      <c r="BJ98" s="800">
        <v>1550</v>
      </c>
      <c r="BK98" s="778">
        <f t="shared" si="87"/>
        <v>0</v>
      </c>
      <c r="BL98" s="786">
        <f t="shared" si="94"/>
        <v>4634661.4536677105</v>
      </c>
      <c r="BM98" s="692">
        <f t="shared" si="88"/>
        <v>4634661.4536677105</v>
      </c>
      <c r="BN98" s="801">
        <f t="shared" si="89"/>
        <v>2.2645660283732412E-3</v>
      </c>
      <c r="BO98" s="787">
        <f t="shared" si="90"/>
        <v>11193.367743183326</v>
      </c>
      <c r="BP98" s="802">
        <f t="shared" si="91"/>
        <v>4645855</v>
      </c>
      <c r="BQ98" s="803">
        <f t="shared" si="55"/>
        <v>172.34317616945506</v>
      </c>
      <c r="BR98" s="682"/>
      <c r="BS98" s="618"/>
    </row>
    <row r="99" spans="1:71" ht="15.75">
      <c r="A99" s="766" t="s">
        <v>3613</v>
      </c>
      <c r="B99" s="767" t="s">
        <v>3614</v>
      </c>
      <c r="C99" s="768">
        <v>74588</v>
      </c>
      <c r="D99" s="769">
        <v>0</v>
      </c>
      <c r="E99" s="770">
        <f>C99/($C$8+$C$149+$C$165+$C$99+$C$82+$C$188+$C$213+$C$236+$C$253+$C$271)*$E$7</f>
        <v>13466743.841502802</v>
      </c>
      <c r="F99" s="771">
        <v>0</v>
      </c>
      <c r="G99" s="770">
        <v>0</v>
      </c>
      <c r="H99" s="771">
        <v>0</v>
      </c>
      <c r="I99" s="770">
        <f t="shared" si="92"/>
        <v>13466743.841502802</v>
      </c>
      <c r="J99" s="772">
        <f t="shared" si="59"/>
        <v>180.54839708133753</v>
      </c>
      <c r="K99" s="773">
        <v>55965</v>
      </c>
      <c r="L99" s="774">
        <f t="shared" si="60"/>
        <v>2.0197999219725288E-2</v>
      </c>
      <c r="M99" s="775">
        <f t="shared" si="93"/>
        <v>1695057.2984377544</v>
      </c>
      <c r="N99" s="806">
        <v>26302</v>
      </c>
      <c r="O99" s="777">
        <f t="shared" si="61"/>
        <v>2.991185203970809E-2</v>
      </c>
      <c r="P99" s="778">
        <f t="shared" si="62"/>
        <v>2510263.6433504638</v>
      </c>
      <c r="Q99" s="786">
        <f t="shared" si="48"/>
        <v>4205320.941788218</v>
      </c>
      <c r="R99" s="692">
        <f t="shared" si="49"/>
        <v>56.380663669601248</v>
      </c>
      <c r="S99" s="781">
        <v>291210808.05000007</v>
      </c>
      <c r="T99" s="782">
        <f t="shared" si="56"/>
        <v>19.10426945089478</v>
      </c>
      <c r="U99" s="777">
        <f t="shared" si="63"/>
        <v>1.0384559411879192E-2</v>
      </c>
      <c r="V99" s="783">
        <f t="shared" si="50"/>
        <v>3904.2581655226049</v>
      </c>
      <c r="W99" s="778">
        <f t="shared" si="64"/>
        <v>4139593.6991439848</v>
      </c>
      <c r="X99" s="784">
        <v>92866081.904899999</v>
      </c>
      <c r="Y99" s="782">
        <f t="shared" si="57"/>
        <v>59.907445537512807</v>
      </c>
      <c r="Z99" s="782">
        <f t="shared" si="65"/>
        <v>9.2498022554604632E-3</v>
      </c>
      <c r="AA99" s="783">
        <f t="shared" si="51"/>
        <v>1245.0539216080335</v>
      </c>
      <c r="AB99" s="692">
        <f t="shared" si="66"/>
        <v>2173534.3696495611</v>
      </c>
      <c r="AC99" s="786">
        <f t="shared" si="67"/>
        <v>6313128.0687935464</v>
      </c>
      <c r="AD99" s="787">
        <f t="shared" si="52"/>
        <v>84.639996632079516</v>
      </c>
      <c r="AE99" s="788">
        <v>6276.4171999999999</v>
      </c>
      <c r="AF99" s="774">
        <f t="shared" si="68"/>
        <v>6.5280717270853562E-3</v>
      </c>
      <c r="AG99" s="692">
        <f t="shared" si="69"/>
        <v>821773.64490498952</v>
      </c>
      <c r="AH99" s="786">
        <f t="shared" si="70"/>
        <v>821773.64490498952</v>
      </c>
      <c r="AI99" s="692">
        <f t="shared" si="53"/>
        <v>11.017504758204932</v>
      </c>
      <c r="AJ99" s="789">
        <v>9004</v>
      </c>
      <c r="AK99" s="777">
        <f t="shared" si="71"/>
        <v>1.1968852271609468E-2</v>
      </c>
      <c r="AL99" s="692">
        <f t="shared" si="72"/>
        <v>251112.62477302516</v>
      </c>
      <c r="AM99" s="790">
        <v>73.666666666666671</v>
      </c>
      <c r="AN99" s="791">
        <f t="shared" si="73"/>
        <v>1.0637785800240669E-2</v>
      </c>
      <c r="AO99" s="778">
        <f t="shared" si="74"/>
        <v>669558.51407942211</v>
      </c>
      <c r="AP99" s="768">
        <v>869</v>
      </c>
      <c r="AQ99" s="792">
        <f t="shared" si="75"/>
        <v>1.1745624112995878E-2</v>
      </c>
      <c r="AR99" s="793">
        <f t="shared" si="76"/>
        <v>985716.73663580464</v>
      </c>
      <c r="AS99" s="794">
        <v>330.38888888888891</v>
      </c>
      <c r="AT99" s="791">
        <f t="shared" si="77"/>
        <v>1.3250226982827282E-2</v>
      </c>
      <c r="AU99" s="795">
        <f t="shared" si="78"/>
        <v>1111986.0788619104</v>
      </c>
      <c r="AV99" s="796">
        <v>923</v>
      </c>
      <c r="AW99" s="791">
        <f t="shared" si="79"/>
        <v>1.1753769356153219E-2</v>
      </c>
      <c r="AX99" s="795">
        <f t="shared" si="80"/>
        <v>739800.22654339846</v>
      </c>
      <c r="AY99" s="786">
        <f t="shared" si="81"/>
        <v>3758174.1808935609</v>
      </c>
      <c r="AZ99" s="787">
        <f t="shared" si="54"/>
        <v>50.385774935560157</v>
      </c>
      <c r="BA99" s="797">
        <f t="shared" si="58"/>
        <v>28565140.677883118</v>
      </c>
      <c r="BB99" s="775">
        <v>18457597</v>
      </c>
      <c r="BC99" s="775">
        <f t="shared" si="82"/>
        <v>0</v>
      </c>
      <c r="BD99" s="775">
        <f t="shared" si="83"/>
        <v>10107543.677883118</v>
      </c>
      <c r="BE99" s="798">
        <f t="shared" si="84"/>
        <v>1.572734779440204E-2</v>
      </c>
      <c r="BF99" s="775">
        <f t="shared" si="85"/>
        <v>-20821.154182379338</v>
      </c>
      <c r="BG99" s="797">
        <f t="shared" si="86"/>
        <v>28544319.52370074</v>
      </c>
      <c r="BH99" s="799">
        <v>7.5</v>
      </c>
      <c r="BI99" s="692">
        <f t="shared" si="95"/>
        <v>0</v>
      </c>
      <c r="BJ99" s="800">
        <v>1350</v>
      </c>
      <c r="BK99" s="778">
        <f t="shared" si="87"/>
        <v>0</v>
      </c>
      <c r="BL99" s="786">
        <f t="shared" si="94"/>
        <v>28544319.52370074</v>
      </c>
      <c r="BM99" s="692">
        <f t="shared" si="88"/>
        <v>28544319.52370074</v>
      </c>
      <c r="BN99" s="801">
        <f t="shared" si="89"/>
        <v>1.3947188363726009E-2</v>
      </c>
      <c r="BO99" s="787">
        <f t="shared" si="90"/>
        <v>68938.598558231926</v>
      </c>
      <c r="BP99" s="802">
        <f t="shared" si="91"/>
        <v>28613258</v>
      </c>
      <c r="BQ99" s="803">
        <f t="shared" si="55"/>
        <v>383.61744516544218</v>
      </c>
      <c r="BR99" s="682"/>
      <c r="BS99" s="618"/>
    </row>
    <row r="100" spans="1:71" ht="15.75">
      <c r="A100" s="805" t="s">
        <v>3615</v>
      </c>
      <c r="B100" s="767" t="s">
        <v>3616</v>
      </c>
      <c r="C100" s="768">
        <v>11940</v>
      </c>
      <c r="D100" s="769">
        <v>0</v>
      </c>
      <c r="E100" s="770">
        <v>0</v>
      </c>
      <c r="F100" s="771">
        <v>0</v>
      </c>
      <c r="G100" s="770">
        <v>0</v>
      </c>
      <c r="H100" s="771">
        <v>0</v>
      </c>
      <c r="I100" s="770">
        <f t="shared" si="92"/>
        <v>0</v>
      </c>
      <c r="J100" s="772">
        <f t="shared" si="59"/>
        <v>0</v>
      </c>
      <c r="K100" s="773">
        <v>2548</v>
      </c>
      <c r="L100" s="774">
        <f t="shared" si="60"/>
        <v>9.1958370431269602E-4</v>
      </c>
      <c r="M100" s="775">
        <f t="shared" si="93"/>
        <v>77173.340416678242</v>
      </c>
      <c r="N100" s="806">
        <v>1095.5</v>
      </c>
      <c r="O100" s="777">
        <f t="shared" si="61"/>
        <v>1.2458533156984341E-3</v>
      </c>
      <c r="P100" s="778">
        <f t="shared" si="62"/>
        <v>104554.55179417662</v>
      </c>
      <c r="Q100" s="786">
        <f t="shared" si="48"/>
        <v>181727.89221085486</v>
      </c>
      <c r="R100" s="692">
        <f t="shared" si="49"/>
        <v>15.220091474945969</v>
      </c>
      <c r="S100" s="807">
        <v>33666250.740000002</v>
      </c>
      <c r="T100" s="782">
        <f t="shared" si="56"/>
        <v>4.2346146917576242</v>
      </c>
      <c r="U100" s="777">
        <f t="shared" si="63"/>
        <v>2.3018209602835094E-3</v>
      </c>
      <c r="V100" s="783">
        <f t="shared" si="50"/>
        <v>2819.618989949749</v>
      </c>
      <c r="W100" s="778">
        <f t="shared" si="64"/>
        <v>917574.17583331768</v>
      </c>
      <c r="X100" s="784">
        <v>8414813.9509999994</v>
      </c>
      <c r="Y100" s="782">
        <f t="shared" si="57"/>
        <v>16.94197885183879</v>
      </c>
      <c r="Z100" s="782">
        <f t="shared" si="65"/>
        <v>2.6158677404726494E-3</v>
      </c>
      <c r="AA100" s="783">
        <f t="shared" si="51"/>
        <v>704.75828735343384</v>
      </c>
      <c r="AB100" s="692">
        <f t="shared" si="66"/>
        <v>614681.08002183482</v>
      </c>
      <c r="AC100" s="786">
        <f t="shared" si="67"/>
        <v>1532255.2558551524</v>
      </c>
      <c r="AD100" s="787">
        <f t="shared" si="52"/>
        <v>128.32958591751694</v>
      </c>
      <c r="AE100" s="788">
        <v>4683.0132999999996</v>
      </c>
      <c r="AF100" s="774">
        <f t="shared" si="68"/>
        <v>4.8707798967370574E-3</v>
      </c>
      <c r="AG100" s="692">
        <f t="shared" si="69"/>
        <v>613148.6779877448</v>
      </c>
      <c r="AH100" s="786">
        <f t="shared" si="70"/>
        <v>613148.6779877448</v>
      </c>
      <c r="AI100" s="692">
        <f t="shared" si="53"/>
        <v>51.352485593613466</v>
      </c>
      <c r="AJ100" s="789">
        <v>1227</v>
      </c>
      <c r="AK100" s="777">
        <f t="shared" si="71"/>
        <v>1.6310286247517567E-3</v>
      </c>
      <c r="AL100" s="692">
        <f t="shared" si="72"/>
        <v>34219.812371890475</v>
      </c>
      <c r="AM100" s="790">
        <v>19</v>
      </c>
      <c r="AN100" s="791">
        <f t="shared" si="73"/>
        <v>2.7436823104693125E-3</v>
      </c>
      <c r="AO100" s="778">
        <f t="shared" si="74"/>
        <v>172691.56245487355</v>
      </c>
      <c r="AP100" s="768">
        <v>123</v>
      </c>
      <c r="AQ100" s="792">
        <f t="shared" si="75"/>
        <v>1.6624991552341691E-3</v>
      </c>
      <c r="AR100" s="793">
        <f t="shared" si="76"/>
        <v>139520.32060552813</v>
      </c>
      <c r="AS100" s="794">
        <v>26.25</v>
      </c>
      <c r="AT100" s="791">
        <f t="shared" si="77"/>
        <v>1.0527547081529997E-3</v>
      </c>
      <c r="AU100" s="795">
        <f t="shared" si="78"/>
        <v>88349.322727804363</v>
      </c>
      <c r="AV100" s="796">
        <v>51</v>
      </c>
      <c r="AW100" s="791">
        <f t="shared" si="79"/>
        <v>6.494498777506112E-4</v>
      </c>
      <c r="AX100" s="795">
        <f t="shared" si="80"/>
        <v>40877.368963936431</v>
      </c>
      <c r="AY100" s="786">
        <f t="shared" si="81"/>
        <v>475658.387124033</v>
      </c>
      <c r="AZ100" s="787">
        <f t="shared" si="54"/>
        <v>39.837385856284172</v>
      </c>
      <c r="BA100" s="797">
        <f t="shared" si="58"/>
        <v>2802790.2131777853</v>
      </c>
      <c r="BB100" s="775">
        <v>1674307</v>
      </c>
      <c r="BC100" s="775">
        <f t="shared" si="82"/>
        <v>0</v>
      </c>
      <c r="BD100" s="775">
        <f t="shared" si="83"/>
        <v>1128483.2131777853</v>
      </c>
      <c r="BE100" s="798">
        <f t="shared" si="84"/>
        <v>1.7559209773811675E-3</v>
      </c>
      <c r="BF100" s="775">
        <f t="shared" si="85"/>
        <v>-2324.6323461569732</v>
      </c>
      <c r="BG100" s="797">
        <f t="shared" si="86"/>
        <v>2800465.5808316283</v>
      </c>
      <c r="BH100" s="799">
        <v>8</v>
      </c>
      <c r="BI100" s="692">
        <f t="shared" si="95"/>
        <v>0</v>
      </c>
      <c r="BJ100" s="800">
        <v>1100</v>
      </c>
      <c r="BK100" s="778">
        <f t="shared" si="87"/>
        <v>0</v>
      </c>
      <c r="BL100" s="786">
        <f t="shared" si="94"/>
        <v>2800465.5808316283</v>
      </c>
      <c r="BM100" s="692">
        <f t="shared" si="88"/>
        <v>2800465.5808316283</v>
      </c>
      <c r="BN100" s="801">
        <f t="shared" si="89"/>
        <v>1.3683500470052957E-3</v>
      </c>
      <c r="BO100" s="787">
        <f t="shared" si="90"/>
        <v>6763.5233795921085</v>
      </c>
      <c r="BP100" s="802">
        <f t="shared" si="91"/>
        <v>2807229</v>
      </c>
      <c r="BQ100" s="803">
        <f t="shared" si="55"/>
        <v>235.11130653266332</v>
      </c>
      <c r="BR100" s="682"/>
      <c r="BS100" s="618"/>
    </row>
    <row r="101" spans="1:71" ht="15.75">
      <c r="A101" s="805" t="s">
        <v>3617</v>
      </c>
      <c r="B101" s="767" t="s">
        <v>3618</v>
      </c>
      <c r="C101" s="768">
        <v>7103</v>
      </c>
      <c r="D101" s="769">
        <v>0</v>
      </c>
      <c r="E101" s="770">
        <v>0</v>
      </c>
      <c r="F101" s="771">
        <v>0</v>
      </c>
      <c r="G101" s="770">
        <v>0</v>
      </c>
      <c r="H101" s="771">
        <v>0</v>
      </c>
      <c r="I101" s="770">
        <f t="shared" si="92"/>
        <v>0</v>
      </c>
      <c r="J101" s="772">
        <f t="shared" si="59"/>
        <v>0</v>
      </c>
      <c r="K101" s="773">
        <v>1385</v>
      </c>
      <c r="L101" s="774">
        <f t="shared" si="60"/>
        <v>4.9985220976180684E-4</v>
      </c>
      <c r="M101" s="775">
        <f t="shared" si="93"/>
        <v>41948.617141718743</v>
      </c>
      <c r="N101" s="806">
        <v>44.5</v>
      </c>
      <c r="O101" s="777">
        <f t="shared" si="61"/>
        <v>5.0607460108243103E-5</v>
      </c>
      <c r="P101" s="778">
        <f t="shared" si="62"/>
        <v>4247.0812915023816</v>
      </c>
      <c r="Q101" s="786">
        <f t="shared" si="48"/>
        <v>46195.698433221129</v>
      </c>
      <c r="R101" s="692">
        <f t="shared" si="49"/>
        <v>6.5036883617092958</v>
      </c>
      <c r="S101" s="807">
        <v>21045678.630000003</v>
      </c>
      <c r="T101" s="782">
        <f t="shared" si="56"/>
        <v>2.397290668882555</v>
      </c>
      <c r="U101" s="777">
        <f t="shared" si="63"/>
        <v>1.3031017722265486E-3</v>
      </c>
      <c r="V101" s="783">
        <f t="shared" si="50"/>
        <v>2962.9281472617208</v>
      </c>
      <c r="W101" s="778">
        <f t="shared" si="64"/>
        <v>519455.0555011197</v>
      </c>
      <c r="X101" s="784">
        <v>3936178.7004</v>
      </c>
      <c r="Y101" s="782">
        <f t="shared" si="57"/>
        <v>12.817662215100381</v>
      </c>
      <c r="Z101" s="782">
        <f t="shared" si="65"/>
        <v>1.9790668722926186E-3</v>
      </c>
      <c r="AA101" s="783">
        <f t="shared" si="51"/>
        <v>554.15721531747147</v>
      </c>
      <c r="AB101" s="692">
        <f t="shared" si="66"/>
        <v>465044.52181380487</v>
      </c>
      <c r="AC101" s="786">
        <f t="shared" si="67"/>
        <v>984499.57731492457</v>
      </c>
      <c r="AD101" s="787">
        <f t="shared" si="52"/>
        <v>138.60334750315707</v>
      </c>
      <c r="AE101" s="788">
        <v>4761.009</v>
      </c>
      <c r="AF101" s="774">
        <f t="shared" si="68"/>
        <v>4.9519028539560632E-3</v>
      </c>
      <c r="AG101" s="692">
        <f t="shared" si="69"/>
        <v>623360.68407872238</v>
      </c>
      <c r="AH101" s="786">
        <f t="shared" si="70"/>
        <v>623360.68407872238</v>
      </c>
      <c r="AI101" s="692">
        <f t="shared" si="53"/>
        <v>87.760197674042288</v>
      </c>
      <c r="AJ101" s="789">
        <v>1161</v>
      </c>
      <c r="AK101" s="777">
        <f t="shared" si="71"/>
        <v>1.543296033689315E-3</v>
      </c>
      <c r="AL101" s="692">
        <f t="shared" si="72"/>
        <v>32379.137867779009</v>
      </c>
      <c r="AM101" s="790">
        <v>7.666666666666667</v>
      </c>
      <c r="AN101" s="791">
        <f t="shared" si="73"/>
        <v>1.107099879663056E-3</v>
      </c>
      <c r="AO101" s="778">
        <f t="shared" si="74"/>
        <v>69682.560288808629</v>
      </c>
      <c r="AP101" s="768">
        <v>107</v>
      </c>
      <c r="AQ101" s="792">
        <f t="shared" si="75"/>
        <v>1.4462391025207811E-3</v>
      </c>
      <c r="AR101" s="793">
        <f t="shared" si="76"/>
        <v>121371.3358113131</v>
      </c>
      <c r="AS101" s="794">
        <v>9.9444444444444446</v>
      </c>
      <c r="AT101" s="791">
        <f t="shared" si="77"/>
        <v>3.9882136033732692E-4</v>
      </c>
      <c r="AU101" s="795">
        <f t="shared" si="78"/>
        <v>33469.902155083561</v>
      </c>
      <c r="AV101" s="796">
        <v>32</v>
      </c>
      <c r="AW101" s="791">
        <f t="shared" si="79"/>
        <v>4.0749796251018743E-4</v>
      </c>
      <c r="AX101" s="795">
        <f t="shared" si="80"/>
        <v>25648.545232273838</v>
      </c>
      <c r="AY101" s="786">
        <f t="shared" si="81"/>
        <v>282551.48135525815</v>
      </c>
      <c r="AZ101" s="787">
        <f t="shared" si="54"/>
        <v>39.779175187281169</v>
      </c>
      <c r="BA101" s="797">
        <f t="shared" si="58"/>
        <v>1936607.4411821263</v>
      </c>
      <c r="BB101" s="775">
        <v>1043467</v>
      </c>
      <c r="BC101" s="775">
        <f t="shared" si="82"/>
        <v>0</v>
      </c>
      <c r="BD101" s="775">
        <f t="shared" si="83"/>
        <v>893140.44118212629</v>
      </c>
      <c r="BE101" s="798">
        <f t="shared" si="84"/>
        <v>1.3897273952378176E-3</v>
      </c>
      <c r="BF101" s="775">
        <f t="shared" si="85"/>
        <v>-1839.8352186261407</v>
      </c>
      <c r="BG101" s="797">
        <f t="shared" si="86"/>
        <v>1934767.6059635002</v>
      </c>
      <c r="BH101" s="799">
        <v>7.5</v>
      </c>
      <c r="BI101" s="692">
        <f t="shared" si="95"/>
        <v>0</v>
      </c>
      <c r="BJ101" s="800">
        <v>1600</v>
      </c>
      <c r="BK101" s="778">
        <f t="shared" si="87"/>
        <v>0</v>
      </c>
      <c r="BL101" s="786">
        <f t="shared" si="94"/>
        <v>1934767.6059635002</v>
      </c>
      <c r="BM101" s="692">
        <f t="shared" si="88"/>
        <v>1934767.6059635002</v>
      </c>
      <c r="BN101" s="801">
        <f t="shared" si="89"/>
        <v>9.4535685876142531E-4</v>
      </c>
      <c r="BO101" s="787">
        <f t="shared" si="90"/>
        <v>4672.7394282509276</v>
      </c>
      <c r="BP101" s="802">
        <f t="shared" si="91"/>
        <v>1939440</v>
      </c>
      <c r="BQ101" s="803">
        <f t="shared" si="55"/>
        <v>273.04519217232155</v>
      </c>
      <c r="BR101" s="682"/>
      <c r="BS101" s="618"/>
    </row>
    <row r="102" spans="1:71" ht="15.75">
      <c r="A102" s="805" t="s">
        <v>3619</v>
      </c>
      <c r="B102" s="767" t="s">
        <v>3620</v>
      </c>
      <c r="C102" s="768">
        <v>40512</v>
      </c>
      <c r="D102" s="769">
        <v>0</v>
      </c>
      <c r="E102" s="770">
        <v>0</v>
      </c>
      <c r="F102" s="771">
        <v>0</v>
      </c>
      <c r="G102" s="770">
        <v>0</v>
      </c>
      <c r="H102" s="771">
        <v>0</v>
      </c>
      <c r="I102" s="770">
        <f t="shared" si="92"/>
        <v>0</v>
      </c>
      <c r="J102" s="772">
        <f t="shared" si="59"/>
        <v>0</v>
      </c>
      <c r="K102" s="773">
        <v>14671</v>
      </c>
      <c r="L102" s="774">
        <f t="shared" si="60"/>
        <v>5.2948243822494362E-3</v>
      </c>
      <c r="M102" s="775">
        <f t="shared" si="93"/>
        <v>444352.46360011247</v>
      </c>
      <c r="N102" s="806">
        <v>3616.5</v>
      </c>
      <c r="O102" s="777">
        <f t="shared" si="61"/>
        <v>4.1128512243024983E-3</v>
      </c>
      <c r="P102" s="778">
        <f t="shared" si="62"/>
        <v>345158.86495996325</v>
      </c>
      <c r="Q102" s="786">
        <f t="shared" si="48"/>
        <v>789511.32856007572</v>
      </c>
      <c r="R102" s="692">
        <f t="shared" si="49"/>
        <v>19.488332557268851</v>
      </c>
      <c r="S102" s="807">
        <v>143251769.75999999</v>
      </c>
      <c r="T102" s="782">
        <f t="shared" si="56"/>
        <v>11.456906583071593</v>
      </c>
      <c r="U102" s="777">
        <f t="shared" si="63"/>
        <v>6.2276616959401395E-3</v>
      </c>
      <c r="V102" s="783">
        <f t="shared" si="50"/>
        <v>3536.033021327014</v>
      </c>
      <c r="W102" s="778">
        <f t="shared" si="64"/>
        <v>2482530.851277492</v>
      </c>
      <c r="X102" s="784">
        <v>36223910.354800001</v>
      </c>
      <c r="Y102" s="782">
        <f t="shared" si="57"/>
        <v>45.307702231063054</v>
      </c>
      <c r="Z102" s="782">
        <f t="shared" si="65"/>
        <v>6.9955793061514246E-3</v>
      </c>
      <c r="AA102" s="783">
        <f t="shared" si="51"/>
        <v>894.15260551935228</v>
      </c>
      <c r="AB102" s="692">
        <f t="shared" si="66"/>
        <v>1643833.2017912338</v>
      </c>
      <c r="AC102" s="786">
        <f t="shared" si="67"/>
        <v>4126364.0530687259</v>
      </c>
      <c r="AD102" s="787">
        <f t="shared" si="52"/>
        <v>101.85535281074067</v>
      </c>
      <c r="AE102" s="788">
        <v>5854.9760999999999</v>
      </c>
      <c r="AF102" s="774">
        <f t="shared" si="68"/>
        <v>6.0897328401258097E-3</v>
      </c>
      <c r="AG102" s="692">
        <f t="shared" si="69"/>
        <v>766594.20449752768</v>
      </c>
      <c r="AH102" s="786">
        <f t="shared" si="70"/>
        <v>766594.20449752768</v>
      </c>
      <c r="AI102" s="692">
        <f t="shared" si="53"/>
        <v>18.922645253197267</v>
      </c>
      <c r="AJ102" s="789">
        <v>5219</v>
      </c>
      <c r="AK102" s="777">
        <f t="shared" si="71"/>
        <v>6.9375211023467139E-3</v>
      </c>
      <c r="AL102" s="692">
        <f t="shared" si="72"/>
        <v>145552.73086299625</v>
      </c>
      <c r="AM102" s="790">
        <v>15.333333333333334</v>
      </c>
      <c r="AN102" s="791">
        <f t="shared" si="73"/>
        <v>2.214199759326112E-3</v>
      </c>
      <c r="AO102" s="778">
        <f t="shared" si="74"/>
        <v>139365.12057761726</v>
      </c>
      <c r="AP102" s="768">
        <v>467</v>
      </c>
      <c r="AQ102" s="792">
        <f t="shared" si="75"/>
        <v>6.3120902885720077E-3</v>
      </c>
      <c r="AR102" s="793">
        <f t="shared" si="76"/>
        <v>529723.49368115154</v>
      </c>
      <c r="AS102" s="794">
        <v>58.861111111111107</v>
      </c>
      <c r="AT102" s="791">
        <f t="shared" si="77"/>
        <v>2.3606214037843452E-3</v>
      </c>
      <c r="AU102" s="795">
        <f t="shared" si="78"/>
        <v>198108.16387324597</v>
      </c>
      <c r="AV102" s="796">
        <v>471</v>
      </c>
      <c r="AW102" s="791">
        <f t="shared" si="79"/>
        <v>5.9978606356968214E-3</v>
      </c>
      <c r="AX102" s="795">
        <f t="shared" si="80"/>
        <v>377514.52513753058</v>
      </c>
      <c r="AY102" s="786">
        <f t="shared" si="81"/>
        <v>1390264.0341325416</v>
      </c>
      <c r="AZ102" s="787">
        <f t="shared" si="54"/>
        <v>34.317338915198995</v>
      </c>
      <c r="BA102" s="797">
        <f t="shared" si="58"/>
        <v>7072733.6202588715</v>
      </c>
      <c r="BB102" s="775">
        <v>6001493</v>
      </c>
      <c r="BC102" s="775">
        <f t="shared" si="82"/>
        <v>0</v>
      </c>
      <c r="BD102" s="775">
        <f t="shared" si="83"/>
        <v>1071240.6202588715</v>
      </c>
      <c r="BE102" s="798">
        <f t="shared" si="84"/>
        <v>1.6668514471194214E-3</v>
      </c>
      <c r="BF102" s="775">
        <f t="shared" si="85"/>
        <v>-2206.7147896321521</v>
      </c>
      <c r="BG102" s="797">
        <f t="shared" si="86"/>
        <v>7070526.9054692397</v>
      </c>
      <c r="BH102" s="799">
        <v>7.5</v>
      </c>
      <c r="BI102" s="692">
        <f t="shared" si="95"/>
        <v>0</v>
      </c>
      <c r="BJ102" s="800">
        <v>1050</v>
      </c>
      <c r="BK102" s="778">
        <f t="shared" si="87"/>
        <v>0</v>
      </c>
      <c r="BL102" s="786">
        <f t="shared" si="94"/>
        <v>7070526.9054692397</v>
      </c>
      <c r="BM102" s="692">
        <f t="shared" si="88"/>
        <v>7070526.9054692397</v>
      </c>
      <c r="BN102" s="801">
        <f t="shared" si="89"/>
        <v>3.4547669107855843E-3</v>
      </c>
      <c r="BO102" s="787">
        <f t="shared" si="90"/>
        <v>17076.329864041782</v>
      </c>
      <c r="BP102" s="802">
        <f t="shared" si="91"/>
        <v>7087603</v>
      </c>
      <c r="BQ102" s="803">
        <f t="shared" si="55"/>
        <v>174.95070596366509</v>
      </c>
      <c r="BR102" s="682"/>
      <c r="BS102" s="618"/>
    </row>
    <row r="103" spans="1:71" ht="15.75">
      <c r="A103" s="766" t="s">
        <v>3621</v>
      </c>
      <c r="B103" s="767" t="s">
        <v>3622</v>
      </c>
      <c r="C103" s="768">
        <v>10605</v>
      </c>
      <c r="D103" s="769">
        <v>0</v>
      </c>
      <c r="E103" s="770">
        <v>0</v>
      </c>
      <c r="F103" s="771">
        <v>0</v>
      </c>
      <c r="G103" s="770">
        <v>0</v>
      </c>
      <c r="H103" s="771">
        <v>0</v>
      </c>
      <c r="I103" s="770">
        <f t="shared" si="92"/>
        <v>0</v>
      </c>
      <c r="J103" s="772">
        <f t="shared" si="59"/>
        <v>0</v>
      </c>
      <c r="K103" s="773">
        <v>2156</v>
      </c>
      <c r="L103" s="774">
        <f t="shared" si="60"/>
        <v>7.7810928826458888E-4</v>
      </c>
      <c r="M103" s="775">
        <f t="shared" si="93"/>
        <v>65300.518814112358</v>
      </c>
      <c r="N103" s="806">
        <v>281.5</v>
      </c>
      <c r="O103" s="777">
        <f t="shared" si="61"/>
        <v>3.2013483192068389E-4</v>
      </c>
      <c r="P103" s="778">
        <f t="shared" si="62"/>
        <v>26866.368169840909</v>
      </c>
      <c r="Q103" s="786">
        <f t="shared" si="48"/>
        <v>92166.886983953271</v>
      </c>
      <c r="R103" s="692">
        <f t="shared" si="49"/>
        <v>8.6908898617589134</v>
      </c>
      <c r="S103" s="807">
        <v>36043287.869999997</v>
      </c>
      <c r="T103" s="782">
        <f t="shared" si="56"/>
        <v>3.120304268734849</v>
      </c>
      <c r="U103" s="777">
        <f t="shared" si="63"/>
        <v>1.6961122300491658E-3</v>
      </c>
      <c r="V103" s="783">
        <f t="shared" si="50"/>
        <v>3398.7070127298443</v>
      </c>
      <c r="W103" s="778">
        <f t="shared" si="64"/>
        <v>676120.69246970757</v>
      </c>
      <c r="X103" s="784">
        <v>9354062.3661000002</v>
      </c>
      <c r="Y103" s="782">
        <f t="shared" si="57"/>
        <v>12.023228047696948</v>
      </c>
      <c r="Z103" s="782">
        <f t="shared" si="65"/>
        <v>1.8564050080196422E-3</v>
      </c>
      <c r="AA103" s="783">
        <f t="shared" si="51"/>
        <v>882.04265592644981</v>
      </c>
      <c r="AB103" s="692">
        <f t="shared" si="66"/>
        <v>436221.22694982926</v>
      </c>
      <c r="AC103" s="786">
        <f t="shared" si="67"/>
        <v>1112341.9194195368</v>
      </c>
      <c r="AD103" s="787">
        <f t="shared" si="52"/>
        <v>104.88844124653812</v>
      </c>
      <c r="AE103" s="788">
        <v>147.57820000000001</v>
      </c>
      <c r="AF103" s="774">
        <f t="shared" si="68"/>
        <v>1.5349538506684166E-4</v>
      </c>
      <c r="AG103" s="692">
        <f t="shared" si="69"/>
        <v>19322.468768092334</v>
      </c>
      <c r="AH103" s="786">
        <f t="shared" si="70"/>
        <v>19322.468768092334</v>
      </c>
      <c r="AI103" s="692">
        <f t="shared" si="53"/>
        <v>1.8220149710600975</v>
      </c>
      <c r="AJ103" s="789">
        <v>956</v>
      </c>
      <c r="AK103" s="777">
        <f t="shared" si="71"/>
        <v>1.2707932887226401E-3</v>
      </c>
      <c r="AL103" s="692">
        <f t="shared" si="72"/>
        <v>26661.891301978238</v>
      </c>
      <c r="AM103" s="790">
        <v>5</v>
      </c>
      <c r="AN103" s="791">
        <f t="shared" si="73"/>
        <v>7.2202166064981913E-4</v>
      </c>
      <c r="AO103" s="778">
        <f t="shared" si="74"/>
        <v>45445.148014440412</v>
      </c>
      <c r="AP103" s="768">
        <v>132</v>
      </c>
      <c r="AQ103" s="792">
        <f t="shared" si="75"/>
        <v>1.7841454348854497E-3</v>
      </c>
      <c r="AR103" s="793">
        <f t="shared" si="76"/>
        <v>149729.12455227409</v>
      </c>
      <c r="AS103" s="794">
        <v>35.388888888888886</v>
      </c>
      <c r="AT103" s="791">
        <f t="shared" si="77"/>
        <v>1.4192693102507107E-3</v>
      </c>
      <c r="AU103" s="795">
        <f t="shared" si="78"/>
        <v>119107.97582563254</v>
      </c>
      <c r="AV103" s="796">
        <v>63</v>
      </c>
      <c r="AW103" s="791">
        <f t="shared" si="79"/>
        <v>8.0226161369193155E-4</v>
      </c>
      <c r="AX103" s="795">
        <f t="shared" si="80"/>
        <v>50495.573426039118</v>
      </c>
      <c r="AY103" s="786">
        <f t="shared" si="81"/>
        <v>391439.71312036447</v>
      </c>
      <c r="AZ103" s="787">
        <f t="shared" si="54"/>
        <v>36.910864037752425</v>
      </c>
      <c r="BA103" s="797">
        <f t="shared" si="58"/>
        <v>1615270.9882919467</v>
      </c>
      <c r="BB103" s="775">
        <v>1161331</v>
      </c>
      <c r="BC103" s="775">
        <f t="shared" si="82"/>
        <v>0</v>
      </c>
      <c r="BD103" s="775">
        <f t="shared" si="83"/>
        <v>453939.98829194671</v>
      </c>
      <c r="BE103" s="798">
        <f t="shared" si="84"/>
        <v>7.0633106333006269E-4</v>
      </c>
      <c r="BF103" s="775">
        <f t="shared" si="85"/>
        <v>-935.09904948079213</v>
      </c>
      <c r="BG103" s="797">
        <f t="shared" si="86"/>
        <v>1614335.8892424658</v>
      </c>
      <c r="BH103" s="799">
        <v>7.8</v>
      </c>
      <c r="BI103" s="692">
        <f t="shared" si="95"/>
        <v>0</v>
      </c>
      <c r="BJ103" s="800">
        <v>1450</v>
      </c>
      <c r="BK103" s="778">
        <f t="shared" si="87"/>
        <v>0</v>
      </c>
      <c r="BL103" s="786">
        <f t="shared" si="94"/>
        <v>1614335.8892424658</v>
      </c>
      <c r="BM103" s="692">
        <f t="shared" si="88"/>
        <v>1614335.8892424658</v>
      </c>
      <c r="BN103" s="801">
        <f t="shared" si="89"/>
        <v>7.8878905173734881E-4</v>
      </c>
      <c r="BO103" s="787">
        <f t="shared" si="90"/>
        <v>3898.8511782257433</v>
      </c>
      <c r="BP103" s="802">
        <f t="shared" si="91"/>
        <v>1618235</v>
      </c>
      <c r="BQ103" s="803">
        <f t="shared" si="55"/>
        <v>152.5917020273456</v>
      </c>
      <c r="BR103" s="682"/>
      <c r="BS103" s="618"/>
    </row>
    <row r="104" spans="1:71" ht="15.75">
      <c r="A104" s="805" t="s">
        <v>3623</v>
      </c>
      <c r="B104" s="767" t="s">
        <v>3624</v>
      </c>
      <c r="C104" s="768">
        <v>20642</v>
      </c>
      <c r="D104" s="769">
        <v>0</v>
      </c>
      <c r="E104" s="770">
        <v>0</v>
      </c>
      <c r="F104" s="771">
        <v>0</v>
      </c>
      <c r="G104" s="770">
        <v>0</v>
      </c>
      <c r="H104" s="771">
        <v>0</v>
      </c>
      <c r="I104" s="770">
        <f t="shared" si="92"/>
        <v>0</v>
      </c>
      <c r="J104" s="772">
        <f t="shared" si="59"/>
        <v>0</v>
      </c>
      <c r="K104" s="773">
        <v>5151</v>
      </c>
      <c r="L104" s="774">
        <f t="shared" si="60"/>
        <v>1.8590171353668355E-3</v>
      </c>
      <c r="M104" s="775">
        <f t="shared" si="93"/>
        <v>156012.510394941</v>
      </c>
      <c r="N104" s="806">
        <v>66</v>
      </c>
      <c r="O104" s="777">
        <f t="shared" si="61"/>
        <v>7.5058255441439213E-5</v>
      </c>
      <c r="P104" s="778">
        <f t="shared" si="62"/>
        <v>6299.0419154866795</v>
      </c>
      <c r="Q104" s="786">
        <f t="shared" si="48"/>
        <v>162311.55231042768</v>
      </c>
      <c r="R104" s="692">
        <f t="shared" si="49"/>
        <v>7.8631698629216009</v>
      </c>
      <c r="S104" s="807">
        <v>109597344.11</v>
      </c>
      <c r="T104" s="782">
        <f t="shared" si="56"/>
        <v>3.8877964375883267</v>
      </c>
      <c r="U104" s="777">
        <f t="shared" si="63"/>
        <v>2.1133000239136239E-3</v>
      </c>
      <c r="V104" s="783">
        <f t="shared" si="50"/>
        <v>5309.4343624648773</v>
      </c>
      <c r="W104" s="778">
        <f t="shared" si="64"/>
        <v>842424.13340968045</v>
      </c>
      <c r="X104" s="784">
        <v>20349167.0515</v>
      </c>
      <c r="Y104" s="782">
        <f t="shared" si="57"/>
        <v>20.939046936006722</v>
      </c>
      <c r="Z104" s="782">
        <f t="shared" si="65"/>
        <v>3.2330212353085192E-3</v>
      </c>
      <c r="AA104" s="783">
        <f t="shared" si="51"/>
        <v>985.81373178471074</v>
      </c>
      <c r="AB104" s="692">
        <f t="shared" si="66"/>
        <v>759700.86480515066</v>
      </c>
      <c r="AC104" s="786">
        <f t="shared" si="67"/>
        <v>1602124.9982148311</v>
      </c>
      <c r="AD104" s="787">
        <f t="shared" si="52"/>
        <v>77.614814369481209</v>
      </c>
      <c r="AE104" s="788">
        <v>2236.7339999999999</v>
      </c>
      <c r="AF104" s="774">
        <f t="shared" si="68"/>
        <v>2.3264164126008922E-3</v>
      </c>
      <c r="AG104" s="692">
        <f t="shared" si="69"/>
        <v>292856.41685242287</v>
      </c>
      <c r="AH104" s="786">
        <f t="shared" si="70"/>
        <v>292856.41685242287</v>
      </c>
      <c r="AI104" s="692">
        <f t="shared" si="53"/>
        <v>14.187405137700944</v>
      </c>
      <c r="AJ104" s="789">
        <v>1400</v>
      </c>
      <c r="AK104" s="777">
        <f t="shared" si="71"/>
        <v>1.8609943558699749E-3</v>
      </c>
      <c r="AL104" s="692">
        <f t="shared" si="72"/>
        <v>39044.610693273564</v>
      </c>
      <c r="AM104" s="790">
        <v>5</v>
      </c>
      <c r="AN104" s="791">
        <f t="shared" si="73"/>
        <v>7.2202166064981913E-4</v>
      </c>
      <c r="AO104" s="778">
        <f t="shared" si="74"/>
        <v>45445.148014440412</v>
      </c>
      <c r="AP104" s="768">
        <v>96</v>
      </c>
      <c r="AQ104" s="792">
        <f t="shared" si="75"/>
        <v>1.2975603162803271E-3</v>
      </c>
      <c r="AR104" s="793">
        <f t="shared" si="76"/>
        <v>108893.90876529027</v>
      </c>
      <c r="AS104" s="794">
        <v>24.638888888888889</v>
      </c>
      <c r="AT104" s="791">
        <f t="shared" si="77"/>
        <v>9.8814119167376811E-4</v>
      </c>
      <c r="AU104" s="795">
        <f t="shared" si="78"/>
        <v>82926.824613293633</v>
      </c>
      <c r="AV104" s="796">
        <v>136</v>
      </c>
      <c r="AW104" s="791">
        <f t="shared" si="79"/>
        <v>1.7318663406682966E-3</v>
      </c>
      <c r="AX104" s="795">
        <f t="shared" si="80"/>
        <v>109006.31723716381</v>
      </c>
      <c r="AY104" s="786">
        <f t="shared" si="81"/>
        <v>385316.80932346167</v>
      </c>
      <c r="AZ104" s="787">
        <f t="shared" si="54"/>
        <v>18.666641281051337</v>
      </c>
      <c r="BA104" s="797">
        <f t="shared" si="58"/>
        <v>2442609.7767011435</v>
      </c>
      <c r="BB104" s="775">
        <v>2166250</v>
      </c>
      <c r="BC104" s="775">
        <f t="shared" si="82"/>
        <v>0</v>
      </c>
      <c r="BD104" s="775">
        <f t="shared" si="83"/>
        <v>276359.77670114348</v>
      </c>
      <c r="BE104" s="798">
        <f t="shared" si="84"/>
        <v>4.3001608136235747E-4</v>
      </c>
      <c r="BF104" s="775">
        <f t="shared" si="85"/>
        <v>-569.29059164922194</v>
      </c>
      <c r="BG104" s="797">
        <f t="shared" si="86"/>
        <v>2442040.4861094942</v>
      </c>
      <c r="BH104" s="799">
        <v>7.7</v>
      </c>
      <c r="BI104" s="692">
        <f t="shared" si="95"/>
        <v>0</v>
      </c>
      <c r="BJ104" s="800">
        <v>1400</v>
      </c>
      <c r="BK104" s="778">
        <f t="shared" si="87"/>
        <v>0</v>
      </c>
      <c r="BL104" s="786">
        <f t="shared" si="94"/>
        <v>2442040.4861094942</v>
      </c>
      <c r="BM104" s="692">
        <f t="shared" si="88"/>
        <v>2442040.4861094942</v>
      </c>
      <c r="BN104" s="801">
        <f t="shared" si="89"/>
        <v>1.1932180980294166E-3</v>
      </c>
      <c r="BO104" s="787">
        <f t="shared" si="90"/>
        <v>5897.8757085124398</v>
      </c>
      <c r="BP104" s="802">
        <f t="shared" si="91"/>
        <v>2447938</v>
      </c>
      <c r="BQ104" s="803">
        <f t="shared" si="55"/>
        <v>118.59015599263637</v>
      </c>
      <c r="BR104" s="682"/>
      <c r="BS104" s="618"/>
    </row>
    <row r="105" spans="1:71" ht="15.75">
      <c r="A105" s="805" t="s">
        <v>3625</v>
      </c>
      <c r="B105" s="767" t="s">
        <v>3626</v>
      </c>
      <c r="C105" s="768">
        <v>27368</v>
      </c>
      <c r="D105" s="769">
        <v>0</v>
      </c>
      <c r="E105" s="770">
        <v>0</v>
      </c>
      <c r="F105" s="771">
        <v>0</v>
      </c>
      <c r="G105" s="770">
        <f>C105/($C$10+$C$60+$C$62+$C$67+$C$74+$C$80+$C$94+$C$105+$C$127+$C$141+$C$168+$C$175+$C$201+$C$219+$C$237+$C$255+$C$265+$C$267+$C$268+$C$273+$C$281)*$G$7</f>
        <v>1680749.9273483008</v>
      </c>
      <c r="H105" s="771">
        <v>0</v>
      </c>
      <c r="I105" s="770">
        <f t="shared" si="92"/>
        <v>1680749.9273483008</v>
      </c>
      <c r="J105" s="772">
        <f t="shared" si="59"/>
        <v>61.412961390978545</v>
      </c>
      <c r="K105" s="773">
        <v>18485</v>
      </c>
      <c r="L105" s="774">
        <f t="shared" si="60"/>
        <v>6.671312705737906E-3</v>
      </c>
      <c r="M105" s="775">
        <f t="shared" si="93"/>
        <v>559870.17174344475</v>
      </c>
      <c r="N105" s="806">
        <v>5309.5</v>
      </c>
      <c r="O105" s="777">
        <f t="shared" si="61"/>
        <v>6.0382092010048708E-3</v>
      </c>
      <c r="P105" s="778">
        <f t="shared" si="62"/>
        <v>506738.83409509883</v>
      </c>
      <c r="Q105" s="786">
        <f t="shared" si="48"/>
        <v>1066609.0058385436</v>
      </c>
      <c r="R105" s="692">
        <f t="shared" si="49"/>
        <v>38.972851718742461</v>
      </c>
      <c r="S105" s="807">
        <v>98196617.239999995</v>
      </c>
      <c r="T105" s="782">
        <f t="shared" si="56"/>
        <v>7.6276295971516914</v>
      </c>
      <c r="U105" s="777">
        <f t="shared" si="63"/>
        <v>4.1461712486325917E-3</v>
      </c>
      <c r="V105" s="783">
        <f t="shared" si="50"/>
        <v>3588.0085223618821</v>
      </c>
      <c r="W105" s="778">
        <f t="shared" si="64"/>
        <v>1652786.959529323</v>
      </c>
      <c r="X105" s="784">
        <v>33918508.4366</v>
      </c>
      <c r="Y105" s="782">
        <f t="shared" si="57"/>
        <v>22.08255782827344</v>
      </c>
      <c r="Z105" s="782">
        <f t="shared" si="65"/>
        <v>3.4095810858501192E-3</v>
      </c>
      <c r="AA105" s="783">
        <f t="shared" si="51"/>
        <v>1239.3491828631979</v>
      </c>
      <c r="AB105" s="692">
        <f t="shared" si="66"/>
        <v>801189.20075587998</v>
      </c>
      <c r="AC105" s="786">
        <f t="shared" si="67"/>
        <v>2453976.1602852028</v>
      </c>
      <c r="AD105" s="787">
        <f t="shared" si="52"/>
        <v>89.665893024159701</v>
      </c>
      <c r="AE105" s="788">
        <v>3065.6161000000002</v>
      </c>
      <c r="AF105" s="774">
        <f t="shared" si="68"/>
        <v>3.1885327489873799E-3</v>
      </c>
      <c r="AG105" s="692">
        <f t="shared" si="69"/>
        <v>401382.25935274328</v>
      </c>
      <c r="AH105" s="786">
        <f t="shared" si="70"/>
        <v>401382.25935274328</v>
      </c>
      <c r="AI105" s="692">
        <f t="shared" si="53"/>
        <v>14.666115878132976</v>
      </c>
      <c r="AJ105" s="789">
        <v>3094</v>
      </c>
      <c r="AK105" s="777">
        <f t="shared" si="71"/>
        <v>4.1127975264726446E-3</v>
      </c>
      <c r="AL105" s="692">
        <f t="shared" si="72"/>
        <v>86288.589632134579</v>
      </c>
      <c r="AM105" s="790">
        <v>21</v>
      </c>
      <c r="AN105" s="791">
        <f t="shared" si="73"/>
        <v>3.0324909747292401E-3</v>
      </c>
      <c r="AO105" s="778">
        <f t="shared" si="74"/>
        <v>190869.62166064972</v>
      </c>
      <c r="AP105" s="768">
        <v>436</v>
      </c>
      <c r="AQ105" s="792">
        <f t="shared" si="75"/>
        <v>5.8930864364398188E-3</v>
      </c>
      <c r="AR105" s="793">
        <f t="shared" si="76"/>
        <v>494559.83564235992</v>
      </c>
      <c r="AS105" s="794">
        <v>65.8611111111111</v>
      </c>
      <c r="AT105" s="791">
        <f t="shared" si="77"/>
        <v>2.641355992625145E-3</v>
      </c>
      <c r="AU105" s="795">
        <f t="shared" si="78"/>
        <v>221667.98326732713</v>
      </c>
      <c r="AV105" s="796">
        <v>309</v>
      </c>
      <c r="AW105" s="791">
        <f t="shared" si="79"/>
        <v>3.9349022004889975E-3</v>
      </c>
      <c r="AX105" s="795">
        <f t="shared" si="80"/>
        <v>247668.76489914424</v>
      </c>
      <c r="AY105" s="786">
        <f t="shared" si="81"/>
        <v>1241054.7951016156</v>
      </c>
      <c r="AZ105" s="787">
        <f t="shared" si="54"/>
        <v>45.346930543028925</v>
      </c>
      <c r="BA105" s="797">
        <f t="shared" si="58"/>
        <v>6843772.147926406</v>
      </c>
      <c r="BB105" s="775">
        <v>4070424</v>
      </c>
      <c r="BC105" s="775">
        <f t="shared" si="82"/>
        <v>0</v>
      </c>
      <c r="BD105" s="775">
        <f t="shared" si="83"/>
        <v>2773348.147926406</v>
      </c>
      <c r="BE105" s="798">
        <f t="shared" si="84"/>
        <v>4.3153324158114728E-3</v>
      </c>
      <c r="BF105" s="775">
        <f t="shared" si="85"/>
        <v>-5712.9913290155173</v>
      </c>
      <c r="BG105" s="797">
        <f t="shared" si="86"/>
        <v>6838059.1565973908</v>
      </c>
      <c r="BH105" s="799">
        <v>7.4</v>
      </c>
      <c r="BI105" s="692">
        <f t="shared" si="95"/>
        <v>0</v>
      </c>
      <c r="BJ105" s="800">
        <v>1400</v>
      </c>
      <c r="BK105" s="778">
        <f t="shared" si="87"/>
        <v>0</v>
      </c>
      <c r="BL105" s="786">
        <f t="shared" si="94"/>
        <v>6838059.1565973908</v>
      </c>
      <c r="BM105" s="692">
        <f t="shared" si="88"/>
        <v>6838059.1565973908</v>
      </c>
      <c r="BN105" s="801">
        <f t="shared" si="89"/>
        <v>3.3411796354149126E-3</v>
      </c>
      <c r="BO105" s="787">
        <f t="shared" si="90"/>
        <v>16514.887129213028</v>
      </c>
      <c r="BP105" s="802">
        <f t="shared" si="91"/>
        <v>6854574</v>
      </c>
      <c r="BQ105" s="803">
        <f t="shared" si="55"/>
        <v>250.45944168371821</v>
      </c>
      <c r="BR105" s="682"/>
      <c r="BS105" s="618"/>
    </row>
    <row r="106" spans="1:71" ht="15.75">
      <c r="A106" s="766" t="s">
        <v>3627</v>
      </c>
      <c r="B106" s="767" t="s">
        <v>3628</v>
      </c>
      <c r="C106" s="768">
        <v>8747</v>
      </c>
      <c r="D106" s="769">
        <v>0</v>
      </c>
      <c r="E106" s="770">
        <v>0</v>
      </c>
      <c r="F106" s="771">
        <v>0</v>
      </c>
      <c r="G106" s="770">
        <v>0</v>
      </c>
      <c r="H106" s="771">
        <v>0</v>
      </c>
      <c r="I106" s="770">
        <f t="shared" si="92"/>
        <v>0</v>
      </c>
      <c r="J106" s="772">
        <f t="shared" si="59"/>
        <v>0</v>
      </c>
      <c r="K106" s="773">
        <v>2428</v>
      </c>
      <c r="L106" s="774">
        <f t="shared" si="60"/>
        <v>8.7627520960409182E-4</v>
      </c>
      <c r="M106" s="775">
        <f t="shared" si="93"/>
        <v>73538.803191402985</v>
      </c>
      <c r="N106" s="806">
        <v>145</v>
      </c>
      <c r="O106" s="777">
        <f t="shared" si="61"/>
        <v>1.6490071271225282E-4</v>
      </c>
      <c r="P106" s="778">
        <f t="shared" si="62"/>
        <v>13838.804208266189</v>
      </c>
      <c r="Q106" s="786">
        <f t="shared" si="48"/>
        <v>87377.60739966917</v>
      </c>
      <c r="R106" s="692">
        <f t="shared" si="49"/>
        <v>9.9894372241533294</v>
      </c>
      <c r="S106" s="807">
        <v>28864977.27</v>
      </c>
      <c r="T106" s="782">
        <f t="shared" si="56"/>
        <v>2.6506173306264307</v>
      </c>
      <c r="U106" s="777">
        <f t="shared" si="63"/>
        <v>1.4408032308588278E-3</v>
      </c>
      <c r="V106" s="783">
        <f t="shared" si="50"/>
        <v>3299.9859689036239</v>
      </c>
      <c r="W106" s="778">
        <f t="shared" si="64"/>
        <v>574346.94526825298</v>
      </c>
      <c r="X106" s="784">
        <v>6528758.9780999999</v>
      </c>
      <c r="Y106" s="782">
        <f t="shared" si="57"/>
        <v>11.718920740778509</v>
      </c>
      <c r="Z106" s="782">
        <f t="shared" si="65"/>
        <v>1.8094194891307635E-3</v>
      </c>
      <c r="AA106" s="783">
        <f t="shared" si="51"/>
        <v>746.39979171144387</v>
      </c>
      <c r="AB106" s="692">
        <f t="shared" si="66"/>
        <v>425180.48928211222</v>
      </c>
      <c r="AC106" s="786">
        <f t="shared" si="67"/>
        <v>999527.4345503652</v>
      </c>
      <c r="AD106" s="787">
        <f t="shared" si="52"/>
        <v>114.27088539503433</v>
      </c>
      <c r="AE106" s="788">
        <v>1848.8614</v>
      </c>
      <c r="AF106" s="774">
        <f t="shared" si="68"/>
        <v>1.9229919630963106E-3</v>
      </c>
      <c r="AG106" s="692">
        <f t="shared" si="69"/>
        <v>242072.11266997064</v>
      </c>
      <c r="AH106" s="786">
        <f t="shared" si="70"/>
        <v>242072.11266997064</v>
      </c>
      <c r="AI106" s="692">
        <f t="shared" si="53"/>
        <v>27.674872832967946</v>
      </c>
      <c r="AJ106" s="789">
        <v>1174</v>
      </c>
      <c r="AK106" s="777">
        <f t="shared" si="71"/>
        <v>1.5605766955652505E-3</v>
      </c>
      <c r="AL106" s="692">
        <f t="shared" si="72"/>
        <v>32741.694967073694</v>
      </c>
      <c r="AM106" s="790">
        <v>2.3333333333333335</v>
      </c>
      <c r="AN106" s="791">
        <f t="shared" si="73"/>
        <v>3.3694344163658226E-4</v>
      </c>
      <c r="AO106" s="778">
        <f t="shared" si="74"/>
        <v>21207.735740072192</v>
      </c>
      <c r="AP106" s="768">
        <v>117</v>
      </c>
      <c r="AQ106" s="792">
        <f t="shared" si="75"/>
        <v>1.5814016354666486E-3</v>
      </c>
      <c r="AR106" s="793">
        <f t="shared" si="76"/>
        <v>132714.45130769751</v>
      </c>
      <c r="AS106" s="794">
        <v>7.166666666666667</v>
      </c>
      <c r="AT106" s="791">
        <f t="shared" si="77"/>
        <v>2.8741874571796183E-4</v>
      </c>
      <c r="AU106" s="795">
        <f t="shared" si="78"/>
        <v>24120.767474892622</v>
      </c>
      <c r="AV106" s="796">
        <v>107</v>
      </c>
      <c r="AW106" s="791">
        <f t="shared" si="79"/>
        <v>1.3625713121434393E-3</v>
      </c>
      <c r="AX106" s="795">
        <f t="shared" si="80"/>
        <v>85762.323120415647</v>
      </c>
      <c r="AY106" s="786">
        <f t="shared" si="81"/>
        <v>296546.97261015169</v>
      </c>
      <c r="AZ106" s="787">
        <f t="shared" si="54"/>
        <v>33.902706369058158</v>
      </c>
      <c r="BA106" s="797">
        <f t="shared" si="58"/>
        <v>1625524.1272301567</v>
      </c>
      <c r="BB106" s="775">
        <v>1043873</v>
      </c>
      <c r="BC106" s="775">
        <f t="shared" si="82"/>
        <v>0</v>
      </c>
      <c r="BD106" s="775">
        <f t="shared" si="83"/>
        <v>581651.12723015668</v>
      </c>
      <c r="BE106" s="798">
        <f t="shared" si="84"/>
        <v>9.0504971974264548E-4</v>
      </c>
      <c r="BF106" s="775">
        <f t="shared" si="85"/>
        <v>-1198.1791210968318</v>
      </c>
      <c r="BG106" s="797">
        <f t="shared" si="86"/>
        <v>1624325.9481090598</v>
      </c>
      <c r="BH106" s="799">
        <v>7.5</v>
      </c>
      <c r="BI106" s="692">
        <f t="shared" si="95"/>
        <v>0</v>
      </c>
      <c r="BJ106" s="800">
        <v>1500</v>
      </c>
      <c r="BK106" s="778">
        <f t="shared" si="87"/>
        <v>0</v>
      </c>
      <c r="BL106" s="786">
        <f t="shared" si="94"/>
        <v>1624325.9481090598</v>
      </c>
      <c r="BM106" s="692">
        <f t="shared" si="88"/>
        <v>1624325.9481090598</v>
      </c>
      <c r="BN106" s="801">
        <f t="shared" si="89"/>
        <v>7.9367034633823805E-4</v>
      </c>
      <c r="BO106" s="787">
        <f t="shared" si="90"/>
        <v>3922.9785937420033</v>
      </c>
      <c r="BP106" s="802">
        <f t="shared" si="91"/>
        <v>1628249</v>
      </c>
      <c r="BQ106" s="803">
        <f t="shared" si="55"/>
        <v>186.14942265919743</v>
      </c>
      <c r="BR106" s="682"/>
      <c r="BS106" s="618"/>
    </row>
    <row r="107" spans="1:71" ht="15.75">
      <c r="A107" s="805" t="s">
        <v>3629</v>
      </c>
      <c r="B107" s="767" t="s">
        <v>3630</v>
      </c>
      <c r="C107" s="768">
        <v>12316</v>
      </c>
      <c r="D107" s="769">
        <v>0</v>
      </c>
      <c r="E107" s="770">
        <v>0</v>
      </c>
      <c r="F107" s="771">
        <v>0</v>
      </c>
      <c r="G107" s="770">
        <v>0</v>
      </c>
      <c r="H107" s="771">
        <v>0</v>
      </c>
      <c r="I107" s="770">
        <f t="shared" si="92"/>
        <v>0</v>
      </c>
      <c r="J107" s="772">
        <f t="shared" si="59"/>
        <v>0</v>
      </c>
      <c r="K107" s="773">
        <v>3842</v>
      </c>
      <c r="L107" s="774">
        <f t="shared" si="60"/>
        <v>1.3865936389204779E-3</v>
      </c>
      <c r="M107" s="775">
        <f t="shared" si="93"/>
        <v>116365.76682922991</v>
      </c>
      <c r="N107" s="806">
        <v>2713.5</v>
      </c>
      <c r="O107" s="777">
        <f t="shared" si="61"/>
        <v>3.0859178203082619E-3</v>
      </c>
      <c r="P107" s="778">
        <f t="shared" si="62"/>
        <v>258976.51875262277</v>
      </c>
      <c r="Q107" s="786">
        <f t="shared" si="48"/>
        <v>375342.28558185266</v>
      </c>
      <c r="R107" s="692">
        <f t="shared" si="49"/>
        <v>30.475989410673325</v>
      </c>
      <c r="S107" s="807">
        <v>43262534.819999993</v>
      </c>
      <c r="T107" s="782">
        <f t="shared" si="56"/>
        <v>3.5061250255238749</v>
      </c>
      <c r="U107" s="777">
        <f t="shared" si="63"/>
        <v>1.9058338622482017E-3</v>
      </c>
      <c r="V107" s="783">
        <f t="shared" si="50"/>
        <v>3512.709874959402</v>
      </c>
      <c r="W107" s="778">
        <f t="shared" si="64"/>
        <v>759721.96169950336</v>
      </c>
      <c r="X107" s="784">
        <v>9557627.0349000003</v>
      </c>
      <c r="Y107" s="782">
        <f t="shared" si="57"/>
        <v>15.870451467306816</v>
      </c>
      <c r="Z107" s="782">
        <f t="shared" si="65"/>
        <v>2.4504222548689409E-3</v>
      </c>
      <c r="AA107" s="783">
        <f t="shared" si="51"/>
        <v>776.03337405813579</v>
      </c>
      <c r="AB107" s="692">
        <f t="shared" si="66"/>
        <v>575804.41657200409</v>
      </c>
      <c r="AC107" s="786">
        <f t="shared" si="67"/>
        <v>1335526.3782715076</v>
      </c>
      <c r="AD107" s="787">
        <f t="shared" si="52"/>
        <v>108.4383223669623</v>
      </c>
      <c r="AE107" s="788">
        <v>3346.7855</v>
      </c>
      <c r="AF107" s="774">
        <f t="shared" si="68"/>
        <v>3.4809757068362548E-3</v>
      </c>
      <c r="AG107" s="692">
        <f t="shared" si="69"/>
        <v>438195.87376221066</v>
      </c>
      <c r="AH107" s="786">
        <f t="shared" si="70"/>
        <v>438195.87376221066</v>
      </c>
      <c r="AI107" s="692">
        <f t="shared" si="53"/>
        <v>35.57939864909148</v>
      </c>
      <c r="AJ107" s="789">
        <v>1504</v>
      </c>
      <c r="AK107" s="777">
        <f t="shared" si="71"/>
        <v>1.999239650877459E-3</v>
      </c>
      <c r="AL107" s="692">
        <f t="shared" si="72"/>
        <v>41945.067487631037</v>
      </c>
      <c r="AM107" s="790">
        <v>9.6666666666666661</v>
      </c>
      <c r="AN107" s="791">
        <f t="shared" si="73"/>
        <v>1.3959085439229834E-3</v>
      </c>
      <c r="AO107" s="778">
        <f t="shared" si="74"/>
        <v>87860.619494584782</v>
      </c>
      <c r="AP107" s="768">
        <v>126</v>
      </c>
      <c r="AQ107" s="792">
        <f t="shared" si="75"/>
        <v>1.7030479151179292E-3</v>
      </c>
      <c r="AR107" s="793">
        <f t="shared" si="76"/>
        <v>142923.25525444347</v>
      </c>
      <c r="AS107" s="794">
        <v>16.888888888888889</v>
      </c>
      <c r="AT107" s="791">
        <f t="shared" si="77"/>
        <v>6.7732789688573953E-4</v>
      </c>
      <c r="AU107" s="795">
        <f t="shared" si="78"/>
        <v>56842.738855560907</v>
      </c>
      <c r="AV107" s="796">
        <v>18</v>
      </c>
      <c r="AW107" s="791">
        <f t="shared" si="79"/>
        <v>2.2921760391198044E-4</v>
      </c>
      <c r="AX107" s="795">
        <f t="shared" si="80"/>
        <v>14427.306693154034</v>
      </c>
      <c r="AY107" s="786">
        <f t="shared" si="81"/>
        <v>343998.98778537428</v>
      </c>
      <c r="AZ107" s="787">
        <f t="shared" si="54"/>
        <v>27.931064289166471</v>
      </c>
      <c r="BA107" s="797">
        <f t="shared" si="58"/>
        <v>2493063.5254009455</v>
      </c>
      <c r="BB107" s="775">
        <v>1618692</v>
      </c>
      <c r="BC107" s="775">
        <f t="shared" si="82"/>
        <v>0</v>
      </c>
      <c r="BD107" s="775">
        <f t="shared" si="83"/>
        <v>874371.52540094545</v>
      </c>
      <c r="BE107" s="798">
        <f t="shared" si="84"/>
        <v>1.3605229440257606E-3</v>
      </c>
      <c r="BF107" s="775">
        <f t="shared" si="85"/>
        <v>-1801.171968506216</v>
      </c>
      <c r="BG107" s="797">
        <f t="shared" si="86"/>
        <v>2491262.3534324393</v>
      </c>
      <c r="BH107" s="799">
        <v>7</v>
      </c>
      <c r="BI107" s="692">
        <f t="shared" si="95"/>
        <v>0</v>
      </c>
      <c r="BJ107" s="800">
        <v>1200</v>
      </c>
      <c r="BK107" s="778">
        <f t="shared" si="87"/>
        <v>0</v>
      </c>
      <c r="BL107" s="786">
        <f t="shared" si="94"/>
        <v>2491262.3534324393</v>
      </c>
      <c r="BM107" s="692">
        <f t="shared" si="88"/>
        <v>2491262.3534324393</v>
      </c>
      <c r="BN107" s="801">
        <f t="shared" si="89"/>
        <v>1.2172686505254196E-3</v>
      </c>
      <c r="BO107" s="787">
        <f t="shared" si="90"/>
        <v>6016.7535310804496</v>
      </c>
      <c r="BP107" s="802">
        <f t="shared" si="91"/>
        <v>2497279</v>
      </c>
      <c r="BQ107" s="803">
        <f t="shared" si="55"/>
        <v>202.76705099058137</v>
      </c>
      <c r="BR107" s="682"/>
      <c r="BS107" s="618"/>
    </row>
    <row r="108" spans="1:71" ht="15.75">
      <c r="A108" s="766" t="s">
        <v>3631</v>
      </c>
      <c r="B108" s="767" t="s">
        <v>3632</v>
      </c>
      <c r="C108" s="768">
        <v>6572</v>
      </c>
      <c r="D108" s="769">
        <v>0</v>
      </c>
      <c r="E108" s="770">
        <v>0</v>
      </c>
      <c r="F108" s="771">
        <v>0</v>
      </c>
      <c r="G108" s="770">
        <v>0</v>
      </c>
      <c r="H108" s="771">
        <v>0</v>
      </c>
      <c r="I108" s="770">
        <f t="shared" si="92"/>
        <v>0</v>
      </c>
      <c r="J108" s="772">
        <f t="shared" si="59"/>
        <v>0</v>
      </c>
      <c r="K108" s="773">
        <v>1713</v>
      </c>
      <c r="L108" s="774">
        <f t="shared" si="60"/>
        <v>6.18228761965325E-4</v>
      </c>
      <c r="M108" s="775">
        <f t="shared" si="93"/>
        <v>51883.01889080448</v>
      </c>
      <c r="N108" s="806">
        <v>146</v>
      </c>
      <c r="O108" s="777">
        <f t="shared" si="61"/>
        <v>1.6603795900682006E-4</v>
      </c>
      <c r="P108" s="778">
        <f t="shared" si="62"/>
        <v>13934.244237288714</v>
      </c>
      <c r="Q108" s="786">
        <f t="shared" si="48"/>
        <v>65817.263128093196</v>
      </c>
      <c r="R108" s="692">
        <f t="shared" si="49"/>
        <v>10.014799623872976</v>
      </c>
      <c r="S108" s="807">
        <v>27985501.609999999</v>
      </c>
      <c r="T108" s="782">
        <f t="shared" si="56"/>
        <v>1.5433414273541763</v>
      </c>
      <c r="U108" s="777">
        <f t="shared" si="63"/>
        <v>8.3891827354974993E-4</v>
      </c>
      <c r="V108" s="783">
        <f t="shared" si="50"/>
        <v>4258.2930021302491</v>
      </c>
      <c r="W108" s="778">
        <f t="shared" si="64"/>
        <v>334417.73132047203</v>
      </c>
      <c r="X108" s="784">
        <v>6010345.2673000004</v>
      </c>
      <c r="Y108" s="782">
        <f t="shared" si="57"/>
        <v>7.1861402430550507</v>
      </c>
      <c r="Z108" s="782">
        <f t="shared" si="65"/>
        <v>1.1095511690052521E-3</v>
      </c>
      <c r="AA108" s="783">
        <f t="shared" si="51"/>
        <v>914.53823300365195</v>
      </c>
      <c r="AB108" s="692">
        <f t="shared" si="66"/>
        <v>260724.23324445548</v>
      </c>
      <c r="AC108" s="786">
        <f t="shared" si="67"/>
        <v>595141.9645649275</v>
      </c>
      <c r="AD108" s="787">
        <f t="shared" si="52"/>
        <v>90.557207024486843</v>
      </c>
      <c r="AE108" s="788">
        <v>3864.299</v>
      </c>
      <c r="AF108" s="774">
        <f t="shared" si="68"/>
        <v>4.0192390408502823E-3</v>
      </c>
      <c r="AG108" s="692">
        <f t="shared" si="69"/>
        <v>505954.10933369852</v>
      </c>
      <c r="AH108" s="786">
        <f t="shared" si="70"/>
        <v>505954.10933369852</v>
      </c>
      <c r="AI108" s="692">
        <f t="shared" si="53"/>
        <v>76.986322174938906</v>
      </c>
      <c r="AJ108" s="789">
        <v>567</v>
      </c>
      <c r="AK108" s="777">
        <f t="shared" si="71"/>
        <v>7.5370271412733992E-4</v>
      </c>
      <c r="AL108" s="692">
        <f t="shared" si="72"/>
        <v>15813.067330775797</v>
      </c>
      <c r="AM108" s="790">
        <v>1</v>
      </c>
      <c r="AN108" s="791">
        <f t="shared" si="73"/>
        <v>1.4440433212996383E-4</v>
      </c>
      <c r="AO108" s="778">
        <f t="shared" si="74"/>
        <v>9089.0296028880821</v>
      </c>
      <c r="AP108" s="768">
        <v>42</v>
      </c>
      <c r="AQ108" s="792">
        <f t="shared" si="75"/>
        <v>5.6768263837264307E-4</v>
      </c>
      <c r="AR108" s="793">
        <f t="shared" si="76"/>
        <v>47641.085084814484</v>
      </c>
      <c r="AS108" s="794">
        <v>15.027777777777779</v>
      </c>
      <c r="AT108" s="791">
        <f t="shared" si="77"/>
        <v>6.0268814509076502E-4</v>
      </c>
      <c r="AU108" s="795">
        <f t="shared" si="78"/>
        <v>50578.818619832986</v>
      </c>
      <c r="AV108" s="796">
        <v>1</v>
      </c>
      <c r="AW108" s="791">
        <f t="shared" si="79"/>
        <v>1.2734311328443357E-5</v>
      </c>
      <c r="AX108" s="795">
        <f t="shared" si="80"/>
        <v>801.51703850855745</v>
      </c>
      <c r="AY108" s="786">
        <f t="shared" si="81"/>
        <v>123923.5176768199</v>
      </c>
      <c r="AZ108" s="787">
        <f t="shared" si="54"/>
        <v>18.856286925870343</v>
      </c>
      <c r="BA108" s="797">
        <f t="shared" si="58"/>
        <v>1290836.8547035391</v>
      </c>
      <c r="BB108" s="775">
        <v>799718</v>
      </c>
      <c r="BC108" s="775">
        <f t="shared" si="82"/>
        <v>0</v>
      </c>
      <c r="BD108" s="775">
        <f t="shared" si="83"/>
        <v>491118.85470353905</v>
      </c>
      <c r="BE108" s="798">
        <f t="shared" si="84"/>
        <v>7.6418141563041372E-4</v>
      </c>
      <c r="BF108" s="775">
        <f t="shared" si="85"/>
        <v>-1011.68609521137</v>
      </c>
      <c r="BG108" s="797">
        <f t="shared" si="86"/>
        <v>1289825.1686083276</v>
      </c>
      <c r="BH108" s="799">
        <v>7.5</v>
      </c>
      <c r="BI108" s="692">
        <f t="shared" si="95"/>
        <v>0</v>
      </c>
      <c r="BJ108" s="800">
        <v>1400</v>
      </c>
      <c r="BK108" s="778">
        <f t="shared" si="87"/>
        <v>0</v>
      </c>
      <c r="BL108" s="786">
        <f t="shared" si="94"/>
        <v>1289825.1686083276</v>
      </c>
      <c r="BM108" s="692">
        <f t="shared" si="88"/>
        <v>1289825.1686083276</v>
      </c>
      <c r="BN108" s="801">
        <f t="shared" si="89"/>
        <v>6.3022818140464438E-4</v>
      </c>
      <c r="BO108" s="787">
        <f t="shared" si="90"/>
        <v>3115.1115525862456</v>
      </c>
      <c r="BP108" s="802">
        <f t="shared" si="91"/>
        <v>1292940</v>
      </c>
      <c r="BQ108" s="803">
        <f t="shared" si="55"/>
        <v>196.73463177115033</v>
      </c>
      <c r="BR108" s="682"/>
      <c r="BS108" s="618"/>
    </row>
    <row r="109" spans="1:71" ht="15.75">
      <c r="A109" s="805" t="s">
        <v>3633</v>
      </c>
      <c r="B109" s="767" t="s">
        <v>3634</v>
      </c>
      <c r="C109" s="768">
        <v>14399</v>
      </c>
      <c r="D109" s="769">
        <v>0</v>
      </c>
      <c r="E109" s="770">
        <v>0</v>
      </c>
      <c r="F109" s="771">
        <v>0</v>
      </c>
      <c r="G109" s="770">
        <v>0</v>
      </c>
      <c r="H109" s="771">
        <v>0</v>
      </c>
      <c r="I109" s="770">
        <f t="shared" si="92"/>
        <v>0</v>
      </c>
      <c r="J109" s="772">
        <f t="shared" si="59"/>
        <v>0</v>
      </c>
      <c r="K109" s="773">
        <v>3330</v>
      </c>
      <c r="L109" s="774">
        <f t="shared" si="60"/>
        <v>1.2018107281637667E-3</v>
      </c>
      <c r="M109" s="775">
        <f t="shared" si="93"/>
        <v>100858.40800138876</v>
      </c>
      <c r="N109" s="806">
        <v>59.5</v>
      </c>
      <c r="O109" s="777">
        <f t="shared" si="61"/>
        <v>6.7666154526752016E-5</v>
      </c>
      <c r="P109" s="778">
        <f t="shared" si="62"/>
        <v>5678.6817268402638</v>
      </c>
      <c r="Q109" s="786">
        <f t="shared" si="48"/>
        <v>106537.08972822902</v>
      </c>
      <c r="R109" s="692">
        <f t="shared" si="49"/>
        <v>7.3989228229897233</v>
      </c>
      <c r="S109" s="807">
        <v>49534560.850000009</v>
      </c>
      <c r="T109" s="782">
        <f t="shared" si="56"/>
        <v>4.1855867386780305</v>
      </c>
      <c r="U109" s="777">
        <f t="shared" si="63"/>
        <v>2.2751707032346059E-3</v>
      </c>
      <c r="V109" s="783">
        <f t="shared" si="50"/>
        <v>3440.1389575664984</v>
      </c>
      <c r="W109" s="778">
        <f t="shared" si="64"/>
        <v>906950.592127493</v>
      </c>
      <c r="X109" s="784">
        <v>10290866.605699999</v>
      </c>
      <c r="Y109" s="782">
        <f t="shared" si="57"/>
        <v>20.147108007906883</v>
      </c>
      <c r="Z109" s="782">
        <f t="shared" si="65"/>
        <v>3.1107446398436385E-3</v>
      </c>
      <c r="AA109" s="783">
        <f t="shared" si="51"/>
        <v>714.6931457531773</v>
      </c>
      <c r="AB109" s="692">
        <f t="shared" si="66"/>
        <v>730968.10106528155</v>
      </c>
      <c r="AC109" s="786">
        <f t="shared" si="67"/>
        <v>1637918.6931927744</v>
      </c>
      <c r="AD109" s="787">
        <f t="shared" si="52"/>
        <v>113.7522531559674</v>
      </c>
      <c r="AE109" s="788">
        <v>3944.7883000000002</v>
      </c>
      <c r="AF109" s="774">
        <f t="shared" si="68"/>
        <v>4.102955579588799E-3</v>
      </c>
      <c r="AG109" s="692">
        <f t="shared" si="69"/>
        <v>516492.60340271157</v>
      </c>
      <c r="AH109" s="786">
        <f t="shared" si="70"/>
        <v>516492.60340271157</v>
      </c>
      <c r="AI109" s="692">
        <f t="shared" si="53"/>
        <v>35.870032877471459</v>
      </c>
      <c r="AJ109" s="789">
        <v>1679</v>
      </c>
      <c r="AK109" s="777">
        <f t="shared" si="71"/>
        <v>2.2318639453612057E-3</v>
      </c>
      <c r="AL109" s="692">
        <f t="shared" si="72"/>
        <v>46825.64382429023</v>
      </c>
      <c r="AM109" s="790">
        <v>4</v>
      </c>
      <c r="AN109" s="791">
        <f t="shared" si="73"/>
        <v>5.776173285198553E-4</v>
      </c>
      <c r="AO109" s="778">
        <f t="shared" si="74"/>
        <v>36356.118411552328</v>
      </c>
      <c r="AP109" s="768">
        <v>185</v>
      </c>
      <c r="AQ109" s="792">
        <f t="shared" si="75"/>
        <v>2.500506859498547E-3</v>
      </c>
      <c r="AR109" s="793">
        <f t="shared" si="76"/>
        <v>209847.63668311143</v>
      </c>
      <c r="AS109" s="794">
        <v>38.861111111111107</v>
      </c>
      <c r="AT109" s="791">
        <f t="shared" si="77"/>
        <v>1.5585225785249169E-3</v>
      </c>
      <c r="AU109" s="795">
        <f t="shared" si="78"/>
        <v>130794.39417587122</v>
      </c>
      <c r="AV109" s="796">
        <v>33</v>
      </c>
      <c r="AW109" s="791">
        <f t="shared" si="79"/>
        <v>4.2023227383863079E-4</v>
      </c>
      <c r="AX109" s="795">
        <f t="shared" si="80"/>
        <v>26450.062270782397</v>
      </c>
      <c r="AY109" s="786">
        <f t="shared" si="81"/>
        <v>450273.8553656076</v>
      </c>
      <c r="AZ109" s="787">
        <f t="shared" si="54"/>
        <v>31.271189344093866</v>
      </c>
      <c r="BA109" s="797">
        <f t="shared" si="58"/>
        <v>2711222.2416893225</v>
      </c>
      <c r="BB109" s="775">
        <v>1831051</v>
      </c>
      <c r="BC109" s="775">
        <f t="shared" si="82"/>
        <v>0</v>
      </c>
      <c r="BD109" s="775">
        <f t="shared" si="83"/>
        <v>880171.24168932252</v>
      </c>
      <c r="BE109" s="798">
        <f t="shared" si="84"/>
        <v>1.3695473082118641E-3</v>
      </c>
      <c r="BF109" s="775">
        <f t="shared" si="85"/>
        <v>-1813.1191626913462</v>
      </c>
      <c r="BG109" s="797">
        <f t="shared" si="86"/>
        <v>2709409.1225266312</v>
      </c>
      <c r="BH109" s="799">
        <v>7.5</v>
      </c>
      <c r="BI109" s="692">
        <f t="shared" si="95"/>
        <v>0</v>
      </c>
      <c r="BJ109" s="800">
        <v>1350</v>
      </c>
      <c r="BK109" s="778">
        <f t="shared" si="87"/>
        <v>0</v>
      </c>
      <c r="BL109" s="786">
        <f t="shared" si="94"/>
        <v>2709409.1225266312</v>
      </c>
      <c r="BM109" s="692">
        <f t="shared" si="88"/>
        <v>2709409.1225266312</v>
      </c>
      <c r="BN109" s="801">
        <f t="shared" si="89"/>
        <v>1.3238584775124907E-3</v>
      </c>
      <c r="BO109" s="787">
        <f t="shared" si="90"/>
        <v>6543.6090593361832</v>
      </c>
      <c r="BP109" s="802">
        <f t="shared" si="91"/>
        <v>2715953</v>
      </c>
      <c r="BQ109" s="803">
        <f t="shared" si="55"/>
        <v>188.62094589902077</v>
      </c>
      <c r="BR109" s="682"/>
      <c r="BS109" s="618"/>
    </row>
    <row r="110" spans="1:71" ht="15.75">
      <c r="A110" s="766" t="s">
        <v>3635</v>
      </c>
      <c r="B110" s="767" t="s">
        <v>3636</v>
      </c>
      <c r="C110" s="768">
        <v>87</v>
      </c>
      <c r="D110" s="769">
        <v>0</v>
      </c>
      <c r="E110" s="770">
        <v>0</v>
      </c>
      <c r="F110" s="771">
        <v>0</v>
      </c>
      <c r="G110" s="770">
        <v>0</v>
      </c>
      <c r="H110" s="771">
        <v>0</v>
      </c>
      <c r="I110" s="770">
        <f t="shared" si="92"/>
        <v>0</v>
      </c>
      <c r="J110" s="772">
        <f t="shared" si="59"/>
        <v>0</v>
      </c>
      <c r="K110" s="773">
        <v>28</v>
      </c>
      <c r="L110" s="774">
        <f t="shared" si="60"/>
        <v>1.0105315432007648E-5</v>
      </c>
      <c r="M110" s="775">
        <f t="shared" si="93"/>
        <v>848.05868589756312</v>
      </c>
      <c r="N110" s="806">
        <v>0</v>
      </c>
      <c r="O110" s="777">
        <f t="shared" si="61"/>
        <v>0</v>
      </c>
      <c r="P110" s="778">
        <f t="shared" si="62"/>
        <v>0</v>
      </c>
      <c r="Q110" s="786">
        <f t="shared" si="48"/>
        <v>848.05868589756312</v>
      </c>
      <c r="R110" s="692">
        <f t="shared" si="49"/>
        <v>9.7478009873283114</v>
      </c>
      <c r="S110" s="807">
        <v>311150.33</v>
      </c>
      <c r="T110" s="782">
        <f t="shared" si="56"/>
        <v>2.4325862035884712E-2</v>
      </c>
      <c r="U110" s="777">
        <f t="shared" si="63"/>
        <v>1.3222874614814949E-5</v>
      </c>
      <c r="V110" s="783">
        <f t="shared" si="50"/>
        <v>3576.4405747126439</v>
      </c>
      <c r="W110" s="778">
        <f t="shared" si="64"/>
        <v>5271.0304086125525</v>
      </c>
      <c r="X110" s="784">
        <v>68108.299100000004</v>
      </c>
      <c r="Y110" s="782">
        <f t="shared" si="57"/>
        <v>0.11113183121614616</v>
      </c>
      <c r="Z110" s="782">
        <f t="shared" si="65"/>
        <v>1.7158926637806326E-5</v>
      </c>
      <c r="AA110" s="783">
        <f t="shared" si="51"/>
        <v>782.85401264367817</v>
      </c>
      <c r="AB110" s="692">
        <f t="shared" si="66"/>
        <v>4032.0339574341347</v>
      </c>
      <c r="AC110" s="786">
        <f t="shared" si="67"/>
        <v>9303.0643660466867</v>
      </c>
      <c r="AD110" s="787">
        <f t="shared" si="52"/>
        <v>106.93177432237572</v>
      </c>
      <c r="AE110" s="788">
        <v>118.0269</v>
      </c>
      <c r="AF110" s="774">
        <f t="shared" si="68"/>
        <v>1.2275921825679952E-4</v>
      </c>
      <c r="AG110" s="692">
        <f t="shared" si="69"/>
        <v>15453.30603737379</v>
      </c>
      <c r="AH110" s="786">
        <f t="shared" si="70"/>
        <v>15453.30603737379</v>
      </c>
      <c r="AI110" s="692">
        <f t="shared" si="53"/>
        <v>177.62420732613552</v>
      </c>
      <c r="AJ110" s="789">
        <v>18</v>
      </c>
      <c r="AK110" s="777">
        <f t="shared" si="71"/>
        <v>2.392707028975682E-5</v>
      </c>
      <c r="AL110" s="692">
        <f t="shared" si="72"/>
        <v>502.00213748494588</v>
      </c>
      <c r="AM110" s="790">
        <v>0</v>
      </c>
      <c r="AN110" s="791">
        <f t="shared" si="73"/>
        <v>0</v>
      </c>
      <c r="AO110" s="778">
        <f t="shared" si="74"/>
        <v>0</v>
      </c>
      <c r="AP110" s="768">
        <v>2</v>
      </c>
      <c r="AQ110" s="792">
        <f t="shared" si="75"/>
        <v>2.7032506589173481E-5</v>
      </c>
      <c r="AR110" s="793">
        <f t="shared" si="76"/>
        <v>2268.6230992768806</v>
      </c>
      <c r="AS110" s="794"/>
      <c r="AT110" s="791">
        <f t="shared" si="77"/>
        <v>0</v>
      </c>
      <c r="AU110" s="795">
        <f t="shared" si="78"/>
        <v>0</v>
      </c>
      <c r="AV110" s="796">
        <v>2</v>
      </c>
      <c r="AW110" s="791">
        <f t="shared" si="79"/>
        <v>2.5468622656886714E-5</v>
      </c>
      <c r="AX110" s="795">
        <f t="shared" si="80"/>
        <v>1603.0340770171149</v>
      </c>
      <c r="AY110" s="786">
        <f t="shared" si="81"/>
        <v>4373.6593137789414</v>
      </c>
      <c r="AZ110" s="787">
        <f t="shared" si="54"/>
        <v>50.271946135390131</v>
      </c>
      <c r="BA110" s="797">
        <f t="shared" si="58"/>
        <v>29978.088403096983</v>
      </c>
      <c r="BB110" s="775">
        <v>12175</v>
      </c>
      <c r="BC110" s="775">
        <f t="shared" si="82"/>
        <v>0</v>
      </c>
      <c r="BD110" s="775">
        <f t="shared" si="83"/>
        <v>17803.088403096983</v>
      </c>
      <c r="BE110" s="798">
        <f t="shared" si="84"/>
        <v>2.7701622872297388E-5</v>
      </c>
      <c r="BF110" s="775">
        <f t="shared" si="85"/>
        <v>-36.673682585663151</v>
      </c>
      <c r="BG110" s="797">
        <f t="shared" si="86"/>
        <v>29941.414720511319</v>
      </c>
      <c r="BH110" s="799">
        <v>5</v>
      </c>
      <c r="BI110" s="692">
        <f t="shared" si="95"/>
        <v>0</v>
      </c>
      <c r="BJ110" s="800">
        <v>1150</v>
      </c>
      <c r="BK110" s="778">
        <f t="shared" si="87"/>
        <v>0</v>
      </c>
      <c r="BL110" s="786">
        <f t="shared" si="94"/>
        <v>29941.414720511319</v>
      </c>
      <c r="BM110" s="692">
        <f t="shared" si="88"/>
        <v>29941.414720511319</v>
      </c>
      <c r="BN110" s="801">
        <f t="shared" si="89"/>
        <v>1.4629830311304926E-5</v>
      </c>
      <c r="BO110" s="787">
        <f t="shared" si="90"/>
        <v>72.31278251243647</v>
      </c>
      <c r="BP110" s="802">
        <f t="shared" si="91"/>
        <v>30014</v>
      </c>
      <c r="BQ110" s="803">
        <f t="shared" si="55"/>
        <v>344.98850574712645</v>
      </c>
      <c r="BR110" s="682"/>
      <c r="BS110" s="618"/>
    </row>
    <row r="111" spans="1:71" ht="15.75">
      <c r="A111" s="805" t="s">
        <v>3637</v>
      </c>
      <c r="B111" s="767" t="s">
        <v>3638</v>
      </c>
      <c r="C111" s="768">
        <v>17224</v>
      </c>
      <c r="D111" s="769">
        <v>0</v>
      </c>
      <c r="E111" s="770">
        <v>0</v>
      </c>
      <c r="F111" s="771">
        <v>0</v>
      </c>
      <c r="G111" s="770">
        <v>0</v>
      </c>
      <c r="H111" s="771">
        <v>0</v>
      </c>
      <c r="I111" s="770">
        <f t="shared" si="92"/>
        <v>0</v>
      </c>
      <c r="J111" s="772">
        <f t="shared" si="59"/>
        <v>0</v>
      </c>
      <c r="K111" s="773">
        <v>3553</v>
      </c>
      <c r="L111" s="774">
        <f t="shared" si="60"/>
        <v>1.2822923474972562E-3</v>
      </c>
      <c r="M111" s="775">
        <f t="shared" si="93"/>
        <v>107612.58967835864</v>
      </c>
      <c r="N111" s="806">
        <v>975</v>
      </c>
      <c r="O111" s="777">
        <f t="shared" si="61"/>
        <v>1.1088151372030792E-3</v>
      </c>
      <c r="P111" s="778">
        <f t="shared" si="62"/>
        <v>93054.028296962293</v>
      </c>
      <c r="Q111" s="786">
        <f t="shared" si="48"/>
        <v>200666.61797532093</v>
      </c>
      <c r="R111" s="692">
        <f t="shared" si="49"/>
        <v>11.650407453281522</v>
      </c>
      <c r="S111" s="807">
        <v>66068080.43999999</v>
      </c>
      <c r="T111" s="782">
        <f t="shared" si="56"/>
        <v>4.4903102076564592</v>
      </c>
      <c r="U111" s="777">
        <f t="shared" si="63"/>
        <v>2.4408100633752368E-3</v>
      </c>
      <c r="V111" s="783">
        <f t="shared" si="50"/>
        <v>3835.8151672085455</v>
      </c>
      <c r="W111" s="778">
        <f t="shared" si="64"/>
        <v>972979.35891215096</v>
      </c>
      <c r="X111" s="784">
        <v>11363911.967</v>
      </c>
      <c r="Y111" s="782">
        <f t="shared" si="57"/>
        <v>26.105990336910182</v>
      </c>
      <c r="Z111" s="782">
        <f t="shared" si="65"/>
        <v>4.0308052886043029E-3</v>
      </c>
      <c r="AA111" s="783">
        <f t="shared" si="51"/>
        <v>659.77194420575938</v>
      </c>
      <c r="AB111" s="692">
        <f t="shared" si="66"/>
        <v>947165.52745489322</v>
      </c>
      <c r="AC111" s="786">
        <f t="shared" si="67"/>
        <v>1920144.8863670442</v>
      </c>
      <c r="AD111" s="787">
        <f t="shared" si="52"/>
        <v>111.48077603152834</v>
      </c>
      <c r="AE111" s="788">
        <v>3784.4193</v>
      </c>
      <c r="AF111" s="774">
        <f t="shared" si="68"/>
        <v>3.9361565441771709E-3</v>
      </c>
      <c r="AG111" s="692">
        <f t="shared" si="69"/>
        <v>495495.43042004743</v>
      </c>
      <c r="AH111" s="786">
        <f t="shared" si="70"/>
        <v>495495.43042004743</v>
      </c>
      <c r="AI111" s="692">
        <f t="shared" si="53"/>
        <v>28.767732839064529</v>
      </c>
      <c r="AJ111" s="789">
        <v>1724</v>
      </c>
      <c r="AK111" s="777">
        <f t="shared" si="71"/>
        <v>2.2916816210855977E-3</v>
      </c>
      <c r="AL111" s="692">
        <f t="shared" si="72"/>
        <v>48080.649168002594</v>
      </c>
      <c r="AM111" s="790">
        <v>6.333333333333333</v>
      </c>
      <c r="AN111" s="791">
        <f t="shared" si="73"/>
        <v>9.1456077015643746E-4</v>
      </c>
      <c r="AO111" s="778">
        <f t="shared" si="74"/>
        <v>57563.85415162451</v>
      </c>
      <c r="AP111" s="768">
        <v>171</v>
      </c>
      <c r="AQ111" s="792">
        <f t="shared" si="75"/>
        <v>2.3112793133743328E-3</v>
      </c>
      <c r="AR111" s="793">
        <f t="shared" si="76"/>
        <v>193967.2749881733</v>
      </c>
      <c r="AS111" s="794">
        <v>30.722222222222225</v>
      </c>
      <c r="AT111" s="791">
        <f t="shared" si="77"/>
        <v>1.2321129176901776E-3</v>
      </c>
      <c r="AU111" s="795">
        <f t="shared" si="78"/>
        <v>103401.42956291178</v>
      </c>
      <c r="AV111" s="796">
        <v>43</v>
      </c>
      <c r="AW111" s="791">
        <f t="shared" si="79"/>
        <v>5.4757538712306441E-4</v>
      </c>
      <c r="AX111" s="795">
        <f t="shared" si="80"/>
        <v>34465.232655867971</v>
      </c>
      <c r="AY111" s="786">
        <f t="shared" si="81"/>
        <v>437478.44052658015</v>
      </c>
      <c r="AZ111" s="787">
        <f t="shared" si="54"/>
        <v>25.399352097455886</v>
      </c>
      <c r="BA111" s="797">
        <f t="shared" si="58"/>
        <v>3053785.3752889927</v>
      </c>
      <c r="BB111" s="775">
        <v>2191088</v>
      </c>
      <c r="BC111" s="775">
        <f t="shared" si="82"/>
        <v>0</v>
      </c>
      <c r="BD111" s="775">
        <f t="shared" si="83"/>
        <v>862697.37528899265</v>
      </c>
      <c r="BE111" s="798">
        <f t="shared" si="84"/>
        <v>1.342357955096107E-3</v>
      </c>
      <c r="BF111" s="775">
        <f t="shared" si="85"/>
        <v>-1777.1236648653341</v>
      </c>
      <c r="BG111" s="797">
        <f t="shared" si="86"/>
        <v>3052008.2516241274</v>
      </c>
      <c r="BH111" s="799">
        <v>7</v>
      </c>
      <c r="BI111" s="692">
        <f t="shared" si="95"/>
        <v>0</v>
      </c>
      <c r="BJ111" s="800">
        <v>1600</v>
      </c>
      <c r="BK111" s="778">
        <f t="shared" si="87"/>
        <v>0</v>
      </c>
      <c r="BL111" s="786">
        <f t="shared" si="94"/>
        <v>3052008.2516241274</v>
      </c>
      <c r="BM111" s="692">
        <f t="shared" si="88"/>
        <v>3052008.2516241274</v>
      </c>
      <c r="BN111" s="801">
        <f t="shared" si="89"/>
        <v>1.4912576191456895E-3</v>
      </c>
      <c r="BO111" s="787">
        <f t="shared" si="90"/>
        <v>7371.0347685965335</v>
      </c>
      <c r="BP111" s="802">
        <f t="shared" si="91"/>
        <v>3059379</v>
      </c>
      <c r="BQ111" s="803">
        <f t="shared" si="55"/>
        <v>177.6230260102183</v>
      </c>
      <c r="BR111" s="682"/>
      <c r="BS111" s="618"/>
    </row>
    <row r="112" spans="1:71" ht="15.75">
      <c r="A112" s="766" t="s">
        <v>3639</v>
      </c>
      <c r="B112" s="767" t="s">
        <v>3640</v>
      </c>
      <c r="C112" s="768">
        <v>32003</v>
      </c>
      <c r="D112" s="769">
        <v>0</v>
      </c>
      <c r="E112" s="770">
        <v>0</v>
      </c>
      <c r="F112" s="771">
        <v>0</v>
      </c>
      <c r="G112" s="770">
        <v>0</v>
      </c>
      <c r="H112" s="771">
        <v>0</v>
      </c>
      <c r="I112" s="770">
        <f t="shared" si="92"/>
        <v>0</v>
      </c>
      <c r="J112" s="772">
        <f t="shared" si="59"/>
        <v>0</v>
      </c>
      <c r="K112" s="773">
        <v>11643</v>
      </c>
      <c r="L112" s="774">
        <f t="shared" si="60"/>
        <v>4.2020066991023232E-3</v>
      </c>
      <c r="M112" s="775">
        <f t="shared" si="93"/>
        <v>352640.97428233316</v>
      </c>
      <c r="N112" s="806">
        <v>4013</v>
      </c>
      <c r="O112" s="777">
        <f t="shared" si="61"/>
        <v>4.5637693800984177E-3</v>
      </c>
      <c r="P112" s="778">
        <f t="shared" si="62"/>
        <v>383000.83646739461</v>
      </c>
      <c r="Q112" s="786">
        <f t="shared" si="48"/>
        <v>735641.81074972777</v>
      </c>
      <c r="R112" s="692">
        <f t="shared" si="49"/>
        <v>22.986651587342678</v>
      </c>
      <c r="S112" s="807">
        <v>89938512.239999995</v>
      </c>
      <c r="T112" s="782">
        <f t="shared" si="56"/>
        <v>11.387691251406896</v>
      </c>
      <c r="U112" s="777">
        <f t="shared" si="63"/>
        <v>6.1900381309180647E-3</v>
      </c>
      <c r="V112" s="783">
        <f t="shared" si="50"/>
        <v>2810.3150404649564</v>
      </c>
      <c r="W112" s="778">
        <f t="shared" si="64"/>
        <v>2467532.9812160474</v>
      </c>
      <c r="X112" s="784">
        <v>25494027.321899999</v>
      </c>
      <c r="Y112" s="782">
        <f t="shared" si="57"/>
        <v>40.173802125025333</v>
      </c>
      <c r="Z112" s="782">
        <f t="shared" si="65"/>
        <v>6.2028971886940766E-3</v>
      </c>
      <c r="AA112" s="783">
        <f t="shared" si="51"/>
        <v>796.61367127769267</v>
      </c>
      <c r="AB112" s="692">
        <f t="shared" si="66"/>
        <v>1457567.4007593212</v>
      </c>
      <c r="AC112" s="786">
        <f t="shared" si="67"/>
        <v>3925100.3819753686</v>
      </c>
      <c r="AD112" s="787">
        <f t="shared" si="52"/>
        <v>122.64788869716492</v>
      </c>
      <c r="AE112" s="788">
        <v>3252.4985000000001</v>
      </c>
      <c r="AF112" s="774">
        <f t="shared" si="68"/>
        <v>3.3829082458440669E-3</v>
      </c>
      <c r="AG112" s="692">
        <f t="shared" si="69"/>
        <v>425850.84168608341</v>
      </c>
      <c r="AH112" s="786">
        <f t="shared" si="70"/>
        <v>425850.84168608341</v>
      </c>
      <c r="AI112" s="692">
        <f t="shared" si="53"/>
        <v>13.306591309754817</v>
      </c>
      <c r="AJ112" s="789">
        <v>4377</v>
      </c>
      <c r="AK112" s="777">
        <f t="shared" si="71"/>
        <v>5.8182659254592001E-3</v>
      </c>
      <c r="AL112" s="692">
        <f t="shared" si="72"/>
        <v>122070.18643175601</v>
      </c>
      <c r="AM112" s="790">
        <v>83.666666666666671</v>
      </c>
      <c r="AN112" s="791">
        <f t="shared" si="73"/>
        <v>1.2081829121540308E-2</v>
      </c>
      <c r="AO112" s="778">
        <f t="shared" si="74"/>
        <v>760448.81010830298</v>
      </c>
      <c r="AP112" s="768">
        <v>404</v>
      </c>
      <c r="AQ112" s="792">
        <f t="shared" si="75"/>
        <v>5.4605663310130434E-3</v>
      </c>
      <c r="AR112" s="793">
        <f t="shared" si="76"/>
        <v>458261.86605392984</v>
      </c>
      <c r="AS112" s="794">
        <v>64.916666666666657</v>
      </c>
      <c r="AT112" s="791">
        <f t="shared" si="77"/>
        <v>2.6034791036545612E-3</v>
      </c>
      <c r="AU112" s="795">
        <f t="shared" si="78"/>
        <v>218489.27747606224</v>
      </c>
      <c r="AV112" s="796">
        <v>118</v>
      </c>
      <c r="AW112" s="791">
        <f t="shared" si="79"/>
        <v>1.5026487367563162E-3</v>
      </c>
      <c r="AX112" s="795">
        <f t="shared" si="80"/>
        <v>94579.010544009783</v>
      </c>
      <c r="AY112" s="786">
        <f t="shared" si="81"/>
        <v>1653849.1506140607</v>
      </c>
      <c r="AZ112" s="787">
        <f t="shared" si="54"/>
        <v>51.677941149706612</v>
      </c>
      <c r="BA112" s="797">
        <f t="shared" si="58"/>
        <v>6740442.1850252394</v>
      </c>
      <c r="BB112" s="775">
        <v>5229245</v>
      </c>
      <c r="BC112" s="775">
        <f t="shared" si="82"/>
        <v>0</v>
      </c>
      <c r="BD112" s="775">
        <f t="shared" si="83"/>
        <v>1511197.1850252394</v>
      </c>
      <c r="BE112" s="798">
        <f t="shared" si="84"/>
        <v>2.3514242898419959E-3</v>
      </c>
      <c r="BF112" s="775">
        <f t="shared" si="85"/>
        <v>-3113.0085203824724</v>
      </c>
      <c r="BG112" s="797">
        <f t="shared" si="86"/>
        <v>6737329.1765048569</v>
      </c>
      <c r="BH112" s="799">
        <v>8</v>
      </c>
      <c r="BI112" s="692">
        <f t="shared" si="95"/>
        <v>0</v>
      </c>
      <c r="BJ112" s="800">
        <v>1400</v>
      </c>
      <c r="BK112" s="778">
        <f t="shared" si="87"/>
        <v>0</v>
      </c>
      <c r="BL112" s="786">
        <f t="shared" si="94"/>
        <v>6737329.1765048569</v>
      </c>
      <c r="BM112" s="692">
        <f t="shared" si="88"/>
        <v>6737329.1765048569</v>
      </c>
      <c r="BN112" s="801">
        <f t="shared" si="89"/>
        <v>3.2919614361490855E-3</v>
      </c>
      <c r="BO112" s="787">
        <f t="shared" si="90"/>
        <v>16271.609875586013</v>
      </c>
      <c r="BP112" s="802">
        <f t="shared" si="91"/>
        <v>6753601</v>
      </c>
      <c r="BQ112" s="803">
        <f t="shared" si="55"/>
        <v>211.03024716432836</v>
      </c>
      <c r="BR112" s="682"/>
      <c r="BS112" s="618"/>
    </row>
    <row r="113" spans="1:71" ht="15.75">
      <c r="A113" s="766" t="s">
        <v>3641</v>
      </c>
      <c r="B113" s="767" t="s">
        <v>3642</v>
      </c>
      <c r="C113" s="768">
        <v>7940</v>
      </c>
      <c r="D113" s="769">
        <v>0</v>
      </c>
      <c r="E113" s="770">
        <v>0</v>
      </c>
      <c r="F113" s="771">
        <v>0</v>
      </c>
      <c r="G113" s="770">
        <v>0</v>
      </c>
      <c r="H113" s="771">
        <v>0</v>
      </c>
      <c r="I113" s="770">
        <f t="shared" si="92"/>
        <v>0</v>
      </c>
      <c r="J113" s="772">
        <f t="shared" si="59"/>
        <v>0</v>
      </c>
      <c r="K113" s="773">
        <v>2676</v>
      </c>
      <c r="L113" s="774">
        <f t="shared" si="60"/>
        <v>9.6577943200187378E-4</v>
      </c>
      <c r="M113" s="775">
        <f t="shared" si="93"/>
        <v>81050.180123638536</v>
      </c>
      <c r="N113" s="806">
        <v>39</v>
      </c>
      <c r="O113" s="777">
        <f t="shared" si="61"/>
        <v>4.4352605488123166E-5</v>
      </c>
      <c r="P113" s="778">
        <f t="shared" si="62"/>
        <v>3722.1611318784917</v>
      </c>
      <c r="Q113" s="786">
        <f t="shared" si="48"/>
        <v>84772.341255517022</v>
      </c>
      <c r="R113" s="692">
        <f t="shared" si="49"/>
        <v>10.676617286589046</v>
      </c>
      <c r="S113" s="807">
        <v>18064479.949999999</v>
      </c>
      <c r="T113" s="782">
        <f t="shared" si="56"/>
        <v>3.4899205609292951</v>
      </c>
      <c r="U113" s="777">
        <f t="shared" si="63"/>
        <v>1.8970255576044339E-3</v>
      </c>
      <c r="V113" s="783">
        <f t="shared" si="50"/>
        <v>2275.123419395466</v>
      </c>
      <c r="W113" s="778">
        <f t="shared" si="64"/>
        <v>756210.70994993264</v>
      </c>
      <c r="X113" s="784">
        <v>5642651.3525999999</v>
      </c>
      <c r="Y113" s="782">
        <f t="shared" si="57"/>
        <v>11.172691002953957</v>
      </c>
      <c r="Z113" s="782">
        <f t="shared" si="65"/>
        <v>1.7250807727058521E-3</v>
      </c>
      <c r="AA113" s="783">
        <f t="shared" si="51"/>
        <v>710.66137942065484</v>
      </c>
      <c r="AB113" s="692">
        <f t="shared" si="66"/>
        <v>405362.433308704</v>
      </c>
      <c r="AC113" s="786">
        <f t="shared" si="67"/>
        <v>1161573.1432586366</v>
      </c>
      <c r="AD113" s="787">
        <f t="shared" si="52"/>
        <v>146.29384675801469</v>
      </c>
      <c r="AE113" s="788">
        <v>8434.9190999999992</v>
      </c>
      <c r="AF113" s="774">
        <f t="shared" si="68"/>
        <v>8.7731193039497519E-3</v>
      </c>
      <c r="AG113" s="692">
        <f t="shared" si="69"/>
        <v>1104387.1037262648</v>
      </c>
      <c r="AH113" s="786">
        <f t="shared" si="70"/>
        <v>1104387.1037262648</v>
      </c>
      <c r="AI113" s="692">
        <f t="shared" si="53"/>
        <v>139.09157477660764</v>
      </c>
      <c r="AJ113" s="789">
        <v>1254</v>
      </c>
      <c r="AK113" s="777">
        <f t="shared" si="71"/>
        <v>1.6669192301863919E-3</v>
      </c>
      <c r="AL113" s="692">
        <f t="shared" si="72"/>
        <v>34972.815578117894</v>
      </c>
      <c r="AM113" s="790">
        <v>7.666666666666667</v>
      </c>
      <c r="AN113" s="791">
        <f t="shared" si="73"/>
        <v>1.107099879663056E-3</v>
      </c>
      <c r="AO113" s="778">
        <f t="shared" si="74"/>
        <v>69682.560288808629</v>
      </c>
      <c r="AP113" s="768">
        <v>92</v>
      </c>
      <c r="AQ113" s="792">
        <f t="shared" si="75"/>
        <v>1.2434953031019802E-3</v>
      </c>
      <c r="AR113" s="793">
        <f t="shared" si="76"/>
        <v>104356.6625667365</v>
      </c>
      <c r="AS113" s="794">
        <v>12.833333333333334</v>
      </c>
      <c r="AT113" s="791">
        <f t="shared" si="77"/>
        <v>5.1468007954146662E-4</v>
      </c>
      <c r="AU113" s="795">
        <f t="shared" si="78"/>
        <v>43193.002222482144</v>
      </c>
      <c r="AV113" s="796">
        <v>3</v>
      </c>
      <c r="AW113" s="791">
        <f t="shared" si="79"/>
        <v>3.8202933985330073E-5</v>
      </c>
      <c r="AX113" s="795">
        <f t="shared" si="80"/>
        <v>2404.5511155256722</v>
      </c>
      <c r="AY113" s="786">
        <f t="shared" si="81"/>
        <v>254609.59177167085</v>
      </c>
      <c r="AZ113" s="787">
        <f t="shared" si="54"/>
        <v>32.066699215575674</v>
      </c>
      <c r="BA113" s="797">
        <f t="shared" si="58"/>
        <v>2605342.1800120892</v>
      </c>
      <c r="BB113" s="775">
        <v>1446600</v>
      </c>
      <c r="BC113" s="775">
        <f t="shared" si="82"/>
        <v>0</v>
      </c>
      <c r="BD113" s="775">
        <f t="shared" si="83"/>
        <v>1158742.1800120892</v>
      </c>
      <c r="BE113" s="798">
        <f t="shared" si="84"/>
        <v>1.8030039592082661E-3</v>
      </c>
      <c r="BF113" s="775">
        <f t="shared" si="85"/>
        <v>-2386.9646628834535</v>
      </c>
      <c r="BG113" s="797">
        <f t="shared" si="86"/>
        <v>2602955.2153492058</v>
      </c>
      <c r="BH113" s="799">
        <v>9</v>
      </c>
      <c r="BI113" s="692">
        <f t="shared" si="95"/>
        <v>0</v>
      </c>
      <c r="BJ113" s="800">
        <v>1850</v>
      </c>
      <c r="BK113" s="778">
        <f t="shared" si="87"/>
        <v>0</v>
      </c>
      <c r="BL113" s="786">
        <f t="shared" si="94"/>
        <v>2602955.2153492058</v>
      </c>
      <c r="BM113" s="692">
        <f t="shared" si="88"/>
        <v>2602955.2153492058</v>
      </c>
      <c r="BN113" s="801">
        <f t="shared" si="89"/>
        <v>1.2718434804751516E-3</v>
      </c>
      <c r="BO113" s="787">
        <f t="shared" si="90"/>
        <v>6286.5077062712999</v>
      </c>
      <c r="BP113" s="802">
        <f t="shared" si="91"/>
        <v>2609242</v>
      </c>
      <c r="BQ113" s="803">
        <f t="shared" si="55"/>
        <v>328.61989924433249</v>
      </c>
      <c r="BR113" s="682"/>
      <c r="BS113" s="618"/>
    </row>
    <row r="114" spans="1:71" ht="15.75">
      <c r="A114" s="805" t="s">
        <v>3643</v>
      </c>
      <c r="B114" s="767" t="s">
        <v>3644</v>
      </c>
      <c r="C114" s="768">
        <v>6739</v>
      </c>
      <c r="D114" s="769">
        <v>0</v>
      </c>
      <c r="E114" s="770">
        <v>0</v>
      </c>
      <c r="F114" s="771">
        <v>0</v>
      </c>
      <c r="G114" s="770">
        <v>0</v>
      </c>
      <c r="H114" s="771">
        <v>0</v>
      </c>
      <c r="I114" s="770">
        <f t="shared" si="92"/>
        <v>0</v>
      </c>
      <c r="J114" s="772">
        <f t="shared" si="59"/>
        <v>0</v>
      </c>
      <c r="K114" s="773">
        <v>1678</v>
      </c>
      <c r="L114" s="774">
        <f t="shared" si="60"/>
        <v>6.0559711767531549E-4</v>
      </c>
      <c r="M114" s="775">
        <f t="shared" si="93"/>
        <v>50822.945533432532</v>
      </c>
      <c r="N114" s="806">
        <v>662</v>
      </c>
      <c r="O114" s="777">
        <f t="shared" si="61"/>
        <v>7.5285704700352662E-4</v>
      </c>
      <c r="P114" s="778">
        <f t="shared" si="62"/>
        <v>63181.299212911843</v>
      </c>
      <c r="Q114" s="786">
        <f t="shared" si="48"/>
        <v>114004.24474634437</v>
      </c>
      <c r="R114" s="692">
        <f t="shared" si="49"/>
        <v>16.917086325321911</v>
      </c>
      <c r="S114" s="807">
        <v>30275181.93</v>
      </c>
      <c r="T114" s="782">
        <f t="shared" si="56"/>
        <v>1.5000445283864228</v>
      </c>
      <c r="U114" s="777">
        <f t="shared" si="63"/>
        <v>8.1538326108374277E-4</v>
      </c>
      <c r="V114" s="783">
        <f t="shared" si="50"/>
        <v>4492.5333031607061</v>
      </c>
      <c r="W114" s="778">
        <f t="shared" si="64"/>
        <v>325035.97659700143</v>
      </c>
      <c r="X114" s="784">
        <v>5435051.7505999999</v>
      </c>
      <c r="Y114" s="782">
        <f t="shared" si="57"/>
        <v>8.3557844679191007</v>
      </c>
      <c r="Z114" s="782">
        <f t="shared" si="65"/>
        <v>1.2901460465227583E-3</v>
      </c>
      <c r="AA114" s="783">
        <f t="shared" si="51"/>
        <v>806.50715990503045</v>
      </c>
      <c r="AB114" s="692">
        <f t="shared" si="66"/>
        <v>303160.72674194939</v>
      </c>
      <c r="AC114" s="786">
        <f t="shared" si="67"/>
        <v>628196.70333895087</v>
      </c>
      <c r="AD114" s="787">
        <f t="shared" si="52"/>
        <v>93.218089232668177</v>
      </c>
      <c r="AE114" s="788">
        <v>2850.4097000000002</v>
      </c>
      <c r="AF114" s="774">
        <f t="shared" si="68"/>
        <v>2.964697594222999E-3</v>
      </c>
      <c r="AG114" s="692">
        <f t="shared" si="69"/>
        <v>373205.20513542945</v>
      </c>
      <c r="AH114" s="786">
        <f t="shared" si="70"/>
        <v>373205.20513542945</v>
      </c>
      <c r="AI114" s="692">
        <f t="shared" si="53"/>
        <v>55.379908760265536</v>
      </c>
      <c r="AJ114" s="789">
        <v>525</v>
      </c>
      <c r="AK114" s="777">
        <f t="shared" si="71"/>
        <v>6.9787288345124065E-4</v>
      </c>
      <c r="AL114" s="692">
        <f t="shared" si="72"/>
        <v>14641.729009977589</v>
      </c>
      <c r="AM114" s="790">
        <v>4</v>
      </c>
      <c r="AN114" s="791">
        <f t="shared" si="73"/>
        <v>5.776173285198553E-4</v>
      </c>
      <c r="AO114" s="778">
        <f t="shared" si="74"/>
        <v>36356.118411552328</v>
      </c>
      <c r="AP114" s="768">
        <v>52</v>
      </c>
      <c r="AQ114" s="792">
        <f t="shared" si="75"/>
        <v>7.028451713185105E-4</v>
      </c>
      <c r="AR114" s="793">
        <f t="shared" si="76"/>
        <v>58984.200581198893</v>
      </c>
      <c r="AS114" s="794">
        <v>8.4444444444444446</v>
      </c>
      <c r="AT114" s="791">
        <f t="shared" si="77"/>
        <v>3.3866394844286977E-4</v>
      </c>
      <c r="AU114" s="795">
        <f t="shared" si="78"/>
        <v>28421.369427780453</v>
      </c>
      <c r="AV114" s="796">
        <v>10</v>
      </c>
      <c r="AW114" s="791">
        <f t="shared" si="79"/>
        <v>1.2734311328443357E-4</v>
      </c>
      <c r="AX114" s="795">
        <f t="shared" si="80"/>
        <v>8015.1703850855738</v>
      </c>
      <c r="AY114" s="786">
        <f t="shared" si="81"/>
        <v>146418.58781559486</v>
      </c>
      <c r="AZ114" s="787">
        <f t="shared" si="54"/>
        <v>21.727049683275688</v>
      </c>
      <c r="BA114" s="797">
        <f t="shared" si="58"/>
        <v>1261824.7410363196</v>
      </c>
      <c r="BB114" s="775">
        <v>737308</v>
      </c>
      <c r="BC114" s="775">
        <f t="shared" si="82"/>
        <v>0</v>
      </c>
      <c r="BD114" s="775">
        <f t="shared" si="83"/>
        <v>524516.74103631964</v>
      </c>
      <c r="BE114" s="798">
        <f t="shared" si="84"/>
        <v>8.1614855925037132E-4</v>
      </c>
      <c r="BF114" s="775">
        <f t="shared" si="85"/>
        <v>-1080.4844662955345</v>
      </c>
      <c r="BG114" s="797">
        <f t="shared" si="86"/>
        <v>1260744.2565700242</v>
      </c>
      <c r="BH114" s="799">
        <v>7.5</v>
      </c>
      <c r="BI114" s="692">
        <f t="shared" si="95"/>
        <v>0</v>
      </c>
      <c r="BJ114" s="800">
        <v>1250</v>
      </c>
      <c r="BK114" s="778">
        <f t="shared" si="87"/>
        <v>0</v>
      </c>
      <c r="BL114" s="786">
        <f t="shared" si="94"/>
        <v>1260744.2565700242</v>
      </c>
      <c r="BM114" s="692">
        <f t="shared" si="88"/>
        <v>1260744.2565700242</v>
      </c>
      <c r="BN114" s="801">
        <f t="shared" si="89"/>
        <v>6.1601880578262646E-4</v>
      </c>
      <c r="BO114" s="787">
        <f t="shared" si="90"/>
        <v>3044.8770066531665</v>
      </c>
      <c r="BP114" s="802">
        <f t="shared" si="91"/>
        <v>1263789</v>
      </c>
      <c r="BQ114" s="803">
        <f t="shared" si="55"/>
        <v>187.53361032794183</v>
      </c>
      <c r="BR114" s="682"/>
      <c r="BS114" s="618"/>
    </row>
    <row r="115" spans="1:71" ht="15.75">
      <c r="A115" s="805" t="s">
        <v>3645</v>
      </c>
      <c r="B115" s="767" t="s">
        <v>3646</v>
      </c>
      <c r="C115" s="768">
        <v>10539</v>
      </c>
      <c r="D115" s="769">
        <v>0</v>
      </c>
      <c r="E115" s="770">
        <v>0</v>
      </c>
      <c r="F115" s="771">
        <v>0</v>
      </c>
      <c r="G115" s="770">
        <v>0</v>
      </c>
      <c r="H115" s="771">
        <v>0</v>
      </c>
      <c r="I115" s="770">
        <f t="shared" si="92"/>
        <v>0</v>
      </c>
      <c r="J115" s="772">
        <f t="shared" si="59"/>
        <v>0</v>
      </c>
      <c r="K115" s="773">
        <v>2799</v>
      </c>
      <c r="L115" s="774">
        <f t="shared" si="60"/>
        <v>1.010170639078193E-3</v>
      </c>
      <c r="M115" s="775">
        <f t="shared" si="93"/>
        <v>84775.580779545679</v>
      </c>
      <c r="N115" s="806">
        <v>282.5</v>
      </c>
      <c r="O115" s="777">
        <f t="shared" si="61"/>
        <v>3.2127207821525117E-4</v>
      </c>
      <c r="P115" s="778">
        <f t="shared" si="62"/>
        <v>26961.808198863437</v>
      </c>
      <c r="Q115" s="786">
        <f t="shared" si="48"/>
        <v>111737.38897840912</v>
      </c>
      <c r="R115" s="692">
        <f t="shared" si="49"/>
        <v>10.602276210115676</v>
      </c>
      <c r="S115" s="807">
        <v>50069464.290000007</v>
      </c>
      <c r="T115" s="782">
        <f t="shared" si="56"/>
        <v>2.2183285276767637</v>
      </c>
      <c r="U115" s="777">
        <f t="shared" si="63"/>
        <v>1.2058228371379519E-3</v>
      </c>
      <c r="V115" s="783">
        <f t="shared" si="50"/>
        <v>4750.8743040136642</v>
      </c>
      <c r="W115" s="778">
        <f t="shared" si="64"/>
        <v>480676.78376322228</v>
      </c>
      <c r="X115" s="784">
        <v>15096766.3289</v>
      </c>
      <c r="Y115" s="782">
        <f t="shared" si="57"/>
        <v>7.3572391981305154</v>
      </c>
      <c r="Z115" s="782">
        <f t="shared" si="65"/>
        <v>1.1359691123237158E-3</v>
      </c>
      <c r="AA115" s="783">
        <f t="shared" si="51"/>
        <v>1432.4666788974287</v>
      </c>
      <c r="AB115" s="692">
        <f t="shared" si="66"/>
        <v>266931.96679294703</v>
      </c>
      <c r="AC115" s="786">
        <f t="shared" si="67"/>
        <v>747608.75055616931</v>
      </c>
      <c r="AD115" s="787">
        <f t="shared" si="52"/>
        <v>70.937351793924407</v>
      </c>
      <c r="AE115" s="788">
        <v>1437.7181</v>
      </c>
      <c r="AF115" s="774">
        <f t="shared" si="68"/>
        <v>1.495363769019191E-3</v>
      </c>
      <c r="AG115" s="692">
        <f t="shared" si="69"/>
        <v>188240.96705726895</v>
      </c>
      <c r="AH115" s="786">
        <f t="shared" si="70"/>
        <v>188240.96705726895</v>
      </c>
      <c r="AI115" s="692">
        <f t="shared" si="53"/>
        <v>17.861368920890875</v>
      </c>
      <c r="AJ115" s="789">
        <v>718</v>
      </c>
      <c r="AK115" s="777">
        <f t="shared" si="71"/>
        <v>9.544242482247443E-4</v>
      </c>
      <c r="AL115" s="692">
        <f t="shared" si="72"/>
        <v>20024.307484121731</v>
      </c>
      <c r="AM115" s="790">
        <v>2.3333333333333335</v>
      </c>
      <c r="AN115" s="791">
        <f t="shared" si="73"/>
        <v>3.3694344163658226E-4</v>
      </c>
      <c r="AO115" s="778">
        <f t="shared" si="74"/>
        <v>21207.735740072192</v>
      </c>
      <c r="AP115" s="768">
        <v>52</v>
      </c>
      <c r="AQ115" s="792">
        <f t="shared" si="75"/>
        <v>7.028451713185105E-4</v>
      </c>
      <c r="AR115" s="793">
        <f t="shared" si="76"/>
        <v>58984.200581198893</v>
      </c>
      <c r="AS115" s="794">
        <v>14.888888888888888</v>
      </c>
      <c r="AT115" s="791">
        <f t="shared" si="77"/>
        <v>5.9711801435979666E-4</v>
      </c>
      <c r="AU115" s="795">
        <f t="shared" si="78"/>
        <v>50111.361885823433</v>
      </c>
      <c r="AV115" s="796">
        <v>108</v>
      </c>
      <c r="AW115" s="791">
        <f t="shared" si="79"/>
        <v>1.3753056234718827E-3</v>
      </c>
      <c r="AX115" s="795">
        <f t="shared" si="80"/>
        <v>86563.840158924213</v>
      </c>
      <c r="AY115" s="786">
        <f t="shared" si="81"/>
        <v>236891.44585014047</v>
      </c>
      <c r="AZ115" s="787">
        <f t="shared" si="54"/>
        <v>22.477601845539471</v>
      </c>
      <c r="BA115" s="797">
        <f t="shared" si="58"/>
        <v>1284478.5524419879</v>
      </c>
      <c r="BB115" s="775">
        <v>1009729</v>
      </c>
      <c r="BC115" s="775">
        <f t="shared" si="82"/>
        <v>0</v>
      </c>
      <c r="BD115" s="775">
        <f t="shared" si="83"/>
        <v>274749.55244198791</v>
      </c>
      <c r="BE115" s="798">
        <f t="shared" si="84"/>
        <v>4.2751057084884495E-4</v>
      </c>
      <c r="BF115" s="775">
        <f t="shared" si="85"/>
        <v>-565.97359113588777</v>
      </c>
      <c r="BG115" s="797">
        <f t="shared" si="86"/>
        <v>1283912.5788508521</v>
      </c>
      <c r="BH115" s="799">
        <v>6</v>
      </c>
      <c r="BI115" s="692">
        <f t="shared" si="95"/>
        <v>0</v>
      </c>
      <c r="BJ115" s="800">
        <v>950</v>
      </c>
      <c r="BK115" s="778">
        <f t="shared" si="87"/>
        <v>0</v>
      </c>
      <c r="BL115" s="786">
        <f t="shared" si="94"/>
        <v>1283912.5788508521</v>
      </c>
      <c r="BM115" s="692">
        <f t="shared" si="88"/>
        <v>1283912.5788508521</v>
      </c>
      <c r="BN115" s="801">
        <f t="shared" si="89"/>
        <v>6.2733920018382826E-4</v>
      </c>
      <c r="BO115" s="787">
        <f t="shared" si="90"/>
        <v>3100.8318059139992</v>
      </c>
      <c r="BP115" s="802">
        <f t="shared" si="91"/>
        <v>1287013</v>
      </c>
      <c r="BQ115" s="803">
        <f t="shared" si="55"/>
        <v>122.11908150678433</v>
      </c>
      <c r="BR115" s="682"/>
      <c r="BS115" s="618"/>
    </row>
    <row r="116" spans="1:71" ht="15.75">
      <c r="A116" s="805" t="s">
        <v>3647</v>
      </c>
      <c r="B116" s="767" t="s">
        <v>3648</v>
      </c>
      <c r="C116" s="768">
        <v>9588</v>
      </c>
      <c r="D116" s="769">
        <v>0</v>
      </c>
      <c r="E116" s="770">
        <v>0</v>
      </c>
      <c r="F116" s="771">
        <v>0</v>
      </c>
      <c r="G116" s="770">
        <v>0</v>
      </c>
      <c r="H116" s="771">
        <v>0</v>
      </c>
      <c r="I116" s="770">
        <f t="shared" si="92"/>
        <v>0</v>
      </c>
      <c r="J116" s="772">
        <f t="shared" si="59"/>
        <v>0</v>
      </c>
      <c r="K116" s="773">
        <v>2734</v>
      </c>
      <c r="L116" s="774">
        <f t="shared" si="60"/>
        <v>9.8671187111103241E-4</v>
      </c>
      <c r="M116" s="775">
        <f t="shared" si="93"/>
        <v>82806.873115854905</v>
      </c>
      <c r="N116" s="806">
        <v>561</v>
      </c>
      <c r="O116" s="777">
        <f t="shared" si="61"/>
        <v>6.3799517125223324E-4</v>
      </c>
      <c r="P116" s="778">
        <f t="shared" si="62"/>
        <v>53541.85628163677</v>
      </c>
      <c r="Q116" s="786">
        <f t="shared" si="48"/>
        <v>136348.72939749167</v>
      </c>
      <c r="R116" s="692">
        <f t="shared" si="49"/>
        <v>14.220768606329962</v>
      </c>
      <c r="S116" s="807">
        <v>30732661.240000002</v>
      </c>
      <c r="T116" s="782">
        <f t="shared" si="56"/>
        <v>2.9912718355919377</v>
      </c>
      <c r="U116" s="777">
        <f t="shared" si="63"/>
        <v>1.6259737214044849E-3</v>
      </c>
      <c r="V116" s="783">
        <f t="shared" si="50"/>
        <v>3205.3255360867752</v>
      </c>
      <c r="W116" s="778">
        <f t="shared" si="64"/>
        <v>648161.40051161614</v>
      </c>
      <c r="X116" s="784">
        <v>6954941.4402999999</v>
      </c>
      <c r="Y116" s="782">
        <f t="shared" si="57"/>
        <v>13.217903384105938</v>
      </c>
      <c r="Z116" s="782">
        <f t="shared" si="65"/>
        <v>2.0408647278776565E-3</v>
      </c>
      <c r="AA116" s="783">
        <f t="shared" si="51"/>
        <v>725.37979143721316</v>
      </c>
      <c r="AB116" s="692">
        <f t="shared" si="66"/>
        <v>479565.88771710586</v>
      </c>
      <c r="AC116" s="786">
        <f t="shared" si="67"/>
        <v>1127727.2882287221</v>
      </c>
      <c r="AD116" s="787">
        <f t="shared" si="52"/>
        <v>117.61861579356717</v>
      </c>
      <c r="AE116" s="788">
        <v>2286.3517000000002</v>
      </c>
      <c r="AF116" s="774">
        <f t="shared" si="68"/>
        <v>2.3780235467686151E-3</v>
      </c>
      <c r="AG116" s="692">
        <f t="shared" si="69"/>
        <v>299352.88081928639</v>
      </c>
      <c r="AH116" s="786">
        <f t="shared" si="70"/>
        <v>299352.88081928639</v>
      </c>
      <c r="AI116" s="692">
        <f t="shared" si="53"/>
        <v>31.221618775478348</v>
      </c>
      <c r="AJ116" s="789">
        <v>1281</v>
      </c>
      <c r="AK116" s="777">
        <f t="shared" si="71"/>
        <v>1.702809835621027E-3</v>
      </c>
      <c r="AL116" s="692">
        <f t="shared" si="72"/>
        <v>35725.818784345312</v>
      </c>
      <c r="AM116" s="790">
        <v>7.333333333333333</v>
      </c>
      <c r="AN116" s="791">
        <f t="shared" si="73"/>
        <v>1.0589651022864014E-3</v>
      </c>
      <c r="AO116" s="778">
        <f t="shared" si="74"/>
        <v>66652.883754512601</v>
      </c>
      <c r="AP116" s="768">
        <v>110</v>
      </c>
      <c r="AQ116" s="792">
        <f t="shared" si="75"/>
        <v>1.4867878624045415E-3</v>
      </c>
      <c r="AR116" s="793">
        <f t="shared" si="76"/>
        <v>124774.27046022842</v>
      </c>
      <c r="AS116" s="794">
        <v>15.861111111111112</v>
      </c>
      <c r="AT116" s="791">
        <f t="shared" si="77"/>
        <v>6.3610892947657451E-4</v>
      </c>
      <c r="AU116" s="795">
        <f t="shared" si="78"/>
        <v>53383.559023890266</v>
      </c>
      <c r="AV116" s="796">
        <v>82</v>
      </c>
      <c r="AW116" s="791">
        <f t="shared" si="79"/>
        <v>1.0442135289323554E-3</v>
      </c>
      <c r="AX116" s="795">
        <f t="shared" si="80"/>
        <v>65724.397157701707</v>
      </c>
      <c r="AY116" s="786">
        <f t="shared" si="81"/>
        <v>346260.92918067827</v>
      </c>
      <c r="AZ116" s="787">
        <f t="shared" si="54"/>
        <v>36.113989276249299</v>
      </c>
      <c r="BA116" s="797">
        <f t="shared" si="58"/>
        <v>1909689.8276261785</v>
      </c>
      <c r="BB116" s="775">
        <v>1195656</v>
      </c>
      <c r="BC116" s="775">
        <f t="shared" si="82"/>
        <v>0</v>
      </c>
      <c r="BD116" s="775">
        <f t="shared" si="83"/>
        <v>714033.82762617851</v>
      </c>
      <c r="BE116" s="798">
        <f t="shared" si="84"/>
        <v>1.1110373303276151E-3</v>
      </c>
      <c r="BF116" s="775">
        <f t="shared" si="85"/>
        <v>-1470.8824310074924</v>
      </c>
      <c r="BG116" s="797">
        <f t="shared" si="86"/>
        <v>1908218.9451951711</v>
      </c>
      <c r="BH116" s="799">
        <v>8.5</v>
      </c>
      <c r="BI116" s="692">
        <f t="shared" si="95"/>
        <v>0</v>
      </c>
      <c r="BJ116" s="800">
        <v>1450</v>
      </c>
      <c r="BK116" s="778">
        <f t="shared" si="87"/>
        <v>0</v>
      </c>
      <c r="BL116" s="786">
        <f t="shared" si="94"/>
        <v>1908218.9451951711</v>
      </c>
      <c r="BM116" s="692">
        <f t="shared" si="88"/>
        <v>1908218.9451951711</v>
      </c>
      <c r="BN116" s="801">
        <f t="shared" si="89"/>
        <v>9.3238477959754469E-4</v>
      </c>
      <c r="BO116" s="787">
        <f t="shared" si="90"/>
        <v>4608.6206299223541</v>
      </c>
      <c r="BP116" s="802">
        <f t="shared" si="91"/>
        <v>1912828</v>
      </c>
      <c r="BQ116" s="803">
        <f t="shared" si="55"/>
        <v>199.50229453483522</v>
      </c>
      <c r="BR116" s="682"/>
      <c r="BS116" s="618"/>
    </row>
    <row r="117" spans="1:71" ht="15.75">
      <c r="A117" s="805" t="s">
        <v>3649</v>
      </c>
      <c r="B117" s="767" t="s">
        <v>3650</v>
      </c>
      <c r="C117" s="768">
        <v>9724</v>
      </c>
      <c r="D117" s="769">
        <v>0</v>
      </c>
      <c r="E117" s="770">
        <v>0</v>
      </c>
      <c r="F117" s="771">
        <v>0</v>
      </c>
      <c r="G117" s="770">
        <v>0</v>
      </c>
      <c r="H117" s="771">
        <v>0</v>
      </c>
      <c r="I117" s="770">
        <f t="shared" si="92"/>
        <v>0</v>
      </c>
      <c r="J117" s="772">
        <f t="shared" si="59"/>
        <v>0</v>
      </c>
      <c r="K117" s="773">
        <v>2316</v>
      </c>
      <c r="L117" s="774">
        <f t="shared" si="60"/>
        <v>8.3585394787606118E-4</v>
      </c>
      <c r="M117" s="775">
        <f t="shared" si="93"/>
        <v>70146.568447812722</v>
      </c>
      <c r="N117" s="806">
        <v>187</v>
      </c>
      <c r="O117" s="777">
        <f t="shared" si="61"/>
        <v>2.1266505708407776E-4</v>
      </c>
      <c r="P117" s="778">
        <f t="shared" si="62"/>
        <v>17847.285427212257</v>
      </c>
      <c r="Q117" s="786">
        <f t="shared" si="48"/>
        <v>87993.853875024972</v>
      </c>
      <c r="R117" s="692">
        <f t="shared" si="49"/>
        <v>9.0491416983777224</v>
      </c>
      <c r="S117" s="807">
        <v>46472445.569999993</v>
      </c>
      <c r="T117" s="782">
        <f t="shared" si="56"/>
        <v>2.0346718327438351</v>
      </c>
      <c r="U117" s="777">
        <f t="shared" si="63"/>
        <v>1.1059920707837303E-3</v>
      </c>
      <c r="V117" s="783">
        <f t="shared" si="50"/>
        <v>4779.1490713698058</v>
      </c>
      <c r="W117" s="778">
        <f t="shared" si="64"/>
        <v>440881.27631897648</v>
      </c>
      <c r="X117" s="784">
        <v>8252044.9419</v>
      </c>
      <c r="Y117" s="782">
        <f t="shared" si="57"/>
        <v>11.458514424695901</v>
      </c>
      <c r="Z117" s="782">
        <f t="shared" si="65"/>
        <v>1.7692123511327199E-3</v>
      </c>
      <c r="AA117" s="783">
        <f t="shared" si="51"/>
        <v>848.62658801933355</v>
      </c>
      <c r="AB117" s="692">
        <f t="shared" si="66"/>
        <v>415732.54716071166</v>
      </c>
      <c r="AC117" s="786">
        <f t="shared" si="67"/>
        <v>856613.82347968814</v>
      </c>
      <c r="AD117" s="787">
        <f t="shared" si="52"/>
        <v>88.092742027939963</v>
      </c>
      <c r="AE117" s="788">
        <v>3079.7813000000001</v>
      </c>
      <c r="AF117" s="774">
        <f t="shared" si="68"/>
        <v>3.2032659062460321E-3</v>
      </c>
      <c r="AG117" s="692">
        <f t="shared" si="69"/>
        <v>403236.91427192366</v>
      </c>
      <c r="AH117" s="786">
        <f t="shared" si="70"/>
        <v>403236.91427192366</v>
      </c>
      <c r="AI117" s="692">
        <f t="shared" si="53"/>
        <v>41.468214137384166</v>
      </c>
      <c r="AJ117" s="789">
        <v>748</v>
      </c>
      <c r="AK117" s="777">
        <f t="shared" si="71"/>
        <v>9.9430269870767231E-4</v>
      </c>
      <c r="AL117" s="692">
        <f t="shared" si="72"/>
        <v>20860.977713263306</v>
      </c>
      <c r="AM117" s="790">
        <v>2.6666666666666665</v>
      </c>
      <c r="AN117" s="791">
        <f t="shared" si="73"/>
        <v>3.8507821901323682E-4</v>
      </c>
      <c r="AO117" s="778">
        <f t="shared" si="74"/>
        <v>24237.412274368216</v>
      </c>
      <c r="AP117" s="768">
        <v>32</v>
      </c>
      <c r="AQ117" s="792">
        <f t="shared" si="75"/>
        <v>4.3252010542677569E-4</v>
      </c>
      <c r="AR117" s="793">
        <f t="shared" si="76"/>
        <v>36297.969588430089</v>
      </c>
      <c r="AS117" s="794">
        <v>6.6944444444444455</v>
      </c>
      <c r="AT117" s="791">
        <f t="shared" si="77"/>
        <v>2.6848030123266981E-4</v>
      </c>
      <c r="AU117" s="795">
        <f t="shared" si="78"/>
        <v>22531.414579260167</v>
      </c>
      <c r="AV117" s="796">
        <v>21</v>
      </c>
      <c r="AW117" s="791">
        <f t="shared" si="79"/>
        <v>2.674205378973105E-4</v>
      </c>
      <c r="AX117" s="795">
        <f t="shared" si="80"/>
        <v>16831.857808679706</v>
      </c>
      <c r="AY117" s="786">
        <f t="shared" si="81"/>
        <v>120759.63196400148</v>
      </c>
      <c r="AZ117" s="787">
        <f t="shared" si="54"/>
        <v>12.418719864664899</v>
      </c>
      <c r="BA117" s="797">
        <f t="shared" si="58"/>
        <v>1468604.2235906383</v>
      </c>
      <c r="BB117" s="775">
        <v>1108967</v>
      </c>
      <c r="BC117" s="775">
        <f t="shared" si="82"/>
        <v>0</v>
      </c>
      <c r="BD117" s="775">
        <f t="shared" si="83"/>
        <v>359637.22359063826</v>
      </c>
      <c r="BE117" s="798">
        <f t="shared" si="84"/>
        <v>5.595958697264512E-4</v>
      </c>
      <c r="BF117" s="775">
        <f t="shared" si="85"/>
        <v>-740.83895363109411</v>
      </c>
      <c r="BG117" s="797">
        <f t="shared" si="86"/>
        <v>1467863.3846370073</v>
      </c>
      <c r="BH117" s="799">
        <v>7</v>
      </c>
      <c r="BI117" s="692">
        <f t="shared" si="95"/>
        <v>0</v>
      </c>
      <c r="BJ117" s="800">
        <v>1300</v>
      </c>
      <c r="BK117" s="778">
        <f t="shared" si="87"/>
        <v>0</v>
      </c>
      <c r="BL117" s="786">
        <f t="shared" si="94"/>
        <v>1467863.3846370073</v>
      </c>
      <c r="BM117" s="692">
        <f t="shared" si="88"/>
        <v>1467863.3846370073</v>
      </c>
      <c r="BN117" s="801">
        <f t="shared" si="89"/>
        <v>7.1722035975494488E-4</v>
      </c>
      <c r="BO117" s="787">
        <f t="shared" si="90"/>
        <v>3545.0992106431804</v>
      </c>
      <c r="BP117" s="802">
        <f t="shared" si="91"/>
        <v>1471408</v>
      </c>
      <c r="BQ117" s="803">
        <f t="shared" si="55"/>
        <v>151.3171534348005</v>
      </c>
      <c r="BR117" s="682"/>
      <c r="BS117" s="618"/>
    </row>
    <row r="118" spans="1:71" ht="15.75">
      <c r="A118" s="766" t="s">
        <v>3651</v>
      </c>
      <c r="B118" s="767" t="s">
        <v>3652</v>
      </c>
      <c r="C118" s="768">
        <v>9895</v>
      </c>
      <c r="D118" s="769">
        <v>0</v>
      </c>
      <c r="E118" s="770">
        <v>0</v>
      </c>
      <c r="F118" s="771">
        <v>0</v>
      </c>
      <c r="G118" s="770">
        <v>0</v>
      </c>
      <c r="H118" s="771">
        <v>0</v>
      </c>
      <c r="I118" s="770">
        <f t="shared" si="92"/>
        <v>0</v>
      </c>
      <c r="J118" s="772">
        <f t="shared" si="59"/>
        <v>0</v>
      </c>
      <c r="K118" s="773">
        <v>5694</v>
      </c>
      <c r="L118" s="774">
        <f t="shared" si="60"/>
        <v>2.0549880739232696E-3</v>
      </c>
      <c r="M118" s="775">
        <f t="shared" si="93"/>
        <v>172458.7913393116</v>
      </c>
      <c r="N118" s="806">
        <v>401.5</v>
      </c>
      <c r="O118" s="777">
        <f t="shared" si="61"/>
        <v>4.566043872687552E-4</v>
      </c>
      <c r="P118" s="778">
        <f t="shared" si="62"/>
        <v>38319.171652543962</v>
      </c>
      <c r="Q118" s="786">
        <f t="shared" si="48"/>
        <v>210777.96299185557</v>
      </c>
      <c r="R118" s="692">
        <f t="shared" si="49"/>
        <v>21.30146164647353</v>
      </c>
      <c r="S118" s="807">
        <v>31764289.380000003</v>
      </c>
      <c r="T118" s="782">
        <f t="shared" si="56"/>
        <v>3.082424537463397</v>
      </c>
      <c r="U118" s="777">
        <f t="shared" si="63"/>
        <v>1.6755218420782723E-3</v>
      </c>
      <c r="V118" s="783">
        <f t="shared" si="50"/>
        <v>3210.1353592723599</v>
      </c>
      <c r="W118" s="778">
        <f t="shared" si="64"/>
        <v>667912.7524958906</v>
      </c>
      <c r="X118" s="784">
        <v>10101002.3989</v>
      </c>
      <c r="Y118" s="782">
        <f t="shared" si="57"/>
        <v>9.6931988661504054</v>
      </c>
      <c r="Z118" s="782">
        <f t="shared" si="65"/>
        <v>1.4966448983140413E-3</v>
      </c>
      <c r="AA118" s="783">
        <f t="shared" si="51"/>
        <v>1020.8188376856999</v>
      </c>
      <c r="AB118" s="692">
        <f t="shared" si="66"/>
        <v>351684.18046189932</v>
      </c>
      <c r="AC118" s="786">
        <f t="shared" si="67"/>
        <v>1019596.9329577899</v>
      </c>
      <c r="AD118" s="787">
        <f t="shared" si="52"/>
        <v>103.04163041513793</v>
      </c>
      <c r="AE118" s="788">
        <v>2847.8492000000001</v>
      </c>
      <c r="AF118" s="774">
        <f t="shared" si="68"/>
        <v>2.9620344303311528E-3</v>
      </c>
      <c r="AG118" s="692">
        <f t="shared" si="69"/>
        <v>372869.9579154423</v>
      </c>
      <c r="AH118" s="786">
        <f t="shared" si="70"/>
        <v>372869.9579154423</v>
      </c>
      <c r="AI118" s="692">
        <f t="shared" si="53"/>
        <v>37.682663761035101</v>
      </c>
      <c r="AJ118" s="789">
        <v>1317</v>
      </c>
      <c r="AK118" s="777">
        <f t="shared" si="71"/>
        <v>1.7506639762005407E-3</v>
      </c>
      <c r="AL118" s="692">
        <f t="shared" si="72"/>
        <v>36729.823059315204</v>
      </c>
      <c r="AM118" s="790">
        <v>5</v>
      </c>
      <c r="AN118" s="791">
        <f t="shared" si="73"/>
        <v>7.2202166064981913E-4</v>
      </c>
      <c r="AO118" s="778">
        <f t="shared" si="74"/>
        <v>45445.148014440412</v>
      </c>
      <c r="AP118" s="768">
        <v>54</v>
      </c>
      <c r="AQ118" s="792">
        <f t="shared" si="75"/>
        <v>7.2987767790768396E-4</v>
      </c>
      <c r="AR118" s="793">
        <f t="shared" si="76"/>
        <v>61252.823680475769</v>
      </c>
      <c r="AS118" s="794">
        <v>8.7777777777777786</v>
      </c>
      <c r="AT118" s="791">
        <f t="shared" si="77"/>
        <v>3.520322621971936E-4</v>
      </c>
      <c r="AU118" s="795">
        <f t="shared" si="78"/>
        <v>29543.265589403371</v>
      </c>
      <c r="AV118" s="796">
        <v>27</v>
      </c>
      <c r="AW118" s="791">
        <f t="shared" si="79"/>
        <v>3.4382640586797067E-4</v>
      </c>
      <c r="AX118" s="795">
        <f t="shared" si="80"/>
        <v>21640.960039731053</v>
      </c>
      <c r="AY118" s="786">
        <f t="shared" si="81"/>
        <v>194612.0203833658</v>
      </c>
      <c r="AZ118" s="787">
        <f t="shared" si="54"/>
        <v>19.667713025100131</v>
      </c>
      <c r="BA118" s="797">
        <f t="shared" si="58"/>
        <v>1797856.8742484534</v>
      </c>
      <c r="BB118" s="775">
        <v>1275738</v>
      </c>
      <c r="BC118" s="775">
        <f t="shared" si="82"/>
        <v>0</v>
      </c>
      <c r="BD118" s="775">
        <f t="shared" si="83"/>
        <v>522118.87424845342</v>
      </c>
      <c r="BE118" s="798">
        <f t="shared" si="84"/>
        <v>8.1241747619604458E-4</v>
      </c>
      <c r="BF118" s="775">
        <f t="shared" si="85"/>
        <v>-1075.5449522365238</v>
      </c>
      <c r="BG118" s="797">
        <f t="shared" si="86"/>
        <v>1796781.3292962168</v>
      </c>
      <c r="BH118" s="799">
        <v>7</v>
      </c>
      <c r="BI118" s="692">
        <f t="shared" si="95"/>
        <v>0</v>
      </c>
      <c r="BJ118" s="800">
        <v>1600</v>
      </c>
      <c r="BK118" s="778">
        <f t="shared" si="87"/>
        <v>0</v>
      </c>
      <c r="BL118" s="786">
        <f t="shared" si="94"/>
        <v>1796781.3292962168</v>
      </c>
      <c r="BM118" s="692">
        <f t="shared" si="88"/>
        <v>1796781.3292962168</v>
      </c>
      <c r="BN118" s="801">
        <f t="shared" si="89"/>
        <v>8.7793466673159412E-4</v>
      </c>
      <c r="BO118" s="787">
        <f t="shared" si="90"/>
        <v>4339.4829102312024</v>
      </c>
      <c r="BP118" s="802">
        <f t="shared" si="91"/>
        <v>1801121</v>
      </c>
      <c r="BQ118" s="803">
        <f t="shared" si="55"/>
        <v>182.02334512379988</v>
      </c>
      <c r="BR118" s="682"/>
      <c r="BS118" s="618"/>
    </row>
    <row r="119" spans="1:71" ht="15.75">
      <c r="A119" s="766" t="s">
        <v>3653</v>
      </c>
      <c r="B119" s="767" t="s">
        <v>3654</v>
      </c>
      <c r="C119" s="768">
        <v>20386</v>
      </c>
      <c r="D119" s="769">
        <v>0</v>
      </c>
      <c r="E119" s="770">
        <v>0</v>
      </c>
      <c r="F119" s="771">
        <v>0</v>
      </c>
      <c r="G119" s="770">
        <v>0</v>
      </c>
      <c r="H119" s="771">
        <v>0</v>
      </c>
      <c r="I119" s="770">
        <f t="shared" si="92"/>
        <v>0</v>
      </c>
      <c r="J119" s="772">
        <f t="shared" si="59"/>
        <v>0</v>
      </c>
      <c r="K119" s="773">
        <v>9591</v>
      </c>
      <c r="L119" s="774">
        <f t="shared" si="60"/>
        <v>3.4614314395851912E-3</v>
      </c>
      <c r="M119" s="775">
        <f t="shared" si="93"/>
        <v>290490.38773012598</v>
      </c>
      <c r="N119" s="806">
        <v>5140</v>
      </c>
      <c r="O119" s="777">
        <f t="shared" si="61"/>
        <v>5.8454459540757198E-3</v>
      </c>
      <c r="P119" s="778">
        <f t="shared" si="62"/>
        <v>490561.74917578074</v>
      </c>
      <c r="Q119" s="786">
        <f t="shared" si="48"/>
        <v>781052.13690590672</v>
      </c>
      <c r="R119" s="692">
        <f t="shared" si="49"/>
        <v>38.313162803193698</v>
      </c>
      <c r="S119" s="807">
        <v>53652132.389999993</v>
      </c>
      <c r="T119" s="782">
        <f t="shared" si="56"/>
        <v>7.7459921439666761</v>
      </c>
      <c r="U119" s="777">
        <f t="shared" si="63"/>
        <v>4.2105098983098747E-3</v>
      </c>
      <c r="V119" s="783">
        <f t="shared" si="50"/>
        <v>2631.8126356322964</v>
      </c>
      <c r="W119" s="778">
        <f t="shared" si="64"/>
        <v>1678434.255505197</v>
      </c>
      <c r="X119" s="784">
        <v>26514196.747400001</v>
      </c>
      <c r="Y119" s="782">
        <f t="shared" si="57"/>
        <v>15.674206537701465</v>
      </c>
      <c r="Z119" s="782">
        <f t="shared" si="65"/>
        <v>2.4201217341874243E-3</v>
      </c>
      <c r="AA119" s="783">
        <f t="shared" si="51"/>
        <v>1300.6081010203081</v>
      </c>
      <c r="AB119" s="692">
        <f t="shared" si="66"/>
        <v>568684.34834776993</v>
      </c>
      <c r="AC119" s="786">
        <f t="shared" si="67"/>
        <v>2247118.6038529668</v>
      </c>
      <c r="AD119" s="787">
        <f t="shared" si="52"/>
        <v>110.22851976125609</v>
      </c>
      <c r="AE119" s="788">
        <v>8364.4127000000008</v>
      </c>
      <c r="AF119" s="774">
        <f t="shared" si="68"/>
        <v>8.6997859320989204E-3</v>
      </c>
      <c r="AG119" s="692">
        <f t="shared" si="69"/>
        <v>1095155.6744775644</v>
      </c>
      <c r="AH119" s="786">
        <f t="shared" si="70"/>
        <v>1095155.6744775644</v>
      </c>
      <c r="AI119" s="692">
        <f t="shared" si="53"/>
        <v>53.720969021758286</v>
      </c>
      <c r="AJ119" s="789">
        <v>1730</v>
      </c>
      <c r="AK119" s="777">
        <f t="shared" si="71"/>
        <v>2.2996573111821834E-3</v>
      </c>
      <c r="AL119" s="692">
        <f t="shared" si="72"/>
        <v>48247.983213830914</v>
      </c>
      <c r="AM119" s="790">
        <v>7.666666666666667</v>
      </c>
      <c r="AN119" s="791">
        <f t="shared" si="73"/>
        <v>1.107099879663056E-3</v>
      </c>
      <c r="AO119" s="778">
        <f t="shared" si="74"/>
        <v>69682.560288808629</v>
      </c>
      <c r="AP119" s="768">
        <v>137</v>
      </c>
      <c r="AQ119" s="792">
        <f t="shared" si="75"/>
        <v>1.8517267013583834E-3</v>
      </c>
      <c r="AR119" s="793">
        <f t="shared" si="76"/>
        <v>155400.68230046632</v>
      </c>
      <c r="AS119" s="794">
        <v>50.527777777777771</v>
      </c>
      <c r="AT119" s="791">
        <f t="shared" si="77"/>
        <v>2.0264135599262502E-3</v>
      </c>
      <c r="AU119" s="795">
        <f t="shared" si="78"/>
        <v>170060.75983267318</v>
      </c>
      <c r="AV119" s="796">
        <v>133</v>
      </c>
      <c r="AW119" s="791">
        <f t="shared" si="79"/>
        <v>1.6936634066829666E-3</v>
      </c>
      <c r="AX119" s="795">
        <f t="shared" si="80"/>
        <v>106601.76612163814</v>
      </c>
      <c r="AY119" s="786">
        <f t="shared" si="81"/>
        <v>549993.75175741711</v>
      </c>
      <c r="AZ119" s="787">
        <f t="shared" si="54"/>
        <v>26.978993022535914</v>
      </c>
      <c r="BA119" s="797">
        <f t="shared" si="58"/>
        <v>4673320.1669938546</v>
      </c>
      <c r="BB119" s="775">
        <v>2916072</v>
      </c>
      <c r="BC119" s="775">
        <f t="shared" si="82"/>
        <v>0</v>
      </c>
      <c r="BD119" s="775">
        <f t="shared" si="83"/>
        <v>1757248.1669938546</v>
      </c>
      <c r="BE119" s="798">
        <f t="shared" si="84"/>
        <v>2.7342798571191504E-3</v>
      </c>
      <c r="BF119" s="775">
        <f t="shared" si="85"/>
        <v>-3619.8641517367496</v>
      </c>
      <c r="BG119" s="797">
        <f t="shared" si="86"/>
        <v>4669700.3028421178</v>
      </c>
      <c r="BH119" s="799">
        <v>6</v>
      </c>
      <c r="BI119" s="692">
        <f t="shared" si="95"/>
        <v>0</v>
      </c>
      <c r="BJ119" s="800">
        <v>1400</v>
      </c>
      <c r="BK119" s="778">
        <f t="shared" si="87"/>
        <v>0</v>
      </c>
      <c r="BL119" s="786">
        <f t="shared" si="94"/>
        <v>4669700.3028421178</v>
      </c>
      <c r="BM119" s="692">
        <f t="shared" si="88"/>
        <v>4669700.3028421178</v>
      </c>
      <c r="BN119" s="801">
        <f t="shared" si="89"/>
        <v>2.281686542634507E-3</v>
      </c>
      <c r="BO119" s="787">
        <f t="shared" si="90"/>
        <v>11277.991556168998</v>
      </c>
      <c r="BP119" s="802">
        <f t="shared" si="91"/>
        <v>4680978</v>
      </c>
      <c r="BQ119" s="803">
        <f t="shared" si="55"/>
        <v>229.61728637300109</v>
      </c>
      <c r="BR119" s="682"/>
      <c r="BS119" s="618"/>
    </row>
    <row r="120" spans="1:71" ht="15.75">
      <c r="A120" s="805" t="s">
        <v>3655</v>
      </c>
      <c r="B120" s="767" t="s">
        <v>3656</v>
      </c>
      <c r="C120" s="768">
        <v>2058</v>
      </c>
      <c r="D120" s="769">
        <v>0</v>
      </c>
      <c r="E120" s="770">
        <v>0</v>
      </c>
      <c r="F120" s="771">
        <v>0</v>
      </c>
      <c r="G120" s="770">
        <v>0</v>
      </c>
      <c r="H120" s="771">
        <v>0</v>
      </c>
      <c r="I120" s="770">
        <f t="shared" si="92"/>
        <v>0</v>
      </c>
      <c r="J120" s="772">
        <f t="shared" si="59"/>
        <v>0</v>
      </c>
      <c r="K120" s="773">
        <v>471</v>
      </c>
      <c r="L120" s="774">
        <f t="shared" si="60"/>
        <v>1.6998584173127151E-4</v>
      </c>
      <c r="M120" s="775">
        <f t="shared" si="93"/>
        <v>14265.558609205436</v>
      </c>
      <c r="N120" s="806">
        <v>0</v>
      </c>
      <c r="O120" s="777">
        <f t="shared" si="61"/>
        <v>0</v>
      </c>
      <c r="P120" s="778">
        <f t="shared" si="62"/>
        <v>0</v>
      </c>
      <c r="Q120" s="786">
        <f t="shared" si="48"/>
        <v>14265.558609205436</v>
      </c>
      <c r="R120" s="692">
        <f t="shared" si="49"/>
        <v>6.931758313510902</v>
      </c>
      <c r="S120" s="807">
        <v>7562703.0800000001</v>
      </c>
      <c r="T120" s="782">
        <f t="shared" si="56"/>
        <v>0.56003309335264817</v>
      </c>
      <c r="U120" s="777">
        <f t="shared" si="63"/>
        <v>3.044187031327007E-4</v>
      </c>
      <c r="V120" s="783">
        <f t="shared" si="50"/>
        <v>3674.7828377065111</v>
      </c>
      <c r="W120" s="778">
        <f t="shared" si="64"/>
        <v>121350.33325999051</v>
      </c>
      <c r="X120" s="784">
        <v>1295949.2622</v>
      </c>
      <c r="Y120" s="782">
        <f t="shared" si="57"/>
        <v>3.2681557245613595</v>
      </c>
      <c r="Z120" s="782">
        <f t="shared" si="65"/>
        <v>5.0460829903545821E-4</v>
      </c>
      <c r="AA120" s="783">
        <f t="shared" si="51"/>
        <v>629.71295539358596</v>
      </c>
      <c r="AB120" s="692">
        <f t="shared" si="66"/>
        <v>118573.72199675992</v>
      </c>
      <c r="AC120" s="786">
        <f t="shared" si="67"/>
        <v>239924.05525675043</v>
      </c>
      <c r="AD120" s="787">
        <f t="shared" si="52"/>
        <v>116.58117359414501</v>
      </c>
      <c r="AE120" s="788">
        <v>929.98810000000003</v>
      </c>
      <c r="AF120" s="774">
        <f t="shared" si="68"/>
        <v>9.6727620689966709E-4</v>
      </c>
      <c r="AG120" s="692">
        <f t="shared" si="69"/>
        <v>121763.68878972321</v>
      </c>
      <c r="AH120" s="786">
        <f t="shared" si="70"/>
        <v>121763.68878972321</v>
      </c>
      <c r="AI120" s="692">
        <f t="shared" si="53"/>
        <v>59.166029538252289</v>
      </c>
      <c r="AJ120" s="789">
        <v>232</v>
      </c>
      <c r="AK120" s="777">
        <f t="shared" si="71"/>
        <v>3.0839335040131014E-4</v>
      </c>
      <c r="AL120" s="692">
        <f t="shared" si="72"/>
        <v>6470.2497720281917</v>
      </c>
      <c r="AM120" s="790">
        <v>0</v>
      </c>
      <c r="AN120" s="791">
        <f t="shared" si="73"/>
        <v>0</v>
      </c>
      <c r="AO120" s="778">
        <f t="shared" si="74"/>
        <v>0</v>
      </c>
      <c r="AP120" s="768">
        <v>8</v>
      </c>
      <c r="AQ120" s="792">
        <f t="shared" si="75"/>
        <v>1.0813002635669392E-4</v>
      </c>
      <c r="AR120" s="793">
        <f t="shared" si="76"/>
        <v>9074.4923971075223</v>
      </c>
      <c r="AS120" s="794">
        <v>1.1111111111111109</v>
      </c>
      <c r="AT120" s="791">
        <f t="shared" si="77"/>
        <v>4.4561045847746019E-5</v>
      </c>
      <c r="AU120" s="795">
        <f t="shared" si="78"/>
        <v>3739.6538720763751</v>
      </c>
      <c r="AV120" s="796">
        <v>0</v>
      </c>
      <c r="AW120" s="791">
        <f t="shared" si="79"/>
        <v>0</v>
      </c>
      <c r="AX120" s="795">
        <f t="shared" si="80"/>
        <v>0</v>
      </c>
      <c r="AY120" s="786">
        <f t="shared" si="81"/>
        <v>19284.396041212087</v>
      </c>
      <c r="AZ120" s="787">
        <f t="shared" si="54"/>
        <v>9.3704548305209361</v>
      </c>
      <c r="BA120" s="797">
        <f t="shared" si="58"/>
        <v>395237.69869689114</v>
      </c>
      <c r="BB120" s="775">
        <v>243231</v>
      </c>
      <c r="BC120" s="775">
        <f t="shared" si="82"/>
        <v>0</v>
      </c>
      <c r="BD120" s="775">
        <f t="shared" si="83"/>
        <v>152006.69869689114</v>
      </c>
      <c r="BE120" s="798">
        <f t="shared" si="84"/>
        <v>2.365225710294013E-4</v>
      </c>
      <c r="BF120" s="775">
        <f t="shared" si="85"/>
        <v>-313.1279973835646</v>
      </c>
      <c r="BG120" s="797">
        <f t="shared" si="86"/>
        <v>394924.57069950755</v>
      </c>
      <c r="BH120" s="799">
        <v>7</v>
      </c>
      <c r="BI120" s="692">
        <f t="shared" si="95"/>
        <v>0</v>
      </c>
      <c r="BJ120" s="800">
        <v>1200</v>
      </c>
      <c r="BK120" s="778">
        <f t="shared" si="87"/>
        <v>0</v>
      </c>
      <c r="BL120" s="786">
        <f t="shared" si="94"/>
        <v>394924.57069950755</v>
      </c>
      <c r="BM120" s="692">
        <f t="shared" si="88"/>
        <v>394924.57069950755</v>
      </c>
      <c r="BN120" s="801">
        <f t="shared" si="89"/>
        <v>1.9296614769310653E-4</v>
      </c>
      <c r="BO120" s="787">
        <f t="shared" si="90"/>
        <v>953.79910590020165</v>
      </c>
      <c r="BP120" s="802">
        <f t="shared" si="91"/>
        <v>395878</v>
      </c>
      <c r="BQ120" s="803">
        <f t="shared" si="55"/>
        <v>192.36054421768708</v>
      </c>
      <c r="BR120" s="682"/>
      <c r="BS120" s="618"/>
    </row>
    <row r="121" spans="1:71" ht="15.75">
      <c r="A121" s="766" t="s">
        <v>3657</v>
      </c>
      <c r="B121" s="767" t="s">
        <v>3658</v>
      </c>
      <c r="C121" s="768">
        <v>30356</v>
      </c>
      <c r="D121" s="769">
        <v>0</v>
      </c>
      <c r="E121" s="770">
        <v>0</v>
      </c>
      <c r="F121" s="771">
        <v>0</v>
      </c>
      <c r="G121" s="770">
        <v>0</v>
      </c>
      <c r="H121" s="771">
        <v>0</v>
      </c>
      <c r="I121" s="770">
        <f t="shared" si="92"/>
        <v>0</v>
      </c>
      <c r="J121" s="772">
        <f t="shared" si="59"/>
        <v>0</v>
      </c>
      <c r="K121" s="773">
        <v>10636</v>
      </c>
      <c r="L121" s="774">
        <f t="shared" si="60"/>
        <v>3.8385762476726196E-3</v>
      </c>
      <c r="M121" s="775">
        <f t="shared" si="93"/>
        <v>322141.14940023149</v>
      </c>
      <c r="N121" s="806">
        <v>2339</v>
      </c>
      <c r="O121" s="777">
        <f t="shared" si="61"/>
        <v>2.6600190829928227E-3</v>
      </c>
      <c r="P121" s="778">
        <f t="shared" si="62"/>
        <v>223234.22788368698</v>
      </c>
      <c r="Q121" s="786">
        <f t="shared" si="48"/>
        <v>545375.37728391844</v>
      </c>
      <c r="R121" s="692">
        <f t="shared" si="49"/>
        <v>17.965982912238715</v>
      </c>
      <c r="S121" s="807">
        <v>77631842.5</v>
      </c>
      <c r="T121" s="782">
        <f t="shared" si="56"/>
        <v>11.869958335717717</v>
      </c>
      <c r="U121" s="777">
        <f t="shared" si="63"/>
        <v>6.4521853542019638E-3</v>
      </c>
      <c r="V121" s="783">
        <f t="shared" si="50"/>
        <v>2557.3805013835813</v>
      </c>
      <c r="W121" s="778">
        <f t="shared" si="64"/>
        <v>2572032.6475680689</v>
      </c>
      <c r="X121" s="784">
        <v>24255667.4122</v>
      </c>
      <c r="Y121" s="782">
        <f t="shared" si="57"/>
        <v>37.990574340432907</v>
      </c>
      <c r="Z121" s="782">
        <f t="shared" si="65"/>
        <v>5.8658034417496899E-3</v>
      </c>
      <c r="AA121" s="783">
        <f t="shared" si="51"/>
        <v>799.04030215443402</v>
      </c>
      <c r="AB121" s="692">
        <f t="shared" si="66"/>
        <v>1378356.5349978344</v>
      </c>
      <c r="AC121" s="786">
        <f t="shared" si="67"/>
        <v>3950389.1825659033</v>
      </c>
      <c r="AD121" s="787">
        <f t="shared" si="52"/>
        <v>130.13536640420025</v>
      </c>
      <c r="AE121" s="788">
        <v>5265.5434999999998</v>
      </c>
      <c r="AF121" s="774">
        <f t="shared" si="68"/>
        <v>5.4766667916989441E-3</v>
      </c>
      <c r="AG121" s="692">
        <f t="shared" si="69"/>
        <v>689419.57433944568</v>
      </c>
      <c r="AH121" s="786">
        <f t="shared" si="70"/>
        <v>689419.57433944568</v>
      </c>
      <c r="AI121" s="692">
        <f t="shared" si="53"/>
        <v>22.711146868475613</v>
      </c>
      <c r="AJ121" s="789">
        <v>4191</v>
      </c>
      <c r="AK121" s="777">
        <f t="shared" si="71"/>
        <v>5.5710195324650469E-3</v>
      </c>
      <c r="AL121" s="692">
        <f t="shared" si="72"/>
        <v>116882.83101107823</v>
      </c>
      <c r="AM121" s="790">
        <v>103</v>
      </c>
      <c r="AN121" s="791">
        <f t="shared" si="73"/>
        <v>1.4873646209386273E-2</v>
      </c>
      <c r="AO121" s="778">
        <f t="shared" si="74"/>
        <v>936170.04909747234</v>
      </c>
      <c r="AP121" s="768">
        <v>550</v>
      </c>
      <c r="AQ121" s="792">
        <f t="shared" si="75"/>
        <v>7.4339393120227077E-3</v>
      </c>
      <c r="AR121" s="793">
        <f t="shared" si="76"/>
        <v>623871.35230114218</v>
      </c>
      <c r="AS121" s="794">
        <v>67</v>
      </c>
      <c r="AT121" s="791">
        <f t="shared" si="77"/>
        <v>2.6870310646190851E-3</v>
      </c>
      <c r="AU121" s="795">
        <f t="shared" si="78"/>
        <v>225501.12848620545</v>
      </c>
      <c r="AV121" s="796">
        <v>276</v>
      </c>
      <c r="AW121" s="791">
        <f t="shared" si="79"/>
        <v>3.5146699266503669E-3</v>
      </c>
      <c r="AX121" s="795">
        <f t="shared" si="80"/>
        <v>221218.70262836188</v>
      </c>
      <c r="AY121" s="786">
        <f t="shared" si="81"/>
        <v>2123644.0635242602</v>
      </c>
      <c r="AZ121" s="787">
        <f t="shared" si="54"/>
        <v>69.957967568989986</v>
      </c>
      <c r="BA121" s="797">
        <f t="shared" si="58"/>
        <v>7308828.1977135278</v>
      </c>
      <c r="BB121" s="775">
        <v>5030851</v>
      </c>
      <c r="BC121" s="775">
        <f t="shared" si="82"/>
        <v>0</v>
      </c>
      <c r="BD121" s="775">
        <f t="shared" si="83"/>
        <v>2277977.1977135278</v>
      </c>
      <c r="BE121" s="798">
        <f t="shared" si="84"/>
        <v>3.5445347354325111E-3</v>
      </c>
      <c r="BF121" s="775">
        <f t="shared" si="85"/>
        <v>-4692.5460793528173</v>
      </c>
      <c r="BG121" s="797">
        <f t="shared" si="86"/>
        <v>7304135.6516341753</v>
      </c>
      <c r="BH121" s="799">
        <v>8</v>
      </c>
      <c r="BI121" s="692">
        <f t="shared" si="95"/>
        <v>0</v>
      </c>
      <c r="BJ121" s="800">
        <v>1475</v>
      </c>
      <c r="BK121" s="778">
        <f t="shared" si="87"/>
        <v>0</v>
      </c>
      <c r="BL121" s="786">
        <f t="shared" si="94"/>
        <v>7304135.6516341753</v>
      </c>
      <c r="BM121" s="692">
        <f t="shared" si="88"/>
        <v>7304135.6516341753</v>
      </c>
      <c r="BN121" s="801">
        <f t="shared" si="89"/>
        <v>3.568911694775649E-3</v>
      </c>
      <c r="BO121" s="787">
        <f t="shared" si="90"/>
        <v>17640.528269899187</v>
      </c>
      <c r="BP121" s="802">
        <f t="shared" si="91"/>
        <v>7321776</v>
      </c>
      <c r="BQ121" s="803">
        <f t="shared" si="55"/>
        <v>241.19699565160101</v>
      </c>
      <c r="BR121" s="682"/>
      <c r="BS121" s="618"/>
    </row>
    <row r="122" spans="1:71" ht="15.75">
      <c r="A122" s="766" t="s">
        <v>3659</v>
      </c>
      <c r="B122" s="767" t="s">
        <v>3660</v>
      </c>
      <c r="C122" s="768">
        <v>9729</v>
      </c>
      <c r="D122" s="769">
        <v>0</v>
      </c>
      <c r="E122" s="770">
        <v>0</v>
      </c>
      <c r="F122" s="771">
        <v>0</v>
      </c>
      <c r="G122" s="770">
        <v>0</v>
      </c>
      <c r="H122" s="771">
        <v>0</v>
      </c>
      <c r="I122" s="770">
        <f t="shared" si="92"/>
        <v>0</v>
      </c>
      <c r="J122" s="772">
        <f t="shared" si="59"/>
        <v>0</v>
      </c>
      <c r="K122" s="773">
        <v>2886</v>
      </c>
      <c r="L122" s="774">
        <f t="shared" si="60"/>
        <v>1.0415692977419312E-3</v>
      </c>
      <c r="M122" s="775">
        <f t="shared" si="93"/>
        <v>87410.620267870254</v>
      </c>
      <c r="N122" s="806">
        <v>158.5</v>
      </c>
      <c r="O122" s="777">
        <f t="shared" si="61"/>
        <v>1.8025353768891082E-4</v>
      </c>
      <c r="P122" s="778">
        <f t="shared" si="62"/>
        <v>15127.244600070282</v>
      </c>
      <c r="Q122" s="786">
        <f t="shared" si="48"/>
        <v>102537.86486794053</v>
      </c>
      <c r="R122" s="692">
        <f t="shared" si="49"/>
        <v>10.539404344530839</v>
      </c>
      <c r="S122" s="807">
        <v>24456619.669999998</v>
      </c>
      <c r="T122" s="782">
        <f t="shared" si="56"/>
        <v>3.8702585343839551</v>
      </c>
      <c r="U122" s="777">
        <f t="shared" si="63"/>
        <v>2.1037668984385193E-3</v>
      </c>
      <c r="V122" s="783">
        <f t="shared" si="50"/>
        <v>2513.7855555555552</v>
      </c>
      <c r="W122" s="778">
        <f t="shared" si="64"/>
        <v>838623.94655680843</v>
      </c>
      <c r="X122" s="784">
        <v>5825339.9833000004</v>
      </c>
      <c r="Y122" s="782">
        <f t="shared" si="57"/>
        <v>16.248569400472952</v>
      </c>
      <c r="Z122" s="782">
        <f t="shared" si="65"/>
        <v>2.508804248620287E-3</v>
      </c>
      <c r="AA122" s="783">
        <f t="shared" si="51"/>
        <v>598.76040531400974</v>
      </c>
      <c r="AB122" s="692">
        <f t="shared" si="66"/>
        <v>589523.11741366866</v>
      </c>
      <c r="AC122" s="786">
        <f t="shared" si="67"/>
        <v>1428147.0639704771</v>
      </c>
      <c r="AD122" s="787">
        <f t="shared" si="52"/>
        <v>146.79279103407103</v>
      </c>
      <c r="AE122" s="788">
        <v>4820.6890000000003</v>
      </c>
      <c r="AF122" s="774">
        <f t="shared" si="68"/>
        <v>5.0139757385744494E-3</v>
      </c>
      <c r="AG122" s="692">
        <f t="shared" si="69"/>
        <v>631174.60873751168</v>
      </c>
      <c r="AH122" s="786">
        <f t="shared" si="70"/>
        <v>631174.60873751168</v>
      </c>
      <c r="AI122" s="692">
        <f t="shared" si="53"/>
        <v>64.875589345000691</v>
      </c>
      <c r="AJ122" s="789">
        <v>1534</v>
      </c>
      <c r="AK122" s="777">
        <f t="shared" si="71"/>
        <v>2.039118101360387E-3</v>
      </c>
      <c r="AL122" s="692">
        <f t="shared" si="72"/>
        <v>42781.737716772615</v>
      </c>
      <c r="AM122" s="790">
        <v>4</v>
      </c>
      <c r="AN122" s="791">
        <f t="shared" si="73"/>
        <v>5.776173285198553E-4</v>
      </c>
      <c r="AO122" s="778">
        <f t="shared" si="74"/>
        <v>36356.118411552328</v>
      </c>
      <c r="AP122" s="768">
        <v>88</v>
      </c>
      <c r="AQ122" s="792">
        <f t="shared" si="75"/>
        <v>1.1894302899236331E-3</v>
      </c>
      <c r="AR122" s="793">
        <f t="shared" si="76"/>
        <v>99819.416368182734</v>
      </c>
      <c r="AS122" s="794">
        <v>9.1111111111111125</v>
      </c>
      <c r="AT122" s="791">
        <f t="shared" si="77"/>
        <v>3.6540057595151743E-4</v>
      </c>
      <c r="AU122" s="795">
        <f t="shared" si="78"/>
        <v>30665.161751026284</v>
      </c>
      <c r="AV122" s="796">
        <v>2</v>
      </c>
      <c r="AW122" s="791">
        <f t="shared" si="79"/>
        <v>2.5468622656886714E-5</v>
      </c>
      <c r="AX122" s="795">
        <f t="shared" si="80"/>
        <v>1603.0340770171149</v>
      </c>
      <c r="AY122" s="786">
        <f t="shared" si="81"/>
        <v>211225.4683245511</v>
      </c>
      <c r="AZ122" s="787">
        <f t="shared" si="54"/>
        <v>21.710912562909972</v>
      </c>
      <c r="BA122" s="797">
        <f t="shared" si="58"/>
        <v>2373085.0059004803</v>
      </c>
      <c r="BB122" s="775">
        <v>1448864</v>
      </c>
      <c r="BC122" s="775">
        <f t="shared" si="82"/>
        <v>0</v>
      </c>
      <c r="BD122" s="775">
        <f t="shared" si="83"/>
        <v>924221.00590048032</v>
      </c>
      <c r="BE122" s="798">
        <f t="shared" si="84"/>
        <v>1.438088784171667E-3</v>
      </c>
      <c r="BF122" s="775">
        <f t="shared" si="85"/>
        <v>-1903.8599956342578</v>
      </c>
      <c r="BG122" s="797">
        <f t="shared" si="86"/>
        <v>2371181.145904846</v>
      </c>
      <c r="BH122" s="799">
        <v>7.5</v>
      </c>
      <c r="BI122" s="692">
        <f t="shared" si="95"/>
        <v>0</v>
      </c>
      <c r="BJ122" s="800">
        <v>1975</v>
      </c>
      <c r="BK122" s="778">
        <f t="shared" si="87"/>
        <v>0</v>
      </c>
      <c r="BL122" s="786">
        <f t="shared" si="94"/>
        <v>2371181.145904846</v>
      </c>
      <c r="BM122" s="692">
        <f t="shared" si="88"/>
        <v>2371181.145904846</v>
      </c>
      <c r="BN122" s="801">
        <f t="shared" si="89"/>
        <v>1.1585951474159686E-3</v>
      </c>
      <c r="BO122" s="787">
        <f t="shared" si="90"/>
        <v>5726.7403060932866</v>
      </c>
      <c r="BP122" s="802">
        <f t="shared" si="91"/>
        <v>2376908</v>
      </c>
      <c r="BQ122" s="803">
        <f t="shared" si="55"/>
        <v>244.31164559564189</v>
      </c>
      <c r="BR122" s="682"/>
      <c r="BS122" s="618"/>
    </row>
    <row r="123" spans="1:71" ht="15.75">
      <c r="A123" s="766" t="s">
        <v>3661</v>
      </c>
      <c r="B123" s="767" t="s">
        <v>3662</v>
      </c>
      <c r="C123" s="768">
        <v>8199</v>
      </c>
      <c r="D123" s="769">
        <v>0</v>
      </c>
      <c r="E123" s="770">
        <v>0</v>
      </c>
      <c r="F123" s="771">
        <v>0</v>
      </c>
      <c r="G123" s="770">
        <v>0</v>
      </c>
      <c r="H123" s="771">
        <v>0</v>
      </c>
      <c r="I123" s="770">
        <f t="shared" si="92"/>
        <v>0</v>
      </c>
      <c r="J123" s="772">
        <f t="shared" si="59"/>
        <v>0</v>
      </c>
      <c r="K123" s="773">
        <v>2272</v>
      </c>
      <c r="L123" s="774">
        <f t="shared" si="60"/>
        <v>8.1997416648290635E-4</v>
      </c>
      <c r="M123" s="775">
        <f t="shared" si="93"/>
        <v>68813.904798545133</v>
      </c>
      <c r="N123" s="806">
        <v>1169.5</v>
      </c>
      <c r="O123" s="777">
        <f t="shared" si="61"/>
        <v>1.3300095414964113E-3</v>
      </c>
      <c r="P123" s="778">
        <f t="shared" si="62"/>
        <v>111617.11394184349</v>
      </c>
      <c r="Q123" s="786">
        <f t="shared" si="48"/>
        <v>180431.01874038862</v>
      </c>
      <c r="R123" s="692">
        <f t="shared" si="49"/>
        <v>22.006466488643568</v>
      </c>
      <c r="S123" s="807">
        <v>45881399.560000002</v>
      </c>
      <c r="T123" s="782">
        <f t="shared" si="56"/>
        <v>1.4651602096856349</v>
      </c>
      <c r="U123" s="777">
        <f t="shared" si="63"/>
        <v>7.9642109762481541E-4</v>
      </c>
      <c r="V123" s="783">
        <f t="shared" si="50"/>
        <v>5595.9750652518605</v>
      </c>
      <c r="W123" s="778">
        <f t="shared" si="64"/>
        <v>317477.09525563993</v>
      </c>
      <c r="X123" s="784">
        <v>8366752.7956999997</v>
      </c>
      <c r="Y123" s="782">
        <f t="shared" si="57"/>
        <v>8.0346106358668603</v>
      </c>
      <c r="Z123" s="782">
        <f t="shared" si="65"/>
        <v>1.2405563100641834E-3</v>
      </c>
      <c r="AA123" s="783">
        <f t="shared" si="51"/>
        <v>1020.4601531528235</v>
      </c>
      <c r="AB123" s="692">
        <f t="shared" si="66"/>
        <v>291508.04557128466</v>
      </c>
      <c r="AC123" s="786">
        <f t="shared" si="67"/>
        <v>608985.14082692459</v>
      </c>
      <c r="AD123" s="787">
        <f t="shared" si="52"/>
        <v>74.275538581159239</v>
      </c>
      <c r="AE123" s="788">
        <v>306.83280000000002</v>
      </c>
      <c r="AF123" s="774">
        <f t="shared" si="68"/>
        <v>3.1913533833003257E-4</v>
      </c>
      <c r="AG123" s="692">
        <f t="shared" si="69"/>
        <v>40173.732943119787</v>
      </c>
      <c r="AH123" s="786">
        <f t="shared" si="70"/>
        <v>40173.732943119787</v>
      </c>
      <c r="AI123" s="692">
        <f t="shared" si="53"/>
        <v>4.8998332654128296</v>
      </c>
      <c r="AJ123" s="789">
        <v>432</v>
      </c>
      <c r="AK123" s="777">
        <f t="shared" si="71"/>
        <v>5.7424968695416368E-4</v>
      </c>
      <c r="AL123" s="692">
        <f t="shared" si="72"/>
        <v>12048.051299638701</v>
      </c>
      <c r="AM123" s="790">
        <v>1.6666666666666667</v>
      </c>
      <c r="AN123" s="791">
        <f t="shared" si="73"/>
        <v>2.4067388688327304E-4</v>
      </c>
      <c r="AO123" s="778">
        <f t="shared" si="74"/>
        <v>15148.382671480136</v>
      </c>
      <c r="AP123" s="768">
        <v>42</v>
      </c>
      <c r="AQ123" s="792">
        <f t="shared" si="75"/>
        <v>5.6768263837264307E-4</v>
      </c>
      <c r="AR123" s="793">
        <f t="shared" si="76"/>
        <v>47641.085084814484</v>
      </c>
      <c r="AS123" s="794">
        <v>13.055555555555557</v>
      </c>
      <c r="AT123" s="791">
        <f t="shared" si="77"/>
        <v>5.2359228871101584E-4</v>
      </c>
      <c r="AU123" s="795">
        <f t="shared" si="78"/>
        <v>43940.93299689742</v>
      </c>
      <c r="AV123" s="796">
        <v>34</v>
      </c>
      <c r="AW123" s="791">
        <f t="shared" si="79"/>
        <v>4.3296658516707415E-4</v>
      </c>
      <c r="AX123" s="795">
        <f t="shared" si="80"/>
        <v>27251.579309290952</v>
      </c>
      <c r="AY123" s="786">
        <f t="shared" si="81"/>
        <v>146030.03136212169</v>
      </c>
      <c r="AZ123" s="787">
        <f t="shared" si="54"/>
        <v>17.81071244811827</v>
      </c>
      <c r="BA123" s="797">
        <f t="shared" si="58"/>
        <v>975619.92387255479</v>
      </c>
      <c r="BB123" s="775">
        <v>928588</v>
      </c>
      <c r="BC123" s="775">
        <f t="shared" si="82"/>
        <v>0</v>
      </c>
      <c r="BD123" s="775">
        <f t="shared" si="83"/>
        <v>47031.923872554791</v>
      </c>
      <c r="BE123" s="798">
        <f t="shared" si="84"/>
        <v>7.3181719293685625E-5</v>
      </c>
      <c r="BF123" s="775">
        <f t="shared" si="85"/>
        <v>-96.883968019565614</v>
      </c>
      <c r="BG123" s="797">
        <f t="shared" si="86"/>
        <v>975523.03990453528</v>
      </c>
      <c r="BH123" s="799">
        <v>7.5</v>
      </c>
      <c r="BI123" s="692">
        <f t="shared" si="95"/>
        <v>0</v>
      </c>
      <c r="BJ123" s="800">
        <v>1450</v>
      </c>
      <c r="BK123" s="778">
        <f t="shared" si="87"/>
        <v>0</v>
      </c>
      <c r="BL123" s="786">
        <f t="shared" si="94"/>
        <v>975523.03990453528</v>
      </c>
      <c r="BM123" s="692">
        <f t="shared" si="88"/>
        <v>975523.03990453528</v>
      </c>
      <c r="BN123" s="801">
        <f t="shared" si="89"/>
        <v>4.7665538424925745E-4</v>
      </c>
      <c r="BO123" s="787">
        <f t="shared" si="90"/>
        <v>2356.0271309479017</v>
      </c>
      <c r="BP123" s="802">
        <f t="shared" si="91"/>
        <v>977879</v>
      </c>
      <c r="BQ123" s="803">
        <f t="shared" si="55"/>
        <v>119.26808147335041</v>
      </c>
      <c r="BR123" s="682"/>
      <c r="BS123" s="618"/>
    </row>
    <row r="124" spans="1:71" ht="15.75">
      <c r="A124" s="805" t="s">
        <v>3663</v>
      </c>
      <c r="B124" s="767" t="s">
        <v>3664</v>
      </c>
      <c r="C124" s="768">
        <v>9528</v>
      </c>
      <c r="D124" s="769">
        <v>0</v>
      </c>
      <c r="E124" s="770">
        <v>0</v>
      </c>
      <c r="F124" s="771">
        <v>0</v>
      </c>
      <c r="G124" s="770">
        <v>0</v>
      </c>
      <c r="H124" s="771">
        <v>0</v>
      </c>
      <c r="I124" s="770">
        <f t="shared" si="92"/>
        <v>0</v>
      </c>
      <c r="J124" s="772">
        <f t="shared" si="59"/>
        <v>0</v>
      </c>
      <c r="K124" s="773">
        <v>2307</v>
      </c>
      <c r="L124" s="774">
        <f t="shared" si="60"/>
        <v>8.3260581077291586E-4</v>
      </c>
      <c r="M124" s="775">
        <f t="shared" si="93"/>
        <v>69873.978155917081</v>
      </c>
      <c r="N124" s="806">
        <v>127</v>
      </c>
      <c r="O124" s="777">
        <f t="shared" si="61"/>
        <v>1.4443027941004211E-4</v>
      </c>
      <c r="P124" s="778">
        <f t="shared" si="62"/>
        <v>12120.88368586073</v>
      </c>
      <c r="Q124" s="786">
        <f t="shared" si="48"/>
        <v>81994.861841777805</v>
      </c>
      <c r="R124" s="692">
        <f t="shared" si="49"/>
        <v>8.6056739968280649</v>
      </c>
      <c r="S124" s="807">
        <v>47160080.829999998</v>
      </c>
      <c r="T124" s="782">
        <f t="shared" si="56"/>
        <v>1.9249921205022669</v>
      </c>
      <c r="U124" s="777">
        <f t="shared" si="63"/>
        <v>1.0463731729777725E-3</v>
      </c>
      <c r="V124" s="783">
        <f t="shared" si="50"/>
        <v>4949.6306496641473</v>
      </c>
      <c r="W124" s="778">
        <f t="shared" si="64"/>
        <v>417115.41356844583</v>
      </c>
      <c r="X124" s="784">
        <v>9392238.9159999993</v>
      </c>
      <c r="Y124" s="782">
        <f t="shared" si="57"/>
        <v>9.6657234565603343</v>
      </c>
      <c r="Z124" s="782">
        <f t="shared" si="65"/>
        <v>1.4924026525745399E-3</v>
      </c>
      <c r="AA124" s="783">
        <f t="shared" si="51"/>
        <v>985.75135558354316</v>
      </c>
      <c r="AB124" s="692">
        <f t="shared" si="66"/>
        <v>350687.33029530657</v>
      </c>
      <c r="AC124" s="786">
        <f t="shared" si="67"/>
        <v>767802.74386375234</v>
      </c>
      <c r="AD124" s="787">
        <f t="shared" si="52"/>
        <v>80.583831219957219</v>
      </c>
      <c r="AE124" s="788">
        <v>3138.5111000000002</v>
      </c>
      <c r="AF124" s="774">
        <f t="shared" si="68"/>
        <v>3.2643504923563021E-3</v>
      </c>
      <c r="AG124" s="692">
        <f t="shared" si="69"/>
        <v>410926.42889031791</v>
      </c>
      <c r="AH124" s="786">
        <f t="shared" si="70"/>
        <v>410926.42889031791</v>
      </c>
      <c r="AI124" s="692">
        <f t="shared" si="53"/>
        <v>43.128298582107256</v>
      </c>
      <c r="AJ124" s="789">
        <v>743</v>
      </c>
      <c r="AK124" s="777">
        <f t="shared" si="71"/>
        <v>9.8765629029385097E-4</v>
      </c>
      <c r="AL124" s="692">
        <f t="shared" si="72"/>
        <v>20721.532675073042</v>
      </c>
      <c r="AM124" s="790">
        <v>1.3333333333333333</v>
      </c>
      <c r="AN124" s="791">
        <f t="shared" si="73"/>
        <v>1.9253910950661841E-4</v>
      </c>
      <c r="AO124" s="778">
        <f t="shared" si="74"/>
        <v>12118.706137184108</v>
      </c>
      <c r="AP124" s="768">
        <v>47</v>
      </c>
      <c r="AQ124" s="792">
        <f t="shared" si="75"/>
        <v>6.3526390484557678E-4</v>
      </c>
      <c r="AR124" s="793">
        <f t="shared" si="76"/>
        <v>53312.642833006692</v>
      </c>
      <c r="AS124" s="794">
        <v>11.083333333333334</v>
      </c>
      <c r="AT124" s="791">
        <f t="shared" si="77"/>
        <v>4.4449643233126661E-4</v>
      </c>
      <c r="AU124" s="795">
        <f t="shared" si="78"/>
        <v>37303.047373961846</v>
      </c>
      <c r="AV124" s="796">
        <v>59</v>
      </c>
      <c r="AW124" s="791">
        <f t="shared" si="79"/>
        <v>7.513243683781581E-4</v>
      </c>
      <c r="AX124" s="795">
        <f t="shared" si="80"/>
        <v>47289.505272004892</v>
      </c>
      <c r="AY124" s="786">
        <f t="shared" si="81"/>
        <v>170745.43429123057</v>
      </c>
      <c r="AZ124" s="787">
        <f t="shared" si="54"/>
        <v>17.920385630901613</v>
      </c>
      <c r="BA124" s="797">
        <f t="shared" si="58"/>
        <v>1431469.4688870786</v>
      </c>
      <c r="BB124" s="775">
        <v>1046558</v>
      </c>
      <c r="BC124" s="775">
        <f t="shared" si="82"/>
        <v>0</v>
      </c>
      <c r="BD124" s="775">
        <f t="shared" si="83"/>
        <v>384911.46888707858</v>
      </c>
      <c r="BE124" s="798">
        <f t="shared" si="84"/>
        <v>5.9892261999199123E-4</v>
      </c>
      <c r="BF124" s="775">
        <f t="shared" si="85"/>
        <v>-792.90293425102982</v>
      </c>
      <c r="BG124" s="797">
        <f t="shared" si="86"/>
        <v>1430676.5659528275</v>
      </c>
      <c r="BH124" s="799">
        <v>8</v>
      </c>
      <c r="BI124" s="692">
        <f t="shared" si="95"/>
        <v>0</v>
      </c>
      <c r="BJ124" s="800">
        <v>1000</v>
      </c>
      <c r="BK124" s="778">
        <f t="shared" si="87"/>
        <v>0</v>
      </c>
      <c r="BL124" s="786">
        <f t="shared" si="94"/>
        <v>1430676.5659528275</v>
      </c>
      <c r="BM124" s="692">
        <f t="shared" si="88"/>
        <v>1430676.5659528275</v>
      </c>
      <c r="BN124" s="801">
        <f t="shared" si="89"/>
        <v>6.9905031494426587E-4</v>
      </c>
      <c r="BO124" s="787">
        <f t="shared" si="90"/>
        <v>3455.2877452551957</v>
      </c>
      <c r="BP124" s="802">
        <f t="shared" si="91"/>
        <v>1434132</v>
      </c>
      <c r="BQ124" s="803">
        <f t="shared" si="55"/>
        <v>150.5176322418136</v>
      </c>
      <c r="BR124" s="682"/>
      <c r="BS124" s="618"/>
    </row>
    <row r="125" spans="1:71" ht="15.75">
      <c r="A125" s="805" t="s">
        <v>3665</v>
      </c>
      <c r="B125" s="767" t="s">
        <v>3666</v>
      </c>
      <c r="C125" s="768">
        <v>10061</v>
      </c>
      <c r="D125" s="769">
        <v>0</v>
      </c>
      <c r="E125" s="770">
        <v>0</v>
      </c>
      <c r="F125" s="771">
        <v>0</v>
      </c>
      <c r="G125" s="770">
        <v>0</v>
      </c>
      <c r="H125" s="771">
        <v>0</v>
      </c>
      <c r="I125" s="770">
        <f t="shared" si="92"/>
        <v>0</v>
      </c>
      <c r="J125" s="772">
        <f t="shared" si="59"/>
        <v>0</v>
      </c>
      <c r="K125" s="773">
        <v>2647</v>
      </c>
      <c r="L125" s="774">
        <f t="shared" si="60"/>
        <v>9.5531321244729452E-4</v>
      </c>
      <c r="M125" s="775">
        <f t="shared" si="93"/>
        <v>80171.833627530345</v>
      </c>
      <c r="N125" s="806">
        <v>0</v>
      </c>
      <c r="O125" s="777">
        <f t="shared" si="61"/>
        <v>0</v>
      </c>
      <c r="P125" s="778">
        <f t="shared" si="62"/>
        <v>0</v>
      </c>
      <c r="Q125" s="786">
        <f t="shared" si="48"/>
        <v>80171.833627530345</v>
      </c>
      <c r="R125" s="692">
        <f t="shared" si="49"/>
        <v>7.9685750549180341</v>
      </c>
      <c r="S125" s="807">
        <v>34984234.200000003</v>
      </c>
      <c r="T125" s="782">
        <f t="shared" si="56"/>
        <v>2.8934096547981603</v>
      </c>
      <c r="U125" s="777">
        <f t="shared" si="63"/>
        <v>1.572778511127473E-3</v>
      </c>
      <c r="V125" s="783">
        <f t="shared" si="50"/>
        <v>3477.2124242123055</v>
      </c>
      <c r="W125" s="778">
        <f t="shared" si="64"/>
        <v>626956.21032940608</v>
      </c>
      <c r="X125" s="784">
        <v>8885267.8703000005</v>
      </c>
      <c r="Y125" s="782">
        <f t="shared" si="57"/>
        <v>11.392309435976779</v>
      </c>
      <c r="Z125" s="782">
        <f t="shared" si="65"/>
        <v>1.7589901984690179E-3</v>
      </c>
      <c r="AA125" s="783">
        <f t="shared" si="51"/>
        <v>883.13963525494489</v>
      </c>
      <c r="AB125" s="692">
        <f t="shared" si="66"/>
        <v>413330.52822746959</v>
      </c>
      <c r="AC125" s="786">
        <f t="shared" si="67"/>
        <v>1040286.7385568756</v>
      </c>
      <c r="AD125" s="787">
        <f t="shared" si="52"/>
        <v>103.39794638275276</v>
      </c>
      <c r="AE125" s="788">
        <v>1056.8825999999999</v>
      </c>
      <c r="AF125" s="774">
        <f t="shared" si="68"/>
        <v>1.0992585738099853E-3</v>
      </c>
      <c r="AG125" s="692">
        <f t="shared" si="69"/>
        <v>138378.0330024368</v>
      </c>
      <c r="AH125" s="786">
        <f t="shared" si="70"/>
        <v>138378.0330024368</v>
      </c>
      <c r="AI125" s="692">
        <f t="shared" si="53"/>
        <v>13.753904482898003</v>
      </c>
      <c r="AJ125" s="789">
        <v>1258</v>
      </c>
      <c r="AK125" s="777">
        <f t="shared" si="71"/>
        <v>1.6722363569174488E-3</v>
      </c>
      <c r="AL125" s="692">
        <f t="shared" si="72"/>
        <v>35084.371608670102</v>
      </c>
      <c r="AM125" s="790">
        <v>2.3333333333333335</v>
      </c>
      <c r="AN125" s="791">
        <f t="shared" si="73"/>
        <v>3.3694344163658226E-4</v>
      </c>
      <c r="AO125" s="778">
        <f t="shared" si="74"/>
        <v>21207.735740072192</v>
      </c>
      <c r="AP125" s="768">
        <v>155</v>
      </c>
      <c r="AQ125" s="792">
        <f t="shared" si="75"/>
        <v>2.0950192606609447E-3</v>
      </c>
      <c r="AR125" s="793">
        <f t="shared" si="76"/>
        <v>175818.29019395824</v>
      </c>
      <c r="AS125" s="794">
        <v>14.611111111111112</v>
      </c>
      <c r="AT125" s="791">
        <f t="shared" si="77"/>
        <v>5.8597775289786027E-4</v>
      </c>
      <c r="AU125" s="795">
        <f t="shared" si="78"/>
        <v>49176.448417804342</v>
      </c>
      <c r="AV125" s="796">
        <v>95</v>
      </c>
      <c r="AW125" s="791">
        <f t="shared" si="79"/>
        <v>1.2097595762021189E-3</v>
      </c>
      <c r="AX125" s="795">
        <f t="shared" si="80"/>
        <v>76144.11865831296</v>
      </c>
      <c r="AY125" s="786">
        <f t="shared" si="81"/>
        <v>357430.96461881784</v>
      </c>
      <c r="AZ125" s="787">
        <f t="shared" si="54"/>
        <v>35.526385510269144</v>
      </c>
      <c r="BA125" s="797">
        <f t="shared" si="58"/>
        <v>1616267.5698056608</v>
      </c>
      <c r="BB125" s="775">
        <v>1055154</v>
      </c>
      <c r="BC125" s="775">
        <f t="shared" si="82"/>
        <v>0</v>
      </c>
      <c r="BD125" s="775">
        <f t="shared" si="83"/>
        <v>561113.56980566075</v>
      </c>
      <c r="BE125" s="798">
        <f t="shared" si="84"/>
        <v>8.7309326041323104E-4</v>
      </c>
      <c r="BF125" s="775">
        <f t="shared" si="85"/>
        <v>-1155.8725366988251</v>
      </c>
      <c r="BG125" s="797">
        <f t="shared" si="86"/>
        <v>1615111.6972689619</v>
      </c>
      <c r="BH125" s="799">
        <v>7</v>
      </c>
      <c r="BI125" s="692">
        <f t="shared" si="95"/>
        <v>0</v>
      </c>
      <c r="BJ125" s="800">
        <v>1300</v>
      </c>
      <c r="BK125" s="778">
        <f t="shared" si="87"/>
        <v>0</v>
      </c>
      <c r="BL125" s="786">
        <f t="shared" si="94"/>
        <v>1615111.6972689619</v>
      </c>
      <c r="BM125" s="692">
        <f t="shared" si="88"/>
        <v>1615111.6972689619</v>
      </c>
      <c r="BN125" s="801">
        <f t="shared" si="89"/>
        <v>7.8916812333058286E-4</v>
      </c>
      <c r="BO125" s="787">
        <f t="shared" si="90"/>
        <v>3900.7248651445175</v>
      </c>
      <c r="BP125" s="802">
        <f t="shared" si="91"/>
        <v>1619012</v>
      </c>
      <c r="BQ125" s="803">
        <f t="shared" si="55"/>
        <v>160.91959049796242</v>
      </c>
      <c r="BR125" s="682"/>
      <c r="BS125" s="618"/>
    </row>
    <row r="126" spans="1:71" ht="15.75">
      <c r="A126" s="766" t="s">
        <v>3667</v>
      </c>
      <c r="B126" s="767" t="s">
        <v>3668</v>
      </c>
      <c r="C126" s="768">
        <v>13898</v>
      </c>
      <c r="D126" s="769">
        <v>0</v>
      </c>
      <c r="E126" s="770">
        <v>0</v>
      </c>
      <c r="F126" s="771">
        <v>0</v>
      </c>
      <c r="G126" s="770">
        <v>0</v>
      </c>
      <c r="H126" s="771">
        <v>0</v>
      </c>
      <c r="I126" s="770">
        <f t="shared" si="92"/>
        <v>0</v>
      </c>
      <c r="J126" s="772">
        <f t="shared" si="59"/>
        <v>0</v>
      </c>
      <c r="K126" s="773">
        <v>3326</v>
      </c>
      <c r="L126" s="774">
        <f t="shared" si="60"/>
        <v>1.2003671116734799E-3</v>
      </c>
      <c r="M126" s="775">
        <f t="shared" si="93"/>
        <v>100737.25676054624</v>
      </c>
      <c r="N126" s="806">
        <v>78</v>
      </c>
      <c r="O126" s="777">
        <f t="shared" si="61"/>
        <v>8.8705210976246332E-5</v>
      </c>
      <c r="P126" s="778">
        <f t="shared" si="62"/>
        <v>7444.3222637569834</v>
      </c>
      <c r="Q126" s="786">
        <f t="shared" si="48"/>
        <v>108181.57902430322</v>
      </c>
      <c r="R126" s="692">
        <f t="shared" si="49"/>
        <v>7.7839674071307545</v>
      </c>
      <c r="S126" s="807">
        <v>39077542.360000007</v>
      </c>
      <c r="T126" s="782">
        <f t="shared" si="56"/>
        <v>4.9428493281530912</v>
      </c>
      <c r="U126" s="777">
        <f t="shared" si="63"/>
        <v>2.6867979769709975E-3</v>
      </c>
      <c r="V126" s="783">
        <f t="shared" si="50"/>
        <v>2811.7385494315736</v>
      </c>
      <c r="W126" s="778">
        <f t="shared" si="64"/>
        <v>1071037.4446525758</v>
      </c>
      <c r="X126" s="784">
        <v>8827433.2828000002</v>
      </c>
      <c r="Y126" s="782">
        <f t="shared" si="57"/>
        <v>21.881151384780875</v>
      </c>
      <c r="Z126" s="782">
        <f t="shared" si="65"/>
        <v>3.3784836194406184E-3</v>
      </c>
      <c r="AA126" s="783">
        <f t="shared" si="51"/>
        <v>635.15853236436897</v>
      </c>
      <c r="AB126" s="692">
        <f t="shared" si="66"/>
        <v>793881.86486011301</v>
      </c>
      <c r="AC126" s="786">
        <f t="shared" si="67"/>
        <v>1864919.3095126888</v>
      </c>
      <c r="AD126" s="787">
        <f t="shared" si="52"/>
        <v>134.18616416122384</v>
      </c>
      <c r="AE126" s="788">
        <v>3580.2440999999999</v>
      </c>
      <c r="AF126" s="774">
        <f t="shared" si="68"/>
        <v>3.7237948881527752E-3</v>
      </c>
      <c r="AG126" s="692">
        <f t="shared" si="69"/>
        <v>468762.69533302909</v>
      </c>
      <c r="AH126" s="786">
        <f t="shared" si="70"/>
        <v>468762.69533302909</v>
      </c>
      <c r="AI126" s="692">
        <f t="shared" si="53"/>
        <v>33.728787979063831</v>
      </c>
      <c r="AJ126" s="789">
        <v>1875</v>
      </c>
      <c r="AK126" s="777">
        <f t="shared" si="71"/>
        <v>2.4924031551830021E-3</v>
      </c>
      <c r="AL126" s="692">
        <f t="shared" si="72"/>
        <v>52291.889321348528</v>
      </c>
      <c r="AM126" s="790">
        <v>10.666666666666666</v>
      </c>
      <c r="AN126" s="791">
        <f t="shared" si="73"/>
        <v>1.5403128760529473E-3</v>
      </c>
      <c r="AO126" s="778">
        <f t="shared" si="74"/>
        <v>96949.649097472866</v>
      </c>
      <c r="AP126" s="768">
        <v>152</v>
      </c>
      <c r="AQ126" s="792">
        <f t="shared" si="75"/>
        <v>2.0544705007771846E-3</v>
      </c>
      <c r="AR126" s="793">
        <f t="shared" si="76"/>
        <v>172415.35554504293</v>
      </c>
      <c r="AS126" s="794">
        <v>25.638888888888886</v>
      </c>
      <c r="AT126" s="791">
        <f t="shared" si="77"/>
        <v>1.0282461329367393E-3</v>
      </c>
      <c r="AU126" s="795">
        <f t="shared" si="78"/>
        <v>86292.513098162352</v>
      </c>
      <c r="AV126" s="796">
        <v>3</v>
      </c>
      <c r="AW126" s="791">
        <f t="shared" si="79"/>
        <v>3.8202933985330073E-5</v>
      </c>
      <c r="AX126" s="795">
        <f t="shared" si="80"/>
        <v>2404.5511155256722</v>
      </c>
      <c r="AY126" s="786">
        <f t="shared" si="81"/>
        <v>410353.95817755233</v>
      </c>
      <c r="AZ126" s="787">
        <f t="shared" si="54"/>
        <v>29.526115856781718</v>
      </c>
      <c r="BA126" s="797">
        <f t="shared" si="58"/>
        <v>2852217.5420475733</v>
      </c>
      <c r="BB126" s="775">
        <v>1971265</v>
      </c>
      <c r="BC126" s="775">
        <f t="shared" si="82"/>
        <v>0</v>
      </c>
      <c r="BD126" s="775">
        <f t="shared" si="83"/>
        <v>880952.54204757325</v>
      </c>
      <c r="BE126" s="798">
        <f t="shared" si="84"/>
        <v>1.3707630123292738E-3</v>
      </c>
      <c r="BF126" s="775">
        <f t="shared" si="85"/>
        <v>-1814.7286116079492</v>
      </c>
      <c r="BG126" s="797">
        <f t="shared" si="86"/>
        <v>2850402.8134359652</v>
      </c>
      <c r="BH126" s="799">
        <v>7.7</v>
      </c>
      <c r="BI126" s="692">
        <f t="shared" si="95"/>
        <v>0</v>
      </c>
      <c r="BJ126" s="800">
        <v>1600</v>
      </c>
      <c r="BK126" s="778">
        <f t="shared" si="87"/>
        <v>0</v>
      </c>
      <c r="BL126" s="786">
        <f t="shared" si="94"/>
        <v>2850402.8134359652</v>
      </c>
      <c r="BM126" s="692">
        <f t="shared" si="88"/>
        <v>2850402.8134359652</v>
      </c>
      <c r="BN126" s="801">
        <f t="shared" si="89"/>
        <v>1.3927501378506067E-3</v>
      </c>
      <c r="BO126" s="787">
        <f t="shared" si="90"/>
        <v>6884.1289112377654</v>
      </c>
      <c r="BP126" s="802">
        <f t="shared" si="91"/>
        <v>2857287</v>
      </c>
      <c r="BQ126" s="803">
        <f t="shared" si="55"/>
        <v>205.58979709310691</v>
      </c>
      <c r="BR126" s="682"/>
      <c r="BS126" s="618"/>
    </row>
    <row r="127" spans="1:71" ht="15.75">
      <c r="A127" s="805" t="s">
        <v>3669</v>
      </c>
      <c r="B127" s="767" t="s">
        <v>3670</v>
      </c>
      <c r="C127" s="768">
        <v>35087</v>
      </c>
      <c r="D127" s="769">
        <v>0</v>
      </c>
      <c r="E127" s="770">
        <v>0</v>
      </c>
      <c r="F127" s="771">
        <v>0</v>
      </c>
      <c r="G127" s="770">
        <f>C127/($C$10+$C$60+$C$62+$C$67+$C$74+$C$80+$C$94+$C$105+$C$127+$C$141+$C$168+$C$175+$C$201+$C$219+$C$237+$C$255+$C$265+$C$267+$C$268+$C$273+$C$281)*$G$7</f>
        <v>2154796.5763252643</v>
      </c>
      <c r="H127" s="771">
        <v>0</v>
      </c>
      <c r="I127" s="770">
        <f t="shared" si="92"/>
        <v>2154796.5763252643</v>
      </c>
      <c r="J127" s="772">
        <f t="shared" si="59"/>
        <v>61.412961390978545</v>
      </c>
      <c r="K127" s="773">
        <v>21914</v>
      </c>
      <c r="L127" s="774">
        <f t="shared" si="60"/>
        <v>7.9088529420362711E-3</v>
      </c>
      <c r="M127" s="775">
        <f t="shared" si="93"/>
        <v>663727.07295568567</v>
      </c>
      <c r="N127" s="806">
        <v>6143</v>
      </c>
      <c r="O127" s="777">
        <f t="shared" si="61"/>
        <v>6.9861039875266824E-3</v>
      </c>
      <c r="P127" s="778">
        <f t="shared" si="62"/>
        <v>586288.09828537377</v>
      </c>
      <c r="Q127" s="786">
        <f t="shared" si="48"/>
        <v>1250015.1712410594</v>
      </c>
      <c r="R127" s="692">
        <f t="shared" si="49"/>
        <v>35.626162716705885</v>
      </c>
      <c r="S127" s="807">
        <v>103922366.43000001</v>
      </c>
      <c r="T127" s="782">
        <f t="shared" si="56"/>
        <v>11.846319625806849</v>
      </c>
      <c r="U127" s="777">
        <f t="shared" si="63"/>
        <v>6.4393359967261097E-3</v>
      </c>
      <c r="V127" s="783">
        <f t="shared" si="50"/>
        <v>2961.8481611423035</v>
      </c>
      <c r="W127" s="778">
        <f t="shared" si="64"/>
        <v>2566910.5121807703</v>
      </c>
      <c r="X127" s="784">
        <v>30726807.6096</v>
      </c>
      <c r="Y127" s="782">
        <f t="shared" si="57"/>
        <v>40.06591197633454</v>
      </c>
      <c r="Z127" s="782">
        <f t="shared" si="65"/>
        <v>6.1862387828523994E-3</v>
      </c>
      <c r="AA127" s="783">
        <f t="shared" si="51"/>
        <v>875.73196937897228</v>
      </c>
      <c r="AB127" s="692">
        <f t="shared" si="66"/>
        <v>1453652.9800354531</v>
      </c>
      <c r="AC127" s="786">
        <f t="shared" si="67"/>
        <v>4020563.4922162234</v>
      </c>
      <c r="AD127" s="787">
        <f t="shared" si="52"/>
        <v>114.58840859053848</v>
      </c>
      <c r="AE127" s="788">
        <v>10280.6808</v>
      </c>
      <c r="AF127" s="774">
        <f t="shared" si="68"/>
        <v>1.0692887283794529E-2</v>
      </c>
      <c r="AG127" s="692">
        <f t="shared" si="69"/>
        <v>1346053.3715191437</v>
      </c>
      <c r="AH127" s="786">
        <f t="shared" si="70"/>
        <v>1346053.3715191437</v>
      </c>
      <c r="AI127" s="692">
        <f t="shared" si="53"/>
        <v>38.363307536100088</v>
      </c>
      <c r="AJ127" s="789">
        <v>5765</v>
      </c>
      <c r="AK127" s="777">
        <f t="shared" si="71"/>
        <v>7.6633089011360041E-3</v>
      </c>
      <c r="AL127" s="692">
        <f t="shared" si="72"/>
        <v>160780.12903337294</v>
      </c>
      <c r="AM127" s="790">
        <v>40.333333333333336</v>
      </c>
      <c r="AN127" s="791">
        <f t="shared" si="73"/>
        <v>5.8243080625752083E-3</v>
      </c>
      <c r="AO127" s="778">
        <f t="shared" si="74"/>
        <v>366590.86064981937</v>
      </c>
      <c r="AP127" s="768">
        <v>435</v>
      </c>
      <c r="AQ127" s="792">
        <f t="shared" si="75"/>
        <v>5.8795701831452322E-3</v>
      </c>
      <c r="AR127" s="793">
        <f t="shared" si="76"/>
        <v>493425.52409272152</v>
      </c>
      <c r="AS127" s="794">
        <v>98.333333333333329</v>
      </c>
      <c r="AT127" s="791">
        <f t="shared" si="77"/>
        <v>3.9436525575255229E-3</v>
      </c>
      <c r="AU127" s="795">
        <f t="shared" si="78"/>
        <v>330959.36767875921</v>
      </c>
      <c r="AV127" s="796">
        <v>454</v>
      </c>
      <c r="AW127" s="791">
        <f t="shared" si="79"/>
        <v>5.7813773431132842E-3</v>
      </c>
      <c r="AX127" s="795">
        <f t="shared" si="80"/>
        <v>363888.73548288509</v>
      </c>
      <c r="AY127" s="786">
        <f t="shared" si="81"/>
        <v>1715644.6169375584</v>
      </c>
      <c r="AZ127" s="787">
        <f t="shared" si="54"/>
        <v>48.896873968636768</v>
      </c>
      <c r="BA127" s="797">
        <f t="shared" si="58"/>
        <v>10487073.228239249</v>
      </c>
      <c r="BB127" s="775">
        <v>7084449</v>
      </c>
      <c r="BC127" s="775">
        <f t="shared" si="82"/>
        <v>0</v>
      </c>
      <c r="BD127" s="775">
        <f t="shared" si="83"/>
        <v>3402624.2282392494</v>
      </c>
      <c r="BE127" s="798">
        <f t="shared" si="84"/>
        <v>5.2944866088756098E-3</v>
      </c>
      <c r="BF127" s="775">
        <f t="shared" si="85"/>
        <v>-7009.2760356695007</v>
      </c>
      <c r="BG127" s="797">
        <f t="shared" si="86"/>
        <v>10480063.952203579</v>
      </c>
      <c r="BH127" s="799">
        <v>8</v>
      </c>
      <c r="BI127" s="692">
        <f t="shared" si="95"/>
        <v>0</v>
      </c>
      <c r="BJ127" s="800">
        <v>1500</v>
      </c>
      <c r="BK127" s="778">
        <f t="shared" si="87"/>
        <v>0</v>
      </c>
      <c r="BL127" s="786">
        <f t="shared" si="94"/>
        <v>10480063.952203579</v>
      </c>
      <c r="BM127" s="692">
        <f t="shared" si="88"/>
        <v>10480063.952203579</v>
      </c>
      <c r="BN127" s="801">
        <f t="shared" si="89"/>
        <v>5.1207185332939305E-3</v>
      </c>
      <c r="BO127" s="787">
        <f t="shared" si="90"/>
        <v>25310.847612453126</v>
      </c>
      <c r="BP127" s="802">
        <f t="shared" si="91"/>
        <v>10505375</v>
      </c>
      <c r="BQ127" s="803">
        <f t="shared" si="55"/>
        <v>299.40932539117051</v>
      </c>
      <c r="BR127" s="682"/>
      <c r="BS127" s="618"/>
    </row>
    <row r="128" spans="1:71" ht="15.75">
      <c r="A128" s="805" t="s">
        <v>3671</v>
      </c>
      <c r="B128" s="767" t="s">
        <v>3672</v>
      </c>
      <c r="C128" s="768">
        <v>10728</v>
      </c>
      <c r="D128" s="769">
        <v>0</v>
      </c>
      <c r="E128" s="770">
        <v>0</v>
      </c>
      <c r="F128" s="771">
        <v>0</v>
      </c>
      <c r="G128" s="770">
        <v>0</v>
      </c>
      <c r="H128" s="771">
        <v>0</v>
      </c>
      <c r="I128" s="770">
        <f t="shared" si="92"/>
        <v>0</v>
      </c>
      <c r="J128" s="772">
        <f t="shared" si="59"/>
        <v>0</v>
      </c>
      <c r="K128" s="773">
        <v>4405</v>
      </c>
      <c r="L128" s="774">
        <f t="shared" si="60"/>
        <v>1.589782659928346E-3</v>
      </c>
      <c r="M128" s="775">
        <f t="shared" si="93"/>
        <v>133417.80397781305</v>
      </c>
      <c r="N128" s="806">
        <v>311</v>
      </c>
      <c r="O128" s="777">
        <f t="shared" si="61"/>
        <v>3.5368359761041811E-4</v>
      </c>
      <c r="P128" s="778">
        <f t="shared" si="62"/>
        <v>29681.849026005413</v>
      </c>
      <c r="Q128" s="786">
        <f t="shared" si="48"/>
        <v>163099.65300381847</v>
      </c>
      <c r="R128" s="692">
        <f t="shared" si="49"/>
        <v>15.203174217358173</v>
      </c>
      <c r="S128" s="807">
        <v>31135058.199999996</v>
      </c>
      <c r="T128" s="782">
        <f t="shared" si="56"/>
        <v>3.696475634016962</v>
      </c>
      <c r="U128" s="777">
        <f t="shared" si="63"/>
        <v>2.009303257299643E-3</v>
      </c>
      <c r="V128" s="783">
        <f t="shared" si="50"/>
        <v>2902.2239187173745</v>
      </c>
      <c r="W128" s="778">
        <f t="shared" si="64"/>
        <v>800967.93457334698</v>
      </c>
      <c r="X128" s="784">
        <v>8331656.3974000001</v>
      </c>
      <c r="Y128" s="782">
        <f t="shared" si="57"/>
        <v>13.813577818201349</v>
      </c>
      <c r="Z128" s="782">
        <f t="shared" si="65"/>
        <v>2.1328377818875407E-3</v>
      </c>
      <c r="AA128" s="783">
        <f t="shared" si="51"/>
        <v>776.62718096569722</v>
      </c>
      <c r="AB128" s="692">
        <f t="shared" si="66"/>
        <v>501177.87340621691</v>
      </c>
      <c r="AC128" s="786">
        <f t="shared" si="67"/>
        <v>1302145.8079795639</v>
      </c>
      <c r="AD128" s="787">
        <f t="shared" si="52"/>
        <v>121.37824459168195</v>
      </c>
      <c r="AE128" s="788">
        <v>948.37480000000005</v>
      </c>
      <c r="AF128" s="774">
        <f t="shared" si="68"/>
        <v>9.864001262631537E-4</v>
      </c>
      <c r="AG128" s="692">
        <f t="shared" si="69"/>
        <v>124171.06627839216</v>
      </c>
      <c r="AH128" s="786">
        <f t="shared" si="70"/>
        <v>124171.06627839216</v>
      </c>
      <c r="AI128" s="692">
        <f t="shared" si="53"/>
        <v>11.574484179566756</v>
      </c>
      <c r="AJ128" s="789">
        <v>1459</v>
      </c>
      <c r="AK128" s="777">
        <f t="shared" si="71"/>
        <v>1.9394219751530668E-3</v>
      </c>
      <c r="AL128" s="692">
        <f t="shared" si="72"/>
        <v>40690.062143918673</v>
      </c>
      <c r="AM128" s="790">
        <v>2.3333333333333335</v>
      </c>
      <c r="AN128" s="791">
        <f t="shared" si="73"/>
        <v>3.3694344163658226E-4</v>
      </c>
      <c r="AO128" s="778">
        <f t="shared" si="74"/>
        <v>21207.735740072192</v>
      </c>
      <c r="AP128" s="768">
        <v>91</v>
      </c>
      <c r="AQ128" s="792">
        <f t="shared" si="75"/>
        <v>1.2299790498073934E-3</v>
      </c>
      <c r="AR128" s="793">
        <f t="shared" si="76"/>
        <v>103222.35101709806</v>
      </c>
      <c r="AS128" s="794">
        <v>26.222222222222225</v>
      </c>
      <c r="AT128" s="791">
        <f t="shared" si="77"/>
        <v>1.0516406820068062E-3</v>
      </c>
      <c r="AU128" s="795">
        <f t="shared" si="78"/>
        <v>88255.83138100247</v>
      </c>
      <c r="AV128" s="796">
        <v>0</v>
      </c>
      <c r="AW128" s="791">
        <f t="shared" si="79"/>
        <v>0</v>
      </c>
      <c r="AX128" s="795">
        <f t="shared" si="80"/>
        <v>0</v>
      </c>
      <c r="AY128" s="786">
        <f t="shared" si="81"/>
        <v>253375.98028209139</v>
      </c>
      <c r="AZ128" s="787">
        <f t="shared" si="54"/>
        <v>23.618193538599122</v>
      </c>
      <c r="BA128" s="797">
        <f t="shared" si="58"/>
        <v>1842792.5075438661</v>
      </c>
      <c r="BB128" s="775">
        <v>1385245</v>
      </c>
      <c r="BC128" s="775">
        <f t="shared" si="82"/>
        <v>0</v>
      </c>
      <c r="BD128" s="775">
        <f t="shared" si="83"/>
        <v>457547.50754386606</v>
      </c>
      <c r="BE128" s="798">
        <f t="shared" si="84"/>
        <v>7.11944366795086E-4</v>
      </c>
      <c r="BF128" s="775">
        <f t="shared" si="85"/>
        <v>-942.53040144462</v>
      </c>
      <c r="BG128" s="797">
        <f t="shared" si="86"/>
        <v>1841849.9771424215</v>
      </c>
      <c r="BH128" s="799">
        <v>7</v>
      </c>
      <c r="BI128" s="692">
        <f t="shared" si="95"/>
        <v>0</v>
      </c>
      <c r="BJ128" s="800">
        <v>1700</v>
      </c>
      <c r="BK128" s="778">
        <f t="shared" si="87"/>
        <v>0</v>
      </c>
      <c r="BL128" s="786">
        <f t="shared" si="94"/>
        <v>1841849.9771424215</v>
      </c>
      <c r="BM128" s="692">
        <f t="shared" si="88"/>
        <v>1841849.9771424215</v>
      </c>
      <c r="BN128" s="801">
        <f t="shared" si="89"/>
        <v>8.999558930665758E-4</v>
      </c>
      <c r="BO128" s="787">
        <f t="shared" si="90"/>
        <v>4448.3301160247074</v>
      </c>
      <c r="BP128" s="802">
        <f t="shared" si="91"/>
        <v>1846298</v>
      </c>
      <c r="BQ128" s="803">
        <f t="shared" si="55"/>
        <v>172.10085756897837</v>
      </c>
      <c r="BR128" s="682"/>
      <c r="BS128" s="618"/>
    </row>
    <row r="129" spans="1:71" ht="15.75">
      <c r="A129" s="766" t="s">
        <v>3673</v>
      </c>
      <c r="B129" s="767" t="s">
        <v>3674</v>
      </c>
      <c r="C129" s="768">
        <v>27363</v>
      </c>
      <c r="D129" s="769">
        <v>0</v>
      </c>
      <c r="E129" s="770">
        <v>0</v>
      </c>
      <c r="F129" s="771">
        <v>0</v>
      </c>
      <c r="G129" s="770">
        <v>0</v>
      </c>
      <c r="H129" s="771">
        <v>0</v>
      </c>
      <c r="I129" s="770">
        <f t="shared" si="92"/>
        <v>0</v>
      </c>
      <c r="J129" s="772">
        <f t="shared" si="59"/>
        <v>0</v>
      </c>
      <c r="K129" s="773">
        <v>13225</v>
      </c>
      <c r="L129" s="774">
        <f t="shared" si="60"/>
        <v>4.7729570210107552E-3</v>
      </c>
      <c r="M129" s="775">
        <f t="shared" si="93"/>
        <v>400556.29003554542</v>
      </c>
      <c r="N129" s="806">
        <v>3395</v>
      </c>
      <c r="O129" s="777">
        <f t="shared" si="61"/>
        <v>3.8609511700558501E-3</v>
      </c>
      <c r="P129" s="778">
        <f t="shared" si="62"/>
        <v>324018.89853147388</v>
      </c>
      <c r="Q129" s="786">
        <f t="shared" si="48"/>
        <v>724575.1885670193</v>
      </c>
      <c r="R129" s="692">
        <f t="shared" si="49"/>
        <v>26.480107757446891</v>
      </c>
      <c r="S129" s="807">
        <v>84029344.710000008</v>
      </c>
      <c r="T129" s="782">
        <f t="shared" si="56"/>
        <v>8.9103844803742245</v>
      </c>
      <c r="U129" s="777">
        <f t="shared" si="63"/>
        <v>4.8434417896465872E-3</v>
      </c>
      <c r="V129" s="783">
        <f t="shared" si="50"/>
        <v>3070.9112564411798</v>
      </c>
      <c r="W129" s="778">
        <f t="shared" si="64"/>
        <v>1930739.6991398642</v>
      </c>
      <c r="X129" s="784">
        <v>23810075.417199999</v>
      </c>
      <c r="Y129" s="782">
        <f t="shared" si="57"/>
        <v>31.446089770010861</v>
      </c>
      <c r="Z129" s="782">
        <f t="shared" si="65"/>
        <v>4.8553249011080235E-3</v>
      </c>
      <c r="AA129" s="783">
        <f t="shared" si="51"/>
        <v>870.15588265906513</v>
      </c>
      <c r="AB129" s="692">
        <f t="shared" si="66"/>
        <v>1140912.557578594</v>
      </c>
      <c r="AC129" s="786">
        <f t="shared" si="67"/>
        <v>3071652.2567184581</v>
      </c>
      <c r="AD129" s="787">
        <f t="shared" si="52"/>
        <v>112.25568310194271</v>
      </c>
      <c r="AE129" s="788">
        <v>1174.0138999999999</v>
      </c>
      <c r="AF129" s="774">
        <f t="shared" si="68"/>
        <v>1.2210862827594083E-3</v>
      </c>
      <c r="AG129" s="692">
        <f t="shared" si="69"/>
        <v>153714.07779777955</v>
      </c>
      <c r="AH129" s="786">
        <f t="shared" si="70"/>
        <v>153714.07779777955</v>
      </c>
      <c r="AI129" s="692">
        <f t="shared" si="53"/>
        <v>5.6175886342060286</v>
      </c>
      <c r="AJ129" s="789">
        <v>3574</v>
      </c>
      <c r="AK129" s="777">
        <f t="shared" si="71"/>
        <v>4.7508527341994936E-3</v>
      </c>
      <c r="AL129" s="692">
        <f t="shared" si="72"/>
        <v>99675.313298399822</v>
      </c>
      <c r="AM129" s="790">
        <v>9</v>
      </c>
      <c r="AN129" s="791">
        <f t="shared" si="73"/>
        <v>1.2996389891696744E-3</v>
      </c>
      <c r="AO129" s="778">
        <f t="shared" si="74"/>
        <v>81801.266425992741</v>
      </c>
      <c r="AP129" s="768">
        <v>230</v>
      </c>
      <c r="AQ129" s="792">
        <f t="shared" si="75"/>
        <v>3.1087382577549504E-3</v>
      </c>
      <c r="AR129" s="793">
        <f t="shared" si="76"/>
        <v>260891.65641684126</v>
      </c>
      <c r="AS129" s="794">
        <v>111.41666666666667</v>
      </c>
      <c r="AT129" s="791">
        <f t="shared" si="77"/>
        <v>4.4683588723827324E-3</v>
      </c>
      <c r="AU129" s="795">
        <f t="shared" si="78"/>
        <v>374993.79202245857</v>
      </c>
      <c r="AV129" s="796">
        <v>239</v>
      </c>
      <c r="AW129" s="791">
        <f t="shared" si="79"/>
        <v>3.0435004074979627E-3</v>
      </c>
      <c r="AX129" s="795">
        <f t="shared" si="80"/>
        <v>191562.57220354525</v>
      </c>
      <c r="AY129" s="786">
        <f t="shared" si="81"/>
        <v>1008924.6003672377</v>
      </c>
      <c r="AZ129" s="787">
        <f t="shared" si="54"/>
        <v>36.871856169544188</v>
      </c>
      <c r="BA129" s="797">
        <f t="shared" si="58"/>
        <v>4958866.1234504944</v>
      </c>
      <c r="BB129" s="775">
        <v>4232351</v>
      </c>
      <c r="BC129" s="775">
        <f t="shared" si="82"/>
        <v>0</v>
      </c>
      <c r="BD129" s="775">
        <f t="shared" si="83"/>
        <v>726515.12345049437</v>
      </c>
      <c r="BE129" s="798">
        <f t="shared" si="84"/>
        <v>1.1304582387708171E-3</v>
      </c>
      <c r="BF129" s="775">
        <f t="shared" si="85"/>
        <v>-1496.5934240079596</v>
      </c>
      <c r="BG129" s="797">
        <f t="shared" si="86"/>
        <v>4957369.5300264861</v>
      </c>
      <c r="BH129" s="799">
        <v>7</v>
      </c>
      <c r="BI129" s="692">
        <f t="shared" si="95"/>
        <v>0</v>
      </c>
      <c r="BJ129" s="800">
        <v>1800</v>
      </c>
      <c r="BK129" s="778">
        <f t="shared" si="87"/>
        <v>0</v>
      </c>
      <c r="BL129" s="786">
        <f t="shared" si="94"/>
        <v>4957369.5300264861</v>
      </c>
      <c r="BM129" s="692">
        <f t="shared" si="88"/>
        <v>4957369.5300264861</v>
      </c>
      <c r="BN129" s="801">
        <f t="shared" si="89"/>
        <v>2.4222460993146553E-3</v>
      </c>
      <c r="BO129" s="787">
        <f t="shared" si="90"/>
        <v>11972.753726062507</v>
      </c>
      <c r="BP129" s="802">
        <f t="shared" si="91"/>
        <v>4969342</v>
      </c>
      <c r="BQ129" s="803">
        <f t="shared" si="55"/>
        <v>181.60808390892811</v>
      </c>
      <c r="BR129" s="682"/>
      <c r="BS129" s="618"/>
    </row>
    <row r="130" spans="1:71" ht="15.75">
      <c r="A130" s="805" t="s">
        <v>3675</v>
      </c>
      <c r="B130" s="767" t="s">
        <v>3676</v>
      </c>
      <c r="C130" s="768">
        <v>13781</v>
      </c>
      <c r="D130" s="769">
        <v>0</v>
      </c>
      <c r="E130" s="770">
        <v>0</v>
      </c>
      <c r="F130" s="771">
        <v>0</v>
      </c>
      <c r="G130" s="770">
        <v>0</v>
      </c>
      <c r="H130" s="771">
        <v>0</v>
      </c>
      <c r="I130" s="770">
        <f t="shared" si="92"/>
        <v>0</v>
      </c>
      <c r="J130" s="772">
        <f t="shared" si="59"/>
        <v>0</v>
      </c>
      <c r="K130" s="773">
        <v>4367</v>
      </c>
      <c r="L130" s="774">
        <f t="shared" si="60"/>
        <v>1.5760683032706214E-3</v>
      </c>
      <c r="M130" s="775">
        <f t="shared" si="93"/>
        <v>132266.86718980921</v>
      </c>
      <c r="N130" s="806">
        <v>0</v>
      </c>
      <c r="O130" s="777">
        <f t="shared" si="61"/>
        <v>0</v>
      </c>
      <c r="P130" s="778">
        <f t="shared" si="62"/>
        <v>0</v>
      </c>
      <c r="Q130" s="786">
        <f t="shared" si="48"/>
        <v>132266.86718980921</v>
      </c>
      <c r="R130" s="692">
        <f t="shared" si="49"/>
        <v>9.5977699143610202</v>
      </c>
      <c r="S130" s="807">
        <v>54174548.419999994</v>
      </c>
      <c r="T130" s="782">
        <f t="shared" si="56"/>
        <v>3.5056307166168716</v>
      </c>
      <c r="U130" s="777">
        <f t="shared" si="63"/>
        <v>1.9055651694187903E-3</v>
      </c>
      <c r="V130" s="783">
        <f t="shared" si="50"/>
        <v>3931.1043044771782</v>
      </c>
      <c r="W130" s="778">
        <f t="shared" si="64"/>
        <v>759614.85276020982</v>
      </c>
      <c r="X130" s="784">
        <v>11546384.790899999</v>
      </c>
      <c r="Y130" s="782">
        <f t="shared" si="57"/>
        <v>16.448088682240837</v>
      </c>
      <c r="Z130" s="782">
        <f t="shared" si="65"/>
        <v>2.5396103343404471E-3</v>
      </c>
      <c r="AA130" s="783">
        <f t="shared" si="51"/>
        <v>837.84810905594657</v>
      </c>
      <c r="AB130" s="692">
        <f t="shared" si="66"/>
        <v>596761.98417621071</v>
      </c>
      <c r="AC130" s="786">
        <f t="shared" si="67"/>
        <v>1356376.8369364205</v>
      </c>
      <c r="AD130" s="787">
        <f t="shared" si="52"/>
        <v>98.423687463639837</v>
      </c>
      <c r="AE130" s="788">
        <v>4049.0976000000001</v>
      </c>
      <c r="AF130" s="774">
        <f t="shared" si="68"/>
        <v>4.2114471872215838E-3</v>
      </c>
      <c r="AG130" s="692">
        <f t="shared" si="69"/>
        <v>530149.85895584582</v>
      </c>
      <c r="AH130" s="786">
        <f t="shared" si="70"/>
        <v>530149.85895584582</v>
      </c>
      <c r="AI130" s="692">
        <f t="shared" si="53"/>
        <v>38.46962186748754</v>
      </c>
      <c r="AJ130" s="789">
        <v>1333</v>
      </c>
      <c r="AK130" s="777">
        <f t="shared" si="71"/>
        <v>1.7719324831247691E-3</v>
      </c>
      <c r="AL130" s="692">
        <f t="shared" si="72"/>
        <v>37176.047181524045</v>
      </c>
      <c r="AM130" s="790">
        <v>6</v>
      </c>
      <c r="AN130" s="791">
        <f t="shared" si="73"/>
        <v>8.6642599277978296E-4</v>
      </c>
      <c r="AO130" s="778">
        <f t="shared" si="74"/>
        <v>54534.177617328489</v>
      </c>
      <c r="AP130" s="768">
        <v>69</v>
      </c>
      <c r="AQ130" s="792">
        <f t="shared" si="75"/>
        <v>9.326214773264851E-4</v>
      </c>
      <c r="AR130" s="793">
        <f t="shared" si="76"/>
        <v>78267.496925052372</v>
      </c>
      <c r="AS130" s="794">
        <v>22.5</v>
      </c>
      <c r="AT130" s="791">
        <f t="shared" si="77"/>
        <v>9.0236117841685699E-4</v>
      </c>
      <c r="AU130" s="795">
        <f t="shared" si="78"/>
        <v>75727.990909546614</v>
      </c>
      <c r="AV130" s="796">
        <v>3</v>
      </c>
      <c r="AW130" s="791">
        <f t="shared" si="79"/>
        <v>3.8202933985330073E-5</v>
      </c>
      <c r="AX130" s="795">
        <f t="shared" si="80"/>
        <v>2404.5511155256722</v>
      </c>
      <c r="AY130" s="786">
        <f t="shared" si="81"/>
        <v>248110.26374897716</v>
      </c>
      <c r="AZ130" s="787">
        <f t="shared" si="54"/>
        <v>18.003792449675434</v>
      </c>
      <c r="BA130" s="797">
        <f t="shared" si="58"/>
        <v>2266903.826831053</v>
      </c>
      <c r="BB130" s="775">
        <v>1810809</v>
      </c>
      <c r="BC130" s="775">
        <f t="shared" si="82"/>
        <v>0</v>
      </c>
      <c r="BD130" s="775">
        <f t="shared" si="83"/>
        <v>456094.82683105301</v>
      </c>
      <c r="BE130" s="798">
        <f t="shared" si="84"/>
        <v>7.0968399419292527E-4</v>
      </c>
      <c r="BF130" s="775">
        <f t="shared" si="85"/>
        <v>-939.53793462348403</v>
      </c>
      <c r="BG130" s="797">
        <f t="shared" si="86"/>
        <v>2265964.2888964294</v>
      </c>
      <c r="BH130" s="799">
        <v>7.4</v>
      </c>
      <c r="BI130" s="692">
        <f t="shared" si="95"/>
        <v>0</v>
      </c>
      <c r="BJ130" s="800">
        <v>1450</v>
      </c>
      <c r="BK130" s="778">
        <f t="shared" si="87"/>
        <v>0</v>
      </c>
      <c r="BL130" s="786">
        <f t="shared" si="94"/>
        <v>2265964.2888964294</v>
      </c>
      <c r="BM130" s="692">
        <f t="shared" si="88"/>
        <v>2265964.2888964294</v>
      </c>
      <c r="BN130" s="801">
        <f t="shared" si="89"/>
        <v>1.1071845918931037E-3</v>
      </c>
      <c r="BO130" s="787">
        <f t="shared" si="90"/>
        <v>5472.6266054377338</v>
      </c>
      <c r="BP130" s="802">
        <f t="shared" si="91"/>
        <v>2271437</v>
      </c>
      <c r="BQ130" s="803">
        <f t="shared" si="55"/>
        <v>164.82381539801176</v>
      </c>
      <c r="BR130" s="682"/>
      <c r="BS130" s="618"/>
    </row>
    <row r="131" spans="1:71" ht="15.75">
      <c r="A131" s="766" t="s">
        <v>3677</v>
      </c>
      <c r="B131" s="767" t="s">
        <v>3678</v>
      </c>
      <c r="C131" s="768">
        <v>18126</v>
      </c>
      <c r="D131" s="769">
        <v>0</v>
      </c>
      <c r="E131" s="770">
        <v>0</v>
      </c>
      <c r="F131" s="771">
        <v>0</v>
      </c>
      <c r="G131" s="770">
        <v>0</v>
      </c>
      <c r="H131" s="771">
        <v>0</v>
      </c>
      <c r="I131" s="770">
        <f t="shared" si="92"/>
        <v>0</v>
      </c>
      <c r="J131" s="772">
        <f t="shared" si="59"/>
        <v>0</v>
      </c>
      <c r="K131" s="773">
        <v>6017</v>
      </c>
      <c r="L131" s="774">
        <f t="shared" si="60"/>
        <v>2.1715601055139291E-3</v>
      </c>
      <c r="M131" s="775">
        <f t="shared" si="93"/>
        <v>182241.75403734419</v>
      </c>
      <c r="N131" s="806">
        <v>2038.5</v>
      </c>
      <c r="O131" s="777">
        <f t="shared" si="61"/>
        <v>2.3182765714753611E-3</v>
      </c>
      <c r="P131" s="778">
        <f t="shared" si="62"/>
        <v>194554.49916241813</v>
      </c>
      <c r="Q131" s="786">
        <f t="shared" si="48"/>
        <v>376796.25319976232</v>
      </c>
      <c r="R131" s="692">
        <f t="shared" si="49"/>
        <v>20.787611894503051</v>
      </c>
      <c r="S131" s="807">
        <v>66091396.149999991</v>
      </c>
      <c r="T131" s="782">
        <f t="shared" si="56"/>
        <v>4.9711746935156862</v>
      </c>
      <c r="U131" s="777">
        <f t="shared" si="63"/>
        <v>2.7021948724255513E-3</v>
      </c>
      <c r="V131" s="783">
        <f t="shared" si="50"/>
        <v>3646.2206857552683</v>
      </c>
      <c r="W131" s="778">
        <f t="shared" si="64"/>
        <v>1077175.1043145871</v>
      </c>
      <c r="X131" s="784">
        <v>21766371.942000002</v>
      </c>
      <c r="Y131" s="782">
        <f t="shared" si="57"/>
        <v>15.094471273185963</v>
      </c>
      <c r="Z131" s="782">
        <f t="shared" si="65"/>
        <v>2.3306097126152875E-3</v>
      </c>
      <c r="AA131" s="783">
        <f t="shared" si="51"/>
        <v>1200.8370264812977</v>
      </c>
      <c r="AB131" s="692">
        <f t="shared" si="66"/>
        <v>547650.66027416824</v>
      </c>
      <c r="AC131" s="786">
        <f t="shared" si="67"/>
        <v>1624825.7645887553</v>
      </c>
      <c r="AD131" s="787">
        <f t="shared" si="52"/>
        <v>89.640613736552766</v>
      </c>
      <c r="AE131" s="788">
        <v>4337.1364999999996</v>
      </c>
      <c r="AF131" s="774">
        <f t="shared" si="68"/>
        <v>4.511035079401658E-3</v>
      </c>
      <c r="AG131" s="692">
        <f t="shared" si="69"/>
        <v>567862.8995624237</v>
      </c>
      <c r="AH131" s="786">
        <f t="shared" si="70"/>
        <v>567862.8995624237</v>
      </c>
      <c r="AI131" s="692">
        <f t="shared" si="53"/>
        <v>31.328638395808436</v>
      </c>
      <c r="AJ131" s="789">
        <v>1366</v>
      </c>
      <c r="AK131" s="777">
        <f t="shared" si="71"/>
        <v>1.8157987786559899E-3</v>
      </c>
      <c r="AL131" s="692">
        <f t="shared" si="72"/>
        <v>38096.384433579784</v>
      </c>
      <c r="AM131" s="790">
        <v>4.666666666666667</v>
      </c>
      <c r="AN131" s="791">
        <f t="shared" si="73"/>
        <v>6.7388688327316452E-4</v>
      </c>
      <c r="AO131" s="778">
        <f t="shared" si="74"/>
        <v>42415.471480144384</v>
      </c>
      <c r="AP131" s="768">
        <v>109</v>
      </c>
      <c r="AQ131" s="792">
        <f t="shared" si="75"/>
        <v>1.4732716091099547E-3</v>
      </c>
      <c r="AR131" s="793">
        <f t="shared" si="76"/>
        <v>123639.95891058998</v>
      </c>
      <c r="AS131" s="794">
        <v>48.388888888888886</v>
      </c>
      <c r="AT131" s="791">
        <f t="shared" si="77"/>
        <v>1.9406335466693391E-3</v>
      </c>
      <c r="AU131" s="795">
        <f t="shared" si="78"/>
        <v>162861.92612892613</v>
      </c>
      <c r="AV131" s="796">
        <v>55</v>
      </c>
      <c r="AW131" s="791">
        <f t="shared" si="79"/>
        <v>7.0038712306438465E-4</v>
      </c>
      <c r="AX131" s="795">
        <f t="shared" si="80"/>
        <v>44083.437117970658</v>
      </c>
      <c r="AY131" s="786">
        <f t="shared" si="81"/>
        <v>411097.17807121098</v>
      </c>
      <c r="AZ131" s="787">
        <f t="shared" si="54"/>
        <v>22.67997230890494</v>
      </c>
      <c r="BA131" s="797">
        <f t="shared" si="58"/>
        <v>2980582.0954221524</v>
      </c>
      <c r="BB131" s="775">
        <v>2321823</v>
      </c>
      <c r="BC131" s="775">
        <f t="shared" si="82"/>
        <v>0</v>
      </c>
      <c r="BD131" s="775">
        <f t="shared" si="83"/>
        <v>658759.09542215243</v>
      </c>
      <c r="BE131" s="798">
        <f t="shared" si="84"/>
        <v>1.0250297932523737E-3</v>
      </c>
      <c r="BF131" s="775">
        <f t="shared" si="85"/>
        <v>-1357.0185924442153</v>
      </c>
      <c r="BG131" s="797">
        <f t="shared" si="86"/>
        <v>2979225.0768297082</v>
      </c>
      <c r="BH131" s="799">
        <v>7.5</v>
      </c>
      <c r="BI131" s="692">
        <f t="shared" si="95"/>
        <v>0</v>
      </c>
      <c r="BJ131" s="800">
        <v>1100</v>
      </c>
      <c r="BK131" s="778">
        <f t="shared" si="87"/>
        <v>0</v>
      </c>
      <c r="BL131" s="786">
        <f t="shared" si="94"/>
        <v>2979225.0768297082</v>
      </c>
      <c r="BM131" s="692">
        <f t="shared" si="88"/>
        <v>2979225.0768297082</v>
      </c>
      <c r="BN131" s="801">
        <f t="shared" si="89"/>
        <v>1.4556946537113624E-3</v>
      </c>
      <c r="BO131" s="787">
        <f t="shared" si="90"/>
        <v>7195.2530315409376</v>
      </c>
      <c r="BP131" s="802">
        <f t="shared" si="91"/>
        <v>2986420</v>
      </c>
      <c r="BQ131" s="803">
        <f t="shared" si="55"/>
        <v>164.75890985324946</v>
      </c>
      <c r="BR131" s="682"/>
      <c r="BS131" s="618"/>
    </row>
    <row r="132" spans="1:71" ht="15.75">
      <c r="A132" s="805" t="s">
        <v>3679</v>
      </c>
      <c r="B132" s="767" t="s">
        <v>3680</v>
      </c>
      <c r="C132" s="768">
        <v>11316</v>
      </c>
      <c r="D132" s="769">
        <v>0</v>
      </c>
      <c r="E132" s="770">
        <v>0</v>
      </c>
      <c r="F132" s="771">
        <v>0</v>
      </c>
      <c r="G132" s="770">
        <v>0</v>
      </c>
      <c r="H132" s="771">
        <v>0</v>
      </c>
      <c r="I132" s="770">
        <f t="shared" si="92"/>
        <v>0</v>
      </c>
      <c r="J132" s="772">
        <f t="shared" si="59"/>
        <v>0</v>
      </c>
      <c r="K132" s="773">
        <v>3749</v>
      </c>
      <c r="L132" s="774">
        <f t="shared" si="60"/>
        <v>1.3530295555213097E-3</v>
      </c>
      <c r="M132" s="775">
        <f t="shared" si="93"/>
        <v>113549.00047964157</v>
      </c>
      <c r="N132" s="806">
        <v>60.5</v>
      </c>
      <c r="O132" s="777">
        <f t="shared" si="61"/>
        <v>6.8803400821319276E-5</v>
      </c>
      <c r="P132" s="778">
        <f t="shared" si="62"/>
        <v>5774.1217558627895</v>
      </c>
      <c r="Q132" s="786">
        <f t="shared" si="48"/>
        <v>119323.12223550436</v>
      </c>
      <c r="R132" s="692">
        <f t="shared" si="49"/>
        <v>10.544637878711944</v>
      </c>
      <c r="S132" s="807">
        <v>56718434.729999989</v>
      </c>
      <c r="T132" s="782">
        <f t="shared" si="56"/>
        <v>2.2576761261056055</v>
      </c>
      <c r="U132" s="777">
        <f t="shared" si="63"/>
        <v>1.2272111176293546E-3</v>
      </c>
      <c r="V132" s="783">
        <f t="shared" si="50"/>
        <v>5012.2335392364785</v>
      </c>
      <c r="W132" s="778">
        <f t="shared" si="64"/>
        <v>489202.78738514317</v>
      </c>
      <c r="X132" s="784">
        <v>12883726.451300001</v>
      </c>
      <c r="Y132" s="782">
        <f t="shared" si="57"/>
        <v>9.9390387155479569</v>
      </c>
      <c r="Z132" s="782">
        <f t="shared" si="65"/>
        <v>1.5346029513245911E-3</v>
      </c>
      <c r="AA132" s="783">
        <f t="shared" si="51"/>
        <v>1138.5406902880877</v>
      </c>
      <c r="AB132" s="692">
        <f t="shared" si="66"/>
        <v>360603.6287425051</v>
      </c>
      <c r="AC132" s="786">
        <f t="shared" si="67"/>
        <v>849806.4161276482</v>
      </c>
      <c r="AD132" s="787">
        <f t="shared" si="52"/>
        <v>75.097774489894675</v>
      </c>
      <c r="AE132" s="788">
        <v>2536.2755999999999</v>
      </c>
      <c r="AF132" s="774">
        <f t="shared" si="68"/>
        <v>2.6379682084321046E-3</v>
      </c>
      <c r="AG132" s="692">
        <f t="shared" si="69"/>
        <v>332075.51026015112</v>
      </c>
      <c r="AH132" s="786">
        <f t="shared" si="70"/>
        <v>332075.51026015112</v>
      </c>
      <c r="AI132" s="692">
        <f t="shared" si="53"/>
        <v>29.345661917652095</v>
      </c>
      <c r="AJ132" s="789">
        <v>848</v>
      </c>
      <c r="AK132" s="777">
        <f t="shared" si="71"/>
        <v>1.1272308669840992E-3</v>
      </c>
      <c r="AL132" s="692">
        <f t="shared" si="72"/>
        <v>23649.878477068563</v>
      </c>
      <c r="AM132" s="790">
        <v>5.333333333333333</v>
      </c>
      <c r="AN132" s="791">
        <f t="shared" si="73"/>
        <v>7.7015643802647363E-4</v>
      </c>
      <c r="AO132" s="778">
        <f t="shared" si="74"/>
        <v>48474.824548736433</v>
      </c>
      <c r="AP132" s="768">
        <v>57</v>
      </c>
      <c r="AQ132" s="792">
        <f t="shared" si="75"/>
        <v>7.7042643779144421E-4</v>
      </c>
      <c r="AR132" s="793">
        <f t="shared" si="76"/>
        <v>64655.758329391094</v>
      </c>
      <c r="AS132" s="794">
        <v>15.58333333333333</v>
      </c>
      <c r="AT132" s="791">
        <f t="shared" si="77"/>
        <v>6.249686680146378E-4</v>
      </c>
      <c r="AU132" s="795">
        <f t="shared" si="78"/>
        <v>52448.645555871153</v>
      </c>
      <c r="AV132" s="796">
        <v>25</v>
      </c>
      <c r="AW132" s="791">
        <f t="shared" si="79"/>
        <v>3.1835778321108395E-4</v>
      </c>
      <c r="AX132" s="795">
        <f t="shared" si="80"/>
        <v>20037.925962713936</v>
      </c>
      <c r="AY132" s="786">
        <f t="shared" si="81"/>
        <v>209267.03287378117</v>
      </c>
      <c r="AZ132" s="787">
        <f t="shared" si="54"/>
        <v>18.493021639605971</v>
      </c>
      <c r="BA132" s="797">
        <f t="shared" si="58"/>
        <v>1510472.0814970848</v>
      </c>
      <c r="BB132" s="775">
        <v>1253953</v>
      </c>
      <c r="BC132" s="775">
        <f t="shared" si="82"/>
        <v>0</v>
      </c>
      <c r="BD132" s="775">
        <f t="shared" si="83"/>
        <v>256519.08149708482</v>
      </c>
      <c r="BE132" s="798">
        <f t="shared" si="84"/>
        <v>3.9914394032578189E-4</v>
      </c>
      <c r="BF132" s="775">
        <f t="shared" si="85"/>
        <v>-528.41951682683543</v>
      </c>
      <c r="BG132" s="797">
        <f t="shared" si="86"/>
        <v>1509943.6619802581</v>
      </c>
      <c r="BH132" s="799">
        <v>6</v>
      </c>
      <c r="BI132" s="692">
        <f t="shared" si="95"/>
        <v>0</v>
      </c>
      <c r="BJ132" s="800">
        <v>950</v>
      </c>
      <c r="BK132" s="778">
        <f t="shared" si="87"/>
        <v>0</v>
      </c>
      <c r="BL132" s="786">
        <f t="shared" si="94"/>
        <v>1509943.6619802581</v>
      </c>
      <c r="BM132" s="692">
        <f t="shared" si="88"/>
        <v>1509943.6619802581</v>
      </c>
      <c r="BN132" s="801">
        <f t="shared" si="89"/>
        <v>7.3778142284200985E-4</v>
      </c>
      <c r="BO132" s="787">
        <f t="shared" si="90"/>
        <v>3646.7290758980425</v>
      </c>
      <c r="BP132" s="802">
        <f t="shared" si="91"/>
        <v>1513590</v>
      </c>
      <c r="BQ132" s="803">
        <f t="shared" si="55"/>
        <v>133.75662778366913</v>
      </c>
      <c r="BR132" s="682"/>
      <c r="BS132" s="618"/>
    </row>
    <row r="133" spans="1:71" ht="15.75">
      <c r="A133" s="805" t="s">
        <v>3681</v>
      </c>
      <c r="B133" s="767" t="s">
        <v>3682</v>
      </c>
      <c r="C133" s="768">
        <v>26546</v>
      </c>
      <c r="D133" s="769">
        <v>0</v>
      </c>
      <c r="E133" s="770">
        <v>0</v>
      </c>
      <c r="F133" s="771">
        <v>0</v>
      </c>
      <c r="G133" s="770">
        <v>0</v>
      </c>
      <c r="H133" s="771">
        <v>0</v>
      </c>
      <c r="I133" s="770">
        <f t="shared" si="92"/>
        <v>0</v>
      </c>
      <c r="J133" s="772">
        <f t="shared" si="59"/>
        <v>0</v>
      </c>
      <c r="K133" s="773">
        <v>8803</v>
      </c>
      <c r="L133" s="774">
        <f t="shared" si="60"/>
        <v>3.1770389909986903E-3</v>
      </c>
      <c r="M133" s="775">
        <f t="shared" si="93"/>
        <v>266623.59328415175</v>
      </c>
      <c r="N133" s="806">
        <v>2610</v>
      </c>
      <c r="O133" s="777">
        <f t="shared" si="61"/>
        <v>2.9682128288205504E-3</v>
      </c>
      <c r="P133" s="778">
        <f t="shared" si="62"/>
        <v>249098.47574879139</v>
      </c>
      <c r="Q133" s="786">
        <f t="shared" si="48"/>
        <v>515722.06903294311</v>
      </c>
      <c r="R133" s="692">
        <f t="shared" si="49"/>
        <v>19.427486967262229</v>
      </c>
      <c r="S133" s="807">
        <v>119880366.41000001</v>
      </c>
      <c r="T133" s="782">
        <f t="shared" si="56"/>
        <v>5.878277962463895</v>
      </c>
      <c r="U133" s="777">
        <f t="shared" si="63"/>
        <v>3.1952714495391194E-3</v>
      </c>
      <c r="V133" s="783">
        <f t="shared" si="50"/>
        <v>4515.9484069162963</v>
      </c>
      <c r="W133" s="778">
        <f t="shared" si="64"/>
        <v>1273730.0673956298</v>
      </c>
      <c r="X133" s="784">
        <v>33957649.577500001</v>
      </c>
      <c r="Y133" s="782">
        <f t="shared" si="57"/>
        <v>20.752028622938635</v>
      </c>
      <c r="Z133" s="782">
        <f t="shared" si="65"/>
        <v>3.2041453184920294E-3</v>
      </c>
      <c r="AA133" s="783">
        <f t="shared" si="51"/>
        <v>1279.2002402433511</v>
      </c>
      <c r="AB133" s="692">
        <f t="shared" si="66"/>
        <v>752915.55243604234</v>
      </c>
      <c r="AC133" s="786">
        <f t="shared" si="67"/>
        <v>2026645.6198316722</v>
      </c>
      <c r="AD133" s="787">
        <f t="shared" si="52"/>
        <v>76.344670377144283</v>
      </c>
      <c r="AE133" s="788">
        <v>1910.261</v>
      </c>
      <c r="AF133" s="774">
        <f t="shared" si="68"/>
        <v>1.9868533955094314E-3</v>
      </c>
      <c r="AG133" s="692">
        <f t="shared" si="69"/>
        <v>250111.18519811748</v>
      </c>
      <c r="AH133" s="786">
        <f t="shared" si="70"/>
        <v>250111.18519811748</v>
      </c>
      <c r="AI133" s="692">
        <f t="shared" si="53"/>
        <v>9.4218031039748915</v>
      </c>
      <c r="AJ133" s="789">
        <v>1667</v>
      </c>
      <c r="AK133" s="777">
        <f t="shared" si="71"/>
        <v>2.2159125651680343E-3</v>
      </c>
      <c r="AL133" s="692">
        <f t="shared" si="72"/>
        <v>46490.975732633597</v>
      </c>
      <c r="AM133" s="790">
        <v>15.333333333333334</v>
      </c>
      <c r="AN133" s="791">
        <f t="shared" si="73"/>
        <v>2.214199759326112E-3</v>
      </c>
      <c r="AO133" s="778">
        <f t="shared" si="74"/>
        <v>139365.12057761726</v>
      </c>
      <c r="AP133" s="768">
        <v>221</v>
      </c>
      <c r="AQ133" s="792">
        <f t="shared" si="75"/>
        <v>2.9870919781036696E-3</v>
      </c>
      <c r="AR133" s="793">
        <f t="shared" si="76"/>
        <v>250682.85247009527</v>
      </c>
      <c r="AS133" s="794">
        <v>32.999999999999993</v>
      </c>
      <c r="AT133" s="791">
        <f t="shared" si="77"/>
        <v>1.3234630616780565E-3</v>
      </c>
      <c r="AU133" s="795">
        <f t="shared" si="78"/>
        <v>111067.72000066833</v>
      </c>
      <c r="AV133" s="796">
        <v>23</v>
      </c>
      <c r="AW133" s="791">
        <f t="shared" si="79"/>
        <v>2.9288916055419722E-4</v>
      </c>
      <c r="AX133" s="795">
        <f t="shared" si="80"/>
        <v>18434.891885696819</v>
      </c>
      <c r="AY133" s="786">
        <f t="shared" si="81"/>
        <v>566041.5606667113</v>
      </c>
      <c r="AZ133" s="787">
        <f t="shared" si="54"/>
        <v>21.323045305006829</v>
      </c>
      <c r="BA133" s="797">
        <f t="shared" si="58"/>
        <v>3358520.4347294439</v>
      </c>
      <c r="BB133" s="775">
        <v>3190160</v>
      </c>
      <c r="BC133" s="775">
        <f t="shared" si="82"/>
        <v>0</v>
      </c>
      <c r="BD133" s="775">
        <f t="shared" si="83"/>
        <v>168360.43472944386</v>
      </c>
      <c r="BE133" s="798">
        <f t="shared" si="84"/>
        <v>2.6196900020334561E-4</v>
      </c>
      <c r="BF133" s="775">
        <f t="shared" si="85"/>
        <v>-346.81606940612613</v>
      </c>
      <c r="BG133" s="797">
        <f t="shared" si="86"/>
        <v>3358173.6186600379</v>
      </c>
      <c r="BH133" s="799">
        <v>5</v>
      </c>
      <c r="BI133" s="692">
        <f t="shared" si="95"/>
        <v>0</v>
      </c>
      <c r="BJ133" s="800">
        <v>700</v>
      </c>
      <c r="BK133" s="778">
        <f t="shared" si="87"/>
        <v>0</v>
      </c>
      <c r="BL133" s="786">
        <f t="shared" si="94"/>
        <v>3358173.6186600379</v>
      </c>
      <c r="BM133" s="692">
        <f t="shared" si="88"/>
        <v>3358173.6186600379</v>
      </c>
      <c r="BN133" s="801">
        <f t="shared" si="89"/>
        <v>1.640854670879699E-3</v>
      </c>
      <c r="BO133" s="787">
        <f t="shared" si="90"/>
        <v>8110.4677515056992</v>
      </c>
      <c r="BP133" s="802">
        <f t="shared" si="91"/>
        <v>3366284</v>
      </c>
      <c r="BQ133" s="803">
        <f t="shared" si="55"/>
        <v>126.80946281925713</v>
      </c>
      <c r="BR133" s="682"/>
      <c r="BS133" s="618"/>
    </row>
    <row r="134" spans="1:71" ht="15.75">
      <c r="A134" s="766" t="s">
        <v>3683</v>
      </c>
      <c r="B134" s="767" t="s">
        <v>3684</v>
      </c>
      <c r="C134" s="768">
        <v>9161</v>
      </c>
      <c r="D134" s="769">
        <v>0</v>
      </c>
      <c r="E134" s="770">
        <v>0</v>
      </c>
      <c r="F134" s="771">
        <v>0</v>
      </c>
      <c r="G134" s="770">
        <v>0</v>
      </c>
      <c r="H134" s="771">
        <v>0</v>
      </c>
      <c r="I134" s="770">
        <f t="shared" si="92"/>
        <v>0</v>
      </c>
      <c r="J134" s="772">
        <f t="shared" si="59"/>
        <v>0</v>
      </c>
      <c r="K134" s="773">
        <v>2825</v>
      </c>
      <c r="L134" s="774">
        <f t="shared" si="60"/>
        <v>1.0195541462650573E-3</v>
      </c>
      <c r="M134" s="775">
        <f t="shared" si="93"/>
        <v>85563.063845021999</v>
      </c>
      <c r="N134" s="806">
        <v>1601</v>
      </c>
      <c r="O134" s="777">
        <f t="shared" si="61"/>
        <v>1.8207313176021845E-3</v>
      </c>
      <c r="P134" s="778">
        <f t="shared" si="62"/>
        <v>152799.48646506324</v>
      </c>
      <c r="Q134" s="786">
        <f t="shared" si="48"/>
        <v>238362.55031008524</v>
      </c>
      <c r="R134" s="692">
        <f t="shared" si="49"/>
        <v>26.019271947394962</v>
      </c>
      <c r="S134" s="807">
        <v>40499187.600000001</v>
      </c>
      <c r="T134" s="782">
        <f t="shared" si="56"/>
        <v>2.0722371477891075</v>
      </c>
      <c r="U134" s="777">
        <f t="shared" si="63"/>
        <v>1.1264115506762378E-3</v>
      </c>
      <c r="V134" s="783">
        <f t="shared" si="50"/>
        <v>4420.8260670232512</v>
      </c>
      <c r="W134" s="778">
        <f t="shared" si="64"/>
        <v>449021.08725848794</v>
      </c>
      <c r="X134" s="784">
        <v>8700847.8805</v>
      </c>
      <c r="Y134" s="782">
        <f t="shared" si="57"/>
        <v>9.6454876757570958</v>
      </c>
      <c r="Z134" s="782">
        <f t="shared" si="65"/>
        <v>1.4892782167179384E-3</v>
      </c>
      <c r="AA134" s="783">
        <f t="shared" si="51"/>
        <v>949.77053602226829</v>
      </c>
      <c r="AB134" s="692">
        <f t="shared" si="66"/>
        <v>349953.14500868821</v>
      </c>
      <c r="AC134" s="786">
        <f t="shared" si="67"/>
        <v>798974.23226717615</v>
      </c>
      <c r="AD134" s="787">
        <f t="shared" si="52"/>
        <v>87.214739904723956</v>
      </c>
      <c r="AE134" s="788">
        <v>1027.087</v>
      </c>
      <c r="AF134" s="774">
        <f t="shared" si="68"/>
        <v>1.0682683117299654E-3</v>
      </c>
      <c r="AG134" s="692">
        <f t="shared" si="69"/>
        <v>134476.88398160195</v>
      </c>
      <c r="AH134" s="786">
        <f t="shared" si="70"/>
        <v>134476.88398160195</v>
      </c>
      <c r="AI134" s="692">
        <f t="shared" si="53"/>
        <v>14.679279989259028</v>
      </c>
      <c r="AJ134" s="789">
        <v>605</v>
      </c>
      <c r="AK134" s="777">
        <f t="shared" si="71"/>
        <v>8.0421541807238199E-4</v>
      </c>
      <c r="AL134" s="692">
        <f t="shared" si="72"/>
        <v>16872.849621021793</v>
      </c>
      <c r="AM134" s="790">
        <v>4.333333333333333</v>
      </c>
      <c r="AN134" s="791">
        <f t="shared" si="73"/>
        <v>6.257521058965098E-4</v>
      </c>
      <c r="AO134" s="778">
        <f t="shared" si="74"/>
        <v>39385.794945848349</v>
      </c>
      <c r="AP134" s="768">
        <v>46</v>
      </c>
      <c r="AQ134" s="792">
        <f t="shared" si="75"/>
        <v>6.217476515509901E-4</v>
      </c>
      <c r="AR134" s="793">
        <f t="shared" si="76"/>
        <v>52178.33128336825</v>
      </c>
      <c r="AS134" s="794">
        <v>11.333333333333334</v>
      </c>
      <c r="AT134" s="791">
        <f t="shared" si="77"/>
        <v>4.5452266764700947E-4</v>
      </c>
      <c r="AU134" s="795">
        <f t="shared" si="78"/>
        <v>38144.469495179037</v>
      </c>
      <c r="AV134" s="796">
        <v>109</v>
      </c>
      <c r="AW134" s="791">
        <f t="shared" si="79"/>
        <v>1.3880399348003261E-3</v>
      </c>
      <c r="AX134" s="795">
        <f t="shared" si="80"/>
        <v>87365.357197432764</v>
      </c>
      <c r="AY134" s="786">
        <f t="shared" si="81"/>
        <v>233946.8025428502</v>
      </c>
      <c r="AZ134" s="787">
        <f t="shared" si="54"/>
        <v>25.537256035678443</v>
      </c>
      <c r="BA134" s="797">
        <f t="shared" si="58"/>
        <v>1405760.4691017135</v>
      </c>
      <c r="BB134" s="775">
        <v>983970</v>
      </c>
      <c r="BC134" s="775">
        <f t="shared" si="82"/>
        <v>0</v>
      </c>
      <c r="BD134" s="775">
        <f t="shared" si="83"/>
        <v>421790.4691017135</v>
      </c>
      <c r="BE134" s="798">
        <f t="shared" si="84"/>
        <v>6.5630638019819644E-4</v>
      </c>
      <c r="BF134" s="775">
        <f t="shared" si="85"/>
        <v>-868.87226706144531</v>
      </c>
      <c r="BG134" s="797">
        <f t="shared" si="86"/>
        <v>1404891.5968346521</v>
      </c>
      <c r="BH134" s="799">
        <v>7.8</v>
      </c>
      <c r="BI134" s="692">
        <f t="shared" si="95"/>
        <v>0</v>
      </c>
      <c r="BJ134" s="800">
        <v>1300</v>
      </c>
      <c r="BK134" s="778">
        <f t="shared" si="87"/>
        <v>0</v>
      </c>
      <c r="BL134" s="786">
        <f t="shared" si="94"/>
        <v>1404891.5968346521</v>
      </c>
      <c r="BM134" s="692">
        <f t="shared" si="88"/>
        <v>1404891.5968346521</v>
      </c>
      <c r="BN134" s="801">
        <f t="shared" si="89"/>
        <v>6.8645138712798194E-4</v>
      </c>
      <c r="BO134" s="787">
        <f t="shared" si="90"/>
        <v>3393.0133710702253</v>
      </c>
      <c r="BP134" s="802">
        <f t="shared" si="91"/>
        <v>1408285</v>
      </c>
      <c r="BQ134" s="803">
        <f t="shared" si="55"/>
        <v>153.72612160244515</v>
      </c>
      <c r="BR134" s="682"/>
      <c r="BS134" s="618"/>
    </row>
    <row r="135" spans="1:71" ht="15.75">
      <c r="A135" s="766" t="s">
        <v>3685</v>
      </c>
      <c r="B135" s="767" t="s">
        <v>3686</v>
      </c>
      <c r="C135" s="768">
        <v>6318</v>
      </c>
      <c r="D135" s="769">
        <v>0</v>
      </c>
      <c r="E135" s="770">
        <v>0</v>
      </c>
      <c r="F135" s="771">
        <v>0</v>
      </c>
      <c r="G135" s="770">
        <v>0</v>
      </c>
      <c r="H135" s="771">
        <v>0</v>
      </c>
      <c r="I135" s="770">
        <f t="shared" si="92"/>
        <v>0</v>
      </c>
      <c r="J135" s="772">
        <f t="shared" si="59"/>
        <v>0</v>
      </c>
      <c r="K135" s="773">
        <v>1878</v>
      </c>
      <c r="L135" s="774">
        <f t="shared" si="60"/>
        <v>6.7777794218965579E-4</v>
      </c>
      <c r="M135" s="775">
        <f t="shared" si="93"/>
        <v>56880.507575557982</v>
      </c>
      <c r="N135" s="806">
        <v>0</v>
      </c>
      <c r="O135" s="777">
        <f t="shared" si="61"/>
        <v>0</v>
      </c>
      <c r="P135" s="778">
        <f t="shared" si="62"/>
        <v>0</v>
      </c>
      <c r="Q135" s="786">
        <f t="shared" ref="Q135:Q198" si="96">M135+P135</f>
        <v>56880.507575557982</v>
      </c>
      <c r="R135" s="692">
        <f t="shared" ref="R135:R198" si="97">Q135/C135</f>
        <v>9.0029293408607121</v>
      </c>
      <c r="S135" s="807">
        <v>23227001.259999998</v>
      </c>
      <c r="T135" s="782">
        <f t="shared" si="56"/>
        <v>1.7185655415941543</v>
      </c>
      <c r="U135" s="777">
        <f t="shared" si="63"/>
        <v>9.3416531921124905E-4</v>
      </c>
      <c r="V135" s="783">
        <f t="shared" ref="V135:V198" si="98">S135/C135</f>
        <v>3676.3218201962645</v>
      </c>
      <c r="W135" s="778">
        <f t="shared" si="64"/>
        <v>372386.03160593123</v>
      </c>
      <c r="X135" s="784">
        <v>4405692.5521999998</v>
      </c>
      <c r="Y135" s="782">
        <f t="shared" si="57"/>
        <v>9.0603516988645136</v>
      </c>
      <c r="Z135" s="782">
        <f t="shared" si="65"/>
        <v>1.3989323168009918E-3</v>
      </c>
      <c r="AA135" s="783">
        <f t="shared" ref="AA135:AA198" si="99">X135/C135</f>
        <v>697.32392405824623</v>
      </c>
      <c r="AB135" s="692">
        <f t="shared" si="66"/>
        <v>328723.51077402342</v>
      </c>
      <c r="AC135" s="786">
        <f t="shared" si="67"/>
        <v>701109.5423799546</v>
      </c>
      <c r="AD135" s="787">
        <f t="shared" ref="AD135:AD198" si="100">AC135/C135</f>
        <v>110.97017131686525</v>
      </c>
      <c r="AE135" s="788">
        <v>2715.6662000000001</v>
      </c>
      <c r="AF135" s="774">
        <f t="shared" si="68"/>
        <v>2.8245515196824913E-3</v>
      </c>
      <c r="AG135" s="692">
        <f t="shared" si="69"/>
        <v>355563.18842528225</v>
      </c>
      <c r="AH135" s="786">
        <f t="shared" si="70"/>
        <v>355563.18842528225</v>
      </c>
      <c r="AI135" s="692">
        <f t="shared" ref="AI135:AI198" si="101">AH135/C135</f>
        <v>56.277807601342552</v>
      </c>
      <c r="AJ135" s="789">
        <v>703</v>
      </c>
      <c r="AK135" s="777">
        <f t="shared" si="71"/>
        <v>9.344850229832803E-4</v>
      </c>
      <c r="AL135" s="692">
        <f t="shared" si="72"/>
        <v>19605.972369550942</v>
      </c>
      <c r="AM135" s="790">
        <v>1.6666666666666667</v>
      </c>
      <c r="AN135" s="791">
        <f t="shared" si="73"/>
        <v>2.4067388688327304E-4</v>
      </c>
      <c r="AO135" s="778">
        <f t="shared" si="74"/>
        <v>15148.382671480136</v>
      </c>
      <c r="AP135" s="768">
        <v>53</v>
      </c>
      <c r="AQ135" s="792">
        <f t="shared" si="75"/>
        <v>7.1636142461309728E-4</v>
      </c>
      <c r="AR135" s="793">
        <f t="shared" si="76"/>
        <v>60118.512130837335</v>
      </c>
      <c r="AS135" s="794">
        <v>8.8888888888888875</v>
      </c>
      <c r="AT135" s="791">
        <f t="shared" si="77"/>
        <v>3.5648836678196815E-4</v>
      </c>
      <c r="AU135" s="795">
        <f t="shared" si="78"/>
        <v>29917.230976611001</v>
      </c>
      <c r="AV135" s="796">
        <v>18</v>
      </c>
      <c r="AW135" s="791">
        <f t="shared" si="79"/>
        <v>2.2921760391198044E-4</v>
      </c>
      <c r="AX135" s="795">
        <f t="shared" si="80"/>
        <v>14427.306693154034</v>
      </c>
      <c r="AY135" s="786">
        <f t="shared" si="81"/>
        <v>139217.40484163346</v>
      </c>
      <c r="AZ135" s="787">
        <f t="shared" ref="AZ135:AZ198" si="102">AY135/C135</f>
        <v>22.035043501366484</v>
      </c>
      <c r="BA135" s="797">
        <f t="shared" si="58"/>
        <v>1252770.6432224284</v>
      </c>
      <c r="BB135" s="775">
        <v>794999</v>
      </c>
      <c r="BC135" s="775">
        <f t="shared" si="82"/>
        <v>0</v>
      </c>
      <c r="BD135" s="775">
        <f t="shared" si="83"/>
        <v>457771.64322242839</v>
      </c>
      <c r="BE135" s="798">
        <f t="shared" si="84"/>
        <v>7.1229312212894597E-4</v>
      </c>
      <c r="BF135" s="775">
        <f t="shared" si="85"/>
        <v>-942.9921123874409</v>
      </c>
      <c r="BG135" s="797">
        <f t="shared" si="86"/>
        <v>1251827.651110041</v>
      </c>
      <c r="BH135" s="799">
        <v>7.5</v>
      </c>
      <c r="BI135" s="692">
        <f t="shared" si="95"/>
        <v>0</v>
      </c>
      <c r="BJ135" s="800">
        <v>1200</v>
      </c>
      <c r="BK135" s="778">
        <f t="shared" si="87"/>
        <v>0</v>
      </c>
      <c r="BL135" s="786">
        <f t="shared" si="94"/>
        <v>1251827.651110041</v>
      </c>
      <c r="BM135" s="692">
        <f t="shared" si="88"/>
        <v>1251827.651110041</v>
      </c>
      <c r="BN135" s="801">
        <f t="shared" si="89"/>
        <v>6.1166201683160047E-4</v>
      </c>
      <c r="BO135" s="787">
        <f t="shared" si="90"/>
        <v>3023.3421340562727</v>
      </c>
      <c r="BP135" s="802">
        <f t="shared" si="91"/>
        <v>1254851</v>
      </c>
      <c r="BQ135" s="803">
        <f t="shared" ref="BQ135:BQ198" si="103">BP135/C135</f>
        <v>198.61522633744855</v>
      </c>
      <c r="BR135" s="682"/>
      <c r="BS135" s="618"/>
    </row>
    <row r="136" spans="1:71" ht="15.75">
      <c r="A136" s="805" t="s">
        <v>3687</v>
      </c>
      <c r="B136" s="767" t="s">
        <v>3688</v>
      </c>
      <c r="C136" s="768">
        <v>18132</v>
      </c>
      <c r="D136" s="769">
        <v>0</v>
      </c>
      <c r="E136" s="770">
        <v>0</v>
      </c>
      <c r="F136" s="771">
        <v>0</v>
      </c>
      <c r="G136" s="770">
        <v>0</v>
      </c>
      <c r="H136" s="771">
        <v>0</v>
      </c>
      <c r="I136" s="770">
        <f t="shared" si="92"/>
        <v>0</v>
      </c>
      <c r="J136" s="772">
        <f t="shared" si="59"/>
        <v>0</v>
      </c>
      <c r="K136" s="773">
        <v>5625</v>
      </c>
      <c r="L136" s="774">
        <f t="shared" si="60"/>
        <v>2.0300856894658222E-3</v>
      </c>
      <c r="M136" s="775">
        <f t="shared" si="93"/>
        <v>170368.93243477831</v>
      </c>
      <c r="N136" s="806">
        <v>1047</v>
      </c>
      <c r="O136" s="777">
        <f t="shared" si="61"/>
        <v>1.190696870411922E-3</v>
      </c>
      <c r="P136" s="778">
        <f t="shared" si="62"/>
        <v>99925.710386584135</v>
      </c>
      <c r="Q136" s="786">
        <f t="shared" si="96"/>
        <v>270294.64282136247</v>
      </c>
      <c r="R136" s="692">
        <f t="shared" si="97"/>
        <v>14.907050674021756</v>
      </c>
      <c r="S136" s="807">
        <v>66911188.220000014</v>
      </c>
      <c r="T136" s="782">
        <f t="shared" ref="T136:T199" si="104">C136*C136/S136</f>
        <v>4.9135194389169365</v>
      </c>
      <c r="U136" s="777">
        <f t="shared" si="63"/>
        <v>2.6708550497578126E-3</v>
      </c>
      <c r="V136" s="783">
        <f t="shared" si="98"/>
        <v>3690.2265729097735</v>
      </c>
      <c r="W136" s="778">
        <f t="shared" si="64"/>
        <v>1064682.1205198914</v>
      </c>
      <c r="X136" s="784">
        <v>15484025.0919</v>
      </c>
      <c r="Y136" s="782">
        <f t="shared" ref="Y136:Y199" si="105">C136*C136/X136</f>
        <v>21.232813951715034</v>
      </c>
      <c r="Z136" s="782">
        <f t="shared" si="65"/>
        <v>3.2783793169308966E-3</v>
      </c>
      <c r="AA136" s="783">
        <f t="shared" si="99"/>
        <v>853.96123383520853</v>
      </c>
      <c r="AB136" s="692">
        <f t="shared" si="66"/>
        <v>770359.18447781261</v>
      </c>
      <c r="AC136" s="786">
        <f t="shared" si="67"/>
        <v>1835041.304997704</v>
      </c>
      <c r="AD136" s="787">
        <f t="shared" si="100"/>
        <v>101.20457230298389</v>
      </c>
      <c r="AE136" s="788">
        <v>5543.2572</v>
      </c>
      <c r="AF136" s="774">
        <f t="shared" si="68"/>
        <v>5.7655154923866971E-3</v>
      </c>
      <c r="AG136" s="692">
        <f t="shared" si="69"/>
        <v>725780.73265904409</v>
      </c>
      <c r="AH136" s="786">
        <f t="shared" si="70"/>
        <v>725780.73265904409</v>
      </c>
      <c r="AI136" s="692">
        <f t="shared" si="101"/>
        <v>40.027615963988751</v>
      </c>
      <c r="AJ136" s="789">
        <v>1656</v>
      </c>
      <c r="AK136" s="777">
        <f t="shared" si="71"/>
        <v>2.2012904666576277E-3</v>
      </c>
      <c r="AL136" s="692">
        <f t="shared" si="72"/>
        <v>46184.196648615027</v>
      </c>
      <c r="AM136" s="790">
        <v>10.333333333333334</v>
      </c>
      <c r="AN136" s="791">
        <f t="shared" si="73"/>
        <v>1.4921780986762929E-3</v>
      </c>
      <c r="AO136" s="778">
        <f t="shared" si="74"/>
        <v>93919.972563176852</v>
      </c>
      <c r="AP136" s="768">
        <v>168</v>
      </c>
      <c r="AQ136" s="792">
        <f t="shared" si="75"/>
        <v>2.2707305534905723E-3</v>
      </c>
      <c r="AR136" s="793">
        <f t="shared" si="76"/>
        <v>190564.34033925793</v>
      </c>
      <c r="AS136" s="794">
        <v>28.777777777777782</v>
      </c>
      <c r="AT136" s="791">
        <f t="shared" si="77"/>
        <v>1.1541310874566221E-3</v>
      </c>
      <c r="AU136" s="795">
        <f t="shared" si="78"/>
        <v>96857.035286778133</v>
      </c>
      <c r="AV136" s="796">
        <v>38</v>
      </c>
      <c r="AW136" s="791">
        <f t="shared" si="79"/>
        <v>4.839038304808476E-4</v>
      </c>
      <c r="AX136" s="795">
        <f t="shared" si="80"/>
        <v>30457.647463325186</v>
      </c>
      <c r="AY136" s="786">
        <f t="shared" si="81"/>
        <v>457983.19230115315</v>
      </c>
      <c r="AZ136" s="787">
        <f t="shared" si="102"/>
        <v>25.258283272730704</v>
      </c>
      <c r="BA136" s="797">
        <f t="shared" ref="BA136:BA199" si="106">I136+Q136+AC136+AH136+AY136</f>
        <v>3289099.8727792636</v>
      </c>
      <c r="BB136" s="775">
        <v>2479983</v>
      </c>
      <c r="BC136" s="775">
        <f t="shared" si="82"/>
        <v>0</v>
      </c>
      <c r="BD136" s="775">
        <f t="shared" si="83"/>
        <v>809116.87277926365</v>
      </c>
      <c r="BE136" s="798">
        <f t="shared" si="84"/>
        <v>1.2589866410731704E-3</v>
      </c>
      <c r="BF136" s="775">
        <f t="shared" si="85"/>
        <v>-1666.7498748053854</v>
      </c>
      <c r="BG136" s="797">
        <f t="shared" si="86"/>
        <v>3287433.1229044581</v>
      </c>
      <c r="BH136" s="799">
        <v>7.8</v>
      </c>
      <c r="BI136" s="692">
        <f t="shared" si="95"/>
        <v>0</v>
      </c>
      <c r="BJ136" s="800">
        <v>925</v>
      </c>
      <c r="BK136" s="778">
        <f t="shared" si="87"/>
        <v>0</v>
      </c>
      <c r="BL136" s="786">
        <f t="shared" si="94"/>
        <v>3287433.1229044581</v>
      </c>
      <c r="BM136" s="692">
        <f t="shared" si="88"/>
        <v>3287433.1229044581</v>
      </c>
      <c r="BN136" s="801">
        <f t="shared" si="89"/>
        <v>1.6062897894703796E-3</v>
      </c>
      <c r="BO136" s="787">
        <f t="shared" si="90"/>
        <v>7939.6193753636435</v>
      </c>
      <c r="BP136" s="802">
        <f t="shared" si="91"/>
        <v>3295373</v>
      </c>
      <c r="BQ136" s="803">
        <f t="shared" si="103"/>
        <v>181.74349216854179</v>
      </c>
      <c r="BR136" s="682"/>
      <c r="BS136" s="618"/>
    </row>
    <row r="137" spans="1:71" ht="15.75">
      <c r="A137" s="805" t="s">
        <v>3689</v>
      </c>
      <c r="B137" s="767" t="s">
        <v>3690</v>
      </c>
      <c r="C137" s="768">
        <v>12774</v>
      </c>
      <c r="D137" s="769">
        <v>0</v>
      </c>
      <c r="E137" s="770">
        <v>0</v>
      </c>
      <c r="F137" s="771">
        <v>0</v>
      </c>
      <c r="G137" s="770">
        <v>0</v>
      </c>
      <c r="H137" s="771">
        <v>0</v>
      </c>
      <c r="I137" s="770">
        <f t="shared" si="92"/>
        <v>0</v>
      </c>
      <c r="J137" s="772">
        <f t="shared" ref="J137:J200" si="107">I137/C137</f>
        <v>0</v>
      </c>
      <c r="K137" s="773">
        <v>3743</v>
      </c>
      <c r="L137" s="774">
        <f t="shared" ref="L137:L200" si="108">K137/$K$7</f>
        <v>1.3508641307858795E-3</v>
      </c>
      <c r="M137" s="775">
        <f t="shared" si="93"/>
        <v>113367.27361837782</v>
      </c>
      <c r="N137" s="806">
        <v>2145</v>
      </c>
      <c r="O137" s="777">
        <f t="shared" ref="O137:O200" si="109">N137/$N$7</f>
        <v>2.4393933018467743E-3</v>
      </c>
      <c r="P137" s="778">
        <f t="shared" ref="P137:P200" si="110">$P$7*O137</f>
        <v>204718.86225331706</v>
      </c>
      <c r="Q137" s="786">
        <f t="shared" si="96"/>
        <v>318086.13587169489</v>
      </c>
      <c r="R137" s="692">
        <f t="shared" si="97"/>
        <v>24.901059642374737</v>
      </c>
      <c r="S137" s="807">
        <v>74895626.929999992</v>
      </c>
      <c r="T137" s="782">
        <f t="shared" si="104"/>
        <v>2.1786996476110545</v>
      </c>
      <c r="U137" s="777">
        <f t="shared" ref="U137:U200" si="111">T137/$T$7</f>
        <v>1.1842816596264864E-3</v>
      </c>
      <c r="V137" s="783">
        <f t="shared" si="98"/>
        <v>5863.1303374041017</v>
      </c>
      <c r="W137" s="778">
        <f t="shared" ref="W137:W200" si="112">$W$7*U137</f>
        <v>472089.83084959176</v>
      </c>
      <c r="X137" s="784">
        <v>17142657.300299998</v>
      </c>
      <c r="Y137" s="782">
        <f t="shared" si="105"/>
        <v>9.5186570635781429</v>
      </c>
      <c r="Z137" s="782">
        <f t="shared" ref="Z137:Z200" si="113">Y137/$Y$7</f>
        <v>1.4696953740166968E-3</v>
      </c>
      <c r="AA137" s="783">
        <f t="shared" si="99"/>
        <v>1341.9960310239549</v>
      </c>
      <c r="AB137" s="692">
        <f t="shared" ref="AB137:AB200" si="114">$AB$7*Z137</f>
        <v>345351.53510492371</v>
      </c>
      <c r="AC137" s="786">
        <f t="shared" ref="AC137:AC200" si="115">W137+AB137</f>
        <v>817441.36595451552</v>
      </c>
      <c r="AD137" s="787">
        <f t="shared" si="100"/>
        <v>63.992591667020157</v>
      </c>
      <c r="AE137" s="788">
        <v>860.61779999999999</v>
      </c>
      <c r="AF137" s="774">
        <f t="shared" ref="AF137:AF200" si="116">AE137/$AE$7</f>
        <v>8.9512448726423088E-4</v>
      </c>
      <c r="AG137" s="692">
        <f t="shared" ref="AG137:AG200" si="117">$AG$7*AF137</f>
        <v>112681.00953775241</v>
      </c>
      <c r="AH137" s="786">
        <f t="shared" ref="AH137:AH200" si="118">AG137</f>
        <v>112681.00953775241</v>
      </c>
      <c r="AI137" s="692">
        <f t="shared" si="101"/>
        <v>8.8211217737398169</v>
      </c>
      <c r="AJ137" s="789">
        <v>871</v>
      </c>
      <c r="AK137" s="777">
        <f t="shared" ref="AK137:AK200" si="119">AJ137/$AJ$7</f>
        <v>1.1578043456876774E-3</v>
      </c>
      <c r="AL137" s="692">
        <f t="shared" ref="AL137:AL200" si="120">AK137*$AL$7</f>
        <v>24291.325652743773</v>
      </c>
      <c r="AM137" s="790">
        <v>2.6666666666666665</v>
      </c>
      <c r="AN137" s="791">
        <f t="shared" ref="AN137:AN200" si="121">AM137/$AM$7</f>
        <v>3.8507821901323682E-4</v>
      </c>
      <c r="AO137" s="778">
        <f t="shared" ref="AO137:AO200" si="122">AN137*$AO$7</f>
        <v>24237.412274368216</v>
      </c>
      <c r="AP137" s="768">
        <v>58</v>
      </c>
      <c r="AQ137" s="792">
        <f t="shared" ref="AQ137:AQ200" si="123">AP137/$AP$7</f>
        <v>7.83942691086031E-4</v>
      </c>
      <c r="AR137" s="793">
        <f t="shared" ref="AR137:AR200" si="124">AQ137*$AR$7</f>
        <v>65790.069879029543</v>
      </c>
      <c r="AS137" s="794">
        <v>21.916666666666668</v>
      </c>
      <c r="AT137" s="791">
        <f t="shared" ref="AT137:AT200" si="125">AS137/$AS$7</f>
        <v>8.789666293467903E-4</v>
      </c>
      <c r="AU137" s="795">
        <f t="shared" ref="AU137:AU200" si="126">$AU$7*AT137</f>
        <v>73764.67262670651</v>
      </c>
      <c r="AV137" s="796">
        <v>1</v>
      </c>
      <c r="AW137" s="791">
        <f t="shared" ref="AW137:AW200" si="127">AV137/$AV$7</f>
        <v>1.2734311328443357E-5</v>
      </c>
      <c r="AX137" s="795">
        <f t="shared" ref="AX137:AX200" si="128">AW137*$AX$7</f>
        <v>801.51703850855745</v>
      </c>
      <c r="AY137" s="786">
        <f t="shared" ref="AY137:AY200" si="129">AX137+AU137+AR137+AO137+AL137</f>
        <v>188884.99747135662</v>
      </c>
      <c r="AZ137" s="787">
        <f t="shared" si="102"/>
        <v>14.78667586279604</v>
      </c>
      <c r="BA137" s="797">
        <f t="shared" si="106"/>
        <v>1437093.5088353194</v>
      </c>
      <c r="BB137" s="775">
        <v>1330456</v>
      </c>
      <c r="BC137" s="775">
        <f t="shared" ref="BC137:BC200" si="130">IF(BA137&gt;BB137,0,BB137-BA137)</f>
        <v>0</v>
      </c>
      <c r="BD137" s="775">
        <f t="shared" ref="BD137:BD200" si="131">IF(BA137&lt;BB137,0,BA137-BB137)</f>
        <v>106637.50883531943</v>
      </c>
      <c r="BE137" s="798">
        <f t="shared" ref="BE137:BE200" si="132">BD137/$BD$7</f>
        <v>1.6592806747414807E-4</v>
      </c>
      <c r="BF137" s="775">
        <f t="shared" ref="BF137:BF200" si="133">$BF$7*BE137</f>
        <v>-219.66919796185715</v>
      </c>
      <c r="BG137" s="797">
        <f t="shared" ref="BG137:BG200" si="134">BA137+BC137+BF137</f>
        <v>1436873.8396373575</v>
      </c>
      <c r="BH137" s="799">
        <v>5.5</v>
      </c>
      <c r="BI137" s="692">
        <f t="shared" si="95"/>
        <v>0</v>
      </c>
      <c r="BJ137" s="800">
        <v>815</v>
      </c>
      <c r="BK137" s="778">
        <f t="shared" ref="BK137:BK200" si="135">IF(BJ137&gt;=700,0,BG137*(700-BJ137)/700*-0.25)</f>
        <v>0</v>
      </c>
      <c r="BL137" s="786">
        <f t="shared" si="94"/>
        <v>1436873.8396373575</v>
      </c>
      <c r="BM137" s="692">
        <f t="shared" ref="BM137:BM200" si="136">IF(BH137&lt;5,0,IF(BJ137&lt;700,0,IF(BC137&lt;&gt;0,0,BL137)))</f>
        <v>1436873.8396373575</v>
      </c>
      <c r="BN137" s="801">
        <f t="shared" ref="BN137:BN200" si="137">BM137/$BM$7</f>
        <v>7.0207839705874533E-4</v>
      </c>
      <c r="BO137" s="787">
        <f t="shared" ref="BO137:BO200" si="138">$BO$7*BN137</f>
        <v>3470.2550441721864</v>
      </c>
      <c r="BP137" s="802">
        <f t="shared" ref="BP137:BP200" si="139">ROUND(BG137+BI137+BO137,0)</f>
        <v>1440344</v>
      </c>
      <c r="BQ137" s="803">
        <f t="shared" si="103"/>
        <v>112.75591044308752</v>
      </c>
      <c r="BR137" s="682"/>
      <c r="BS137" s="618"/>
    </row>
    <row r="138" spans="1:71" ht="15.75">
      <c r="A138" s="766" t="s">
        <v>3691</v>
      </c>
      <c r="B138" s="767" t="s">
        <v>3692</v>
      </c>
      <c r="C138" s="768">
        <v>12252</v>
      </c>
      <c r="D138" s="769">
        <v>0</v>
      </c>
      <c r="E138" s="770">
        <v>0</v>
      </c>
      <c r="F138" s="771">
        <v>0</v>
      </c>
      <c r="G138" s="770">
        <v>0</v>
      </c>
      <c r="H138" s="771">
        <v>0</v>
      </c>
      <c r="I138" s="770">
        <f t="shared" ref="I138:I201" si="140">SUM(D138:H138)</f>
        <v>0</v>
      </c>
      <c r="J138" s="772">
        <f t="shared" si="107"/>
        <v>0</v>
      </c>
      <c r="K138" s="773">
        <v>2855</v>
      </c>
      <c r="L138" s="774">
        <f t="shared" si="108"/>
        <v>1.0303812699422085E-3</v>
      </c>
      <c r="M138" s="775">
        <f t="shared" ref="M138:M201" si="141">$M$7*L138</f>
        <v>86471.698151340825</v>
      </c>
      <c r="N138" s="806">
        <v>372.5</v>
      </c>
      <c r="O138" s="777">
        <f t="shared" si="109"/>
        <v>4.2362424472630465E-4</v>
      </c>
      <c r="P138" s="778">
        <f t="shared" si="110"/>
        <v>35551.410810890724</v>
      </c>
      <c r="Q138" s="786">
        <f t="shared" si="96"/>
        <v>122023.10896223155</v>
      </c>
      <c r="R138" s="692">
        <f t="shared" si="97"/>
        <v>9.9594440876780563</v>
      </c>
      <c r="S138" s="807">
        <v>25808685.859999999</v>
      </c>
      <c r="T138" s="782">
        <f t="shared" si="104"/>
        <v>5.8163172202677975</v>
      </c>
      <c r="U138" s="777">
        <f t="shared" si="111"/>
        <v>3.1615912813341336E-3</v>
      </c>
      <c r="V138" s="783">
        <f t="shared" si="98"/>
        <v>2106.4875824355208</v>
      </c>
      <c r="W138" s="778">
        <f t="shared" si="112"/>
        <v>1260304.1523849284</v>
      </c>
      <c r="X138" s="784">
        <v>7925275.8440000005</v>
      </c>
      <c r="Y138" s="782">
        <f t="shared" si="105"/>
        <v>18.94085542948579</v>
      </c>
      <c r="Z138" s="782">
        <f t="shared" si="113"/>
        <v>2.9244973759113484E-3</v>
      </c>
      <c r="AA138" s="783">
        <f t="shared" si="99"/>
        <v>646.8556842964415</v>
      </c>
      <c r="AB138" s="692">
        <f t="shared" si="114"/>
        <v>687203.4001311562</v>
      </c>
      <c r="AC138" s="786">
        <f t="shared" si="115"/>
        <v>1947507.5525160846</v>
      </c>
      <c r="AD138" s="787">
        <f t="shared" si="100"/>
        <v>158.95425665328801</v>
      </c>
      <c r="AE138" s="788">
        <v>4170.8887000000004</v>
      </c>
      <c r="AF138" s="774">
        <f t="shared" si="116"/>
        <v>4.3381215320246391E-3</v>
      </c>
      <c r="AG138" s="692">
        <f t="shared" si="117"/>
        <v>546096.0131031496</v>
      </c>
      <c r="AH138" s="786">
        <f t="shared" si="118"/>
        <v>546096.0131031496</v>
      </c>
      <c r="AI138" s="692">
        <f t="shared" si="101"/>
        <v>44.571989316287102</v>
      </c>
      <c r="AJ138" s="789">
        <v>1435</v>
      </c>
      <c r="AK138" s="777">
        <f t="shared" si="119"/>
        <v>1.9075192147667243E-3</v>
      </c>
      <c r="AL138" s="692">
        <f t="shared" si="120"/>
        <v>40020.725960605407</v>
      </c>
      <c r="AM138" s="790">
        <v>3</v>
      </c>
      <c r="AN138" s="791">
        <f t="shared" si="121"/>
        <v>4.3321299638989148E-4</v>
      </c>
      <c r="AO138" s="778">
        <f t="shared" si="122"/>
        <v>27267.088808664244</v>
      </c>
      <c r="AP138" s="768">
        <v>131</v>
      </c>
      <c r="AQ138" s="792">
        <f t="shared" si="123"/>
        <v>1.7706291815908629E-3</v>
      </c>
      <c r="AR138" s="793">
        <f t="shared" si="124"/>
        <v>148594.81300263567</v>
      </c>
      <c r="AS138" s="794">
        <v>43.888888888888886</v>
      </c>
      <c r="AT138" s="791">
        <f t="shared" si="125"/>
        <v>1.7601613109859678E-3</v>
      </c>
      <c r="AU138" s="795">
        <f t="shared" si="126"/>
        <v>147716.32794701683</v>
      </c>
      <c r="AV138" s="796">
        <v>35</v>
      </c>
      <c r="AW138" s="791">
        <f t="shared" si="127"/>
        <v>4.4570089649551752E-4</v>
      </c>
      <c r="AX138" s="795">
        <f t="shared" si="128"/>
        <v>28053.09634779951</v>
      </c>
      <c r="AY138" s="786">
        <f t="shared" si="129"/>
        <v>391652.05206672166</v>
      </c>
      <c r="AZ138" s="787">
        <f t="shared" si="102"/>
        <v>31.966377086738628</v>
      </c>
      <c r="BA138" s="797">
        <f t="shared" si="106"/>
        <v>3007278.7266481873</v>
      </c>
      <c r="BB138" s="775">
        <v>1816615</v>
      </c>
      <c r="BC138" s="775">
        <f t="shared" si="130"/>
        <v>0</v>
      </c>
      <c r="BD138" s="775">
        <f t="shared" si="131"/>
        <v>1190663.7266481873</v>
      </c>
      <c r="BE138" s="798">
        <f t="shared" si="132"/>
        <v>1.8526739168241487E-3</v>
      </c>
      <c r="BF138" s="775">
        <f t="shared" si="133"/>
        <v>-2452.7218305427486</v>
      </c>
      <c r="BG138" s="797">
        <f t="shared" si="134"/>
        <v>3004826.0048176446</v>
      </c>
      <c r="BH138" s="799">
        <v>6</v>
      </c>
      <c r="BI138" s="692">
        <f t="shared" si="95"/>
        <v>0</v>
      </c>
      <c r="BJ138" s="800">
        <v>1350</v>
      </c>
      <c r="BK138" s="778">
        <f t="shared" si="135"/>
        <v>0</v>
      </c>
      <c r="BL138" s="786">
        <f t="shared" ref="BL138:BL201" si="142">BG138+BI138+BK138</f>
        <v>3004826.0048176446</v>
      </c>
      <c r="BM138" s="692">
        <f t="shared" si="136"/>
        <v>3004826.0048176446</v>
      </c>
      <c r="BN138" s="801">
        <f t="shared" si="137"/>
        <v>1.4682036562341748E-3</v>
      </c>
      <c r="BO138" s="787">
        <f t="shared" si="138"/>
        <v>7257.0829201747565</v>
      </c>
      <c r="BP138" s="802">
        <f t="shared" si="139"/>
        <v>3012083</v>
      </c>
      <c r="BQ138" s="803">
        <f t="shared" si="103"/>
        <v>245.84418870388507</v>
      </c>
      <c r="BR138" s="682"/>
      <c r="BS138" s="618"/>
    </row>
    <row r="139" spans="1:71" ht="15.75">
      <c r="A139" s="766" t="s">
        <v>3693</v>
      </c>
      <c r="B139" s="767" t="s">
        <v>3694</v>
      </c>
      <c r="C139" s="768">
        <v>6446</v>
      </c>
      <c r="D139" s="769">
        <v>0</v>
      </c>
      <c r="E139" s="770">
        <v>0</v>
      </c>
      <c r="F139" s="771">
        <v>0</v>
      </c>
      <c r="G139" s="770">
        <v>0</v>
      </c>
      <c r="H139" s="771">
        <v>0</v>
      </c>
      <c r="I139" s="770">
        <f t="shared" si="140"/>
        <v>0</v>
      </c>
      <c r="J139" s="772">
        <f t="shared" si="107"/>
        <v>0</v>
      </c>
      <c r="K139" s="773">
        <v>2447</v>
      </c>
      <c r="L139" s="774">
        <f t="shared" si="108"/>
        <v>8.8313238793295411E-4</v>
      </c>
      <c r="M139" s="775">
        <f t="shared" si="141"/>
        <v>74114.271585404887</v>
      </c>
      <c r="N139" s="806">
        <v>124</v>
      </c>
      <c r="O139" s="777">
        <f t="shared" si="109"/>
        <v>1.4101854052634032E-4</v>
      </c>
      <c r="P139" s="778">
        <f t="shared" si="110"/>
        <v>11834.563598793153</v>
      </c>
      <c r="Q139" s="786">
        <f t="shared" si="96"/>
        <v>85948.835184198048</v>
      </c>
      <c r="R139" s="692">
        <f t="shared" si="97"/>
        <v>13.333669746229917</v>
      </c>
      <c r="S139" s="807">
        <v>21494155.880000006</v>
      </c>
      <c r="T139" s="782">
        <f t="shared" si="104"/>
        <v>1.9331262056521379</v>
      </c>
      <c r="U139" s="777">
        <f t="shared" si="111"/>
        <v>1.0507946396408783E-3</v>
      </c>
      <c r="V139" s="783">
        <f t="shared" si="98"/>
        <v>3334.495172199815</v>
      </c>
      <c r="W139" s="778">
        <f t="shared" si="112"/>
        <v>418877.94145370502</v>
      </c>
      <c r="X139" s="784">
        <v>10093040.435900001</v>
      </c>
      <c r="Y139" s="782">
        <f t="shared" si="105"/>
        <v>4.1167888173921581</v>
      </c>
      <c r="Z139" s="782">
        <f t="shared" si="113"/>
        <v>6.3563856122898462E-4</v>
      </c>
      <c r="AA139" s="783">
        <f t="shared" si="99"/>
        <v>1565.7834992088117</v>
      </c>
      <c r="AB139" s="692">
        <f t="shared" si="114"/>
        <v>149363.43733080363</v>
      </c>
      <c r="AC139" s="786">
        <f t="shared" si="115"/>
        <v>568241.37878450868</v>
      </c>
      <c r="AD139" s="787">
        <f t="shared" si="100"/>
        <v>88.154107785372119</v>
      </c>
      <c r="AE139" s="788">
        <v>2399.0187000000001</v>
      </c>
      <c r="AF139" s="774">
        <f t="shared" si="116"/>
        <v>2.4952079584861036E-3</v>
      </c>
      <c r="AG139" s="692">
        <f t="shared" si="117"/>
        <v>314104.41315058368</v>
      </c>
      <c r="AH139" s="786">
        <f t="shared" si="118"/>
        <v>314104.41315058368</v>
      </c>
      <c r="AI139" s="692">
        <f t="shared" si="101"/>
        <v>48.728577901114441</v>
      </c>
      <c r="AJ139" s="789">
        <v>773</v>
      </c>
      <c r="AK139" s="777">
        <f t="shared" si="119"/>
        <v>1.027534740776779E-3</v>
      </c>
      <c r="AL139" s="692">
        <f t="shared" si="120"/>
        <v>21558.202904214621</v>
      </c>
      <c r="AM139" s="790">
        <v>6.333333333333333</v>
      </c>
      <c r="AN139" s="791">
        <f t="shared" si="121"/>
        <v>9.1456077015643746E-4</v>
      </c>
      <c r="AO139" s="778">
        <f t="shared" si="122"/>
        <v>57563.85415162451</v>
      </c>
      <c r="AP139" s="768">
        <v>55</v>
      </c>
      <c r="AQ139" s="792">
        <f t="shared" si="123"/>
        <v>7.4339393120227075E-4</v>
      </c>
      <c r="AR139" s="793">
        <f t="shared" si="124"/>
        <v>62387.135230114211</v>
      </c>
      <c r="AS139" s="794">
        <v>16.777777777777779</v>
      </c>
      <c r="AT139" s="791">
        <f t="shared" si="125"/>
        <v>6.7287179230096498E-4</v>
      </c>
      <c r="AU139" s="795">
        <f t="shared" si="126"/>
        <v>56468.773468353276</v>
      </c>
      <c r="AV139" s="796">
        <v>18</v>
      </c>
      <c r="AW139" s="791">
        <f t="shared" si="127"/>
        <v>2.2921760391198044E-4</v>
      </c>
      <c r="AX139" s="795">
        <f t="shared" si="128"/>
        <v>14427.306693154034</v>
      </c>
      <c r="AY139" s="786">
        <f t="shared" si="129"/>
        <v>212405.27244746065</v>
      </c>
      <c r="AZ139" s="787">
        <f t="shared" si="102"/>
        <v>32.951485021324956</v>
      </c>
      <c r="BA139" s="797">
        <f t="shared" si="106"/>
        <v>1180699.899566751</v>
      </c>
      <c r="BB139" s="775">
        <v>708974</v>
      </c>
      <c r="BC139" s="775">
        <f t="shared" si="130"/>
        <v>0</v>
      </c>
      <c r="BD139" s="775">
        <f t="shared" si="131"/>
        <v>471725.89956675097</v>
      </c>
      <c r="BE139" s="798">
        <f t="shared" si="132"/>
        <v>7.3400595857402834E-4</v>
      </c>
      <c r="BF139" s="775">
        <f t="shared" si="133"/>
        <v>-971.73734783780469</v>
      </c>
      <c r="BG139" s="797">
        <f t="shared" si="134"/>
        <v>1179728.1622189132</v>
      </c>
      <c r="BH139" s="799">
        <v>7</v>
      </c>
      <c r="BI139" s="692">
        <f t="shared" si="95"/>
        <v>0</v>
      </c>
      <c r="BJ139" s="800">
        <v>1250</v>
      </c>
      <c r="BK139" s="778">
        <f t="shared" si="135"/>
        <v>0</v>
      </c>
      <c r="BL139" s="786">
        <f t="shared" si="142"/>
        <v>1179728.1622189132</v>
      </c>
      <c r="BM139" s="692">
        <f t="shared" si="136"/>
        <v>1179728.1622189132</v>
      </c>
      <c r="BN139" s="801">
        <f t="shared" si="137"/>
        <v>5.764331107209476E-4</v>
      </c>
      <c r="BO139" s="787">
        <f t="shared" si="138"/>
        <v>2849.2115958666291</v>
      </c>
      <c r="BP139" s="802">
        <f t="shared" si="139"/>
        <v>1182577</v>
      </c>
      <c r="BQ139" s="803">
        <f t="shared" si="103"/>
        <v>183.45904436860067</v>
      </c>
      <c r="BR139" s="682"/>
      <c r="BS139" s="618"/>
    </row>
    <row r="140" spans="1:71" ht="15.75">
      <c r="A140" s="805" t="s">
        <v>3695</v>
      </c>
      <c r="B140" s="767" t="s">
        <v>3696</v>
      </c>
      <c r="C140" s="768">
        <v>8216</v>
      </c>
      <c r="D140" s="769">
        <v>0</v>
      </c>
      <c r="E140" s="770">
        <v>0</v>
      </c>
      <c r="F140" s="771">
        <v>0</v>
      </c>
      <c r="G140" s="770">
        <v>0</v>
      </c>
      <c r="H140" s="771">
        <v>0</v>
      </c>
      <c r="I140" s="770">
        <f t="shared" si="140"/>
        <v>0</v>
      </c>
      <c r="J140" s="772">
        <f t="shared" si="107"/>
        <v>0</v>
      </c>
      <c r="K140" s="773">
        <v>2149</v>
      </c>
      <c r="L140" s="774">
        <f t="shared" si="108"/>
        <v>7.7558295940658697E-4</v>
      </c>
      <c r="M140" s="775">
        <f t="shared" si="141"/>
        <v>65088.504142637968</v>
      </c>
      <c r="N140" s="806">
        <v>48.5</v>
      </c>
      <c r="O140" s="777">
        <f t="shared" si="109"/>
        <v>5.5156445286512143E-5</v>
      </c>
      <c r="P140" s="778">
        <f t="shared" si="110"/>
        <v>4628.8414075924838</v>
      </c>
      <c r="Q140" s="786">
        <f t="shared" si="96"/>
        <v>69717.345550230457</v>
      </c>
      <c r="R140" s="692">
        <f t="shared" si="97"/>
        <v>8.485558124419482</v>
      </c>
      <c r="S140" s="807">
        <v>25852630.780000001</v>
      </c>
      <c r="T140" s="782">
        <f t="shared" si="104"/>
        <v>2.6110555855778173</v>
      </c>
      <c r="U140" s="777">
        <f t="shared" si="111"/>
        <v>1.419298546110168E-3</v>
      </c>
      <c r="V140" s="783">
        <f t="shared" si="98"/>
        <v>3146.6201046738074</v>
      </c>
      <c r="W140" s="778">
        <f t="shared" si="112"/>
        <v>565774.53945334698</v>
      </c>
      <c r="X140" s="784">
        <v>5555746.6081999997</v>
      </c>
      <c r="Y140" s="782">
        <f t="shared" si="105"/>
        <v>12.15006024579478</v>
      </c>
      <c r="Z140" s="782">
        <f t="shared" si="113"/>
        <v>1.8759880955892118E-3</v>
      </c>
      <c r="AA140" s="783">
        <f t="shared" si="99"/>
        <v>676.21063877799406</v>
      </c>
      <c r="AB140" s="692">
        <f t="shared" si="114"/>
        <v>440822.89439317264</v>
      </c>
      <c r="AC140" s="786">
        <f t="shared" si="115"/>
        <v>1006597.4338465196</v>
      </c>
      <c r="AD140" s="787">
        <f t="shared" si="100"/>
        <v>122.51672758599312</v>
      </c>
      <c r="AE140" s="788">
        <v>3102.9973</v>
      </c>
      <c r="AF140" s="774">
        <f t="shared" si="116"/>
        <v>3.2274127576083049E-3</v>
      </c>
      <c r="AG140" s="692">
        <f t="shared" si="117"/>
        <v>406276.59381077171</v>
      </c>
      <c r="AH140" s="786">
        <f t="shared" si="118"/>
        <v>406276.59381077171</v>
      </c>
      <c r="AI140" s="692">
        <f t="shared" si="101"/>
        <v>49.44943936353112</v>
      </c>
      <c r="AJ140" s="789">
        <v>983</v>
      </c>
      <c r="AK140" s="777">
        <f t="shared" si="119"/>
        <v>1.3066838941572752E-3</v>
      </c>
      <c r="AL140" s="692">
        <f t="shared" si="120"/>
        <v>27414.894508205656</v>
      </c>
      <c r="AM140" s="790">
        <v>4.666666666666667</v>
      </c>
      <c r="AN140" s="791">
        <f t="shared" si="121"/>
        <v>6.7388688327316452E-4</v>
      </c>
      <c r="AO140" s="778">
        <f t="shared" si="122"/>
        <v>42415.471480144384</v>
      </c>
      <c r="AP140" s="768">
        <v>84</v>
      </c>
      <c r="AQ140" s="792">
        <f t="shared" si="123"/>
        <v>1.1353652767452861E-3</v>
      </c>
      <c r="AR140" s="793">
        <f t="shared" si="124"/>
        <v>95282.170169628967</v>
      </c>
      <c r="AS140" s="794">
        <v>14.722222222222223</v>
      </c>
      <c r="AT140" s="791">
        <f t="shared" si="125"/>
        <v>5.9043385748263483E-4</v>
      </c>
      <c r="AU140" s="795">
        <f t="shared" si="126"/>
        <v>49550.41380501198</v>
      </c>
      <c r="AV140" s="796">
        <v>16</v>
      </c>
      <c r="AW140" s="791">
        <f t="shared" si="127"/>
        <v>2.0374898125509371E-4</v>
      </c>
      <c r="AX140" s="795">
        <f t="shared" si="128"/>
        <v>12824.272616136919</v>
      </c>
      <c r="AY140" s="786">
        <f t="shared" si="129"/>
        <v>227487.22257912791</v>
      </c>
      <c r="AZ140" s="787">
        <f t="shared" si="102"/>
        <v>27.688318230176229</v>
      </c>
      <c r="BA140" s="797">
        <f t="shared" si="106"/>
        <v>1710078.5957866495</v>
      </c>
      <c r="BB140" s="775">
        <v>1067466</v>
      </c>
      <c r="BC140" s="775">
        <f t="shared" si="130"/>
        <v>0</v>
      </c>
      <c r="BD140" s="775">
        <f t="shared" si="131"/>
        <v>642612.5957866495</v>
      </c>
      <c r="BE140" s="798">
        <f t="shared" si="132"/>
        <v>9.9990582411381792E-4</v>
      </c>
      <c r="BF140" s="775">
        <f t="shared" si="133"/>
        <v>-1323.757419489586</v>
      </c>
      <c r="BG140" s="797">
        <f t="shared" si="134"/>
        <v>1708754.8383671599</v>
      </c>
      <c r="BH140" s="799">
        <v>8</v>
      </c>
      <c r="BI140" s="692">
        <f t="shared" ref="BI140:BI203" si="143">IF(BH140&gt;=5,0,BG140*(5-BH140)/5*-0.25)</f>
        <v>0</v>
      </c>
      <c r="BJ140" s="800">
        <v>1650</v>
      </c>
      <c r="BK140" s="778">
        <f t="shared" si="135"/>
        <v>0</v>
      </c>
      <c r="BL140" s="786">
        <f t="shared" si="142"/>
        <v>1708754.8383671599</v>
      </c>
      <c r="BM140" s="692">
        <f t="shared" si="136"/>
        <v>1708754.8383671599</v>
      </c>
      <c r="BN140" s="801">
        <f t="shared" si="137"/>
        <v>8.3492358535107707E-4</v>
      </c>
      <c r="BO140" s="787">
        <f t="shared" si="138"/>
        <v>4126.8863928887804</v>
      </c>
      <c r="BP140" s="802">
        <f t="shared" si="139"/>
        <v>1712882</v>
      </c>
      <c r="BQ140" s="803">
        <f t="shared" si="103"/>
        <v>208.48125608568645</v>
      </c>
      <c r="BR140" s="682"/>
      <c r="BS140" s="618"/>
    </row>
    <row r="141" spans="1:71" ht="15.75">
      <c r="A141" s="766" t="s">
        <v>3697</v>
      </c>
      <c r="B141" s="767" t="s">
        <v>3698</v>
      </c>
      <c r="C141" s="768">
        <v>34004</v>
      </c>
      <c r="D141" s="769">
        <v>0</v>
      </c>
      <c r="E141" s="770">
        <v>0</v>
      </c>
      <c r="F141" s="771">
        <v>0</v>
      </c>
      <c r="G141" s="770">
        <f>C141/($C$10+$C$60+$C$62+$C$67+$C$74+$C$80+$C$94+$C$105+$C$127+$C$141+$C$168+$C$175+$C$201+$C$219+$C$237+$C$255+$C$265+$C$267+$C$268+$C$273+$C$281)*$G$7</f>
        <v>2088286.3391388343</v>
      </c>
      <c r="H141" s="771">
        <f>C141/($C$38+$C$51+$C$53+$C$56+$C$57+$C$141+$C$143+$C$199+$C$209+$C$213)*$H$7</f>
        <v>2141859.4714262127</v>
      </c>
      <c r="I141" s="770">
        <f t="shared" si="140"/>
        <v>4230145.810565047</v>
      </c>
      <c r="J141" s="772">
        <f t="shared" si="107"/>
        <v>124.40141779099656</v>
      </c>
      <c r="K141" s="773">
        <v>14165</v>
      </c>
      <c r="L141" s="774">
        <f t="shared" si="108"/>
        <v>5.1122068962281553E-3</v>
      </c>
      <c r="M141" s="775">
        <f t="shared" si="141"/>
        <v>429026.8316335351</v>
      </c>
      <c r="N141" s="806">
        <v>2166.5</v>
      </c>
      <c r="O141" s="777">
        <f t="shared" si="109"/>
        <v>2.4638440971799704E-3</v>
      </c>
      <c r="P141" s="778">
        <f t="shared" si="110"/>
        <v>206770.82287730137</v>
      </c>
      <c r="Q141" s="786">
        <f t="shared" si="96"/>
        <v>635797.65451083647</v>
      </c>
      <c r="R141" s="692">
        <f t="shared" si="97"/>
        <v>18.697731281932612</v>
      </c>
      <c r="S141" s="807">
        <v>169511464.24999997</v>
      </c>
      <c r="T141" s="782">
        <f t="shared" si="104"/>
        <v>6.8212024544528713</v>
      </c>
      <c r="U141" s="777">
        <f t="shared" si="111"/>
        <v>3.7078194657375043E-3</v>
      </c>
      <c r="V141" s="783">
        <f t="shared" si="98"/>
        <v>4985.0448256087511</v>
      </c>
      <c r="W141" s="778">
        <f t="shared" si="112"/>
        <v>1478046.9242029069</v>
      </c>
      <c r="X141" s="784">
        <v>84065678.423800007</v>
      </c>
      <c r="Y141" s="782">
        <f t="shared" si="105"/>
        <v>13.75438868370145</v>
      </c>
      <c r="Z141" s="782">
        <f t="shared" si="113"/>
        <v>2.123698887967367E-3</v>
      </c>
      <c r="AA141" s="783">
        <f t="shared" si="99"/>
        <v>2472.2291031584523</v>
      </c>
      <c r="AB141" s="692">
        <f t="shared" si="114"/>
        <v>499030.40046706807</v>
      </c>
      <c r="AC141" s="786">
        <f t="shared" si="115"/>
        <v>1977077.3246699749</v>
      </c>
      <c r="AD141" s="787">
        <f t="shared" si="100"/>
        <v>58.142492785259819</v>
      </c>
      <c r="AE141" s="788">
        <v>4335.4759000000004</v>
      </c>
      <c r="AF141" s="774">
        <f t="shared" si="116"/>
        <v>4.5093078972267718E-3</v>
      </c>
      <c r="AG141" s="692">
        <f t="shared" si="117"/>
        <v>567645.47658507153</v>
      </c>
      <c r="AH141" s="786">
        <f t="shared" si="118"/>
        <v>567645.47658507153</v>
      </c>
      <c r="AI141" s="692">
        <f t="shared" si="101"/>
        <v>16.6934912535311</v>
      </c>
      <c r="AJ141" s="789">
        <v>3867</v>
      </c>
      <c r="AK141" s="777">
        <f t="shared" si="119"/>
        <v>5.140332267249424E-3</v>
      </c>
      <c r="AL141" s="692">
        <f t="shared" si="120"/>
        <v>107846.79253634921</v>
      </c>
      <c r="AM141" s="790">
        <v>25</v>
      </c>
      <c r="AN141" s="791">
        <f t="shared" si="121"/>
        <v>3.6101083032490954E-3</v>
      </c>
      <c r="AO141" s="778">
        <f t="shared" si="122"/>
        <v>227225.74007220202</v>
      </c>
      <c r="AP141" s="768">
        <v>273</v>
      </c>
      <c r="AQ141" s="792">
        <f t="shared" si="123"/>
        <v>3.6899371494221803E-3</v>
      </c>
      <c r="AR141" s="793">
        <f t="shared" si="124"/>
        <v>309667.05305129418</v>
      </c>
      <c r="AS141" s="794">
        <v>69.777777777777786</v>
      </c>
      <c r="AT141" s="791">
        <f t="shared" si="125"/>
        <v>2.7984336792384506E-3</v>
      </c>
      <c r="AU141" s="795">
        <f t="shared" si="126"/>
        <v>234850.26316639641</v>
      </c>
      <c r="AV141" s="796">
        <v>115</v>
      </c>
      <c r="AW141" s="791">
        <f t="shared" si="127"/>
        <v>1.4644458027709862E-3</v>
      </c>
      <c r="AX141" s="795">
        <f t="shared" si="128"/>
        <v>92174.459428484115</v>
      </c>
      <c r="AY141" s="786">
        <f t="shared" si="129"/>
        <v>971764.308254726</v>
      </c>
      <c r="AZ141" s="787">
        <f t="shared" si="102"/>
        <v>28.577941073248031</v>
      </c>
      <c r="BA141" s="797">
        <f t="shared" si="106"/>
        <v>8382430.5745856557</v>
      </c>
      <c r="BB141" s="775">
        <v>5621791</v>
      </c>
      <c r="BC141" s="775">
        <f t="shared" si="130"/>
        <v>0</v>
      </c>
      <c r="BD141" s="775">
        <f t="shared" si="131"/>
        <v>2760639.5745856557</v>
      </c>
      <c r="BE141" s="798">
        <f t="shared" si="132"/>
        <v>4.295557863331626E-3</v>
      </c>
      <c r="BF141" s="775">
        <f t="shared" si="133"/>
        <v>-5686.8121530061335</v>
      </c>
      <c r="BG141" s="797">
        <f t="shared" si="134"/>
        <v>8376743.7624326497</v>
      </c>
      <c r="BH141" s="799">
        <v>0</v>
      </c>
      <c r="BI141" s="692">
        <f t="shared" si="143"/>
        <v>-2094185.9406081624</v>
      </c>
      <c r="BJ141" s="800">
        <v>1900</v>
      </c>
      <c r="BK141" s="778">
        <f t="shared" si="135"/>
        <v>0</v>
      </c>
      <c r="BL141" s="786">
        <f t="shared" si="142"/>
        <v>6282557.8218244873</v>
      </c>
      <c r="BM141" s="692">
        <f t="shared" si="136"/>
        <v>0</v>
      </c>
      <c r="BN141" s="801">
        <f t="shared" si="137"/>
        <v>0</v>
      </c>
      <c r="BO141" s="787">
        <f t="shared" si="138"/>
        <v>0</v>
      </c>
      <c r="BP141" s="802">
        <f t="shared" si="139"/>
        <v>6282558</v>
      </c>
      <c r="BQ141" s="803">
        <f t="shared" si="103"/>
        <v>184.75938124926481</v>
      </c>
      <c r="BR141" s="682"/>
      <c r="BS141" s="618"/>
    </row>
    <row r="142" spans="1:71" ht="15.75">
      <c r="A142" s="805" t="s">
        <v>3699</v>
      </c>
      <c r="B142" s="767" t="s">
        <v>3700</v>
      </c>
      <c r="C142" s="768">
        <v>8535</v>
      </c>
      <c r="D142" s="769">
        <v>0</v>
      </c>
      <c r="E142" s="770">
        <v>0</v>
      </c>
      <c r="F142" s="771">
        <v>0</v>
      </c>
      <c r="G142" s="770">
        <v>0</v>
      </c>
      <c r="H142" s="771">
        <v>0</v>
      </c>
      <c r="I142" s="770">
        <f t="shared" si="140"/>
        <v>0</v>
      </c>
      <c r="J142" s="772">
        <f t="shared" si="107"/>
        <v>0</v>
      </c>
      <c r="K142" s="773">
        <v>2455</v>
      </c>
      <c r="L142" s="774">
        <f t="shared" si="108"/>
        <v>8.8601962091352778E-4</v>
      </c>
      <c r="M142" s="775">
        <f t="shared" si="141"/>
        <v>74356.57406708991</v>
      </c>
      <c r="N142" s="806">
        <v>475.5</v>
      </c>
      <c r="O142" s="777">
        <f t="shared" si="109"/>
        <v>5.4076061306673252E-4</v>
      </c>
      <c r="P142" s="778">
        <f t="shared" si="110"/>
        <v>45381.733800210852</v>
      </c>
      <c r="Q142" s="786">
        <f t="shared" si="96"/>
        <v>119738.30786730075</v>
      </c>
      <c r="R142" s="692">
        <f t="shared" si="97"/>
        <v>14.029092895993058</v>
      </c>
      <c r="S142" s="807">
        <v>23400110.010000002</v>
      </c>
      <c r="T142" s="782">
        <f t="shared" si="104"/>
        <v>3.1130719030324761</v>
      </c>
      <c r="U142" s="777">
        <f t="shared" si="111"/>
        <v>1.6921809134647877E-3</v>
      </c>
      <c r="V142" s="783">
        <f t="shared" si="98"/>
        <v>2741.6649103690688</v>
      </c>
      <c r="W142" s="778">
        <f t="shared" si="112"/>
        <v>674553.55295838509</v>
      </c>
      <c r="X142" s="784">
        <v>5282090.5066</v>
      </c>
      <c r="Y142" s="782">
        <f t="shared" si="105"/>
        <v>13.791173193450255</v>
      </c>
      <c r="Z142" s="782">
        <f t="shared" si="113"/>
        <v>2.1293784731706363E-3</v>
      </c>
      <c r="AA142" s="783">
        <f t="shared" si="99"/>
        <v>618.87410739308723</v>
      </c>
      <c r="AB142" s="692">
        <f t="shared" si="114"/>
        <v>500364.99912158219</v>
      </c>
      <c r="AC142" s="786">
        <f t="shared" si="115"/>
        <v>1174918.5520799672</v>
      </c>
      <c r="AD142" s="787">
        <f t="shared" si="100"/>
        <v>137.65888132161302</v>
      </c>
      <c r="AE142" s="788">
        <v>3244.3285000000001</v>
      </c>
      <c r="AF142" s="774">
        <f t="shared" si="116"/>
        <v>3.374410667638098E-3</v>
      </c>
      <c r="AG142" s="692">
        <f t="shared" si="117"/>
        <v>424781.14053892676</v>
      </c>
      <c r="AH142" s="786">
        <f t="shared" si="118"/>
        <v>424781.14053892676</v>
      </c>
      <c r="AI142" s="692">
        <f t="shared" si="101"/>
        <v>49.769319336722525</v>
      </c>
      <c r="AJ142" s="789">
        <v>1246</v>
      </c>
      <c r="AK142" s="777">
        <f t="shared" si="119"/>
        <v>1.6562849767242777E-3</v>
      </c>
      <c r="AL142" s="692">
        <f t="shared" si="120"/>
        <v>34749.703517013477</v>
      </c>
      <c r="AM142" s="790">
        <v>7</v>
      </c>
      <c r="AN142" s="791">
        <f t="shared" si="121"/>
        <v>1.0108303249097468E-3</v>
      </c>
      <c r="AO142" s="778">
        <f t="shared" si="122"/>
        <v>63623.207220216573</v>
      </c>
      <c r="AP142" s="768">
        <v>78</v>
      </c>
      <c r="AQ142" s="792">
        <f t="shared" si="123"/>
        <v>1.0542677569777659E-3</v>
      </c>
      <c r="AR142" s="793">
        <f t="shared" si="124"/>
        <v>88476.300871798347</v>
      </c>
      <c r="AS142" s="794">
        <v>13.805555555555555</v>
      </c>
      <c r="AT142" s="791">
        <f t="shared" si="125"/>
        <v>5.5367099465824436E-4</v>
      </c>
      <c r="AU142" s="795">
        <f t="shared" si="126"/>
        <v>46465.19936054897</v>
      </c>
      <c r="AV142" s="796">
        <v>31</v>
      </c>
      <c r="AW142" s="791">
        <f t="shared" si="127"/>
        <v>3.9476365118174407E-4</v>
      </c>
      <c r="AX142" s="795">
        <f t="shared" si="128"/>
        <v>24847.02819376528</v>
      </c>
      <c r="AY142" s="786">
        <f t="shared" si="129"/>
        <v>258161.43916334264</v>
      </c>
      <c r="AZ142" s="787">
        <f t="shared" si="102"/>
        <v>30.247385959384022</v>
      </c>
      <c r="BA142" s="797">
        <f t="shared" si="106"/>
        <v>1977599.4396495372</v>
      </c>
      <c r="BB142" s="775">
        <v>1216824</v>
      </c>
      <c r="BC142" s="775">
        <f t="shared" si="130"/>
        <v>0</v>
      </c>
      <c r="BD142" s="775">
        <f t="shared" si="131"/>
        <v>760775.43964953721</v>
      </c>
      <c r="BE142" s="798">
        <f t="shared" si="132"/>
        <v>1.1837673241015651E-3</v>
      </c>
      <c r="BF142" s="775">
        <f t="shared" si="133"/>
        <v>-1567.1683676986049</v>
      </c>
      <c r="BG142" s="797">
        <f t="shared" si="134"/>
        <v>1976032.2712818386</v>
      </c>
      <c r="BH142" s="799">
        <v>7</v>
      </c>
      <c r="BI142" s="692">
        <f t="shared" si="143"/>
        <v>0</v>
      </c>
      <c r="BJ142" s="800">
        <v>1700</v>
      </c>
      <c r="BK142" s="778">
        <f t="shared" si="135"/>
        <v>0</v>
      </c>
      <c r="BL142" s="786">
        <f t="shared" si="142"/>
        <v>1976032.2712818386</v>
      </c>
      <c r="BM142" s="692">
        <f t="shared" si="136"/>
        <v>1976032.2712818386</v>
      </c>
      <c r="BN142" s="801">
        <f t="shared" si="137"/>
        <v>9.6551940141665E-4</v>
      </c>
      <c r="BO142" s="787">
        <f t="shared" si="138"/>
        <v>4772.399474259686</v>
      </c>
      <c r="BP142" s="802">
        <f t="shared" si="139"/>
        <v>1980805</v>
      </c>
      <c r="BQ142" s="803">
        <f t="shared" si="103"/>
        <v>232.08025776215584</v>
      </c>
      <c r="BR142" s="682"/>
      <c r="BS142" s="618"/>
    </row>
    <row r="143" spans="1:71" ht="15.75">
      <c r="A143" s="805" t="s">
        <v>3701</v>
      </c>
      <c r="B143" s="767" t="s">
        <v>3702</v>
      </c>
      <c r="C143" s="768">
        <v>22153</v>
      </c>
      <c r="D143" s="769">
        <v>0</v>
      </c>
      <c r="E143" s="770">
        <v>0</v>
      </c>
      <c r="F143" s="771">
        <v>0</v>
      </c>
      <c r="G143" s="770">
        <v>0</v>
      </c>
      <c r="H143" s="771">
        <f>C143/($C$38+$C$51+$C$53+$C$56+$C$57+$C$141+$C$143+$C$199+$C$209+$C$213)*$H$7</f>
        <v>1395383.2746295989</v>
      </c>
      <c r="I143" s="770">
        <f t="shared" si="140"/>
        <v>1395383.2746295989</v>
      </c>
      <c r="J143" s="772">
        <f t="shared" si="107"/>
        <v>62.988456400018009</v>
      </c>
      <c r="K143" s="773">
        <v>7570</v>
      </c>
      <c r="L143" s="774">
        <f t="shared" si="108"/>
        <v>2.7320442078677819E-3</v>
      </c>
      <c r="M143" s="775">
        <f t="shared" si="141"/>
        <v>229278.72329444831</v>
      </c>
      <c r="N143" s="806">
        <v>1208.5</v>
      </c>
      <c r="O143" s="777">
        <f t="shared" si="109"/>
        <v>1.3743621469845346E-3</v>
      </c>
      <c r="P143" s="778">
        <f t="shared" si="110"/>
        <v>115339.27507372199</v>
      </c>
      <c r="Q143" s="786">
        <f t="shared" si="96"/>
        <v>344617.99836817029</v>
      </c>
      <c r="R143" s="692">
        <f t="shared" si="97"/>
        <v>15.55626770045458</v>
      </c>
      <c r="S143" s="807">
        <v>104725575.72999999</v>
      </c>
      <c r="T143" s="782">
        <f t="shared" si="104"/>
        <v>4.6861084847625891</v>
      </c>
      <c r="U143" s="777">
        <f t="shared" si="111"/>
        <v>2.5472406623875932E-3</v>
      </c>
      <c r="V143" s="783">
        <f t="shared" si="98"/>
        <v>4727.3766862275988</v>
      </c>
      <c r="W143" s="778">
        <f t="shared" si="112"/>
        <v>1015405.7556029609</v>
      </c>
      <c r="X143" s="784">
        <v>44099204.035999998</v>
      </c>
      <c r="Y143" s="782">
        <f t="shared" si="105"/>
        <v>11.128441424914975</v>
      </c>
      <c r="Z143" s="782">
        <f t="shared" si="113"/>
        <v>1.7182485694116579E-3</v>
      </c>
      <c r="AA143" s="783">
        <f t="shared" si="99"/>
        <v>1990.6651034171443</v>
      </c>
      <c r="AB143" s="692">
        <f t="shared" si="114"/>
        <v>403756.9904819022</v>
      </c>
      <c r="AC143" s="786">
        <f t="shared" si="115"/>
        <v>1419162.7460848631</v>
      </c>
      <c r="AD143" s="787">
        <f t="shared" si="100"/>
        <v>64.061876318551128</v>
      </c>
      <c r="AE143" s="788">
        <v>3059.9838</v>
      </c>
      <c r="AF143" s="774">
        <f t="shared" si="116"/>
        <v>3.1826746205015194E-3</v>
      </c>
      <c r="AG143" s="692">
        <f t="shared" si="117"/>
        <v>400644.82021307002</v>
      </c>
      <c r="AH143" s="786">
        <f t="shared" si="118"/>
        <v>400644.82021307002</v>
      </c>
      <c r="AI143" s="692">
        <f t="shared" si="101"/>
        <v>18.085352783508782</v>
      </c>
      <c r="AJ143" s="789">
        <v>2639</v>
      </c>
      <c r="AK143" s="777">
        <f t="shared" si="119"/>
        <v>3.5079743608149028E-3</v>
      </c>
      <c r="AL143" s="692">
        <f t="shared" si="120"/>
        <v>73599.091156820679</v>
      </c>
      <c r="AM143" s="790">
        <v>8.6666666666666661</v>
      </c>
      <c r="AN143" s="791">
        <f t="shared" si="121"/>
        <v>1.2515042117930196E-3</v>
      </c>
      <c r="AO143" s="778">
        <f t="shared" si="122"/>
        <v>78771.589891696698</v>
      </c>
      <c r="AP143" s="768">
        <v>197</v>
      </c>
      <c r="AQ143" s="792">
        <f t="shared" si="123"/>
        <v>2.662701899033588E-3</v>
      </c>
      <c r="AR143" s="793">
        <f t="shared" si="124"/>
        <v>223459.37527877273</v>
      </c>
      <c r="AS143" s="794">
        <v>37.138888888888886</v>
      </c>
      <c r="AT143" s="791">
        <f t="shared" si="125"/>
        <v>1.4894529574609107E-3</v>
      </c>
      <c r="AU143" s="795">
        <f t="shared" si="126"/>
        <v>124997.93067415286</v>
      </c>
      <c r="AV143" s="796">
        <v>164</v>
      </c>
      <c r="AW143" s="791">
        <f t="shared" si="127"/>
        <v>2.0884270578647108E-3</v>
      </c>
      <c r="AX143" s="795">
        <f t="shared" si="128"/>
        <v>131448.79431540341</v>
      </c>
      <c r="AY143" s="786">
        <f t="shared" si="129"/>
        <v>632276.78131684638</v>
      </c>
      <c r="AZ143" s="787">
        <f t="shared" si="102"/>
        <v>28.541361500331622</v>
      </c>
      <c r="BA143" s="797">
        <f t="shared" si="106"/>
        <v>4192085.6206125487</v>
      </c>
      <c r="BB143" s="775">
        <v>3132682</v>
      </c>
      <c r="BC143" s="775">
        <f t="shared" si="130"/>
        <v>0</v>
      </c>
      <c r="BD143" s="775">
        <f t="shared" si="131"/>
        <v>1059403.6206125487</v>
      </c>
      <c r="BE143" s="798">
        <f t="shared" si="132"/>
        <v>1.6484330641558839E-3</v>
      </c>
      <c r="BF143" s="775">
        <f t="shared" si="133"/>
        <v>-2182.3310221662596</v>
      </c>
      <c r="BG143" s="797">
        <f t="shared" si="134"/>
        <v>4189903.2895903825</v>
      </c>
      <c r="BH143" s="799">
        <v>0</v>
      </c>
      <c r="BI143" s="692">
        <f t="shared" si="143"/>
        <v>-1047475.8223975956</v>
      </c>
      <c r="BJ143" s="800">
        <v>1950</v>
      </c>
      <c r="BK143" s="778">
        <f t="shared" si="135"/>
        <v>0</v>
      </c>
      <c r="BL143" s="786">
        <f t="shared" si="142"/>
        <v>3142427.4671927867</v>
      </c>
      <c r="BM143" s="692">
        <f t="shared" si="136"/>
        <v>0</v>
      </c>
      <c r="BN143" s="801">
        <f t="shared" si="137"/>
        <v>0</v>
      </c>
      <c r="BO143" s="787">
        <f t="shared" si="138"/>
        <v>0</v>
      </c>
      <c r="BP143" s="802">
        <f t="shared" si="139"/>
        <v>3142427</v>
      </c>
      <c r="BQ143" s="803">
        <f t="shared" si="103"/>
        <v>141.85108111768159</v>
      </c>
      <c r="BR143" s="682"/>
      <c r="BS143" s="618"/>
    </row>
    <row r="144" spans="1:71" ht="15.75">
      <c r="A144" s="805" t="s">
        <v>3703</v>
      </c>
      <c r="B144" s="767" t="s">
        <v>3704</v>
      </c>
      <c r="C144" s="768">
        <v>20739</v>
      </c>
      <c r="D144" s="769">
        <v>0</v>
      </c>
      <c r="E144" s="770">
        <v>0</v>
      </c>
      <c r="F144" s="771">
        <v>0</v>
      </c>
      <c r="G144" s="770">
        <v>0</v>
      </c>
      <c r="H144" s="771">
        <v>0</v>
      </c>
      <c r="I144" s="770">
        <f t="shared" si="140"/>
        <v>0</v>
      </c>
      <c r="J144" s="772">
        <f t="shared" si="107"/>
        <v>0</v>
      </c>
      <c r="K144" s="773">
        <v>13015</v>
      </c>
      <c r="L144" s="774">
        <f t="shared" si="108"/>
        <v>4.6971671552706977E-3</v>
      </c>
      <c r="M144" s="775">
        <f t="shared" si="141"/>
        <v>394195.8498913137</v>
      </c>
      <c r="N144" s="806">
        <v>3478.5</v>
      </c>
      <c r="O144" s="777">
        <f t="shared" si="109"/>
        <v>3.9559112356522168E-3</v>
      </c>
      <c r="P144" s="778">
        <f t="shared" si="110"/>
        <v>331988.14095485478</v>
      </c>
      <c r="Q144" s="786">
        <f t="shared" si="96"/>
        <v>726183.99084616848</v>
      </c>
      <c r="R144" s="692">
        <f t="shared" si="97"/>
        <v>35.015381206720114</v>
      </c>
      <c r="S144" s="807">
        <v>96026678.960000008</v>
      </c>
      <c r="T144" s="782">
        <f t="shared" si="104"/>
        <v>4.4790273459229084</v>
      </c>
      <c r="U144" s="777">
        <f t="shared" si="111"/>
        <v>2.4346770077088458E-3</v>
      </c>
      <c r="V144" s="783">
        <f t="shared" si="98"/>
        <v>4630.2463455325715</v>
      </c>
      <c r="W144" s="778">
        <f t="shared" si="112"/>
        <v>970534.54083310487</v>
      </c>
      <c r="X144" s="784">
        <v>23529685.162500001</v>
      </c>
      <c r="Y144" s="782">
        <f t="shared" si="105"/>
        <v>18.2792977479135</v>
      </c>
      <c r="Z144" s="782">
        <f t="shared" si="113"/>
        <v>2.8223518465832318E-3</v>
      </c>
      <c r="AA144" s="783">
        <f t="shared" si="99"/>
        <v>1134.5621853753798</v>
      </c>
      <c r="AB144" s="692">
        <f t="shared" si="114"/>
        <v>663201.06877648912</v>
      </c>
      <c r="AC144" s="786">
        <f t="shared" si="115"/>
        <v>1633735.6096095941</v>
      </c>
      <c r="AD144" s="787">
        <f t="shared" si="100"/>
        <v>78.776007021051839</v>
      </c>
      <c r="AE144" s="788">
        <v>1309.2473</v>
      </c>
      <c r="AF144" s="774">
        <f t="shared" si="116"/>
        <v>1.3617418999636989E-3</v>
      </c>
      <c r="AG144" s="692">
        <f t="shared" si="117"/>
        <v>171420.23729764431</v>
      </c>
      <c r="AH144" s="786">
        <f t="shared" si="118"/>
        <v>171420.23729764431</v>
      </c>
      <c r="AI144" s="692">
        <f t="shared" si="101"/>
        <v>8.2655980181129429</v>
      </c>
      <c r="AJ144" s="789">
        <v>1387</v>
      </c>
      <c r="AK144" s="777">
        <f t="shared" si="119"/>
        <v>1.8437136939940394E-3</v>
      </c>
      <c r="AL144" s="692">
        <f t="shared" si="120"/>
        <v>38682.053593978882</v>
      </c>
      <c r="AM144" s="790">
        <v>15.333333333333334</v>
      </c>
      <c r="AN144" s="791">
        <f t="shared" si="121"/>
        <v>2.214199759326112E-3</v>
      </c>
      <c r="AO144" s="778">
        <f t="shared" si="122"/>
        <v>139365.12057761726</v>
      </c>
      <c r="AP144" s="768">
        <v>125</v>
      </c>
      <c r="AQ144" s="792">
        <f t="shared" si="123"/>
        <v>1.6895316618233426E-3</v>
      </c>
      <c r="AR144" s="793">
        <f t="shared" si="124"/>
        <v>141788.94370480505</v>
      </c>
      <c r="AS144" s="794">
        <v>66.833333333333329</v>
      </c>
      <c r="AT144" s="791">
        <f t="shared" si="125"/>
        <v>2.680346907741923E-3</v>
      </c>
      <c r="AU144" s="795">
        <f t="shared" si="126"/>
        <v>224940.18040539397</v>
      </c>
      <c r="AV144" s="796">
        <v>118</v>
      </c>
      <c r="AW144" s="791">
        <f t="shared" si="127"/>
        <v>1.5026487367563162E-3</v>
      </c>
      <c r="AX144" s="795">
        <f t="shared" si="128"/>
        <v>94579.010544009783</v>
      </c>
      <c r="AY144" s="786">
        <f t="shared" si="129"/>
        <v>639355.30882580497</v>
      </c>
      <c r="AZ144" s="787">
        <f t="shared" si="102"/>
        <v>30.828646936969236</v>
      </c>
      <c r="BA144" s="797">
        <f t="shared" si="106"/>
        <v>3170695.146579212</v>
      </c>
      <c r="BB144" s="775">
        <v>2757208</v>
      </c>
      <c r="BC144" s="775">
        <f t="shared" si="130"/>
        <v>0</v>
      </c>
      <c r="BD144" s="775">
        <f t="shared" si="131"/>
        <v>413487.14657921204</v>
      </c>
      <c r="BE144" s="798">
        <f t="shared" si="132"/>
        <v>6.4338640227653567E-4</v>
      </c>
      <c r="BF144" s="775">
        <f t="shared" si="133"/>
        <v>-851.76773959397326</v>
      </c>
      <c r="BG144" s="797">
        <f t="shared" si="134"/>
        <v>3169843.3788396181</v>
      </c>
      <c r="BH144" s="799">
        <v>5.7</v>
      </c>
      <c r="BI144" s="692">
        <f t="shared" si="143"/>
        <v>0</v>
      </c>
      <c r="BJ144" s="800">
        <v>1095</v>
      </c>
      <c r="BK144" s="778">
        <f t="shared" si="135"/>
        <v>0</v>
      </c>
      <c r="BL144" s="786">
        <f t="shared" si="142"/>
        <v>3169843.3788396181</v>
      </c>
      <c r="BM144" s="692">
        <f t="shared" si="136"/>
        <v>3169843.3788396181</v>
      </c>
      <c r="BN144" s="801">
        <f t="shared" si="137"/>
        <v>1.548833653276525E-3</v>
      </c>
      <c r="BO144" s="787">
        <f t="shared" si="138"/>
        <v>7655.6233896152253</v>
      </c>
      <c r="BP144" s="802">
        <f t="shared" si="139"/>
        <v>3177499</v>
      </c>
      <c r="BQ144" s="803">
        <f t="shared" si="103"/>
        <v>153.21370365012777</v>
      </c>
      <c r="BR144" s="682"/>
      <c r="BS144" s="618"/>
    </row>
    <row r="145" spans="1:71" ht="15.75">
      <c r="A145" s="766" t="s">
        <v>3705</v>
      </c>
      <c r="B145" s="767" t="s">
        <v>3706</v>
      </c>
      <c r="C145" s="768">
        <v>12267</v>
      </c>
      <c r="D145" s="769">
        <v>0</v>
      </c>
      <c r="E145" s="770">
        <v>0</v>
      </c>
      <c r="F145" s="771">
        <v>0</v>
      </c>
      <c r="G145" s="770">
        <v>0</v>
      </c>
      <c r="H145" s="771">
        <v>0</v>
      </c>
      <c r="I145" s="770">
        <f t="shared" si="140"/>
        <v>0</v>
      </c>
      <c r="J145" s="772">
        <f t="shared" si="107"/>
        <v>0</v>
      </c>
      <c r="K145" s="773">
        <v>4456</v>
      </c>
      <c r="L145" s="774">
        <f t="shared" si="108"/>
        <v>1.6081887701795028E-3</v>
      </c>
      <c r="M145" s="775">
        <f t="shared" si="141"/>
        <v>134962.48229855506</v>
      </c>
      <c r="N145" s="806">
        <v>1364.5</v>
      </c>
      <c r="O145" s="777">
        <f t="shared" si="109"/>
        <v>1.5517725689370274E-3</v>
      </c>
      <c r="P145" s="778">
        <f t="shared" si="110"/>
        <v>130227.91960123596</v>
      </c>
      <c r="Q145" s="786">
        <f t="shared" si="96"/>
        <v>265190.40189979103</v>
      </c>
      <c r="R145" s="692">
        <f t="shared" si="97"/>
        <v>21.618195312610339</v>
      </c>
      <c r="S145" s="807">
        <v>33518439.97000001</v>
      </c>
      <c r="T145" s="782">
        <f t="shared" si="104"/>
        <v>4.4894478721170614</v>
      </c>
      <c r="U145" s="777">
        <f t="shared" si="111"/>
        <v>2.4403413213139472E-3</v>
      </c>
      <c r="V145" s="783">
        <f t="shared" si="98"/>
        <v>2732.4072690959492</v>
      </c>
      <c r="W145" s="778">
        <f t="shared" si="112"/>
        <v>972792.5044095692</v>
      </c>
      <c r="X145" s="784">
        <v>9475076.0292000007</v>
      </c>
      <c r="Y145" s="782">
        <f t="shared" si="105"/>
        <v>15.881591718763787</v>
      </c>
      <c r="Z145" s="782">
        <f t="shared" si="113"/>
        <v>2.4521423269255696E-3</v>
      </c>
      <c r="AA145" s="783">
        <f t="shared" si="99"/>
        <v>772.40368706285165</v>
      </c>
      <c r="AB145" s="692">
        <f t="shared" si="114"/>
        <v>576208.60204863409</v>
      </c>
      <c r="AC145" s="786">
        <f t="shared" si="115"/>
        <v>1549001.1064582034</v>
      </c>
      <c r="AD145" s="787">
        <f t="shared" si="100"/>
        <v>126.27383275928943</v>
      </c>
      <c r="AE145" s="788">
        <v>4350.9371000000001</v>
      </c>
      <c r="AF145" s="774">
        <f t="shared" si="116"/>
        <v>4.5253890179315602E-3</v>
      </c>
      <c r="AG145" s="692">
        <f t="shared" si="117"/>
        <v>569669.81726761966</v>
      </c>
      <c r="AH145" s="786">
        <f t="shared" si="118"/>
        <v>569669.81726761966</v>
      </c>
      <c r="AI145" s="692">
        <f t="shared" si="101"/>
        <v>46.439212298656528</v>
      </c>
      <c r="AJ145" s="789">
        <v>1948</v>
      </c>
      <c r="AK145" s="777">
        <f t="shared" si="119"/>
        <v>2.5894407180247938E-3</v>
      </c>
      <c r="AL145" s="692">
        <f t="shared" si="120"/>
        <v>54327.786878926367</v>
      </c>
      <c r="AM145" s="790">
        <v>7.333333333333333</v>
      </c>
      <c r="AN145" s="791">
        <f t="shared" si="121"/>
        <v>1.0589651022864014E-3</v>
      </c>
      <c r="AO145" s="778">
        <f t="shared" si="122"/>
        <v>66652.883754512601</v>
      </c>
      <c r="AP145" s="768">
        <v>98</v>
      </c>
      <c r="AQ145" s="792">
        <f t="shared" si="123"/>
        <v>1.3245928228695005E-3</v>
      </c>
      <c r="AR145" s="793">
        <f t="shared" si="124"/>
        <v>111162.53186456714</v>
      </c>
      <c r="AS145" s="794">
        <v>16.416666666666668</v>
      </c>
      <c r="AT145" s="791">
        <f t="shared" si="125"/>
        <v>6.5838945240044751E-4</v>
      </c>
      <c r="AU145" s="795">
        <f t="shared" si="126"/>
        <v>55253.385959928455</v>
      </c>
      <c r="AV145" s="796">
        <v>31</v>
      </c>
      <c r="AW145" s="791">
        <f t="shared" si="127"/>
        <v>3.9476365118174407E-4</v>
      </c>
      <c r="AX145" s="795">
        <f t="shared" si="128"/>
        <v>24847.02819376528</v>
      </c>
      <c r="AY145" s="786">
        <f t="shared" si="129"/>
        <v>312243.61665169988</v>
      </c>
      <c r="AZ145" s="787">
        <f t="shared" si="102"/>
        <v>25.453950978372859</v>
      </c>
      <c r="BA145" s="797">
        <f t="shared" si="106"/>
        <v>2696104.9422773141</v>
      </c>
      <c r="BB145" s="775">
        <v>1776123</v>
      </c>
      <c r="BC145" s="775">
        <f t="shared" si="130"/>
        <v>0</v>
      </c>
      <c r="BD145" s="775">
        <f t="shared" si="131"/>
        <v>919981.94227731414</v>
      </c>
      <c r="BE145" s="798">
        <f t="shared" si="132"/>
        <v>1.4314927970506797E-3</v>
      </c>
      <c r="BF145" s="775">
        <f t="shared" si="133"/>
        <v>-1895.1276863710298</v>
      </c>
      <c r="BG145" s="797">
        <f t="shared" si="134"/>
        <v>2694209.814590943</v>
      </c>
      <c r="BH145" s="799">
        <v>7</v>
      </c>
      <c r="BI145" s="692">
        <f t="shared" si="143"/>
        <v>0</v>
      </c>
      <c r="BJ145" s="800">
        <v>1600</v>
      </c>
      <c r="BK145" s="778">
        <f t="shared" si="135"/>
        <v>0</v>
      </c>
      <c r="BL145" s="786">
        <f t="shared" si="142"/>
        <v>2694209.814590943</v>
      </c>
      <c r="BM145" s="692">
        <f t="shared" si="136"/>
        <v>2694209.814590943</v>
      </c>
      <c r="BN145" s="801">
        <f t="shared" si="137"/>
        <v>1.3164318646411871E-3</v>
      </c>
      <c r="BO145" s="787">
        <f t="shared" si="138"/>
        <v>6506.900565119975</v>
      </c>
      <c r="BP145" s="802">
        <f t="shared" si="139"/>
        <v>2700717</v>
      </c>
      <c r="BQ145" s="803">
        <f t="shared" si="103"/>
        <v>220.16116409880166</v>
      </c>
      <c r="BR145" s="682"/>
      <c r="BS145" s="618"/>
    </row>
    <row r="146" spans="1:71" ht="15.75">
      <c r="A146" s="766" t="s">
        <v>3707</v>
      </c>
      <c r="B146" s="767" t="s">
        <v>3708</v>
      </c>
      <c r="C146" s="768">
        <v>7856</v>
      </c>
      <c r="D146" s="769">
        <v>0</v>
      </c>
      <c r="E146" s="770">
        <v>0</v>
      </c>
      <c r="F146" s="771">
        <v>0</v>
      </c>
      <c r="G146" s="770">
        <v>0</v>
      </c>
      <c r="H146" s="771">
        <v>0</v>
      </c>
      <c r="I146" s="770">
        <f t="shared" si="140"/>
        <v>0</v>
      </c>
      <c r="J146" s="772">
        <f t="shared" si="107"/>
        <v>0</v>
      </c>
      <c r="K146" s="773">
        <v>1719</v>
      </c>
      <c r="L146" s="774">
        <f t="shared" si="108"/>
        <v>6.2039418670075525E-4</v>
      </c>
      <c r="M146" s="775">
        <f t="shared" si="141"/>
        <v>52064.745752068251</v>
      </c>
      <c r="N146" s="806">
        <v>43.5</v>
      </c>
      <c r="O146" s="777">
        <f t="shared" si="109"/>
        <v>4.9470213813675843E-5</v>
      </c>
      <c r="P146" s="778">
        <f t="shared" si="110"/>
        <v>4151.6412624798568</v>
      </c>
      <c r="Q146" s="786">
        <f t="shared" si="96"/>
        <v>56216.387014548105</v>
      </c>
      <c r="R146" s="692">
        <f t="shared" si="97"/>
        <v>7.1558537442143715</v>
      </c>
      <c r="S146" s="807">
        <v>27275261.240000006</v>
      </c>
      <c r="T146" s="782">
        <f t="shared" si="104"/>
        <v>2.2627367509679619</v>
      </c>
      <c r="U146" s="777">
        <f t="shared" si="111"/>
        <v>1.2299619351719699E-3</v>
      </c>
      <c r="V146" s="783">
        <f t="shared" si="98"/>
        <v>3471.9018890020375</v>
      </c>
      <c r="W146" s="778">
        <f t="shared" si="112"/>
        <v>490299.34492940246</v>
      </c>
      <c r="X146" s="784">
        <v>5741737.7368999999</v>
      </c>
      <c r="Y146" s="782">
        <f t="shared" si="105"/>
        <v>10.748790493053981</v>
      </c>
      <c r="Z146" s="782">
        <f t="shared" si="113"/>
        <v>1.659629878290593E-3</v>
      </c>
      <c r="AA146" s="783">
        <f t="shared" si="99"/>
        <v>730.87292984979638</v>
      </c>
      <c r="AB146" s="692">
        <f t="shared" si="114"/>
        <v>389982.67008707515</v>
      </c>
      <c r="AC146" s="786">
        <f t="shared" si="115"/>
        <v>880282.01501647756</v>
      </c>
      <c r="AD146" s="787">
        <f t="shared" si="100"/>
        <v>112.05219132083472</v>
      </c>
      <c r="AE146" s="788">
        <v>4241.7843999999996</v>
      </c>
      <c r="AF146" s="774">
        <f t="shared" si="116"/>
        <v>4.4118598129569394E-3</v>
      </c>
      <c r="AG146" s="692">
        <f t="shared" si="117"/>
        <v>555378.41354604717</v>
      </c>
      <c r="AH146" s="786">
        <f t="shared" si="118"/>
        <v>555378.41354604717</v>
      </c>
      <c r="AI146" s="692">
        <f t="shared" si="101"/>
        <v>70.69480824160479</v>
      </c>
      <c r="AJ146" s="789">
        <v>1012</v>
      </c>
      <c r="AK146" s="777">
        <f t="shared" si="119"/>
        <v>1.3452330629574391E-3</v>
      </c>
      <c r="AL146" s="692">
        <f t="shared" si="120"/>
        <v>28223.675729709179</v>
      </c>
      <c r="AM146" s="790">
        <v>4.666666666666667</v>
      </c>
      <c r="AN146" s="791">
        <f t="shared" si="121"/>
        <v>6.7388688327316452E-4</v>
      </c>
      <c r="AO146" s="778">
        <f t="shared" si="122"/>
        <v>42415.471480144384</v>
      </c>
      <c r="AP146" s="768">
        <v>61</v>
      </c>
      <c r="AQ146" s="792">
        <f t="shared" si="123"/>
        <v>8.2449145096979114E-4</v>
      </c>
      <c r="AR146" s="793">
        <f t="shared" si="124"/>
        <v>69193.004527944853</v>
      </c>
      <c r="AS146" s="794">
        <v>8.4166666666666661</v>
      </c>
      <c r="AT146" s="791">
        <f t="shared" si="125"/>
        <v>3.3754992229667607E-4</v>
      </c>
      <c r="AU146" s="795">
        <f t="shared" si="126"/>
        <v>28327.878080978542</v>
      </c>
      <c r="AV146" s="796">
        <v>14</v>
      </c>
      <c r="AW146" s="791">
        <f t="shared" si="127"/>
        <v>1.7828035859820702E-4</v>
      </c>
      <c r="AX146" s="795">
        <f t="shared" si="128"/>
        <v>11221.238539119804</v>
      </c>
      <c r="AY146" s="786">
        <f t="shared" si="129"/>
        <v>179381.26835789677</v>
      </c>
      <c r="AZ146" s="787">
        <f t="shared" si="102"/>
        <v>22.833664505842258</v>
      </c>
      <c r="BA146" s="797">
        <f t="shared" si="106"/>
        <v>1671258.0839349695</v>
      </c>
      <c r="BB146" s="775">
        <v>1051995</v>
      </c>
      <c r="BC146" s="775">
        <f t="shared" si="130"/>
        <v>0</v>
      </c>
      <c r="BD146" s="775">
        <f t="shared" si="131"/>
        <v>619263.0839349695</v>
      </c>
      <c r="BE146" s="798">
        <f t="shared" si="132"/>
        <v>9.6357396096051484E-4</v>
      </c>
      <c r="BF146" s="775">
        <f t="shared" si="133"/>
        <v>-1275.6583163008536</v>
      </c>
      <c r="BG146" s="797">
        <f t="shared" si="134"/>
        <v>1669982.4256186686</v>
      </c>
      <c r="BH146" s="799">
        <v>7.8</v>
      </c>
      <c r="BI146" s="692">
        <f t="shared" si="143"/>
        <v>0</v>
      </c>
      <c r="BJ146" s="800">
        <v>1475</v>
      </c>
      <c r="BK146" s="778">
        <f t="shared" si="135"/>
        <v>0</v>
      </c>
      <c r="BL146" s="786">
        <f t="shared" si="142"/>
        <v>1669982.4256186686</v>
      </c>
      <c r="BM146" s="692">
        <f t="shared" si="136"/>
        <v>1669982.4256186686</v>
      </c>
      <c r="BN146" s="801">
        <f t="shared" si="137"/>
        <v>8.1597879518116828E-4</v>
      </c>
      <c r="BO146" s="787">
        <f t="shared" si="138"/>
        <v>4033.2454919248257</v>
      </c>
      <c r="BP146" s="802">
        <f t="shared" si="139"/>
        <v>1674016</v>
      </c>
      <c r="BQ146" s="803">
        <f t="shared" si="103"/>
        <v>213.08757637474542</v>
      </c>
      <c r="BR146" s="682"/>
      <c r="BS146" s="618"/>
    </row>
    <row r="147" spans="1:71" ht="15.75">
      <c r="A147" s="766" t="s">
        <v>3709</v>
      </c>
      <c r="B147" s="767" t="s">
        <v>3710</v>
      </c>
      <c r="C147" s="768">
        <v>19391</v>
      </c>
      <c r="D147" s="769">
        <v>0</v>
      </c>
      <c r="E147" s="770">
        <v>0</v>
      </c>
      <c r="F147" s="771">
        <v>0</v>
      </c>
      <c r="G147" s="770">
        <v>0</v>
      </c>
      <c r="H147" s="771">
        <v>0</v>
      </c>
      <c r="I147" s="770">
        <f t="shared" si="140"/>
        <v>0</v>
      </c>
      <c r="J147" s="772">
        <f t="shared" si="107"/>
        <v>0</v>
      </c>
      <c r="K147" s="773">
        <v>5987</v>
      </c>
      <c r="L147" s="774">
        <f t="shared" si="108"/>
        <v>2.1607329818367784E-3</v>
      </c>
      <c r="M147" s="775">
        <f t="shared" si="141"/>
        <v>181333.11973102539</v>
      </c>
      <c r="N147" s="806">
        <v>186.5</v>
      </c>
      <c r="O147" s="777">
        <f t="shared" si="109"/>
        <v>2.1209643393679413E-4</v>
      </c>
      <c r="P147" s="778">
        <f t="shared" si="110"/>
        <v>17799.565412700995</v>
      </c>
      <c r="Q147" s="786">
        <f t="shared" si="96"/>
        <v>199132.68514372638</v>
      </c>
      <c r="R147" s="692">
        <f t="shared" si="97"/>
        <v>10.269335523888731</v>
      </c>
      <c r="S147" s="807">
        <v>95760378.790000007</v>
      </c>
      <c r="T147" s="782">
        <f t="shared" si="104"/>
        <v>3.9265809696156486</v>
      </c>
      <c r="U147" s="777">
        <f t="shared" si="111"/>
        <v>2.13438223687837E-3</v>
      </c>
      <c r="V147" s="783">
        <f t="shared" si="98"/>
        <v>4938.3930065494305</v>
      </c>
      <c r="W147" s="778">
        <f t="shared" si="112"/>
        <v>850828.12942833116</v>
      </c>
      <c r="X147" s="784">
        <v>24179919.225400001</v>
      </c>
      <c r="Y147" s="782">
        <f t="shared" si="105"/>
        <v>15.550543303925357</v>
      </c>
      <c r="Z147" s="782">
        <f t="shared" si="113"/>
        <v>2.4010279396108631E-3</v>
      </c>
      <c r="AA147" s="783">
        <f t="shared" si="99"/>
        <v>1246.9660783559384</v>
      </c>
      <c r="AB147" s="692">
        <f t="shared" si="114"/>
        <v>564197.65580959327</v>
      </c>
      <c r="AC147" s="786">
        <f t="shared" si="115"/>
        <v>1415025.7852379244</v>
      </c>
      <c r="AD147" s="787">
        <f t="shared" si="100"/>
        <v>72.973327071214712</v>
      </c>
      <c r="AE147" s="788">
        <v>2472.8229000000001</v>
      </c>
      <c r="AF147" s="774">
        <f t="shared" si="116"/>
        <v>2.5719713564578243E-3</v>
      </c>
      <c r="AG147" s="692">
        <f t="shared" si="117"/>
        <v>323767.62458326167</v>
      </c>
      <c r="AH147" s="786">
        <f t="shared" si="118"/>
        <v>323767.62458326167</v>
      </c>
      <c r="AI147" s="692">
        <f t="shared" si="101"/>
        <v>16.696798751135148</v>
      </c>
      <c r="AJ147" s="789">
        <v>1230</v>
      </c>
      <c r="AK147" s="777">
        <f t="shared" si="119"/>
        <v>1.6350164698000495E-3</v>
      </c>
      <c r="AL147" s="692">
        <f t="shared" si="120"/>
        <v>34303.479394804635</v>
      </c>
      <c r="AM147" s="790">
        <v>6.666666666666667</v>
      </c>
      <c r="AN147" s="791">
        <f t="shared" si="121"/>
        <v>9.6269554753309217E-4</v>
      </c>
      <c r="AO147" s="778">
        <f t="shared" si="122"/>
        <v>60593.530685920545</v>
      </c>
      <c r="AP147" s="768">
        <v>112</v>
      </c>
      <c r="AQ147" s="792">
        <f t="shared" si="123"/>
        <v>1.5138203689937148E-3</v>
      </c>
      <c r="AR147" s="793">
        <f t="shared" si="124"/>
        <v>127042.89355950529</v>
      </c>
      <c r="AS147" s="794">
        <v>34.555555555555564</v>
      </c>
      <c r="AT147" s="791">
        <f t="shared" si="125"/>
        <v>1.3858485258649016E-3</v>
      </c>
      <c r="AU147" s="795">
        <f t="shared" si="126"/>
        <v>116303.2354215753</v>
      </c>
      <c r="AV147" s="796">
        <v>153</v>
      </c>
      <c r="AW147" s="791">
        <f t="shared" si="127"/>
        <v>1.9483496332518338E-3</v>
      </c>
      <c r="AX147" s="795">
        <f t="shared" si="128"/>
        <v>122632.10689180929</v>
      </c>
      <c r="AY147" s="786">
        <f t="shared" si="129"/>
        <v>460875.24595361506</v>
      </c>
      <c r="AZ147" s="787">
        <f t="shared" si="102"/>
        <v>23.767482128493377</v>
      </c>
      <c r="BA147" s="797">
        <f t="shared" si="106"/>
        <v>2398801.3409185279</v>
      </c>
      <c r="BB147" s="775">
        <v>1997572</v>
      </c>
      <c r="BC147" s="775">
        <f t="shared" si="130"/>
        <v>0</v>
      </c>
      <c r="BD147" s="775">
        <f t="shared" si="131"/>
        <v>401229.34091852792</v>
      </c>
      <c r="BE147" s="798">
        <f t="shared" si="132"/>
        <v>6.2431324474533374E-4</v>
      </c>
      <c r="BF147" s="775">
        <f t="shared" si="133"/>
        <v>-826.51712780020864</v>
      </c>
      <c r="BG147" s="797">
        <f t="shared" si="134"/>
        <v>2397974.8237907276</v>
      </c>
      <c r="BH147" s="799">
        <v>7.9</v>
      </c>
      <c r="BI147" s="692">
        <f t="shared" si="143"/>
        <v>0</v>
      </c>
      <c r="BJ147" s="800">
        <v>1100</v>
      </c>
      <c r="BK147" s="778">
        <f t="shared" si="135"/>
        <v>0</v>
      </c>
      <c r="BL147" s="786">
        <f t="shared" si="142"/>
        <v>2397974.8237907276</v>
      </c>
      <c r="BM147" s="692">
        <f t="shared" si="136"/>
        <v>2397974.8237907276</v>
      </c>
      <c r="BN147" s="801">
        <f t="shared" si="137"/>
        <v>1.171686945667495E-3</v>
      </c>
      <c r="BO147" s="787">
        <f t="shared" si="138"/>
        <v>5791.4508556700484</v>
      </c>
      <c r="BP147" s="802">
        <f t="shared" si="139"/>
        <v>2403766</v>
      </c>
      <c r="BQ147" s="803">
        <f t="shared" si="103"/>
        <v>123.9629725130215</v>
      </c>
      <c r="BR147" s="682"/>
      <c r="BS147" s="618"/>
    </row>
    <row r="148" spans="1:71" ht="15.75">
      <c r="A148" s="805" t="s">
        <v>3711</v>
      </c>
      <c r="B148" s="767" t="s">
        <v>3712</v>
      </c>
      <c r="C148" s="768">
        <v>8400</v>
      </c>
      <c r="D148" s="769">
        <v>0</v>
      </c>
      <c r="E148" s="770">
        <v>0</v>
      </c>
      <c r="F148" s="771">
        <v>0</v>
      </c>
      <c r="G148" s="770">
        <v>0</v>
      </c>
      <c r="H148" s="771">
        <v>0</v>
      </c>
      <c r="I148" s="770">
        <f t="shared" si="140"/>
        <v>0</v>
      </c>
      <c r="J148" s="772">
        <f t="shared" si="107"/>
        <v>0</v>
      </c>
      <c r="K148" s="773">
        <v>2164</v>
      </c>
      <c r="L148" s="774">
        <f t="shared" si="108"/>
        <v>7.8099652124516254E-4</v>
      </c>
      <c r="M148" s="775">
        <f t="shared" si="141"/>
        <v>65542.821295797374</v>
      </c>
      <c r="N148" s="806">
        <v>222</v>
      </c>
      <c r="O148" s="777">
        <f t="shared" si="109"/>
        <v>2.524686773939319E-4</v>
      </c>
      <c r="P148" s="778">
        <f t="shared" si="110"/>
        <v>21187.68644300065</v>
      </c>
      <c r="Q148" s="786">
        <f t="shared" si="96"/>
        <v>86730.507738798027</v>
      </c>
      <c r="R148" s="692">
        <f t="shared" si="97"/>
        <v>10.325060445095003</v>
      </c>
      <c r="S148" s="807">
        <v>29342267.379999999</v>
      </c>
      <c r="T148" s="782">
        <f t="shared" si="104"/>
        <v>2.4047221397789609</v>
      </c>
      <c r="U148" s="777">
        <f t="shared" si="111"/>
        <v>1.3071413169597162E-3</v>
      </c>
      <c r="V148" s="783">
        <f t="shared" si="98"/>
        <v>3493.127069047619</v>
      </c>
      <c r="W148" s="778">
        <f t="shared" si="112"/>
        <v>521065.33796584344</v>
      </c>
      <c r="X148" s="784">
        <v>5388247.8333999999</v>
      </c>
      <c r="Y148" s="782">
        <f t="shared" si="105"/>
        <v>13.095166032011642</v>
      </c>
      <c r="Z148" s="782">
        <f t="shared" si="113"/>
        <v>2.0219138908649154E-3</v>
      </c>
      <c r="AA148" s="783">
        <f t="shared" si="99"/>
        <v>641.45807540476187</v>
      </c>
      <c r="AB148" s="692">
        <f t="shared" si="114"/>
        <v>475112.78759201901</v>
      </c>
      <c r="AC148" s="786">
        <f t="shared" si="115"/>
        <v>996178.12555786246</v>
      </c>
      <c r="AD148" s="787">
        <f t="shared" si="100"/>
        <v>118.59263399498363</v>
      </c>
      <c r="AE148" s="788">
        <v>2822.5895999999998</v>
      </c>
      <c r="AF148" s="774">
        <f t="shared" si="116"/>
        <v>2.9357620403126106E-3</v>
      </c>
      <c r="AG148" s="692">
        <f t="shared" si="117"/>
        <v>369562.70906639477</v>
      </c>
      <c r="AH148" s="786">
        <f t="shared" si="118"/>
        <v>369562.70906639477</v>
      </c>
      <c r="AI148" s="692">
        <f t="shared" si="101"/>
        <v>43.995560603142238</v>
      </c>
      <c r="AJ148" s="789">
        <v>1087</v>
      </c>
      <c r="AK148" s="777">
        <f t="shared" si="119"/>
        <v>1.4449291891647591E-3</v>
      </c>
      <c r="AL148" s="692">
        <f t="shared" si="120"/>
        <v>30315.351302563122</v>
      </c>
      <c r="AM148" s="790">
        <v>3.3333333333333335</v>
      </c>
      <c r="AN148" s="791">
        <f t="shared" si="121"/>
        <v>4.8134777376654609E-4</v>
      </c>
      <c r="AO148" s="778">
        <f t="shared" si="122"/>
        <v>30296.765342960272</v>
      </c>
      <c r="AP148" s="768">
        <v>117</v>
      </c>
      <c r="AQ148" s="792">
        <f t="shared" si="123"/>
        <v>1.5814016354666486E-3</v>
      </c>
      <c r="AR148" s="793">
        <f t="shared" si="124"/>
        <v>132714.45130769751</v>
      </c>
      <c r="AS148" s="794">
        <v>8.3055555555555554</v>
      </c>
      <c r="AT148" s="791">
        <f t="shared" si="125"/>
        <v>3.3309381771190152E-4</v>
      </c>
      <c r="AU148" s="795">
        <f t="shared" si="126"/>
        <v>27953.912693770908</v>
      </c>
      <c r="AV148" s="796">
        <v>27</v>
      </c>
      <c r="AW148" s="791">
        <f t="shared" si="127"/>
        <v>3.4382640586797067E-4</v>
      </c>
      <c r="AX148" s="795">
        <f t="shared" si="128"/>
        <v>21640.960039731053</v>
      </c>
      <c r="AY148" s="786">
        <f t="shared" si="129"/>
        <v>242921.44068672287</v>
      </c>
      <c r="AZ148" s="787">
        <f t="shared" si="102"/>
        <v>28.919219129371768</v>
      </c>
      <c r="BA148" s="797">
        <f t="shared" si="106"/>
        <v>1695392.7830497781</v>
      </c>
      <c r="BB148" s="775">
        <v>1116909</v>
      </c>
      <c r="BC148" s="775">
        <f t="shared" si="130"/>
        <v>0</v>
      </c>
      <c r="BD148" s="775">
        <f t="shared" si="131"/>
        <v>578483.78304977808</v>
      </c>
      <c r="BE148" s="798">
        <f t="shared" si="132"/>
        <v>9.0012132911709809E-4</v>
      </c>
      <c r="BF148" s="775">
        <f t="shared" si="133"/>
        <v>-1191.654512979369</v>
      </c>
      <c r="BG148" s="797">
        <f t="shared" si="134"/>
        <v>1694201.1285367988</v>
      </c>
      <c r="BH148" s="799">
        <v>8.5</v>
      </c>
      <c r="BI148" s="692">
        <f t="shared" si="143"/>
        <v>0</v>
      </c>
      <c r="BJ148" s="800">
        <v>1675</v>
      </c>
      <c r="BK148" s="778">
        <f t="shared" si="135"/>
        <v>0</v>
      </c>
      <c r="BL148" s="786">
        <f t="shared" si="142"/>
        <v>1694201.1285367988</v>
      </c>
      <c r="BM148" s="692">
        <f t="shared" si="136"/>
        <v>1694201.1285367988</v>
      </c>
      <c r="BN148" s="801">
        <f t="shared" si="137"/>
        <v>8.2781242152646676E-4</v>
      </c>
      <c r="BO148" s="787">
        <f t="shared" si="138"/>
        <v>4091.7371100798064</v>
      </c>
      <c r="BP148" s="802">
        <f t="shared" si="139"/>
        <v>1698293</v>
      </c>
      <c r="BQ148" s="803">
        <f t="shared" si="103"/>
        <v>202.17773809523808</v>
      </c>
      <c r="BR148" s="682"/>
      <c r="BS148" s="618"/>
    </row>
    <row r="149" spans="1:71" ht="15.75">
      <c r="A149" s="766" t="s">
        <v>3713</v>
      </c>
      <c r="B149" s="767" t="s">
        <v>3714</v>
      </c>
      <c r="C149" s="768">
        <v>75219</v>
      </c>
      <c r="D149" s="769">
        <v>0</v>
      </c>
      <c r="E149" s="770">
        <f>C149/($C$8+$C$149+$C$165+$C$99+$C$82+$C$188+$C$213+$C$236+$C$253+$C$271)*$E$7</f>
        <v>13580669.880061127</v>
      </c>
      <c r="F149" s="771">
        <v>0</v>
      </c>
      <c r="G149" s="770">
        <v>0</v>
      </c>
      <c r="H149" s="771">
        <v>0</v>
      </c>
      <c r="I149" s="770">
        <f t="shared" si="140"/>
        <v>13580669.880061127</v>
      </c>
      <c r="J149" s="772">
        <f t="shared" si="107"/>
        <v>180.54839708133753</v>
      </c>
      <c r="K149" s="773">
        <v>50987</v>
      </c>
      <c r="L149" s="774">
        <f t="shared" si="108"/>
        <v>1.8401418497563354E-2</v>
      </c>
      <c r="M149" s="775">
        <f t="shared" si="141"/>
        <v>1544284.5792092518</v>
      </c>
      <c r="N149" s="806">
        <v>26135</v>
      </c>
      <c r="O149" s="777">
        <f t="shared" si="109"/>
        <v>2.972193190851536E-2</v>
      </c>
      <c r="P149" s="778">
        <f t="shared" si="110"/>
        <v>2494325.1585037024</v>
      </c>
      <c r="Q149" s="786">
        <f t="shared" si="96"/>
        <v>4038609.7377129542</v>
      </c>
      <c r="R149" s="692">
        <f t="shared" si="97"/>
        <v>53.691351090987041</v>
      </c>
      <c r="S149" s="781">
        <v>256566852.49000001</v>
      </c>
      <c r="T149" s="782">
        <f t="shared" si="104"/>
        <v>22.052334142503945</v>
      </c>
      <c r="U149" s="777">
        <f t="shared" si="111"/>
        <v>1.1987046909177594E-2</v>
      </c>
      <c r="V149" s="783">
        <f t="shared" si="98"/>
        <v>3410.9314467089434</v>
      </c>
      <c r="W149" s="778">
        <f t="shared" si="112"/>
        <v>4778392.793420922</v>
      </c>
      <c r="X149" s="784">
        <v>79809590.665900007</v>
      </c>
      <c r="Y149" s="782">
        <f t="shared" si="105"/>
        <v>70.892456831224322</v>
      </c>
      <c r="Z149" s="782">
        <f t="shared" si="113"/>
        <v>1.0945904990757462E-2</v>
      </c>
      <c r="AA149" s="783">
        <f t="shared" si="99"/>
        <v>1061.0296689121101</v>
      </c>
      <c r="AB149" s="692">
        <f t="shared" si="114"/>
        <v>2572087.4941175324</v>
      </c>
      <c r="AC149" s="786">
        <f t="shared" si="115"/>
        <v>7350480.2875384539</v>
      </c>
      <c r="AD149" s="787">
        <f t="shared" si="100"/>
        <v>97.72105834348308</v>
      </c>
      <c r="AE149" s="788">
        <v>4430.8407999999999</v>
      </c>
      <c r="AF149" s="774">
        <f t="shared" si="116"/>
        <v>4.6084964768907111E-3</v>
      </c>
      <c r="AG149" s="692">
        <f t="shared" si="117"/>
        <v>580131.63851022196</v>
      </c>
      <c r="AH149" s="786">
        <f t="shared" si="118"/>
        <v>580131.63851022196</v>
      </c>
      <c r="AI149" s="692">
        <f t="shared" si="101"/>
        <v>7.7125678154485167</v>
      </c>
      <c r="AJ149" s="789">
        <v>10579</v>
      </c>
      <c r="AK149" s="777">
        <f t="shared" si="119"/>
        <v>1.406247092196319E-2</v>
      </c>
      <c r="AL149" s="692">
        <f t="shared" si="120"/>
        <v>295037.81180295796</v>
      </c>
      <c r="AM149" s="790">
        <v>124</v>
      </c>
      <c r="AN149" s="791">
        <f t="shared" si="121"/>
        <v>1.7906137184115514E-2</v>
      </c>
      <c r="AO149" s="778">
        <f t="shared" si="122"/>
        <v>1127039.6707581221</v>
      </c>
      <c r="AP149" s="768">
        <v>863</v>
      </c>
      <c r="AQ149" s="792">
        <f t="shared" si="123"/>
        <v>1.1664526593228357E-2</v>
      </c>
      <c r="AR149" s="793">
        <f t="shared" si="124"/>
        <v>978910.8673379739</v>
      </c>
      <c r="AS149" s="794">
        <v>564.69444444444446</v>
      </c>
      <c r="AT149" s="791">
        <f t="shared" si="125"/>
        <v>2.2647037525970724E-2</v>
      </c>
      <c r="AU149" s="795">
        <f t="shared" si="126"/>
        <v>1900585.5891360161</v>
      </c>
      <c r="AV149" s="796">
        <v>961</v>
      </c>
      <c r="AW149" s="791">
        <f t="shared" si="127"/>
        <v>1.2237673186634067E-2</v>
      </c>
      <c r="AX149" s="795">
        <f t="shared" si="128"/>
        <v>770257.87400672375</v>
      </c>
      <c r="AY149" s="786">
        <f t="shared" si="129"/>
        <v>5071831.8130417941</v>
      </c>
      <c r="AZ149" s="787">
        <f t="shared" si="102"/>
        <v>67.427535769443807</v>
      </c>
      <c r="BA149" s="797">
        <f t="shared" si="106"/>
        <v>30621723.356864553</v>
      </c>
      <c r="BB149" s="775">
        <v>20664890</v>
      </c>
      <c r="BC149" s="775">
        <f t="shared" si="130"/>
        <v>0</v>
      </c>
      <c r="BD149" s="775">
        <f t="shared" si="131"/>
        <v>9956833.3568645529</v>
      </c>
      <c r="BE149" s="798">
        <f t="shared" si="132"/>
        <v>1.5492842388301099E-2</v>
      </c>
      <c r="BF149" s="775">
        <f t="shared" si="133"/>
        <v>-20510.69667353178</v>
      </c>
      <c r="BG149" s="797">
        <f t="shared" si="134"/>
        <v>30601212.660191022</v>
      </c>
      <c r="BH149" s="799">
        <v>7.9</v>
      </c>
      <c r="BI149" s="692">
        <f t="shared" si="143"/>
        <v>0</v>
      </c>
      <c r="BJ149" s="800">
        <v>1750</v>
      </c>
      <c r="BK149" s="778">
        <f t="shared" si="135"/>
        <v>0</v>
      </c>
      <c r="BL149" s="786">
        <f t="shared" si="142"/>
        <v>30601212.660191022</v>
      </c>
      <c r="BM149" s="692">
        <f t="shared" si="136"/>
        <v>30601212.660191022</v>
      </c>
      <c r="BN149" s="801">
        <f t="shared" si="137"/>
        <v>1.4952217612885906E-2</v>
      </c>
      <c r="BO149" s="787">
        <f t="shared" si="138"/>
        <v>73906.288542782029</v>
      </c>
      <c r="BP149" s="802">
        <f t="shared" si="139"/>
        <v>30675119</v>
      </c>
      <c r="BQ149" s="803">
        <f t="shared" si="103"/>
        <v>407.81077919142768</v>
      </c>
      <c r="BR149" s="682"/>
      <c r="BS149" s="618"/>
    </row>
    <row r="150" spans="1:71" ht="15.75">
      <c r="A150" s="766" t="s">
        <v>3715</v>
      </c>
      <c r="B150" s="767" t="s">
        <v>3716</v>
      </c>
      <c r="C150" s="768">
        <v>13585</v>
      </c>
      <c r="D150" s="769">
        <v>0</v>
      </c>
      <c r="E150" s="770">
        <v>0</v>
      </c>
      <c r="F150" s="771">
        <v>0</v>
      </c>
      <c r="G150" s="770">
        <v>0</v>
      </c>
      <c r="H150" s="771">
        <v>0</v>
      </c>
      <c r="I150" s="770">
        <f t="shared" si="140"/>
        <v>0</v>
      </c>
      <c r="J150" s="772">
        <f t="shared" si="107"/>
        <v>0</v>
      </c>
      <c r="K150" s="773">
        <v>2994</v>
      </c>
      <c r="L150" s="774">
        <f t="shared" si="108"/>
        <v>1.080546942979675E-3</v>
      </c>
      <c r="M150" s="775">
        <f t="shared" si="141"/>
        <v>90681.703770617998</v>
      </c>
      <c r="N150" s="806">
        <v>58.5</v>
      </c>
      <c r="O150" s="777">
        <f t="shared" si="109"/>
        <v>6.6528908232184756E-5</v>
      </c>
      <c r="P150" s="778">
        <f t="shared" si="110"/>
        <v>5583.241697817738</v>
      </c>
      <c r="Q150" s="786">
        <f t="shared" si="96"/>
        <v>96264.945468435733</v>
      </c>
      <c r="R150" s="692">
        <f t="shared" si="97"/>
        <v>7.0861203878127146</v>
      </c>
      <c r="S150" s="807">
        <v>63793362.460000001</v>
      </c>
      <c r="T150" s="782">
        <f t="shared" si="104"/>
        <v>2.8929690783381856</v>
      </c>
      <c r="U150" s="777">
        <f t="shared" si="111"/>
        <v>1.5725390257896096E-3</v>
      </c>
      <c r="V150" s="783">
        <f t="shared" si="98"/>
        <v>4695.8676820022083</v>
      </c>
      <c r="W150" s="778">
        <f t="shared" si="112"/>
        <v>626860.74436341412</v>
      </c>
      <c r="X150" s="784">
        <v>23360273.554700002</v>
      </c>
      <c r="Y150" s="782">
        <f t="shared" si="105"/>
        <v>7.900259582485444</v>
      </c>
      <c r="Z150" s="782">
        <f t="shared" si="113"/>
        <v>1.2198122996087092E-3</v>
      </c>
      <c r="AA150" s="783">
        <f t="shared" si="99"/>
        <v>1719.5637508060363</v>
      </c>
      <c r="AB150" s="692">
        <f t="shared" si="114"/>
        <v>286633.5824807114</v>
      </c>
      <c r="AC150" s="786">
        <f t="shared" si="115"/>
        <v>913494.32684412552</v>
      </c>
      <c r="AD150" s="787">
        <f t="shared" si="100"/>
        <v>67.242865428349319</v>
      </c>
      <c r="AE150" s="788">
        <v>195.60640000000001</v>
      </c>
      <c r="AF150" s="774">
        <f t="shared" si="116"/>
        <v>2.0344928783206908E-4</v>
      </c>
      <c r="AG150" s="692">
        <f t="shared" si="117"/>
        <v>25610.818907121622</v>
      </c>
      <c r="AH150" s="786">
        <f t="shared" si="118"/>
        <v>25610.818907121622</v>
      </c>
      <c r="AI150" s="692">
        <f t="shared" si="101"/>
        <v>1.885227744359339</v>
      </c>
      <c r="AJ150" s="789">
        <v>584</v>
      </c>
      <c r="AK150" s="777">
        <f t="shared" si="119"/>
        <v>7.7630050273433241E-4</v>
      </c>
      <c r="AL150" s="692">
        <f t="shared" si="120"/>
        <v>16287.180460622689</v>
      </c>
      <c r="AM150" s="790">
        <v>2.3333333333333335</v>
      </c>
      <c r="AN150" s="791">
        <f t="shared" si="121"/>
        <v>3.3694344163658226E-4</v>
      </c>
      <c r="AO150" s="778">
        <f t="shared" si="122"/>
        <v>21207.735740072192</v>
      </c>
      <c r="AP150" s="768">
        <v>74</v>
      </c>
      <c r="AQ150" s="792">
        <f t="shared" si="123"/>
        <v>1.0002027437994187E-3</v>
      </c>
      <c r="AR150" s="793">
        <f t="shared" si="124"/>
        <v>83939.054673244565</v>
      </c>
      <c r="AS150" s="794">
        <v>34.333333333333336</v>
      </c>
      <c r="AT150" s="791">
        <f t="shared" si="125"/>
        <v>1.3769363166953523E-3</v>
      </c>
      <c r="AU150" s="795">
        <f t="shared" si="126"/>
        <v>115555.30464716002</v>
      </c>
      <c r="AV150" s="796">
        <v>121</v>
      </c>
      <c r="AW150" s="791">
        <f t="shared" si="127"/>
        <v>1.5408516707416462E-3</v>
      </c>
      <c r="AX150" s="795">
        <f t="shared" si="128"/>
        <v>96983.561659535451</v>
      </c>
      <c r="AY150" s="786">
        <f t="shared" si="129"/>
        <v>333972.83718063496</v>
      </c>
      <c r="AZ150" s="787">
        <f t="shared" si="102"/>
        <v>24.583940903984907</v>
      </c>
      <c r="BA150" s="797">
        <f t="shared" si="106"/>
        <v>1369342.9284003179</v>
      </c>
      <c r="BB150" s="775">
        <v>1419503</v>
      </c>
      <c r="BC150" s="775">
        <f t="shared" si="130"/>
        <v>50160.071599682095</v>
      </c>
      <c r="BD150" s="775">
        <f t="shared" si="131"/>
        <v>0</v>
      </c>
      <c r="BE150" s="798">
        <f t="shared" si="132"/>
        <v>0</v>
      </c>
      <c r="BF150" s="775">
        <f t="shared" si="133"/>
        <v>0</v>
      </c>
      <c r="BG150" s="797">
        <f t="shared" si="134"/>
        <v>1419503</v>
      </c>
      <c r="BH150" s="799">
        <v>7.5</v>
      </c>
      <c r="BI150" s="692">
        <f t="shared" si="143"/>
        <v>0</v>
      </c>
      <c r="BJ150" s="800">
        <v>950</v>
      </c>
      <c r="BK150" s="778">
        <f t="shared" si="135"/>
        <v>0</v>
      </c>
      <c r="BL150" s="786">
        <f t="shared" si="142"/>
        <v>1419503</v>
      </c>
      <c r="BM150" s="692">
        <f t="shared" si="136"/>
        <v>0</v>
      </c>
      <c r="BN150" s="801">
        <f t="shared" si="137"/>
        <v>0</v>
      </c>
      <c r="BO150" s="787">
        <f t="shared" si="138"/>
        <v>0</v>
      </c>
      <c r="BP150" s="802">
        <f t="shared" si="139"/>
        <v>1419503</v>
      </c>
      <c r="BQ150" s="803">
        <f t="shared" si="103"/>
        <v>104.49046742730954</v>
      </c>
      <c r="BR150" s="682"/>
      <c r="BS150" s="618"/>
    </row>
    <row r="151" spans="1:71" ht="15.75">
      <c r="A151" s="805" t="s">
        <v>3717</v>
      </c>
      <c r="B151" s="767" t="s">
        <v>3718</v>
      </c>
      <c r="C151" s="768">
        <v>16028</v>
      </c>
      <c r="D151" s="769">
        <v>0</v>
      </c>
      <c r="E151" s="770">
        <v>0</v>
      </c>
      <c r="F151" s="771">
        <v>0</v>
      </c>
      <c r="G151" s="770">
        <v>0</v>
      </c>
      <c r="H151" s="771">
        <v>0</v>
      </c>
      <c r="I151" s="770">
        <f t="shared" si="140"/>
        <v>0</v>
      </c>
      <c r="J151" s="772">
        <f t="shared" si="107"/>
        <v>0</v>
      </c>
      <c r="K151" s="773">
        <v>4241</v>
      </c>
      <c r="L151" s="774">
        <f t="shared" si="108"/>
        <v>1.530594383826587E-3</v>
      </c>
      <c r="M151" s="775">
        <f t="shared" si="141"/>
        <v>128450.60310327019</v>
      </c>
      <c r="N151" s="806">
        <v>832.5</v>
      </c>
      <c r="O151" s="777">
        <f t="shared" si="109"/>
        <v>9.4675754022724456E-4</v>
      </c>
      <c r="P151" s="778">
        <f t="shared" si="110"/>
        <v>79453.824161252429</v>
      </c>
      <c r="Q151" s="786">
        <f t="shared" si="96"/>
        <v>207904.42726452262</v>
      </c>
      <c r="R151" s="692">
        <f t="shared" si="97"/>
        <v>12.971326881989182</v>
      </c>
      <c r="S151" s="807">
        <v>58203140.400000006</v>
      </c>
      <c r="T151" s="782">
        <f t="shared" si="104"/>
        <v>4.4137959263792572</v>
      </c>
      <c r="U151" s="777">
        <f t="shared" si="111"/>
        <v>2.3992189885726815E-3</v>
      </c>
      <c r="V151" s="783">
        <f t="shared" si="98"/>
        <v>3631.3414275018722</v>
      </c>
      <c r="W151" s="778">
        <f t="shared" si="112"/>
        <v>956399.92165684153</v>
      </c>
      <c r="X151" s="784">
        <v>11769362.2623</v>
      </c>
      <c r="Y151" s="782">
        <f t="shared" si="105"/>
        <v>21.82758744905831</v>
      </c>
      <c r="Z151" s="782">
        <f t="shared" si="113"/>
        <v>3.3702132649126876E-3</v>
      </c>
      <c r="AA151" s="783">
        <f t="shared" si="99"/>
        <v>734.3001161904167</v>
      </c>
      <c r="AB151" s="692">
        <f t="shared" si="114"/>
        <v>791938.48279429285</v>
      </c>
      <c r="AC151" s="786">
        <f t="shared" si="115"/>
        <v>1748338.4044511344</v>
      </c>
      <c r="AD151" s="787">
        <f t="shared" si="100"/>
        <v>109.08025982350476</v>
      </c>
      <c r="AE151" s="788">
        <v>2302.931</v>
      </c>
      <c r="AF151" s="774">
        <f t="shared" si="116"/>
        <v>2.3952675979742721E-3</v>
      </c>
      <c r="AG151" s="692">
        <f t="shared" si="117"/>
        <v>301523.61475185119</v>
      </c>
      <c r="AH151" s="786">
        <f t="shared" si="118"/>
        <v>301523.61475185119</v>
      </c>
      <c r="AI151" s="692">
        <f t="shared" si="101"/>
        <v>18.812304389309407</v>
      </c>
      <c r="AJ151" s="789">
        <v>1423</v>
      </c>
      <c r="AK151" s="777">
        <f t="shared" si="119"/>
        <v>1.8915678345735531E-3</v>
      </c>
      <c r="AL151" s="692">
        <f t="shared" si="120"/>
        <v>39686.057868948774</v>
      </c>
      <c r="AM151" s="790">
        <v>11.666666666666666</v>
      </c>
      <c r="AN151" s="791">
        <f t="shared" si="121"/>
        <v>1.6847172081829111E-3</v>
      </c>
      <c r="AO151" s="778">
        <f t="shared" si="122"/>
        <v>106038.67870036095</v>
      </c>
      <c r="AP151" s="768">
        <v>165</v>
      </c>
      <c r="AQ151" s="792">
        <f t="shared" si="123"/>
        <v>2.2301817936068121E-3</v>
      </c>
      <c r="AR151" s="793">
        <f t="shared" si="124"/>
        <v>187161.40569034262</v>
      </c>
      <c r="AS151" s="794">
        <v>53.111111111111114</v>
      </c>
      <c r="AT151" s="791">
        <f t="shared" si="125"/>
        <v>2.1300179915222598E-3</v>
      </c>
      <c r="AU151" s="795">
        <f t="shared" si="126"/>
        <v>178755.45508525075</v>
      </c>
      <c r="AV151" s="796">
        <v>142</v>
      </c>
      <c r="AW151" s="791">
        <f t="shared" si="127"/>
        <v>1.8082722086389569E-3</v>
      </c>
      <c r="AX151" s="795">
        <f t="shared" si="128"/>
        <v>113815.41946821517</v>
      </c>
      <c r="AY151" s="786">
        <f t="shared" si="129"/>
        <v>625457.01681311824</v>
      </c>
      <c r="AZ151" s="787">
        <f t="shared" si="102"/>
        <v>39.0227736968504</v>
      </c>
      <c r="BA151" s="797">
        <f t="shared" si="106"/>
        <v>2883223.4632806266</v>
      </c>
      <c r="BB151" s="775">
        <v>1924991</v>
      </c>
      <c r="BC151" s="775">
        <f t="shared" si="130"/>
        <v>0</v>
      </c>
      <c r="BD151" s="775">
        <f t="shared" si="131"/>
        <v>958232.46328062657</v>
      </c>
      <c r="BE151" s="798">
        <f t="shared" si="132"/>
        <v>1.4910106449381466E-3</v>
      </c>
      <c r="BF151" s="775">
        <f t="shared" si="133"/>
        <v>-1973.9222996566491</v>
      </c>
      <c r="BG151" s="797">
        <f t="shared" si="134"/>
        <v>2881249.54098097</v>
      </c>
      <c r="BH151" s="799">
        <v>8</v>
      </c>
      <c r="BI151" s="692">
        <f t="shared" si="143"/>
        <v>0</v>
      </c>
      <c r="BJ151" s="800">
        <v>1950</v>
      </c>
      <c r="BK151" s="778">
        <f t="shared" si="135"/>
        <v>0</v>
      </c>
      <c r="BL151" s="786">
        <f t="shared" si="142"/>
        <v>2881249.54098097</v>
      </c>
      <c r="BM151" s="692">
        <f t="shared" si="136"/>
        <v>2881249.54098097</v>
      </c>
      <c r="BN151" s="801">
        <f t="shared" si="137"/>
        <v>1.4078223177677875E-3</v>
      </c>
      <c r="BO151" s="787">
        <f t="shared" si="138"/>
        <v>6958.6281532075918</v>
      </c>
      <c r="BP151" s="802">
        <f t="shared" si="139"/>
        <v>2888208</v>
      </c>
      <c r="BQ151" s="803">
        <f t="shared" si="103"/>
        <v>180.19765410531571</v>
      </c>
      <c r="BR151" s="682"/>
      <c r="BS151" s="618"/>
    </row>
    <row r="152" spans="1:71" ht="15.75">
      <c r="A152" s="766" t="s">
        <v>3719</v>
      </c>
      <c r="B152" s="767" t="s">
        <v>3720</v>
      </c>
      <c r="C152" s="768">
        <v>8117</v>
      </c>
      <c r="D152" s="769">
        <v>0</v>
      </c>
      <c r="E152" s="770">
        <v>0</v>
      </c>
      <c r="F152" s="771">
        <v>0</v>
      </c>
      <c r="G152" s="770">
        <v>0</v>
      </c>
      <c r="H152" s="771">
        <v>0</v>
      </c>
      <c r="I152" s="770">
        <f t="shared" si="140"/>
        <v>0</v>
      </c>
      <c r="J152" s="772">
        <f t="shared" si="107"/>
        <v>0</v>
      </c>
      <c r="K152" s="773">
        <v>3955</v>
      </c>
      <c r="L152" s="774">
        <f t="shared" si="108"/>
        <v>1.4273758047710803E-3</v>
      </c>
      <c r="M152" s="775">
        <f t="shared" si="141"/>
        <v>119788.28938303079</v>
      </c>
      <c r="N152" s="806">
        <v>217.5</v>
      </c>
      <c r="O152" s="777">
        <f t="shared" si="109"/>
        <v>2.473510690683792E-4</v>
      </c>
      <c r="P152" s="778">
        <f t="shared" si="110"/>
        <v>20758.206312399281</v>
      </c>
      <c r="Q152" s="786">
        <f t="shared" si="96"/>
        <v>140546.49569543006</v>
      </c>
      <c r="R152" s="692">
        <f t="shared" si="97"/>
        <v>17.315078932540356</v>
      </c>
      <c r="S152" s="807">
        <v>31358691.789999999</v>
      </c>
      <c r="T152" s="782">
        <f t="shared" si="104"/>
        <v>2.1010343620587624</v>
      </c>
      <c r="U152" s="777">
        <f t="shared" si="111"/>
        <v>1.1420649303172919E-3</v>
      </c>
      <c r="V152" s="783">
        <f t="shared" si="98"/>
        <v>3863.3351965011702</v>
      </c>
      <c r="W152" s="778">
        <f t="shared" si="112"/>
        <v>455260.98913225369</v>
      </c>
      <c r="X152" s="784">
        <v>9689182.5331999995</v>
      </c>
      <c r="Y152" s="782">
        <f t="shared" si="105"/>
        <v>6.7999223643731117</v>
      </c>
      <c r="Z152" s="782">
        <f t="shared" si="113"/>
        <v>1.0499185311373203E-3</v>
      </c>
      <c r="AA152" s="783">
        <f t="shared" si="99"/>
        <v>1193.6900989528151</v>
      </c>
      <c r="AB152" s="692">
        <f t="shared" si="114"/>
        <v>246711.65390717282</v>
      </c>
      <c r="AC152" s="786">
        <f t="shared" si="115"/>
        <v>701972.64303942653</v>
      </c>
      <c r="AD152" s="787">
        <f t="shared" si="100"/>
        <v>86.481784284763648</v>
      </c>
      <c r="AE152" s="788">
        <v>3646.4528</v>
      </c>
      <c r="AF152" s="774">
        <f t="shared" si="116"/>
        <v>3.7926582426405994E-3</v>
      </c>
      <c r="AG152" s="692">
        <f t="shared" si="117"/>
        <v>477431.42511782114</v>
      </c>
      <c r="AH152" s="786">
        <f t="shared" si="118"/>
        <v>477431.42511782114</v>
      </c>
      <c r="AI152" s="692">
        <f t="shared" si="101"/>
        <v>58.818704585169542</v>
      </c>
      <c r="AJ152" s="789">
        <v>885</v>
      </c>
      <c r="AK152" s="777">
        <f t="shared" si="119"/>
        <v>1.176414289246377E-3</v>
      </c>
      <c r="AL152" s="692">
        <f t="shared" si="120"/>
        <v>24681.771759676507</v>
      </c>
      <c r="AM152" s="790">
        <v>1.6666666666666667</v>
      </c>
      <c r="AN152" s="791">
        <f t="shared" si="121"/>
        <v>2.4067388688327304E-4</v>
      </c>
      <c r="AO152" s="778">
        <f t="shared" si="122"/>
        <v>15148.382671480136</v>
      </c>
      <c r="AP152" s="768">
        <v>45</v>
      </c>
      <c r="AQ152" s="792">
        <f t="shared" si="123"/>
        <v>6.0823139825640332E-4</v>
      </c>
      <c r="AR152" s="793">
        <f t="shared" si="124"/>
        <v>51044.019733729809</v>
      </c>
      <c r="AS152" s="794">
        <v>5.3888888888888884</v>
      </c>
      <c r="AT152" s="791">
        <f t="shared" si="125"/>
        <v>2.1612107236156818E-4</v>
      </c>
      <c r="AU152" s="795">
        <f t="shared" si="126"/>
        <v>18137.32127957042</v>
      </c>
      <c r="AV152" s="796">
        <v>32</v>
      </c>
      <c r="AW152" s="791">
        <f t="shared" si="127"/>
        <v>4.0749796251018743E-4</v>
      </c>
      <c r="AX152" s="795">
        <f t="shared" si="128"/>
        <v>25648.545232273838</v>
      </c>
      <c r="AY152" s="786">
        <f t="shared" si="129"/>
        <v>134660.04067673071</v>
      </c>
      <c r="AZ152" s="787">
        <f t="shared" si="102"/>
        <v>16.589878117128336</v>
      </c>
      <c r="BA152" s="797">
        <f t="shared" si="106"/>
        <v>1454610.6045294085</v>
      </c>
      <c r="BB152" s="775">
        <v>1024997</v>
      </c>
      <c r="BC152" s="775">
        <f t="shared" si="130"/>
        <v>0</v>
      </c>
      <c r="BD152" s="775">
        <f t="shared" si="131"/>
        <v>429613.60452940851</v>
      </c>
      <c r="BE152" s="798">
        <f t="shared" si="132"/>
        <v>6.6847918653326001E-4</v>
      </c>
      <c r="BF152" s="775">
        <f t="shared" si="133"/>
        <v>-884.98762744184046</v>
      </c>
      <c r="BG152" s="797">
        <f t="shared" si="134"/>
        <v>1453725.6169019667</v>
      </c>
      <c r="BH152" s="799">
        <v>8</v>
      </c>
      <c r="BI152" s="692">
        <f t="shared" si="143"/>
        <v>0</v>
      </c>
      <c r="BJ152" s="800">
        <v>1100</v>
      </c>
      <c r="BK152" s="778">
        <f t="shared" si="135"/>
        <v>0</v>
      </c>
      <c r="BL152" s="786">
        <f t="shared" si="142"/>
        <v>1453725.6169019667</v>
      </c>
      <c r="BM152" s="692">
        <f t="shared" si="136"/>
        <v>1453725.6169019667</v>
      </c>
      <c r="BN152" s="801">
        <f t="shared" si="137"/>
        <v>7.1031243156000241E-4</v>
      </c>
      <c r="BO152" s="787">
        <f t="shared" si="138"/>
        <v>3510.9544872565807</v>
      </c>
      <c r="BP152" s="802">
        <f t="shared" si="139"/>
        <v>1457237</v>
      </c>
      <c r="BQ152" s="803">
        <f t="shared" si="103"/>
        <v>179.52901318221018</v>
      </c>
      <c r="BR152" s="682"/>
      <c r="BS152" s="618"/>
    </row>
    <row r="153" spans="1:71" ht="15.75">
      <c r="A153" s="805" t="s">
        <v>3721</v>
      </c>
      <c r="B153" s="767" t="s">
        <v>3722</v>
      </c>
      <c r="C153" s="768">
        <v>12961</v>
      </c>
      <c r="D153" s="769">
        <v>0</v>
      </c>
      <c r="E153" s="770">
        <v>0</v>
      </c>
      <c r="F153" s="771">
        <v>0</v>
      </c>
      <c r="G153" s="770">
        <v>0</v>
      </c>
      <c r="H153" s="771">
        <v>0</v>
      </c>
      <c r="I153" s="770">
        <f t="shared" si="140"/>
        <v>0</v>
      </c>
      <c r="J153" s="772">
        <f t="shared" si="107"/>
        <v>0</v>
      </c>
      <c r="K153" s="773">
        <v>7758</v>
      </c>
      <c r="L153" s="774">
        <f t="shared" si="108"/>
        <v>2.7998941829112619E-3</v>
      </c>
      <c r="M153" s="775">
        <f t="shared" si="141"/>
        <v>234972.83161404624</v>
      </c>
      <c r="N153" s="806">
        <v>643.5</v>
      </c>
      <c r="O153" s="777">
        <f t="shared" si="109"/>
        <v>7.318179905540323E-4</v>
      </c>
      <c r="P153" s="778">
        <f t="shared" si="110"/>
        <v>61415.658675995124</v>
      </c>
      <c r="Q153" s="786">
        <f t="shared" si="96"/>
        <v>296388.49029004137</v>
      </c>
      <c r="R153" s="692">
        <f t="shared" si="97"/>
        <v>22.867717791068696</v>
      </c>
      <c r="S153" s="807">
        <v>39517821.630000003</v>
      </c>
      <c r="T153" s="782">
        <f t="shared" si="104"/>
        <v>4.2509306958476696</v>
      </c>
      <c r="U153" s="777">
        <f t="shared" si="111"/>
        <v>2.3106898947524799E-3</v>
      </c>
      <c r="V153" s="783">
        <f t="shared" si="98"/>
        <v>3048.9793711904949</v>
      </c>
      <c r="W153" s="778">
        <f t="shared" si="112"/>
        <v>921109.59643131366</v>
      </c>
      <c r="X153" s="784">
        <v>12466980.631899999</v>
      </c>
      <c r="Y153" s="782">
        <f t="shared" si="105"/>
        <v>13.474595490279372</v>
      </c>
      <c r="Z153" s="782">
        <f t="shared" si="113"/>
        <v>2.0804983861206065E-3</v>
      </c>
      <c r="AA153" s="783">
        <f t="shared" si="99"/>
        <v>961.884162634056</v>
      </c>
      <c r="AB153" s="692">
        <f t="shared" si="114"/>
        <v>488879.07258385717</v>
      </c>
      <c r="AC153" s="786">
        <f t="shared" si="115"/>
        <v>1409988.6690151708</v>
      </c>
      <c r="AD153" s="787">
        <f t="shared" si="100"/>
        <v>108.78702793111417</v>
      </c>
      <c r="AE153" s="788">
        <v>399.24959999999999</v>
      </c>
      <c r="AF153" s="774">
        <f t="shared" si="116"/>
        <v>4.1525761318258726E-4</v>
      </c>
      <c r="AG153" s="692">
        <f t="shared" si="117"/>
        <v>52273.899035720424</v>
      </c>
      <c r="AH153" s="786">
        <f t="shared" si="118"/>
        <v>52273.899035720424</v>
      </c>
      <c r="AI153" s="692">
        <f t="shared" si="101"/>
        <v>4.0331686625816232</v>
      </c>
      <c r="AJ153" s="789">
        <v>1885</v>
      </c>
      <c r="AK153" s="777">
        <f t="shared" si="119"/>
        <v>2.5056959720106448E-3</v>
      </c>
      <c r="AL153" s="692">
        <f t="shared" si="120"/>
        <v>52570.779397729049</v>
      </c>
      <c r="AM153" s="790">
        <v>13.666666666666666</v>
      </c>
      <c r="AN153" s="791">
        <f t="shared" si="121"/>
        <v>1.9735258724428387E-3</v>
      </c>
      <c r="AO153" s="778">
        <f t="shared" si="122"/>
        <v>124216.7379061371</v>
      </c>
      <c r="AP153" s="768">
        <v>106</v>
      </c>
      <c r="AQ153" s="792">
        <f t="shared" si="123"/>
        <v>1.4327228492261946E-3</v>
      </c>
      <c r="AR153" s="793">
        <f t="shared" si="124"/>
        <v>120237.02426167467</v>
      </c>
      <c r="AS153" s="794">
        <v>21.194444444444446</v>
      </c>
      <c r="AT153" s="791">
        <f t="shared" si="125"/>
        <v>8.5000194954575547E-4</v>
      </c>
      <c r="AU153" s="795">
        <f t="shared" si="126"/>
        <v>71333.897609856867</v>
      </c>
      <c r="AV153" s="796">
        <v>308</v>
      </c>
      <c r="AW153" s="791">
        <f t="shared" si="127"/>
        <v>3.9221678891605541E-3</v>
      </c>
      <c r="AX153" s="795">
        <f t="shared" si="128"/>
        <v>246867.24786063569</v>
      </c>
      <c r="AY153" s="786">
        <f t="shared" si="129"/>
        <v>615225.68703603337</v>
      </c>
      <c r="AZ153" s="787">
        <f t="shared" si="102"/>
        <v>47.467455214569355</v>
      </c>
      <c r="BA153" s="797">
        <f t="shared" si="106"/>
        <v>2373876.745376966</v>
      </c>
      <c r="BB153" s="775">
        <v>1681957</v>
      </c>
      <c r="BC153" s="775">
        <f t="shared" si="130"/>
        <v>0</v>
      </c>
      <c r="BD153" s="775">
        <f t="shared" si="131"/>
        <v>691919.74537696596</v>
      </c>
      <c r="BE153" s="798">
        <f t="shared" si="132"/>
        <v>1.0766277968374547E-3</v>
      </c>
      <c r="BF153" s="775">
        <f t="shared" si="133"/>
        <v>-1425.3282656448248</v>
      </c>
      <c r="BG153" s="797">
        <f t="shared" si="134"/>
        <v>2372451.4171113214</v>
      </c>
      <c r="BH153" s="799">
        <v>7.5</v>
      </c>
      <c r="BI153" s="692">
        <f t="shared" si="143"/>
        <v>0</v>
      </c>
      <c r="BJ153" s="800">
        <v>1750</v>
      </c>
      <c r="BK153" s="778">
        <f t="shared" si="135"/>
        <v>0</v>
      </c>
      <c r="BL153" s="786">
        <f t="shared" si="142"/>
        <v>2372451.4171113214</v>
      </c>
      <c r="BM153" s="692">
        <f t="shared" si="136"/>
        <v>2372451.4171113214</v>
      </c>
      <c r="BN153" s="801">
        <f t="shared" si="137"/>
        <v>1.1592158212342749E-3</v>
      </c>
      <c r="BO153" s="787">
        <f t="shared" si="138"/>
        <v>5729.8081920413324</v>
      </c>
      <c r="BP153" s="802">
        <f t="shared" si="139"/>
        <v>2378181</v>
      </c>
      <c r="BQ153" s="803">
        <f t="shared" si="103"/>
        <v>183.48746238716149</v>
      </c>
      <c r="BR153" s="682"/>
      <c r="BS153" s="618"/>
    </row>
    <row r="154" spans="1:71" ht="15.75">
      <c r="A154" s="766" t="s">
        <v>3723</v>
      </c>
      <c r="B154" s="767" t="s">
        <v>3724</v>
      </c>
      <c r="C154" s="768">
        <v>15533</v>
      </c>
      <c r="D154" s="769">
        <v>0</v>
      </c>
      <c r="E154" s="770">
        <v>0</v>
      </c>
      <c r="F154" s="771">
        <v>0</v>
      </c>
      <c r="G154" s="770">
        <v>0</v>
      </c>
      <c r="H154" s="771">
        <v>0</v>
      </c>
      <c r="I154" s="770">
        <f t="shared" si="140"/>
        <v>0</v>
      </c>
      <c r="J154" s="772">
        <f t="shared" si="107"/>
        <v>0</v>
      </c>
      <c r="K154" s="773">
        <v>5350</v>
      </c>
      <c r="L154" s="774">
        <f t="shared" si="108"/>
        <v>1.9308370557586042E-3</v>
      </c>
      <c r="M154" s="775">
        <f t="shared" si="141"/>
        <v>162039.78462685581</v>
      </c>
      <c r="N154" s="806">
        <v>149.5</v>
      </c>
      <c r="O154" s="777">
        <f t="shared" si="109"/>
        <v>1.7001832103780547E-4</v>
      </c>
      <c r="P154" s="778">
        <f t="shared" si="110"/>
        <v>14268.284338867552</v>
      </c>
      <c r="Q154" s="786">
        <f t="shared" si="96"/>
        <v>176308.06896572336</v>
      </c>
      <c r="R154" s="692">
        <f t="shared" si="97"/>
        <v>11.350548443038909</v>
      </c>
      <c r="S154" s="807">
        <v>51713274.119999997</v>
      </c>
      <c r="T154" s="782">
        <f t="shared" si="104"/>
        <v>4.6656123230589994</v>
      </c>
      <c r="U154" s="777">
        <f t="shared" si="111"/>
        <v>2.53609950833962E-3</v>
      </c>
      <c r="V154" s="783">
        <f t="shared" si="98"/>
        <v>3329.2521805188949</v>
      </c>
      <c r="W154" s="778">
        <f t="shared" si="112"/>
        <v>1010964.5608185751</v>
      </c>
      <c r="X154" s="784">
        <v>12009414.6293</v>
      </c>
      <c r="Y154" s="782">
        <f t="shared" si="105"/>
        <v>20.090412101465038</v>
      </c>
      <c r="Z154" s="782">
        <f t="shared" si="113"/>
        <v>3.101990704192138E-3</v>
      </c>
      <c r="AA154" s="783">
        <f t="shared" si="99"/>
        <v>773.15487216249278</v>
      </c>
      <c r="AB154" s="692">
        <f t="shared" si="114"/>
        <v>728911.08627915417</v>
      </c>
      <c r="AC154" s="786">
        <f t="shared" si="115"/>
        <v>1739875.6470977291</v>
      </c>
      <c r="AD154" s="787">
        <f t="shared" si="100"/>
        <v>112.01156551198926</v>
      </c>
      <c r="AE154" s="788">
        <v>3126.7195000000002</v>
      </c>
      <c r="AF154" s="774">
        <f t="shared" si="116"/>
        <v>3.2520861051869628E-3</v>
      </c>
      <c r="AG154" s="692">
        <f t="shared" si="117"/>
        <v>409382.55030441674</v>
      </c>
      <c r="AH154" s="786">
        <f t="shared" si="118"/>
        <v>409382.55030441674</v>
      </c>
      <c r="AI154" s="692">
        <f t="shared" si="101"/>
        <v>26.355665377223765</v>
      </c>
      <c r="AJ154" s="789">
        <v>1718</v>
      </c>
      <c r="AK154" s="777">
        <f t="shared" si="119"/>
        <v>2.283705930989012E-3</v>
      </c>
      <c r="AL154" s="692">
        <f t="shared" si="120"/>
        <v>47913.315122174274</v>
      </c>
      <c r="AM154" s="790">
        <v>9.3333333333333339</v>
      </c>
      <c r="AN154" s="791">
        <f t="shared" si="121"/>
        <v>1.347773766546329E-3</v>
      </c>
      <c r="AO154" s="778">
        <f t="shared" si="122"/>
        <v>84830.942960288769</v>
      </c>
      <c r="AP154" s="768">
        <v>188</v>
      </c>
      <c r="AQ154" s="792">
        <f t="shared" si="123"/>
        <v>2.5410556193823071E-3</v>
      </c>
      <c r="AR154" s="793">
        <f t="shared" si="124"/>
        <v>213250.57133202677</v>
      </c>
      <c r="AS154" s="794">
        <v>13.222222222222223</v>
      </c>
      <c r="AT154" s="791">
        <f t="shared" si="125"/>
        <v>5.3027644558817767E-4</v>
      </c>
      <c r="AU154" s="795">
        <f t="shared" si="126"/>
        <v>44501.881077708873</v>
      </c>
      <c r="AV154" s="796">
        <v>93</v>
      </c>
      <c r="AW154" s="791">
        <f t="shared" si="127"/>
        <v>1.1842909535452323E-3</v>
      </c>
      <c r="AX154" s="795">
        <f t="shared" si="128"/>
        <v>74541.084581295843</v>
      </c>
      <c r="AY154" s="786">
        <f t="shared" si="129"/>
        <v>465037.79507349455</v>
      </c>
      <c r="AZ154" s="787">
        <f t="shared" si="102"/>
        <v>29.938697938163557</v>
      </c>
      <c r="BA154" s="797">
        <f t="shared" si="106"/>
        <v>2790604.0614413638</v>
      </c>
      <c r="BB154" s="775">
        <v>2052669</v>
      </c>
      <c r="BC154" s="775">
        <f t="shared" si="130"/>
        <v>0</v>
      </c>
      <c r="BD154" s="775">
        <f t="shared" si="131"/>
        <v>737935.06144136377</v>
      </c>
      <c r="BE154" s="798">
        <f t="shared" si="132"/>
        <v>1.1482276733927928E-3</v>
      </c>
      <c r="BF154" s="775">
        <f t="shared" si="133"/>
        <v>-1520.1180603824128</v>
      </c>
      <c r="BG154" s="797">
        <f t="shared" si="134"/>
        <v>2789083.9433809812</v>
      </c>
      <c r="BH154" s="799">
        <v>7.5</v>
      </c>
      <c r="BI154" s="692">
        <f t="shared" si="143"/>
        <v>0</v>
      </c>
      <c r="BJ154" s="800">
        <v>1100</v>
      </c>
      <c r="BK154" s="778">
        <f t="shared" si="135"/>
        <v>0</v>
      </c>
      <c r="BL154" s="786">
        <f t="shared" si="142"/>
        <v>2789083.9433809812</v>
      </c>
      <c r="BM154" s="692">
        <f t="shared" si="136"/>
        <v>2789083.9433809812</v>
      </c>
      <c r="BN154" s="801">
        <f t="shared" si="137"/>
        <v>1.3627888059576676E-3</v>
      </c>
      <c r="BO154" s="787">
        <f t="shared" si="138"/>
        <v>6736.0351035274425</v>
      </c>
      <c r="BP154" s="802">
        <f t="shared" si="139"/>
        <v>2795820</v>
      </c>
      <c r="BQ154" s="803">
        <f t="shared" si="103"/>
        <v>179.99227451232858</v>
      </c>
      <c r="BR154" s="682"/>
      <c r="BS154" s="618"/>
    </row>
    <row r="155" spans="1:71" ht="15.75">
      <c r="A155" s="805" t="s">
        <v>3725</v>
      </c>
      <c r="B155" s="767" t="s">
        <v>3726</v>
      </c>
      <c r="C155" s="768">
        <v>12290</v>
      </c>
      <c r="D155" s="769">
        <v>0</v>
      </c>
      <c r="E155" s="770">
        <v>0</v>
      </c>
      <c r="F155" s="771">
        <v>0</v>
      </c>
      <c r="G155" s="770">
        <v>0</v>
      </c>
      <c r="H155" s="771">
        <v>0</v>
      </c>
      <c r="I155" s="770">
        <f t="shared" si="140"/>
        <v>0</v>
      </c>
      <c r="J155" s="772">
        <f t="shared" si="107"/>
        <v>0</v>
      </c>
      <c r="K155" s="773">
        <v>3110</v>
      </c>
      <c r="L155" s="774">
        <f t="shared" si="108"/>
        <v>1.1224118211979924E-3</v>
      </c>
      <c r="M155" s="775">
        <f t="shared" si="141"/>
        <v>94195.089755050765</v>
      </c>
      <c r="N155" s="806">
        <v>72.5</v>
      </c>
      <c r="O155" s="777">
        <f t="shared" si="109"/>
        <v>8.2450356356126409E-5</v>
      </c>
      <c r="P155" s="778">
        <f t="shared" si="110"/>
        <v>6919.4021041330943</v>
      </c>
      <c r="Q155" s="786">
        <f t="shared" si="96"/>
        <v>101114.49185918387</v>
      </c>
      <c r="R155" s="692">
        <f t="shared" si="97"/>
        <v>8.227379321333105</v>
      </c>
      <c r="S155" s="807">
        <v>51610425.120000005</v>
      </c>
      <c r="T155" s="782">
        <f t="shared" si="104"/>
        <v>2.9266199541818461</v>
      </c>
      <c r="U155" s="777">
        <f t="shared" si="111"/>
        <v>1.5908307233789092E-3</v>
      </c>
      <c r="V155" s="783">
        <f t="shared" si="98"/>
        <v>4199.3836550040687</v>
      </c>
      <c r="W155" s="778">
        <f t="shared" si="112"/>
        <v>634152.35810301034</v>
      </c>
      <c r="X155" s="784">
        <v>9935653.5175999999</v>
      </c>
      <c r="Y155" s="782">
        <f t="shared" si="105"/>
        <v>15.202231009006175</v>
      </c>
      <c r="Z155" s="782">
        <f t="shared" si="113"/>
        <v>2.3472479825080248E-3</v>
      </c>
      <c r="AA155" s="783">
        <f t="shared" si="99"/>
        <v>808.43397213995115</v>
      </c>
      <c r="AB155" s="692">
        <f t="shared" si="114"/>
        <v>551560.34941828169</v>
      </c>
      <c r="AC155" s="786">
        <f t="shared" si="115"/>
        <v>1185712.7075212919</v>
      </c>
      <c r="AD155" s="787">
        <f t="shared" si="100"/>
        <v>96.477844387411878</v>
      </c>
      <c r="AE155" s="788">
        <v>2361.6659</v>
      </c>
      <c r="AF155" s="774">
        <f t="shared" si="116"/>
        <v>2.456357488570325E-3</v>
      </c>
      <c r="AG155" s="692">
        <f t="shared" si="117"/>
        <v>309213.79711514752</v>
      </c>
      <c r="AH155" s="786">
        <f t="shared" si="118"/>
        <v>309213.79711514752</v>
      </c>
      <c r="AI155" s="692">
        <f t="shared" si="101"/>
        <v>25.159788211159277</v>
      </c>
      <c r="AJ155" s="789">
        <v>1261</v>
      </c>
      <c r="AK155" s="777">
        <f t="shared" si="119"/>
        <v>1.6762242019657417E-3</v>
      </c>
      <c r="AL155" s="692">
        <f t="shared" si="120"/>
        <v>35168.038631584262</v>
      </c>
      <c r="AM155" s="790">
        <v>2.6666666666666665</v>
      </c>
      <c r="AN155" s="791">
        <f t="shared" si="121"/>
        <v>3.8507821901323682E-4</v>
      </c>
      <c r="AO155" s="778">
        <f t="shared" si="122"/>
        <v>24237.412274368216</v>
      </c>
      <c r="AP155" s="768">
        <v>91</v>
      </c>
      <c r="AQ155" s="792">
        <f t="shared" si="123"/>
        <v>1.2299790498073934E-3</v>
      </c>
      <c r="AR155" s="793">
        <f t="shared" si="124"/>
        <v>103222.35101709806</v>
      </c>
      <c r="AS155" s="794">
        <v>19.75</v>
      </c>
      <c r="AT155" s="791">
        <f t="shared" si="125"/>
        <v>7.9207258994368559E-4</v>
      </c>
      <c r="AU155" s="795">
        <f t="shared" si="126"/>
        <v>66472.347576157583</v>
      </c>
      <c r="AV155" s="796">
        <v>57</v>
      </c>
      <c r="AW155" s="791">
        <f t="shared" si="127"/>
        <v>7.2585574572127138E-4</v>
      </c>
      <c r="AX155" s="795">
        <f t="shared" si="128"/>
        <v>45686.471194987775</v>
      </c>
      <c r="AY155" s="786">
        <f t="shared" si="129"/>
        <v>274786.62069419591</v>
      </c>
      <c r="AZ155" s="787">
        <f t="shared" si="102"/>
        <v>22.358553351846698</v>
      </c>
      <c r="BA155" s="797">
        <f t="shared" si="106"/>
        <v>1870827.6171898192</v>
      </c>
      <c r="BB155" s="775">
        <v>1415231</v>
      </c>
      <c r="BC155" s="775">
        <f t="shared" si="130"/>
        <v>0</v>
      </c>
      <c r="BD155" s="775">
        <f t="shared" si="131"/>
        <v>455596.61718981923</v>
      </c>
      <c r="BE155" s="798">
        <f t="shared" si="132"/>
        <v>7.0890877950655659E-4</v>
      </c>
      <c r="BF155" s="775">
        <f t="shared" si="133"/>
        <v>-938.51164177866804</v>
      </c>
      <c r="BG155" s="797">
        <f t="shared" si="134"/>
        <v>1869889.1055480405</v>
      </c>
      <c r="BH155" s="799">
        <v>7.8</v>
      </c>
      <c r="BI155" s="692">
        <f t="shared" si="143"/>
        <v>0</v>
      </c>
      <c r="BJ155" s="800">
        <v>1250</v>
      </c>
      <c r="BK155" s="778">
        <f t="shared" si="135"/>
        <v>0</v>
      </c>
      <c r="BL155" s="786">
        <f t="shared" si="142"/>
        <v>1869889.1055480405</v>
      </c>
      <c r="BM155" s="692">
        <f t="shared" si="136"/>
        <v>1869889.1055480405</v>
      </c>
      <c r="BN155" s="801">
        <f t="shared" si="137"/>
        <v>9.136562373716191E-4</v>
      </c>
      <c r="BO155" s="787">
        <f t="shared" si="138"/>
        <v>4516.0486060546664</v>
      </c>
      <c r="BP155" s="802">
        <f t="shared" si="139"/>
        <v>1874405</v>
      </c>
      <c r="BQ155" s="803">
        <f t="shared" si="103"/>
        <v>152.51464605370219</v>
      </c>
      <c r="BR155" s="682"/>
      <c r="BS155" s="618"/>
    </row>
    <row r="156" spans="1:71" ht="15.75">
      <c r="A156" s="766" t="s">
        <v>3727</v>
      </c>
      <c r="B156" s="767" t="s">
        <v>3728</v>
      </c>
      <c r="C156" s="768">
        <v>25599</v>
      </c>
      <c r="D156" s="769">
        <v>0</v>
      </c>
      <c r="E156" s="770">
        <v>0</v>
      </c>
      <c r="F156" s="771">
        <v>0</v>
      </c>
      <c r="G156" s="770">
        <v>0</v>
      </c>
      <c r="H156" s="771">
        <v>0</v>
      </c>
      <c r="I156" s="770">
        <f t="shared" si="140"/>
        <v>0</v>
      </c>
      <c r="J156" s="772">
        <f t="shared" si="107"/>
        <v>0</v>
      </c>
      <c r="K156" s="773">
        <v>8249</v>
      </c>
      <c r="L156" s="774">
        <f t="shared" si="108"/>
        <v>2.9770981070939674E-3</v>
      </c>
      <c r="M156" s="775">
        <f t="shared" si="141"/>
        <v>249844.14642746421</v>
      </c>
      <c r="N156" s="806">
        <v>2627.5</v>
      </c>
      <c r="O156" s="777">
        <f t="shared" si="109"/>
        <v>2.9881146389754776E-3</v>
      </c>
      <c r="P156" s="778">
        <f t="shared" si="110"/>
        <v>250768.67625668561</v>
      </c>
      <c r="Q156" s="786">
        <f t="shared" si="96"/>
        <v>500612.82268414984</v>
      </c>
      <c r="R156" s="692">
        <f t="shared" si="97"/>
        <v>19.555952290485951</v>
      </c>
      <c r="S156" s="807">
        <v>60178700.25</v>
      </c>
      <c r="T156" s="782">
        <f t="shared" si="104"/>
        <v>10.889381097924261</v>
      </c>
      <c r="U156" s="777">
        <f t="shared" si="111"/>
        <v>5.9191703331368372E-3</v>
      </c>
      <c r="V156" s="783">
        <f t="shared" si="98"/>
        <v>2350.8223075120122</v>
      </c>
      <c r="W156" s="778">
        <f t="shared" si="112"/>
        <v>2359557.0349555342</v>
      </c>
      <c r="X156" s="784">
        <v>31766118.4443</v>
      </c>
      <c r="Y156" s="782">
        <f t="shared" si="105"/>
        <v>20.629174513374842</v>
      </c>
      <c r="Z156" s="782">
        <f t="shared" si="113"/>
        <v>3.1851764539453983E-3</v>
      </c>
      <c r="AA156" s="783">
        <f t="shared" si="99"/>
        <v>1240.9124748740185</v>
      </c>
      <c r="AB156" s="692">
        <f t="shared" si="114"/>
        <v>748458.21617017884</v>
      </c>
      <c r="AC156" s="786">
        <f t="shared" si="115"/>
        <v>3108015.2511257129</v>
      </c>
      <c r="AD156" s="787">
        <f t="shared" si="100"/>
        <v>121.41158838726953</v>
      </c>
      <c r="AE156" s="788">
        <v>4005.3330000000001</v>
      </c>
      <c r="AF156" s="774">
        <f t="shared" si="116"/>
        <v>4.1659278345712852E-3</v>
      </c>
      <c r="AG156" s="692">
        <f t="shared" si="117"/>
        <v>524419.74355500715</v>
      </c>
      <c r="AH156" s="786">
        <f t="shared" si="118"/>
        <v>524419.74355500715</v>
      </c>
      <c r="AI156" s="692">
        <f t="shared" si="101"/>
        <v>20.485946464901254</v>
      </c>
      <c r="AJ156" s="789">
        <v>3116</v>
      </c>
      <c r="AK156" s="777">
        <f t="shared" si="119"/>
        <v>4.1420417234934587E-3</v>
      </c>
      <c r="AL156" s="692">
        <f t="shared" si="120"/>
        <v>86902.147800171748</v>
      </c>
      <c r="AM156" s="790">
        <v>26.333333333333332</v>
      </c>
      <c r="AN156" s="791">
        <f t="shared" si="121"/>
        <v>3.8026474127557139E-3</v>
      </c>
      <c r="AO156" s="778">
        <f t="shared" si="122"/>
        <v>239344.44620938614</v>
      </c>
      <c r="AP156" s="768">
        <v>360</v>
      </c>
      <c r="AQ156" s="792">
        <f t="shared" si="123"/>
        <v>4.8658511860512265E-3</v>
      </c>
      <c r="AR156" s="793">
        <f t="shared" si="124"/>
        <v>408352.15786983847</v>
      </c>
      <c r="AS156" s="794">
        <v>63.027777777777771</v>
      </c>
      <c r="AT156" s="791">
        <f t="shared" si="125"/>
        <v>2.5277253257133931E-3</v>
      </c>
      <c r="AU156" s="795">
        <f t="shared" si="126"/>
        <v>212131.86589353241</v>
      </c>
      <c r="AV156" s="796">
        <v>133</v>
      </c>
      <c r="AW156" s="791">
        <f t="shared" si="127"/>
        <v>1.6936634066829666E-3</v>
      </c>
      <c r="AX156" s="795">
        <f t="shared" si="128"/>
        <v>106601.76612163814</v>
      </c>
      <c r="AY156" s="786">
        <f t="shared" si="129"/>
        <v>1053332.3838945669</v>
      </c>
      <c r="AZ156" s="787">
        <f t="shared" si="102"/>
        <v>41.147403566333331</v>
      </c>
      <c r="BA156" s="797">
        <f t="shared" si="106"/>
        <v>5186380.2012594361</v>
      </c>
      <c r="BB156" s="775">
        <v>3355540</v>
      </c>
      <c r="BC156" s="775">
        <f t="shared" si="130"/>
        <v>0</v>
      </c>
      <c r="BD156" s="775">
        <f t="shared" si="131"/>
        <v>1830840.2012594361</v>
      </c>
      <c r="BE156" s="798">
        <f t="shared" si="132"/>
        <v>2.8487891340194262E-3</v>
      </c>
      <c r="BF156" s="775">
        <f t="shared" si="133"/>
        <v>-3771.4609333951321</v>
      </c>
      <c r="BG156" s="797">
        <f t="shared" si="134"/>
        <v>5182608.7403260414</v>
      </c>
      <c r="BH156" s="799">
        <v>6.9</v>
      </c>
      <c r="BI156" s="692">
        <f t="shared" si="143"/>
        <v>0</v>
      </c>
      <c r="BJ156" s="800">
        <v>1200</v>
      </c>
      <c r="BK156" s="778">
        <f t="shared" si="135"/>
        <v>0</v>
      </c>
      <c r="BL156" s="786">
        <f t="shared" si="142"/>
        <v>5182608.7403260414</v>
      </c>
      <c r="BM156" s="692">
        <f t="shared" si="136"/>
        <v>5182608.7403260414</v>
      </c>
      <c r="BN156" s="801">
        <f t="shared" si="137"/>
        <v>2.5323014008725151E-3</v>
      </c>
      <c r="BO156" s="787">
        <f t="shared" si="138"/>
        <v>12516.73851033881</v>
      </c>
      <c r="BP156" s="802">
        <f t="shared" si="139"/>
        <v>5195125</v>
      </c>
      <c r="BQ156" s="803">
        <f t="shared" si="103"/>
        <v>202.94249775381851</v>
      </c>
      <c r="BR156" s="682"/>
      <c r="BS156" s="618"/>
    </row>
    <row r="157" spans="1:71" ht="15.75">
      <c r="A157" s="766" t="s">
        <v>3729</v>
      </c>
      <c r="B157" s="767" t="s">
        <v>3730</v>
      </c>
      <c r="C157" s="768">
        <v>15546</v>
      </c>
      <c r="D157" s="769">
        <v>0</v>
      </c>
      <c r="E157" s="770">
        <v>0</v>
      </c>
      <c r="F157" s="771">
        <v>0</v>
      </c>
      <c r="G157" s="770">
        <v>0</v>
      </c>
      <c r="H157" s="771">
        <v>0</v>
      </c>
      <c r="I157" s="770">
        <f t="shared" si="140"/>
        <v>0</v>
      </c>
      <c r="J157" s="772">
        <f t="shared" si="107"/>
        <v>0</v>
      </c>
      <c r="K157" s="773">
        <v>3523</v>
      </c>
      <c r="L157" s="774">
        <f t="shared" si="108"/>
        <v>1.2714652238201051E-3</v>
      </c>
      <c r="M157" s="775">
        <f t="shared" si="141"/>
        <v>106703.95537203981</v>
      </c>
      <c r="N157" s="806">
        <v>1154</v>
      </c>
      <c r="O157" s="777">
        <f t="shared" si="109"/>
        <v>1.3123822239306188E-3</v>
      </c>
      <c r="P157" s="778">
        <f t="shared" si="110"/>
        <v>110137.79349199435</v>
      </c>
      <c r="Q157" s="786">
        <f t="shared" si="96"/>
        <v>216841.74886403416</v>
      </c>
      <c r="R157" s="692">
        <f t="shared" si="97"/>
        <v>13.948395012481292</v>
      </c>
      <c r="S157" s="807">
        <v>59765607.43</v>
      </c>
      <c r="T157" s="782">
        <f t="shared" si="104"/>
        <v>4.043765744087243</v>
      </c>
      <c r="U157" s="777">
        <f t="shared" si="111"/>
        <v>2.1980806816577353E-3</v>
      </c>
      <c r="V157" s="783">
        <f t="shared" si="98"/>
        <v>3844.4363456837773</v>
      </c>
      <c r="W157" s="778">
        <f t="shared" si="112"/>
        <v>876220.22072421166</v>
      </c>
      <c r="X157" s="784">
        <v>12003134.978399999</v>
      </c>
      <c r="Y157" s="782">
        <f t="shared" si="105"/>
        <v>20.134582876465775</v>
      </c>
      <c r="Z157" s="782">
        <f t="shared" si="113"/>
        <v>3.1088107401753347E-3</v>
      </c>
      <c r="AA157" s="783">
        <f t="shared" si="99"/>
        <v>772.10439845619453</v>
      </c>
      <c r="AB157" s="692">
        <f t="shared" si="114"/>
        <v>730513.67001038732</v>
      </c>
      <c r="AC157" s="786">
        <f t="shared" si="115"/>
        <v>1606733.890734599</v>
      </c>
      <c r="AD157" s="787">
        <f t="shared" si="100"/>
        <v>103.3535244265148</v>
      </c>
      <c r="AE157" s="788">
        <v>4399.4377000000004</v>
      </c>
      <c r="AF157" s="774">
        <f t="shared" si="116"/>
        <v>4.5758342616936667E-3</v>
      </c>
      <c r="AG157" s="692">
        <f t="shared" si="117"/>
        <v>576020.0189148396</v>
      </c>
      <c r="AH157" s="786">
        <f t="shared" si="118"/>
        <v>576020.0189148396</v>
      </c>
      <c r="AI157" s="692">
        <f t="shared" si="101"/>
        <v>37.052619253495408</v>
      </c>
      <c r="AJ157" s="789">
        <v>1595</v>
      </c>
      <c r="AK157" s="777">
        <f t="shared" si="119"/>
        <v>2.1202042840090074E-3</v>
      </c>
      <c r="AL157" s="692">
        <f t="shared" si="120"/>
        <v>44482.967182693821</v>
      </c>
      <c r="AM157" s="790">
        <v>12.666666666666666</v>
      </c>
      <c r="AN157" s="791">
        <f t="shared" si="121"/>
        <v>1.8291215403128749E-3</v>
      </c>
      <c r="AO157" s="778">
        <f t="shared" si="122"/>
        <v>115127.70830324902</v>
      </c>
      <c r="AP157" s="768">
        <v>182</v>
      </c>
      <c r="AQ157" s="792">
        <f t="shared" si="123"/>
        <v>2.4599580996147868E-3</v>
      </c>
      <c r="AR157" s="793">
        <f t="shared" si="124"/>
        <v>206444.70203419612</v>
      </c>
      <c r="AS157" s="794">
        <v>73.083333333333329</v>
      </c>
      <c r="AT157" s="791">
        <f t="shared" si="125"/>
        <v>2.9310027906354944E-3</v>
      </c>
      <c r="AU157" s="795">
        <f t="shared" si="126"/>
        <v>245975.73343582358</v>
      </c>
      <c r="AV157" s="796">
        <v>222</v>
      </c>
      <c r="AW157" s="791">
        <f t="shared" si="127"/>
        <v>2.8270171149144254E-3</v>
      </c>
      <c r="AX157" s="795">
        <f t="shared" si="128"/>
        <v>177936.78254889976</v>
      </c>
      <c r="AY157" s="786">
        <f t="shared" si="129"/>
        <v>789967.89350486221</v>
      </c>
      <c r="AZ157" s="787">
        <f t="shared" si="102"/>
        <v>50.814865142471518</v>
      </c>
      <c r="BA157" s="797">
        <f t="shared" si="106"/>
        <v>3189563.5520183351</v>
      </c>
      <c r="BB157" s="775">
        <v>1900367</v>
      </c>
      <c r="BC157" s="775">
        <f t="shared" si="130"/>
        <v>0</v>
      </c>
      <c r="BD157" s="775">
        <f t="shared" si="131"/>
        <v>1289196.5520183351</v>
      </c>
      <c r="BE157" s="798">
        <f t="shared" si="132"/>
        <v>2.0059910889430577E-3</v>
      </c>
      <c r="BF157" s="775">
        <f t="shared" si="133"/>
        <v>-2655.6956899133943</v>
      </c>
      <c r="BG157" s="797">
        <f t="shared" si="134"/>
        <v>3186907.8563284217</v>
      </c>
      <c r="BH157" s="799">
        <v>8</v>
      </c>
      <c r="BI157" s="692">
        <f t="shared" si="143"/>
        <v>0</v>
      </c>
      <c r="BJ157" s="800">
        <v>1250</v>
      </c>
      <c r="BK157" s="778">
        <f t="shared" si="135"/>
        <v>0</v>
      </c>
      <c r="BL157" s="786">
        <f t="shared" si="142"/>
        <v>3186907.8563284217</v>
      </c>
      <c r="BM157" s="692">
        <f t="shared" si="136"/>
        <v>3186907.8563284217</v>
      </c>
      <c r="BN157" s="801">
        <f t="shared" si="137"/>
        <v>1.5571716163401493E-3</v>
      </c>
      <c r="BO157" s="787">
        <f t="shared" si="138"/>
        <v>7696.836534045935</v>
      </c>
      <c r="BP157" s="802">
        <f t="shared" si="139"/>
        <v>3194605</v>
      </c>
      <c r="BQ157" s="803">
        <f t="shared" si="103"/>
        <v>205.49369612762126</v>
      </c>
      <c r="BR157" s="682"/>
      <c r="BS157" s="618"/>
    </row>
    <row r="158" spans="1:71" ht="15.75">
      <c r="A158" s="766" t="s">
        <v>3731</v>
      </c>
      <c r="B158" s="767" t="s">
        <v>3732</v>
      </c>
      <c r="C158" s="768">
        <v>7981</v>
      </c>
      <c r="D158" s="769">
        <v>0</v>
      </c>
      <c r="E158" s="770">
        <v>0</v>
      </c>
      <c r="F158" s="771">
        <v>0</v>
      </c>
      <c r="G158" s="770">
        <v>0</v>
      </c>
      <c r="H158" s="771">
        <v>0</v>
      </c>
      <c r="I158" s="770">
        <f t="shared" si="140"/>
        <v>0</v>
      </c>
      <c r="J158" s="772">
        <f t="shared" si="107"/>
        <v>0</v>
      </c>
      <c r="K158" s="773">
        <v>2889</v>
      </c>
      <c r="L158" s="774">
        <f t="shared" si="108"/>
        <v>1.0426520101096462E-3</v>
      </c>
      <c r="M158" s="775">
        <f t="shared" si="141"/>
        <v>87501.483698502139</v>
      </c>
      <c r="N158" s="806">
        <v>101</v>
      </c>
      <c r="O158" s="777">
        <f t="shared" si="109"/>
        <v>1.1486187575129334E-4</v>
      </c>
      <c r="P158" s="778">
        <f t="shared" si="110"/>
        <v>9639.442931275069</v>
      </c>
      <c r="Q158" s="786">
        <f t="shared" si="96"/>
        <v>97140.926629777212</v>
      </c>
      <c r="R158" s="692">
        <f t="shared" si="97"/>
        <v>12.171523196313396</v>
      </c>
      <c r="S158" s="807">
        <v>20613278.850000005</v>
      </c>
      <c r="T158" s="782">
        <f t="shared" si="104"/>
        <v>3.0900644901526659</v>
      </c>
      <c r="U158" s="777">
        <f t="shared" si="111"/>
        <v>1.6796747118234142E-3</v>
      </c>
      <c r="V158" s="783">
        <f t="shared" si="98"/>
        <v>2582.7939919809555</v>
      </c>
      <c r="W158" s="778">
        <f t="shared" si="112"/>
        <v>669568.20967500692</v>
      </c>
      <c r="X158" s="784">
        <v>6552706.9933000002</v>
      </c>
      <c r="Y158" s="782">
        <f t="shared" si="105"/>
        <v>9.720617916401288</v>
      </c>
      <c r="Z158" s="782">
        <f t="shared" si="113"/>
        <v>1.500878442084396E-3</v>
      </c>
      <c r="AA158" s="783">
        <f t="shared" si="99"/>
        <v>821.03834022052376</v>
      </c>
      <c r="AB158" s="692">
        <f t="shared" si="114"/>
        <v>352678.98582488421</v>
      </c>
      <c r="AC158" s="786">
        <f t="shared" si="115"/>
        <v>1022247.1954998912</v>
      </c>
      <c r="AD158" s="787">
        <f t="shared" si="100"/>
        <v>128.08510155367637</v>
      </c>
      <c r="AE158" s="788">
        <v>4487.3239000000003</v>
      </c>
      <c r="AF158" s="774">
        <f t="shared" si="116"/>
        <v>4.6672442809991017E-3</v>
      </c>
      <c r="AG158" s="692">
        <f t="shared" si="117"/>
        <v>587526.99185966677</v>
      </c>
      <c r="AH158" s="786">
        <f t="shared" si="118"/>
        <v>587526.99185966677</v>
      </c>
      <c r="AI158" s="692">
        <f t="shared" si="101"/>
        <v>73.61571129678822</v>
      </c>
      <c r="AJ158" s="789">
        <v>1290</v>
      </c>
      <c r="AK158" s="777">
        <f t="shared" si="119"/>
        <v>1.7147733707659056E-3</v>
      </c>
      <c r="AL158" s="692">
        <f t="shared" si="120"/>
        <v>35976.819853087793</v>
      </c>
      <c r="AM158" s="790">
        <v>8</v>
      </c>
      <c r="AN158" s="791">
        <f t="shared" si="121"/>
        <v>1.1552346570397106E-3</v>
      </c>
      <c r="AO158" s="778">
        <f t="shared" si="122"/>
        <v>72712.236823104657</v>
      </c>
      <c r="AP158" s="768">
        <v>58</v>
      </c>
      <c r="AQ158" s="792">
        <f t="shared" si="123"/>
        <v>7.83942691086031E-4</v>
      </c>
      <c r="AR158" s="793">
        <f t="shared" si="124"/>
        <v>65790.069879029543</v>
      </c>
      <c r="AS158" s="794">
        <v>13.25</v>
      </c>
      <c r="AT158" s="791">
        <f t="shared" si="125"/>
        <v>5.3139047173437137E-4</v>
      </c>
      <c r="AU158" s="795">
        <f t="shared" si="126"/>
        <v>44595.372424510781</v>
      </c>
      <c r="AV158" s="796">
        <v>11</v>
      </c>
      <c r="AW158" s="791">
        <f t="shared" si="127"/>
        <v>1.4007742461287693E-4</v>
      </c>
      <c r="AX158" s="795">
        <f t="shared" si="128"/>
        <v>8816.6874235941323</v>
      </c>
      <c r="AY158" s="786">
        <f t="shared" si="129"/>
        <v>227891.18640332689</v>
      </c>
      <c r="AZ158" s="787">
        <f t="shared" si="102"/>
        <v>28.554214559995852</v>
      </c>
      <c r="BA158" s="797">
        <f t="shared" si="106"/>
        <v>1934806.3003926622</v>
      </c>
      <c r="BB158" s="775">
        <v>1113826</v>
      </c>
      <c r="BC158" s="775">
        <f t="shared" si="130"/>
        <v>0</v>
      </c>
      <c r="BD158" s="775">
        <f t="shared" si="131"/>
        <v>820980.30039266217</v>
      </c>
      <c r="BE158" s="798">
        <f t="shared" si="132"/>
        <v>1.2774461459791843E-3</v>
      </c>
      <c r="BF158" s="775">
        <f t="shared" si="133"/>
        <v>-1691.1880828747273</v>
      </c>
      <c r="BG158" s="797">
        <f t="shared" si="134"/>
        <v>1933115.1123097874</v>
      </c>
      <c r="BH158" s="799">
        <v>8</v>
      </c>
      <c r="BI158" s="692">
        <f t="shared" si="143"/>
        <v>0</v>
      </c>
      <c r="BJ158" s="800">
        <v>1900</v>
      </c>
      <c r="BK158" s="778">
        <f t="shared" si="135"/>
        <v>0</v>
      </c>
      <c r="BL158" s="786">
        <f t="shared" si="142"/>
        <v>1933115.1123097874</v>
      </c>
      <c r="BM158" s="692">
        <f t="shared" si="136"/>
        <v>1933115.1123097874</v>
      </c>
      <c r="BN158" s="801">
        <f t="shared" si="137"/>
        <v>9.445494252460088E-4</v>
      </c>
      <c r="BO158" s="787">
        <f t="shared" si="138"/>
        <v>4668.7484206349027</v>
      </c>
      <c r="BP158" s="802">
        <f t="shared" si="139"/>
        <v>1937784</v>
      </c>
      <c r="BQ158" s="803">
        <f t="shared" si="103"/>
        <v>242.79964916677108</v>
      </c>
      <c r="BR158" s="682"/>
      <c r="BS158" s="618"/>
    </row>
    <row r="159" spans="1:71" ht="15.75">
      <c r="A159" s="766" t="s">
        <v>3733</v>
      </c>
      <c r="B159" s="767" t="s">
        <v>3734</v>
      </c>
      <c r="C159" s="768">
        <v>18397</v>
      </c>
      <c r="D159" s="769">
        <v>0</v>
      </c>
      <c r="E159" s="770">
        <v>0</v>
      </c>
      <c r="F159" s="771">
        <v>0</v>
      </c>
      <c r="G159" s="770">
        <v>0</v>
      </c>
      <c r="H159" s="771">
        <v>0</v>
      </c>
      <c r="I159" s="770">
        <f t="shared" si="140"/>
        <v>0</v>
      </c>
      <c r="J159" s="772">
        <f t="shared" si="107"/>
        <v>0</v>
      </c>
      <c r="K159" s="773">
        <v>4937</v>
      </c>
      <c r="L159" s="774">
        <f t="shared" si="108"/>
        <v>1.7817836531364914E-3</v>
      </c>
      <c r="M159" s="775">
        <f t="shared" si="141"/>
        <v>149530.91900986675</v>
      </c>
      <c r="N159" s="806">
        <v>510</v>
      </c>
      <c r="O159" s="777">
        <f t="shared" si="109"/>
        <v>5.7999561022930299E-4</v>
      </c>
      <c r="P159" s="778">
        <f t="shared" si="110"/>
        <v>48674.414801487976</v>
      </c>
      <c r="Q159" s="786">
        <f t="shared" si="96"/>
        <v>198205.33381135471</v>
      </c>
      <c r="R159" s="692">
        <f t="shared" si="97"/>
        <v>10.773785606966065</v>
      </c>
      <c r="S159" s="807">
        <v>66315256.979999989</v>
      </c>
      <c r="T159" s="782">
        <f t="shared" si="104"/>
        <v>5.1036461956571015</v>
      </c>
      <c r="U159" s="777">
        <f t="shared" si="111"/>
        <v>2.7742027651065236E-3</v>
      </c>
      <c r="V159" s="783">
        <f t="shared" si="98"/>
        <v>3604.677772462901</v>
      </c>
      <c r="W159" s="778">
        <f t="shared" si="112"/>
        <v>1105879.5882515563</v>
      </c>
      <c r="X159" s="784">
        <v>14421871.4344</v>
      </c>
      <c r="Y159" s="782">
        <f t="shared" si="105"/>
        <v>23.46780100900828</v>
      </c>
      <c r="Z159" s="782">
        <f t="shared" si="113"/>
        <v>3.6234647756412147E-3</v>
      </c>
      <c r="AA159" s="783">
        <f t="shared" si="99"/>
        <v>783.92517445235637</v>
      </c>
      <c r="AB159" s="692">
        <f t="shared" si="114"/>
        <v>851447.95635186858</v>
      </c>
      <c r="AC159" s="786">
        <f t="shared" si="115"/>
        <v>1957327.5446034248</v>
      </c>
      <c r="AD159" s="787">
        <f t="shared" si="100"/>
        <v>106.39384381167717</v>
      </c>
      <c r="AE159" s="788">
        <v>1897.1246000000001</v>
      </c>
      <c r="AF159" s="774">
        <f t="shared" si="116"/>
        <v>1.9731902882456757E-3</v>
      </c>
      <c r="AG159" s="692">
        <f t="shared" si="117"/>
        <v>248391.2314466477</v>
      </c>
      <c r="AH159" s="786">
        <f t="shared" si="118"/>
        <v>248391.2314466477</v>
      </c>
      <c r="AI159" s="692">
        <f t="shared" si="101"/>
        <v>13.501724816363955</v>
      </c>
      <c r="AJ159" s="789">
        <v>2200</v>
      </c>
      <c r="AK159" s="777">
        <f t="shared" si="119"/>
        <v>2.9244197020813893E-3</v>
      </c>
      <c r="AL159" s="692">
        <f t="shared" si="120"/>
        <v>61355.816803715607</v>
      </c>
      <c r="AM159" s="790">
        <v>10.333333333333334</v>
      </c>
      <c r="AN159" s="791">
        <f t="shared" si="121"/>
        <v>1.4921780986762929E-3</v>
      </c>
      <c r="AO159" s="778">
        <f t="shared" si="122"/>
        <v>93919.972563176852</v>
      </c>
      <c r="AP159" s="768">
        <v>169</v>
      </c>
      <c r="AQ159" s="792">
        <f t="shared" si="123"/>
        <v>2.2842468067851593E-3</v>
      </c>
      <c r="AR159" s="793">
        <f t="shared" si="124"/>
        <v>191698.65188889642</v>
      </c>
      <c r="AS159" s="794">
        <v>31.111111111111111</v>
      </c>
      <c r="AT159" s="791">
        <f t="shared" si="125"/>
        <v>1.2477092837368886E-3</v>
      </c>
      <c r="AU159" s="795">
        <f t="shared" si="126"/>
        <v>104710.30841813852</v>
      </c>
      <c r="AV159" s="796">
        <v>68</v>
      </c>
      <c r="AW159" s="791">
        <f t="shared" si="127"/>
        <v>8.6593317033414831E-4</v>
      </c>
      <c r="AX159" s="795">
        <f t="shared" si="128"/>
        <v>54503.158618581903</v>
      </c>
      <c r="AY159" s="786">
        <f t="shared" si="129"/>
        <v>506187.90829250932</v>
      </c>
      <c r="AZ159" s="787">
        <f t="shared" si="102"/>
        <v>27.514698499348228</v>
      </c>
      <c r="BA159" s="797">
        <f t="shared" si="106"/>
        <v>2910112.0181539361</v>
      </c>
      <c r="BB159" s="775">
        <v>2223299</v>
      </c>
      <c r="BC159" s="775">
        <f t="shared" si="130"/>
        <v>0</v>
      </c>
      <c r="BD159" s="775">
        <f t="shared" si="131"/>
        <v>686813.01815393614</v>
      </c>
      <c r="BE159" s="798">
        <f t="shared" si="132"/>
        <v>1.0686817243111026E-3</v>
      </c>
      <c r="BF159" s="775">
        <f t="shared" si="133"/>
        <v>-1414.8086024836634</v>
      </c>
      <c r="BG159" s="797">
        <f t="shared" si="134"/>
        <v>2908697.2095514527</v>
      </c>
      <c r="BH159" s="799">
        <v>7.5</v>
      </c>
      <c r="BI159" s="692">
        <f t="shared" si="143"/>
        <v>0</v>
      </c>
      <c r="BJ159" s="800">
        <v>1450</v>
      </c>
      <c r="BK159" s="778">
        <f t="shared" si="135"/>
        <v>0</v>
      </c>
      <c r="BL159" s="786">
        <f t="shared" si="142"/>
        <v>2908697.2095514527</v>
      </c>
      <c r="BM159" s="692">
        <f t="shared" si="136"/>
        <v>2908697.2095514527</v>
      </c>
      <c r="BN159" s="801">
        <f t="shared" si="137"/>
        <v>1.4212336658077991E-3</v>
      </c>
      <c r="BO159" s="787">
        <f t="shared" si="138"/>
        <v>7024.918183466285</v>
      </c>
      <c r="BP159" s="802">
        <f t="shared" si="139"/>
        <v>2915722</v>
      </c>
      <c r="BQ159" s="803">
        <f t="shared" si="103"/>
        <v>158.48899277056043</v>
      </c>
      <c r="BR159" s="682"/>
      <c r="BS159" s="618"/>
    </row>
    <row r="160" spans="1:71" ht="15.75">
      <c r="A160" s="766" t="s">
        <v>3735</v>
      </c>
      <c r="B160" s="767" t="s">
        <v>3736</v>
      </c>
      <c r="C160" s="768">
        <v>18030</v>
      </c>
      <c r="D160" s="769">
        <v>0</v>
      </c>
      <c r="E160" s="770">
        <v>0</v>
      </c>
      <c r="F160" s="771">
        <v>0</v>
      </c>
      <c r="G160" s="770">
        <v>0</v>
      </c>
      <c r="H160" s="771">
        <v>0</v>
      </c>
      <c r="I160" s="770">
        <f t="shared" si="140"/>
        <v>0</v>
      </c>
      <c r="J160" s="772">
        <f t="shared" si="107"/>
        <v>0</v>
      </c>
      <c r="K160" s="773">
        <v>3851</v>
      </c>
      <c r="L160" s="774">
        <f t="shared" si="108"/>
        <v>1.3898417760236233E-3</v>
      </c>
      <c r="M160" s="775">
        <f t="shared" si="141"/>
        <v>116638.35712112556</v>
      </c>
      <c r="N160" s="806">
        <v>831.5</v>
      </c>
      <c r="O160" s="777">
        <f t="shared" si="109"/>
        <v>9.4562029393267734E-4</v>
      </c>
      <c r="P160" s="778">
        <f t="shared" si="110"/>
        <v>79358.384132229912</v>
      </c>
      <c r="Q160" s="786">
        <f t="shared" si="96"/>
        <v>195996.74125335546</v>
      </c>
      <c r="R160" s="692">
        <f t="shared" si="97"/>
        <v>10.870590197080169</v>
      </c>
      <c r="S160" s="807">
        <v>69671318.080000013</v>
      </c>
      <c r="T160" s="782">
        <f t="shared" si="104"/>
        <v>4.6659214861806726</v>
      </c>
      <c r="U160" s="777">
        <f t="shared" si="111"/>
        <v>2.5362675609737827E-3</v>
      </c>
      <c r="V160" s="783">
        <f t="shared" si="98"/>
        <v>3864.1884681087085</v>
      </c>
      <c r="W160" s="778">
        <f t="shared" si="112"/>
        <v>1011031.5515880351</v>
      </c>
      <c r="X160" s="784">
        <v>12295033.294199999</v>
      </c>
      <c r="Y160" s="782">
        <f t="shared" si="105"/>
        <v>26.440017869114037</v>
      </c>
      <c r="Z160" s="782">
        <f t="shared" si="113"/>
        <v>4.0823796562483115E-3</v>
      </c>
      <c r="AA160" s="783">
        <f t="shared" si="99"/>
        <v>681.9208704492512</v>
      </c>
      <c r="AB160" s="692">
        <f t="shared" si="114"/>
        <v>959284.56065919972</v>
      </c>
      <c r="AC160" s="786">
        <f t="shared" si="115"/>
        <v>1970316.1122472347</v>
      </c>
      <c r="AD160" s="787">
        <f t="shared" si="100"/>
        <v>109.27987311410065</v>
      </c>
      <c r="AE160" s="788">
        <v>2098.0668000000001</v>
      </c>
      <c r="AF160" s="774">
        <f t="shared" si="116"/>
        <v>2.1821893163214909E-3</v>
      </c>
      <c r="AG160" s="692">
        <f t="shared" si="117"/>
        <v>274700.66863785719</v>
      </c>
      <c r="AH160" s="786">
        <f t="shared" si="118"/>
        <v>274700.66863785719</v>
      </c>
      <c r="AI160" s="692">
        <f t="shared" si="101"/>
        <v>15.235755332105224</v>
      </c>
      <c r="AJ160" s="789">
        <v>2051</v>
      </c>
      <c r="AK160" s="777">
        <f t="shared" si="119"/>
        <v>2.7263567313495132E-3</v>
      </c>
      <c r="AL160" s="692">
        <f t="shared" si="120"/>
        <v>57200.354665645777</v>
      </c>
      <c r="AM160" s="790">
        <v>3.6666666666666665</v>
      </c>
      <c r="AN160" s="791">
        <f t="shared" si="121"/>
        <v>5.294825511432007E-4</v>
      </c>
      <c r="AO160" s="778">
        <f t="shared" si="122"/>
        <v>33326.4418772563</v>
      </c>
      <c r="AP160" s="768">
        <v>180</v>
      </c>
      <c r="AQ160" s="792">
        <f t="shared" si="123"/>
        <v>2.4329255930256133E-3</v>
      </c>
      <c r="AR160" s="793">
        <f t="shared" si="124"/>
        <v>204176.07893491923</v>
      </c>
      <c r="AS160" s="794">
        <v>55.833333333333336</v>
      </c>
      <c r="AT160" s="791">
        <f t="shared" si="125"/>
        <v>2.2391925538492378E-3</v>
      </c>
      <c r="AU160" s="795">
        <f t="shared" si="126"/>
        <v>187917.60707183791</v>
      </c>
      <c r="AV160" s="796">
        <v>70</v>
      </c>
      <c r="AW160" s="791">
        <f t="shared" si="127"/>
        <v>8.9140179299103503E-4</v>
      </c>
      <c r="AX160" s="795">
        <f t="shared" si="128"/>
        <v>56106.19269559902</v>
      </c>
      <c r="AY160" s="786">
        <f t="shared" si="129"/>
        <v>538726.67524525826</v>
      </c>
      <c r="AZ160" s="787">
        <f t="shared" si="102"/>
        <v>29.879460634789698</v>
      </c>
      <c r="BA160" s="797">
        <f t="shared" si="106"/>
        <v>2979740.1973837055</v>
      </c>
      <c r="BB160" s="775">
        <v>2181572</v>
      </c>
      <c r="BC160" s="775">
        <f t="shared" si="130"/>
        <v>0</v>
      </c>
      <c r="BD160" s="775">
        <f t="shared" si="131"/>
        <v>798168.19738370553</v>
      </c>
      <c r="BE160" s="798">
        <f t="shared" si="132"/>
        <v>1.2419504915078966E-3</v>
      </c>
      <c r="BF160" s="775">
        <f t="shared" si="133"/>
        <v>-1644.1960213896878</v>
      </c>
      <c r="BG160" s="797">
        <f t="shared" si="134"/>
        <v>2978096.0013623158</v>
      </c>
      <c r="BH160" s="799">
        <v>7.5</v>
      </c>
      <c r="BI160" s="692">
        <f t="shared" si="143"/>
        <v>0</v>
      </c>
      <c r="BJ160" s="800">
        <v>1300</v>
      </c>
      <c r="BK160" s="778">
        <f t="shared" si="135"/>
        <v>0</v>
      </c>
      <c r="BL160" s="786">
        <f t="shared" si="142"/>
        <v>2978096.0013623158</v>
      </c>
      <c r="BM160" s="692">
        <f t="shared" si="136"/>
        <v>2978096.0013623158</v>
      </c>
      <c r="BN160" s="801">
        <f t="shared" si="137"/>
        <v>1.4551429702772027E-3</v>
      </c>
      <c r="BO160" s="787">
        <f t="shared" si="138"/>
        <v>7192.5261534199199</v>
      </c>
      <c r="BP160" s="802">
        <f t="shared" si="139"/>
        <v>2985289</v>
      </c>
      <c r="BQ160" s="803">
        <f t="shared" si="103"/>
        <v>165.57343316694397</v>
      </c>
      <c r="BR160" s="682"/>
      <c r="BS160" s="618"/>
    </row>
    <row r="161" spans="1:71" ht="15.75">
      <c r="A161" s="766" t="s">
        <v>3737</v>
      </c>
      <c r="B161" s="767" t="s">
        <v>3738</v>
      </c>
      <c r="C161" s="768">
        <v>9509</v>
      </c>
      <c r="D161" s="769">
        <v>0</v>
      </c>
      <c r="E161" s="770">
        <v>0</v>
      </c>
      <c r="F161" s="771">
        <v>0</v>
      </c>
      <c r="G161" s="770">
        <v>0</v>
      </c>
      <c r="H161" s="771">
        <v>0</v>
      </c>
      <c r="I161" s="770">
        <f t="shared" si="140"/>
        <v>0</v>
      </c>
      <c r="J161" s="772">
        <f t="shared" si="107"/>
        <v>0</v>
      </c>
      <c r="K161" s="773">
        <v>2711</v>
      </c>
      <c r="L161" s="774">
        <f t="shared" si="108"/>
        <v>9.784110762918834E-4</v>
      </c>
      <c r="M161" s="775">
        <f t="shared" si="141"/>
        <v>82110.253481010484</v>
      </c>
      <c r="N161" s="806">
        <v>215</v>
      </c>
      <c r="O161" s="777">
        <f t="shared" si="109"/>
        <v>2.4450795333196104E-4</v>
      </c>
      <c r="P161" s="778">
        <f t="shared" si="110"/>
        <v>20519.606239842968</v>
      </c>
      <c r="Q161" s="786">
        <f t="shared" si="96"/>
        <v>102629.85972085345</v>
      </c>
      <c r="R161" s="692">
        <f t="shared" si="97"/>
        <v>10.792918258581707</v>
      </c>
      <c r="S161" s="807">
        <v>27890920.450000003</v>
      </c>
      <c r="T161" s="782">
        <f t="shared" si="104"/>
        <v>3.2419539958208872</v>
      </c>
      <c r="U161" s="777">
        <f t="shared" si="111"/>
        <v>1.7622377011963853E-3</v>
      </c>
      <c r="V161" s="783">
        <f t="shared" si="98"/>
        <v>2933.10762961405</v>
      </c>
      <c r="W161" s="778">
        <f t="shared" si="112"/>
        <v>702480.26853422774</v>
      </c>
      <c r="X161" s="784">
        <v>6358209.4798999997</v>
      </c>
      <c r="Y161" s="782">
        <f t="shared" si="105"/>
        <v>14.221154758402538</v>
      </c>
      <c r="Z161" s="782">
        <f t="shared" si="113"/>
        <v>2.1957682918921097E-3</v>
      </c>
      <c r="AA161" s="783">
        <f t="shared" si="99"/>
        <v>668.65174885897568</v>
      </c>
      <c r="AB161" s="692">
        <f t="shared" si="114"/>
        <v>515965.39238412364</v>
      </c>
      <c r="AC161" s="786">
        <f t="shared" si="115"/>
        <v>1218445.6609183513</v>
      </c>
      <c r="AD161" s="787">
        <f t="shared" si="100"/>
        <v>128.13604594787583</v>
      </c>
      <c r="AE161" s="788">
        <v>1828.413</v>
      </c>
      <c r="AF161" s="774">
        <f t="shared" si="116"/>
        <v>1.9017236793525002E-3</v>
      </c>
      <c r="AG161" s="692">
        <f t="shared" si="117"/>
        <v>239394.79603135155</v>
      </c>
      <c r="AH161" s="786">
        <f t="shared" si="118"/>
        <v>239394.79603135155</v>
      </c>
      <c r="AI161" s="692">
        <f t="shared" si="101"/>
        <v>25.175601643848097</v>
      </c>
      <c r="AJ161" s="789">
        <v>1259</v>
      </c>
      <c r="AK161" s="777">
        <f t="shared" si="119"/>
        <v>1.6735656386002132E-3</v>
      </c>
      <c r="AL161" s="692">
        <f t="shared" si="120"/>
        <v>35112.260616308158</v>
      </c>
      <c r="AM161" s="790">
        <v>4.666666666666667</v>
      </c>
      <c r="AN161" s="791">
        <f t="shared" si="121"/>
        <v>6.7388688327316452E-4</v>
      </c>
      <c r="AO161" s="778">
        <f t="shared" si="122"/>
        <v>42415.471480144384</v>
      </c>
      <c r="AP161" s="768">
        <v>72</v>
      </c>
      <c r="AQ161" s="792">
        <f t="shared" si="123"/>
        <v>9.7317023721024535E-4</v>
      </c>
      <c r="AR161" s="793">
        <f t="shared" si="124"/>
        <v>81670.431573967697</v>
      </c>
      <c r="AS161" s="794">
        <v>12.75</v>
      </c>
      <c r="AT161" s="791">
        <f t="shared" si="125"/>
        <v>5.1133800110288565E-4</v>
      </c>
      <c r="AU161" s="795">
        <f t="shared" si="126"/>
        <v>42912.528182076414</v>
      </c>
      <c r="AV161" s="796">
        <v>6</v>
      </c>
      <c r="AW161" s="791">
        <f t="shared" si="127"/>
        <v>7.6405867970660146E-5</v>
      </c>
      <c r="AX161" s="795">
        <f t="shared" si="128"/>
        <v>4809.1022310513445</v>
      </c>
      <c r="AY161" s="786">
        <f t="shared" si="129"/>
        <v>206919.79408354801</v>
      </c>
      <c r="AZ161" s="787">
        <f t="shared" si="102"/>
        <v>21.76041582538101</v>
      </c>
      <c r="BA161" s="797">
        <f t="shared" si="106"/>
        <v>1767390.1107541041</v>
      </c>
      <c r="BB161" s="775">
        <v>1297520</v>
      </c>
      <c r="BC161" s="775">
        <f t="shared" si="130"/>
        <v>0</v>
      </c>
      <c r="BD161" s="775">
        <f t="shared" si="131"/>
        <v>469870.1107541041</v>
      </c>
      <c r="BE161" s="798">
        <f t="shared" si="132"/>
        <v>7.3111834937642254E-4</v>
      </c>
      <c r="BF161" s="775">
        <f t="shared" si="133"/>
        <v>-967.91449371721308</v>
      </c>
      <c r="BG161" s="797">
        <f t="shared" si="134"/>
        <v>1766422.1962603868</v>
      </c>
      <c r="BH161" s="799">
        <v>8</v>
      </c>
      <c r="BI161" s="692">
        <f t="shared" si="143"/>
        <v>0</v>
      </c>
      <c r="BJ161" s="800">
        <v>1600</v>
      </c>
      <c r="BK161" s="778">
        <f t="shared" si="135"/>
        <v>0</v>
      </c>
      <c r="BL161" s="786">
        <f t="shared" si="142"/>
        <v>1766422.1962603868</v>
      </c>
      <c r="BM161" s="692">
        <f t="shared" si="136"/>
        <v>1766422.1962603868</v>
      </c>
      <c r="BN161" s="801">
        <f t="shared" si="137"/>
        <v>8.6310073290253358E-4</v>
      </c>
      <c r="BO161" s="787">
        <f t="shared" si="138"/>
        <v>4266.1612784720264</v>
      </c>
      <c r="BP161" s="802">
        <f t="shared" si="139"/>
        <v>1770688</v>
      </c>
      <c r="BQ161" s="803">
        <f t="shared" si="103"/>
        <v>186.21179934798613</v>
      </c>
      <c r="BR161" s="682"/>
      <c r="BS161" s="618"/>
    </row>
    <row r="162" spans="1:71" ht="15.75">
      <c r="A162" s="805" t="s">
        <v>3739</v>
      </c>
      <c r="B162" s="767" t="s">
        <v>3740</v>
      </c>
      <c r="C162" s="768">
        <v>5684</v>
      </c>
      <c r="D162" s="769">
        <v>0</v>
      </c>
      <c r="E162" s="770">
        <v>0</v>
      </c>
      <c r="F162" s="771">
        <v>0</v>
      </c>
      <c r="G162" s="770">
        <v>0</v>
      </c>
      <c r="H162" s="771">
        <v>0</v>
      </c>
      <c r="I162" s="770">
        <f t="shared" si="140"/>
        <v>0</v>
      </c>
      <c r="J162" s="772">
        <f t="shared" si="107"/>
        <v>0</v>
      </c>
      <c r="K162" s="773">
        <v>2177</v>
      </c>
      <c r="L162" s="774">
        <f t="shared" si="108"/>
        <v>7.8568827483859469E-4</v>
      </c>
      <c r="M162" s="775">
        <f t="shared" si="141"/>
        <v>65936.562828535534</v>
      </c>
      <c r="N162" s="806">
        <v>312</v>
      </c>
      <c r="O162" s="777">
        <f t="shared" si="109"/>
        <v>3.5482084390498533E-4</v>
      </c>
      <c r="P162" s="778">
        <f t="shared" si="110"/>
        <v>29777.289055027934</v>
      </c>
      <c r="Q162" s="786">
        <f t="shared" si="96"/>
        <v>95713.851883563475</v>
      </c>
      <c r="R162" s="692">
        <f t="shared" si="97"/>
        <v>16.839171689578375</v>
      </c>
      <c r="S162" s="807">
        <v>17396125.099999998</v>
      </c>
      <c r="T162" s="782">
        <f t="shared" si="104"/>
        <v>1.8571869203216989</v>
      </c>
      <c r="U162" s="777">
        <f t="shared" si="111"/>
        <v>1.0095161169401499E-3</v>
      </c>
      <c r="V162" s="783">
        <f t="shared" si="98"/>
        <v>3060.5427691766358</v>
      </c>
      <c r="W162" s="778">
        <f t="shared" si="112"/>
        <v>402423.0967458557</v>
      </c>
      <c r="X162" s="784">
        <v>4493767.8849999998</v>
      </c>
      <c r="Y162" s="782">
        <f t="shared" si="105"/>
        <v>7.1894803707690835</v>
      </c>
      <c r="Z162" s="782">
        <f t="shared" si="113"/>
        <v>1.1100668898907878E-3</v>
      </c>
      <c r="AA162" s="783">
        <f t="shared" si="99"/>
        <v>790.59955752990845</v>
      </c>
      <c r="AB162" s="692">
        <f t="shared" si="114"/>
        <v>260845.41822105282</v>
      </c>
      <c r="AC162" s="786">
        <f t="shared" si="115"/>
        <v>663268.51496690849</v>
      </c>
      <c r="AD162" s="787">
        <f t="shared" si="100"/>
        <v>116.69044950156729</v>
      </c>
      <c r="AE162" s="788">
        <v>948.85910000000001</v>
      </c>
      <c r="AF162" s="774">
        <f t="shared" si="116"/>
        <v>9.8690384439352702E-4</v>
      </c>
      <c r="AG162" s="692">
        <f t="shared" si="117"/>
        <v>124234.47585802102</v>
      </c>
      <c r="AH162" s="786">
        <f t="shared" si="118"/>
        <v>124234.47585802102</v>
      </c>
      <c r="AI162" s="692">
        <f t="shared" si="101"/>
        <v>21.856874711122629</v>
      </c>
      <c r="AJ162" s="789">
        <v>691</v>
      </c>
      <c r="AK162" s="777">
        <f t="shared" si="119"/>
        <v>9.1853364279010903E-4</v>
      </c>
      <c r="AL162" s="692">
        <f t="shared" si="120"/>
        <v>19271.304277894309</v>
      </c>
      <c r="AM162" s="790">
        <v>0.66666666666666663</v>
      </c>
      <c r="AN162" s="791">
        <f t="shared" si="121"/>
        <v>9.6269554753309204E-5</v>
      </c>
      <c r="AO162" s="778">
        <f t="shared" si="122"/>
        <v>6059.3530685920541</v>
      </c>
      <c r="AP162" s="768">
        <v>41</v>
      </c>
      <c r="AQ162" s="792">
        <f t="shared" si="123"/>
        <v>5.5416638507805639E-4</v>
      </c>
      <c r="AR162" s="793">
        <f t="shared" si="124"/>
        <v>46506.773535176049</v>
      </c>
      <c r="AS162" s="794">
        <v>8.3333333333333339</v>
      </c>
      <c r="AT162" s="791">
        <f t="shared" si="125"/>
        <v>3.3420784385809521E-4</v>
      </c>
      <c r="AU162" s="795">
        <f t="shared" si="126"/>
        <v>28047.404040572819</v>
      </c>
      <c r="AV162" s="796">
        <v>26</v>
      </c>
      <c r="AW162" s="791">
        <f t="shared" si="127"/>
        <v>3.3109209453952731E-4</v>
      </c>
      <c r="AX162" s="795">
        <f t="shared" si="128"/>
        <v>20839.443001222495</v>
      </c>
      <c r="AY162" s="786">
        <f t="shared" si="129"/>
        <v>120724.27792345772</v>
      </c>
      <c r="AZ162" s="787">
        <f t="shared" si="102"/>
        <v>21.239317016794111</v>
      </c>
      <c r="BA162" s="797">
        <f t="shared" si="106"/>
        <v>1003941.1206319507</v>
      </c>
      <c r="BB162" s="775">
        <v>635626</v>
      </c>
      <c r="BC162" s="775">
        <f t="shared" si="130"/>
        <v>0</v>
      </c>
      <c r="BD162" s="775">
        <f t="shared" si="131"/>
        <v>368315.12063195067</v>
      </c>
      <c r="BE162" s="798">
        <f t="shared" si="132"/>
        <v>5.7309868596373088E-4</v>
      </c>
      <c r="BF162" s="775">
        <f t="shared" si="133"/>
        <v>-758.71509031021071</v>
      </c>
      <c r="BG162" s="797">
        <f t="shared" si="134"/>
        <v>1003182.4055416405</v>
      </c>
      <c r="BH162" s="799">
        <v>7</v>
      </c>
      <c r="BI162" s="692">
        <f t="shared" si="143"/>
        <v>0</v>
      </c>
      <c r="BJ162" s="800">
        <v>1750</v>
      </c>
      <c r="BK162" s="778">
        <f t="shared" si="135"/>
        <v>0</v>
      </c>
      <c r="BL162" s="786">
        <f t="shared" si="142"/>
        <v>1003182.4055416405</v>
      </c>
      <c r="BM162" s="692">
        <f t="shared" si="136"/>
        <v>1003182.4055416405</v>
      </c>
      <c r="BN162" s="801">
        <f t="shared" si="137"/>
        <v>4.901701706935994E-4</v>
      </c>
      <c r="BO162" s="787">
        <f t="shared" si="138"/>
        <v>2422.8284397844463</v>
      </c>
      <c r="BP162" s="802">
        <f t="shared" si="139"/>
        <v>1005605</v>
      </c>
      <c r="BQ162" s="803">
        <f t="shared" si="103"/>
        <v>176.91854327938071</v>
      </c>
      <c r="BR162" s="682"/>
      <c r="BS162" s="618"/>
    </row>
    <row r="163" spans="1:71" ht="15.75">
      <c r="A163" s="766" t="s">
        <v>3741</v>
      </c>
      <c r="B163" s="767" t="s">
        <v>3742</v>
      </c>
      <c r="C163" s="768">
        <v>8915</v>
      </c>
      <c r="D163" s="769">
        <v>0</v>
      </c>
      <c r="E163" s="770">
        <v>0</v>
      </c>
      <c r="F163" s="771">
        <v>0</v>
      </c>
      <c r="G163" s="770">
        <v>0</v>
      </c>
      <c r="H163" s="771">
        <v>0</v>
      </c>
      <c r="I163" s="770">
        <f t="shared" si="140"/>
        <v>0</v>
      </c>
      <c r="J163" s="772">
        <f t="shared" si="107"/>
        <v>0</v>
      </c>
      <c r="K163" s="773">
        <v>3420</v>
      </c>
      <c r="L163" s="774">
        <f t="shared" si="108"/>
        <v>1.2342920991952199E-3</v>
      </c>
      <c r="M163" s="775">
        <f t="shared" si="141"/>
        <v>103584.3109203452</v>
      </c>
      <c r="N163" s="806">
        <v>1516.5</v>
      </c>
      <c r="O163" s="777">
        <f t="shared" si="109"/>
        <v>1.724634005711251E-3</v>
      </c>
      <c r="P163" s="778">
        <f t="shared" si="110"/>
        <v>144734.80401265982</v>
      </c>
      <c r="Q163" s="786">
        <f t="shared" si="96"/>
        <v>248319.11493300501</v>
      </c>
      <c r="R163" s="692">
        <f t="shared" si="97"/>
        <v>27.854079072687046</v>
      </c>
      <c r="S163" s="807">
        <v>43590933.129999995</v>
      </c>
      <c r="T163" s="782">
        <f t="shared" si="104"/>
        <v>1.8232512885874075</v>
      </c>
      <c r="U163" s="777">
        <f t="shared" si="111"/>
        <v>9.9106963382127326E-4</v>
      </c>
      <c r="V163" s="783">
        <f t="shared" si="98"/>
        <v>4889.6167279865394</v>
      </c>
      <c r="W163" s="778">
        <f t="shared" si="112"/>
        <v>395069.78089858766</v>
      </c>
      <c r="X163" s="784">
        <v>8128173.4736000001</v>
      </c>
      <c r="Y163" s="782">
        <f t="shared" si="105"/>
        <v>9.7779932057477641</v>
      </c>
      <c r="Z163" s="782">
        <f t="shared" si="113"/>
        <v>1.5097372755072367E-3</v>
      </c>
      <c r="AA163" s="783">
        <f t="shared" si="99"/>
        <v>911.74127578238927</v>
      </c>
      <c r="AB163" s="692">
        <f t="shared" si="114"/>
        <v>354760.64966890618</v>
      </c>
      <c r="AC163" s="786">
        <f t="shared" si="115"/>
        <v>749830.4305674939</v>
      </c>
      <c r="AD163" s="787">
        <f t="shared" si="100"/>
        <v>84.10885368115467</v>
      </c>
      <c r="AE163" s="788">
        <v>2414.8101999999999</v>
      </c>
      <c r="AF163" s="774">
        <f t="shared" si="116"/>
        <v>2.5116326226525118E-3</v>
      </c>
      <c r="AG163" s="692">
        <f t="shared" si="117"/>
        <v>316172.0001353235</v>
      </c>
      <c r="AH163" s="786">
        <f t="shared" si="118"/>
        <v>316172.0001353235</v>
      </c>
      <c r="AI163" s="692">
        <f t="shared" si="101"/>
        <v>35.465171075190518</v>
      </c>
      <c r="AJ163" s="789">
        <v>720</v>
      </c>
      <c r="AK163" s="777">
        <f t="shared" si="119"/>
        <v>9.570828115902729E-4</v>
      </c>
      <c r="AL163" s="692">
        <f t="shared" si="120"/>
        <v>20080.085499397836</v>
      </c>
      <c r="AM163" s="790">
        <v>2</v>
      </c>
      <c r="AN163" s="791">
        <f t="shared" si="121"/>
        <v>2.8880866425992765E-4</v>
      </c>
      <c r="AO163" s="778">
        <f t="shared" si="122"/>
        <v>18178.059205776164</v>
      </c>
      <c r="AP163" s="768">
        <v>51</v>
      </c>
      <c r="AQ163" s="792">
        <f t="shared" si="123"/>
        <v>6.8932891802392382E-4</v>
      </c>
      <c r="AR163" s="793">
        <f t="shared" si="124"/>
        <v>57849.889031560459</v>
      </c>
      <c r="AS163" s="794">
        <v>16.888888888888889</v>
      </c>
      <c r="AT163" s="791">
        <f t="shared" si="125"/>
        <v>6.7732789688573953E-4</v>
      </c>
      <c r="AU163" s="795">
        <f t="shared" si="126"/>
        <v>56842.738855560907</v>
      </c>
      <c r="AV163" s="796">
        <v>13</v>
      </c>
      <c r="AW163" s="791">
        <f t="shared" si="127"/>
        <v>1.6554604726976365E-4</v>
      </c>
      <c r="AX163" s="795">
        <f t="shared" si="128"/>
        <v>10419.721500611247</v>
      </c>
      <c r="AY163" s="786">
        <f t="shared" si="129"/>
        <v>163370.49409290662</v>
      </c>
      <c r="AZ163" s="787">
        <f t="shared" si="102"/>
        <v>18.325349870208257</v>
      </c>
      <c r="BA163" s="797">
        <f t="shared" si="106"/>
        <v>1477692.0397287291</v>
      </c>
      <c r="BB163" s="775">
        <v>1020944</v>
      </c>
      <c r="BC163" s="775">
        <f t="shared" si="130"/>
        <v>0</v>
      </c>
      <c r="BD163" s="775">
        <f t="shared" si="131"/>
        <v>456748.03972872905</v>
      </c>
      <c r="BE163" s="798">
        <f t="shared" si="132"/>
        <v>7.107003940970899E-4</v>
      </c>
      <c r="BF163" s="775">
        <f t="shared" si="133"/>
        <v>-940.88352826026369</v>
      </c>
      <c r="BG163" s="797">
        <f t="shared" si="134"/>
        <v>1476751.1562004688</v>
      </c>
      <c r="BH163" s="799">
        <v>8.5</v>
      </c>
      <c r="BI163" s="692">
        <f t="shared" si="143"/>
        <v>0</v>
      </c>
      <c r="BJ163" s="800">
        <v>1125</v>
      </c>
      <c r="BK163" s="778">
        <f t="shared" si="135"/>
        <v>0</v>
      </c>
      <c r="BL163" s="786">
        <f t="shared" si="142"/>
        <v>1476751.1562004688</v>
      </c>
      <c r="BM163" s="692">
        <f t="shared" si="136"/>
        <v>1476751.1562004688</v>
      </c>
      <c r="BN163" s="801">
        <f t="shared" si="137"/>
        <v>7.2156306002588459E-4</v>
      </c>
      <c r="BO163" s="787">
        <f t="shared" si="138"/>
        <v>3566.5644452718079</v>
      </c>
      <c r="BP163" s="802">
        <f t="shared" si="139"/>
        <v>1480318</v>
      </c>
      <c r="BQ163" s="803">
        <f t="shared" si="103"/>
        <v>166.04800897363992</v>
      </c>
      <c r="BR163" s="682"/>
      <c r="BS163" s="618"/>
    </row>
    <row r="164" spans="1:71" ht="15.75">
      <c r="A164" s="766" t="s">
        <v>3743</v>
      </c>
      <c r="B164" s="767" t="s">
        <v>3744</v>
      </c>
      <c r="C164" s="768">
        <v>15172</v>
      </c>
      <c r="D164" s="769">
        <v>0</v>
      </c>
      <c r="E164" s="770">
        <v>0</v>
      </c>
      <c r="F164" s="771">
        <v>0</v>
      </c>
      <c r="G164" s="770">
        <v>0</v>
      </c>
      <c r="H164" s="771">
        <v>0</v>
      </c>
      <c r="I164" s="770">
        <f t="shared" si="140"/>
        <v>0</v>
      </c>
      <c r="J164" s="772">
        <f t="shared" si="107"/>
        <v>0</v>
      </c>
      <c r="K164" s="773">
        <v>5927</v>
      </c>
      <c r="L164" s="774">
        <f t="shared" si="108"/>
        <v>2.1390787344824761E-3</v>
      </c>
      <c r="M164" s="775">
        <f t="shared" si="141"/>
        <v>179515.85111838774</v>
      </c>
      <c r="N164" s="806">
        <v>1063</v>
      </c>
      <c r="O164" s="777">
        <f t="shared" si="109"/>
        <v>1.2088928111249982E-3</v>
      </c>
      <c r="P164" s="778">
        <f t="shared" si="110"/>
        <v>101452.75085094455</v>
      </c>
      <c r="Q164" s="786">
        <f t="shared" si="96"/>
        <v>280968.60196933232</v>
      </c>
      <c r="R164" s="692">
        <f t="shared" si="97"/>
        <v>18.518890190438459</v>
      </c>
      <c r="S164" s="807">
        <v>43442011.629999995</v>
      </c>
      <c r="T164" s="782">
        <f t="shared" si="104"/>
        <v>5.2987781956449886</v>
      </c>
      <c r="U164" s="777">
        <f t="shared" si="111"/>
        <v>2.8802711940638065E-3</v>
      </c>
      <c r="V164" s="783">
        <f t="shared" si="98"/>
        <v>2863.30158383865</v>
      </c>
      <c r="W164" s="778">
        <f t="shared" si="112"/>
        <v>1148161.6132055849</v>
      </c>
      <c r="X164" s="784">
        <v>9822508.6282000002</v>
      </c>
      <c r="Y164" s="782">
        <f t="shared" si="105"/>
        <v>23.434907793222557</v>
      </c>
      <c r="Z164" s="782">
        <f t="shared" si="113"/>
        <v>3.6183860122448752E-3</v>
      </c>
      <c r="AA164" s="783">
        <f t="shared" si="99"/>
        <v>647.41027077511205</v>
      </c>
      <c r="AB164" s="692">
        <f t="shared" si="114"/>
        <v>850254.53983415372</v>
      </c>
      <c r="AC164" s="786">
        <f t="shared" si="115"/>
        <v>1998416.1530397385</v>
      </c>
      <c r="AD164" s="787">
        <f t="shared" si="100"/>
        <v>131.71738419718815</v>
      </c>
      <c r="AE164" s="788">
        <v>898.61080000000004</v>
      </c>
      <c r="AF164" s="774">
        <f t="shared" si="116"/>
        <v>9.3464082616011464E-4</v>
      </c>
      <c r="AG164" s="692">
        <f t="shared" si="117"/>
        <v>117655.44719796328</v>
      </c>
      <c r="AH164" s="786">
        <f t="shared" si="118"/>
        <v>117655.44719796328</v>
      </c>
      <c r="AI164" s="692">
        <f t="shared" si="101"/>
        <v>7.7547750591855573</v>
      </c>
      <c r="AJ164" s="789">
        <v>1757</v>
      </c>
      <c r="AK164" s="777">
        <f t="shared" si="119"/>
        <v>2.3355479166168188E-3</v>
      </c>
      <c r="AL164" s="692">
        <f t="shared" si="120"/>
        <v>49000.986420058332</v>
      </c>
      <c r="AM164" s="790">
        <v>22</v>
      </c>
      <c r="AN164" s="791">
        <f t="shared" si="121"/>
        <v>3.1768953068592042E-3</v>
      </c>
      <c r="AO164" s="778">
        <f t="shared" si="122"/>
        <v>199958.65126353782</v>
      </c>
      <c r="AP164" s="768">
        <v>234</v>
      </c>
      <c r="AQ164" s="792">
        <f t="shared" si="123"/>
        <v>3.1628032709332971E-3</v>
      </c>
      <c r="AR164" s="793">
        <f t="shared" si="124"/>
        <v>265428.90261539503</v>
      </c>
      <c r="AS164" s="794">
        <v>41.388888888888886</v>
      </c>
      <c r="AT164" s="791">
        <f t="shared" si="125"/>
        <v>1.6598989578285393E-3</v>
      </c>
      <c r="AU164" s="795">
        <f t="shared" si="126"/>
        <v>139302.106734845</v>
      </c>
      <c r="AV164" s="796">
        <v>146</v>
      </c>
      <c r="AW164" s="791">
        <f t="shared" si="127"/>
        <v>1.8592094539527301E-3</v>
      </c>
      <c r="AX164" s="795">
        <f t="shared" si="128"/>
        <v>117021.48762224938</v>
      </c>
      <c r="AY164" s="786">
        <f t="shared" si="129"/>
        <v>770712.13465608552</v>
      </c>
      <c r="AZ164" s="787">
        <f t="shared" si="102"/>
        <v>50.798321556557177</v>
      </c>
      <c r="BA164" s="797">
        <f t="shared" si="106"/>
        <v>3167752.3368631201</v>
      </c>
      <c r="BB164" s="775">
        <v>1986828</v>
      </c>
      <c r="BC164" s="775">
        <f t="shared" si="130"/>
        <v>0</v>
      </c>
      <c r="BD164" s="775">
        <f t="shared" si="131"/>
        <v>1180924.3368631201</v>
      </c>
      <c r="BE164" s="798">
        <f t="shared" si="132"/>
        <v>1.837519416845072E-3</v>
      </c>
      <c r="BF164" s="775">
        <f t="shared" si="133"/>
        <v>-2432.6590593275328</v>
      </c>
      <c r="BG164" s="797">
        <f t="shared" si="134"/>
        <v>3165319.6778037925</v>
      </c>
      <c r="BH164" s="799">
        <v>8</v>
      </c>
      <c r="BI164" s="692">
        <f t="shared" si="143"/>
        <v>0</v>
      </c>
      <c r="BJ164" s="800">
        <v>1350</v>
      </c>
      <c r="BK164" s="778">
        <f t="shared" si="135"/>
        <v>0</v>
      </c>
      <c r="BL164" s="786">
        <f t="shared" si="142"/>
        <v>3165319.6778037925</v>
      </c>
      <c r="BM164" s="692">
        <f t="shared" si="136"/>
        <v>3165319.6778037925</v>
      </c>
      <c r="BN164" s="801">
        <f t="shared" si="137"/>
        <v>1.5466233041947941E-3</v>
      </c>
      <c r="BO164" s="787">
        <f t="shared" si="138"/>
        <v>7644.6980070904356</v>
      </c>
      <c r="BP164" s="802">
        <f t="shared" si="139"/>
        <v>3172964</v>
      </c>
      <c r="BQ164" s="803">
        <f t="shared" si="103"/>
        <v>209.13287635117322</v>
      </c>
      <c r="BR164" s="682"/>
      <c r="BS164" s="618"/>
    </row>
    <row r="165" spans="1:71" ht="15.75">
      <c r="A165" s="766" t="s">
        <v>3745</v>
      </c>
      <c r="B165" s="767" t="s">
        <v>3746</v>
      </c>
      <c r="C165" s="768">
        <v>97656</v>
      </c>
      <c r="D165" s="769">
        <v>0</v>
      </c>
      <c r="E165" s="770">
        <f>C165/($C$8+$C$149+$C$165+$C$99+$C$82+$C$188+$C$213+$C$236+$C$253+$C$271)*$E$7</f>
        <v>17631634.265375096</v>
      </c>
      <c r="F165" s="771">
        <v>0</v>
      </c>
      <c r="G165" s="770">
        <v>0</v>
      </c>
      <c r="H165" s="771">
        <v>0</v>
      </c>
      <c r="I165" s="770">
        <f t="shared" si="140"/>
        <v>17631634.265375096</v>
      </c>
      <c r="J165" s="772">
        <f t="shared" si="107"/>
        <v>180.54839708133753</v>
      </c>
      <c r="K165" s="773">
        <v>76749</v>
      </c>
      <c r="L165" s="774">
        <f t="shared" si="108"/>
        <v>2.7699030503255534E-2</v>
      </c>
      <c r="M165" s="775">
        <f t="shared" si="141"/>
        <v>2324559.145855431</v>
      </c>
      <c r="N165" s="806">
        <v>71416.5</v>
      </c>
      <c r="O165" s="777">
        <f t="shared" si="109"/>
        <v>8.1218149995962774E-2</v>
      </c>
      <c r="P165" s="778">
        <f t="shared" si="110"/>
        <v>6815992.8326871879</v>
      </c>
      <c r="Q165" s="786">
        <f t="shared" si="96"/>
        <v>9140551.9785426185</v>
      </c>
      <c r="R165" s="692">
        <f t="shared" si="97"/>
        <v>93.599491874975612</v>
      </c>
      <c r="S165" s="781">
        <v>432597574.76999992</v>
      </c>
      <c r="T165" s="782">
        <f t="shared" si="104"/>
        <v>22.045186779122364</v>
      </c>
      <c r="U165" s="777">
        <f t="shared" si="111"/>
        <v>1.1983161797534612E-2</v>
      </c>
      <c r="V165" s="783">
        <f t="shared" si="98"/>
        <v>4429.8105059596946</v>
      </c>
      <c r="W165" s="778">
        <f t="shared" si="112"/>
        <v>4776844.0725710653</v>
      </c>
      <c r="X165" s="784">
        <v>131884206.3893</v>
      </c>
      <c r="Y165" s="782">
        <f t="shared" si="105"/>
        <v>72.311117434708464</v>
      </c>
      <c r="Z165" s="782">
        <f t="shared" si="113"/>
        <v>1.1164948382310915E-2</v>
      </c>
      <c r="AA165" s="783">
        <f t="shared" si="99"/>
        <v>1350.4977307006227</v>
      </c>
      <c r="AB165" s="692">
        <f t="shared" si="114"/>
        <v>2623558.6852670494</v>
      </c>
      <c r="AC165" s="786">
        <f t="shared" si="115"/>
        <v>7400402.7578381151</v>
      </c>
      <c r="AD165" s="787">
        <f t="shared" si="100"/>
        <v>75.780318237876983</v>
      </c>
      <c r="AE165" s="788">
        <v>2656.7112999999999</v>
      </c>
      <c r="AF165" s="774">
        <f t="shared" si="116"/>
        <v>2.7632328081310755E-3</v>
      </c>
      <c r="AG165" s="692">
        <f t="shared" si="117"/>
        <v>347844.2013799327</v>
      </c>
      <c r="AH165" s="786">
        <f t="shared" si="118"/>
        <v>347844.2013799327</v>
      </c>
      <c r="AI165" s="692">
        <f t="shared" si="101"/>
        <v>3.5619337406808871</v>
      </c>
      <c r="AJ165" s="789">
        <v>10745</v>
      </c>
      <c r="AK165" s="777">
        <f t="shared" si="119"/>
        <v>1.4283131681302057E-2</v>
      </c>
      <c r="AL165" s="692">
        <f t="shared" si="120"/>
        <v>299667.38707087463</v>
      </c>
      <c r="AM165" s="790">
        <v>184</v>
      </c>
      <c r="AN165" s="791">
        <f t="shared" si="121"/>
        <v>2.6570397111913342E-2</v>
      </c>
      <c r="AO165" s="778">
        <f t="shared" si="122"/>
        <v>1672381.4469314071</v>
      </c>
      <c r="AP165" s="768">
        <v>717</v>
      </c>
      <c r="AQ165" s="792">
        <f t="shared" si="123"/>
        <v>9.6911536122186934E-3</v>
      </c>
      <c r="AR165" s="793">
        <f t="shared" si="124"/>
        <v>813301.38109076163</v>
      </c>
      <c r="AS165" s="794">
        <v>736.5</v>
      </c>
      <c r="AT165" s="791">
        <f t="shared" si="125"/>
        <v>2.9537289240178451E-2</v>
      </c>
      <c r="AU165" s="795">
        <f t="shared" si="126"/>
        <v>2478829.5691058254</v>
      </c>
      <c r="AV165" s="796">
        <v>2059</v>
      </c>
      <c r="AW165" s="791">
        <f t="shared" si="127"/>
        <v>2.6219947025264874E-2</v>
      </c>
      <c r="AX165" s="795">
        <f t="shared" si="128"/>
        <v>1650323.5822891197</v>
      </c>
      <c r="AY165" s="786">
        <f t="shared" si="129"/>
        <v>6914503.3664879883</v>
      </c>
      <c r="AZ165" s="787">
        <f t="shared" si="102"/>
        <v>70.804695732858079</v>
      </c>
      <c r="BA165" s="797">
        <f t="shared" si="106"/>
        <v>41434936.569623753</v>
      </c>
      <c r="BB165" s="775">
        <v>25095951</v>
      </c>
      <c r="BC165" s="775">
        <f t="shared" si="130"/>
        <v>0</v>
      </c>
      <c r="BD165" s="775">
        <f t="shared" si="131"/>
        <v>16338985.569623753</v>
      </c>
      <c r="BE165" s="798">
        <f t="shared" si="132"/>
        <v>2.5423477439279033E-2</v>
      </c>
      <c r="BF165" s="775">
        <f t="shared" si="133"/>
        <v>-33657.686631937126</v>
      </c>
      <c r="BG165" s="797">
        <f t="shared" si="134"/>
        <v>41401278.882991813</v>
      </c>
      <c r="BH165" s="799">
        <v>7.5</v>
      </c>
      <c r="BI165" s="692">
        <f t="shared" si="143"/>
        <v>0</v>
      </c>
      <c r="BJ165" s="800">
        <v>1400</v>
      </c>
      <c r="BK165" s="778">
        <f t="shared" si="135"/>
        <v>0</v>
      </c>
      <c r="BL165" s="786">
        <f t="shared" si="142"/>
        <v>41401278.882991813</v>
      </c>
      <c r="BM165" s="692">
        <f t="shared" si="136"/>
        <v>41401278.882991813</v>
      </c>
      <c r="BN165" s="801">
        <f t="shared" si="137"/>
        <v>2.0229294119300672E-2</v>
      </c>
      <c r="BO165" s="787">
        <f t="shared" si="138"/>
        <v>99989.987231685125</v>
      </c>
      <c r="BP165" s="802">
        <f t="shared" si="139"/>
        <v>41501269</v>
      </c>
      <c r="BQ165" s="803">
        <f t="shared" si="103"/>
        <v>424.97408249365117</v>
      </c>
      <c r="BR165" s="682"/>
      <c r="BS165" s="618"/>
    </row>
    <row r="166" spans="1:71" ht="15.75">
      <c r="A166" s="805" t="s">
        <v>3747</v>
      </c>
      <c r="B166" s="767" t="s">
        <v>3748</v>
      </c>
      <c r="C166" s="768">
        <v>8512</v>
      </c>
      <c r="D166" s="769">
        <v>0</v>
      </c>
      <c r="E166" s="770">
        <v>0</v>
      </c>
      <c r="F166" s="771">
        <v>0</v>
      </c>
      <c r="G166" s="770">
        <v>0</v>
      </c>
      <c r="H166" s="771">
        <v>0</v>
      </c>
      <c r="I166" s="770">
        <f t="shared" si="140"/>
        <v>0</v>
      </c>
      <c r="J166" s="772">
        <f t="shared" si="107"/>
        <v>0</v>
      </c>
      <c r="K166" s="773">
        <v>3180</v>
      </c>
      <c r="L166" s="774">
        <f t="shared" si="108"/>
        <v>1.1476751097780115E-3</v>
      </c>
      <c r="M166" s="775">
        <f t="shared" si="141"/>
        <v>96315.236469794676</v>
      </c>
      <c r="N166" s="806">
        <v>209</v>
      </c>
      <c r="O166" s="777">
        <f t="shared" si="109"/>
        <v>2.3768447556455748E-4</v>
      </c>
      <c r="P166" s="778">
        <f t="shared" si="110"/>
        <v>19946.966065707817</v>
      </c>
      <c r="Q166" s="786">
        <f t="shared" si="96"/>
        <v>116262.2025355025</v>
      </c>
      <c r="R166" s="692">
        <f t="shared" si="97"/>
        <v>13.658623418174635</v>
      </c>
      <c r="S166" s="807">
        <v>26487836.640000001</v>
      </c>
      <c r="T166" s="782">
        <f t="shared" si="104"/>
        <v>2.7353741637995848</v>
      </c>
      <c r="U166" s="777">
        <f t="shared" si="111"/>
        <v>1.4868747318869985E-3</v>
      </c>
      <c r="V166" s="783">
        <f t="shared" si="98"/>
        <v>3111.8229135338347</v>
      </c>
      <c r="W166" s="778">
        <f t="shared" si="112"/>
        <v>592712.4134409473</v>
      </c>
      <c r="X166" s="784">
        <v>6025615.2333000004</v>
      </c>
      <c r="Y166" s="782">
        <f t="shared" si="105"/>
        <v>12.02435621836405</v>
      </c>
      <c r="Z166" s="782">
        <f t="shared" si="113"/>
        <v>1.8565791993156902E-3</v>
      </c>
      <c r="AA166" s="783">
        <f t="shared" si="99"/>
        <v>707.89652646851505</v>
      </c>
      <c r="AB166" s="692">
        <f t="shared" si="114"/>
        <v>436262.1587187901</v>
      </c>
      <c r="AC166" s="786">
        <f t="shared" si="115"/>
        <v>1028974.5721597373</v>
      </c>
      <c r="AD166" s="787">
        <f t="shared" si="100"/>
        <v>120.88517060147291</v>
      </c>
      <c r="AE166" s="788">
        <v>1878.1188</v>
      </c>
      <c r="AF166" s="774">
        <f t="shared" si="116"/>
        <v>1.9534224459118931E-3</v>
      </c>
      <c r="AG166" s="692">
        <f t="shared" si="117"/>
        <v>245902.7949640736</v>
      </c>
      <c r="AH166" s="786">
        <f t="shared" si="118"/>
        <v>245902.7949640736</v>
      </c>
      <c r="AI166" s="692">
        <f t="shared" si="101"/>
        <v>28.888956175290602</v>
      </c>
      <c r="AJ166" s="789">
        <v>1042</v>
      </c>
      <c r="AK166" s="777">
        <f t="shared" si="119"/>
        <v>1.3851115134403671E-3</v>
      </c>
      <c r="AL166" s="692">
        <f t="shared" si="120"/>
        <v>29060.345958850758</v>
      </c>
      <c r="AM166" s="790">
        <v>7.333333333333333</v>
      </c>
      <c r="AN166" s="791">
        <f t="shared" si="121"/>
        <v>1.0589651022864014E-3</v>
      </c>
      <c r="AO166" s="778">
        <f t="shared" si="122"/>
        <v>66652.883754512601</v>
      </c>
      <c r="AP166" s="768">
        <v>46</v>
      </c>
      <c r="AQ166" s="792">
        <f t="shared" si="123"/>
        <v>6.217476515509901E-4</v>
      </c>
      <c r="AR166" s="793">
        <f t="shared" si="124"/>
        <v>52178.33128336825</v>
      </c>
      <c r="AS166" s="794">
        <v>11.277777777777779</v>
      </c>
      <c r="AT166" s="791">
        <f t="shared" si="125"/>
        <v>4.5229461535462219E-4</v>
      </c>
      <c r="AU166" s="795">
        <f t="shared" si="126"/>
        <v>37957.486801575214</v>
      </c>
      <c r="AV166" s="796">
        <v>36</v>
      </c>
      <c r="AW166" s="791">
        <f t="shared" si="127"/>
        <v>4.5843520782396088E-4</v>
      </c>
      <c r="AX166" s="795">
        <f t="shared" si="128"/>
        <v>28854.613386308069</v>
      </c>
      <c r="AY166" s="786">
        <f t="shared" si="129"/>
        <v>214703.66118461487</v>
      </c>
      <c r="AZ166" s="787">
        <f t="shared" si="102"/>
        <v>25.223644406087274</v>
      </c>
      <c r="BA166" s="797">
        <f t="shared" si="106"/>
        <v>1605843.2308439286</v>
      </c>
      <c r="BB166" s="775">
        <v>1107826</v>
      </c>
      <c r="BC166" s="775">
        <f t="shared" si="130"/>
        <v>0</v>
      </c>
      <c r="BD166" s="775">
        <f t="shared" si="131"/>
        <v>498017.23084392864</v>
      </c>
      <c r="BE166" s="798">
        <f t="shared" si="132"/>
        <v>7.7491529561491595E-4</v>
      </c>
      <c r="BF166" s="775">
        <f t="shared" si="133"/>
        <v>-1025.8964867569823</v>
      </c>
      <c r="BG166" s="797">
        <f t="shared" si="134"/>
        <v>1604817.3343571716</v>
      </c>
      <c r="BH166" s="799">
        <v>7</v>
      </c>
      <c r="BI166" s="692">
        <f t="shared" si="143"/>
        <v>0</v>
      </c>
      <c r="BJ166" s="800">
        <v>1350</v>
      </c>
      <c r="BK166" s="778">
        <f t="shared" si="135"/>
        <v>0</v>
      </c>
      <c r="BL166" s="786">
        <f t="shared" si="142"/>
        <v>1604817.3343571716</v>
      </c>
      <c r="BM166" s="692">
        <f t="shared" si="136"/>
        <v>1604817.3343571716</v>
      </c>
      <c r="BN166" s="801">
        <f t="shared" si="137"/>
        <v>7.8413814114810057E-4</v>
      </c>
      <c r="BO166" s="787">
        <f t="shared" si="138"/>
        <v>3875.8625120027855</v>
      </c>
      <c r="BP166" s="802">
        <f t="shared" si="139"/>
        <v>1608693</v>
      </c>
      <c r="BQ166" s="803">
        <f t="shared" si="103"/>
        <v>188.99118890977442</v>
      </c>
      <c r="BR166" s="682"/>
      <c r="BS166" s="618"/>
    </row>
    <row r="167" spans="1:71" ht="15.75">
      <c r="A167" s="766" t="s">
        <v>3749</v>
      </c>
      <c r="B167" s="767" t="s">
        <v>3750</v>
      </c>
      <c r="C167" s="768">
        <v>12646</v>
      </c>
      <c r="D167" s="769">
        <v>0</v>
      </c>
      <c r="E167" s="770">
        <v>0</v>
      </c>
      <c r="F167" s="771">
        <v>0</v>
      </c>
      <c r="G167" s="770">
        <v>0</v>
      </c>
      <c r="H167" s="771">
        <v>0</v>
      </c>
      <c r="I167" s="770">
        <f t="shared" si="140"/>
        <v>0</v>
      </c>
      <c r="J167" s="772">
        <f t="shared" si="107"/>
        <v>0</v>
      </c>
      <c r="K167" s="773">
        <v>2987</v>
      </c>
      <c r="L167" s="774">
        <f t="shared" si="108"/>
        <v>1.0780206141216731E-3</v>
      </c>
      <c r="M167" s="775">
        <f t="shared" si="141"/>
        <v>90469.689099143608</v>
      </c>
      <c r="N167" s="806">
        <v>1054.5</v>
      </c>
      <c r="O167" s="777">
        <f t="shared" si="109"/>
        <v>1.1992262176211764E-3</v>
      </c>
      <c r="P167" s="778">
        <f t="shared" si="110"/>
        <v>100641.51060425307</v>
      </c>
      <c r="Q167" s="786">
        <f t="shared" si="96"/>
        <v>191111.19970339668</v>
      </c>
      <c r="R167" s="692">
        <f t="shared" si="97"/>
        <v>15.112383338873689</v>
      </c>
      <c r="S167" s="807">
        <v>46196147.620000005</v>
      </c>
      <c r="T167" s="782">
        <f t="shared" si="104"/>
        <v>3.4617890070721873</v>
      </c>
      <c r="U167" s="777">
        <f t="shared" si="111"/>
        <v>1.8817340127940704E-3</v>
      </c>
      <c r="V167" s="783">
        <f t="shared" si="98"/>
        <v>3653.0244836311881</v>
      </c>
      <c r="W167" s="778">
        <f t="shared" si="112"/>
        <v>750115.04618255631</v>
      </c>
      <c r="X167" s="784">
        <v>9081645.5186999999</v>
      </c>
      <c r="Y167" s="782">
        <f t="shared" si="105"/>
        <v>17.609288500713479</v>
      </c>
      <c r="Z167" s="782">
        <f t="shared" si="113"/>
        <v>2.718901382449364E-3</v>
      </c>
      <c r="AA167" s="783">
        <f t="shared" si="99"/>
        <v>718.14372281353792</v>
      </c>
      <c r="AB167" s="692">
        <f t="shared" si="114"/>
        <v>638892.10160711827</v>
      </c>
      <c r="AC167" s="786">
        <f t="shared" si="115"/>
        <v>1389007.1477896746</v>
      </c>
      <c r="AD167" s="787">
        <f t="shared" si="100"/>
        <v>109.8376678625395</v>
      </c>
      <c r="AE167" s="788">
        <v>587.19749999999999</v>
      </c>
      <c r="AF167" s="774">
        <f t="shared" si="116"/>
        <v>6.1074133152990578E-4</v>
      </c>
      <c r="AG167" s="692">
        <f t="shared" si="117"/>
        <v>76881.987681459024</v>
      </c>
      <c r="AH167" s="786">
        <f t="shared" si="118"/>
        <v>76881.987681459024</v>
      </c>
      <c r="AI167" s="692">
        <f t="shared" si="101"/>
        <v>6.0795498720116266</v>
      </c>
      <c r="AJ167" s="789">
        <v>1473</v>
      </c>
      <c r="AK167" s="777">
        <f t="shared" si="119"/>
        <v>1.9580319187117667E-3</v>
      </c>
      <c r="AL167" s="692">
        <f t="shared" si="120"/>
        <v>41080.50825085141</v>
      </c>
      <c r="AM167" s="790">
        <v>6.666666666666667</v>
      </c>
      <c r="AN167" s="791">
        <f t="shared" si="121"/>
        <v>9.6269554753309217E-4</v>
      </c>
      <c r="AO167" s="778">
        <f t="shared" si="122"/>
        <v>60593.530685920545</v>
      </c>
      <c r="AP167" s="768">
        <v>121</v>
      </c>
      <c r="AQ167" s="792">
        <f t="shared" si="123"/>
        <v>1.6354666486449957E-3</v>
      </c>
      <c r="AR167" s="793">
        <f t="shared" si="124"/>
        <v>137251.69750625128</v>
      </c>
      <c r="AS167" s="794">
        <v>36.805555555555564</v>
      </c>
      <c r="AT167" s="791">
        <f t="shared" si="125"/>
        <v>1.4760846437065873E-3</v>
      </c>
      <c r="AU167" s="795">
        <f t="shared" si="126"/>
        <v>123876.03451252996</v>
      </c>
      <c r="AV167" s="796">
        <v>4</v>
      </c>
      <c r="AW167" s="791">
        <f t="shared" si="127"/>
        <v>5.0937245313773429E-5</v>
      </c>
      <c r="AX167" s="795">
        <f t="shared" si="128"/>
        <v>3206.0681540342298</v>
      </c>
      <c r="AY167" s="786">
        <f t="shared" si="129"/>
        <v>366007.83910958742</v>
      </c>
      <c r="AZ167" s="787">
        <f t="shared" si="102"/>
        <v>28.942577819831364</v>
      </c>
      <c r="BA167" s="797">
        <f t="shared" si="106"/>
        <v>2023008.1742841178</v>
      </c>
      <c r="BB167" s="775">
        <v>1451164</v>
      </c>
      <c r="BC167" s="775">
        <f t="shared" si="130"/>
        <v>0</v>
      </c>
      <c r="BD167" s="775">
        <f t="shared" si="131"/>
        <v>571844.17428411776</v>
      </c>
      <c r="BE167" s="798">
        <f t="shared" si="132"/>
        <v>8.8979009141937782E-4</v>
      </c>
      <c r="BF167" s="775">
        <f t="shared" si="133"/>
        <v>-1177.9771723488268</v>
      </c>
      <c r="BG167" s="797">
        <f t="shared" si="134"/>
        <v>2021830.1971117689</v>
      </c>
      <c r="BH167" s="799">
        <v>6.5</v>
      </c>
      <c r="BI167" s="692">
        <f t="shared" si="143"/>
        <v>0</v>
      </c>
      <c r="BJ167" s="800">
        <v>1450</v>
      </c>
      <c r="BK167" s="778">
        <f t="shared" si="135"/>
        <v>0</v>
      </c>
      <c r="BL167" s="786">
        <f t="shared" si="142"/>
        <v>2021830.1971117689</v>
      </c>
      <c r="BM167" s="692">
        <f t="shared" si="136"/>
        <v>2021830.1971117689</v>
      </c>
      <c r="BN167" s="801">
        <f t="shared" si="137"/>
        <v>9.8789696405875908E-4</v>
      </c>
      <c r="BO167" s="787">
        <f t="shared" si="138"/>
        <v>4883.0079902892157</v>
      </c>
      <c r="BP167" s="802">
        <f t="shared" si="139"/>
        <v>2026713</v>
      </c>
      <c r="BQ167" s="803">
        <f t="shared" si="103"/>
        <v>160.26514312826191</v>
      </c>
      <c r="BR167" s="682"/>
      <c r="BS167" s="618"/>
    </row>
    <row r="168" spans="1:71" ht="15.75">
      <c r="A168" s="805" t="s">
        <v>3751</v>
      </c>
      <c r="B168" s="767" t="s">
        <v>3752</v>
      </c>
      <c r="C168" s="768">
        <v>34276</v>
      </c>
      <c r="D168" s="769">
        <v>0</v>
      </c>
      <c r="E168" s="770">
        <v>0</v>
      </c>
      <c r="F168" s="771">
        <v>0</v>
      </c>
      <c r="G168" s="770">
        <f>C168/($C$10+$C$60+$C$62+$C$67+$C$74+$C$80+$C$94+$C$105+$C$127+$C$141+$C$168+$C$175+$C$201+$C$219+$C$237+$C$255+$C$265+$C$267+$C$268+$C$273+$C$281)*$G$7</f>
        <v>2104990.6646371805</v>
      </c>
      <c r="H168" s="771">
        <v>0</v>
      </c>
      <c r="I168" s="770">
        <f t="shared" si="140"/>
        <v>2104990.6646371805</v>
      </c>
      <c r="J168" s="772">
        <f t="shared" si="107"/>
        <v>61.412961390978545</v>
      </c>
      <c r="K168" s="773">
        <v>19489</v>
      </c>
      <c r="L168" s="774">
        <f t="shared" si="108"/>
        <v>7.0336604447998946E-3</v>
      </c>
      <c r="M168" s="775">
        <f t="shared" si="141"/>
        <v>590279.13319491455</v>
      </c>
      <c r="N168" s="806">
        <v>8376.5</v>
      </c>
      <c r="O168" s="777">
        <f t="shared" si="109"/>
        <v>9.5261435864426591E-3</v>
      </c>
      <c r="P168" s="778">
        <f t="shared" si="110"/>
        <v>799453.40310718433</v>
      </c>
      <c r="Q168" s="786">
        <f t="shared" si="96"/>
        <v>1389732.536302099</v>
      </c>
      <c r="R168" s="692">
        <f t="shared" si="97"/>
        <v>40.545353492300706</v>
      </c>
      <c r="S168" s="807">
        <v>131306638.40000001</v>
      </c>
      <c r="T168" s="782">
        <f t="shared" si="104"/>
        <v>8.9473326734712906</v>
      </c>
      <c r="U168" s="777">
        <f t="shared" si="111"/>
        <v>4.8635258188927354E-3</v>
      </c>
      <c r="V168" s="783">
        <f t="shared" si="98"/>
        <v>3830.8623643365622</v>
      </c>
      <c r="W168" s="778">
        <f t="shared" si="112"/>
        <v>1938745.7894922073</v>
      </c>
      <c r="X168" s="784">
        <v>37161970.1976</v>
      </c>
      <c r="Y168" s="782">
        <f t="shared" si="105"/>
        <v>31.614152041806275</v>
      </c>
      <c r="Z168" s="782">
        <f t="shared" si="113"/>
        <v>4.8812739758309241E-3</v>
      </c>
      <c r="AA168" s="783">
        <f t="shared" si="99"/>
        <v>1084.1979868596102</v>
      </c>
      <c r="AB168" s="692">
        <f t="shared" si="114"/>
        <v>1147010.1155817972</v>
      </c>
      <c r="AC168" s="786">
        <f t="shared" si="115"/>
        <v>3085755.9050740045</v>
      </c>
      <c r="AD168" s="787">
        <f t="shared" si="100"/>
        <v>90.026721469074701</v>
      </c>
      <c r="AE168" s="788">
        <v>3242.5621000000001</v>
      </c>
      <c r="AF168" s="774">
        <f t="shared" si="116"/>
        <v>3.3725734433855863E-3</v>
      </c>
      <c r="AG168" s="692">
        <f t="shared" si="117"/>
        <v>424549.86512811435</v>
      </c>
      <c r="AH168" s="786">
        <f t="shared" si="118"/>
        <v>424549.86512811435</v>
      </c>
      <c r="AI168" s="692">
        <f t="shared" si="101"/>
        <v>12.386213826820935</v>
      </c>
      <c r="AJ168" s="789">
        <v>4039</v>
      </c>
      <c r="AK168" s="777">
        <f t="shared" si="119"/>
        <v>5.3689687166848781E-3</v>
      </c>
      <c r="AL168" s="692">
        <f t="shared" si="120"/>
        <v>112643.70185009425</v>
      </c>
      <c r="AM168" s="790">
        <v>19.666666666666668</v>
      </c>
      <c r="AN168" s="791">
        <f t="shared" si="121"/>
        <v>2.8399518652226221E-3</v>
      </c>
      <c r="AO168" s="778">
        <f t="shared" si="122"/>
        <v>178750.91552346564</v>
      </c>
      <c r="AP168" s="768">
        <v>422</v>
      </c>
      <c r="AQ168" s="792">
        <f t="shared" si="123"/>
        <v>5.7038588903156042E-3</v>
      </c>
      <c r="AR168" s="793">
        <f t="shared" si="124"/>
        <v>478679.47394742176</v>
      </c>
      <c r="AS168" s="794">
        <v>150</v>
      </c>
      <c r="AT168" s="791">
        <f t="shared" si="125"/>
        <v>6.0157411894457133E-3</v>
      </c>
      <c r="AU168" s="795">
        <f t="shared" si="126"/>
        <v>504853.27273031074</v>
      </c>
      <c r="AV168" s="796">
        <v>353</v>
      </c>
      <c r="AW168" s="791">
        <f t="shared" si="127"/>
        <v>4.4952118989405052E-3</v>
      </c>
      <c r="AX168" s="795">
        <f t="shared" si="128"/>
        <v>282935.51459352078</v>
      </c>
      <c r="AY168" s="786">
        <f t="shared" si="129"/>
        <v>1557862.8786448133</v>
      </c>
      <c r="AZ168" s="787">
        <f t="shared" si="102"/>
        <v>45.45054494820905</v>
      </c>
      <c r="BA168" s="797">
        <f t="shared" si="106"/>
        <v>8562891.8497862108</v>
      </c>
      <c r="BB168" s="775">
        <v>5219532</v>
      </c>
      <c r="BC168" s="775">
        <f t="shared" si="130"/>
        <v>0</v>
      </c>
      <c r="BD168" s="775">
        <f t="shared" si="131"/>
        <v>3343359.8497862108</v>
      </c>
      <c r="BE168" s="798">
        <f t="shared" si="132"/>
        <v>5.2022711783561723E-3</v>
      </c>
      <c r="BF168" s="775">
        <f t="shared" si="133"/>
        <v>-6887.1936781137592</v>
      </c>
      <c r="BG168" s="797">
        <f t="shared" si="134"/>
        <v>8556004.6561080962</v>
      </c>
      <c r="BH168" s="799">
        <v>7.9</v>
      </c>
      <c r="BI168" s="692">
        <f t="shared" si="143"/>
        <v>0</v>
      </c>
      <c r="BJ168" s="800">
        <v>1250</v>
      </c>
      <c r="BK168" s="778">
        <f t="shared" si="135"/>
        <v>0</v>
      </c>
      <c r="BL168" s="786">
        <f t="shared" si="142"/>
        <v>8556004.6561080962</v>
      </c>
      <c r="BM168" s="692">
        <f t="shared" si="136"/>
        <v>8556004.6561080962</v>
      </c>
      <c r="BN168" s="801">
        <f t="shared" si="137"/>
        <v>4.1805939174893699E-3</v>
      </c>
      <c r="BO168" s="787">
        <f t="shared" si="138"/>
        <v>20663.970278221132</v>
      </c>
      <c r="BP168" s="802">
        <f t="shared" si="139"/>
        <v>8576669</v>
      </c>
      <c r="BQ168" s="803">
        <f t="shared" si="103"/>
        <v>250.22374256039211</v>
      </c>
      <c r="BR168" s="682"/>
      <c r="BS168" s="618"/>
    </row>
    <row r="169" spans="1:71" ht="15.75">
      <c r="A169" s="805" t="s">
        <v>3753</v>
      </c>
      <c r="B169" s="767" t="s">
        <v>3754</v>
      </c>
      <c r="C169" s="768">
        <v>6542</v>
      </c>
      <c r="D169" s="769">
        <v>0</v>
      </c>
      <c r="E169" s="770">
        <v>0</v>
      </c>
      <c r="F169" s="771">
        <v>0</v>
      </c>
      <c r="G169" s="770">
        <v>0</v>
      </c>
      <c r="H169" s="771">
        <v>0</v>
      </c>
      <c r="I169" s="770">
        <f t="shared" si="140"/>
        <v>0</v>
      </c>
      <c r="J169" s="772">
        <f t="shared" si="107"/>
        <v>0</v>
      </c>
      <c r="K169" s="773">
        <v>1241</v>
      </c>
      <c r="L169" s="774">
        <f t="shared" si="108"/>
        <v>4.4788201611148186E-4</v>
      </c>
      <c r="M169" s="775">
        <f t="shared" si="141"/>
        <v>37587.172471388425</v>
      </c>
      <c r="N169" s="806">
        <v>0</v>
      </c>
      <c r="O169" s="777">
        <f t="shared" si="109"/>
        <v>0</v>
      </c>
      <c r="P169" s="778">
        <f t="shared" si="110"/>
        <v>0</v>
      </c>
      <c r="Q169" s="786">
        <f t="shared" si="96"/>
        <v>37587.172471388425</v>
      </c>
      <c r="R169" s="692">
        <f t="shared" si="97"/>
        <v>5.745517039343996</v>
      </c>
      <c r="S169" s="807">
        <v>24053220.850000001</v>
      </c>
      <c r="T169" s="782">
        <f t="shared" si="104"/>
        <v>1.7792945180561961</v>
      </c>
      <c r="U169" s="777">
        <f t="shared" si="111"/>
        <v>9.6717593318493072E-4</v>
      </c>
      <c r="V169" s="783">
        <f t="shared" si="98"/>
        <v>3676.7381305411191</v>
      </c>
      <c r="W169" s="778">
        <f t="shared" si="112"/>
        <v>385545.04242096964</v>
      </c>
      <c r="X169" s="784">
        <v>3594383.2365999999</v>
      </c>
      <c r="Y169" s="782">
        <f t="shared" si="105"/>
        <v>11.906844980860548</v>
      </c>
      <c r="Z169" s="782">
        <f t="shared" si="113"/>
        <v>1.8384352824794897E-3</v>
      </c>
      <c r="AA169" s="783">
        <f t="shared" si="99"/>
        <v>549.43186129623962</v>
      </c>
      <c r="AB169" s="692">
        <f t="shared" si="114"/>
        <v>431998.67007823411</v>
      </c>
      <c r="AC169" s="786">
        <f t="shared" si="115"/>
        <v>817543.71249920374</v>
      </c>
      <c r="AD169" s="787">
        <f t="shared" si="100"/>
        <v>124.9684672117401</v>
      </c>
      <c r="AE169" s="788">
        <v>2172.8404</v>
      </c>
      <c r="AF169" s="774">
        <f t="shared" si="116"/>
        <v>2.2599609826301596E-3</v>
      </c>
      <c r="AG169" s="692">
        <f t="shared" si="117"/>
        <v>284490.80397409137</v>
      </c>
      <c r="AH169" s="786">
        <f t="shared" si="118"/>
        <v>284490.80397409137</v>
      </c>
      <c r="AI169" s="692">
        <f t="shared" si="101"/>
        <v>43.486824208818611</v>
      </c>
      <c r="AJ169" s="789">
        <v>739</v>
      </c>
      <c r="AK169" s="777">
        <f t="shared" si="119"/>
        <v>9.8233916356279399E-4</v>
      </c>
      <c r="AL169" s="692">
        <f t="shared" si="120"/>
        <v>20609.976644520833</v>
      </c>
      <c r="AM169" s="790">
        <v>4.333333333333333</v>
      </c>
      <c r="AN169" s="791">
        <f t="shared" si="121"/>
        <v>6.257521058965098E-4</v>
      </c>
      <c r="AO169" s="778">
        <f t="shared" si="122"/>
        <v>39385.794945848349</v>
      </c>
      <c r="AP169" s="768">
        <v>50</v>
      </c>
      <c r="AQ169" s="792">
        <f t="shared" si="123"/>
        <v>6.7581266472933703E-4</v>
      </c>
      <c r="AR169" s="793">
        <f t="shared" si="124"/>
        <v>56715.57748192201</v>
      </c>
      <c r="AS169" s="794">
        <v>2.5277777777777777</v>
      </c>
      <c r="AT169" s="791">
        <f t="shared" si="125"/>
        <v>1.013763793036222E-4</v>
      </c>
      <c r="AU169" s="795">
        <f t="shared" si="126"/>
        <v>8507.7125589737552</v>
      </c>
      <c r="AV169" s="796">
        <v>13</v>
      </c>
      <c r="AW169" s="791">
        <f t="shared" si="127"/>
        <v>1.6554604726976365E-4</v>
      </c>
      <c r="AX169" s="795">
        <f t="shared" si="128"/>
        <v>10419.721500611247</v>
      </c>
      <c r="AY169" s="786">
        <f t="shared" si="129"/>
        <v>135638.78313187617</v>
      </c>
      <c r="AZ169" s="787">
        <f t="shared" si="102"/>
        <v>20.733534566168782</v>
      </c>
      <c r="BA169" s="797">
        <f t="shared" si="106"/>
        <v>1275260.4720765599</v>
      </c>
      <c r="BB169" s="775">
        <v>841278</v>
      </c>
      <c r="BC169" s="775">
        <f t="shared" si="130"/>
        <v>0</v>
      </c>
      <c r="BD169" s="775">
        <f t="shared" si="131"/>
        <v>433982.4720765599</v>
      </c>
      <c r="BE169" s="798">
        <f t="shared" si="132"/>
        <v>6.7527714868622865E-4</v>
      </c>
      <c r="BF169" s="775">
        <f t="shared" si="133"/>
        <v>-893.98732783400192</v>
      </c>
      <c r="BG169" s="797">
        <f t="shared" si="134"/>
        <v>1274366.484748726</v>
      </c>
      <c r="BH169" s="799">
        <v>6.5</v>
      </c>
      <c r="BI169" s="692">
        <f t="shared" si="143"/>
        <v>0</v>
      </c>
      <c r="BJ169" s="800">
        <v>1200</v>
      </c>
      <c r="BK169" s="778">
        <f t="shared" si="135"/>
        <v>0</v>
      </c>
      <c r="BL169" s="786">
        <f t="shared" si="142"/>
        <v>1274366.484748726</v>
      </c>
      <c r="BM169" s="692">
        <f t="shared" si="136"/>
        <v>1274366.484748726</v>
      </c>
      <c r="BN169" s="801">
        <f t="shared" si="137"/>
        <v>6.2267483351466813E-4</v>
      </c>
      <c r="BO169" s="787">
        <f t="shared" si="138"/>
        <v>3077.7766285586886</v>
      </c>
      <c r="BP169" s="802">
        <f t="shared" si="139"/>
        <v>1277444</v>
      </c>
      <c r="BQ169" s="803">
        <f t="shared" si="103"/>
        <v>195.26811372668908</v>
      </c>
      <c r="BR169" s="682"/>
      <c r="BS169" s="618"/>
    </row>
    <row r="170" spans="1:71" ht="15.75">
      <c r="A170" s="805" t="s">
        <v>3755</v>
      </c>
      <c r="B170" s="767" t="s">
        <v>3756</v>
      </c>
      <c r="C170" s="768">
        <v>16350</v>
      </c>
      <c r="D170" s="769">
        <v>0</v>
      </c>
      <c r="E170" s="770">
        <v>0</v>
      </c>
      <c r="F170" s="771">
        <v>0</v>
      </c>
      <c r="G170" s="770">
        <v>0</v>
      </c>
      <c r="H170" s="771">
        <v>0</v>
      </c>
      <c r="I170" s="770">
        <f t="shared" si="140"/>
        <v>0</v>
      </c>
      <c r="J170" s="772">
        <f t="shared" si="107"/>
        <v>0</v>
      </c>
      <c r="K170" s="773">
        <v>4476</v>
      </c>
      <c r="L170" s="774">
        <f t="shared" si="108"/>
        <v>1.615406852630937E-3</v>
      </c>
      <c r="M170" s="775">
        <f t="shared" si="141"/>
        <v>135568.23850276761</v>
      </c>
      <c r="N170" s="806">
        <v>168.5</v>
      </c>
      <c r="O170" s="777">
        <f t="shared" si="109"/>
        <v>1.9162600063458342E-4</v>
      </c>
      <c r="P170" s="778">
        <f t="shared" si="110"/>
        <v>16081.644890295534</v>
      </c>
      <c r="Q170" s="786">
        <f t="shared" si="96"/>
        <v>151649.88339306315</v>
      </c>
      <c r="R170" s="692">
        <f t="shared" si="97"/>
        <v>9.2752222258754227</v>
      </c>
      <c r="S170" s="807">
        <v>58952590.860000014</v>
      </c>
      <c r="T170" s="782">
        <f t="shared" si="104"/>
        <v>4.5345335311018751</v>
      </c>
      <c r="U170" s="777">
        <f t="shared" si="111"/>
        <v>2.4648486549000317E-3</v>
      </c>
      <c r="V170" s="783">
        <f t="shared" si="98"/>
        <v>3605.6630495412851</v>
      </c>
      <c r="W170" s="778">
        <f t="shared" si="112"/>
        <v>982561.85519971664</v>
      </c>
      <c r="X170" s="784">
        <v>11780083.9365</v>
      </c>
      <c r="Y170" s="782">
        <f t="shared" si="105"/>
        <v>22.692750021221379</v>
      </c>
      <c r="Z170" s="782">
        <f t="shared" si="113"/>
        <v>3.5037957042828136E-3</v>
      </c>
      <c r="AA170" s="783">
        <f t="shared" si="99"/>
        <v>720.49443036697244</v>
      </c>
      <c r="AB170" s="692">
        <f t="shared" si="114"/>
        <v>823327.91309062124</v>
      </c>
      <c r="AC170" s="786">
        <f t="shared" si="115"/>
        <v>1805889.7682903379</v>
      </c>
      <c r="AD170" s="787">
        <f t="shared" si="100"/>
        <v>110.45197359573932</v>
      </c>
      <c r="AE170" s="788">
        <v>4503.5169999999998</v>
      </c>
      <c r="AF170" s="774">
        <f t="shared" si="116"/>
        <v>4.6840866474185715E-3</v>
      </c>
      <c r="AG170" s="692">
        <f t="shared" si="117"/>
        <v>589647.1604821909</v>
      </c>
      <c r="AH170" s="786">
        <f t="shared" si="118"/>
        <v>589647.1604821909</v>
      </c>
      <c r="AI170" s="692">
        <f t="shared" si="101"/>
        <v>36.064046512672228</v>
      </c>
      <c r="AJ170" s="789">
        <v>1637</v>
      </c>
      <c r="AK170" s="777">
        <f t="shared" si="119"/>
        <v>2.1760341146851063E-3</v>
      </c>
      <c r="AL170" s="692">
        <f t="shared" si="120"/>
        <v>45654.305503492018</v>
      </c>
      <c r="AM170" s="790">
        <v>6.666666666666667</v>
      </c>
      <c r="AN170" s="791">
        <f t="shared" si="121"/>
        <v>9.6269554753309217E-4</v>
      </c>
      <c r="AO170" s="778">
        <f t="shared" si="122"/>
        <v>60593.530685920545</v>
      </c>
      <c r="AP170" s="768">
        <v>208</v>
      </c>
      <c r="AQ170" s="792">
        <f t="shared" si="123"/>
        <v>2.811380685274042E-3</v>
      </c>
      <c r="AR170" s="793">
        <f t="shared" si="124"/>
        <v>235936.80232479557</v>
      </c>
      <c r="AS170" s="794">
        <v>29.861111111111111</v>
      </c>
      <c r="AT170" s="791">
        <f t="shared" si="125"/>
        <v>1.1975781071581744E-3</v>
      </c>
      <c r="AU170" s="795">
        <f t="shared" si="126"/>
        <v>100503.1978120526</v>
      </c>
      <c r="AV170" s="796">
        <v>0</v>
      </c>
      <c r="AW170" s="791">
        <f t="shared" si="127"/>
        <v>0</v>
      </c>
      <c r="AX170" s="795">
        <f t="shared" si="128"/>
        <v>0</v>
      </c>
      <c r="AY170" s="786">
        <f t="shared" si="129"/>
        <v>442687.83632626076</v>
      </c>
      <c r="AZ170" s="787">
        <f t="shared" si="102"/>
        <v>27.075708643807996</v>
      </c>
      <c r="BA170" s="797">
        <f t="shared" si="106"/>
        <v>2989874.6484918525</v>
      </c>
      <c r="BB170" s="775">
        <v>2099830</v>
      </c>
      <c r="BC170" s="775">
        <f t="shared" si="130"/>
        <v>0</v>
      </c>
      <c r="BD170" s="775">
        <f t="shared" si="131"/>
        <v>890044.64849185245</v>
      </c>
      <c r="BE170" s="798">
        <f t="shared" si="132"/>
        <v>1.3849103388004714E-3</v>
      </c>
      <c r="BF170" s="775">
        <f t="shared" si="133"/>
        <v>-1833.4580038472504</v>
      </c>
      <c r="BG170" s="797">
        <f t="shared" si="134"/>
        <v>2988041.1904880051</v>
      </c>
      <c r="BH170" s="799">
        <v>6.5</v>
      </c>
      <c r="BI170" s="692">
        <f t="shared" si="143"/>
        <v>0</v>
      </c>
      <c r="BJ170" s="800">
        <v>1200</v>
      </c>
      <c r="BK170" s="778">
        <f t="shared" si="135"/>
        <v>0</v>
      </c>
      <c r="BL170" s="786">
        <f t="shared" si="142"/>
        <v>2988041.1904880051</v>
      </c>
      <c r="BM170" s="692">
        <f t="shared" si="136"/>
        <v>2988041.1904880051</v>
      </c>
      <c r="BN170" s="801">
        <f t="shared" si="137"/>
        <v>1.4600023408407117E-3</v>
      </c>
      <c r="BO170" s="787">
        <f t="shared" si="138"/>
        <v>7216.5452021189894</v>
      </c>
      <c r="BP170" s="802">
        <f t="shared" si="139"/>
        <v>2995258</v>
      </c>
      <c r="BQ170" s="803">
        <f t="shared" si="103"/>
        <v>183.19620795107033</v>
      </c>
      <c r="BR170" s="682"/>
      <c r="BS170" s="618"/>
    </row>
    <row r="171" spans="1:71" ht="15.75">
      <c r="A171" s="805" t="s">
        <v>3757</v>
      </c>
      <c r="B171" s="767" t="s">
        <v>3758</v>
      </c>
      <c r="C171" s="768">
        <v>4787</v>
      </c>
      <c r="D171" s="769">
        <v>0</v>
      </c>
      <c r="E171" s="770">
        <v>0</v>
      </c>
      <c r="F171" s="771">
        <v>0</v>
      </c>
      <c r="G171" s="770">
        <v>0</v>
      </c>
      <c r="H171" s="771">
        <v>0</v>
      </c>
      <c r="I171" s="770">
        <f t="shared" si="140"/>
        <v>0</v>
      </c>
      <c r="J171" s="772">
        <f t="shared" si="107"/>
        <v>0</v>
      </c>
      <c r="K171" s="773">
        <v>1510</v>
      </c>
      <c r="L171" s="774">
        <f t="shared" si="108"/>
        <v>5.4496522508326963E-4</v>
      </c>
      <c r="M171" s="775">
        <f t="shared" si="141"/>
        <v>45734.59341804716</v>
      </c>
      <c r="N171" s="806">
        <v>27</v>
      </c>
      <c r="O171" s="777">
        <f t="shared" si="109"/>
        <v>3.070564995331604E-5</v>
      </c>
      <c r="P171" s="778">
        <f t="shared" si="110"/>
        <v>2576.8807836081869</v>
      </c>
      <c r="Q171" s="786">
        <f t="shared" si="96"/>
        <v>48311.47420165535</v>
      </c>
      <c r="R171" s="692">
        <f t="shared" si="97"/>
        <v>10.092223564164478</v>
      </c>
      <c r="S171" s="807">
        <v>23336745.219999995</v>
      </c>
      <c r="T171" s="782">
        <f t="shared" si="104"/>
        <v>0.98194365940804507</v>
      </c>
      <c r="U171" s="777">
        <f t="shared" si="111"/>
        <v>5.3375777055758155E-4</v>
      </c>
      <c r="V171" s="783">
        <f t="shared" si="98"/>
        <v>4875.0251138500098</v>
      </c>
      <c r="W171" s="778">
        <f t="shared" si="112"/>
        <v>212771.69461245986</v>
      </c>
      <c r="X171" s="784">
        <v>6037687.3349000001</v>
      </c>
      <c r="Y171" s="782">
        <f t="shared" si="105"/>
        <v>3.7953884871680819</v>
      </c>
      <c r="Z171" s="782">
        <f t="shared" si="113"/>
        <v>5.8601385310233229E-4</v>
      </c>
      <c r="AA171" s="783">
        <f t="shared" si="99"/>
        <v>1261.2674608105285</v>
      </c>
      <c r="AB171" s="692">
        <f t="shared" si="114"/>
        <v>137702.53845770255</v>
      </c>
      <c r="AC171" s="786">
        <f t="shared" si="115"/>
        <v>350474.23307016242</v>
      </c>
      <c r="AD171" s="787">
        <f t="shared" si="100"/>
        <v>73.213752469221305</v>
      </c>
      <c r="AE171" s="788">
        <v>224.01759999999999</v>
      </c>
      <c r="AF171" s="774">
        <f t="shared" si="116"/>
        <v>2.3299964204570665E-4</v>
      </c>
      <c r="AG171" s="692">
        <f t="shared" si="117"/>
        <v>29330.707919618213</v>
      </c>
      <c r="AH171" s="786">
        <f t="shared" si="118"/>
        <v>29330.707919618213</v>
      </c>
      <c r="AI171" s="692">
        <f t="shared" si="101"/>
        <v>6.1271585376265332</v>
      </c>
      <c r="AJ171" s="789">
        <v>266</v>
      </c>
      <c r="AK171" s="777">
        <f t="shared" si="119"/>
        <v>3.5358892761529524E-4</v>
      </c>
      <c r="AL171" s="692">
        <f t="shared" si="120"/>
        <v>7418.476031721978</v>
      </c>
      <c r="AM171" s="790">
        <v>1.6666666666666667</v>
      </c>
      <c r="AN171" s="791">
        <f t="shared" si="121"/>
        <v>2.4067388688327304E-4</v>
      </c>
      <c r="AO171" s="778">
        <f t="shared" si="122"/>
        <v>15148.382671480136</v>
      </c>
      <c r="AP171" s="768">
        <v>38</v>
      </c>
      <c r="AQ171" s="792">
        <f t="shared" si="123"/>
        <v>5.1361762519429614E-4</v>
      </c>
      <c r="AR171" s="793">
        <f t="shared" si="124"/>
        <v>43103.838886260732</v>
      </c>
      <c r="AS171" s="794">
        <v>9</v>
      </c>
      <c r="AT171" s="791">
        <f t="shared" si="125"/>
        <v>3.6094447136674276E-4</v>
      </c>
      <c r="AU171" s="795">
        <f t="shared" si="126"/>
        <v>30291.196363818643</v>
      </c>
      <c r="AV171" s="796">
        <v>12</v>
      </c>
      <c r="AW171" s="791">
        <f t="shared" si="127"/>
        <v>1.5281173594132029E-4</v>
      </c>
      <c r="AX171" s="795">
        <f t="shared" si="128"/>
        <v>9618.2044621026889</v>
      </c>
      <c r="AY171" s="786">
        <f t="shared" si="129"/>
        <v>105580.09841538417</v>
      </c>
      <c r="AZ171" s="787">
        <f t="shared" si="102"/>
        <v>22.055587719946558</v>
      </c>
      <c r="BA171" s="797">
        <f t="shared" si="106"/>
        <v>533696.51360682014</v>
      </c>
      <c r="BB171" s="775">
        <v>524545</v>
      </c>
      <c r="BC171" s="775">
        <f t="shared" si="130"/>
        <v>0</v>
      </c>
      <c r="BD171" s="775">
        <f t="shared" si="131"/>
        <v>9151.5136068201391</v>
      </c>
      <c r="BE171" s="798">
        <f t="shared" si="132"/>
        <v>1.423976407389682E-5</v>
      </c>
      <c r="BF171" s="775">
        <f t="shared" si="133"/>
        <v>-18.851768726628102</v>
      </c>
      <c r="BG171" s="797">
        <f t="shared" si="134"/>
        <v>533677.66183809354</v>
      </c>
      <c r="BH171" s="799">
        <v>7.2</v>
      </c>
      <c r="BI171" s="692">
        <f t="shared" si="143"/>
        <v>0</v>
      </c>
      <c r="BJ171" s="800">
        <v>1200</v>
      </c>
      <c r="BK171" s="778">
        <f t="shared" si="135"/>
        <v>0</v>
      </c>
      <c r="BL171" s="786">
        <f t="shared" si="142"/>
        <v>533677.66183809354</v>
      </c>
      <c r="BM171" s="692">
        <f t="shared" si="136"/>
        <v>533677.66183809354</v>
      </c>
      <c r="BN171" s="801">
        <f t="shared" si="137"/>
        <v>2.6076301692841148E-4</v>
      </c>
      <c r="BO171" s="787">
        <f t="shared" si="138"/>
        <v>1288.9075901215344</v>
      </c>
      <c r="BP171" s="802">
        <f t="shared" si="139"/>
        <v>534967</v>
      </c>
      <c r="BQ171" s="803">
        <f t="shared" si="103"/>
        <v>111.75412575725925</v>
      </c>
      <c r="BR171" s="682"/>
      <c r="BS171" s="618"/>
    </row>
    <row r="172" spans="1:71" ht="15.75">
      <c r="A172" s="766" t="s">
        <v>3759</v>
      </c>
      <c r="B172" s="767" t="s">
        <v>3760</v>
      </c>
      <c r="C172" s="768">
        <v>8620</v>
      </c>
      <c r="D172" s="769">
        <v>0</v>
      </c>
      <c r="E172" s="770">
        <v>0</v>
      </c>
      <c r="F172" s="771">
        <v>0</v>
      </c>
      <c r="G172" s="770">
        <v>0</v>
      </c>
      <c r="H172" s="771">
        <v>0</v>
      </c>
      <c r="I172" s="770">
        <f t="shared" si="140"/>
        <v>0</v>
      </c>
      <c r="J172" s="772">
        <f t="shared" si="107"/>
        <v>0</v>
      </c>
      <c r="K172" s="773">
        <v>1788</v>
      </c>
      <c r="L172" s="774">
        <f t="shared" si="108"/>
        <v>6.4529657115820272E-4</v>
      </c>
      <c r="M172" s="775">
        <f t="shared" si="141"/>
        <v>54154.604656601536</v>
      </c>
      <c r="N172" s="806">
        <v>99.5</v>
      </c>
      <c r="O172" s="777">
        <f t="shared" si="109"/>
        <v>1.1315600630944244E-4</v>
      </c>
      <c r="P172" s="778">
        <f t="shared" si="110"/>
        <v>9496.2828877412812</v>
      </c>
      <c r="Q172" s="786">
        <f t="shared" si="96"/>
        <v>63650.887544342819</v>
      </c>
      <c r="R172" s="692">
        <f t="shared" si="97"/>
        <v>7.3840936826383778</v>
      </c>
      <c r="S172" s="807">
        <v>38775970.859999999</v>
      </c>
      <c r="T172" s="782">
        <f t="shared" si="104"/>
        <v>1.9162486032464487</v>
      </c>
      <c r="U172" s="777">
        <f t="shared" si="111"/>
        <v>1.0416204356566612E-3</v>
      </c>
      <c r="V172" s="783">
        <f t="shared" si="98"/>
        <v>4498.3724895591649</v>
      </c>
      <c r="W172" s="778">
        <f t="shared" si="112"/>
        <v>415220.83136347978</v>
      </c>
      <c r="X172" s="784">
        <v>6705903.6628999999</v>
      </c>
      <c r="Y172" s="782">
        <f t="shared" si="105"/>
        <v>11.080445490304987</v>
      </c>
      <c r="Z172" s="782">
        <f t="shared" si="113"/>
        <v>1.7108379228680591E-3</v>
      </c>
      <c r="AA172" s="783">
        <f t="shared" si="99"/>
        <v>777.94706066125286</v>
      </c>
      <c r="AB172" s="692">
        <f t="shared" si="114"/>
        <v>402015.6240700605</v>
      </c>
      <c r="AC172" s="786">
        <f t="shared" si="115"/>
        <v>817236.45543354028</v>
      </c>
      <c r="AD172" s="787">
        <f t="shared" si="100"/>
        <v>94.807013391361977</v>
      </c>
      <c r="AE172" s="788">
        <v>270.10320000000002</v>
      </c>
      <c r="AF172" s="774">
        <f t="shared" si="116"/>
        <v>2.8093305577508158E-4</v>
      </c>
      <c r="AG172" s="692">
        <f t="shared" si="117"/>
        <v>35364.712716117938</v>
      </c>
      <c r="AH172" s="786">
        <f t="shared" si="118"/>
        <v>35364.712716117938</v>
      </c>
      <c r="AI172" s="692">
        <f t="shared" si="101"/>
        <v>4.1026348858605495</v>
      </c>
      <c r="AJ172" s="789">
        <v>512</v>
      </c>
      <c r="AK172" s="777">
        <f t="shared" si="119"/>
        <v>6.8059222157530513E-4</v>
      </c>
      <c r="AL172" s="692">
        <f t="shared" si="120"/>
        <v>14279.171910682906</v>
      </c>
      <c r="AM172" s="790">
        <v>3</v>
      </c>
      <c r="AN172" s="791">
        <f t="shared" si="121"/>
        <v>4.3321299638989148E-4</v>
      </c>
      <c r="AO172" s="778">
        <f t="shared" si="122"/>
        <v>27267.088808664244</v>
      </c>
      <c r="AP172" s="768">
        <v>42</v>
      </c>
      <c r="AQ172" s="792">
        <f t="shared" si="123"/>
        <v>5.6768263837264307E-4</v>
      </c>
      <c r="AR172" s="793">
        <f t="shared" si="124"/>
        <v>47641.085084814484</v>
      </c>
      <c r="AS172" s="794">
        <v>8.5</v>
      </c>
      <c r="AT172" s="791">
        <f t="shared" si="125"/>
        <v>3.408920007352571E-4</v>
      </c>
      <c r="AU172" s="795">
        <f t="shared" si="126"/>
        <v>28608.352121384276</v>
      </c>
      <c r="AV172" s="796">
        <v>110</v>
      </c>
      <c r="AW172" s="791">
        <f t="shared" si="127"/>
        <v>1.4007742461287693E-3</v>
      </c>
      <c r="AX172" s="795">
        <f t="shared" si="128"/>
        <v>88166.874235941315</v>
      </c>
      <c r="AY172" s="786">
        <f t="shared" si="129"/>
        <v>205962.57216148722</v>
      </c>
      <c r="AZ172" s="787">
        <f t="shared" si="102"/>
        <v>23.893569856321022</v>
      </c>
      <c r="BA172" s="797">
        <f t="shared" si="106"/>
        <v>1122214.6278554883</v>
      </c>
      <c r="BB172" s="775">
        <v>937842</v>
      </c>
      <c r="BC172" s="775">
        <f t="shared" si="130"/>
        <v>0</v>
      </c>
      <c r="BD172" s="775">
        <f t="shared" si="131"/>
        <v>184372.62785548833</v>
      </c>
      <c r="BE172" s="798">
        <f t="shared" si="132"/>
        <v>2.86883988282544E-4</v>
      </c>
      <c r="BF172" s="775">
        <f t="shared" si="133"/>
        <v>-379.80057607760568</v>
      </c>
      <c r="BG172" s="797">
        <f t="shared" si="134"/>
        <v>1121834.8272794108</v>
      </c>
      <c r="BH172" s="799">
        <v>8</v>
      </c>
      <c r="BI172" s="692">
        <f t="shared" si="143"/>
        <v>0</v>
      </c>
      <c r="BJ172" s="800">
        <v>1400</v>
      </c>
      <c r="BK172" s="778">
        <f t="shared" si="135"/>
        <v>0</v>
      </c>
      <c r="BL172" s="786">
        <f t="shared" si="142"/>
        <v>1121834.8272794108</v>
      </c>
      <c r="BM172" s="692">
        <f t="shared" si="136"/>
        <v>1121834.8272794108</v>
      </c>
      <c r="BN172" s="801">
        <f t="shared" si="137"/>
        <v>5.4814554735006099E-4</v>
      </c>
      <c r="BO172" s="787">
        <f t="shared" si="138"/>
        <v>2709.3909435200994</v>
      </c>
      <c r="BP172" s="802">
        <f t="shared" si="139"/>
        <v>1124544</v>
      </c>
      <c r="BQ172" s="803">
        <f t="shared" si="103"/>
        <v>130.45754060324825</v>
      </c>
      <c r="BR172" s="682"/>
      <c r="BS172" s="618"/>
    </row>
    <row r="173" spans="1:71" ht="15.75">
      <c r="A173" s="805" t="s">
        <v>3761</v>
      </c>
      <c r="B173" s="767" t="s">
        <v>3762</v>
      </c>
      <c r="C173" s="768">
        <v>7088</v>
      </c>
      <c r="D173" s="769">
        <v>0</v>
      </c>
      <c r="E173" s="770">
        <v>0</v>
      </c>
      <c r="F173" s="771">
        <v>0</v>
      </c>
      <c r="G173" s="770">
        <v>0</v>
      </c>
      <c r="H173" s="771">
        <v>0</v>
      </c>
      <c r="I173" s="770">
        <f t="shared" si="140"/>
        <v>0</v>
      </c>
      <c r="J173" s="772">
        <f t="shared" si="107"/>
        <v>0</v>
      </c>
      <c r="K173" s="773">
        <v>1427</v>
      </c>
      <c r="L173" s="774">
        <f t="shared" si="108"/>
        <v>5.1501018290981836E-4</v>
      </c>
      <c r="M173" s="775">
        <f t="shared" si="141"/>
        <v>43220.705170565096</v>
      </c>
      <c r="N173" s="806">
        <v>0</v>
      </c>
      <c r="O173" s="777">
        <f t="shared" si="109"/>
        <v>0</v>
      </c>
      <c r="P173" s="778">
        <f t="shared" si="110"/>
        <v>0</v>
      </c>
      <c r="Q173" s="786">
        <f t="shared" si="96"/>
        <v>43220.705170565096</v>
      </c>
      <c r="R173" s="692">
        <f t="shared" si="97"/>
        <v>6.0977292847862721</v>
      </c>
      <c r="S173" s="807">
        <v>26391253.780000001</v>
      </c>
      <c r="T173" s="782">
        <f t="shared" si="104"/>
        <v>1.9036512785183788</v>
      </c>
      <c r="U173" s="777">
        <f t="shared" si="111"/>
        <v>1.0347728737854455E-3</v>
      </c>
      <c r="V173" s="783">
        <f t="shared" si="98"/>
        <v>3723.3710186230251</v>
      </c>
      <c r="W173" s="778">
        <f t="shared" si="112"/>
        <v>412491.18989750126</v>
      </c>
      <c r="X173" s="784">
        <v>5039332.3800999997</v>
      </c>
      <c r="Y173" s="782">
        <f t="shared" si="105"/>
        <v>9.9695237802518299</v>
      </c>
      <c r="Z173" s="782">
        <f t="shared" si="113"/>
        <v>1.5393098924689798E-3</v>
      </c>
      <c r="AA173" s="783">
        <f t="shared" si="99"/>
        <v>710.96675791478549</v>
      </c>
      <c r="AB173" s="692">
        <f t="shared" si="114"/>
        <v>361709.67383089679</v>
      </c>
      <c r="AC173" s="786">
        <f t="shared" si="115"/>
        <v>774200.86372839799</v>
      </c>
      <c r="AD173" s="787">
        <f t="shared" si="100"/>
        <v>109.22698416032704</v>
      </c>
      <c r="AE173" s="788">
        <v>3142.7674999999999</v>
      </c>
      <c r="AF173" s="774">
        <f t="shared" si="116"/>
        <v>3.2687775537854186E-3</v>
      </c>
      <c r="AG173" s="692">
        <f t="shared" si="117"/>
        <v>411483.72092982306</v>
      </c>
      <c r="AH173" s="786">
        <f t="shared" si="118"/>
        <v>411483.72092982306</v>
      </c>
      <c r="AI173" s="692">
        <f t="shared" si="101"/>
        <v>58.053572365945691</v>
      </c>
      <c r="AJ173" s="789">
        <v>721</v>
      </c>
      <c r="AK173" s="777">
        <f t="shared" si="119"/>
        <v>9.5841209327303715E-4</v>
      </c>
      <c r="AL173" s="692">
        <f t="shared" si="120"/>
        <v>20107.974507035888</v>
      </c>
      <c r="AM173" s="790">
        <v>2.6666666666666665</v>
      </c>
      <c r="AN173" s="791">
        <f t="shared" si="121"/>
        <v>3.8507821901323682E-4</v>
      </c>
      <c r="AO173" s="778">
        <f t="shared" si="122"/>
        <v>24237.412274368216</v>
      </c>
      <c r="AP173" s="768">
        <v>55</v>
      </c>
      <c r="AQ173" s="792">
        <f t="shared" si="123"/>
        <v>7.4339393120227075E-4</v>
      </c>
      <c r="AR173" s="793">
        <f t="shared" si="124"/>
        <v>62387.135230114211</v>
      </c>
      <c r="AS173" s="794">
        <v>9.75</v>
      </c>
      <c r="AT173" s="791">
        <f t="shared" si="125"/>
        <v>3.9102317731397134E-4</v>
      </c>
      <c r="AU173" s="795">
        <f t="shared" si="126"/>
        <v>32815.462727470192</v>
      </c>
      <c r="AV173" s="796">
        <v>0</v>
      </c>
      <c r="AW173" s="791">
        <f t="shared" si="127"/>
        <v>0</v>
      </c>
      <c r="AX173" s="795">
        <f t="shared" si="128"/>
        <v>0</v>
      </c>
      <c r="AY173" s="786">
        <f t="shared" si="129"/>
        <v>139547.98473898851</v>
      </c>
      <c r="AZ173" s="787">
        <f t="shared" si="102"/>
        <v>19.687921097487092</v>
      </c>
      <c r="BA173" s="797">
        <f t="shared" si="106"/>
        <v>1368453.2745677747</v>
      </c>
      <c r="BB173" s="775">
        <v>898364</v>
      </c>
      <c r="BC173" s="775">
        <f t="shared" si="130"/>
        <v>0</v>
      </c>
      <c r="BD173" s="775">
        <f t="shared" si="131"/>
        <v>470089.27456777473</v>
      </c>
      <c r="BE173" s="798">
        <f t="shared" si="132"/>
        <v>7.3145936848367484E-4</v>
      </c>
      <c r="BF173" s="775">
        <f t="shared" si="133"/>
        <v>-968.36596280812773</v>
      </c>
      <c r="BG173" s="797">
        <f t="shared" si="134"/>
        <v>1367484.9086049667</v>
      </c>
      <c r="BH173" s="799">
        <v>8</v>
      </c>
      <c r="BI173" s="692">
        <f t="shared" si="143"/>
        <v>0</v>
      </c>
      <c r="BJ173" s="800">
        <v>1200</v>
      </c>
      <c r="BK173" s="778">
        <f t="shared" si="135"/>
        <v>0</v>
      </c>
      <c r="BL173" s="786">
        <f t="shared" si="142"/>
        <v>1367484.9086049667</v>
      </c>
      <c r="BM173" s="692">
        <f t="shared" si="136"/>
        <v>1367484.9086049667</v>
      </c>
      <c r="BN173" s="801">
        <f t="shared" si="137"/>
        <v>6.6817391071557683E-4</v>
      </c>
      <c r="BO173" s="787">
        <f t="shared" si="138"/>
        <v>3302.670889403495</v>
      </c>
      <c r="BP173" s="802">
        <f t="shared" si="139"/>
        <v>1370788</v>
      </c>
      <c r="BQ173" s="803">
        <f t="shared" si="103"/>
        <v>193.39559819413091</v>
      </c>
      <c r="BR173" s="682"/>
      <c r="BS173" s="618"/>
    </row>
    <row r="174" spans="1:71" ht="15.75">
      <c r="A174" s="805" t="s">
        <v>3763</v>
      </c>
      <c r="B174" s="767" t="s">
        <v>3764</v>
      </c>
      <c r="C174" s="768">
        <v>21779</v>
      </c>
      <c r="D174" s="769">
        <v>0</v>
      </c>
      <c r="E174" s="770">
        <v>0</v>
      </c>
      <c r="F174" s="771">
        <v>0</v>
      </c>
      <c r="G174" s="770">
        <v>0</v>
      </c>
      <c r="H174" s="771">
        <v>0</v>
      </c>
      <c r="I174" s="770">
        <f t="shared" si="140"/>
        <v>0</v>
      </c>
      <c r="J174" s="772">
        <f t="shared" si="107"/>
        <v>0</v>
      </c>
      <c r="K174" s="773">
        <v>6921</v>
      </c>
      <c r="L174" s="774">
        <f t="shared" si="108"/>
        <v>2.4978174323187475E-3</v>
      </c>
      <c r="M174" s="775">
        <f t="shared" si="141"/>
        <v>209621.93446775121</v>
      </c>
      <c r="N174" s="806">
        <v>988.5</v>
      </c>
      <c r="O174" s="777">
        <f t="shared" si="109"/>
        <v>1.1241679621797373E-3</v>
      </c>
      <c r="P174" s="778">
        <f t="shared" si="110"/>
        <v>94342.468688766399</v>
      </c>
      <c r="Q174" s="786">
        <f t="shared" si="96"/>
        <v>303964.4031565176</v>
      </c>
      <c r="R174" s="692">
        <f t="shared" si="97"/>
        <v>13.956765836655384</v>
      </c>
      <c r="S174" s="807">
        <v>92754527.180000007</v>
      </c>
      <c r="T174" s="782">
        <f t="shared" si="104"/>
        <v>5.1137648524639916</v>
      </c>
      <c r="U174" s="777">
        <f t="shared" si="111"/>
        <v>2.7797029907524009E-3</v>
      </c>
      <c r="V174" s="783">
        <f t="shared" si="98"/>
        <v>4258.8974323889988</v>
      </c>
      <c r="W174" s="778">
        <f t="shared" si="112"/>
        <v>1108072.1414957026</v>
      </c>
      <c r="X174" s="784">
        <v>20121258.721700002</v>
      </c>
      <c r="Y174" s="782">
        <f t="shared" si="105"/>
        <v>23.573318526462707</v>
      </c>
      <c r="Z174" s="782">
        <f t="shared" si="113"/>
        <v>3.6397568435500255E-3</v>
      </c>
      <c r="AA174" s="783">
        <f t="shared" si="99"/>
        <v>923.88349886128844</v>
      </c>
      <c r="AB174" s="692">
        <f t="shared" si="114"/>
        <v>855276.29436110111</v>
      </c>
      <c r="AC174" s="786">
        <f t="shared" si="115"/>
        <v>1963348.4358568038</v>
      </c>
      <c r="AD174" s="787">
        <f t="shared" si="100"/>
        <v>90.148695342155463</v>
      </c>
      <c r="AE174" s="788">
        <v>4314.7870999999996</v>
      </c>
      <c r="AF174" s="774">
        <f t="shared" si="116"/>
        <v>4.4877895745844641E-3</v>
      </c>
      <c r="AG174" s="692">
        <f t="shared" si="117"/>
        <v>564936.68428479054</v>
      </c>
      <c r="AH174" s="786">
        <f t="shared" si="118"/>
        <v>564936.68428479054</v>
      </c>
      <c r="AI174" s="692">
        <f t="shared" si="101"/>
        <v>25.939514407676686</v>
      </c>
      <c r="AJ174" s="789">
        <v>1770</v>
      </c>
      <c r="AK174" s="777">
        <f t="shared" si="119"/>
        <v>2.3528285784927541E-3</v>
      </c>
      <c r="AL174" s="692">
        <f t="shared" si="120"/>
        <v>49363.543519353014</v>
      </c>
      <c r="AM174" s="790">
        <v>4.666666666666667</v>
      </c>
      <c r="AN174" s="791">
        <f t="shared" si="121"/>
        <v>6.7388688327316452E-4</v>
      </c>
      <c r="AO174" s="778">
        <f t="shared" si="122"/>
        <v>42415.471480144384</v>
      </c>
      <c r="AP174" s="768">
        <v>138</v>
      </c>
      <c r="AQ174" s="792">
        <f t="shared" si="123"/>
        <v>1.8652429546529702E-3</v>
      </c>
      <c r="AR174" s="793">
        <f t="shared" si="124"/>
        <v>156534.99385010474</v>
      </c>
      <c r="AS174" s="794">
        <v>20.805555555555557</v>
      </c>
      <c r="AT174" s="791">
        <f t="shared" si="125"/>
        <v>8.3440558349904431E-4</v>
      </c>
      <c r="AU174" s="795">
        <f t="shared" si="126"/>
        <v>70025.018754630131</v>
      </c>
      <c r="AV174" s="796">
        <v>21</v>
      </c>
      <c r="AW174" s="791">
        <f t="shared" si="127"/>
        <v>2.674205378973105E-4</v>
      </c>
      <c r="AX174" s="795">
        <f t="shared" si="128"/>
        <v>16831.857808679706</v>
      </c>
      <c r="AY174" s="786">
        <f t="shared" si="129"/>
        <v>335170.885412912</v>
      </c>
      <c r="AZ174" s="787">
        <f t="shared" si="102"/>
        <v>15.389636136319941</v>
      </c>
      <c r="BA174" s="797">
        <f t="shared" si="106"/>
        <v>3167420.4087110236</v>
      </c>
      <c r="BB174" s="775">
        <v>2446872</v>
      </c>
      <c r="BC174" s="775">
        <f t="shared" si="130"/>
        <v>0</v>
      </c>
      <c r="BD174" s="775">
        <f t="shared" si="131"/>
        <v>720548.40871102363</v>
      </c>
      <c r="BE174" s="798">
        <f t="shared" si="132"/>
        <v>1.1211740248323724E-3</v>
      </c>
      <c r="BF174" s="775">
        <f t="shared" si="133"/>
        <v>-1484.3022193877273</v>
      </c>
      <c r="BG174" s="797">
        <f t="shared" si="134"/>
        <v>3165936.106491636</v>
      </c>
      <c r="BH174" s="799">
        <v>6.9</v>
      </c>
      <c r="BI174" s="692">
        <f t="shared" si="143"/>
        <v>0</v>
      </c>
      <c r="BJ174" s="800">
        <v>1000</v>
      </c>
      <c r="BK174" s="778">
        <f t="shared" si="135"/>
        <v>0</v>
      </c>
      <c r="BL174" s="786">
        <f t="shared" si="142"/>
        <v>3165936.106491636</v>
      </c>
      <c r="BM174" s="692">
        <f t="shared" si="136"/>
        <v>3165936.106491636</v>
      </c>
      <c r="BN174" s="801">
        <f t="shared" si="137"/>
        <v>1.5469245006207598E-3</v>
      </c>
      <c r="BO174" s="787">
        <f t="shared" si="138"/>
        <v>7646.1867701984775</v>
      </c>
      <c r="BP174" s="802">
        <f t="shared" si="139"/>
        <v>3173582</v>
      </c>
      <c r="BQ174" s="803">
        <f t="shared" si="103"/>
        <v>145.71752605721107</v>
      </c>
      <c r="BR174" s="682"/>
      <c r="BS174" s="618"/>
    </row>
    <row r="175" spans="1:71" ht="15.75">
      <c r="A175" s="766" t="s">
        <v>3765</v>
      </c>
      <c r="B175" s="767" t="s">
        <v>3766</v>
      </c>
      <c r="C175" s="768">
        <v>39882</v>
      </c>
      <c r="D175" s="769">
        <v>0</v>
      </c>
      <c r="E175" s="770">
        <v>0</v>
      </c>
      <c r="F175" s="771">
        <v>0</v>
      </c>
      <c r="G175" s="770">
        <f>C175/($C$10+$C$60+$C$62+$C$67+$C$74+$C$80+$C$94+$C$105+$C$127+$C$141+$C$168+$C$175+$C$201+$C$219+$C$237+$C$255+$C$265+$C$267+$C$268+$C$273+$C$281)*$G$7</f>
        <v>2449271.7261950062</v>
      </c>
      <c r="H175" s="771">
        <v>0</v>
      </c>
      <c r="I175" s="770">
        <f t="shared" si="140"/>
        <v>2449271.7261950062</v>
      </c>
      <c r="J175" s="772">
        <f t="shared" si="107"/>
        <v>61.412961390978538</v>
      </c>
      <c r="K175" s="773">
        <v>17199</v>
      </c>
      <c r="L175" s="774">
        <f t="shared" si="108"/>
        <v>6.2071900041106983E-3</v>
      </c>
      <c r="M175" s="775">
        <f t="shared" si="141"/>
        <v>520920.04781257821</v>
      </c>
      <c r="N175" s="806">
        <v>5857</v>
      </c>
      <c r="O175" s="777">
        <f t="shared" si="109"/>
        <v>6.6608515472804464E-3</v>
      </c>
      <c r="P175" s="778">
        <f t="shared" si="110"/>
        <v>558992.24998493155</v>
      </c>
      <c r="Q175" s="786">
        <f t="shared" si="96"/>
        <v>1079912.2977975097</v>
      </c>
      <c r="R175" s="692">
        <f t="shared" si="97"/>
        <v>27.077686620468125</v>
      </c>
      <c r="S175" s="807">
        <v>137439296.44999999</v>
      </c>
      <c r="T175" s="782">
        <f t="shared" si="104"/>
        <v>11.572919573105105</v>
      </c>
      <c r="U175" s="777">
        <f t="shared" si="111"/>
        <v>6.2907231906834697E-3</v>
      </c>
      <c r="V175" s="783">
        <f t="shared" si="98"/>
        <v>3446.1485494709391</v>
      </c>
      <c r="W175" s="778">
        <f t="shared" si="112"/>
        <v>2507669.0353779625</v>
      </c>
      <c r="X175" s="784">
        <v>34495355.1083</v>
      </c>
      <c r="Y175" s="782">
        <f t="shared" si="105"/>
        <v>46.109799971802254</v>
      </c>
      <c r="Z175" s="782">
        <f t="shared" si="113"/>
        <v>7.1194244380014121E-3</v>
      </c>
      <c r="AA175" s="783">
        <f t="shared" si="99"/>
        <v>864.93543724737981</v>
      </c>
      <c r="AB175" s="692">
        <f t="shared" si="114"/>
        <v>1672934.5428962098</v>
      </c>
      <c r="AC175" s="786">
        <f t="shared" si="115"/>
        <v>4180603.5782741723</v>
      </c>
      <c r="AD175" s="787">
        <f t="shared" si="100"/>
        <v>104.82432120440731</v>
      </c>
      <c r="AE175" s="788">
        <v>4466.6549999999997</v>
      </c>
      <c r="AF175" s="774">
        <f t="shared" si="116"/>
        <v>4.6457466562523026E-3</v>
      </c>
      <c r="AG175" s="692">
        <f t="shared" si="117"/>
        <v>584820.80507380795</v>
      </c>
      <c r="AH175" s="786">
        <f t="shared" si="118"/>
        <v>584820.80507380795</v>
      </c>
      <c r="AI175" s="692">
        <f t="shared" si="101"/>
        <v>14.663778272749811</v>
      </c>
      <c r="AJ175" s="789">
        <v>5160</v>
      </c>
      <c r="AK175" s="777">
        <f t="shared" si="119"/>
        <v>6.8590934830636222E-3</v>
      </c>
      <c r="AL175" s="692">
        <f t="shared" si="120"/>
        <v>143907.27941235117</v>
      </c>
      <c r="AM175" s="790">
        <v>59</v>
      </c>
      <c r="AN175" s="791">
        <f t="shared" si="121"/>
        <v>8.5198555956678655E-3</v>
      </c>
      <c r="AO175" s="778">
        <f t="shared" si="122"/>
        <v>536252.74657039682</v>
      </c>
      <c r="AP175" s="768">
        <v>586</v>
      </c>
      <c r="AQ175" s="792">
        <f t="shared" si="123"/>
        <v>7.9205244306278302E-3</v>
      </c>
      <c r="AR175" s="793">
        <f t="shared" si="124"/>
        <v>664706.56808812602</v>
      </c>
      <c r="AS175" s="794">
        <v>159.05555555555554</v>
      </c>
      <c r="AT175" s="791">
        <f t="shared" si="125"/>
        <v>6.3789137131048425E-3</v>
      </c>
      <c r="AU175" s="795">
        <f t="shared" si="126"/>
        <v>535331.45178773312</v>
      </c>
      <c r="AV175" s="796">
        <v>861</v>
      </c>
      <c r="AW175" s="791">
        <f t="shared" si="127"/>
        <v>1.096424205378973E-2</v>
      </c>
      <c r="AX175" s="795">
        <f t="shared" si="128"/>
        <v>690106.17015586793</v>
      </c>
      <c r="AY175" s="786">
        <f t="shared" si="129"/>
        <v>2570304.2160144746</v>
      </c>
      <c r="AZ175" s="787">
        <f t="shared" si="102"/>
        <v>64.447726192630128</v>
      </c>
      <c r="BA175" s="797">
        <f t="shared" si="106"/>
        <v>10864912.623354971</v>
      </c>
      <c r="BB175" s="775">
        <v>7125704</v>
      </c>
      <c r="BC175" s="775">
        <f t="shared" si="130"/>
        <v>0</v>
      </c>
      <c r="BD175" s="775">
        <f t="shared" si="131"/>
        <v>3739208.6233549714</v>
      </c>
      <c r="BE175" s="798">
        <f t="shared" si="132"/>
        <v>5.8182122550715859E-3</v>
      </c>
      <c r="BF175" s="775">
        <f t="shared" si="133"/>
        <v>-7702.6270425439097</v>
      </c>
      <c r="BG175" s="797">
        <f t="shared" si="134"/>
        <v>10857209.996312428</v>
      </c>
      <c r="BH175" s="799">
        <v>7.5</v>
      </c>
      <c r="BI175" s="692">
        <f t="shared" si="143"/>
        <v>0</v>
      </c>
      <c r="BJ175" s="800">
        <v>1250</v>
      </c>
      <c r="BK175" s="778">
        <f t="shared" si="135"/>
        <v>0</v>
      </c>
      <c r="BL175" s="786">
        <f t="shared" si="142"/>
        <v>10857209.996312428</v>
      </c>
      <c r="BM175" s="692">
        <f t="shared" si="136"/>
        <v>10857209.996312428</v>
      </c>
      <c r="BN175" s="801">
        <f t="shared" si="137"/>
        <v>5.3049978226794312E-3</v>
      </c>
      <c r="BO175" s="787">
        <f t="shared" si="138"/>
        <v>26221.709043606079</v>
      </c>
      <c r="BP175" s="802">
        <f t="shared" si="139"/>
        <v>10883432</v>
      </c>
      <c r="BQ175" s="803">
        <f t="shared" si="103"/>
        <v>272.89082794243018</v>
      </c>
      <c r="BR175" s="682"/>
      <c r="BS175" s="618"/>
    </row>
    <row r="176" spans="1:71" ht="15.75">
      <c r="A176" s="766" t="s">
        <v>3767</v>
      </c>
      <c r="B176" s="767" t="s">
        <v>3768</v>
      </c>
      <c r="C176" s="768">
        <v>33409</v>
      </c>
      <c r="D176" s="769">
        <v>0</v>
      </c>
      <c r="E176" s="770">
        <v>0</v>
      </c>
      <c r="F176" s="771">
        <v>0</v>
      </c>
      <c r="G176" s="770">
        <v>0</v>
      </c>
      <c r="H176" s="771">
        <v>0</v>
      </c>
      <c r="I176" s="770">
        <f t="shared" si="140"/>
        <v>0</v>
      </c>
      <c r="J176" s="772">
        <f t="shared" si="107"/>
        <v>0</v>
      </c>
      <c r="K176" s="773">
        <v>12893</v>
      </c>
      <c r="L176" s="774">
        <f t="shared" si="108"/>
        <v>4.6531368523169501E-3</v>
      </c>
      <c r="M176" s="775">
        <f t="shared" si="141"/>
        <v>390500.73704561719</v>
      </c>
      <c r="N176" s="806">
        <v>3578</v>
      </c>
      <c r="O176" s="777">
        <f t="shared" si="109"/>
        <v>4.069067241961659E-3</v>
      </c>
      <c r="P176" s="778">
        <f t="shared" si="110"/>
        <v>341484.42384259601</v>
      </c>
      <c r="Q176" s="786">
        <f t="shared" si="96"/>
        <v>731985.1608882132</v>
      </c>
      <c r="R176" s="692">
        <f t="shared" si="97"/>
        <v>21.909819536298997</v>
      </c>
      <c r="S176" s="807">
        <v>90453768.420000002</v>
      </c>
      <c r="T176" s="782">
        <f t="shared" si="104"/>
        <v>12.339577449304018</v>
      </c>
      <c r="U176" s="777">
        <f t="shared" si="111"/>
        <v>6.7074574858333865E-3</v>
      </c>
      <c r="V176" s="783">
        <f t="shared" si="98"/>
        <v>2707.4671022778293</v>
      </c>
      <c r="W176" s="778">
        <f t="shared" si="112"/>
        <v>2673791.6982659423</v>
      </c>
      <c r="X176" s="784">
        <v>37170873.862999998</v>
      </c>
      <c r="Y176" s="782">
        <f t="shared" si="105"/>
        <v>30.027846133341257</v>
      </c>
      <c r="Z176" s="782">
        <f t="shared" si="113"/>
        <v>4.6363458898756975E-3</v>
      </c>
      <c r="AA176" s="783">
        <f t="shared" si="99"/>
        <v>1112.6006124996259</v>
      </c>
      <c r="AB176" s="692">
        <f t="shared" si="114"/>
        <v>1089456.4946271549</v>
      </c>
      <c r="AC176" s="786">
        <f t="shared" si="115"/>
        <v>3763248.1928930972</v>
      </c>
      <c r="AD176" s="787">
        <f t="shared" si="100"/>
        <v>112.64174901652541</v>
      </c>
      <c r="AE176" s="788">
        <v>6916.0909000000001</v>
      </c>
      <c r="AF176" s="774">
        <f t="shared" si="116"/>
        <v>7.1933933050598222E-3</v>
      </c>
      <c r="AG176" s="692">
        <f t="shared" si="117"/>
        <v>905526.36102444388</v>
      </c>
      <c r="AH176" s="786">
        <f t="shared" si="118"/>
        <v>905526.36102444388</v>
      </c>
      <c r="AI176" s="692">
        <f t="shared" si="101"/>
        <v>27.104264151110296</v>
      </c>
      <c r="AJ176" s="789">
        <v>3584</v>
      </c>
      <c r="AK176" s="777">
        <f t="shared" si="119"/>
        <v>4.7641455510271363E-3</v>
      </c>
      <c r="AL176" s="692">
        <f t="shared" si="120"/>
        <v>99954.203374780336</v>
      </c>
      <c r="AM176" s="790">
        <v>24.333333333333332</v>
      </c>
      <c r="AN176" s="791">
        <f t="shared" si="121"/>
        <v>3.5138387484957862E-3</v>
      </c>
      <c r="AO176" s="778">
        <f t="shared" si="122"/>
        <v>221166.38700360997</v>
      </c>
      <c r="AP176" s="768">
        <v>335</v>
      </c>
      <c r="AQ176" s="792">
        <f t="shared" si="123"/>
        <v>4.527944853686558E-3</v>
      </c>
      <c r="AR176" s="793">
        <f t="shared" si="124"/>
        <v>379994.36912887747</v>
      </c>
      <c r="AS176" s="794">
        <v>51.166666666666664</v>
      </c>
      <c r="AT176" s="791">
        <f t="shared" si="125"/>
        <v>2.0520361612887043E-3</v>
      </c>
      <c r="AU176" s="795">
        <f t="shared" si="126"/>
        <v>172211.0608091171</v>
      </c>
      <c r="AV176" s="796">
        <v>153</v>
      </c>
      <c r="AW176" s="791">
        <f t="shared" si="127"/>
        <v>1.9483496332518338E-3</v>
      </c>
      <c r="AX176" s="795">
        <f t="shared" si="128"/>
        <v>122632.10689180929</v>
      </c>
      <c r="AY176" s="786">
        <f t="shared" si="129"/>
        <v>995958.12720819411</v>
      </c>
      <c r="AZ176" s="787">
        <f t="shared" si="102"/>
        <v>29.811072681259365</v>
      </c>
      <c r="BA176" s="797">
        <f t="shared" si="106"/>
        <v>6396717.8420139486</v>
      </c>
      <c r="BB176" s="775">
        <v>5056171</v>
      </c>
      <c r="BC176" s="775">
        <f t="shared" si="130"/>
        <v>0</v>
      </c>
      <c r="BD176" s="775">
        <f t="shared" si="131"/>
        <v>1340546.8420139486</v>
      </c>
      <c r="BE176" s="798">
        <f t="shared" si="132"/>
        <v>2.0858921901247009E-3</v>
      </c>
      <c r="BF176" s="775">
        <f t="shared" si="133"/>
        <v>-2761.4753273190754</v>
      </c>
      <c r="BG176" s="797">
        <f t="shared" si="134"/>
        <v>6393956.3666866291</v>
      </c>
      <c r="BH176" s="799">
        <v>6</v>
      </c>
      <c r="BI176" s="692">
        <f t="shared" si="143"/>
        <v>0</v>
      </c>
      <c r="BJ176" s="800">
        <v>1150</v>
      </c>
      <c r="BK176" s="778">
        <f t="shared" si="135"/>
        <v>0</v>
      </c>
      <c r="BL176" s="786">
        <f t="shared" si="142"/>
        <v>6393956.3666866291</v>
      </c>
      <c r="BM176" s="692">
        <f t="shared" si="136"/>
        <v>6393956.3666866291</v>
      </c>
      <c r="BN176" s="801">
        <f t="shared" si="137"/>
        <v>3.1241842623565821E-3</v>
      </c>
      <c r="BO176" s="787">
        <f t="shared" si="138"/>
        <v>15442.315617153403</v>
      </c>
      <c r="BP176" s="802">
        <f t="shared" si="139"/>
        <v>6409399</v>
      </c>
      <c r="BQ176" s="803">
        <f t="shared" si="103"/>
        <v>191.84647849381903</v>
      </c>
      <c r="BR176" s="682"/>
      <c r="BS176" s="618"/>
    </row>
    <row r="177" spans="1:71" ht="15.75">
      <c r="A177" s="805" t="s">
        <v>3769</v>
      </c>
      <c r="B177" s="767" t="s">
        <v>3770</v>
      </c>
      <c r="C177" s="768">
        <v>17869</v>
      </c>
      <c r="D177" s="769">
        <v>0</v>
      </c>
      <c r="E177" s="770">
        <v>0</v>
      </c>
      <c r="F177" s="771">
        <v>0</v>
      </c>
      <c r="G177" s="770">
        <v>0</v>
      </c>
      <c r="H177" s="771">
        <v>0</v>
      </c>
      <c r="I177" s="770">
        <f t="shared" si="140"/>
        <v>0</v>
      </c>
      <c r="J177" s="772">
        <f t="shared" si="107"/>
        <v>0</v>
      </c>
      <c r="K177" s="773">
        <v>7073</v>
      </c>
      <c r="L177" s="774">
        <f t="shared" si="108"/>
        <v>2.5526748589496462E-3</v>
      </c>
      <c r="M177" s="775">
        <f t="shared" si="141"/>
        <v>214225.68161976658</v>
      </c>
      <c r="N177" s="806">
        <v>1554</v>
      </c>
      <c r="O177" s="777">
        <f t="shared" si="109"/>
        <v>1.7672807417575232E-3</v>
      </c>
      <c r="P177" s="778">
        <f t="shared" si="110"/>
        <v>148313.80510100455</v>
      </c>
      <c r="Q177" s="786">
        <f t="shared" si="96"/>
        <v>362539.48672077112</v>
      </c>
      <c r="R177" s="692">
        <f t="shared" si="97"/>
        <v>20.288739533313063</v>
      </c>
      <c r="S177" s="807">
        <v>77486095.560000017</v>
      </c>
      <c r="T177" s="782">
        <f t="shared" si="104"/>
        <v>4.1207542939462565</v>
      </c>
      <c r="U177" s="777">
        <f t="shared" si="111"/>
        <v>2.2399295559159395E-3</v>
      </c>
      <c r="V177" s="783">
        <f t="shared" si="98"/>
        <v>4336.3420202585494</v>
      </c>
      <c r="W177" s="778">
        <f t="shared" si="112"/>
        <v>892902.42449660867</v>
      </c>
      <c r="X177" s="784">
        <v>17956624.963300001</v>
      </c>
      <c r="Y177" s="782">
        <f t="shared" si="105"/>
        <v>17.781802630092912</v>
      </c>
      <c r="Z177" s="782">
        <f t="shared" si="113"/>
        <v>2.7455378308693431E-3</v>
      </c>
      <c r="AA177" s="783">
        <f t="shared" si="99"/>
        <v>1004.9037418602048</v>
      </c>
      <c r="AB177" s="692">
        <f t="shared" si="114"/>
        <v>645151.17985844472</v>
      </c>
      <c r="AC177" s="786">
        <f t="shared" si="115"/>
        <v>1538053.6043550535</v>
      </c>
      <c r="AD177" s="787">
        <f t="shared" si="100"/>
        <v>86.073848808274306</v>
      </c>
      <c r="AE177" s="788">
        <v>2581.6257000000001</v>
      </c>
      <c r="AF177" s="774">
        <f t="shared" si="116"/>
        <v>2.6851366321038921E-3</v>
      </c>
      <c r="AG177" s="692">
        <f t="shared" si="117"/>
        <v>338013.21576733218</v>
      </c>
      <c r="AH177" s="786">
        <f t="shared" si="118"/>
        <v>338013.21576733218</v>
      </c>
      <c r="AI177" s="692">
        <f t="shared" si="101"/>
        <v>18.916179739623491</v>
      </c>
      <c r="AJ177" s="789">
        <v>1538</v>
      </c>
      <c r="AK177" s="777">
        <f t="shared" si="119"/>
        <v>2.044435228091444E-3</v>
      </c>
      <c r="AL177" s="692">
        <f t="shared" si="120"/>
        <v>42893.293747324824</v>
      </c>
      <c r="AM177" s="790">
        <v>7.666666666666667</v>
      </c>
      <c r="AN177" s="791">
        <f t="shared" si="121"/>
        <v>1.107099879663056E-3</v>
      </c>
      <c r="AO177" s="778">
        <f t="shared" si="122"/>
        <v>69682.560288808629</v>
      </c>
      <c r="AP177" s="768">
        <v>94</v>
      </c>
      <c r="AQ177" s="792">
        <f t="shared" si="123"/>
        <v>1.2705278096911536E-3</v>
      </c>
      <c r="AR177" s="793">
        <f t="shared" si="124"/>
        <v>106625.28566601338</v>
      </c>
      <c r="AS177" s="794">
        <v>23.5</v>
      </c>
      <c r="AT177" s="791">
        <f t="shared" si="125"/>
        <v>9.4246611967982842E-4</v>
      </c>
      <c r="AU177" s="795">
        <f t="shared" si="126"/>
        <v>79093.679394415347</v>
      </c>
      <c r="AV177" s="796">
        <v>66</v>
      </c>
      <c r="AW177" s="791">
        <f t="shared" si="127"/>
        <v>8.4046454767726158E-4</v>
      </c>
      <c r="AX177" s="795">
        <f t="shared" si="128"/>
        <v>52900.124541564794</v>
      </c>
      <c r="AY177" s="786">
        <f t="shared" si="129"/>
        <v>351194.94363812695</v>
      </c>
      <c r="AZ177" s="787">
        <f t="shared" si="102"/>
        <v>19.653866676262073</v>
      </c>
      <c r="BA177" s="797">
        <f t="shared" si="106"/>
        <v>2589801.2504812838</v>
      </c>
      <c r="BB177" s="775">
        <v>2141097</v>
      </c>
      <c r="BC177" s="775">
        <f t="shared" si="130"/>
        <v>0</v>
      </c>
      <c r="BD177" s="775">
        <f t="shared" si="131"/>
        <v>448704.25048128376</v>
      </c>
      <c r="BE177" s="798">
        <f t="shared" si="132"/>
        <v>6.981842502038647E-4</v>
      </c>
      <c r="BF177" s="775">
        <f t="shared" si="133"/>
        <v>-924.31362943330157</v>
      </c>
      <c r="BG177" s="797">
        <f t="shared" si="134"/>
        <v>2588876.9368518502</v>
      </c>
      <c r="BH177" s="799">
        <v>7.2</v>
      </c>
      <c r="BI177" s="692">
        <f t="shared" si="143"/>
        <v>0</v>
      </c>
      <c r="BJ177" s="800">
        <v>1300</v>
      </c>
      <c r="BK177" s="778">
        <f t="shared" si="135"/>
        <v>0</v>
      </c>
      <c r="BL177" s="786">
        <f t="shared" si="142"/>
        <v>2588876.9368518502</v>
      </c>
      <c r="BM177" s="692">
        <f t="shared" si="136"/>
        <v>2588876.9368518502</v>
      </c>
      <c r="BN177" s="801">
        <f t="shared" si="137"/>
        <v>1.2649646196259176E-3</v>
      </c>
      <c r="BO177" s="787">
        <f t="shared" si="138"/>
        <v>6252.5066578695569</v>
      </c>
      <c r="BP177" s="802">
        <f t="shared" si="139"/>
        <v>2595129</v>
      </c>
      <c r="BQ177" s="803">
        <f t="shared" si="103"/>
        <v>145.23079075493871</v>
      </c>
      <c r="BR177" s="682"/>
      <c r="BS177" s="618"/>
    </row>
    <row r="178" spans="1:71" ht="15.75">
      <c r="A178" s="805" t="s">
        <v>3771</v>
      </c>
      <c r="B178" s="767" t="s">
        <v>3772</v>
      </c>
      <c r="C178" s="768">
        <v>3299</v>
      </c>
      <c r="D178" s="769">
        <v>0</v>
      </c>
      <c r="E178" s="770">
        <v>0</v>
      </c>
      <c r="F178" s="771">
        <v>0</v>
      </c>
      <c r="G178" s="770">
        <v>0</v>
      </c>
      <c r="H178" s="771">
        <v>0</v>
      </c>
      <c r="I178" s="770">
        <f t="shared" si="140"/>
        <v>0</v>
      </c>
      <c r="J178" s="772">
        <f t="shared" si="107"/>
        <v>0</v>
      </c>
      <c r="K178" s="773">
        <v>1436</v>
      </c>
      <c r="L178" s="774">
        <f t="shared" si="108"/>
        <v>5.1825832001296368E-4</v>
      </c>
      <c r="M178" s="775">
        <f t="shared" si="141"/>
        <v>43493.295462460737</v>
      </c>
      <c r="N178" s="806">
        <v>8</v>
      </c>
      <c r="O178" s="777">
        <f t="shared" si="109"/>
        <v>9.0979703565380866E-6</v>
      </c>
      <c r="P178" s="778">
        <f t="shared" si="110"/>
        <v>763.52023218020361</v>
      </c>
      <c r="Q178" s="786">
        <f t="shared" si="96"/>
        <v>44256.815694640944</v>
      </c>
      <c r="R178" s="692">
        <f t="shared" si="97"/>
        <v>13.41522148973657</v>
      </c>
      <c r="S178" s="807">
        <v>7749317.330000001</v>
      </c>
      <c r="T178" s="782">
        <f t="shared" si="104"/>
        <v>1.4044335180167411</v>
      </c>
      <c r="U178" s="777">
        <f t="shared" si="111"/>
        <v>7.6341172560232429E-4</v>
      </c>
      <c r="V178" s="783">
        <f t="shared" si="98"/>
        <v>2348.9897938769327</v>
      </c>
      <c r="W178" s="778">
        <f t="shared" si="112"/>
        <v>304318.57951921958</v>
      </c>
      <c r="X178" s="784">
        <v>2752636.9876999999</v>
      </c>
      <c r="Y178" s="782">
        <f t="shared" si="105"/>
        <v>3.9538090378905215</v>
      </c>
      <c r="Z178" s="782">
        <f t="shared" si="113"/>
        <v>6.104742311778109E-4</v>
      </c>
      <c r="AA178" s="783">
        <f t="shared" si="99"/>
        <v>834.38526453470752</v>
      </c>
      <c r="AB178" s="692">
        <f t="shared" si="114"/>
        <v>143450.27997404578</v>
      </c>
      <c r="AC178" s="786">
        <f t="shared" si="115"/>
        <v>447768.85949326539</v>
      </c>
      <c r="AD178" s="787">
        <f t="shared" si="100"/>
        <v>135.72866307767973</v>
      </c>
      <c r="AE178" s="788">
        <v>5596.5815000000002</v>
      </c>
      <c r="AF178" s="774">
        <f t="shared" si="116"/>
        <v>5.8209778436141809E-3</v>
      </c>
      <c r="AG178" s="692">
        <f t="shared" si="117"/>
        <v>732762.50314635457</v>
      </c>
      <c r="AH178" s="786">
        <f t="shared" si="118"/>
        <v>732762.50314635457</v>
      </c>
      <c r="AI178" s="692">
        <f t="shared" si="101"/>
        <v>222.11655142356912</v>
      </c>
      <c r="AJ178" s="789">
        <v>631</v>
      </c>
      <c r="AK178" s="777">
        <f t="shared" si="119"/>
        <v>8.3877674182425302E-4</v>
      </c>
      <c r="AL178" s="692">
        <f t="shared" si="120"/>
        <v>17597.963819611159</v>
      </c>
      <c r="AM178" s="790">
        <v>2.3333333333333335</v>
      </c>
      <c r="AN178" s="791">
        <f t="shared" si="121"/>
        <v>3.3694344163658226E-4</v>
      </c>
      <c r="AO178" s="778">
        <f t="shared" si="122"/>
        <v>21207.735740072192</v>
      </c>
      <c r="AP178" s="768">
        <v>26</v>
      </c>
      <c r="AQ178" s="792">
        <f t="shared" si="123"/>
        <v>3.5142258565925525E-4</v>
      </c>
      <c r="AR178" s="793">
        <f t="shared" si="124"/>
        <v>29492.100290599446</v>
      </c>
      <c r="AS178" s="794">
        <v>2.5833333333333335</v>
      </c>
      <c r="AT178" s="791">
        <f t="shared" si="125"/>
        <v>1.0360443159600951E-4</v>
      </c>
      <c r="AU178" s="795">
        <f t="shared" si="126"/>
        <v>8694.6952525775741</v>
      </c>
      <c r="AV178" s="796">
        <v>0</v>
      </c>
      <c r="AW178" s="791">
        <f t="shared" si="127"/>
        <v>0</v>
      </c>
      <c r="AX178" s="795">
        <f t="shared" si="128"/>
        <v>0</v>
      </c>
      <c r="AY178" s="786">
        <f t="shared" si="129"/>
        <v>76992.495102860383</v>
      </c>
      <c r="AZ178" s="787">
        <f t="shared" si="102"/>
        <v>23.338131283073775</v>
      </c>
      <c r="BA178" s="797">
        <f t="shared" si="106"/>
        <v>1301780.6734371213</v>
      </c>
      <c r="BB178" s="775">
        <v>575011</v>
      </c>
      <c r="BC178" s="775">
        <f t="shared" si="130"/>
        <v>0</v>
      </c>
      <c r="BD178" s="775">
        <f t="shared" si="131"/>
        <v>726769.67343712132</v>
      </c>
      <c r="BE178" s="798">
        <f t="shared" si="132"/>
        <v>1.1308543187976096E-3</v>
      </c>
      <c r="BF178" s="775">
        <f t="shared" si="133"/>
        <v>-1497.1177872645119</v>
      </c>
      <c r="BG178" s="797">
        <f t="shared" si="134"/>
        <v>1300283.5556498568</v>
      </c>
      <c r="BH178" s="799">
        <v>8</v>
      </c>
      <c r="BI178" s="692">
        <f t="shared" si="143"/>
        <v>0</v>
      </c>
      <c r="BJ178" s="800">
        <v>1700</v>
      </c>
      <c r="BK178" s="778">
        <f t="shared" si="135"/>
        <v>0</v>
      </c>
      <c r="BL178" s="786">
        <f t="shared" si="142"/>
        <v>1300283.5556498568</v>
      </c>
      <c r="BM178" s="692">
        <f t="shared" si="136"/>
        <v>1300283.5556498568</v>
      </c>
      <c r="BN178" s="801">
        <f t="shared" si="137"/>
        <v>6.3533830826991604E-4</v>
      </c>
      <c r="BO178" s="787">
        <f t="shared" si="138"/>
        <v>3140.37004737096</v>
      </c>
      <c r="BP178" s="802">
        <f t="shared" si="139"/>
        <v>1303424</v>
      </c>
      <c r="BQ178" s="803">
        <f t="shared" si="103"/>
        <v>395.09669596847527</v>
      </c>
      <c r="BR178" s="682"/>
      <c r="BS178" s="618"/>
    </row>
    <row r="179" spans="1:71" ht="15.75">
      <c r="A179" s="805" t="s">
        <v>3773</v>
      </c>
      <c r="B179" s="767" t="s">
        <v>3774</v>
      </c>
      <c r="C179" s="768">
        <v>9469</v>
      </c>
      <c r="D179" s="769">
        <v>0</v>
      </c>
      <c r="E179" s="770">
        <v>0</v>
      </c>
      <c r="F179" s="771">
        <v>0</v>
      </c>
      <c r="G179" s="770">
        <v>0</v>
      </c>
      <c r="H179" s="771">
        <v>0</v>
      </c>
      <c r="I179" s="770">
        <f t="shared" si="140"/>
        <v>0</v>
      </c>
      <c r="J179" s="772">
        <f t="shared" si="107"/>
        <v>0</v>
      </c>
      <c r="K179" s="773">
        <v>2761</v>
      </c>
      <c r="L179" s="774">
        <f t="shared" si="108"/>
        <v>9.9645628242046847E-4</v>
      </c>
      <c r="M179" s="775">
        <f t="shared" si="141"/>
        <v>83624.643991541845</v>
      </c>
      <c r="N179" s="806">
        <v>64</v>
      </c>
      <c r="O179" s="777">
        <f t="shared" si="109"/>
        <v>7.2783762852304693E-5</v>
      </c>
      <c r="P179" s="778">
        <f t="shared" si="110"/>
        <v>6108.1618574416289</v>
      </c>
      <c r="Q179" s="786">
        <f t="shared" si="96"/>
        <v>89732.80584898348</v>
      </c>
      <c r="R179" s="692">
        <f t="shared" si="97"/>
        <v>9.4764817667106858</v>
      </c>
      <c r="S179" s="807">
        <v>40623045.459999993</v>
      </c>
      <c r="T179" s="782">
        <f t="shared" si="104"/>
        <v>2.2071698461969524</v>
      </c>
      <c r="U179" s="777">
        <f t="shared" si="111"/>
        <v>1.1997572824679246E-3</v>
      </c>
      <c r="V179" s="783">
        <f t="shared" si="98"/>
        <v>4290.1093526243521</v>
      </c>
      <c r="W179" s="778">
        <f t="shared" si="112"/>
        <v>478258.8735854312</v>
      </c>
      <c r="X179" s="784">
        <v>7523878.4658000004</v>
      </c>
      <c r="Y179" s="782">
        <f t="shared" si="105"/>
        <v>11.916986884830868</v>
      </c>
      <c r="Z179" s="782">
        <f t="shared" si="113"/>
        <v>1.8400012081399417E-3</v>
      </c>
      <c r="AA179" s="783">
        <f t="shared" si="99"/>
        <v>794.58004707994507</v>
      </c>
      <c r="AB179" s="692">
        <f t="shared" si="114"/>
        <v>432366.63397079182</v>
      </c>
      <c r="AC179" s="786">
        <f t="shared" si="115"/>
        <v>910625.50755622308</v>
      </c>
      <c r="AD179" s="787">
        <f t="shared" si="100"/>
        <v>96.169131646026301</v>
      </c>
      <c r="AE179" s="788">
        <v>1331.4583</v>
      </c>
      <c r="AF179" s="774">
        <f t="shared" si="116"/>
        <v>1.3848434555980651E-3</v>
      </c>
      <c r="AG179" s="692">
        <f t="shared" si="117"/>
        <v>174328.33181165857</v>
      </c>
      <c r="AH179" s="786">
        <f t="shared" si="118"/>
        <v>174328.33181165857</v>
      </c>
      <c r="AI179" s="692">
        <f t="shared" si="101"/>
        <v>18.410426846727063</v>
      </c>
      <c r="AJ179" s="789">
        <v>893</v>
      </c>
      <c r="AK179" s="777">
        <f t="shared" si="119"/>
        <v>1.1870485427084912E-3</v>
      </c>
      <c r="AL179" s="692">
        <f t="shared" si="120"/>
        <v>24904.883820780928</v>
      </c>
      <c r="AM179" s="790">
        <v>3.6666666666666665</v>
      </c>
      <c r="AN179" s="791">
        <f t="shared" si="121"/>
        <v>5.294825511432007E-4</v>
      </c>
      <c r="AO179" s="778">
        <f t="shared" si="122"/>
        <v>33326.4418772563</v>
      </c>
      <c r="AP179" s="768">
        <v>57</v>
      </c>
      <c r="AQ179" s="792">
        <f t="shared" si="123"/>
        <v>7.7042643779144421E-4</v>
      </c>
      <c r="AR179" s="793">
        <f t="shared" si="124"/>
        <v>64655.758329391094</v>
      </c>
      <c r="AS179" s="794">
        <v>19.805555555555557</v>
      </c>
      <c r="AT179" s="791">
        <f t="shared" si="125"/>
        <v>7.9430064223607287E-4</v>
      </c>
      <c r="AU179" s="795">
        <f t="shared" si="126"/>
        <v>66659.330269761398</v>
      </c>
      <c r="AV179" s="796">
        <v>13</v>
      </c>
      <c r="AW179" s="791">
        <f t="shared" si="127"/>
        <v>1.6554604726976365E-4</v>
      </c>
      <c r="AX179" s="795">
        <f t="shared" si="128"/>
        <v>10419.721500611247</v>
      </c>
      <c r="AY179" s="786">
        <f t="shared" si="129"/>
        <v>199966.13579780096</v>
      </c>
      <c r="AZ179" s="787">
        <f t="shared" si="102"/>
        <v>21.117978223445029</v>
      </c>
      <c r="BA179" s="797">
        <f t="shared" si="106"/>
        <v>1374652.781014666</v>
      </c>
      <c r="BB179" s="775">
        <v>1089164</v>
      </c>
      <c r="BC179" s="775">
        <f t="shared" si="130"/>
        <v>0</v>
      </c>
      <c r="BD179" s="775">
        <f t="shared" si="131"/>
        <v>285488.78101466596</v>
      </c>
      <c r="BE179" s="798">
        <f t="shared" si="132"/>
        <v>4.4422082095398833E-4</v>
      </c>
      <c r="BF179" s="775">
        <f t="shared" si="133"/>
        <v>-588.09599209081239</v>
      </c>
      <c r="BG179" s="797">
        <f t="shared" si="134"/>
        <v>1374064.6850225751</v>
      </c>
      <c r="BH179" s="799">
        <v>7.5</v>
      </c>
      <c r="BI179" s="692">
        <f t="shared" si="143"/>
        <v>0</v>
      </c>
      <c r="BJ179" s="800">
        <v>1100</v>
      </c>
      <c r="BK179" s="778">
        <f t="shared" si="135"/>
        <v>0</v>
      </c>
      <c r="BL179" s="786">
        <f t="shared" si="142"/>
        <v>1374064.6850225751</v>
      </c>
      <c r="BM179" s="692">
        <f t="shared" si="136"/>
        <v>1374064.6850225751</v>
      </c>
      <c r="BN179" s="801">
        <f t="shared" si="137"/>
        <v>6.7138888947908845E-4</v>
      </c>
      <c r="BO179" s="787">
        <f t="shared" si="138"/>
        <v>3318.5619869187049</v>
      </c>
      <c r="BP179" s="802">
        <f t="shared" si="139"/>
        <v>1377383</v>
      </c>
      <c r="BQ179" s="803">
        <f t="shared" si="103"/>
        <v>145.46235082902101</v>
      </c>
      <c r="BR179" s="682"/>
      <c r="BS179" s="618"/>
    </row>
    <row r="180" spans="1:71" ht="15.75">
      <c r="A180" s="805" t="s">
        <v>3775</v>
      </c>
      <c r="B180" s="767" t="s">
        <v>3776</v>
      </c>
      <c r="C180" s="768">
        <v>13953</v>
      </c>
      <c r="D180" s="769">
        <v>0</v>
      </c>
      <c r="E180" s="770">
        <v>0</v>
      </c>
      <c r="F180" s="771">
        <v>0</v>
      </c>
      <c r="G180" s="770">
        <v>0</v>
      </c>
      <c r="H180" s="771">
        <v>0</v>
      </c>
      <c r="I180" s="770">
        <f t="shared" si="140"/>
        <v>0</v>
      </c>
      <c r="J180" s="772">
        <f t="shared" si="107"/>
        <v>0</v>
      </c>
      <c r="K180" s="773">
        <v>4133</v>
      </c>
      <c r="L180" s="774">
        <f t="shared" si="108"/>
        <v>1.4916167385888432E-3</v>
      </c>
      <c r="M180" s="775">
        <f t="shared" si="141"/>
        <v>125179.51960052244</v>
      </c>
      <c r="N180" s="806">
        <v>9</v>
      </c>
      <c r="O180" s="777">
        <f t="shared" si="109"/>
        <v>1.0235216651105347E-5</v>
      </c>
      <c r="P180" s="778">
        <f t="shared" si="110"/>
        <v>858.96026120272893</v>
      </c>
      <c r="Q180" s="786">
        <f t="shared" si="96"/>
        <v>126038.47986172517</v>
      </c>
      <c r="R180" s="692">
        <f t="shared" si="97"/>
        <v>9.0330738810094715</v>
      </c>
      <c r="S180" s="807">
        <v>72692093</v>
      </c>
      <c r="T180" s="782">
        <f t="shared" si="104"/>
        <v>2.6782308909443562</v>
      </c>
      <c r="U180" s="777">
        <f t="shared" si="111"/>
        <v>1.4558132085202124E-3</v>
      </c>
      <c r="V180" s="783">
        <f t="shared" si="98"/>
        <v>5209.7823407152582</v>
      </c>
      <c r="W180" s="778">
        <f t="shared" si="112"/>
        <v>580330.36801031767</v>
      </c>
      <c r="X180" s="784">
        <v>13636717.249</v>
      </c>
      <c r="Y180" s="782">
        <f t="shared" si="105"/>
        <v>14.276618444536322</v>
      </c>
      <c r="Z180" s="782">
        <f t="shared" si="113"/>
        <v>2.204331970822055E-3</v>
      </c>
      <c r="AA180" s="783">
        <f t="shared" si="99"/>
        <v>977.33227614133159</v>
      </c>
      <c r="AB180" s="692">
        <f t="shared" si="114"/>
        <v>517977.70032010053</v>
      </c>
      <c r="AC180" s="786">
        <f t="shared" si="115"/>
        <v>1098308.0683304183</v>
      </c>
      <c r="AD180" s="787">
        <f t="shared" si="100"/>
        <v>78.714833249510377</v>
      </c>
      <c r="AE180" s="788">
        <v>3462.2791999999999</v>
      </c>
      <c r="AF180" s="774">
        <f t="shared" si="116"/>
        <v>3.6011001558015781E-3</v>
      </c>
      <c r="AG180" s="692">
        <f t="shared" si="117"/>
        <v>453317.50697877939</v>
      </c>
      <c r="AH180" s="786">
        <f t="shared" si="118"/>
        <v>453317.50697877939</v>
      </c>
      <c r="AI180" s="692">
        <f t="shared" si="101"/>
        <v>32.488891778024751</v>
      </c>
      <c r="AJ180" s="789">
        <v>942</v>
      </c>
      <c r="AK180" s="777">
        <f t="shared" si="119"/>
        <v>1.2521833451639402E-3</v>
      </c>
      <c r="AL180" s="692">
        <f t="shared" si="120"/>
        <v>26271.4451950455</v>
      </c>
      <c r="AM180" s="790">
        <v>3.6666666666666665</v>
      </c>
      <c r="AN180" s="791">
        <f t="shared" si="121"/>
        <v>5.294825511432007E-4</v>
      </c>
      <c r="AO180" s="778">
        <f t="shared" si="122"/>
        <v>33326.4418772563</v>
      </c>
      <c r="AP180" s="768">
        <v>47</v>
      </c>
      <c r="AQ180" s="792">
        <f t="shared" si="123"/>
        <v>6.3526390484557678E-4</v>
      </c>
      <c r="AR180" s="793">
        <f t="shared" si="124"/>
        <v>53312.642833006692</v>
      </c>
      <c r="AS180" s="794">
        <v>20.638888888888889</v>
      </c>
      <c r="AT180" s="791">
        <f t="shared" si="125"/>
        <v>8.2772142662188236E-4</v>
      </c>
      <c r="AU180" s="795">
        <f t="shared" si="126"/>
        <v>69464.070673818671</v>
      </c>
      <c r="AV180" s="796">
        <v>9</v>
      </c>
      <c r="AW180" s="791">
        <f t="shared" si="127"/>
        <v>1.1460880195599022E-4</v>
      </c>
      <c r="AX180" s="795">
        <f t="shared" si="128"/>
        <v>7213.6533465770171</v>
      </c>
      <c r="AY180" s="786">
        <f t="shared" si="129"/>
        <v>189588.25392570416</v>
      </c>
      <c r="AZ180" s="787">
        <f t="shared" si="102"/>
        <v>13.58763376519058</v>
      </c>
      <c r="BA180" s="797">
        <f t="shared" si="106"/>
        <v>1867252.3090966269</v>
      </c>
      <c r="BB180" s="775">
        <v>1622648</v>
      </c>
      <c r="BC180" s="775">
        <f t="shared" si="130"/>
        <v>0</v>
      </c>
      <c r="BD180" s="775">
        <f t="shared" si="131"/>
        <v>244604.30909662694</v>
      </c>
      <c r="BE180" s="798">
        <f t="shared" si="132"/>
        <v>3.806045428811607E-4</v>
      </c>
      <c r="BF180" s="775">
        <f t="shared" si="133"/>
        <v>-503.87554045592674</v>
      </c>
      <c r="BG180" s="797">
        <f t="shared" si="134"/>
        <v>1866748.4335561709</v>
      </c>
      <c r="BH180" s="799">
        <v>7.5</v>
      </c>
      <c r="BI180" s="692">
        <f t="shared" si="143"/>
        <v>0</v>
      </c>
      <c r="BJ180" s="800">
        <v>975</v>
      </c>
      <c r="BK180" s="778">
        <f t="shared" si="135"/>
        <v>0</v>
      </c>
      <c r="BL180" s="786">
        <f t="shared" si="142"/>
        <v>1866748.4335561709</v>
      </c>
      <c r="BM180" s="692">
        <f t="shared" si="136"/>
        <v>1866748.4335561709</v>
      </c>
      <c r="BN180" s="801">
        <f t="shared" si="137"/>
        <v>9.1212165730139138E-4</v>
      </c>
      <c r="BO180" s="787">
        <f t="shared" si="138"/>
        <v>4508.4634357208352</v>
      </c>
      <c r="BP180" s="802">
        <f t="shared" si="139"/>
        <v>1871257</v>
      </c>
      <c r="BQ180" s="803">
        <f t="shared" si="103"/>
        <v>134.11144556726151</v>
      </c>
      <c r="BR180" s="682"/>
      <c r="BS180" s="618"/>
    </row>
    <row r="181" spans="1:71" ht="15.75">
      <c r="A181" s="805" t="s">
        <v>3777</v>
      </c>
      <c r="B181" s="767" t="s">
        <v>3778</v>
      </c>
      <c r="C181" s="768">
        <v>14358</v>
      </c>
      <c r="D181" s="769">
        <v>0</v>
      </c>
      <c r="E181" s="770">
        <v>0</v>
      </c>
      <c r="F181" s="771">
        <v>0</v>
      </c>
      <c r="G181" s="770">
        <v>0</v>
      </c>
      <c r="H181" s="771">
        <v>0</v>
      </c>
      <c r="I181" s="770">
        <f t="shared" si="140"/>
        <v>0</v>
      </c>
      <c r="J181" s="772">
        <f t="shared" si="107"/>
        <v>0</v>
      </c>
      <c r="K181" s="773">
        <v>6975</v>
      </c>
      <c r="L181" s="774">
        <f t="shared" si="108"/>
        <v>2.5173062549376196E-3</v>
      </c>
      <c r="M181" s="775">
        <f t="shared" si="141"/>
        <v>211257.47621912512</v>
      </c>
      <c r="N181" s="806">
        <v>1039.5</v>
      </c>
      <c r="O181" s="777">
        <f t="shared" si="109"/>
        <v>1.1821675232026676E-3</v>
      </c>
      <c r="P181" s="778">
        <f t="shared" si="110"/>
        <v>99209.910168915201</v>
      </c>
      <c r="Q181" s="786">
        <f t="shared" si="96"/>
        <v>310467.38638804032</v>
      </c>
      <c r="R181" s="692">
        <f t="shared" si="97"/>
        <v>21.623303133308283</v>
      </c>
      <c r="S181" s="807">
        <v>50791089.380000003</v>
      </c>
      <c r="T181" s="782">
        <f t="shared" si="104"/>
        <v>4.058825406512673</v>
      </c>
      <c r="U181" s="777">
        <f t="shared" si="111"/>
        <v>2.206266703090363E-3</v>
      </c>
      <c r="V181" s="783">
        <f t="shared" si="98"/>
        <v>3537.476624878117</v>
      </c>
      <c r="W181" s="778">
        <f t="shared" si="112"/>
        <v>879483.41191023344</v>
      </c>
      <c r="X181" s="784">
        <v>13314601.0765</v>
      </c>
      <c r="Y181" s="782">
        <f t="shared" si="105"/>
        <v>15.483164896607708</v>
      </c>
      <c r="Z181" s="782">
        <f t="shared" si="113"/>
        <v>2.390624609300512E-3</v>
      </c>
      <c r="AA181" s="783">
        <f t="shared" si="99"/>
        <v>927.32978663462882</v>
      </c>
      <c r="AB181" s="692">
        <f t="shared" si="114"/>
        <v>561753.06344276539</v>
      </c>
      <c r="AC181" s="786">
        <f t="shared" si="115"/>
        <v>1441236.4753529988</v>
      </c>
      <c r="AD181" s="787">
        <f t="shared" si="100"/>
        <v>100.37863736961964</v>
      </c>
      <c r="AE181" s="788">
        <v>3936.6621</v>
      </c>
      <c r="AF181" s="774">
        <f t="shared" si="116"/>
        <v>4.0945035575548523E-3</v>
      </c>
      <c r="AG181" s="692">
        <f t="shared" si="117"/>
        <v>515428.63700589095</v>
      </c>
      <c r="AH181" s="786">
        <f t="shared" si="118"/>
        <v>515428.63700589095</v>
      </c>
      <c r="AI181" s="692">
        <f t="shared" si="101"/>
        <v>35.89835889440667</v>
      </c>
      <c r="AJ181" s="789">
        <v>1799</v>
      </c>
      <c r="AK181" s="777">
        <f t="shared" si="119"/>
        <v>2.3913777472929177E-3</v>
      </c>
      <c r="AL181" s="692">
        <f t="shared" si="120"/>
        <v>50172.324740856537</v>
      </c>
      <c r="AM181" s="790">
        <v>14</v>
      </c>
      <c r="AN181" s="791">
        <f t="shared" si="121"/>
        <v>2.0216606498194936E-3</v>
      </c>
      <c r="AO181" s="778">
        <f t="shared" si="122"/>
        <v>127246.41444043315</v>
      </c>
      <c r="AP181" s="768">
        <v>137</v>
      </c>
      <c r="AQ181" s="792">
        <f t="shared" si="123"/>
        <v>1.8517267013583834E-3</v>
      </c>
      <c r="AR181" s="793">
        <f t="shared" si="124"/>
        <v>155400.68230046632</v>
      </c>
      <c r="AS181" s="794">
        <v>30.361111111111111</v>
      </c>
      <c r="AT181" s="791">
        <f t="shared" si="125"/>
        <v>1.21763057778966E-3</v>
      </c>
      <c r="AU181" s="795">
        <f t="shared" si="126"/>
        <v>102186.04205448696</v>
      </c>
      <c r="AV181" s="796">
        <v>21</v>
      </c>
      <c r="AW181" s="791">
        <f t="shared" si="127"/>
        <v>2.674205378973105E-4</v>
      </c>
      <c r="AX181" s="795">
        <f t="shared" si="128"/>
        <v>16831.857808679706</v>
      </c>
      <c r="AY181" s="786">
        <f t="shared" si="129"/>
        <v>451837.32134492265</v>
      </c>
      <c r="AZ181" s="787">
        <f t="shared" si="102"/>
        <v>31.469377444276546</v>
      </c>
      <c r="BA181" s="797">
        <f t="shared" si="106"/>
        <v>2718969.8200918529</v>
      </c>
      <c r="BB181" s="775">
        <v>1856373</v>
      </c>
      <c r="BC181" s="775">
        <f t="shared" si="130"/>
        <v>0</v>
      </c>
      <c r="BD181" s="775">
        <f t="shared" si="131"/>
        <v>862596.82009185292</v>
      </c>
      <c r="BE181" s="798">
        <f t="shared" si="132"/>
        <v>1.3422014911115474E-3</v>
      </c>
      <c r="BF181" s="775">
        <f t="shared" si="133"/>
        <v>-1776.9165249973098</v>
      </c>
      <c r="BG181" s="797">
        <f t="shared" si="134"/>
        <v>2717192.9035668555</v>
      </c>
      <c r="BH181" s="799">
        <v>6.7</v>
      </c>
      <c r="BI181" s="692">
        <f t="shared" si="143"/>
        <v>0</v>
      </c>
      <c r="BJ181" s="800">
        <v>1325</v>
      </c>
      <c r="BK181" s="778">
        <f t="shared" si="135"/>
        <v>0</v>
      </c>
      <c r="BL181" s="786">
        <f t="shared" si="142"/>
        <v>2717192.9035668555</v>
      </c>
      <c r="BM181" s="692">
        <f t="shared" si="136"/>
        <v>2717192.9035668555</v>
      </c>
      <c r="BN181" s="801">
        <f t="shared" si="137"/>
        <v>1.3276617512342505E-3</v>
      </c>
      <c r="BO181" s="787">
        <f t="shared" si="138"/>
        <v>6562.407999557955</v>
      </c>
      <c r="BP181" s="802">
        <f t="shared" si="139"/>
        <v>2723755</v>
      </c>
      <c r="BQ181" s="803">
        <f t="shared" si="103"/>
        <v>189.7029530575289</v>
      </c>
      <c r="BR181" s="682"/>
      <c r="BS181" s="618"/>
    </row>
    <row r="182" spans="1:71" ht="15.75">
      <c r="A182" s="805" t="s">
        <v>3779</v>
      </c>
      <c r="B182" s="767" t="s">
        <v>3780</v>
      </c>
      <c r="C182" s="768">
        <v>6428</v>
      </c>
      <c r="D182" s="769">
        <v>0</v>
      </c>
      <c r="E182" s="770">
        <v>0</v>
      </c>
      <c r="F182" s="771">
        <v>0</v>
      </c>
      <c r="G182" s="770">
        <v>0</v>
      </c>
      <c r="H182" s="771">
        <v>0</v>
      </c>
      <c r="I182" s="770">
        <f t="shared" si="140"/>
        <v>0</v>
      </c>
      <c r="J182" s="772">
        <f t="shared" si="107"/>
        <v>0</v>
      </c>
      <c r="K182" s="773">
        <v>1664</v>
      </c>
      <c r="L182" s="774">
        <f t="shared" si="108"/>
        <v>6.0054445995931169E-4</v>
      </c>
      <c r="M182" s="775">
        <f t="shared" si="141"/>
        <v>50398.916190483753</v>
      </c>
      <c r="N182" s="806">
        <v>98.5</v>
      </c>
      <c r="O182" s="777">
        <f t="shared" si="109"/>
        <v>1.1201876001487518E-4</v>
      </c>
      <c r="P182" s="778">
        <f t="shared" si="110"/>
        <v>9400.8428587187555</v>
      </c>
      <c r="Q182" s="786">
        <f t="shared" si="96"/>
        <v>59799.759049202505</v>
      </c>
      <c r="R182" s="692">
        <f t="shared" si="97"/>
        <v>9.3030116753581993</v>
      </c>
      <c r="S182" s="807">
        <v>24364062.82</v>
      </c>
      <c r="T182" s="782">
        <f t="shared" si="104"/>
        <v>1.6959069718898385</v>
      </c>
      <c r="U182" s="777">
        <f t="shared" si="111"/>
        <v>9.2184873919820629E-4</v>
      </c>
      <c r="V182" s="783">
        <f t="shared" si="98"/>
        <v>3790.3022433105166</v>
      </c>
      <c r="W182" s="778">
        <f t="shared" si="112"/>
        <v>367476.2771334718</v>
      </c>
      <c r="X182" s="784">
        <v>4273607.3463000003</v>
      </c>
      <c r="Y182" s="782">
        <f t="shared" si="105"/>
        <v>9.6684558621823982</v>
      </c>
      <c r="Z182" s="782">
        <f t="shared" si="113"/>
        <v>1.4928245402290547E-3</v>
      </c>
      <c r="AA182" s="783">
        <f t="shared" si="99"/>
        <v>664.84246208774118</v>
      </c>
      <c r="AB182" s="692">
        <f t="shared" si="114"/>
        <v>350786.46617863612</v>
      </c>
      <c r="AC182" s="786">
        <f t="shared" si="115"/>
        <v>718262.74331210786</v>
      </c>
      <c r="AD182" s="787">
        <f t="shared" si="100"/>
        <v>111.73969248788237</v>
      </c>
      <c r="AE182" s="788">
        <v>3896.3337000000001</v>
      </c>
      <c r="AF182" s="774">
        <f t="shared" si="116"/>
        <v>4.0525581802082688E-3</v>
      </c>
      <c r="AG182" s="692">
        <f t="shared" si="117"/>
        <v>510148.42455264833</v>
      </c>
      <c r="AH182" s="786">
        <f t="shared" si="118"/>
        <v>510148.42455264833</v>
      </c>
      <c r="AI182" s="692">
        <f t="shared" si="101"/>
        <v>79.363476128290031</v>
      </c>
      <c r="AJ182" s="789">
        <v>744</v>
      </c>
      <c r="AK182" s="777">
        <f t="shared" si="119"/>
        <v>9.8898557197661533E-4</v>
      </c>
      <c r="AL182" s="692">
        <f t="shared" si="120"/>
        <v>20749.421682711098</v>
      </c>
      <c r="AM182" s="790">
        <v>1.3333333333333333</v>
      </c>
      <c r="AN182" s="791">
        <f t="shared" si="121"/>
        <v>1.9253910950661841E-4</v>
      </c>
      <c r="AO182" s="778">
        <f t="shared" si="122"/>
        <v>12118.706137184108</v>
      </c>
      <c r="AP182" s="768">
        <v>32</v>
      </c>
      <c r="AQ182" s="792">
        <f t="shared" si="123"/>
        <v>4.3252010542677569E-4</v>
      </c>
      <c r="AR182" s="793">
        <f t="shared" si="124"/>
        <v>36297.969588430089</v>
      </c>
      <c r="AS182" s="794">
        <v>2.9166666666666665</v>
      </c>
      <c r="AT182" s="791">
        <f t="shared" si="125"/>
        <v>1.1697274535033331E-4</v>
      </c>
      <c r="AU182" s="795">
        <f t="shared" si="126"/>
        <v>9816.5914142004858</v>
      </c>
      <c r="AV182" s="796">
        <v>0</v>
      </c>
      <c r="AW182" s="791">
        <f t="shared" si="127"/>
        <v>0</v>
      </c>
      <c r="AX182" s="795">
        <f t="shared" si="128"/>
        <v>0</v>
      </c>
      <c r="AY182" s="786">
        <f t="shared" si="129"/>
        <v>78982.688822525772</v>
      </c>
      <c r="AZ182" s="787">
        <f t="shared" si="102"/>
        <v>12.287288242458894</v>
      </c>
      <c r="BA182" s="797">
        <f t="shared" si="106"/>
        <v>1367193.6157364845</v>
      </c>
      <c r="BB182" s="775">
        <v>897180</v>
      </c>
      <c r="BC182" s="775">
        <f t="shared" si="130"/>
        <v>0</v>
      </c>
      <c r="BD182" s="775">
        <f t="shared" si="131"/>
        <v>470013.61573648453</v>
      </c>
      <c r="BE182" s="798">
        <f t="shared" si="132"/>
        <v>7.3134164326859393E-4</v>
      </c>
      <c r="BF182" s="775">
        <f t="shared" si="133"/>
        <v>-968.21010850348614</v>
      </c>
      <c r="BG182" s="797">
        <f t="shared" si="134"/>
        <v>1366225.4056279811</v>
      </c>
      <c r="BH182" s="799">
        <v>7</v>
      </c>
      <c r="BI182" s="692">
        <f t="shared" si="143"/>
        <v>0</v>
      </c>
      <c r="BJ182" s="800">
        <v>1300</v>
      </c>
      <c r="BK182" s="778">
        <f t="shared" si="135"/>
        <v>0</v>
      </c>
      <c r="BL182" s="786">
        <f t="shared" si="142"/>
        <v>1366225.4056279811</v>
      </c>
      <c r="BM182" s="692">
        <f t="shared" si="136"/>
        <v>1366225.4056279811</v>
      </c>
      <c r="BN182" s="801">
        <f t="shared" si="137"/>
        <v>6.6755849841786531E-4</v>
      </c>
      <c r="BO182" s="787">
        <f t="shared" si="138"/>
        <v>3299.6290102638918</v>
      </c>
      <c r="BP182" s="802">
        <f t="shared" si="139"/>
        <v>1369525</v>
      </c>
      <c r="BQ182" s="803">
        <f t="shared" si="103"/>
        <v>213.05616054760424</v>
      </c>
      <c r="BR182" s="682"/>
      <c r="BS182" s="618"/>
    </row>
    <row r="183" spans="1:71" ht="15.75">
      <c r="A183" s="805" t="s">
        <v>3781</v>
      </c>
      <c r="B183" s="767" t="s">
        <v>3782</v>
      </c>
      <c r="C183" s="768">
        <v>24828</v>
      </c>
      <c r="D183" s="769">
        <v>0</v>
      </c>
      <c r="E183" s="770">
        <v>0</v>
      </c>
      <c r="F183" s="771">
        <v>0</v>
      </c>
      <c r="G183" s="770">
        <v>0</v>
      </c>
      <c r="H183" s="771">
        <v>0</v>
      </c>
      <c r="I183" s="770">
        <f t="shared" si="140"/>
        <v>0</v>
      </c>
      <c r="J183" s="772">
        <f t="shared" si="107"/>
        <v>0</v>
      </c>
      <c r="K183" s="773">
        <v>7958</v>
      </c>
      <c r="L183" s="774">
        <f t="shared" si="108"/>
        <v>2.8720750074256022E-3</v>
      </c>
      <c r="M183" s="775">
        <f t="shared" si="141"/>
        <v>241030.39365617168</v>
      </c>
      <c r="N183" s="806">
        <v>4968.5</v>
      </c>
      <c r="O183" s="777">
        <f t="shared" si="109"/>
        <v>5.6504082145574352E-3</v>
      </c>
      <c r="P183" s="778">
        <f t="shared" si="110"/>
        <v>474193.78419841768</v>
      </c>
      <c r="Q183" s="786">
        <f t="shared" si="96"/>
        <v>715224.17785458942</v>
      </c>
      <c r="R183" s="692">
        <f t="shared" si="97"/>
        <v>28.807160377581337</v>
      </c>
      <c r="S183" s="807">
        <v>65418009.140000001</v>
      </c>
      <c r="T183" s="782">
        <f t="shared" si="104"/>
        <v>9.4229340223544433</v>
      </c>
      <c r="U183" s="777">
        <f t="shared" si="111"/>
        <v>5.1220497303430977E-3</v>
      </c>
      <c r="V183" s="783">
        <f t="shared" si="98"/>
        <v>2634.8481206702113</v>
      </c>
      <c r="W183" s="778">
        <f t="shared" si="112"/>
        <v>2041801.0961712527</v>
      </c>
      <c r="X183" s="784">
        <v>18387635.2852</v>
      </c>
      <c r="Y183" s="782">
        <f t="shared" si="105"/>
        <v>33.524135890173831</v>
      </c>
      <c r="Z183" s="782">
        <f t="shared" si="113"/>
        <v>5.1761784363701501E-3</v>
      </c>
      <c r="AA183" s="783">
        <f t="shared" si="99"/>
        <v>740.60074453036896</v>
      </c>
      <c r="AB183" s="692">
        <f t="shared" si="114"/>
        <v>1216307.270595741</v>
      </c>
      <c r="AC183" s="786">
        <f t="shared" si="115"/>
        <v>3258108.3667669939</v>
      </c>
      <c r="AD183" s="787">
        <f t="shared" si="100"/>
        <v>131.22717765293191</v>
      </c>
      <c r="AE183" s="788">
        <v>5892.8179</v>
      </c>
      <c r="AF183" s="774">
        <f t="shared" si="116"/>
        <v>6.1290919166196445E-3</v>
      </c>
      <c r="AG183" s="692">
        <f t="shared" si="117"/>
        <v>771548.84548534569</v>
      </c>
      <c r="AH183" s="786">
        <f t="shared" si="118"/>
        <v>771548.84548534569</v>
      </c>
      <c r="AI183" s="692">
        <f t="shared" si="101"/>
        <v>31.075755013909525</v>
      </c>
      <c r="AJ183" s="789">
        <v>3247</v>
      </c>
      <c r="AK183" s="777">
        <f t="shared" si="119"/>
        <v>4.3161776239355777E-3</v>
      </c>
      <c r="AL183" s="692">
        <f t="shared" si="120"/>
        <v>90555.607800756625</v>
      </c>
      <c r="AM183" s="790">
        <v>23.666666666666668</v>
      </c>
      <c r="AN183" s="791">
        <f t="shared" si="121"/>
        <v>3.4175691937424774E-3</v>
      </c>
      <c r="AO183" s="778">
        <f t="shared" si="122"/>
        <v>215107.03393501794</v>
      </c>
      <c r="AP183" s="768">
        <v>304</v>
      </c>
      <c r="AQ183" s="792">
        <f t="shared" si="123"/>
        <v>4.1089410015543691E-3</v>
      </c>
      <c r="AR183" s="793">
        <f t="shared" si="124"/>
        <v>344830.71109008585</v>
      </c>
      <c r="AS183" s="794">
        <v>35.722222222222221</v>
      </c>
      <c r="AT183" s="791">
        <f t="shared" si="125"/>
        <v>1.4326376240050346E-3</v>
      </c>
      <c r="AU183" s="795">
        <f t="shared" si="126"/>
        <v>120229.87198725546</v>
      </c>
      <c r="AV183" s="796">
        <v>425</v>
      </c>
      <c r="AW183" s="791">
        <f t="shared" si="127"/>
        <v>5.4120823145884268E-3</v>
      </c>
      <c r="AX183" s="795">
        <f t="shared" si="128"/>
        <v>340644.74136613688</v>
      </c>
      <c r="AY183" s="786">
        <f t="shared" si="129"/>
        <v>1111367.9661792526</v>
      </c>
      <c r="AZ183" s="787">
        <f t="shared" si="102"/>
        <v>44.762685926343345</v>
      </c>
      <c r="BA183" s="797">
        <f t="shared" si="106"/>
        <v>5856249.3562861811</v>
      </c>
      <c r="BB183" s="775">
        <v>3821914</v>
      </c>
      <c r="BC183" s="775">
        <f t="shared" si="130"/>
        <v>0</v>
      </c>
      <c r="BD183" s="775">
        <f t="shared" si="131"/>
        <v>2034335.3562861811</v>
      </c>
      <c r="BE183" s="798">
        <f t="shared" si="132"/>
        <v>3.1654277931809434E-3</v>
      </c>
      <c r="BF183" s="775">
        <f t="shared" si="133"/>
        <v>-4190.653185559253</v>
      </c>
      <c r="BG183" s="797">
        <f t="shared" si="134"/>
        <v>5852058.7031006217</v>
      </c>
      <c r="BH183" s="799">
        <v>8</v>
      </c>
      <c r="BI183" s="692">
        <f t="shared" si="143"/>
        <v>0</v>
      </c>
      <c r="BJ183" s="800">
        <v>1650</v>
      </c>
      <c r="BK183" s="778">
        <f t="shared" si="135"/>
        <v>0</v>
      </c>
      <c r="BL183" s="786">
        <f t="shared" si="142"/>
        <v>5852058.7031006217</v>
      </c>
      <c r="BM183" s="692">
        <f t="shared" si="136"/>
        <v>5852058.7031006217</v>
      </c>
      <c r="BN183" s="801">
        <f t="shared" si="137"/>
        <v>2.8594048276385253E-3</v>
      </c>
      <c r="BO183" s="787">
        <f t="shared" si="138"/>
        <v>14133.555551649615</v>
      </c>
      <c r="BP183" s="802">
        <f t="shared" si="139"/>
        <v>5866192</v>
      </c>
      <c r="BQ183" s="803">
        <f t="shared" si="103"/>
        <v>236.27323989044626</v>
      </c>
      <c r="BR183" s="682"/>
      <c r="BS183" s="618"/>
    </row>
    <row r="184" spans="1:71" ht="15.75">
      <c r="A184" s="766" t="s">
        <v>3783</v>
      </c>
      <c r="B184" s="767" t="s">
        <v>3784</v>
      </c>
      <c r="C184" s="768">
        <v>37369</v>
      </c>
      <c r="D184" s="769">
        <v>0</v>
      </c>
      <c r="E184" s="770">
        <v>0</v>
      </c>
      <c r="F184" s="771">
        <v>0</v>
      </c>
      <c r="G184" s="770">
        <v>0</v>
      </c>
      <c r="H184" s="771">
        <v>0</v>
      </c>
      <c r="I184" s="770">
        <f t="shared" si="140"/>
        <v>0</v>
      </c>
      <c r="J184" s="772">
        <f t="shared" si="107"/>
        <v>0</v>
      </c>
      <c r="K184" s="773">
        <v>11146</v>
      </c>
      <c r="L184" s="774">
        <f t="shared" si="108"/>
        <v>4.0226373501841871E-3</v>
      </c>
      <c r="M184" s="775">
        <f t="shared" si="141"/>
        <v>337587.93260765134</v>
      </c>
      <c r="N184" s="806">
        <v>5861</v>
      </c>
      <c r="O184" s="777">
        <f t="shared" si="109"/>
        <v>6.6654005324587153E-3</v>
      </c>
      <c r="P184" s="778">
        <f t="shared" si="110"/>
        <v>559374.01010102162</v>
      </c>
      <c r="Q184" s="786">
        <f t="shared" si="96"/>
        <v>896961.94270867296</v>
      </c>
      <c r="R184" s="692">
        <f t="shared" si="97"/>
        <v>24.002835042646925</v>
      </c>
      <c r="S184" s="807">
        <v>77235234.810000002</v>
      </c>
      <c r="T184" s="782">
        <f t="shared" si="104"/>
        <v>18.080376973479417</v>
      </c>
      <c r="U184" s="777">
        <f t="shared" si="111"/>
        <v>9.8279994088690797E-3</v>
      </c>
      <c r="V184" s="783">
        <f t="shared" si="98"/>
        <v>2066.8263750702454</v>
      </c>
      <c r="W184" s="778">
        <f t="shared" si="112"/>
        <v>3917732.3576776646</v>
      </c>
      <c r="X184" s="784">
        <v>28196978.063700002</v>
      </c>
      <c r="Y184" s="782">
        <f t="shared" si="105"/>
        <v>49.524532658971012</v>
      </c>
      <c r="Z184" s="782">
        <f t="shared" si="113"/>
        <v>7.6466644467877969E-3</v>
      </c>
      <c r="AA184" s="783">
        <f t="shared" si="99"/>
        <v>754.55532831223741</v>
      </c>
      <c r="AB184" s="692">
        <f t="shared" si="114"/>
        <v>1796826.3027957294</v>
      </c>
      <c r="AC184" s="786">
        <f t="shared" si="115"/>
        <v>5714558.6604733942</v>
      </c>
      <c r="AD184" s="787">
        <f t="shared" si="100"/>
        <v>152.92244000303444</v>
      </c>
      <c r="AE184" s="788">
        <v>5044.9238999999998</v>
      </c>
      <c r="AF184" s="774">
        <f t="shared" si="116"/>
        <v>5.2472013933183388E-3</v>
      </c>
      <c r="AG184" s="692">
        <f t="shared" si="117"/>
        <v>660533.76782717602</v>
      </c>
      <c r="AH184" s="786">
        <f t="shared" si="118"/>
        <v>660533.76782717602</v>
      </c>
      <c r="AI184" s="692">
        <f t="shared" si="101"/>
        <v>17.675981905514625</v>
      </c>
      <c r="AJ184" s="789">
        <v>5958</v>
      </c>
      <c r="AK184" s="777">
        <f t="shared" si="119"/>
        <v>7.919860265909507E-3</v>
      </c>
      <c r="AL184" s="692">
        <f t="shared" si="120"/>
        <v>166162.70750751707</v>
      </c>
      <c r="AM184" s="790">
        <v>77.666666666666671</v>
      </c>
      <c r="AN184" s="791">
        <f t="shared" si="121"/>
        <v>1.1215403128760524E-2</v>
      </c>
      <c r="AO184" s="778">
        <f t="shared" si="122"/>
        <v>705914.63249097439</v>
      </c>
      <c r="AP184" s="768">
        <v>865</v>
      </c>
      <c r="AQ184" s="792">
        <f t="shared" si="123"/>
        <v>1.169155909981753E-2</v>
      </c>
      <c r="AR184" s="793">
        <f t="shared" si="124"/>
        <v>981179.4904372507</v>
      </c>
      <c r="AS184" s="794">
        <v>138.33333333333334</v>
      </c>
      <c r="AT184" s="791">
        <f t="shared" si="125"/>
        <v>5.5478502080443803E-3</v>
      </c>
      <c r="AU184" s="795">
        <f t="shared" si="126"/>
        <v>465586.90707350883</v>
      </c>
      <c r="AV184" s="796">
        <v>716</v>
      </c>
      <c r="AW184" s="791">
        <f t="shared" si="127"/>
        <v>9.1177669111654445E-3</v>
      </c>
      <c r="AX184" s="795">
        <f t="shared" si="128"/>
        <v>573886.1995721272</v>
      </c>
      <c r="AY184" s="786">
        <f t="shared" si="129"/>
        <v>2892729.9370813784</v>
      </c>
      <c r="AZ184" s="787">
        <f t="shared" si="102"/>
        <v>77.40988351525003</v>
      </c>
      <c r="BA184" s="797">
        <f t="shared" si="106"/>
        <v>10164784.308090622</v>
      </c>
      <c r="BB184" s="775">
        <v>9102177</v>
      </c>
      <c r="BC184" s="775">
        <f t="shared" si="130"/>
        <v>0</v>
      </c>
      <c r="BD184" s="775">
        <f t="shared" si="131"/>
        <v>1062607.3080906216</v>
      </c>
      <c r="BE184" s="798">
        <f t="shared" si="132"/>
        <v>1.6534180049879949E-3</v>
      </c>
      <c r="BF184" s="775">
        <f t="shared" si="133"/>
        <v>-2188.930496089788</v>
      </c>
      <c r="BG184" s="797">
        <f t="shared" si="134"/>
        <v>10162595.377594532</v>
      </c>
      <c r="BH184" s="799">
        <v>8.1999999999999993</v>
      </c>
      <c r="BI184" s="692">
        <f t="shared" si="143"/>
        <v>0</v>
      </c>
      <c r="BJ184" s="800">
        <v>1650</v>
      </c>
      <c r="BK184" s="778">
        <f t="shared" si="135"/>
        <v>0</v>
      </c>
      <c r="BL184" s="786">
        <f t="shared" si="142"/>
        <v>10162595.377594532</v>
      </c>
      <c r="BM184" s="692">
        <f t="shared" si="136"/>
        <v>10162595.377594532</v>
      </c>
      <c r="BN184" s="801">
        <f t="shared" si="137"/>
        <v>4.9655985625424986E-3</v>
      </c>
      <c r="BO184" s="787">
        <f t="shared" si="138"/>
        <v>24544.115772807934</v>
      </c>
      <c r="BP184" s="802">
        <f t="shared" si="139"/>
        <v>10187139</v>
      </c>
      <c r="BQ184" s="803">
        <f t="shared" si="103"/>
        <v>272.60935534801575</v>
      </c>
      <c r="BR184" s="682"/>
      <c r="BS184" s="618"/>
    </row>
    <row r="185" spans="1:71" ht="15.75">
      <c r="A185" s="766" t="s">
        <v>3785</v>
      </c>
      <c r="B185" s="767" t="s">
        <v>3786</v>
      </c>
      <c r="C185" s="768">
        <v>13738</v>
      </c>
      <c r="D185" s="769">
        <v>0</v>
      </c>
      <c r="E185" s="770">
        <v>0</v>
      </c>
      <c r="F185" s="771">
        <v>0</v>
      </c>
      <c r="G185" s="770">
        <v>0</v>
      </c>
      <c r="H185" s="771">
        <v>0</v>
      </c>
      <c r="I185" s="770">
        <f t="shared" si="140"/>
        <v>0</v>
      </c>
      <c r="J185" s="772">
        <f t="shared" si="107"/>
        <v>0</v>
      </c>
      <c r="K185" s="773">
        <v>20567</v>
      </c>
      <c r="L185" s="774">
        <f t="shared" si="108"/>
        <v>7.4227150889321896E-3</v>
      </c>
      <c r="M185" s="775">
        <f t="shared" si="141"/>
        <v>622929.39260197082</v>
      </c>
      <c r="N185" s="806">
        <v>134</v>
      </c>
      <c r="O185" s="777">
        <f t="shared" si="109"/>
        <v>1.5239100347201295E-4</v>
      </c>
      <c r="P185" s="778">
        <f t="shared" si="110"/>
        <v>12788.963889018409</v>
      </c>
      <c r="Q185" s="786">
        <f t="shared" si="96"/>
        <v>635718.35649098922</v>
      </c>
      <c r="R185" s="692">
        <f t="shared" si="97"/>
        <v>46.27444726241005</v>
      </c>
      <c r="S185" s="807">
        <v>45295012.710000008</v>
      </c>
      <c r="T185" s="782">
        <f t="shared" si="104"/>
        <v>4.1667422682571083</v>
      </c>
      <c r="U185" s="777">
        <f t="shared" si="111"/>
        <v>2.2649273634840609E-3</v>
      </c>
      <c r="V185" s="783">
        <f t="shared" si="98"/>
        <v>3297.0601768816427</v>
      </c>
      <c r="W185" s="778">
        <f t="shared" si="112"/>
        <v>902867.29277816857</v>
      </c>
      <c r="X185" s="784">
        <v>33775918.998199999</v>
      </c>
      <c r="Y185" s="782">
        <f t="shared" si="105"/>
        <v>5.5877870861206773</v>
      </c>
      <c r="Z185" s="782">
        <f t="shared" si="113"/>
        <v>8.6276296925174743E-4</v>
      </c>
      <c r="AA185" s="783">
        <f t="shared" si="99"/>
        <v>2458.5761390449848</v>
      </c>
      <c r="AB185" s="692">
        <f t="shared" si="114"/>
        <v>202733.51956497898</v>
      </c>
      <c r="AC185" s="786">
        <f t="shared" si="115"/>
        <v>1105600.8123431476</v>
      </c>
      <c r="AD185" s="787">
        <f t="shared" si="100"/>
        <v>80.477566774140897</v>
      </c>
      <c r="AE185" s="788">
        <v>257.6644</v>
      </c>
      <c r="AF185" s="774">
        <f t="shared" si="116"/>
        <v>2.6799551895887548E-4</v>
      </c>
      <c r="AG185" s="692">
        <f t="shared" si="117"/>
        <v>33736.095992831259</v>
      </c>
      <c r="AH185" s="786">
        <f t="shared" si="118"/>
        <v>33736.095992831259</v>
      </c>
      <c r="AI185" s="692">
        <f t="shared" si="101"/>
        <v>2.4556773906559366</v>
      </c>
      <c r="AJ185" s="789">
        <v>1443</v>
      </c>
      <c r="AK185" s="777">
        <f t="shared" si="119"/>
        <v>1.9181534682288384E-3</v>
      </c>
      <c r="AL185" s="692">
        <f t="shared" si="120"/>
        <v>40243.838021709824</v>
      </c>
      <c r="AM185" s="790">
        <v>10.333333333333334</v>
      </c>
      <c r="AN185" s="791">
        <f t="shared" si="121"/>
        <v>1.4921780986762929E-3</v>
      </c>
      <c r="AO185" s="778">
        <f t="shared" si="122"/>
        <v>93919.972563176852</v>
      </c>
      <c r="AP185" s="768">
        <v>189</v>
      </c>
      <c r="AQ185" s="792">
        <f t="shared" si="123"/>
        <v>2.5545718726768941E-3</v>
      </c>
      <c r="AR185" s="793">
        <f t="shared" si="124"/>
        <v>214384.88288166522</v>
      </c>
      <c r="AS185" s="794">
        <v>62.666666666666664</v>
      </c>
      <c r="AT185" s="791">
        <f t="shared" si="125"/>
        <v>2.5132429858128755E-3</v>
      </c>
      <c r="AU185" s="795">
        <f t="shared" si="126"/>
        <v>210916.47838510756</v>
      </c>
      <c r="AV185" s="796">
        <v>68</v>
      </c>
      <c r="AW185" s="791">
        <f t="shared" si="127"/>
        <v>8.6593317033414831E-4</v>
      </c>
      <c r="AX185" s="795">
        <f t="shared" si="128"/>
        <v>54503.158618581903</v>
      </c>
      <c r="AY185" s="786">
        <f t="shared" si="129"/>
        <v>613968.33047024137</v>
      </c>
      <c r="AZ185" s="787">
        <f t="shared" si="102"/>
        <v>44.691245484804291</v>
      </c>
      <c r="BA185" s="797">
        <f t="shared" si="106"/>
        <v>2389023.5952972095</v>
      </c>
      <c r="BB185" s="775">
        <v>1499004</v>
      </c>
      <c r="BC185" s="775">
        <f t="shared" si="130"/>
        <v>0</v>
      </c>
      <c r="BD185" s="775">
        <f t="shared" si="131"/>
        <v>890019.59529720945</v>
      </c>
      <c r="BE185" s="798">
        <f t="shared" si="132"/>
        <v>1.3848713560052376E-3</v>
      </c>
      <c r="BF185" s="775">
        <f t="shared" si="133"/>
        <v>-1833.4063952225392</v>
      </c>
      <c r="BG185" s="797">
        <f t="shared" si="134"/>
        <v>2387190.1889019869</v>
      </c>
      <c r="BH185" s="799">
        <v>4</v>
      </c>
      <c r="BI185" s="692">
        <f t="shared" si="143"/>
        <v>-119359.50944509935</v>
      </c>
      <c r="BJ185" s="800">
        <v>1000</v>
      </c>
      <c r="BK185" s="778">
        <f t="shared" si="135"/>
        <v>0</v>
      </c>
      <c r="BL185" s="786">
        <f t="shared" si="142"/>
        <v>2267830.6794568878</v>
      </c>
      <c r="BM185" s="692">
        <f t="shared" si="136"/>
        <v>0</v>
      </c>
      <c r="BN185" s="801">
        <f t="shared" si="137"/>
        <v>0</v>
      </c>
      <c r="BO185" s="787">
        <f t="shared" si="138"/>
        <v>0</v>
      </c>
      <c r="BP185" s="802">
        <f t="shared" si="139"/>
        <v>2267831</v>
      </c>
      <c r="BQ185" s="803">
        <f t="shared" si="103"/>
        <v>165.0772310379968</v>
      </c>
      <c r="BR185" s="682"/>
      <c r="BS185" s="618"/>
    </row>
    <row r="186" spans="1:71" ht="15.75">
      <c r="A186" s="805" t="s">
        <v>3787</v>
      </c>
      <c r="B186" s="767" t="s">
        <v>3788</v>
      </c>
      <c r="C186" s="768">
        <v>23126</v>
      </c>
      <c r="D186" s="769">
        <v>0</v>
      </c>
      <c r="E186" s="770">
        <v>0</v>
      </c>
      <c r="F186" s="771">
        <v>0</v>
      </c>
      <c r="G186" s="770">
        <v>0</v>
      </c>
      <c r="H186" s="771">
        <v>0</v>
      </c>
      <c r="I186" s="770">
        <f t="shared" si="140"/>
        <v>0</v>
      </c>
      <c r="J186" s="772">
        <f t="shared" si="107"/>
        <v>0</v>
      </c>
      <c r="K186" s="773">
        <v>7957</v>
      </c>
      <c r="L186" s="774">
        <f t="shared" si="108"/>
        <v>2.8717141033030307E-3</v>
      </c>
      <c r="M186" s="775">
        <f t="shared" si="141"/>
        <v>241000.10584596108</v>
      </c>
      <c r="N186" s="806">
        <v>1664</v>
      </c>
      <c r="O186" s="777">
        <f t="shared" si="109"/>
        <v>1.8923778341599219E-3</v>
      </c>
      <c r="P186" s="778">
        <f t="shared" si="110"/>
        <v>158812.20829348234</v>
      </c>
      <c r="Q186" s="786">
        <f t="shared" si="96"/>
        <v>399812.31413944345</v>
      </c>
      <c r="R186" s="692">
        <f t="shared" si="97"/>
        <v>17.288433544038895</v>
      </c>
      <c r="S186" s="807">
        <v>73131406.859999999</v>
      </c>
      <c r="T186" s="782">
        <f t="shared" si="104"/>
        <v>7.3130259482608295</v>
      </c>
      <c r="U186" s="777">
        <f t="shared" si="111"/>
        <v>3.9751612923765505E-3</v>
      </c>
      <c r="V186" s="783">
        <f t="shared" si="98"/>
        <v>3162.302467352763</v>
      </c>
      <c r="W186" s="778">
        <f t="shared" si="112"/>
        <v>1584617.3136800637</v>
      </c>
      <c r="X186" s="784">
        <v>17873959.514600001</v>
      </c>
      <c r="Y186" s="782">
        <f t="shared" si="105"/>
        <v>29.921287197900899</v>
      </c>
      <c r="Z186" s="782">
        <f t="shared" si="113"/>
        <v>4.6198930254190002E-3</v>
      </c>
      <c r="AA186" s="783">
        <f t="shared" si="99"/>
        <v>772.89455654241988</v>
      </c>
      <c r="AB186" s="692">
        <f t="shared" si="114"/>
        <v>1085590.3723698161</v>
      </c>
      <c r="AC186" s="786">
        <f t="shared" si="115"/>
        <v>2670207.6860498795</v>
      </c>
      <c r="AD186" s="787">
        <f t="shared" si="100"/>
        <v>115.46344746388824</v>
      </c>
      <c r="AE186" s="788">
        <v>7469.1642000000002</v>
      </c>
      <c r="AF186" s="774">
        <f t="shared" si="116"/>
        <v>7.7686422182034224E-3</v>
      </c>
      <c r="AG186" s="692">
        <f t="shared" si="117"/>
        <v>977940.45447263448</v>
      </c>
      <c r="AH186" s="786">
        <f t="shared" si="118"/>
        <v>977940.45447263448</v>
      </c>
      <c r="AI186" s="692">
        <f t="shared" si="101"/>
        <v>42.287488302025189</v>
      </c>
      <c r="AJ186" s="789">
        <v>2802</v>
      </c>
      <c r="AK186" s="777">
        <f t="shared" si="119"/>
        <v>3.7246472751054785E-3</v>
      </c>
      <c r="AL186" s="692">
        <f t="shared" si="120"/>
        <v>78144.999401823239</v>
      </c>
      <c r="AM186" s="790">
        <v>15.666666666666666</v>
      </c>
      <c r="AN186" s="791">
        <f t="shared" si="121"/>
        <v>2.2623345367027664E-3</v>
      </c>
      <c r="AO186" s="778">
        <f t="shared" si="122"/>
        <v>142394.79711191327</v>
      </c>
      <c r="AP186" s="768">
        <v>225</v>
      </c>
      <c r="AQ186" s="792">
        <f t="shared" si="123"/>
        <v>3.0411569912820167E-3</v>
      </c>
      <c r="AR186" s="793">
        <f t="shared" si="124"/>
        <v>255220.09866864907</v>
      </c>
      <c r="AS186" s="794">
        <v>45.25</v>
      </c>
      <c r="AT186" s="791">
        <f t="shared" si="125"/>
        <v>1.8147485921494568E-3</v>
      </c>
      <c r="AU186" s="795">
        <f t="shared" si="126"/>
        <v>152297.40394031041</v>
      </c>
      <c r="AV186" s="796">
        <v>72</v>
      </c>
      <c r="AW186" s="791">
        <f t="shared" si="127"/>
        <v>9.1687041564792176E-4</v>
      </c>
      <c r="AX186" s="795">
        <f t="shared" si="128"/>
        <v>57709.226772616137</v>
      </c>
      <c r="AY186" s="786">
        <f t="shared" si="129"/>
        <v>685766.52589531208</v>
      </c>
      <c r="AZ186" s="787">
        <f t="shared" si="102"/>
        <v>29.653486374440547</v>
      </c>
      <c r="BA186" s="797">
        <f t="shared" si="106"/>
        <v>4733726.9805572694</v>
      </c>
      <c r="BB186" s="775">
        <v>3467868</v>
      </c>
      <c r="BC186" s="775">
        <f t="shared" si="130"/>
        <v>0</v>
      </c>
      <c r="BD186" s="775">
        <f t="shared" si="131"/>
        <v>1265858.9805572694</v>
      </c>
      <c r="BE186" s="798">
        <f t="shared" si="132"/>
        <v>1.9696778050491649E-3</v>
      </c>
      <c r="BF186" s="775">
        <f t="shared" si="133"/>
        <v>-2607.6211834735755</v>
      </c>
      <c r="BG186" s="797">
        <f t="shared" si="134"/>
        <v>4731119.3593737958</v>
      </c>
      <c r="BH186" s="799">
        <v>8</v>
      </c>
      <c r="BI186" s="692">
        <f t="shared" si="143"/>
        <v>0</v>
      </c>
      <c r="BJ186" s="800">
        <v>1350</v>
      </c>
      <c r="BK186" s="778">
        <f t="shared" si="135"/>
        <v>0</v>
      </c>
      <c r="BL186" s="786">
        <f t="shared" si="142"/>
        <v>4731119.3593737958</v>
      </c>
      <c r="BM186" s="692">
        <f t="shared" si="136"/>
        <v>4731119.3593737958</v>
      </c>
      <c r="BN186" s="801">
        <f t="shared" si="137"/>
        <v>2.311696827162691E-3</v>
      </c>
      <c r="BO186" s="787">
        <f t="shared" si="138"/>
        <v>11426.327328494803</v>
      </c>
      <c r="BP186" s="802">
        <f t="shared" si="139"/>
        <v>4742546</v>
      </c>
      <c r="BQ186" s="803">
        <f t="shared" si="103"/>
        <v>205.07420219666176</v>
      </c>
      <c r="BR186" s="682"/>
      <c r="BS186" s="618"/>
    </row>
    <row r="187" spans="1:71" ht="15.75">
      <c r="A187" s="805" t="s">
        <v>3789</v>
      </c>
      <c r="B187" s="767" t="s">
        <v>3790</v>
      </c>
      <c r="C187" s="768">
        <v>14763</v>
      </c>
      <c r="D187" s="769">
        <v>0</v>
      </c>
      <c r="E187" s="770">
        <v>0</v>
      </c>
      <c r="F187" s="771">
        <v>0</v>
      </c>
      <c r="G187" s="770">
        <v>0</v>
      </c>
      <c r="H187" s="771">
        <v>0</v>
      </c>
      <c r="I187" s="770">
        <f t="shared" si="140"/>
        <v>0</v>
      </c>
      <c r="J187" s="772">
        <f t="shared" si="107"/>
        <v>0</v>
      </c>
      <c r="K187" s="773">
        <v>8511</v>
      </c>
      <c r="L187" s="774">
        <f t="shared" si="108"/>
        <v>3.0716549872077535E-3</v>
      </c>
      <c r="M187" s="775">
        <f t="shared" si="141"/>
        <v>257779.55270264859</v>
      </c>
      <c r="N187" s="806">
        <v>4018</v>
      </c>
      <c r="O187" s="777">
        <f t="shared" si="109"/>
        <v>4.5694556115712538E-3</v>
      </c>
      <c r="P187" s="778">
        <f t="shared" si="110"/>
        <v>383478.03661250725</v>
      </c>
      <c r="Q187" s="786">
        <f t="shared" si="96"/>
        <v>641257.58931515587</v>
      </c>
      <c r="R187" s="692">
        <f t="shared" si="97"/>
        <v>43.436807513049914</v>
      </c>
      <c r="S187" s="807">
        <v>53896788.649999999</v>
      </c>
      <c r="T187" s="782">
        <f t="shared" si="104"/>
        <v>4.0437691086813947</v>
      </c>
      <c r="U187" s="777">
        <f t="shared" si="111"/>
        <v>2.1980825105592777E-3</v>
      </c>
      <c r="V187" s="783">
        <f t="shared" si="98"/>
        <v>3650.8019135677027</v>
      </c>
      <c r="W187" s="778">
        <f t="shared" si="112"/>
        <v>876220.9497786666</v>
      </c>
      <c r="X187" s="784">
        <v>18906129.1061</v>
      </c>
      <c r="Y187" s="782">
        <f t="shared" si="105"/>
        <v>11.527804966151447</v>
      </c>
      <c r="Z187" s="782">
        <f t="shared" si="113"/>
        <v>1.7799109179116397E-3</v>
      </c>
      <c r="AA187" s="783">
        <f t="shared" si="99"/>
        <v>1280.6427627243786</v>
      </c>
      <c r="AB187" s="692">
        <f t="shared" si="114"/>
        <v>418246.51469836856</v>
      </c>
      <c r="AC187" s="786">
        <f t="shared" si="115"/>
        <v>1294467.4644770352</v>
      </c>
      <c r="AD187" s="787">
        <f t="shared" si="100"/>
        <v>87.683225934907213</v>
      </c>
      <c r="AE187" s="788">
        <v>3880.0709000000002</v>
      </c>
      <c r="AF187" s="774">
        <f t="shared" si="116"/>
        <v>4.0356433191497581E-3</v>
      </c>
      <c r="AG187" s="692">
        <f t="shared" si="117"/>
        <v>508019.13008312817</v>
      </c>
      <c r="AH187" s="786">
        <f t="shared" si="118"/>
        <v>508019.13008312817</v>
      </c>
      <c r="AI187" s="692">
        <f t="shared" si="101"/>
        <v>34.411646012540011</v>
      </c>
      <c r="AJ187" s="789">
        <v>1422</v>
      </c>
      <c r="AK187" s="777">
        <f t="shared" si="119"/>
        <v>1.890238552890789E-3</v>
      </c>
      <c r="AL187" s="692">
        <f t="shared" si="120"/>
        <v>39658.168861310725</v>
      </c>
      <c r="AM187" s="790">
        <v>5.333333333333333</v>
      </c>
      <c r="AN187" s="791">
        <f t="shared" si="121"/>
        <v>7.7015643802647363E-4</v>
      </c>
      <c r="AO187" s="778">
        <f t="shared" si="122"/>
        <v>48474.824548736433</v>
      </c>
      <c r="AP187" s="768">
        <v>104</v>
      </c>
      <c r="AQ187" s="792">
        <f t="shared" si="123"/>
        <v>1.405690342637021E-3</v>
      </c>
      <c r="AR187" s="793">
        <f t="shared" si="124"/>
        <v>117968.40116239779</v>
      </c>
      <c r="AS187" s="794">
        <v>26.194444444444446</v>
      </c>
      <c r="AT187" s="791">
        <f t="shared" si="125"/>
        <v>1.0505266558606125E-3</v>
      </c>
      <c r="AU187" s="795">
        <f t="shared" si="126"/>
        <v>88162.340034200563</v>
      </c>
      <c r="AV187" s="796">
        <v>55</v>
      </c>
      <c r="AW187" s="791">
        <f t="shared" si="127"/>
        <v>7.0038712306438465E-4</v>
      </c>
      <c r="AX187" s="795">
        <f t="shared" si="128"/>
        <v>44083.437117970658</v>
      </c>
      <c r="AY187" s="786">
        <f t="shared" si="129"/>
        <v>338347.1717246162</v>
      </c>
      <c r="AZ187" s="787">
        <f t="shared" si="102"/>
        <v>22.918591866464553</v>
      </c>
      <c r="BA187" s="797">
        <f t="shared" si="106"/>
        <v>2782091.3555999356</v>
      </c>
      <c r="BB187" s="775">
        <v>1875662</v>
      </c>
      <c r="BC187" s="775">
        <f t="shared" si="130"/>
        <v>0</v>
      </c>
      <c r="BD187" s="775">
        <f t="shared" si="131"/>
        <v>906429.35559993563</v>
      </c>
      <c r="BE187" s="798">
        <f t="shared" si="132"/>
        <v>1.4104049589980668E-3</v>
      </c>
      <c r="BF187" s="775">
        <f t="shared" si="133"/>
        <v>-1867.2098751032722</v>
      </c>
      <c r="BG187" s="797">
        <f t="shared" si="134"/>
        <v>2780224.1457248325</v>
      </c>
      <c r="BH187" s="799">
        <v>7</v>
      </c>
      <c r="BI187" s="692">
        <f t="shared" si="143"/>
        <v>0</v>
      </c>
      <c r="BJ187" s="800">
        <v>975</v>
      </c>
      <c r="BK187" s="778">
        <f t="shared" si="135"/>
        <v>0</v>
      </c>
      <c r="BL187" s="786">
        <f t="shared" si="142"/>
        <v>2780224.1457248325</v>
      </c>
      <c r="BM187" s="692">
        <f t="shared" si="136"/>
        <v>2780224.1457248325</v>
      </c>
      <c r="BN187" s="801">
        <f t="shared" si="137"/>
        <v>1.3584597741630156E-3</v>
      </c>
      <c r="BO187" s="787">
        <f t="shared" si="138"/>
        <v>6714.6374298706141</v>
      </c>
      <c r="BP187" s="802">
        <f t="shared" si="139"/>
        <v>2786939</v>
      </c>
      <c r="BQ187" s="803">
        <f t="shared" si="103"/>
        <v>188.77863577863579</v>
      </c>
      <c r="BR187" s="682"/>
      <c r="BS187" s="618"/>
    </row>
    <row r="188" spans="1:71" ht="15.75">
      <c r="A188" s="766" t="s">
        <v>3791</v>
      </c>
      <c r="B188" s="767" t="s">
        <v>3792</v>
      </c>
      <c r="C188" s="768">
        <v>82325</v>
      </c>
      <c r="D188" s="769">
        <v>0</v>
      </c>
      <c r="E188" s="770">
        <f>C188/($C$8+$C$149+$C$165+$C$99+$C$82+$C$188+$C$213+$C$236+$C$253+$C$271)*$E$7</f>
        <v>14863646.789721111</v>
      </c>
      <c r="F188" s="771">
        <v>0</v>
      </c>
      <c r="G188" s="770">
        <v>0</v>
      </c>
      <c r="H188" s="771">
        <v>0</v>
      </c>
      <c r="I188" s="770">
        <f t="shared" si="140"/>
        <v>14863646.789721111</v>
      </c>
      <c r="J188" s="772">
        <f t="shared" si="107"/>
        <v>180.54839708133753</v>
      </c>
      <c r="K188" s="773">
        <v>49963</v>
      </c>
      <c r="L188" s="774">
        <f t="shared" si="108"/>
        <v>1.8031852676049932E-2</v>
      </c>
      <c r="M188" s="775">
        <f t="shared" si="141"/>
        <v>1513269.8615535696</v>
      </c>
      <c r="N188" s="806">
        <v>18611</v>
      </c>
      <c r="O188" s="777">
        <f t="shared" si="109"/>
        <v>2.116529078819129E-2</v>
      </c>
      <c r="P188" s="778">
        <f t="shared" si="110"/>
        <v>1776234.380138221</v>
      </c>
      <c r="Q188" s="786">
        <f t="shared" si="96"/>
        <v>3289504.2416917905</v>
      </c>
      <c r="R188" s="692">
        <f t="shared" si="97"/>
        <v>39.957537099201829</v>
      </c>
      <c r="S188" s="781">
        <v>306696958.89999998</v>
      </c>
      <c r="T188" s="782">
        <f t="shared" si="104"/>
        <v>22.098052909646899</v>
      </c>
      <c r="U188" s="777">
        <f t="shared" si="111"/>
        <v>1.2011898383077405E-2</v>
      </c>
      <c r="V188" s="783">
        <f t="shared" si="98"/>
        <v>3725.4413470999084</v>
      </c>
      <c r="W188" s="778">
        <f t="shared" si="112"/>
        <v>4788299.3287576474</v>
      </c>
      <c r="X188" s="784">
        <v>84407621.028600007</v>
      </c>
      <c r="Y188" s="782">
        <f t="shared" si="105"/>
        <v>80.293764264527695</v>
      </c>
      <c r="Z188" s="782">
        <f t="shared" si="113"/>
        <v>1.2397481400344048E-2</v>
      </c>
      <c r="AA188" s="783">
        <f t="shared" si="99"/>
        <v>1025.2975527312483</v>
      </c>
      <c r="AB188" s="692">
        <f t="shared" si="114"/>
        <v>2913181.4039410017</v>
      </c>
      <c r="AC188" s="786">
        <f t="shared" si="115"/>
        <v>7701480.7326986492</v>
      </c>
      <c r="AD188" s="787">
        <f t="shared" si="100"/>
        <v>93.549720409336771</v>
      </c>
      <c r="AE188" s="788">
        <v>3693.6954999999998</v>
      </c>
      <c r="AF188" s="774">
        <f t="shared" si="116"/>
        <v>3.8417951505856566E-3</v>
      </c>
      <c r="AG188" s="692">
        <f t="shared" si="117"/>
        <v>483616.92944888322</v>
      </c>
      <c r="AH188" s="786">
        <f t="shared" si="118"/>
        <v>483616.92944888322</v>
      </c>
      <c r="AI188" s="692">
        <f t="shared" si="101"/>
        <v>5.8744844148057487</v>
      </c>
      <c r="AJ188" s="789">
        <v>12623</v>
      </c>
      <c r="AK188" s="777">
        <f t="shared" si="119"/>
        <v>1.6779522681533352E-2</v>
      </c>
      <c r="AL188" s="692">
        <f t="shared" si="120"/>
        <v>352042.9434151373</v>
      </c>
      <c r="AM188" s="790">
        <v>173</v>
      </c>
      <c r="AN188" s="791">
        <f t="shared" si="121"/>
        <v>2.498194945848374E-2</v>
      </c>
      <c r="AO188" s="778">
        <f t="shared" si="122"/>
        <v>1572402.1212996382</v>
      </c>
      <c r="AP188" s="768">
        <v>1337</v>
      </c>
      <c r="AQ188" s="792">
        <f t="shared" si="123"/>
        <v>1.807123065486247E-2</v>
      </c>
      <c r="AR188" s="793">
        <f t="shared" si="124"/>
        <v>1516574.5418665945</v>
      </c>
      <c r="AS188" s="794">
        <v>586.69444444444446</v>
      </c>
      <c r="AT188" s="791">
        <f t="shared" si="125"/>
        <v>2.3529346233756094E-2</v>
      </c>
      <c r="AU188" s="795">
        <f t="shared" si="126"/>
        <v>1974630.7358031282</v>
      </c>
      <c r="AV188" s="796">
        <v>2044</v>
      </c>
      <c r="AW188" s="791">
        <f t="shared" si="127"/>
        <v>2.6028932355338222E-2</v>
      </c>
      <c r="AX188" s="795">
        <f t="shared" si="128"/>
        <v>1638300.8267114914</v>
      </c>
      <c r="AY188" s="786">
        <f t="shared" si="129"/>
        <v>7053951.1690959902</v>
      </c>
      <c r="AZ188" s="787">
        <f t="shared" si="102"/>
        <v>85.684192761566848</v>
      </c>
      <c r="BA188" s="797">
        <f t="shared" si="106"/>
        <v>33392199.862656422</v>
      </c>
      <c r="BB188" s="775">
        <v>21067661</v>
      </c>
      <c r="BC188" s="775">
        <f t="shared" si="130"/>
        <v>0</v>
      </c>
      <c r="BD188" s="775">
        <f t="shared" si="131"/>
        <v>12324538.862656422</v>
      </c>
      <c r="BE188" s="798">
        <f t="shared" si="132"/>
        <v>1.9176994458382307E-2</v>
      </c>
      <c r="BF188" s="775">
        <f t="shared" si="133"/>
        <v>-25388.079642693068</v>
      </c>
      <c r="BG188" s="797">
        <f t="shared" si="134"/>
        <v>33366811.783013728</v>
      </c>
      <c r="BH188" s="799">
        <v>7.4</v>
      </c>
      <c r="BI188" s="692">
        <f t="shared" si="143"/>
        <v>0</v>
      </c>
      <c r="BJ188" s="800">
        <v>1550</v>
      </c>
      <c r="BK188" s="778">
        <f t="shared" si="135"/>
        <v>0</v>
      </c>
      <c r="BL188" s="786">
        <f t="shared" si="142"/>
        <v>33366811.783013728</v>
      </c>
      <c r="BM188" s="692">
        <f t="shared" si="136"/>
        <v>33366811.783013728</v>
      </c>
      <c r="BN188" s="801">
        <f t="shared" si="137"/>
        <v>1.6303531378573561E-2</v>
      </c>
      <c r="BO188" s="787">
        <f t="shared" si="138"/>
        <v>80585.604458614878</v>
      </c>
      <c r="BP188" s="802">
        <f t="shared" si="139"/>
        <v>33447397</v>
      </c>
      <c r="BQ188" s="803">
        <f t="shared" si="103"/>
        <v>406.28481020346192</v>
      </c>
      <c r="BR188" s="682"/>
      <c r="BS188" s="618"/>
    </row>
    <row r="189" spans="1:71" ht="15.75">
      <c r="A189" s="805" t="s">
        <v>3793</v>
      </c>
      <c r="B189" s="767" t="s">
        <v>3794</v>
      </c>
      <c r="C189" s="768">
        <v>9913</v>
      </c>
      <c r="D189" s="769">
        <v>0</v>
      </c>
      <c r="E189" s="770">
        <v>0</v>
      </c>
      <c r="F189" s="771">
        <v>0</v>
      </c>
      <c r="G189" s="770">
        <v>0</v>
      </c>
      <c r="H189" s="771">
        <v>0</v>
      </c>
      <c r="I189" s="770">
        <f t="shared" si="140"/>
        <v>0</v>
      </c>
      <c r="J189" s="772">
        <f t="shared" si="107"/>
        <v>0</v>
      </c>
      <c r="K189" s="773">
        <v>2528</v>
      </c>
      <c r="L189" s="774">
        <f t="shared" si="108"/>
        <v>9.1236562186126197E-4</v>
      </c>
      <c r="M189" s="775">
        <f t="shared" si="141"/>
        <v>76567.584212465707</v>
      </c>
      <c r="N189" s="806">
        <v>78</v>
      </c>
      <c r="O189" s="777">
        <f t="shared" si="109"/>
        <v>8.8705210976246332E-5</v>
      </c>
      <c r="P189" s="778">
        <f t="shared" si="110"/>
        <v>7444.3222637569834</v>
      </c>
      <c r="Q189" s="786">
        <f t="shared" si="96"/>
        <v>84011.906476222692</v>
      </c>
      <c r="R189" s="692">
        <f t="shared" si="97"/>
        <v>8.4749224731385748</v>
      </c>
      <c r="S189" s="807">
        <v>33382232.32</v>
      </c>
      <c r="T189" s="782">
        <f t="shared" si="104"/>
        <v>2.9437087387689718</v>
      </c>
      <c r="U189" s="777">
        <f t="shared" si="111"/>
        <v>1.6001197202326204E-3</v>
      </c>
      <c r="V189" s="783">
        <f t="shared" si="98"/>
        <v>3367.5206617572885</v>
      </c>
      <c r="W189" s="778">
        <f t="shared" si="112"/>
        <v>637855.22803921625</v>
      </c>
      <c r="X189" s="784">
        <v>13576662.4673</v>
      </c>
      <c r="Y189" s="782">
        <f t="shared" si="105"/>
        <v>7.2379768766205865</v>
      </c>
      <c r="Z189" s="782">
        <f t="shared" si="113"/>
        <v>1.1175548254083571E-3</v>
      </c>
      <c r="AA189" s="783">
        <f t="shared" si="99"/>
        <v>1369.5816067083626</v>
      </c>
      <c r="AB189" s="692">
        <f t="shared" si="114"/>
        <v>262604.94612831686</v>
      </c>
      <c r="AC189" s="786">
        <f t="shared" si="115"/>
        <v>900460.17416753317</v>
      </c>
      <c r="AD189" s="787">
        <f t="shared" si="100"/>
        <v>90.836293167308909</v>
      </c>
      <c r="AE189" s="788">
        <v>2693.6383000000001</v>
      </c>
      <c r="AF189" s="774">
        <f t="shared" si="116"/>
        <v>2.8016404054887019E-3</v>
      </c>
      <c r="AG189" s="692">
        <f t="shared" si="117"/>
        <v>352679.06726255856</v>
      </c>
      <c r="AH189" s="786">
        <f t="shared" si="118"/>
        <v>352679.06726255856</v>
      </c>
      <c r="AI189" s="692">
        <f t="shared" si="101"/>
        <v>35.577430370479021</v>
      </c>
      <c r="AJ189" s="789">
        <v>1086</v>
      </c>
      <c r="AK189" s="777">
        <f t="shared" si="119"/>
        <v>1.443599907481995E-3</v>
      </c>
      <c r="AL189" s="692">
        <f t="shared" si="120"/>
        <v>30287.46229492507</v>
      </c>
      <c r="AM189" s="790">
        <v>5.666666666666667</v>
      </c>
      <c r="AN189" s="791">
        <f t="shared" si="121"/>
        <v>8.1829121540312835E-4</v>
      </c>
      <c r="AO189" s="778">
        <f t="shared" si="122"/>
        <v>51504.501083032468</v>
      </c>
      <c r="AP189" s="768">
        <v>111</v>
      </c>
      <c r="AQ189" s="792">
        <f t="shared" si="123"/>
        <v>1.5003041156991283E-3</v>
      </c>
      <c r="AR189" s="793">
        <f t="shared" si="124"/>
        <v>125908.58200986688</v>
      </c>
      <c r="AS189" s="794">
        <v>25.722222222222218</v>
      </c>
      <c r="AT189" s="791">
        <f t="shared" si="125"/>
        <v>1.0315882113753202E-3</v>
      </c>
      <c r="AU189" s="795">
        <f t="shared" si="126"/>
        <v>86572.987138568074</v>
      </c>
      <c r="AV189" s="796">
        <v>26</v>
      </c>
      <c r="AW189" s="791">
        <f t="shared" si="127"/>
        <v>3.3109209453952731E-4</v>
      </c>
      <c r="AX189" s="795">
        <f t="shared" si="128"/>
        <v>20839.443001222495</v>
      </c>
      <c r="AY189" s="786">
        <f t="shared" si="129"/>
        <v>315112.975527615</v>
      </c>
      <c r="AZ189" s="787">
        <f t="shared" si="102"/>
        <v>31.787851863978108</v>
      </c>
      <c r="BA189" s="797">
        <f t="shared" si="106"/>
        <v>1652264.1234339294</v>
      </c>
      <c r="BB189" s="775">
        <v>1134339</v>
      </c>
      <c r="BC189" s="775">
        <f t="shared" si="130"/>
        <v>0</v>
      </c>
      <c r="BD189" s="775">
        <f t="shared" si="131"/>
        <v>517925.1234339294</v>
      </c>
      <c r="BE189" s="798">
        <f t="shared" si="132"/>
        <v>8.0589199584938037E-4</v>
      </c>
      <c r="BF189" s="775">
        <f t="shared" si="133"/>
        <v>-1066.9059856295576</v>
      </c>
      <c r="BG189" s="797">
        <f t="shared" si="134"/>
        <v>1651197.2174482998</v>
      </c>
      <c r="BH189" s="799">
        <v>7</v>
      </c>
      <c r="BI189" s="692">
        <f t="shared" si="143"/>
        <v>0</v>
      </c>
      <c r="BJ189" s="800">
        <v>1450</v>
      </c>
      <c r="BK189" s="778">
        <f t="shared" si="135"/>
        <v>0</v>
      </c>
      <c r="BL189" s="786">
        <f t="shared" si="142"/>
        <v>1651197.2174482998</v>
      </c>
      <c r="BM189" s="692">
        <f t="shared" si="136"/>
        <v>1651197.2174482998</v>
      </c>
      <c r="BN189" s="801">
        <f t="shared" si="137"/>
        <v>8.0680005695318575E-4</v>
      </c>
      <c r="BO189" s="787">
        <f t="shared" si="138"/>
        <v>3987.8765377336213</v>
      </c>
      <c r="BP189" s="802">
        <f t="shared" si="139"/>
        <v>1655185</v>
      </c>
      <c r="BQ189" s="803">
        <f t="shared" si="103"/>
        <v>166.97114899626752</v>
      </c>
      <c r="BR189" s="682"/>
      <c r="BS189" s="618"/>
    </row>
    <row r="190" spans="1:71" ht="15.75">
      <c r="A190" s="766" t="s">
        <v>3795</v>
      </c>
      <c r="B190" s="767" t="s">
        <v>3796</v>
      </c>
      <c r="C190" s="768">
        <v>12960</v>
      </c>
      <c r="D190" s="769">
        <v>0</v>
      </c>
      <c r="E190" s="770">
        <v>0</v>
      </c>
      <c r="F190" s="771">
        <v>0</v>
      </c>
      <c r="G190" s="770">
        <v>0</v>
      </c>
      <c r="H190" s="771">
        <v>0</v>
      </c>
      <c r="I190" s="770">
        <f t="shared" si="140"/>
        <v>0</v>
      </c>
      <c r="J190" s="772">
        <f t="shared" si="107"/>
        <v>0</v>
      </c>
      <c r="K190" s="773">
        <v>3439</v>
      </c>
      <c r="L190" s="774">
        <f t="shared" si="108"/>
        <v>1.2411492775240823E-3</v>
      </c>
      <c r="M190" s="775">
        <f t="shared" si="141"/>
        <v>104159.77931434714</v>
      </c>
      <c r="N190" s="806">
        <v>241.5</v>
      </c>
      <c r="O190" s="777">
        <f t="shared" si="109"/>
        <v>2.7464498013799344E-4</v>
      </c>
      <c r="P190" s="778">
        <f t="shared" si="110"/>
        <v>23048.767008939893</v>
      </c>
      <c r="Q190" s="786">
        <f t="shared" si="96"/>
        <v>127208.54632328702</v>
      </c>
      <c r="R190" s="692">
        <f t="shared" si="97"/>
        <v>9.8154742533400476</v>
      </c>
      <c r="S190" s="807">
        <v>36536912.36999999</v>
      </c>
      <c r="T190" s="782">
        <f t="shared" si="104"/>
        <v>4.5970386960752387</v>
      </c>
      <c r="U190" s="777">
        <f t="shared" si="111"/>
        <v>2.4988247564664175E-3</v>
      </c>
      <c r="V190" s="783">
        <f t="shared" si="98"/>
        <v>2819.2062013888881</v>
      </c>
      <c r="W190" s="778">
        <f t="shared" si="112"/>
        <v>996105.73803453345</v>
      </c>
      <c r="X190" s="784">
        <v>9046810.7043999992</v>
      </c>
      <c r="Y190" s="782">
        <f t="shared" si="105"/>
        <v>18.565835573226966</v>
      </c>
      <c r="Z190" s="782">
        <f t="shared" si="113"/>
        <v>2.866593730026578E-3</v>
      </c>
      <c r="AA190" s="783">
        <f t="shared" si="99"/>
        <v>698.05638151234564</v>
      </c>
      <c r="AB190" s="692">
        <f t="shared" si="114"/>
        <v>673597.10229011113</v>
      </c>
      <c r="AC190" s="786">
        <f t="shared" si="115"/>
        <v>1669702.8403246445</v>
      </c>
      <c r="AD190" s="787">
        <f t="shared" si="100"/>
        <v>128.83509570406207</v>
      </c>
      <c r="AE190" s="788">
        <v>7658.6755000000003</v>
      </c>
      <c r="AF190" s="774">
        <f t="shared" si="116"/>
        <v>7.9657520214671679E-3</v>
      </c>
      <c r="AG190" s="692">
        <f t="shared" si="117"/>
        <v>1002753.2396634727</v>
      </c>
      <c r="AH190" s="786">
        <f t="shared" si="118"/>
        <v>1002753.2396634727</v>
      </c>
      <c r="AI190" s="692">
        <f t="shared" si="101"/>
        <v>77.372935159218571</v>
      </c>
      <c r="AJ190" s="789">
        <v>1586</v>
      </c>
      <c r="AK190" s="777">
        <f t="shared" si="119"/>
        <v>2.1082407488641286E-3</v>
      </c>
      <c r="AL190" s="692">
        <f t="shared" si="120"/>
        <v>44231.966113951341</v>
      </c>
      <c r="AM190" s="790">
        <v>3.3333333333333335</v>
      </c>
      <c r="AN190" s="791">
        <f t="shared" si="121"/>
        <v>4.8134777376654609E-4</v>
      </c>
      <c r="AO190" s="778">
        <f t="shared" si="122"/>
        <v>30296.765342960272</v>
      </c>
      <c r="AP190" s="768">
        <v>119</v>
      </c>
      <c r="AQ190" s="792">
        <f t="shared" si="123"/>
        <v>1.6084341420558221E-3</v>
      </c>
      <c r="AR190" s="793">
        <f t="shared" si="124"/>
        <v>134983.0744069744</v>
      </c>
      <c r="AS190" s="794">
        <v>19.583333333333332</v>
      </c>
      <c r="AT190" s="791">
        <f t="shared" si="125"/>
        <v>7.8538843306652365E-4</v>
      </c>
      <c r="AU190" s="795">
        <f t="shared" si="126"/>
        <v>65911.399495346122</v>
      </c>
      <c r="AV190" s="796">
        <v>12</v>
      </c>
      <c r="AW190" s="791">
        <f t="shared" si="127"/>
        <v>1.5281173594132029E-4</v>
      </c>
      <c r="AX190" s="795">
        <f t="shared" si="128"/>
        <v>9618.2044621026889</v>
      </c>
      <c r="AY190" s="786">
        <f t="shared" si="129"/>
        <v>285041.40982133482</v>
      </c>
      <c r="AZ190" s="787">
        <f t="shared" si="102"/>
        <v>21.993935943004232</v>
      </c>
      <c r="BA190" s="797">
        <f t="shared" si="106"/>
        <v>3084706.0361327389</v>
      </c>
      <c r="BB190" s="775">
        <v>1915366</v>
      </c>
      <c r="BC190" s="775">
        <f t="shared" si="130"/>
        <v>0</v>
      </c>
      <c r="BD190" s="775">
        <f t="shared" si="131"/>
        <v>1169340.0361327389</v>
      </c>
      <c r="BE190" s="798">
        <f t="shared" si="132"/>
        <v>1.8194942336405401E-3</v>
      </c>
      <c r="BF190" s="775">
        <f t="shared" si="133"/>
        <v>-2408.7958419832339</v>
      </c>
      <c r="BG190" s="797">
        <f t="shared" si="134"/>
        <v>3082297.2402907559</v>
      </c>
      <c r="BH190" s="799">
        <v>8</v>
      </c>
      <c r="BI190" s="692">
        <f t="shared" si="143"/>
        <v>0</v>
      </c>
      <c r="BJ190" s="800">
        <v>1150</v>
      </c>
      <c r="BK190" s="778">
        <f t="shared" si="135"/>
        <v>0</v>
      </c>
      <c r="BL190" s="786">
        <f t="shared" si="142"/>
        <v>3082297.2402907559</v>
      </c>
      <c r="BM190" s="692">
        <f t="shared" si="136"/>
        <v>3082297.2402907559</v>
      </c>
      <c r="BN190" s="801">
        <f t="shared" si="137"/>
        <v>1.5060572793698355E-3</v>
      </c>
      <c r="BO190" s="787">
        <f t="shared" si="138"/>
        <v>7444.1869917101294</v>
      </c>
      <c r="BP190" s="802">
        <f t="shared" si="139"/>
        <v>3089741</v>
      </c>
      <c r="BQ190" s="803">
        <f t="shared" si="103"/>
        <v>238.40594135802471</v>
      </c>
      <c r="BR190" s="682"/>
      <c r="BS190" s="618"/>
    </row>
    <row r="191" spans="1:71" ht="15.75">
      <c r="A191" s="766" t="s">
        <v>3797</v>
      </c>
      <c r="B191" s="767" t="s">
        <v>3798</v>
      </c>
      <c r="C191" s="768">
        <v>18418</v>
      </c>
      <c r="D191" s="769">
        <v>0</v>
      </c>
      <c r="E191" s="770">
        <v>0</v>
      </c>
      <c r="F191" s="771">
        <v>0</v>
      </c>
      <c r="G191" s="770">
        <v>0</v>
      </c>
      <c r="H191" s="771">
        <v>0</v>
      </c>
      <c r="I191" s="770">
        <f t="shared" si="140"/>
        <v>0</v>
      </c>
      <c r="J191" s="772">
        <f t="shared" si="107"/>
        <v>0</v>
      </c>
      <c r="K191" s="773">
        <v>5452</v>
      </c>
      <c r="L191" s="774">
        <f t="shared" si="108"/>
        <v>1.9676492762609179E-3</v>
      </c>
      <c r="M191" s="775">
        <f t="shared" si="141"/>
        <v>165129.14126833979</v>
      </c>
      <c r="N191" s="806">
        <v>1303.5</v>
      </c>
      <c r="O191" s="777">
        <f t="shared" si="109"/>
        <v>1.4824005449684244E-3</v>
      </c>
      <c r="P191" s="778">
        <f t="shared" si="110"/>
        <v>124406.0778308619</v>
      </c>
      <c r="Q191" s="786">
        <f t="shared" si="96"/>
        <v>289535.21909920173</v>
      </c>
      <c r="R191" s="692">
        <f t="shared" si="97"/>
        <v>15.720231246563239</v>
      </c>
      <c r="S191" s="807">
        <v>99016080.419999987</v>
      </c>
      <c r="T191" s="782">
        <f t="shared" si="104"/>
        <v>3.4259356920725104</v>
      </c>
      <c r="U191" s="777">
        <f t="shared" si="111"/>
        <v>1.862245129396358E-3</v>
      </c>
      <c r="V191" s="783">
        <f t="shared" si="98"/>
        <v>5376.0495395808439</v>
      </c>
      <c r="W191" s="778">
        <f t="shared" si="112"/>
        <v>742346.19863528013</v>
      </c>
      <c r="X191" s="784">
        <v>20272223.752799999</v>
      </c>
      <c r="Y191" s="782">
        <f t="shared" si="105"/>
        <v>16.733375091775343</v>
      </c>
      <c r="Z191" s="782">
        <f t="shared" si="113"/>
        <v>2.5836589972518392E-3</v>
      </c>
      <c r="AA191" s="783">
        <f t="shared" si="99"/>
        <v>1100.6745440764469</v>
      </c>
      <c r="AB191" s="692">
        <f t="shared" si="114"/>
        <v>607112.61439844046</v>
      </c>
      <c r="AC191" s="786">
        <f t="shared" si="115"/>
        <v>1349458.8130337205</v>
      </c>
      <c r="AD191" s="787">
        <f t="shared" si="100"/>
        <v>73.268477198051926</v>
      </c>
      <c r="AE191" s="788">
        <v>2472.6298999999999</v>
      </c>
      <c r="AF191" s="774">
        <f t="shared" si="116"/>
        <v>2.571770618074256E-3</v>
      </c>
      <c r="AG191" s="692">
        <f t="shared" si="117"/>
        <v>323742.35502127866</v>
      </c>
      <c r="AH191" s="786">
        <f t="shared" si="118"/>
        <v>323742.35502127866</v>
      </c>
      <c r="AI191" s="692">
        <f t="shared" si="101"/>
        <v>17.577497829366852</v>
      </c>
      <c r="AJ191" s="789">
        <v>1143</v>
      </c>
      <c r="AK191" s="777">
        <f t="shared" si="119"/>
        <v>1.5193689633995582E-3</v>
      </c>
      <c r="AL191" s="692">
        <f t="shared" si="120"/>
        <v>31877.135730294063</v>
      </c>
      <c r="AM191" s="790">
        <v>3.6666666666666665</v>
      </c>
      <c r="AN191" s="791">
        <f t="shared" si="121"/>
        <v>5.294825511432007E-4</v>
      </c>
      <c r="AO191" s="778">
        <f t="shared" si="122"/>
        <v>33326.4418772563</v>
      </c>
      <c r="AP191" s="768">
        <v>124</v>
      </c>
      <c r="AQ191" s="792">
        <f t="shared" si="123"/>
        <v>1.6760154085287558E-3</v>
      </c>
      <c r="AR191" s="793">
        <f t="shared" si="124"/>
        <v>140654.63215516659</v>
      </c>
      <c r="AS191" s="794">
        <v>25.055555555555554</v>
      </c>
      <c r="AT191" s="791">
        <f t="shared" si="125"/>
        <v>1.0048515838666726E-3</v>
      </c>
      <c r="AU191" s="795">
        <f t="shared" si="126"/>
        <v>84329.194815322262</v>
      </c>
      <c r="AV191" s="796">
        <v>69</v>
      </c>
      <c r="AW191" s="791">
        <f t="shared" si="127"/>
        <v>8.7866748166259172E-4</v>
      </c>
      <c r="AX191" s="795">
        <f t="shared" si="128"/>
        <v>55304.675657090469</v>
      </c>
      <c r="AY191" s="786">
        <f t="shared" si="129"/>
        <v>345492.08023512969</v>
      </c>
      <c r="AZ191" s="787">
        <f t="shared" si="102"/>
        <v>18.758392889300126</v>
      </c>
      <c r="BA191" s="797">
        <f t="shared" si="106"/>
        <v>2308228.4673893303</v>
      </c>
      <c r="BB191" s="775">
        <v>2290983</v>
      </c>
      <c r="BC191" s="775">
        <f t="shared" si="130"/>
        <v>0</v>
      </c>
      <c r="BD191" s="775">
        <f t="shared" si="131"/>
        <v>17245.467389330268</v>
      </c>
      <c r="BE191" s="798">
        <f t="shared" si="132"/>
        <v>2.6833964032477966E-5</v>
      </c>
      <c r="BF191" s="775">
        <f t="shared" si="133"/>
        <v>-35.525004581097448</v>
      </c>
      <c r="BG191" s="797">
        <f t="shared" si="134"/>
        <v>2308192.9423847492</v>
      </c>
      <c r="BH191" s="799">
        <v>8.1999999999999993</v>
      </c>
      <c r="BI191" s="692">
        <f t="shared" si="143"/>
        <v>0</v>
      </c>
      <c r="BJ191" s="800">
        <v>1000</v>
      </c>
      <c r="BK191" s="778">
        <f t="shared" si="135"/>
        <v>0</v>
      </c>
      <c r="BL191" s="786">
        <f t="shared" si="142"/>
        <v>2308192.9423847492</v>
      </c>
      <c r="BM191" s="692">
        <f t="shared" si="136"/>
        <v>2308192.9423847492</v>
      </c>
      <c r="BN191" s="801">
        <f t="shared" si="137"/>
        <v>1.127818153819815E-3</v>
      </c>
      <c r="BO191" s="787">
        <f t="shared" si="138"/>
        <v>5574.6148202231225</v>
      </c>
      <c r="BP191" s="802">
        <f t="shared" si="139"/>
        <v>2313768</v>
      </c>
      <c r="BQ191" s="803">
        <f t="shared" si="103"/>
        <v>125.62536648930394</v>
      </c>
      <c r="BR191" s="682"/>
      <c r="BS191" s="618"/>
    </row>
    <row r="192" spans="1:71" ht="15.75">
      <c r="A192" s="805" t="s">
        <v>3799</v>
      </c>
      <c r="B192" s="767" t="s">
        <v>3800</v>
      </c>
      <c r="C192" s="768">
        <v>11016</v>
      </c>
      <c r="D192" s="769">
        <v>0</v>
      </c>
      <c r="E192" s="770">
        <v>0</v>
      </c>
      <c r="F192" s="771">
        <v>0</v>
      </c>
      <c r="G192" s="770">
        <v>0</v>
      </c>
      <c r="H192" s="771">
        <v>0</v>
      </c>
      <c r="I192" s="770">
        <f t="shared" si="140"/>
        <v>0</v>
      </c>
      <c r="J192" s="772">
        <f t="shared" si="107"/>
        <v>0</v>
      </c>
      <c r="K192" s="773">
        <v>5135</v>
      </c>
      <c r="L192" s="774">
        <f t="shared" si="108"/>
        <v>1.8532426694056884E-3</v>
      </c>
      <c r="M192" s="775">
        <f t="shared" si="141"/>
        <v>155527.90543157095</v>
      </c>
      <c r="N192" s="806">
        <v>2687</v>
      </c>
      <c r="O192" s="777">
        <f t="shared" si="109"/>
        <v>3.0557807935022298E-3</v>
      </c>
      <c r="P192" s="778">
        <f t="shared" si="110"/>
        <v>256447.35798352587</v>
      </c>
      <c r="Q192" s="786">
        <f t="shared" si="96"/>
        <v>411975.26341509679</v>
      </c>
      <c r="R192" s="692">
        <f t="shared" si="97"/>
        <v>37.397899729039288</v>
      </c>
      <c r="S192" s="807">
        <v>47165241.210000001</v>
      </c>
      <c r="T192" s="782">
        <f t="shared" si="104"/>
        <v>2.5729171077422759</v>
      </c>
      <c r="U192" s="777">
        <f t="shared" si="111"/>
        <v>1.3985675105696665E-3</v>
      </c>
      <c r="V192" s="783">
        <f t="shared" si="98"/>
        <v>4281.5215332244006</v>
      </c>
      <c r="W192" s="778">
        <f t="shared" si="112"/>
        <v>557510.5331824579</v>
      </c>
      <c r="X192" s="784">
        <v>8873323.2908999994</v>
      </c>
      <c r="Y192" s="782">
        <f t="shared" si="105"/>
        <v>13.676077386299259</v>
      </c>
      <c r="Z192" s="782">
        <f t="shared" si="113"/>
        <v>2.1116075025170351E-3</v>
      </c>
      <c r="AA192" s="783">
        <f t="shared" si="99"/>
        <v>805.4941258986928</v>
      </c>
      <c r="AB192" s="692">
        <f t="shared" si="114"/>
        <v>496189.1460134972</v>
      </c>
      <c r="AC192" s="786">
        <f t="shared" si="115"/>
        <v>1053699.6791959552</v>
      </c>
      <c r="AD192" s="787">
        <f t="shared" si="100"/>
        <v>95.651750108565281</v>
      </c>
      <c r="AE192" s="788">
        <v>792.32360000000006</v>
      </c>
      <c r="AF192" s="774">
        <f t="shared" si="116"/>
        <v>8.2409201412909374E-4</v>
      </c>
      <c r="AG192" s="692">
        <f t="shared" si="117"/>
        <v>103739.22446013356</v>
      </c>
      <c r="AH192" s="786">
        <f t="shared" si="118"/>
        <v>103739.22446013356</v>
      </c>
      <c r="AI192" s="692">
        <f t="shared" si="101"/>
        <v>9.4171409277535911</v>
      </c>
      <c r="AJ192" s="789">
        <v>945</v>
      </c>
      <c r="AK192" s="777">
        <f t="shared" si="119"/>
        <v>1.2561711902122331E-3</v>
      </c>
      <c r="AL192" s="692">
        <f t="shared" si="120"/>
        <v>26355.112217959657</v>
      </c>
      <c r="AM192" s="790">
        <v>3.3333333333333335</v>
      </c>
      <c r="AN192" s="791">
        <f t="shared" si="121"/>
        <v>4.8134777376654609E-4</v>
      </c>
      <c r="AO192" s="778">
        <f t="shared" si="122"/>
        <v>30296.765342960272</v>
      </c>
      <c r="AP192" s="768">
        <v>70</v>
      </c>
      <c r="AQ192" s="792">
        <f t="shared" si="123"/>
        <v>9.4613773062107189E-4</v>
      </c>
      <c r="AR192" s="793">
        <f t="shared" si="124"/>
        <v>79401.808474690813</v>
      </c>
      <c r="AS192" s="794">
        <v>37.277777777777779</v>
      </c>
      <c r="AT192" s="791">
        <f t="shared" si="125"/>
        <v>1.4950230881918792E-3</v>
      </c>
      <c r="AU192" s="795">
        <f t="shared" si="126"/>
        <v>125465.38740816241</v>
      </c>
      <c r="AV192" s="796">
        <v>161</v>
      </c>
      <c r="AW192" s="791">
        <f t="shared" si="127"/>
        <v>2.0502241238793805E-3</v>
      </c>
      <c r="AX192" s="795">
        <f t="shared" si="128"/>
        <v>129044.24319987775</v>
      </c>
      <c r="AY192" s="786">
        <f t="shared" si="129"/>
        <v>390563.31664365088</v>
      </c>
      <c r="AZ192" s="787">
        <f t="shared" si="102"/>
        <v>35.454186332938534</v>
      </c>
      <c r="BA192" s="797">
        <f t="shared" si="106"/>
        <v>1959977.4837148364</v>
      </c>
      <c r="BB192" s="775">
        <v>1290160</v>
      </c>
      <c r="BC192" s="775">
        <f t="shared" si="130"/>
        <v>0</v>
      </c>
      <c r="BD192" s="775">
        <f t="shared" si="131"/>
        <v>669817.48371483642</v>
      </c>
      <c r="BE192" s="798">
        <f t="shared" si="132"/>
        <v>1.0422366561922934E-3</v>
      </c>
      <c r="BF192" s="775">
        <f t="shared" si="133"/>
        <v>-1379.7984502403694</v>
      </c>
      <c r="BG192" s="797">
        <f t="shared" si="134"/>
        <v>1958597.685264596</v>
      </c>
      <c r="BH192" s="799">
        <v>7</v>
      </c>
      <c r="BI192" s="692">
        <f t="shared" si="143"/>
        <v>0</v>
      </c>
      <c r="BJ192" s="800">
        <v>1500</v>
      </c>
      <c r="BK192" s="778">
        <f t="shared" si="135"/>
        <v>0</v>
      </c>
      <c r="BL192" s="786">
        <f t="shared" si="142"/>
        <v>1958597.685264596</v>
      </c>
      <c r="BM192" s="692">
        <f t="shared" si="136"/>
        <v>1958597.685264596</v>
      </c>
      <c r="BN192" s="801">
        <f t="shared" si="137"/>
        <v>9.5700059770075961E-4</v>
      </c>
      <c r="BO192" s="787">
        <f t="shared" si="138"/>
        <v>4730.2924650008508</v>
      </c>
      <c r="BP192" s="802">
        <f t="shared" si="139"/>
        <v>1963328</v>
      </c>
      <c r="BQ192" s="803">
        <f t="shared" si="103"/>
        <v>178.22512708787218</v>
      </c>
      <c r="BR192" s="682"/>
      <c r="BS192" s="618"/>
    </row>
    <row r="193" spans="1:71" ht="15.75">
      <c r="A193" s="766" t="s">
        <v>3801</v>
      </c>
      <c r="B193" s="767" t="s">
        <v>3802</v>
      </c>
      <c r="C193" s="768">
        <v>32683</v>
      </c>
      <c r="D193" s="769">
        <v>0</v>
      </c>
      <c r="E193" s="770">
        <v>0</v>
      </c>
      <c r="F193" s="771">
        <v>0</v>
      </c>
      <c r="G193" s="770">
        <v>0</v>
      </c>
      <c r="H193" s="771">
        <v>0</v>
      </c>
      <c r="I193" s="770">
        <f t="shared" si="140"/>
        <v>0</v>
      </c>
      <c r="J193" s="772">
        <f t="shared" si="107"/>
        <v>0</v>
      </c>
      <c r="K193" s="773">
        <v>13057</v>
      </c>
      <c r="L193" s="774">
        <f t="shared" si="108"/>
        <v>4.7123251284187095E-3</v>
      </c>
      <c r="M193" s="775">
        <f t="shared" si="141"/>
        <v>395467.93792016007</v>
      </c>
      <c r="N193" s="806">
        <v>3230</v>
      </c>
      <c r="O193" s="777">
        <f t="shared" si="109"/>
        <v>3.673305531452252E-3</v>
      </c>
      <c r="P193" s="778">
        <f t="shared" si="110"/>
        <v>308271.29374275717</v>
      </c>
      <c r="Q193" s="786">
        <f t="shared" si="96"/>
        <v>703739.23166291718</v>
      </c>
      <c r="R193" s="692">
        <f t="shared" si="97"/>
        <v>21.532271568182761</v>
      </c>
      <c r="S193" s="807">
        <v>85100072.189999998</v>
      </c>
      <c r="T193" s="782">
        <f t="shared" si="104"/>
        <v>12.552028000811971</v>
      </c>
      <c r="U193" s="777">
        <f t="shared" si="111"/>
        <v>6.8229398066775113E-3</v>
      </c>
      <c r="V193" s="783">
        <f t="shared" si="98"/>
        <v>2603.8023495395159</v>
      </c>
      <c r="W193" s="778">
        <f t="shared" si="112"/>
        <v>2719826.3800245165</v>
      </c>
      <c r="X193" s="784">
        <v>24833280.852000002</v>
      </c>
      <c r="Y193" s="782">
        <f t="shared" si="105"/>
        <v>43.013989789189374</v>
      </c>
      <c r="Z193" s="782">
        <f t="shared" si="113"/>
        <v>6.6414265572258243E-3</v>
      </c>
      <c r="AA193" s="783">
        <f t="shared" si="99"/>
        <v>759.82256377933493</v>
      </c>
      <c r="AB193" s="692">
        <f t="shared" si="114"/>
        <v>1560613.7825391903</v>
      </c>
      <c r="AC193" s="786">
        <f t="shared" si="115"/>
        <v>4280440.1625637067</v>
      </c>
      <c r="AD193" s="787">
        <f t="shared" si="100"/>
        <v>130.96839832829627</v>
      </c>
      <c r="AE193" s="788">
        <v>1776.0179000000001</v>
      </c>
      <c r="AF193" s="774">
        <f t="shared" si="116"/>
        <v>1.8472277846328488E-3</v>
      </c>
      <c r="AG193" s="692">
        <f t="shared" si="117"/>
        <v>232534.68604660398</v>
      </c>
      <c r="AH193" s="786">
        <f t="shared" si="118"/>
        <v>232534.68604660398</v>
      </c>
      <c r="AI193" s="692">
        <f t="shared" si="101"/>
        <v>7.1148513308632619</v>
      </c>
      <c r="AJ193" s="789">
        <v>4810</v>
      </c>
      <c r="AK193" s="777">
        <f t="shared" si="119"/>
        <v>6.393844894096128E-3</v>
      </c>
      <c r="AL193" s="692">
        <f t="shared" si="120"/>
        <v>134146.12673903274</v>
      </c>
      <c r="AM193" s="790">
        <v>96</v>
      </c>
      <c r="AN193" s="791">
        <f t="shared" si="121"/>
        <v>1.3862815884476527E-2</v>
      </c>
      <c r="AO193" s="778">
        <f t="shared" si="122"/>
        <v>872546.84187725582</v>
      </c>
      <c r="AP193" s="768">
        <v>488</v>
      </c>
      <c r="AQ193" s="792">
        <f t="shared" si="123"/>
        <v>6.5959316077583291E-3</v>
      </c>
      <c r="AR193" s="793">
        <f t="shared" si="124"/>
        <v>553544.03622355883</v>
      </c>
      <c r="AS193" s="794">
        <v>159.66666666666666</v>
      </c>
      <c r="AT193" s="791">
        <f t="shared" si="125"/>
        <v>6.4034222883211029E-3</v>
      </c>
      <c r="AU193" s="795">
        <f t="shared" si="126"/>
        <v>537388.26141737518</v>
      </c>
      <c r="AV193" s="796">
        <v>564</v>
      </c>
      <c r="AW193" s="791">
        <f t="shared" si="127"/>
        <v>7.1821515892420539E-3</v>
      </c>
      <c r="AX193" s="795">
        <f t="shared" si="128"/>
        <v>452055.60971882642</v>
      </c>
      <c r="AY193" s="786">
        <f t="shared" si="129"/>
        <v>2549680.8759760484</v>
      </c>
      <c r="AZ193" s="787">
        <f t="shared" si="102"/>
        <v>78.012449162440674</v>
      </c>
      <c r="BA193" s="797">
        <f t="shared" si="106"/>
        <v>7766394.9562492762</v>
      </c>
      <c r="BB193" s="775">
        <v>6524290</v>
      </c>
      <c r="BC193" s="775">
        <f t="shared" si="130"/>
        <v>0</v>
      </c>
      <c r="BD193" s="775">
        <f t="shared" si="131"/>
        <v>1242104.9562492762</v>
      </c>
      <c r="BE193" s="798">
        <f t="shared" si="132"/>
        <v>1.9327165201203688E-3</v>
      </c>
      <c r="BF193" s="775">
        <f t="shared" si="133"/>
        <v>-2558.6888000646422</v>
      </c>
      <c r="BG193" s="797">
        <f t="shared" si="134"/>
        <v>7763836.2674492113</v>
      </c>
      <c r="BH193" s="799">
        <v>8</v>
      </c>
      <c r="BI193" s="692">
        <f t="shared" si="143"/>
        <v>0</v>
      </c>
      <c r="BJ193" s="800">
        <v>1800</v>
      </c>
      <c r="BK193" s="778">
        <f t="shared" si="135"/>
        <v>0</v>
      </c>
      <c r="BL193" s="786">
        <f t="shared" si="142"/>
        <v>7763836.2674492113</v>
      </c>
      <c r="BM193" s="692">
        <f t="shared" si="136"/>
        <v>7763836.2674492113</v>
      </c>
      <c r="BN193" s="801">
        <f t="shared" si="137"/>
        <v>3.7935284026417997E-3</v>
      </c>
      <c r="BO193" s="787">
        <f t="shared" si="138"/>
        <v>18750.770753848792</v>
      </c>
      <c r="BP193" s="802">
        <f t="shared" si="139"/>
        <v>7782587</v>
      </c>
      <c r="BQ193" s="803">
        <f t="shared" si="103"/>
        <v>238.12339748493099</v>
      </c>
      <c r="BR193" s="682"/>
      <c r="BS193" s="618"/>
    </row>
    <row r="194" spans="1:71" ht="15.75">
      <c r="A194" s="805" t="s">
        <v>3803</v>
      </c>
      <c r="B194" s="767" t="s">
        <v>3804</v>
      </c>
      <c r="C194" s="768">
        <v>15693</v>
      </c>
      <c r="D194" s="769">
        <v>0</v>
      </c>
      <c r="E194" s="770">
        <v>0</v>
      </c>
      <c r="F194" s="771">
        <v>0</v>
      </c>
      <c r="G194" s="770">
        <v>0</v>
      </c>
      <c r="H194" s="771">
        <v>0</v>
      </c>
      <c r="I194" s="770">
        <f t="shared" si="140"/>
        <v>0</v>
      </c>
      <c r="J194" s="772">
        <f t="shared" si="107"/>
        <v>0</v>
      </c>
      <c r="K194" s="773">
        <v>4207</v>
      </c>
      <c r="L194" s="774">
        <f t="shared" si="108"/>
        <v>1.5183236436591492E-3</v>
      </c>
      <c r="M194" s="775">
        <f t="shared" si="141"/>
        <v>127420.81755610887</v>
      </c>
      <c r="N194" s="806">
        <v>2458.5</v>
      </c>
      <c r="O194" s="777">
        <f t="shared" si="109"/>
        <v>2.7959200151936106E-3</v>
      </c>
      <c r="P194" s="778">
        <f t="shared" si="110"/>
        <v>234639.3113518788</v>
      </c>
      <c r="Q194" s="786">
        <f t="shared" si="96"/>
        <v>362060.12890798767</v>
      </c>
      <c r="R194" s="692">
        <f t="shared" si="97"/>
        <v>23.0714413374108</v>
      </c>
      <c r="S194" s="807">
        <v>69496290.110000029</v>
      </c>
      <c r="T194" s="782">
        <f t="shared" si="104"/>
        <v>3.5436459789464854</v>
      </c>
      <c r="U194" s="777">
        <f t="shared" si="111"/>
        <v>1.926229228373505E-3</v>
      </c>
      <c r="V194" s="783">
        <f t="shared" si="98"/>
        <v>4428.4897795195329</v>
      </c>
      <c r="W194" s="778">
        <f t="shared" si="112"/>
        <v>767852.16017546947</v>
      </c>
      <c r="X194" s="784">
        <v>14362987.2411</v>
      </c>
      <c r="Y194" s="782">
        <f t="shared" si="105"/>
        <v>17.146171953372786</v>
      </c>
      <c r="Z194" s="782">
        <f t="shared" si="113"/>
        <v>2.6473954711941322E-3</v>
      </c>
      <c r="AA194" s="783">
        <f t="shared" si="99"/>
        <v>915.2480240298222</v>
      </c>
      <c r="AB194" s="692">
        <f t="shared" si="114"/>
        <v>622089.52016224386</v>
      </c>
      <c r="AC194" s="786">
        <f t="shared" si="115"/>
        <v>1389941.6803377133</v>
      </c>
      <c r="AD194" s="787">
        <f t="shared" si="100"/>
        <v>88.570807387861677</v>
      </c>
      <c r="AE194" s="788">
        <v>2716.4281999999998</v>
      </c>
      <c r="AF194" s="774">
        <f t="shared" si="116"/>
        <v>2.8253440722642471E-3</v>
      </c>
      <c r="AG194" s="692">
        <f t="shared" si="117"/>
        <v>355662.95736948453</v>
      </c>
      <c r="AH194" s="786">
        <f t="shared" si="118"/>
        <v>355662.95736948453</v>
      </c>
      <c r="AI194" s="692">
        <f t="shared" si="101"/>
        <v>22.663796429585453</v>
      </c>
      <c r="AJ194" s="789">
        <v>1236</v>
      </c>
      <c r="AK194" s="777">
        <f t="shared" si="119"/>
        <v>1.642992159896635E-3</v>
      </c>
      <c r="AL194" s="692">
        <f t="shared" si="120"/>
        <v>34470.813440632948</v>
      </c>
      <c r="AM194" s="790">
        <v>8.3333333333333339</v>
      </c>
      <c r="AN194" s="791">
        <f t="shared" si="121"/>
        <v>1.2033694344163652E-3</v>
      </c>
      <c r="AO194" s="778">
        <f t="shared" si="122"/>
        <v>75741.913357400685</v>
      </c>
      <c r="AP194" s="768">
        <v>98</v>
      </c>
      <c r="AQ194" s="792">
        <f t="shared" si="123"/>
        <v>1.3245928228695005E-3</v>
      </c>
      <c r="AR194" s="793">
        <f t="shared" si="124"/>
        <v>111162.53186456714</v>
      </c>
      <c r="AS194" s="794">
        <v>74.333333333333329</v>
      </c>
      <c r="AT194" s="791">
        <f t="shared" si="125"/>
        <v>2.9811339672142089E-3</v>
      </c>
      <c r="AU194" s="795">
        <f t="shared" si="126"/>
        <v>250182.84404190953</v>
      </c>
      <c r="AV194" s="796">
        <v>48</v>
      </c>
      <c r="AW194" s="791">
        <f t="shared" si="127"/>
        <v>6.1124694376528117E-4</v>
      </c>
      <c r="AX194" s="795">
        <f t="shared" si="128"/>
        <v>38472.817848410756</v>
      </c>
      <c r="AY194" s="786">
        <f t="shared" si="129"/>
        <v>510030.92055292107</v>
      </c>
      <c r="AZ194" s="787">
        <f t="shared" si="102"/>
        <v>32.500536580189959</v>
      </c>
      <c r="BA194" s="797">
        <f t="shared" si="106"/>
        <v>2617695.6871681064</v>
      </c>
      <c r="BB194" s="775">
        <v>1847081</v>
      </c>
      <c r="BC194" s="775">
        <f t="shared" si="130"/>
        <v>0</v>
      </c>
      <c r="BD194" s="775">
        <f t="shared" si="131"/>
        <v>770614.68716810644</v>
      </c>
      <c r="BE194" s="798">
        <f t="shared" si="132"/>
        <v>1.1990772028111028E-3</v>
      </c>
      <c r="BF194" s="775">
        <f t="shared" si="133"/>
        <v>-1587.4368420333731</v>
      </c>
      <c r="BG194" s="797">
        <f t="shared" si="134"/>
        <v>2616108.2503260733</v>
      </c>
      <c r="BH194" s="799">
        <v>7.1</v>
      </c>
      <c r="BI194" s="692">
        <f t="shared" si="143"/>
        <v>0</v>
      </c>
      <c r="BJ194" s="800">
        <v>1350</v>
      </c>
      <c r="BK194" s="778">
        <f t="shared" si="135"/>
        <v>0</v>
      </c>
      <c r="BL194" s="786">
        <f t="shared" si="142"/>
        <v>2616108.2503260733</v>
      </c>
      <c r="BM194" s="692">
        <f t="shared" si="136"/>
        <v>2616108.2503260733</v>
      </c>
      <c r="BN194" s="801">
        <f t="shared" si="137"/>
        <v>1.2782702532775205E-3</v>
      </c>
      <c r="BO194" s="787">
        <f t="shared" si="138"/>
        <v>6318.2741597451604</v>
      </c>
      <c r="BP194" s="802">
        <f t="shared" si="139"/>
        <v>2622427</v>
      </c>
      <c r="BQ194" s="803">
        <f t="shared" si="103"/>
        <v>167.1080736634168</v>
      </c>
      <c r="BR194" s="682"/>
      <c r="BS194" s="618"/>
    </row>
    <row r="195" spans="1:71" ht="15.75">
      <c r="A195" s="766" t="s">
        <v>3805</v>
      </c>
      <c r="B195" s="767" t="s">
        <v>3806</v>
      </c>
      <c r="C195" s="768">
        <v>23505</v>
      </c>
      <c r="D195" s="769">
        <v>0</v>
      </c>
      <c r="E195" s="770">
        <v>0</v>
      </c>
      <c r="F195" s="771">
        <v>0</v>
      </c>
      <c r="G195" s="770">
        <v>0</v>
      </c>
      <c r="H195" s="771">
        <v>0</v>
      </c>
      <c r="I195" s="770">
        <f t="shared" si="140"/>
        <v>0</v>
      </c>
      <c r="J195" s="772">
        <f t="shared" si="107"/>
        <v>0</v>
      </c>
      <c r="K195" s="773">
        <v>10731</v>
      </c>
      <c r="L195" s="774">
        <f t="shared" si="108"/>
        <v>3.8728621393169312E-3</v>
      </c>
      <c r="M195" s="775">
        <f t="shared" si="141"/>
        <v>325018.4913702411</v>
      </c>
      <c r="N195" s="806">
        <v>2686.5</v>
      </c>
      <c r="O195" s="777">
        <f t="shared" si="109"/>
        <v>3.0552121703549462E-3</v>
      </c>
      <c r="P195" s="778">
        <f t="shared" si="110"/>
        <v>256399.63796901461</v>
      </c>
      <c r="Q195" s="786">
        <f t="shared" si="96"/>
        <v>581418.12933925574</v>
      </c>
      <c r="R195" s="692">
        <f t="shared" si="97"/>
        <v>24.735934028472908</v>
      </c>
      <c r="S195" s="807">
        <v>112185218.64000002</v>
      </c>
      <c r="T195" s="782">
        <f t="shared" si="104"/>
        <v>4.9247577505991469</v>
      </c>
      <c r="U195" s="777">
        <f t="shared" si="111"/>
        <v>2.6769638892323137E-3</v>
      </c>
      <c r="V195" s="783">
        <f t="shared" si="98"/>
        <v>4772.8235966815582</v>
      </c>
      <c r="W195" s="778">
        <f t="shared" si="112"/>
        <v>1067117.2853058716</v>
      </c>
      <c r="X195" s="784">
        <v>19794921.237399999</v>
      </c>
      <c r="Y195" s="782">
        <f t="shared" si="105"/>
        <v>27.91044320783401</v>
      </c>
      <c r="Z195" s="782">
        <f t="shared" si="113"/>
        <v>4.3094156029915504E-3</v>
      </c>
      <c r="AA195" s="783">
        <f t="shared" si="99"/>
        <v>842.15789140182937</v>
      </c>
      <c r="AB195" s="692">
        <f t="shared" si="114"/>
        <v>1012633.8561104669</v>
      </c>
      <c r="AC195" s="786">
        <f t="shared" si="115"/>
        <v>2079751.1414163385</v>
      </c>
      <c r="AD195" s="787">
        <f t="shared" si="100"/>
        <v>88.481222778827416</v>
      </c>
      <c r="AE195" s="788">
        <v>2290.1381999999999</v>
      </c>
      <c r="AF195" s="774">
        <f t="shared" si="116"/>
        <v>2.3819618674389823E-3</v>
      </c>
      <c r="AG195" s="692">
        <f t="shared" si="117"/>
        <v>299848.64867653348</v>
      </c>
      <c r="AH195" s="786">
        <f t="shared" si="118"/>
        <v>299848.64867653348</v>
      </c>
      <c r="AI195" s="692">
        <f t="shared" si="101"/>
        <v>12.756802751607466</v>
      </c>
      <c r="AJ195" s="789">
        <v>1870</v>
      </c>
      <c r="AK195" s="777">
        <f t="shared" si="119"/>
        <v>2.4857567467691808E-3</v>
      </c>
      <c r="AL195" s="692">
        <f t="shared" si="120"/>
        <v>52152.444283158264</v>
      </c>
      <c r="AM195" s="790">
        <v>6</v>
      </c>
      <c r="AN195" s="791">
        <f t="shared" si="121"/>
        <v>8.6642599277978296E-4</v>
      </c>
      <c r="AO195" s="778">
        <f t="shared" si="122"/>
        <v>54534.177617328489</v>
      </c>
      <c r="AP195" s="768">
        <v>160</v>
      </c>
      <c r="AQ195" s="792">
        <f t="shared" si="123"/>
        <v>2.1626005271338784E-3</v>
      </c>
      <c r="AR195" s="793">
        <f t="shared" si="124"/>
        <v>181489.84794215043</v>
      </c>
      <c r="AS195" s="794">
        <v>55.888888888888886</v>
      </c>
      <c r="AT195" s="791">
        <f t="shared" si="125"/>
        <v>2.2414206061416248E-3</v>
      </c>
      <c r="AU195" s="795">
        <f t="shared" si="126"/>
        <v>188104.58976544169</v>
      </c>
      <c r="AV195" s="796">
        <v>61</v>
      </c>
      <c r="AW195" s="791">
        <f t="shared" si="127"/>
        <v>7.7679299103504483E-4</v>
      </c>
      <c r="AX195" s="795">
        <f t="shared" si="128"/>
        <v>48892.539349022009</v>
      </c>
      <c r="AY195" s="786">
        <f t="shared" si="129"/>
        <v>525173.59895710088</v>
      </c>
      <c r="AZ195" s="787">
        <f t="shared" si="102"/>
        <v>22.343058879264024</v>
      </c>
      <c r="BA195" s="797">
        <f t="shared" si="106"/>
        <v>3486191.5183892287</v>
      </c>
      <c r="BB195" s="775">
        <v>2876739</v>
      </c>
      <c r="BC195" s="775">
        <f t="shared" si="130"/>
        <v>0</v>
      </c>
      <c r="BD195" s="775">
        <f t="shared" si="131"/>
        <v>609452.51838922873</v>
      </c>
      <c r="BE195" s="798">
        <f t="shared" si="132"/>
        <v>9.4830871142859716E-4</v>
      </c>
      <c r="BF195" s="775">
        <f t="shared" si="133"/>
        <v>-1255.4489257353518</v>
      </c>
      <c r="BG195" s="797">
        <f t="shared" si="134"/>
        <v>3484936.0694634933</v>
      </c>
      <c r="BH195" s="799">
        <v>8</v>
      </c>
      <c r="BI195" s="692">
        <f t="shared" si="143"/>
        <v>0</v>
      </c>
      <c r="BJ195" s="800">
        <v>1450</v>
      </c>
      <c r="BK195" s="778">
        <f t="shared" si="135"/>
        <v>0</v>
      </c>
      <c r="BL195" s="786">
        <f t="shared" si="142"/>
        <v>3484936.0694634933</v>
      </c>
      <c r="BM195" s="692">
        <f t="shared" si="136"/>
        <v>3484936.0694634933</v>
      </c>
      <c r="BN195" s="801">
        <f t="shared" si="137"/>
        <v>1.7027927310017967E-3</v>
      </c>
      <c r="BO195" s="787">
        <f t="shared" si="138"/>
        <v>8416.6171309274469</v>
      </c>
      <c r="BP195" s="802">
        <f t="shared" si="139"/>
        <v>3493353</v>
      </c>
      <c r="BQ195" s="803">
        <f t="shared" si="103"/>
        <v>148.62169751116784</v>
      </c>
      <c r="BR195" s="682"/>
      <c r="BS195" s="618"/>
    </row>
    <row r="196" spans="1:71" ht="15.75">
      <c r="A196" s="805" t="s">
        <v>3807</v>
      </c>
      <c r="B196" s="767" t="s">
        <v>3808</v>
      </c>
      <c r="C196" s="768">
        <v>8576</v>
      </c>
      <c r="D196" s="769">
        <v>0</v>
      </c>
      <c r="E196" s="770">
        <v>0</v>
      </c>
      <c r="F196" s="771">
        <v>0</v>
      </c>
      <c r="G196" s="770">
        <v>0</v>
      </c>
      <c r="H196" s="771">
        <v>0</v>
      </c>
      <c r="I196" s="770">
        <f t="shared" si="140"/>
        <v>0</v>
      </c>
      <c r="J196" s="772">
        <f t="shared" si="107"/>
        <v>0</v>
      </c>
      <c r="K196" s="773">
        <v>3493</v>
      </c>
      <c r="L196" s="774">
        <f t="shared" si="108"/>
        <v>1.2606381001429542E-3</v>
      </c>
      <c r="M196" s="775">
        <f t="shared" si="141"/>
        <v>105795.321065721</v>
      </c>
      <c r="N196" s="806">
        <v>318.5</v>
      </c>
      <c r="O196" s="777">
        <f t="shared" si="109"/>
        <v>3.6221294481967253E-4</v>
      </c>
      <c r="P196" s="778">
        <f t="shared" si="110"/>
        <v>30397.64924367435</v>
      </c>
      <c r="Q196" s="786">
        <f t="shared" si="96"/>
        <v>136192.97030939534</v>
      </c>
      <c r="R196" s="692">
        <f t="shared" si="97"/>
        <v>15.88071015734554</v>
      </c>
      <c r="S196" s="807">
        <v>28487471.690000001</v>
      </c>
      <c r="T196" s="782">
        <f t="shared" si="104"/>
        <v>2.5817586341232794</v>
      </c>
      <c r="U196" s="777">
        <f t="shared" si="111"/>
        <v>1.403373522976015E-3</v>
      </c>
      <c r="V196" s="783">
        <f t="shared" si="98"/>
        <v>3321.7667548973882</v>
      </c>
      <c r="W196" s="778">
        <f t="shared" si="112"/>
        <v>559426.35241813678</v>
      </c>
      <c r="X196" s="784">
        <v>7599196.6738999998</v>
      </c>
      <c r="Y196" s="782">
        <f t="shared" si="105"/>
        <v>9.6783619579955396</v>
      </c>
      <c r="Z196" s="782">
        <f t="shared" si="113"/>
        <v>1.4943540567452919E-3</v>
      </c>
      <c r="AA196" s="783">
        <f t="shared" si="99"/>
        <v>886.10035843050366</v>
      </c>
      <c r="AB196" s="692">
        <f t="shared" si="114"/>
        <v>351145.87458815385</v>
      </c>
      <c r="AC196" s="786">
        <f t="shared" si="115"/>
        <v>910572.22700629057</v>
      </c>
      <c r="AD196" s="787">
        <f t="shared" si="100"/>
        <v>106.17679885800963</v>
      </c>
      <c r="AE196" s="788">
        <v>3510.7147</v>
      </c>
      <c r="AF196" s="774">
        <f t="shared" si="116"/>
        <v>3.6514776893628018E-3</v>
      </c>
      <c r="AG196" s="692">
        <f t="shared" si="117"/>
        <v>459659.18505871895</v>
      </c>
      <c r="AH196" s="786">
        <f t="shared" si="118"/>
        <v>459659.18505871895</v>
      </c>
      <c r="AI196" s="692">
        <f t="shared" si="101"/>
        <v>53.598319153302114</v>
      </c>
      <c r="AJ196" s="789">
        <v>832</v>
      </c>
      <c r="AK196" s="777">
        <f t="shared" si="119"/>
        <v>1.1059623600598709E-3</v>
      </c>
      <c r="AL196" s="692">
        <f t="shared" si="120"/>
        <v>23203.654354859722</v>
      </c>
      <c r="AM196" s="790">
        <v>3</v>
      </c>
      <c r="AN196" s="791">
        <f t="shared" si="121"/>
        <v>4.3321299638989148E-4</v>
      </c>
      <c r="AO196" s="778">
        <f t="shared" si="122"/>
        <v>27267.088808664244</v>
      </c>
      <c r="AP196" s="768">
        <v>88</v>
      </c>
      <c r="AQ196" s="792">
        <f t="shared" si="123"/>
        <v>1.1894302899236331E-3</v>
      </c>
      <c r="AR196" s="793">
        <f t="shared" si="124"/>
        <v>99819.416368182734</v>
      </c>
      <c r="AS196" s="794">
        <v>9.8333333333333339</v>
      </c>
      <c r="AT196" s="791">
        <f t="shared" si="125"/>
        <v>3.9436525575255231E-4</v>
      </c>
      <c r="AU196" s="795">
        <f t="shared" si="126"/>
        <v>33095.936767875923</v>
      </c>
      <c r="AV196" s="796">
        <v>21</v>
      </c>
      <c r="AW196" s="791">
        <f t="shared" si="127"/>
        <v>2.674205378973105E-4</v>
      </c>
      <c r="AX196" s="795">
        <f t="shared" si="128"/>
        <v>16831.857808679706</v>
      </c>
      <c r="AY196" s="786">
        <f t="shared" si="129"/>
        <v>200217.95410826232</v>
      </c>
      <c r="AZ196" s="787">
        <f t="shared" si="102"/>
        <v>23.346309947325363</v>
      </c>
      <c r="BA196" s="797">
        <f t="shared" si="106"/>
        <v>1706642.3364826674</v>
      </c>
      <c r="BB196" s="775">
        <v>1058087</v>
      </c>
      <c r="BC196" s="775">
        <f t="shared" si="130"/>
        <v>0</v>
      </c>
      <c r="BD196" s="775">
        <f t="shared" si="131"/>
        <v>648555.33648266736</v>
      </c>
      <c r="BE196" s="798">
        <f t="shared" si="132"/>
        <v>1.0091527344173305E-3</v>
      </c>
      <c r="BF196" s="775">
        <f t="shared" si="133"/>
        <v>-1335.9992384953689</v>
      </c>
      <c r="BG196" s="797">
        <f t="shared" si="134"/>
        <v>1705306.3372441719</v>
      </c>
      <c r="BH196" s="799">
        <v>6.5</v>
      </c>
      <c r="BI196" s="692">
        <f t="shared" si="143"/>
        <v>0</v>
      </c>
      <c r="BJ196" s="800">
        <v>1100</v>
      </c>
      <c r="BK196" s="778">
        <f t="shared" si="135"/>
        <v>0</v>
      </c>
      <c r="BL196" s="786">
        <f t="shared" si="142"/>
        <v>1705306.3372441719</v>
      </c>
      <c r="BM196" s="692">
        <f t="shared" si="136"/>
        <v>1705306.3372441719</v>
      </c>
      <c r="BN196" s="801">
        <f t="shared" si="137"/>
        <v>8.3323859528869706E-4</v>
      </c>
      <c r="BO196" s="787">
        <f t="shared" si="138"/>
        <v>4118.5577713447319</v>
      </c>
      <c r="BP196" s="802">
        <f t="shared" si="139"/>
        <v>1709425</v>
      </c>
      <c r="BQ196" s="803">
        <f t="shared" si="103"/>
        <v>199.32660914179104</v>
      </c>
      <c r="BR196" s="682"/>
      <c r="BS196" s="618"/>
    </row>
    <row r="197" spans="1:71" ht="15.75">
      <c r="A197" s="805" t="s">
        <v>3809</v>
      </c>
      <c r="B197" s="767" t="s">
        <v>3810</v>
      </c>
      <c r="C197" s="768">
        <v>952</v>
      </c>
      <c r="D197" s="769">
        <v>0</v>
      </c>
      <c r="E197" s="770">
        <v>0</v>
      </c>
      <c r="F197" s="771">
        <v>0</v>
      </c>
      <c r="G197" s="770">
        <v>0</v>
      </c>
      <c r="H197" s="771">
        <v>0</v>
      </c>
      <c r="I197" s="770">
        <f t="shared" si="140"/>
        <v>0</v>
      </c>
      <c r="J197" s="772">
        <f t="shared" si="107"/>
        <v>0</v>
      </c>
      <c r="K197" s="773">
        <v>148</v>
      </c>
      <c r="L197" s="774">
        <f t="shared" si="108"/>
        <v>5.3413810140611854E-5</v>
      </c>
      <c r="M197" s="775">
        <f t="shared" si="141"/>
        <v>4482.5959111728334</v>
      </c>
      <c r="N197" s="806">
        <v>0</v>
      </c>
      <c r="O197" s="777">
        <f t="shared" si="109"/>
        <v>0</v>
      </c>
      <c r="P197" s="778">
        <f t="shared" si="110"/>
        <v>0</v>
      </c>
      <c r="Q197" s="786">
        <f t="shared" si="96"/>
        <v>4482.5959111728334</v>
      </c>
      <c r="R197" s="692">
        <f t="shared" si="97"/>
        <v>4.7086091503916316</v>
      </c>
      <c r="S197" s="807">
        <v>1439717.41</v>
      </c>
      <c r="T197" s="782">
        <f t="shared" si="104"/>
        <v>0.62950131303892476</v>
      </c>
      <c r="U197" s="777">
        <f t="shared" si="111"/>
        <v>3.4217973118058696E-4</v>
      </c>
      <c r="V197" s="783">
        <f t="shared" si="98"/>
        <v>1512.3082037815125</v>
      </c>
      <c r="W197" s="778">
        <f t="shared" si="112"/>
        <v>136403.0001648007</v>
      </c>
      <c r="X197" s="784">
        <v>391609.23190000001</v>
      </c>
      <c r="Y197" s="782">
        <f t="shared" si="105"/>
        <v>2.3143070340880798</v>
      </c>
      <c r="Z197" s="782">
        <f t="shared" si="113"/>
        <v>3.5733258581909302E-4</v>
      </c>
      <c r="AA197" s="783">
        <f t="shared" si="99"/>
        <v>411.35423518907567</v>
      </c>
      <c r="AB197" s="692">
        <f t="shared" si="114"/>
        <v>83966.622769157402</v>
      </c>
      <c r="AC197" s="786">
        <f t="shared" si="115"/>
        <v>220369.6229339581</v>
      </c>
      <c r="AD197" s="787">
        <f t="shared" si="100"/>
        <v>231.4806963591997</v>
      </c>
      <c r="AE197" s="788">
        <v>306.78629999999998</v>
      </c>
      <c r="AF197" s="774">
        <f t="shared" si="116"/>
        <v>3.1908697390083086E-4</v>
      </c>
      <c r="AG197" s="692">
        <f t="shared" si="117"/>
        <v>40167.644680776728</v>
      </c>
      <c r="AH197" s="786">
        <f t="shared" si="118"/>
        <v>40167.644680776728</v>
      </c>
      <c r="AI197" s="692">
        <f t="shared" si="101"/>
        <v>42.19290407644614</v>
      </c>
      <c r="AJ197" s="789">
        <v>172</v>
      </c>
      <c r="AK197" s="777">
        <f t="shared" si="119"/>
        <v>2.2863644943545407E-4</v>
      </c>
      <c r="AL197" s="692">
        <f t="shared" si="120"/>
        <v>4796.9093137450382</v>
      </c>
      <c r="AM197" s="790">
        <v>3.6666666666666665</v>
      </c>
      <c r="AN197" s="791">
        <f t="shared" si="121"/>
        <v>5.294825511432007E-4</v>
      </c>
      <c r="AO197" s="778">
        <f t="shared" si="122"/>
        <v>33326.4418772563</v>
      </c>
      <c r="AP197" s="768">
        <v>23</v>
      </c>
      <c r="AQ197" s="792">
        <f t="shared" si="123"/>
        <v>3.1087382577549505E-4</v>
      </c>
      <c r="AR197" s="793">
        <f t="shared" si="124"/>
        <v>26089.165641684125</v>
      </c>
      <c r="AS197" s="794">
        <v>3.2222222222222219</v>
      </c>
      <c r="AT197" s="791">
        <f t="shared" si="125"/>
        <v>1.2922703295846345E-4</v>
      </c>
      <c r="AU197" s="795">
        <f t="shared" si="126"/>
        <v>10844.996229021488</v>
      </c>
      <c r="AV197" s="796">
        <v>18</v>
      </c>
      <c r="AW197" s="791">
        <f t="shared" si="127"/>
        <v>2.2921760391198044E-4</v>
      </c>
      <c r="AX197" s="795">
        <f t="shared" si="128"/>
        <v>14427.306693154034</v>
      </c>
      <c r="AY197" s="786">
        <f t="shared" si="129"/>
        <v>89484.819754860975</v>
      </c>
      <c r="AZ197" s="787">
        <f t="shared" si="102"/>
        <v>93.996659406366575</v>
      </c>
      <c r="BA197" s="797">
        <f t="shared" si="106"/>
        <v>354504.68328076869</v>
      </c>
      <c r="BB197" s="775">
        <v>163556</v>
      </c>
      <c r="BC197" s="775">
        <f t="shared" si="130"/>
        <v>0</v>
      </c>
      <c r="BD197" s="775">
        <f t="shared" si="131"/>
        <v>190948.68328076869</v>
      </c>
      <c r="BE197" s="798">
        <f t="shared" si="132"/>
        <v>2.9711633692081465E-4</v>
      </c>
      <c r="BF197" s="775">
        <f t="shared" si="133"/>
        <v>-393.3469992527277</v>
      </c>
      <c r="BG197" s="797">
        <f t="shared" si="134"/>
        <v>354111.33628151595</v>
      </c>
      <c r="BH197" s="799">
        <v>9</v>
      </c>
      <c r="BI197" s="692">
        <f t="shared" si="143"/>
        <v>0</v>
      </c>
      <c r="BJ197" s="800">
        <v>1900</v>
      </c>
      <c r="BK197" s="778">
        <f t="shared" si="135"/>
        <v>0</v>
      </c>
      <c r="BL197" s="786">
        <f t="shared" si="142"/>
        <v>354111.33628151595</v>
      </c>
      <c r="BM197" s="692">
        <f t="shared" si="136"/>
        <v>354111.33628151595</v>
      </c>
      <c r="BN197" s="801">
        <f t="shared" si="137"/>
        <v>1.7302418103707905E-4</v>
      </c>
      <c r="BO197" s="787">
        <f t="shared" si="138"/>
        <v>855.22932983429257</v>
      </c>
      <c r="BP197" s="802">
        <f t="shared" si="139"/>
        <v>354967</v>
      </c>
      <c r="BQ197" s="803">
        <f t="shared" si="103"/>
        <v>372.86449579831935</v>
      </c>
      <c r="BR197" s="682"/>
      <c r="BS197" s="618"/>
    </row>
    <row r="198" spans="1:71" ht="15.75">
      <c r="A198" s="805" t="s">
        <v>3811</v>
      </c>
      <c r="B198" s="767" t="s">
        <v>3812</v>
      </c>
      <c r="C198" s="768">
        <v>11086</v>
      </c>
      <c r="D198" s="769">
        <v>0</v>
      </c>
      <c r="E198" s="770">
        <v>0</v>
      </c>
      <c r="F198" s="771">
        <v>0</v>
      </c>
      <c r="G198" s="770">
        <v>0</v>
      </c>
      <c r="H198" s="771">
        <v>0</v>
      </c>
      <c r="I198" s="770">
        <f t="shared" si="140"/>
        <v>0</v>
      </c>
      <c r="J198" s="772">
        <f t="shared" si="107"/>
        <v>0</v>
      </c>
      <c r="K198" s="773">
        <v>4295</v>
      </c>
      <c r="L198" s="774">
        <f t="shared" si="108"/>
        <v>1.5500832064454589E-3</v>
      </c>
      <c r="M198" s="775">
        <f t="shared" si="141"/>
        <v>130086.14485464405</v>
      </c>
      <c r="N198" s="806">
        <v>349.5</v>
      </c>
      <c r="O198" s="777">
        <f t="shared" si="109"/>
        <v>3.9746757995125763E-4</v>
      </c>
      <c r="P198" s="778">
        <f t="shared" si="110"/>
        <v>33356.290143372644</v>
      </c>
      <c r="Q198" s="786">
        <f t="shared" si="96"/>
        <v>163442.43499801669</v>
      </c>
      <c r="R198" s="692">
        <f t="shared" si="97"/>
        <v>14.743138643155032</v>
      </c>
      <c r="S198" s="807">
        <v>31788862.229999997</v>
      </c>
      <c r="T198" s="782">
        <f t="shared" si="104"/>
        <v>3.8661149653861018</v>
      </c>
      <c r="U198" s="777">
        <f t="shared" si="111"/>
        <v>2.1015145674322996E-3</v>
      </c>
      <c r="V198" s="783">
        <f t="shared" si="98"/>
        <v>2867.4781012087315</v>
      </c>
      <c r="W198" s="778">
        <f t="shared" si="112"/>
        <v>837726.10054602171</v>
      </c>
      <c r="X198" s="784">
        <v>8711979.9145999998</v>
      </c>
      <c r="Y198" s="782">
        <f t="shared" si="105"/>
        <v>14.10694207341303</v>
      </c>
      <c r="Z198" s="782">
        <f t="shared" si="113"/>
        <v>2.1781336766662509E-3</v>
      </c>
      <c r="AA198" s="783">
        <f t="shared" si="99"/>
        <v>785.85422285765833</v>
      </c>
      <c r="AB198" s="692">
        <f t="shared" si="114"/>
        <v>511821.58030789008</v>
      </c>
      <c r="AC198" s="786">
        <f t="shared" si="115"/>
        <v>1349547.6808539117</v>
      </c>
      <c r="AD198" s="787">
        <f t="shared" si="100"/>
        <v>121.73441104581559</v>
      </c>
      <c r="AE198" s="788">
        <v>2132.6527999999998</v>
      </c>
      <c r="AF198" s="774">
        <f t="shared" si="116"/>
        <v>2.2181620506950077E-3</v>
      </c>
      <c r="AG198" s="692">
        <f t="shared" si="117"/>
        <v>279229.02651736268</v>
      </c>
      <c r="AH198" s="786">
        <f t="shared" si="118"/>
        <v>279229.02651736268</v>
      </c>
      <c r="AI198" s="692">
        <f t="shared" si="101"/>
        <v>25.187536218416263</v>
      </c>
      <c r="AJ198" s="789">
        <v>1546</v>
      </c>
      <c r="AK198" s="777">
        <f t="shared" si="119"/>
        <v>2.055069481553558E-3</v>
      </c>
      <c r="AL198" s="692">
        <f t="shared" si="120"/>
        <v>43116.405808429241</v>
      </c>
      <c r="AM198" s="790">
        <v>13</v>
      </c>
      <c r="AN198" s="791">
        <f t="shared" si="121"/>
        <v>1.8772563176895297E-3</v>
      </c>
      <c r="AO198" s="778">
        <f t="shared" si="122"/>
        <v>118157.38483754506</v>
      </c>
      <c r="AP198" s="768">
        <v>90</v>
      </c>
      <c r="AQ198" s="792">
        <f t="shared" si="123"/>
        <v>1.2164627965128066E-3</v>
      </c>
      <c r="AR198" s="793">
        <f t="shared" si="124"/>
        <v>102088.03946745962</v>
      </c>
      <c r="AS198" s="794">
        <v>13.777777777777779</v>
      </c>
      <c r="AT198" s="791">
        <f t="shared" si="125"/>
        <v>5.5255696851205067E-4</v>
      </c>
      <c r="AU198" s="795">
        <f t="shared" si="126"/>
        <v>46371.708013747055</v>
      </c>
      <c r="AV198" s="796">
        <v>25</v>
      </c>
      <c r="AW198" s="791">
        <f t="shared" si="127"/>
        <v>3.1835778321108395E-4</v>
      </c>
      <c r="AX198" s="795">
        <f t="shared" si="128"/>
        <v>20037.925962713936</v>
      </c>
      <c r="AY198" s="786">
        <f t="shared" si="129"/>
        <v>329771.4640898949</v>
      </c>
      <c r="AZ198" s="787">
        <f t="shared" si="102"/>
        <v>29.746659217923046</v>
      </c>
      <c r="BA198" s="797">
        <f t="shared" si="106"/>
        <v>2121990.6064591864</v>
      </c>
      <c r="BB198" s="775">
        <v>1450016</v>
      </c>
      <c r="BC198" s="775">
        <f t="shared" si="130"/>
        <v>0</v>
      </c>
      <c r="BD198" s="775">
        <f t="shared" si="131"/>
        <v>671974.60645918641</v>
      </c>
      <c r="BE198" s="798">
        <f t="shared" si="132"/>
        <v>1.0455931412807369E-3</v>
      </c>
      <c r="BF198" s="775">
        <f t="shared" si="133"/>
        <v>-1384.2420407586776</v>
      </c>
      <c r="BG198" s="797">
        <f t="shared" si="134"/>
        <v>2120606.3644184279</v>
      </c>
      <c r="BH198" s="799">
        <v>6.5</v>
      </c>
      <c r="BI198" s="692">
        <f t="shared" si="143"/>
        <v>0</v>
      </c>
      <c r="BJ198" s="800">
        <v>1600</v>
      </c>
      <c r="BK198" s="778">
        <f t="shared" si="135"/>
        <v>0</v>
      </c>
      <c r="BL198" s="786">
        <f t="shared" si="142"/>
        <v>2120606.3644184279</v>
      </c>
      <c r="BM198" s="692">
        <f t="shared" si="136"/>
        <v>2120606.3644184279</v>
      </c>
      <c r="BN198" s="801">
        <f t="shared" si="137"/>
        <v>1.0361605007014527E-3</v>
      </c>
      <c r="BO198" s="787">
        <f t="shared" si="138"/>
        <v>5121.566507664993</v>
      </c>
      <c r="BP198" s="802">
        <f t="shared" si="139"/>
        <v>2125728</v>
      </c>
      <c r="BQ198" s="803">
        <f t="shared" si="103"/>
        <v>191.74887245174094</v>
      </c>
      <c r="BR198" s="682"/>
      <c r="BS198" s="618"/>
    </row>
    <row r="199" spans="1:71" ht="15.75">
      <c r="A199" s="766" t="s">
        <v>3813</v>
      </c>
      <c r="B199" s="767" t="s">
        <v>3814</v>
      </c>
      <c r="C199" s="768">
        <v>19052</v>
      </c>
      <c r="D199" s="769">
        <v>0</v>
      </c>
      <c r="E199" s="770">
        <v>0</v>
      </c>
      <c r="F199" s="771">
        <v>0</v>
      </c>
      <c r="G199" s="770">
        <v>0</v>
      </c>
      <c r="H199" s="771">
        <f>C199/($C$38+$C$51+$C$53+$C$56+$C$57+$C$141+$C$143+$C$199+$C$209+$C$213)*$H$7</f>
        <v>1200056.0713331432</v>
      </c>
      <c r="I199" s="770">
        <f t="shared" si="140"/>
        <v>1200056.0713331432</v>
      </c>
      <c r="J199" s="772">
        <f t="shared" si="107"/>
        <v>62.988456400018009</v>
      </c>
      <c r="K199" s="773">
        <v>4937</v>
      </c>
      <c r="L199" s="774">
        <f t="shared" si="108"/>
        <v>1.7817836531364914E-3</v>
      </c>
      <c r="M199" s="775">
        <f t="shared" si="141"/>
        <v>149530.91900986675</v>
      </c>
      <c r="N199" s="806">
        <v>315</v>
      </c>
      <c r="O199" s="777">
        <f t="shared" si="109"/>
        <v>3.5823258278868715E-4</v>
      </c>
      <c r="P199" s="778">
        <f t="shared" si="110"/>
        <v>30063.609142095516</v>
      </c>
      <c r="Q199" s="786">
        <f t="shared" ref="Q199:Q262" si="144">M199+P199</f>
        <v>179594.52815196227</v>
      </c>
      <c r="R199" s="692">
        <f t="shared" ref="R199:R262" si="145">Q199/C199</f>
        <v>9.4265446227147951</v>
      </c>
      <c r="S199" s="807">
        <v>54015673.45000001</v>
      </c>
      <c r="T199" s="782">
        <f t="shared" si="104"/>
        <v>6.719877413654646</v>
      </c>
      <c r="U199" s="777">
        <f t="shared" si="111"/>
        <v>3.6527419392827585E-3</v>
      </c>
      <c r="V199" s="783">
        <f t="shared" ref="V199:V262" si="146">S199/C199</f>
        <v>2835.1707668486256</v>
      </c>
      <c r="W199" s="778">
        <f t="shared" si="112"/>
        <v>1456091.3869062848</v>
      </c>
      <c r="X199" s="784">
        <v>34089435.596699998</v>
      </c>
      <c r="Y199" s="782">
        <f t="shared" si="105"/>
        <v>10.647835543371034</v>
      </c>
      <c r="Z199" s="782">
        <f t="shared" si="113"/>
        <v>1.6440422779030503E-3</v>
      </c>
      <c r="AA199" s="783">
        <f t="shared" ref="AA199:AA262" si="147">X199/C199</f>
        <v>1789.2838335450344</v>
      </c>
      <c r="AB199" s="692">
        <f t="shared" si="114"/>
        <v>386319.86906203855</v>
      </c>
      <c r="AC199" s="786">
        <f t="shared" si="115"/>
        <v>1842411.2559683234</v>
      </c>
      <c r="AD199" s="787">
        <f t="shared" ref="AD199:AD262" si="148">AC199/C199</f>
        <v>96.704348938081225</v>
      </c>
      <c r="AE199" s="788">
        <v>6234.0542999999998</v>
      </c>
      <c r="AF199" s="774">
        <f t="shared" si="116"/>
        <v>6.4840102759492931E-3</v>
      </c>
      <c r="AG199" s="692">
        <f t="shared" si="117"/>
        <v>816227.05460794142</v>
      </c>
      <c r="AH199" s="786">
        <f t="shared" si="118"/>
        <v>816227.05460794142</v>
      </c>
      <c r="AI199" s="692">
        <f t="shared" ref="AI199:AI262" si="149">AH199/C199</f>
        <v>42.842066691577863</v>
      </c>
      <c r="AJ199" s="789">
        <v>2988</v>
      </c>
      <c r="AK199" s="777">
        <f t="shared" si="119"/>
        <v>3.9718936680996327E-3</v>
      </c>
      <c r="AL199" s="692">
        <f t="shared" si="120"/>
        <v>83332.354822501031</v>
      </c>
      <c r="AM199" s="790">
        <v>19</v>
      </c>
      <c r="AN199" s="791">
        <f t="shared" si="121"/>
        <v>2.7436823104693125E-3</v>
      </c>
      <c r="AO199" s="778">
        <f t="shared" si="122"/>
        <v>172691.56245487355</v>
      </c>
      <c r="AP199" s="768">
        <v>256</v>
      </c>
      <c r="AQ199" s="792">
        <f t="shared" si="123"/>
        <v>3.4601608434142055E-3</v>
      </c>
      <c r="AR199" s="793">
        <f t="shared" si="124"/>
        <v>290383.75670744071</v>
      </c>
      <c r="AS199" s="794">
        <v>104.1111111111111</v>
      </c>
      <c r="AT199" s="791">
        <f t="shared" si="125"/>
        <v>4.1753699959338015E-3</v>
      </c>
      <c r="AU199" s="795">
        <f t="shared" si="126"/>
        <v>350405.56781355635</v>
      </c>
      <c r="AV199" s="796">
        <v>79</v>
      </c>
      <c r="AW199" s="791">
        <f t="shared" si="127"/>
        <v>1.0060105949470253E-3</v>
      </c>
      <c r="AX199" s="795">
        <f t="shared" si="128"/>
        <v>63319.846042176046</v>
      </c>
      <c r="AY199" s="786">
        <f t="shared" si="129"/>
        <v>960133.08784054779</v>
      </c>
      <c r="AZ199" s="787">
        <f t="shared" ref="AZ199:AZ262" si="150">AY199/C199</f>
        <v>50.395396170509542</v>
      </c>
      <c r="BA199" s="797">
        <f t="shared" si="106"/>
        <v>4998421.9979019184</v>
      </c>
      <c r="BB199" s="775">
        <v>3049245</v>
      </c>
      <c r="BC199" s="775">
        <f t="shared" si="130"/>
        <v>0</v>
      </c>
      <c r="BD199" s="775">
        <f t="shared" si="131"/>
        <v>1949176.9979019184</v>
      </c>
      <c r="BE199" s="798">
        <f t="shared" si="132"/>
        <v>3.0329213047014265E-3</v>
      </c>
      <c r="BF199" s="775">
        <f t="shared" si="133"/>
        <v>-4015.230217690525</v>
      </c>
      <c r="BG199" s="797">
        <f t="shared" si="134"/>
        <v>4994406.7676842278</v>
      </c>
      <c r="BH199" s="799">
        <v>5.5</v>
      </c>
      <c r="BI199" s="692">
        <f t="shared" si="143"/>
        <v>0</v>
      </c>
      <c r="BJ199" s="800">
        <v>1750</v>
      </c>
      <c r="BK199" s="778">
        <f t="shared" si="135"/>
        <v>0</v>
      </c>
      <c r="BL199" s="786">
        <f t="shared" si="142"/>
        <v>4994406.7676842278</v>
      </c>
      <c r="BM199" s="692">
        <f t="shared" si="136"/>
        <v>4994406.7676842278</v>
      </c>
      <c r="BN199" s="801">
        <f t="shared" si="137"/>
        <v>2.4403430565623379E-3</v>
      </c>
      <c r="BO199" s="787">
        <f t="shared" si="138"/>
        <v>12062.20393195979</v>
      </c>
      <c r="BP199" s="802">
        <f t="shared" si="139"/>
        <v>5006469</v>
      </c>
      <c r="BQ199" s="803">
        <f t="shared" ref="BQ199:BQ262" si="151">BP199/C199</f>
        <v>262.77918328784381</v>
      </c>
      <c r="BR199" s="682"/>
      <c r="BS199" s="618"/>
    </row>
    <row r="200" spans="1:71" ht="15.75">
      <c r="A200" s="766" t="s">
        <v>3815</v>
      </c>
      <c r="B200" s="767" t="s">
        <v>3816</v>
      </c>
      <c r="C200" s="768">
        <v>6162</v>
      </c>
      <c r="D200" s="769">
        <v>0</v>
      </c>
      <c r="E200" s="770">
        <v>0</v>
      </c>
      <c r="F200" s="771">
        <v>0</v>
      </c>
      <c r="G200" s="770">
        <v>0</v>
      </c>
      <c r="H200" s="771">
        <v>0</v>
      </c>
      <c r="I200" s="770">
        <f t="shared" si="140"/>
        <v>0</v>
      </c>
      <c r="J200" s="772">
        <f t="shared" si="107"/>
        <v>0</v>
      </c>
      <c r="K200" s="773">
        <v>1188</v>
      </c>
      <c r="L200" s="774">
        <f t="shared" si="108"/>
        <v>4.2875409761518167E-4</v>
      </c>
      <c r="M200" s="775">
        <f t="shared" si="141"/>
        <v>35981.918530225179</v>
      </c>
      <c r="N200" s="806">
        <v>230</v>
      </c>
      <c r="O200" s="777">
        <f t="shared" si="109"/>
        <v>2.6156664775046998E-4</v>
      </c>
      <c r="P200" s="778">
        <f t="shared" si="110"/>
        <v>21951.206675180852</v>
      </c>
      <c r="Q200" s="786">
        <f t="shared" si="144"/>
        <v>57933.125205406031</v>
      </c>
      <c r="R200" s="692">
        <f t="shared" si="145"/>
        <v>9.4016756256744607</v>
      </c>
      <c r="S200" s="807">
        <v>21866417.460000001</v>
      </c>
      <c r="T200" s="782">
        <f t="shared" ref="T200:T263" si="152">C200*C200/S200</f>
        <v>1.7364638752305244</v>
      </c>
      <c r="U200" s="777">
        <f t="shared" si="111"/>
        <v>9.4389436483103932E-4</v>
      </c>
      <c r="V200" s="783">
        <f t="shared" si="146"/>
        <v>3548.590954235638</v>
      </c>
      <c r="W200" s="778">
        <f t="shared" si="112"/>
        <v>376264.31804534409</v>
      </c>
      <c r="X200" s="784">
        <v>3693487.6047999999</v>
      </c>
      <c r="Y200" s="782">
        <f t="shared" ref="Y200:Y263" si="153">C200*C200/X200</f>
        <v>10.280322573887741</v>
      </c>
      <c r="Z200" s="782">
        <f t="shared" si="113"/>
        <v>1.587297706948028E-3</v>
      </c>
      <c r="AA200" s="783">
        <f t="shared" si="147"/>
        <v>599.39753404738724</v>
      </c>
      <c r="AB200" s="692">
        <f t="shared" si="114"/>
        <v>372985.9326323219</v>
      </c>
      <c r="AC200" s="786">
        <f t="shared" si="115"/>
        <v>749250.25067766593</v>
      </c>
      <c r="AD200" s="787">
        <f t="shared" si="148"/>
        <v>121.59205626057545</v>
      </c>
      <c r="AE200" s="788">
        <v>3132.8425000000002</v>
      </c>
      <c r="AF200" s="774">
        <f t="shared" si="116"/>
        <v>3.2584546084128067E-3</v>
      </c>
      <c r="AG200" s="692">
        <f t="shared" si="117"/>
        <v>410184.23697810585</v>
      </c>
      <c r="AH200" s="786">
        <f t="shared" si="118"/>
        <v>410184.23697810585</v>
      </c>
      <c r="AI200" s="692">
        <f t="shared" si="149"/>
        <v>66.566737581646521</v>
      </c>
      <c r="AJ200" s="789">
        <v>625</v>
      </c>
      <c r="AK200" s="777">
        <f t="shared" si="119"/>
        <v>8.3080105172766744E-4</v>
      </c>
      <c r="AL200" s="692">
        <f t="shared" si="120"/>
        <v>17430.629773782843</v>
      </c>
      <c r="AM200" s="790">
        <v>2.3333333333333335</v>
      </c>
      <c r="AN200" s="791">
        <f t="shared" si="121"/>
        <v>3.3694344163658226E-4</v>
      </c>
      <c r="AO200" s="778">
        <f t="shared" si="122"/>
        <v>21207.735740072192</v>
      </c>
      <c r="AP200" s="768">
        <v>60</v>
      </c>
      <c r="AQ200" s="792">
        <f t="shared" si="123"/>
        <v>8.1097519767520446E-4</v>
      </c>
      <c r="AR200" s="793">
        <f t="shared" si="124"/>
        <v>68058.692978306412</v>
      </c>
      <c r="AS200" s="794">
        <v>5.1388888888888893</v>
      </c>
      <c r="AT200" s="791">
        <f t="shared" si="125"/>
        <v>2.0609483704582538E-4</v>
      </c>
      <c r="AU200" s="795">
        <f t="shared" si="126"/>
        <v>17295.899158353241</v>
      </c>
      <c r="AV200" s="796">
        <v>36</v>
      </c>
      <c r="AW200" s="791">
        <f t="shared" si="127"/>
        <v>4.5843520782396088E-4</v>
      </c>
      <c r="AX200" s="795">
        <f t="shared" si="128"/>
        <v>28854.613386308069</v>
      </c>
      <c r="AY200" s="786">
        <f t="shared" si="129"/>
        <v>152847.57103682274</v>
      </c>
      <c r="AZ200" s="787">
        <f t="shared" si="150"/>
        <v>24.804863848883926</v>
      </c>
      <c r="BA200" s="797">
        <f t="shared" ref="BA200:BA263" si="154">I200+Q200+AC200+AH200+AY200</f>
        <v>1370215.1838980005</v>
      </c>
      <c r="BB200" s="775">
        <v>709754</v>
      </c>
      <c r="BC200" s="775">
        <f t="shared" si="130"/>
        <v>0</v>
      </c>
      <c r="BD200" s="775">
        <f t="shared" si="131"/>
        <v>660461.18389800051</v>
      </c>
      <c r="BE200" s="798">
        <f t="shared" si="132"/>
        <v>1.0276782445764164E-3</v>
      </c>
      <c r="BF200" s="775">
        <f t="shared" si="133"/>
        <v>-1360.5248297375779</v>
      </c>
      <c r="BG200" s="797">
        <f t="shared" si="134"/>
        <v>1368854.6590682629</v>
      </c>
      <c r="BH200" s="799">
        <v>6</v>
      </c>
      <c r="BI200" s="692">
        <f t="shared" si="143"/>
        <v>0</v>
      </c>
      <c r="BJ200" s="800">
        <v>1100</v>
      </c>
      <c r="BK200" s="778">
        <f t="shared" si="135"/>
        <v>0</v>
      </c>
      <c r="BL200" s="786">
        <f t="shared" si="142"/>
        <v>1368854.6590682629</v>
      </c>
      <c r="BM200" s="692">
        <f t="shared" si="136"/>
        <v>1368854.6590682629</v>
      </c>
      <c r="BN200" s="801">
        <f t="shared" si="137"/>
        <v>6.6884319161074866E-4</v>
      </c>
      <c r="BO200" s="787">
        <f t="shared" si="138"/>
        <v>3305.9790319302674</v>
      </c>
      <c r="BP200" s="802">
        <f t="shared" si="139"/>
        <v>1372161</v>
      </c>
      <c r="BQ200" s="803">
        <f t="shared" si="151"/>
        <v>222.68111002921128</v>
      </c>
      <c r="BR200" s="682"/>
      <c r="BS200" s="618"/>
    </row>
    <row r="201" spans="1:71" ht="15.75">
      <c r="A201" s="766" t="s">
        <v>3817</v>
      </c>
      <c r="B201" s="767" t="s">
        <v>3818</v>
      </c>
      <c r="C201" s="768">
        <v>34827</v>
      </c>
      <c r="D201" s="769">
        <v>0</v>
      </c>
      <c r="E201" s="770">
        <v>0</v>
      </c>
      <c r="F201" s="771">
        <v>0</v>
      </c>
      <c r="G201" s="770">
        <f>C201/($C$10+$C$60+$C$62+$C$67+$C$74+$C$80+$C$94+$C$105+$C$127+$C$141+$C$168+$C$175+$C$201+$C$219+$C$237+$C$255+$C$265+$C$267+$C$268+$C$273+$C$281)*$G$7</f>
        <v>2138829.2063636095</v>
      </c>
      <c r="H201" s="771">
        <v>0</v>
      </c>
      <c r="I201" s="770">
        <f t="shared" si="140"/>
        <v>2138829.2063636095</v>
      </c>
      <c r="J201" s="772">
        <f t="shared" ref="J201:J264" si="155">I201/C201</f>
        <v>61.412961390978538</v>
      </c>
      <c r="K201" s="773">
        <v>14368</v>
      </c>
      <c r="L201" s="774">
        <f t="shared" ref="L201:L264" si="156">K201/$K$7</f>
        <v>5.1854704331102102E-3</v>
      </c>
      <c r="M201" s="775">
        <f t="shared" si="141"/>
        <v>435175.25710629241</v>
      </c>
      <c r="N201" s="806">
        <v>7379.5</v>
      </c>
      <c r="O201" s="777">
        <f t="shared" ref="O201:O264" si="157">N201/$N$7</f>
        <v>8.3923090307591007E-3</v>
      </c>
      <c r="P201" s="778">
        <f t="shared" ref="P201:P264" si="158">$P$7*O201</f>
        <v>704299.69417172647</v>
      </c>
      <c r="Q201" s="786">
        <f t="shared" si="144"/>
        <v>1139474.9512780188</v>
      </c>
      <c r="R201" s="692">
        <f t="shared" si="145"/>
        <v>32.718148312459263</v>
      </c>
      <c r="S201" s="807">
        <v>120103622.22</v>
      </c>
      <c r="T201" s="782">
        <f t="shared" si="152"/>
        <v>10.098945448774492</v>
      </c>
      <c r="U201" s="777">
        <f t="shared" ref="U201:U264" si="159">T201/$T$7</f>
        <v>5.4895110896383305E-3</v>
      </c>
      <c r="V201" s="783">
        <f t="shared" si="146"/>
        <v>3448.5778912912397</v>
      </c>
      <c r="W201" s="778">
        <f t="shared" ref="W201:W264" si="160">$W$7*U201</f>
        <v>2188282.10391409</v>
      </c>
      <c r="X201" s="784">
        <v>34208446.507299997</v>
      </c>
      <c r="Y201" s="782">
        <f t="shared" si="153"/>
        <v>35.45673811119034</v>
      </c>
      <c r="Z201" s="782">
        <f t="shared" ref="Z201:Z264" si="161">Y201/$Y$7</f>
        <v>5.4745752086323343E-3</v>
      </c>
      <c r="AA201" s="783">
        <f t="shared" si="147"/>
        <v>982.23925423665537</v>
      </c>
      <c r="AB201" s="692">
        <f t="shared" ref="AB201:AB264" si="162">$AB$7*Z201</f>
        <v>1286425.0549971831</v>
      </c>
      <c r="AC201" s="786">
        <f t="shared" ref="AC201:AC264" si="163">W201+AB201</f>
        <v>3474707.1589112729</v>
      </c>
      <c r="AD201" s="787">
        <f t="shared" si="148"/>
        <v>99.770498719708073</v>
      </c>
      <c r="AE201" s="788">
        <v>8255.5720999999994</v>
      </c>
      <c r="AF201" s="774">
        <f t="shared" ref="AF201:AF264" si="164">AE201/$AE$7</f>
        <v>8.5865813408523371E-3</v>
      </c>
      <c r="AG201" s="692">
        <f t="shared" ref="AG201:AG264" si="165">$AG$7*AF201</f>
        <v>1080905.1341253952</v>
      </c>
      <c r="AH201" s="786">
        <f t="shared" ref="AH201:AH264" si="166">AG201</f>
        <v>1080905.1341253952</v>
      </c>
      <c r="AI201" s="692">
        <f t="shared" si="149"/>
        <v>31.036412384799014</v>
      </c>
      <c r="AJ201" s="789">
        <v>3640</v>
      </c>
      <c r="AK201" s="777">
        <f t="shared" ref="AK201:AK264" si="167">AJ201/$AJ$7</f>
        <v>4.8385853252619349E-3</v>
      </c>
      <c r="AL201" s="692">
        <f t="shared" ref="AL201:AL264" si="168">AK201*$AL$7</f>
        <v>101515.98780251127</v>
      </c>
      <c r="AM201" s="790">
        <v>15.666666666666666</v>
      </c>
      <c r="AN201" s="791">
        <f t="shared" ref="AN201:AN264" si="169">AM201/$AM$7</f>
        <v>2.2623345367027664E-3</v>
      </c>
      <c r="AO201" s="778">
        <f t="shared" ref="AO201:AO264" si="170">AN201*$AO$7</f>
        <v>142394.79711191327</v>
      </c>
      <c r="AP201" s="768">
        <v>385</v>
      </c>
      <c r="AQ201" s="792">
        <f t="shared" ref="AQ201:AQ264" si="171">AP201/$AP$7</f>
        <v>5.2037575184158951E-3</v>
      </c>
      <c r="AR201" s="793">
        <f t="shared" ref="AR201:AR264" si="172">AQ201*$AR$7</f>
        <v>436709.94661079947</v>
      </c>
      <c r="AS201" s="794">
        <v>82</v>
      </c>
      <c r="AT201" s="791">
        <f t="shared" ref="AT201:AT264" si="173">AS201/$AS$7</f>
        <v>3.2886051835636565E-3</v>
      </c>
      <c r="AU201" s="795">
        <f t="shared" ref="AU201:AU264" si="174">$AU$7*AT201</f>
        <v>275986.45575923653</v>
      </c>
      <c r="AV201" s="796">
        <v>152</v>
      </c>
      <c r="AW201" s="791">
        <f t="shared" ref="AW201:AW264" si="175">AV201/$AV$7</f>
        <v>1.9356153219233904E-3</v>
      </c>
      <c r="AX201" s="795">
        <f t="shared" ref="AX201:AX264" si="176">AW201*$AX$7</f>
        <v>121830.58985330074</v>
      </c>
      <c r="AY201" s="786">
        <f t="shared" ref="AY201:AY264" si="177">AX201+AU201+AR201+AO201+AL201</f>
        <v>1078437.7771377615</v>
      </c>
      <c r="AZ201" s="787">
        <f t="shared" si="150"/>
        <v>30.965566288734646</v>
      </c>
      <c r="BA201" s="797">
        <f t="shared" si="154"/>
        <v>8912354.2278160583</v>
      </c>
      <c r="BB201" s="775">
        <v>5741649</v>
      </c>
      <c r="BC201" s="775">
        <f t="shared" ref="BC201:BC264" si="178">IF(BA201&gt;BB201,0,BB201-BA201)</f>
        <v>0</v>
      </c>
      <c r="BD201" s="775">
        <f t="shared" ref="BD201:BD264" si="179">IF(BA201&lt;BB201,0,BA201-BB201)</f>
        <v>3170705.2278160583</v>
      </c>
      <c r="BE201" s="798">
        <f t="shared" ref="BE201:BE264" si="180">BD201/$BD$7</f>
        <v>4.9336204186293253E-3</v>
      </c>
      <c r="BF201" s="775">
        <f t="shared" ref="BF201:BF264" si="181">$BF$7*BE201</f>
        <v>-6531.5317468962776</v>
      </c>
      <c r="BG201" s="797">
        <f t="shared" ref="BG201:BG264" si="182">BA201+BC201+BF201</f>
        <v>8905822.6960691623</v>
      </c>
      <c r="BH201" s="799">
        <v>7.7</v>
      </c>
      <c r="BI201" s="692">
        <f t="shared" si="143"/>
        <v>0</v>
      </c>
      <c r="BJ201" s="800">
        <v>1200</v>
      </c>
      <c r="BK201" s="778">
        <f t="shared" ref="BK201:BK264" si="183">IF(BJ201&gt;=700,0,BG201*(700-BJ201)/700*-0.25)</f>
        <v>0</v>
      </c>
      <c r="BL201" s="786">
        <f t="shared" si="142"/>
        <v>8905822.6960691623</v>
      </c>
      <c r="BM201" s="692">
        <f t="shared" ref="BM201:BM264" si="184">IF(BH201&lt;5,0,IF(BJ201&lt;700,0,IF(BC201&lt;&gt;0,0,BL201)))</f>
        <v>8905822.6960691623</v>
      </c>
      <c r="BN201" s="801">
        <f t="shared" ref="BN201:BN264" si="185">BM201/$BM$7</f>
        <v>4.3515203286905672E-3</v>
      </c>
      <c r="BO201" s="787">
        <f t="shared" ref="BO201:BO264" si="186">$BO$7*BN201</f>
        <v>21508.830685745637</v>
      </c>
      <c r="BP201" s="802">
        <f t="shared" ref="BP201:BP264" si="187">ROUND(BG201+BI201+BO201,0)</f>
        <v>8927332</v>
      </c>
      <c r="BQ201" s="803">
        <f t="shared" si="151"/>
        <v>256.33364918023375</v>
      </c>
      <c r="BR201" s="682"/>
      <c r="BS201" s="618"/>
    </row>
    <row r="202" spans="1:71" ht="15.75">
      <c r="A202" s="805" t="s">
        <v>3819</v>
      </c>
      <c r="B202" s="767" t="s">
        <v>3820</v>
      </c>
      <c r="C202" s="768">
        <v>10925</v>
      </c>
      <c r="D202" s="769">
        <v>0</v>
      </c>
      <c r="E202" s="770">
        <v>0</v>
      </c>
      <c r="F202" s="771">
        <v>0</v>
      </c>
      <c r="G202" s="770">
        <v>0</v>
      </c>
      <c r="H202" s="771">
        <v>0</v>
      </c>
      <c r="I202" s="770">
        <f t="shared" ref="I202:I265" si="188">SUM(D202:H202)</f>
        <v>0</v>
      </c>
      <c r="J202" s="772">
        <f t="shared" si="155"/>
        <v>0</v>
      </c>
      <c r="K202" s="773">
        <v>3485</v>
      </c>
      <c r="L202" s="774">
        <f t="shared" si="156"/>
        <v>1.2577508671623805E-3</v>
      </c>
      <c r="M202" s="775">
        <f t="shared" ref="M202:M265" si="189">$M$7*L202</f>
        <v>105553.01858403598</v>
      </c>
      <c r="N202" s="806">
        <v>326.5</v>
      </c>
      <c r="O202" s="777">
        <f t="shared" si="157"/>
        <v>3.7131091517621061E-4</v>
      </c>
      <c r="P202" s="778">
        <f t="shared" si="158"/>
        <v>31161.169475854553</v>
      </c>
      <c r="Q202" s="786">
        <f t="shared" si="144"/>
        <v>136714.18805989053</v>
      </c>
      <c r="R202" s="692">
        <f t="shared" si="145"/>
        <v>12.513884490607829</v>
      </c>
      <c r="S202" s="807">
        <v>29897878.600000005</v>
      </c>
      <c r="T202" s="782">
        <f t="shared" si="152"/>
        <v>3.9921101626253837</v>
      </c>
      <c r="U202" s="777">
        <f t="shared" si="159"/>
        <v>2.1700021175428052E-3</v>
      </c>
      <c r="V202" s="783">
        <f t="shared" si="146"/>
        <v>2736.6479267734558</v>
      </c>
      <c r="W202" s="778">
        <f t="shared" si="160"/>
        <v>865027.27141543198</v>
      </c>
      <c r="X202" s="784">
        <v>6756387.7400000002</v>
      </c>
      <c r="Y202" s="782">
        <f t="shared" si="153"/>
        <v>17.665597297410287</v>
      </c>
      <c r="Z202" s="782">
        <f t="shared" si="161"/>
        <v>2.7275955477574516E-3</v>
      </c>
      <c r="AA202" s="783">
        <f t="shared" si="147"/>
        <v>618.43366041189938</v>
      </c>
      <c r="AB202" s="692">
        <f t="shared" si="162"/>
        <v>640935.07145562372</v>
      </c>
      <c r="AC202" s="786">
        <f t="shared" si="163"/>
        <v>1505962.3428710557</v>
      </c>
      <c r="AD202" s="787">
        <f t="shared" si="148"/>
        <v>137.84552337492499</v>
      </c>
      <c r="AE202" s="788">
        <v>2726.5212999999999</v>
      </c>
      <c r="AF202" s="774">
        <f t="shared" si="164"/>
        <v>2.8358418576486613E-3</v>
      </c>
      <c r="AG202" s="692">
        <f t="shared" si="165"/>
        <v>356984.4507168979</v>
      </c>
      <c r="AH202" s="786">
        <f t="shared" si="166"/>
        <v>356984.4507168979</v>
      </c>
      <c r="AI202" s="692">
        <f t="shared" si="149"/>
        <v>32.675922262416286</v>
      </c>
      <c r="AJ202" s="789">
        <v>1585</v>
      </c>
      <c r="AK202" s="777">
        <f t="shared" si="167"/>
        <v>2.1069114671813647E-3</v>
      </c>
      <c r="AL202" s="692">
        <f t="shared" si="168"/>
        <v>44204.077106313292</v>
      </c>
      <c r="AM202" s="790">
        <v>7.666666666666667</v>
      </c>
      <c r="AN202" s="791">
        <f t="shared" si="169"/>
        <v>1.107099879663056E-3</v>
      </c>
      <c r="AO202" s="778">
        <f t="shared" si="170"/>
        <v>69682.560288808629</v>
      </c>
      <c r="AP202" s="768">
        <v>83</v>
      </c>
      <c r="AQ202" s="792">
        <f t="shared" si="171"/>
        <v>1.1218490234506996E-3</v>
      </c>
      <c r="AR202" s="793">
        <f t="shared" si="172"/>
        <v>94147.85861999054</v>
      </c>
      <c r="AS202" s="794">
        <v>21.222222222222225</v>
      </c>
      <c r="AT202" s="791">
        <f t="shared" si="173"/>
        <v>8.5111597569194916E-4</v>
      </c>
      <c r="AU202" s="795">
        <f t="shared" si="174"/>
        <v>71427.38895665879</v>
      </c>
      <c r="AV202" s="796">
        <v>27</v>
      </c>
      <c r="AW202" s="791">
        <f t="shared" si="175"/>
        <v>3.4382640586797067E-4</v>
      </c>
      <c r="AX202" s="795">
        <f t="shared" si="176"/>
        <v>21640.960039731053</v>
      </c>
      <c r="AY202" s="786">
        <f t="shared" si="177"/>
        <v>301102.84501150233</v>
      </c>
      <c r="AZ202" s="787">
        <f t="shared" si="150"/>
        <v>27.560901145217606</v>
      </c>
      <c r="BA202" s="797">
        <f t="shared" si="154"/>
        <v>2300763.8266593465</v>
      </c>
      <c r="BB202" s="775">
        <v>1524242</v>
      </c>
      <c r="BC202" s="775">
        <f t="shared" si="178"/>
        <v>0</v>
      </c>
      <c r="BD202" s="775">
        <f t="shared" si="179"/>
        <v>776521.82665934647</v>
      </c>
      <c r="BE202" s="798">
        <f t="shared" si="180"/>
        <v>1.2082687176053516E-3</v>
      </c>
      <c r="BF202" s="775">
        <f t="shared" si="181"/>
        <v>-1599.6053239161731</v>
      </c>
      <c r="BG202" s="797">
        <f t="shared" si="182"/>
        <v>2299164.2213354302</v>
      </c>
      <c r="BH202" s="799">
        <v>8</v>
      </c>
      <c r="BI202" s="692">
        <f t="shared" si="143"/>
        <v>0</v>
      </c>
      <c r="BJ202" s="800">
        <v>1800</v>
      </c>
      <c r="BK202" s="778">
        <f t="shared" si="183"/>
        <v>0</v>
      </c>
      <c r="BL202" s="786">
        <f t="shared" ref="BL202:BL265" si="190">BG202+BI202+BK202</f>
        <v>2299164.2213354302</v>
      </c>
      <c r="BM202" s="692">
        <f t="shared" si="184"/>
        <v>2299164.2213354302</v>
      </c>
      <c r="BN202" s="801">
        <f t="shared" si="185"/>
        <v>1.1234065834877973E-3</v>
      </c>
      <c r="BO202" s="787">
        <f t="shared" si="186"/>
        <v>5552.8091725040922</v>
      </c>
      <c r="BP202" s="802">
        <f t="shared" si="187"/>
        <v>2304717</v>
      </c>
      <c r="BQ202" s="803">
        <f t="shared" si="151"/>
        <v>210.95807780320365</v>
      </c>
      <c r="BR202" s="682"/>
      <c r="BS202" s="618"/>
    </row>
    <row r="203" spans="1:71" ht="15.75">
      <c r="A203" s="805" t="s">
        <v>3821</v>
      </c>
      <c r="B203" s="767" t="s">
        <v>3822</v>
      </c>
      <c r="C203" s="768">
        <v>25143</v>
      </c>
      <c r="D203" s="769">
        <v>0</v>
      </c>
      <c r="E203" s="770">
        <v>0</v>
      </c>
      <c r="F203" s="771">
        <v>0</v>
      </c>
      <c r="G203" s="770">
        <v>0</v>
      </c>
      <c r="H203" s="771">
        <v>0</v>
      </c>
      <c r="I203" s="770">
        <f t="shared" si="188"/>
        <v>0</v>
      </c>
      <c r="J203" s="772">
        <f t="shared" si="155"/>
        <v>0</v>
      </c>
      <c r="K203" s="773">
        <v>10838</v>
      </c>
      <c r="L203" s="774">
        <f t="shared" si="156"/>
        <v>3.9114788804321034E-3</v>
      </c>
      <c r="M203" s="775">
        <f t="shared" si="189"/>
        <v>328259.2870627782</v>
      </c>
      <c r="N203" s="806">
        <v>3314.5</v>
      </c>
      <c r="O203" s="777">
        <f t="shared" si="157"/>
        <v>3.7694028433431855E-3</v>
      </c>
      <c r="P203" s="778">
        <f t="shared" si="158"/>
        <v>316335.97619516053</v>
      </c>
      <c r="Q203" s="786">
        <f t="shared" si="144"/>
        <v>644595.26325793867</v>
      </c>
      <c r="R203" s="692">
        <f t="shared" si="145"/>
        <v>25.63716594113426</v>
      </c>
      <c r="S203" s="807">
        <v>106481918.24000001</v>
      </c>
      <c r="T203" s="782">
        <f t="shared" si="152"/>
        <v>5.936880734766147</v>
      </c>
      <c r="U203" s="777">
        <f t="shared" si="159"/>
        <v>3.2271263169674608E-3</v>
      </c>
      <c r="V203" s="783">
        <f t="shared" si="146"/>
        <v>4235.0522308395975</v>
      </c>
      <c r="W203" s="778">
        <f t="shared" si="160"/>
        <v>1286428.3633235807</v>
      </c>
      <c r="X203" s="784">
        <v>35781094.420000002</v>
      </c>
      <c r="Y203" s="782">
        <f t="shared" si="153"/>
        <v>17.667722557045252</v>
      </c>
      <c r="Z203" s="782">
        <f t="shared" si="161"/>
        <v>2.7279236911324288E-3</v>
      </c>
      <c r="AA203" s="783">
        <f t="shared" si="147"/>
        <v>1423.1036240703179</v>
      </c>
      <c r="AB203" s="692">
        <f t="shared" si="162"/>
        <v>641012.17914765736</v>
      </c>
      <c r="AC203" s="786">
        <f t="shared" si="163"/>
        <v>1927440.5424712379</v>
      </c>
      <c r="AD203" s="787">
        <f t="shared" si="148"/>
        <v>76.65913146685908</v>
      </c>
      <c r="AE203" s="788">
        <v>187.10210000000001</v>
      </c>
      <c r="AF203" s="774">
        <f t="shared" si="164"/>
        <v>1.9460400578347423E-4</v>
      </c>
      <c r="AG203" s="692">
        <f t="shared" si="165"/>
        <v>24497.347736281434</v>
      </c>
      <c r="AH203" s="786">
        <f t="shared" si="166"/>
        <v>24497.347736281434</v>
      </c>
      <c r="AI203" s="692">
        <f t="shared" si="149"/>
        <v>0.97432079450667919</v>
      </c>
      <c r="AJ203" s="789">
        <v>2177</v>
      </c>
      <c r="AK203" s="777">
        <f t="shared" si="167"/>
        <v>2.8938462233778113E-3</v>
      </c>
      <c r="AL203" s="692">
        <f t="shared" si="168"/>
        <v>60714.369628040404</v>
      </c>
      <c r="AM203" s="790">
        <v>20.666666666666668</v>
      </c>
      <c r="AN203" s="791">
        <f t="shared" si="169"/>
        <v>2.9843561973525857E-3</v>
      </c>
      <c r="AO203" s="778">
        <f t="shared" si="170"/>
        <v>187839.9451263537</v>
      </c>
      <c r="AP203" s="768">
        <v>220</v>
      </c>
      <c r="AQ203" s="792">
        <f t="shared" si="171"/>
        <v>2.973575724809083E-3</v>
      </c>
      <c r="AR203" s="793">
        <f t="shared" si="172"/>
        <v>249548.54092045684</v>
      </c>
      <c r="AS203" s="794">
        <v>127.52777777777777</v>
      </c>
      <c r="AT203" s="791">
        <f t="shared" si="173"/>
        <v>5.1144940371750493E-3</v>
      </c>
      <c r="AU203" s="795">
        <f t="shared" si="174"/>
        <v>429218.77316756599</v>
      </c>
      <c r="AV203" s="796">
        <v>120</v>
      </c>
      <c r="AW203" s="791">
        <f t="shared" si="175"/>
        <v>1.528117359413203E-3</v>
      </c>
      <c r="AX203" s="795">
        <f t="shared" si="176"/>
        <v>96182.0446210269</v>
      </c>
      <c r="AY203" s="786">
        <f t="shared" si="177"/>
        <v>1023503.6734634438</v>
      </c>
      <c r="AZ203" s="787">
        <f t="shared" si="150"/>
        <v>40.707301175812105</v>
      </c>
      <c r="BA203" s="797">
        <f t="shared" si="154"/>
        <v>3620036.826928902</v>
      </c>
      <c r="BB203" s="775">
        <v>3903349</v>
      </c>
      <c r="BC203" s="775">
        <f t="shared" si="178"/>
        <v>283312.17307109805</v>
      </c>
      <c r="BD203" s="775">
        <f t="shared" si="179"/>
        <v>0</v>
      </c>
      <c r="BE203" s="798">
        <f t="shared" si="180"/>
        <v>0</v>
      </c>
      <c r="BF203" s="775">
        <f t="shared" si="181"/>
        <v>0</v>
      </c>
      <c r="BG203" s="797">
        <f t="shared" si="182"/>
        <v>3903349</v>
      </c>
      <c r="BH203" s="799">
        <v>7.2</v>
      </c>
      <c r="BI203" s="692">
        <f t="shared" si="143"/>
        <v>0</v>
      </c>
      <c r="BJ203" s="800">
        <v>1125</v>
      </c>
      <c r="BK203" s="778">
        <f t="shared" si="183"/>
        <v>0</v>
      </c>
      <c r="BL203" s="786">
        <f t="shared" si="190"/>
        <v>3903349</v>
      </c>
      <c r="BM203" s="692">
        <f t="shared" si="184"/>
        <v>0</v>
      </c>
      <c r="BN203" s="801">
        <f t="shared" si="185"/>
        <v>0</v>
      </c>
      <c r="BO203" s="787">
        <f t="shared" si="186"/>
        <v>0</v>
      </c>
      <c r="BP203" s="802">
        <f t="shared" si="187"/>
        <v>3903349</v>
      </c>
      <c r="BQ203" s="803">
        <f t="shared" si="151"/>
        <v>155.24595314799348</v>
      </c>
      <c r="BR203" s="682"/>
      <c r="BS203" s="618"/>
    </row>
    <row r="204" spans="1:71" ht="15.75">
      <c r="A204" s="766" t="s">
        <v>3823</v>
      </c>
      <c r="B204" s="767" t="s">
        <v>3824</v>
      </c>
      <c r="C204" s="768">
        <v>11351</v>
      </c>
      <c r="D204" s="769">
        <v>0</v>
      </c>
      <c r="E204" s="770">
        <v>0</v>
      </c>
      <c r="F204" s="771">
        <v>0</v>
      </c>
      <c r="G204" s="770">
        <v>0</v>
      </c>
      <c r="H204" s="771">
        <v>0</v>
      </c>
      <c r="I204" s="770">
        <f t="shared" si="188"/>
        <v>0</v>
      </c>
      <c r="J204" s="772">
        <f t="shared" si="155"/>
        <v>0</v>
      </c>
      <c r="K204" s="773">
        <v>7294</v>
      </c>
      <c r="L204" s="774">
        <f t="shared" si="156"/>
        <v>2.6324346700379924E-3</v>
      </c>
      <c r="M204" s="775">
        <f t="shared" si="189"/>
        <v>220919.2876763152</v>
      </c>
      <c r="N204" s="806">
        <v>200.5</v>
      </c>
      <c r="O204" s="777">
        <f t="shared" si="157"/>
        <v>2.2801788206073577E-4</v>
      </c>
      <c r="P204" s="778">
        <f t="shared" si="158"/>
        <v>19135.725819016348</v>
      </c>
      <c r="Q204" s="786">
        <f t="shared" si="144"/>
        <v>240055.01349533154</v>
      </c>
      <c r="R204" s="692">
        <f t="shared" si="145"/>
        <v>21.148358161865168</v>
      </c>
      <c r="S204" s="807">
        <v>47779804.420000002</v>
      </c>
      <c r="T204" s="782">
        <f t="shared" si="152"/>
        <v>2.696645634364863</v>
      </c>
      <c r="U204" s="777">
        <f t="shared" si="159"/>
        <v>1.4658229604029682E-3</v>
      </c>
      <c r="V204" s="783">
        <f t="shared" si="146"/>
        <v>4209.3035344903537</v>
      </c>
      <c r="W204" s="778">
        <f t="shared" si="160"/>
        <v>584320.55230031745</v>
      </c>
      <c r="X204" s="784">
        <v>13693175.250700001</v>
      </c>
      <c r="Y204" s="782">
        <f t="shared" si="153"/>
        <v>9.4094465776601659</v>
      </c>
      <c r="Z204" s="782">
        <f t="shared" si="161"/>
        <v>1.452833106064853E-3</v>
      </c>
      <c r="AA204" s="783">
        <f t="shared" si="147"/>
        <v>1206.3408731125012</v>
      </c>
      <c r="AB204" s="692">
        <f t="shared" si="162"/>
        <v>341389.21051339677</v>
      </c>
      <c r="AC204" s="786">
        <f t="shared" si="163"/>
        <v>925709.76281371422</v>
      </c>
      <c r="AD204" s="787">
        <f t="shared" si="148"/>
        <v>81.553146226210401</v>
      </c>
      <c r="AE204" s="788">
        <v>2427.9814999999999</v>
      </c>
      <c r="AF204" s="774">
        <f t="shared" si="164"/>
        <v>2.5253320292405504E-3</v>
      </c>
      <c r="AG204" s="692">
        <f t="shared" si="165"/>
        <v>317896.52335680998</v>
      </c>
      <c r="AH204" s="786">
        <f t="shared" si="166"/>
        <v>317896.52335680998</v>
      </c>
      <c r="AI204" s="692">
        <f t="shared" si="149"/>
        <v>28.006036768285611</v>
      </c>
      <c r="AJ204" s="789">
        <v>1127</v>
      </c>
      <c r="AK204" s="777">
        <f t="shared" si="167"/>
        <v>1.4981004564753298E-3</v>
      </c>
      <c r="AL204" s="692">
        <f t="shared" si="168"/>
        <v>31430.911608085222</v>
      </c>
      <c r="AM204" s="790">
        <v>5.666666666666667</v>
      </c>
      <c r="AN204" s="791">
        <f t="shared" si="169"/>
        <v>8.1829121540312835E-4</v>
      </c>
      <c r="AO204" s="778">
        <f t="shared" si="170"/>
        <v>51504.501083032468</v>
      </c>
      <c r="AP204" s="768">
        <v>64</v>
      </c>
      <c r="AQ204" s="792">
        <f t="shared" si="171"/>
        <v>8.6504021085355139E-4</v>
      </c>
      <c r="AR204" s="793">
        <f t="shared" si="172"/>
        <v>72595.939176860178</v>
      </c>
      <c r="AS204" s="794">
        <v>16.25</v>
      </c>
      <c r="AT204" s="791">
        <f t="shared" si="173"/>
        <v>6.5170529552328557E-4</v>
      </c>
      <c r="AU204" s="795">
        <f t="shared" si="174"/>
        <v>54692.437879116995</v>
      </c>
      <c r="AV204" s="796">
        <v>36</v>
      </c>
      <c r="AW204" s="791">
        <f t="shared" si="175"/>
        <v>4.5843520782396088E-4</v>
      </c>
      <c r="AX204" s="795">
        <f t="shared" si="176"/>
        <v>28854.613386308069</v>
      </c>
      <c r="AY204" s="786">
        <f t="shared" si="177"/>
        <v>239078.40313340293</v>
      </c>
      <c r="AZ204" s="787">
        <f t="shared" si="150"/>
        <v>21.062320776442863</v>
      </c>
      <c r="BA204" s="797">
        <f t="shared" si="154"/>
        <v>1722739.7027992588</v>
      </c>
      <c r="BB204" s="775">
        <v>1369118</v>
      </c>
      <c r="BC204" s="775">
        <f t="shared" si="178"/>
        <v>0</v>
      </c>
      <c r="BD204" s="775">
        <f t="shared" si="179"/>
        <v>353621.70279925875</v>
      </c>
      <c r="BE204" s="798">
        <f t="shared" si="180"/>
        <v>5.502357135237628E-4</v>
      </c>
      <c r="BF204" s="775">
        <f t="shared" si="181"/>
        <v>-728.44721040680429</v>
      </c>
      <c r="BG204" s="797">
        <f t="shared" si="182"/>
        <v>1722011.2555888519</v>
      </c>
      <c r="BH204" s="799">
        <v>6.9</v>
      </c>
      <c r="BI204" s="692">
        <f t="shared" ref="BI204:BI267" si="191">IF(BH204&gt;=5,0,BG204*(5-BH204)/5*-0.25)</f>
        <v>0</v>
      </c>
      <c r="BJ204" s="800">
        <v>1150</v>
      </c>
      <c r="BK204" s="778">
        <f t="shared" si="183"/>
        <v>0</v>
      </c>
      <c r="BL204" s="786">
        <f t="shared" si="190"/>
        <v>1722011.2555888519</v>
      </c>
      <c r="BM204" s="692">
        <f t="shared" si="184"/>
        <v>1722011.2555888519</v>
      </c>
      <c r="BN204" s="801">
        <f t="shared" si="185"/>
        <v>8.4140087228957148E-4</v>
      </c>
      <c r="BO204" s="787">
        <f t="shared" si="186"/>
        <v>4158.902529213482</v>
      </c>
      <c r="BP204" s="802">
        <f t="shared" si="187"/>
        <v>1726170</v>
      </c>
      <c r="BQ204" s="803">
        <f t="shared" si="151"/>
        <v>152.07206413531847</v>
      </c>
      <c r="BR204" s="682"/>
      <c r="BS204" s="618"/>
    </row>
    <row r="205" spans="1:71" ht="15.75">
      <c r="A205" s="805" t="s">
        <v>3825</v>
      </c>
      <c r="B205" s="767" t="s">
        <v>3826</v>
      </c>
      <c r="C205" s="768">
        <v>16686</v>
      </c>
      <c r="D205" s="769">
        <v>0</v>
      </c>
      <c r="E205" s="770">
        <v>0</v>
      </c>
      <c r="F205" s="771">
        <v>0</v>
      </c>
      <c r="G205" s="770">
        <v>0</v>
      </c>
      <c r="H205" s="771">
        <v>0</v>
      </c>
      <c r="I205" s="770">
        <f t="shared" si="188"/>
        <v>0</v>
      </c>
      <c r="J205" s="772">
        <f t="shared" si="155"/>
        <v>0</v>
      </c>
      <c r="K205" s="773">
        <v>4717</v>
      </c>
      <c r="L205" s="774">
        <f t="shared" si="156"/>
        <v>1.7023847461707169E-3</v>
      </c>
      <c r="M205" s="775">
        <f t="shared" si="189"/>
        <v>142867.60076352875</v>
      </c>
      <c r="N205" s="806">
        <v>2166.5</v>
      </c>
      <c r="O205" s="777">
        <f t="shared" si="157"/>
        <v>2.4638440971799704E-3</v>
      </c>
      <c r="P205" s="778">
        <f t="shared" si="158"/>
        <v>206770.82287730137</v>
      </c>
      <c r="Q205" s="786">
        <f t="shared" si="144"/>
        <v>349638.42364083009</v>
      </c>
      <c r="R205" s="692">
        <f t="shared" si="145"/>
        <v>20.953998779865163</v>
      </c>
      <c r="S205" s="807">
        <v>43556688.040000007</v>
      </c>
      <c r="T205" s="782">
        <f t="shared" si="152"/>
        <v>6.392189317615526</v>
      </c>
      <c r="U205" s="777">
        <f t="shared" si="159"/>
        <v>3.4746196347041638E-3</v>
      </c>
      <c r="V205" s="783">
        <f t="shared" si="146"/>
        <v>2610.373249430661</v>
      </c>
      <c r="W205" s="778">
        <f t="shared" si="160"/>
        <v>1385086.547850034</v>
      </c>
      <c r="X205" s="784">
        <v>12453822.956700001</v>
      </c>
      <c r="Y205" s="782">
        <f t="shared" si="153"/>
        <v>22.356395860775596</v>
      </c>
      <c r="Z205" s="782">
        <f t="shared" si="161"/>
        <v>3.4518621016394373E-3</v>
      </c>
      <c r="AA205" s="783">
        <f t="shared" si="147"/>
        <v>746.36359563106805</v>
      </c>
      <c r="AB205" s="692">
        <f t="shared" si="162"/>
        <v>811124.466231153</v>
      </c>
      <c r="AC205" s="786">
        <f t="shared" si="163"/>
        <v>2196211.0140811871</v>
      </c>
      <c r="AD205" s="787">
        <f t="shared" si="148"/>
        <v>131.6199816661385</v>
      </c>
      <c r="AE205" s="788">
        <v>3052.5342000000001</v>
      </c>
      <c r="AF205" s="774">
        <f t="shared" si="164"/>
        <v>3.1749263269148387E-3</v>
      </c>
      <c r="AG205" s="692">
        <f t="shared" si="165"/>
        <v>399669.44130660029</v>
      </c>
      <c r="AH205" s="786">
        <f t="shared" si="166"/>
        <v>399669.44130660029</v>
      </c>
      <c r="AI205" s="692">
        <f t="shared" si="149"/>
        <v>23.952381715605913</v>
      </c>
      <c r="AJ205" s="789">
        <v>1737</v>
      </c>
      <c r="AK205" s="777">
        <f t="shared" si="167"/>
        <v>2.3089622829615335E-3</v>
      </c>
      <c r="AL205" s="692">
        <f t="shared" si="168"/>
        <v>48443.206267297282</v>
      </c>
      <c r="AM205" s="790">
        <v>12.666666666666666</v>
      </c>
      <c r="AN205" s="791">
        <f t="shared" si="169"/>
        <v>1.8291215403128749E-3</v>
      </c>
      <c r="AO205" s="778">
        <f t="shared" si="170"/>
        <v>115127.70830324902</v>
      </c>
      <c r="AP205" s="768">
        <v>171</v>
      </c>
      <c r="AQ205" s="792">
        <f t="shared" si="171"/>
        <v>2.3112793133743328E-3</v>
      </c>
      <c r="AR205" s="793">
        <f t="shared" si="172"/>
        <v>193967.2749881733</v>
      </c>
      <c r="AS205" s="794">
        <v>23.777777777777782</v>
      </c>
      <c r="AT205" s="791">
        <f t="shared" si="173"/>
        <v>9.5360638114176503E-4</v>
      </c>
      <c r="AU205" s="795">
        <f t="shared" si="174"/>
        <v>80028.592862434452</v>
      </c>
      <c r="AV205" s="796">
        <v>63</v>
      </c>
      <c r="AW205" s="791">
        <f t="shared" si="175"/>
        <v>8.0226161369193155E-4</v>
      </c>
      <c r="AX205" s="795">
        <f t="shared" si="176"/>
        <v>50495.573426039118</v>
      </c>
      <c r="AY205" s="786">
        <f t="shared" si="177"/>
        <v>488062.35584719316</v>
      </c>
      <c r="AZ205" s="787">
        <f t="shared" si="150"/>
        <v>29.249811569411072</v>
      </c>
      <c r="BA205" s="797">
        <f t="shared" si="154"/>
        <v>3433581.2348758103</v>
      </c>
      <c r="BB205" s="775">
        <v>2188589</v>
      </c>
      <c r="BC205" s="775">
        <f t="shared" si="178"/>
        <v>0</v>
      </c>
      <c r="BD205" s="775">
        <f t="shared" si="179"/>
        <v>1244992.2348758103</v>
      </c>
      <c r="BE205" s="798">
        <f t="shared" si="180"/>
        <v>1.9372091284717142E-3</v>
      </c>
      <c r="BF205" s="775">
        <f t="shared" si="181"/>
        <v>-2564.6364838309864</v>
      </c>
      <c r="BG205" s="797">
        <f t="shared" si="182"/>
        <v>3431016.5983919795</v>
      </c>
      <c r="BH205" s="799">
        <v>7</v>
      </c>
      <c r="BI205" s="692">
        <f t="shared" si="191"/>
        <v>0</v>
      </c>
      <c r="BJ205" s="800">
        <v>1250</v>
      </c>
      <c r="BK205" s="778">
        <f t="shared" si="183"/>
        <v>0</v>
      </c>
      <c r="BL205" s="786">
        <f t="shared" si="190"/>
        <v>3431016.5983919795</v>
      </c>
      <c r="BM205" s="692">
        <f t="shared" si="184"/>
        <v>3431016.5983919795</v>
      </c>
      <c r="BN205" s="801">
        <f t="shared" si="185"/>
        <v>1.6764468579154733E-3</v>
      </c>
      <c r="BO205" s="787">
        <f t="shared" si="186"/>
        <v>8286.3939260062398</v>
      </c>
      <c r="BP205" s="802">
        <f t="shared" si="187"/>
        <v>3439303</v>
      </c>
      <c r="BQ205" s="803">
        <f t="shared" si="151"/>
        <v>206.11908186503655</v>
      </c>
      <c r="BR205" s="682"/>
      <c r="BS205" s="618"/>
    </row>
    <row r="206" spans="1:71" ht="15.75">
      <c r="A206" s="766" t="s">
        <v>3827</v>
      </c>
      <c r="B206" s="767" t="s">
        <v>3828</v>
      </c>
      <c r="C206" s="768">
        <v>11908</v>
      </c>
      <c r="D206" s="769">
        <v>0</v>
      </c>
      <c r="E206" s="770">
        <v>0</v>
      </c>
      <c r="F206" s="771">
        <v>0</v>
      </c>
      <c r="G206" s="770">
        <v>0</v>
      </c>
      <c r="H206" s="771">
        <v>0</v>
      </c>
      <c r="I206" s="770">
        <f t="shared" si="188"/>
        <v>0</v>
      </c>
      <c r="J206" s="772">
        <f t="shared" si="155"/>
        <v>0</v>
      </c>
      <c r="K206" s="773">
        <v>3633</v>
      </c>
      <c r="L206" s="774">
        <f t="shared" si="156"/>
        <v>1.3111646773029924E-3</v>
      </c>
      <c r="M206" s="775">
        <f t="shared" si="189"/>
        <v>110035.61449520882</v>
      </c>
      <c r="N206" s="806">
        <v>45</v>
      </c>
      <c r="O206" s="777">
        <f t="shared" si="157"/>
        <v>5.1176083255526733E-5</v>
      </c>
      <c r="P206" s="778">
        <f t="shared" si="158"/>
        <v>4294.8013060136445</v>
      </c>
      <c r="Q206" s="786">
        <f t="shared" si="144"/>
        <v>114330.41580122247</v>
      </c>
      <c r="R206" s="692">
        <f t="shared" si="145"/>
        <v>9.6011434162934552</v>
      </c>
      <c r="S206" s="807">
        <v>46968463.350000009</v>
      </c>
      <c r="T206" s="782">
        <f t="shared" si="152"/>
        <v>3.0190569136428853</v>
      </c>
      <c r="U206" s="777">
        <f t="shared" si="159"/>
        <v>1.641076931423869E-3</v>
      </c>
      <c r="V206" s="783">
        <f t="shared" si="146"/>
        <v>3944.2780777628491</v>
      </c>
      <c r="W206" s="778">
        <f t="shared" si="160"/>
        <v>654181.98843964818</v>
      </c>
      <c r="X206" s="784">
        <v>8660781.3861999996</v>
      </c>
      <c r="Y206" s="782">
        <f t="shared" si="153"/>
        <v>16.372710229811759</v>
      </c>
      <c r="Z206" s="782">
        <f t="shared" si="161"/>
        <v>2.5279717846904705E-3</v>
      </c>
      <c r="AA206" s="783">
        <f t="shared" si="147"/>
        <v>727.30780871682896</v>
      </c>
      <c r="AB206" s="692">
        <f t="shared" si="162"/>
        <v>594027.13785426214</v>
      </c>
      <c r="AC206" s="786">
        <f t="shared" si="163"/>
        <v>1248209.1262939102</v>
      </c>
      <c r="AD206" s="787">
        <f t="shared" si="148"/>
        <v>104.82105528165185</v>
      </c>
      <c r="AE206" s="788">
        <v>3944.1803</v>
      </c>
      <c r="AF206" s="774">
        <f t="shared" si="164"/>
        <v>4.1023232016757965E-3</v>
      </c>
      <c r="AG206" s="692">
        <f t="shared" si="165"/>
        <v>516412.99773594638</v>
      </c>
      <c r="AH206" s="786">
        <f t="shared" si="166"/>
        <v>516412.99773594638</v>
      </c>
      <c r="AI206" s="692">
        <f t="shared" si="149"/>
        <v>43.366896014103659</v>
      </c>
      <c r="AJ206" s="789">
        <v>1389</v>
      </c>
      <c r="AK206" s="777">
        <f t="shared" si="167"/>
        <v>1.8463722573595681E-3</v>
      </c>
      <c r="AL206" s="692">
        <f t="shared" si="168"/>
        <v>38737.831609254994</v>
      </c>
      <c r="AM206" s="790">
        <v>5.333333333333333</v>
      </c>
      <c r="AN206" s="791">
        <f t="shared" si="169"/>
        <v>7.7015643802647363E-4</v>
      </c>
      <c r="AO206" s="778">
        <f t="shared" si="170"/>
        <v>48474.824548736433</v>
      </c>
      <c r="AP206" s="768">
        <v>73</v>
      </c>
      <c r="AQ206" s="792">
        <f t="shared" si="171"/>
        <v>9.8668649050483214E-4</v>
      </c>
      <c r="AR206" s="793">
        <f t="shared" si="172"/>
        <v>82804.743123606138</v>
      </c>
      <c r="AS206" s="794">
        <v>24.805555555555554</v>
      </c>
      <c r="AT206" s="791">
        <f t="shared" si="173"/>
        <v>9.9482534855092983E-4</v>
      </c>
      <c r="AU206" s="795">
        <f t="shared" si="174"/>
        <v>83487.772694105079</v>
      </c>
      <c r="AV206" s="796">
        <v>37</v>
      </c>
      <c r="AW206" s="791">
        <f t="shared" si="175"/>
        <v>4.7116951915240424E-4</v>
      </c>
      <c r="AX206" s="795">
        <f t="shared" si="176"/>
        <v>29656.130424816627</v>
      </c>
      <c r="AY206" s="786">
        <f t="shared" si="177"/>
        <v>283161.30240051926</v>
      </c>
      <c r="AZ206" s="787">
        <f t="shared" si="150"/>
        <v>23.779081491477935</v>
      </c>
      <c r="BA206" s="797">
        <f t="shared" si="154"/>
        <v>2162113.8422315982</v>
      </c>
      <c r="BB206" s="775">
        <v>1480356</v>
      </c>
      <c r="BC206" s="775">
        <f t="shared" si="178"/>
        <v>0</v>
      </c>
      <c r="BD206" s="775">
        <f t="shared" si="179"/>
        <v>681757.84223159822</v>
      </c>
      <c r="BE206" s="798">
        <f t="shared" si="180"/>
        <v>1.0608158656587711E-3</v>
      </c>
      <c r="BF206" s="775">
        <f t="shared" si="181"/>
        <v>-1404.3951330342695</v>
      </c>
      <c r="BG206" s="797">
        <f t="shared" si="182"/>
        <v>2160709.4470985639</v>
      </c>
      <c r="BH206" s="799">
        <v>7.2</v>
      </c>
      <c r="BI206" s="692">
        <f t="shared" si="191"/>
        <v>0</v>
      </c>
      <c r="BJ206" s="800">
        <v>1650</v>
      </c>
      <c r="BK206" s="778">
        <f t="shared" si="183"/>
        <v>0</v>
      </c>
      <c r="BL206" s="786">
        <f t="shared" si="190"/>
        <v>2160709.4470985639</v>
      </c>
      <c r="BM206" s="692">
        <f t="shared" si="184"/>
        <v>2160709.4470985639</v>
      </c>
      <c r="BN206" s="801">
        <f t="shared" si="185"/>
        <v>1.0557554764247844E-3</v>
      </c>
      <c r="BO206" s="787">
        <f t="shared" si="186"/>
        <v>5218.4211661037052</v>
      </c>
      <c r="BP206" s="802">
        <f t="shared" si="187"/>
        <v>2165928</v>
      </c>
      <c r="BQ206" s="803">
        <f t="shared" si="151"/>
        <v>181.88847833389318</v>
      </c>
      <c r="BR206" s="682"/>
      <c r="BS206" s="618"/>
    </row>
    <row r="207" spans="1:71" ht="15.75">
      <c r="A207" s="766" t="s">
        <v>3829</v>
      </c>
      <c r="B207" s="767" t="s">
        <v>3830</v>
      </c>
      <c r="C207" s="768">
        <v>9461</v>
      </c>
      <c r="D207" s="769">
        <v>0</v>
      </c>
      <c r="E207" s="770">
        <v>0</v>
      </c>
      <c r="F207" s="771">
        <v>0</v>
      </c>
      <c r="G207" s="770">
        <v>0</v>
      </c>
      <c r="H207" s="771">
        <v>0</v>
      </c>
      <c r="I207" s="770">
        <f t="shared" si="188"/>
        <v>0</v>
      </c>
      <c r="J207" s="772">
        <f t="shared" si="155"/>
        <v>0</v>
      </c>
      <c r="K207" s="773">
        <v>1964</v>
      </c>
      <c r="L207" s="774">
        <f t="shared" si="156"/>
        <v>7.0881569673082213E-4</v>
      </c>
      <c r="M207" s="775">
        <f t="shared" si="189"/>
        <v>59485.259253671924</v>
      </c>
      <c r="N207" s="806">
        <v>355.5</v>
      </c>
      <c r="O207" s="777">
        <f t="shared" si="157"/>
        <v>4.0429105771866121E-4</v>
      </c>
      <c r="P207" s="778">
        <f t="shared" si="158"/>
        <v>33928.930317507795</v>
      </c>
      <c r="Q207" s="786">
        <f t="shared" si="144"/>
        <v>93414.189571179711</v>
      </c>
      <c r="R207" s="692">
        <f t="shared" si="145"/>
        <v>9.8736063387781119</v>
      </c>
      <c r="S207" s="807">
        <v>31096043.980000004</v>
      </c>
      <c r="T207" s="782">
        <f t="shared" si="152"/>
        <v>2.8785179573829502</v>
      </c>
      <c r="U207" s="777">
        <f t="shared" si="159"/>
        <v>1.5646837908897026E-3</v>
      </c>
      <c r="V207" s="783">
        <f t="shared" si="146"/>
        <v>3286.7608054116904</v>
      </c>
      <c r="W207" s="778">
        <f t="shared" si="160"/>
        <v>623729.414510387</v>
      </c>
      <c r="X207" s="784">
        <v>5817793.2849000003</v>
      </c>
      <c r="Y207" s="782">
        <f t="shared" si="153"/>
        <v>15.385648237506699</v>
      </c>
      <c r="Z207" s="782">
        <f t="shared" si="161"/>
        <v>2.3755678862971471E-3</v>
      </c>
      <c r="AA207" s="783">
        <f t="shared" si="147"/>
        <v>614.92371682697387</v>
      </c>
      <c r="AB207" s="692">
        <f t="shared" si="162"/>
        <v>558215.008894325</v>
      </c>
      <c r="AC207" s="786">
        <f t="shared" si="163"/>
        <v>1181944.423404712</v>
      </c>
      <c r="AD207" s="787">
        <f t="shared" si="148"/>
        <v>124.92806504647628</v>
      </c>
      <c r="AE207" s="788">
        <v>257.75400000000002</v>
      </c>
      <c r="AF207" s="774">
        <f t="shared" si="164"/>
        <v>2.6808871149342319E-4</v>
      </c>
      <c r="AG207" s="692">
        <f t="shared" si="165"/>
        <v>33747.827354249283</v>
      </c>
      <c r="AH207" s="786">
        <f t="shared" si="166"/>
        <v>33747.827354249283</v>
      </c>
      <c r="AI207" s="692">
        <f t="shared" si="149"/>
        <v>3.5670465441548762</v>
      </c>
      <c r="AJ207" s="789">
        <v>934</v>
      </c>
      <c r="AK207" s="777">
        <f t="shared" si="167"/>
        <v>1.2415490917018262E-3</v>
      </c>
      <c r="AL207" s="692">
        <f t="shared" si="168"/>
        <v>26048.333133941083</v>
      </c>
      <c r="AM207" s="790">
        <v>4.333333333333333</v>
      </c>
      <c r="AN207" s="791">
        <f t="shared" si="169"/>
        <v>6.257521058965098E-4</v>
      </c>
      <c r="AO207" s="778">
        <f t="shared" si="170"/>
        <v>39385.794945848349</v>
      </c>
      <c r="AP207" s="768">
        <v>123</v>
      </c>
      <c r="AQ207" s="792">
        <f t="shared" si="171"/>
        <v>1.6624991552341691E-3</v>
      </c>
      <c r="AR207" s="793">
        <f t="shared" si="172"/>
        <v>139520.32060552813</v>
      </c>
      <c r="AS207" s="794">
        <v>21.583333333333332</v>
      </c>
      <c r="AT207" s="791">
        <f t="shared" si="173"/>
        <v>8.6559831559246641E-4</v>
      </c>
      <c r="AU207" s="795">
        <f t="shared" si="174"/>
        <v>72642.776465083589</v>
      </c>
      <c r="AV207" s="796">
        <v>108</v>
      </c>
      <c r="AW207" s="791">
        <f t="shared" si="175"/>
        <v>1.3753056234718827E-3</v>
      </c>
      <c r="AX207" s="795">
        <f t="shared" si="176"/>
        <v>86563.840158924213</v>
      </c>
      <c r="AY207" s="786">
        <f t="shared" si="177"/>
        <v>364161.06530932541</v>
      </c>
      <c r="AZ207" s="787">
        <f t="shared" si="150"/>
        <v>38.490758409187762</v>
      </c>
      <c r="BA207" s="797">
        <f t="shared" si="154"/>
        <v>1673267.5056394665</v>
      </c>
      <c r="BB207" s="775">
        <v>1202383</v>
      </c>
      <c r="BC207" s="775">
        <f t="shared" si="178"/>
        <v>0</v>
      </c>
      <c r="BD207" s="775">
        <f t="shared" si="179"/>
        <v>470884.50563946646</v>
      </c>
      <c r="BE207" s="798">
        <f t="shared" si="180"/>
        <v>7.3269674880474913E-4</v>
      </c>
      <c r="BF207" s="775">
        <f t="shared" si="181"/>
        <v>-970.00410846269892</v>
      </c>
      <c r="BG207" s="797">
        <f t="shared" si="182"/>
        <v>1672297.5015310037</v>
      </c>
      <c r="BH207" s="799">
        <v>8.5</v>
      </c>
      <c r="BI207" s="692">
        <f t="shared" si="191"/>
        <v>0</v>
      </c>
      <c r="BJ207" s="800">
        <v>1550</v>
      </c>
      <c r="BK207" s="778">
        <f t="shared" si="183"/>
        <v>0</v>
      </c>
      <c r="BL207" s="786">
        <f t="shared" si="190"/>
        <v>1672297.5015310037</v>
      </c>
      <c r="BM207" s="692">
        <f t="shared" si="184"/>
        <v>1672297.5015310037</v>
      </c>
      <c r="BN207" s="801">
        <f t="shared" si="185"/>
        <v>8.1710997645871998E-4</v>
      </c>
      <c r="BO207" s="787">
        <f t="shared" si="186"/>
        <v>4038.836730098144</v>
      </c>
      <c r="BP207" s="802">
        <f t="shared" si="187"/>
        <v>1676336</v>
      </c>
      <c r="BQ207" s="803">
        <f t="shared" si="151"/>
        <v>177.18380720854032</v>
      </c>
      <c r="BR207" s="682"/>
      <c r="BS207" s="618"/>
    </row>
    <row r="208" spans="1:71" ht="15.75">
      <c r="A208" s="766" t="s">
        <v>3831</v>
      </c>
      <c r="B208" s="767" t="s">
        <v>3832</v>
      </c>
      <c r="C208" s="768">
        <v>6691</v>
      </c>
      <c r="D208" s="769">
        <v>0</v>
      </c>
      <c r="E208" s="770">
        <v>0</v>
      </c>
      <c r="F208" s="771">
        <v>0</v>
      </c>
      <c r="G208" s="770">
        <v>0</v>
      </c>
      <c r="H208" s="771">
        <v>0</v>
      </c>
      <c r="I208" s="770">
        <f t="shared" si="188"/>
        <v>0</v>
      </c>
      <c r="J208" s="772">
        <f t="shared" si="155"/>
        <v>0</v>
      </c>
      <c r="K208" s="773">
        <v>1495</v>
      </c>
      <c r="L208" s="774">
        <f t="shared" si="156"/>
        <v>5.3955166324469407E-4</v>
      </c>
      <c r="M208" s="775">
        <f t="shared" si="189"/>
        <v>45280.276264887747</v>
      </c>
      <c r="N208" s="806">
        <v>47.5</v>
      </c>
      <c r="O208" s="777">
        <f t="shared" si="157"/>
        <v>5.4019198991944883E-5</v>
      </c>
      <c r="P208" s="778">
        <f t="shared" si="158"/>
        <v>4533.4013785699581</v>
      </c>
      <c r="Q208" s="786">
        <f t="shared" si="144"/>
        <v>49813.677643457704</v>
      </c>
      <c r="R208" s="692">
        <f t="shared" si="145"/>
        <v>7.4448778423939181</v>
      </c>
      <c r="S208" s="807">
        <v>21040372.979999997</v>
      </c>
      <c r="T208" s="782">
        <f t="shared" si="152"/>
        <v>2.1277893240084573</v>
      </c>
      <c r="U208" s="777">
        <f t="shared" si="159"/>
        <v>1.156608197341625E-3</v>
      </c>
      <c r="V208" s="783">
        <f t="shared" si="146"/>
        <v>3144.5782364370043</v>
      </c>
      <c r="W208" s="778">
        <f t="shared" si="160"/>
        <v>461058.36715775076</v>
      </c>
      <c r="X208" s="784">
        <v>4556817.8035000004</v>
      </c>
      <c r="Y208" s="782">
        <f t="shared" si="153"/>
        <v>9.8247248256477278</v>
      </c>
      <c r="Z208" s="782">
        <f t="shared" si="161"/>
        <v>1.5169527099039735E-3</v>
      </c>
      <c r="AA208" s="783">
        <f t="shared" si="147"/>
        <v>681.03688589149613</v>
      </c>
      <c r="AB208" s="692">
        <f t="shared" si="162"/>
        <v>356456.14479627507</v>
      </c>
      <c r="AC208" s="786">
        <f t="shared" si="163"/>
        <v>817514.51195402583</v>
      </c>
      <c r="AD208" s="787">
        <f t="shared" si="148"/>
        <v>122.18121535705065</v>
      </c>
      <c r="AE208" s="788">
        <v>1781.037</v>
      </c>
      <c r="AF208" s="774">
        <f t="shared" si="164"/>
        <v>1.8524481267103981E-3</v>
      </c>
      <c r="AG208" s="692">
        <f t="shared" si="165"/>
        <v>233191.83868157264</v>
      </c>
      <c r="AH208" s="786">
        <f t="shared" si="166"/>
        <v>233191.83868157264</v>
      </c>
      <c r="AI208" s="692">
        <f t="shared" si="149"/>
        <v>34.851567580566829</v>
      </c>
      <c r="AJ208" s="789">
        <v>1041</v>
      </c>
      <c r="AK208" s="777">
        <f t="shared" si="167"/>
        <v>1.3837822317576028E-3</v>
      </c>
      <c r="AL208" s="692">
        <f t="shared" si="168"/>
        <v>29032.456951212702</v>
      </c>
      <c r="AM208" s="790">
        <v>4</v>
      </c>
      <c r="AN208" s="791">
        <f t="shared" si="169"/>
        <v>5.776173285198553E-4</v>
      </c>
      <c r="AO208" s="778">
        <f t="shared" si="170"/>
        <v>36356.118411552328</v>
      </c>
      <c r="AP208" s="768">
        <v>73</v>
      </c>
      <c r="AQ208" s="792">
        <f t="shared" si="171"/>
        <v>9.8668649050483214E-4</v>
      </c>
      <c r="AR208" s="793">
        <f t="shared" si="172"/>
        <v>82804.743123606138</v>
      </c>
      <c r="AS208" s="794">
        <v>10.222222222222223</v>
      </c>
      <c r="AT208" s="791">
        <f t="shared" si="173"/>
        <v>4.0996162179926347E-4</v>
      </c>
      <c r="AU208" s="795">
        <f t="shared" si="174"/>
        <v>34404.815623102659</v>
      </c>
      <c r="AV208" s="796">
        <v>20</v>
      </c>
      <c r="AW208" s="791">
        <f t="shared" si="175"/>
        <v>2.5468622656886714E-4</v>
      </c>
      <c r="AX208" s="795">
        <f t="shared" si="176"/>
        <v>16030.340770171148</v>
      </c>
      <c r="AY208" s="786">
        <f t="shared" si="177"/>
        <v>198628.47487964496</v>
      </c>
      <c r="AZ208" s="787">
        <f t="shared" si="150"/>
        <v>29.685917632587799</v>
      </c>
      <c r="BA208" s="797">
        <f t="shared" si="154"/>
        <v>1299148.5031587011</v>
      </c>
      <c r="BB208" s="775">
        <v>824902</v>
      </c>
      <c r="BC208" s="775">
        <f t="shared" si="178"/>
        <v>0</v>
      </c>
      <c r="BD208" s="775">
        <f t="shared" si="179"/>
        <v>474246.50315870112</v>
      </c>
      <c r="BE208" s="798">
        <f t="shared" si="180"/>
        <v>7.3792802021489595E-4</v>
      </c>
      <c r="BF208" s="775">
        <f t="shared" si="181"/>
        <v>-976.92969502849667</v>
      </c>
      <c r="BG208" s="797">
        <f t="shared" si="182"/>
        <v>1298171.5734636725</v>
      </c>
      <c r="BH208" s="799">
        <v>7.7</v>
      </c>
      <c r="BI208" s="692">
        <f t="shared" si="191"/>
        <v>0</v>
      </c>
      <c r="BJ208" s="800">
        <v>1500</v>
      </c>
      <c r="BK208" s="778">
        <f t="shared" si="183"/>
        <v>0</v>
      </c>
      <c r="BL208" s="786">
        <f t="shared" si="190"/>
        <v>1298171.5734636725</v>
      </c>
      <c r="BM208" s="692">
        <f t="shared" si="184"/>
        <v>1298171.5734636725</v>
      </c>
      <c r="BN208" s="801">
        <f t="shared" si="185"/>
        <v>6.3430636167377845E-4</v>
      </c>
      <c r="BO208" s="787">
        <f t="shared" si="186"/>
        <v>3135.2693094824772</v>
      </c>
      <c r="BP208" s="802">
        <f t="shared" si="187"/>
        <v>1301307</v>
      </c>
      <c r="BQ208" s="803">
        <f t="shared" si="151"/>
        <v>194.48617545957256</v>
      </c>
      <c r="BR208" s="682"/>
      <c r="BS208" s="618"/>
    </row>
    <row r="209" spans="1:71" ht="15.75">
      <c r="A209" s="805" t="s">
        <v>3833</v>
      </c>
      <c r="B209" s="767" t="s">
        <v>3834</v>
      </c>
      <c r="C209" s="768">
        <v>11368</v>
      </c>
      <c r="D209" s="769">
        <v>0</v>
      </c>
      <c r="E209" s="770">
        <v>0</v>
      </c>
      <c r="F209" s="771">
        <v>0</v>
      </c>
      <c r="G209" s="770">
        <v>0</v>
      </c>
      <c r="H209" s="771">
        <f>C209/($C$38+$C$51+$C$53+$C$56+$C$57+$C$141+$C$143+$C$199+$C$209+$C$213)*$H$7</f>
        <v>716052.77235540468</v>
      </c>
      <c r="I209" s="770">
        <f t="shared" si="188"/>
        <v>716052.77235540468</v>
      </c>
      <c r="J209" s="772">
        <f t="shared" si="155"/>
        <v>62.988456400018002</v>
      </c>
      <c r="K209" s="773">
        <v>4850</v>
      </c>
      <c r="L209" s="774">
        <f t="shared" si="156"/>
        <v>1.7503849944727533E-3</v>
      </c>
      <c r="M209" s="775">
        <f t="shared" si="189"/>
        <v>146895.87952154217</v>
      </c>
      <c r="N209" s="806">
        <v>703</v>
      </c>
      <c r="O209" s="777">
        <f t="shared" si="157"/>
        <v>7.9948414508078424E-4</v>
      </c>
      <c r="P209" s="778">
        <f t="shared" si="158"/>
        <v>67094.340402835383</v>
      </c>
      <c r="Q209" s="786">
        <f t="shared" si="144"/>
        <v>213990.21992437757</v>
      </c>
      <c r="R209" s="692">
        <f t="shared" si="145"/>
        <v>18.823910971532158</v>
      </c>
      <c r="S209" s="807">
        <v>34434702.419999994</v>
      </c>
      <c r="T209" s="782">
        <f t="shared" si="152"/>
        <v>3.7529415071971464</v>
      </c>
      <c r="U209" s="777">
        <f t="shared" si="159"/>
        <v>2.0399965646930749E-3</v>
      </c>
      <c r="V209" s="783">
        <f t="shared" si="146"/>
        <v>3029.0906421534128</v>
      </c>
      <c r="W209" s="778">
        <f t="shared" si="160"/>
        <v>813203.19818466541</v>
      </c>
      <c r="X209" s="784">
        <v>22208511.028200001</v>
      </c>
      <c r="Y209" s="782">
        <f t="shared" si="153"/>
        <v>5.8190044274424375</v>
      </c>
      <c r="Z209" s="782">
        <f t="shared" si="161"/>
        <v>8.9846328439738938E-4</v>
      </c>
      <c r="AA209" s="783">
        <f t="shared" si="147"/>
        <v>1953.598788546798</v>
      </c>
      <c r="AB209" s="692">
        <f t="shared" si="162"/>
        <v>211122.44073684144</v>
      </c>
      <c r="AC209" s="786">
        <f t="shared" si="163"/>
        <v>1024325.6389215068</v>
      </c>
      <c r="AD209" s="787">
        <f t="shared" si="148"/>
        <v>90.10605549978068</v>
      </c>
      <c r="AE209" s="788">
        <v>2176.0682000000002</v>
      </c>
      <c r="AF209" s="774">
        <f t="shared" si="164"/>
        <v>2.263318202083431E-3</v>
      </c>
      <c r="AG209" s="692">
        <f t="shared" si="165"/>
        <v>284913.42103196069</v>
      </c>
      <c r="AH209" s="786">
        <f t="shared" si="166"/>
        <v>284913.42103196069</v>
      </c>
      <c r="AI209" s="692">
        <f t="shared" si="149"/>
        <v>25.062756952142919</v>
      </c>
      <c r="AJ209" s="789">
        <v>1716</v>
      </c>
      <c r="AK209" s="777">
        <f t="shared" si="167"/>
        <v>2.2810473676234838E-3</v>
      </c>
      <c r="AL209" s="692">
        <f t="shared" si="168"/>
        <v>47857.537106898177</v>
      </c>
      <c r="AM209" s="790">
        <v>8.6666666666666661</v>
      </c>
      <c r="AN209" s="791">
        <f t="shared" si="169"/>
        <v>1.2515042117930196E-3</v>
      </c>
      <c r="AO209" s="778">
        <f t="shared" si="170"/>
        <v>78771.589891696698</v>
      </c>
      <c r="AP209" s="768">
        <v>155</v>
      </c>
      <c r="AQ209" s="792">
        <f t="shared" si="171"/>
        <v>2.0950192606609447E-3</v>
      </c>
      <c r="AR209" s="793">
        <f t="shared" si="172"/>
        <v>175818.29019395824</v>
      </c>
      <c r="AS209" s="794">
        <v>56.19444444444445</v>
      </c>
      <c r="AT209" s="791">
        <f t="shared" si="173"/>
        <v>2.2536748937497554E-3</v>
      </c>
      <c r="AU209" s="795">
        <f t="shared" si="174"/>
        <v>189132.99458026272</v>
      </c>
      <c r="AV209" s="796">
        <v>164</v>
      </c>
      <c r="AW209" s="791">
        <f t="shared" si="175"/>
        <v>2.0884270578647108E-3</v>
      </c>
      <c r="AX209" s="795">
        <f t="shared" si="176"/>
        <v>131448.79431540341</v>
      </c>
      <c r="AY209" s="786">
        <f t="shared" si="177"/>
        <v>623029.20608821919</v>
      </c>
      <c r="AZ209" s="787">
        <f t="shared" si="150"/>
        <v>54.805524814234623</v>
      </c>
      <c r="BA209" s="797">
        <f t="shared" si="154"/>
        <v>2862311.2583214692</v>
      </c>
      <c r="BB209" s="775">
        <v>1948843</v>
      </c>
      <c r="BC209" s="775">
        <f t="shared" si="178"/>
        <v>0</v>
      </c>
      <c r="BD209" s="775">
        <f t="shared" si="179"/>
        <v>913468.25832146918</v>
      </c>
      <c r="BE209" s="798">
        <f t="shared" si="180"/>
        <v>1.4213574984795194E-3</v>
      </c>
      <c r="BF209" s="775">
        <f t="shared" si="181"/>
        <v>-1881.7097460422929</v>
      </c>
      <c r="BG209" s="797">
        <f t="shared" si="182"/>
        <v>2860429.5485754269</v>
      </c>
      <c r="BH209" s="799">
        <v>5</v>
      </c>
      <c r="BI209" s="692">
        <f t="shared" si="191"/>
        <v>0</v>
      </c>
      <c r="BJ209" s="800">
        <v>1700</v>
      </c>
      <c r="BK209" s="778">
        <f t="shared" si="183"/>
        <v>0</v>
      </c>
      <c r="BL209" s="786">
        <f t="shared" si="190"/>
        <v>2860429.5485754269</v>
      </c>
      <c r="BM209" s="692">
        <f t="shared" si="184"/>
        <v>2860429.5485754269</v>
      </c>
      <c r="BN209" s="801">
        <f t="shared" si="185"/>
        <v>1.3976493530358609E-3</v>
      </c>
      <c r="BO209" s="787">
        <f t="shared" si="186"/>
        <v>6908.3449051785256</v>
      </c>
      <c r="BP209" s="802">
        <f t="shared" si="187"/>
        <v>2867338</v>
      </c>
      <c r="BQ209" s="803">
        <f t="shared" si="151"/>
        <v>252.22888810696693</v>
      </c>
      <c r="BR209" s="682"/>
      <c r="BS209" s="618"/>
    </row>
    <row r="210" spans="1:71" ht="15.75">
      <c r="A210" s="805" t="s">
        <v>3835</v>
      </c>
      <c r="B210" s="767" t="s">
        <v>3836</v>
      </c>
      <c r="C210" s="768">
        <v>22065</v>
      </c>
      <c r="D210" s="769">
        <v>0</v>
      </c>
      <c r="E210" s="770">
        <v>0</v>
      </c>
      <c r="F210" s="771">
        <v>0</v>
      </c>
      <c r="G210" s="770">
        <v>0</v>
      </c>
      <c r="H210" s="771">
        <v>0</v>
      </c>
      <c r="I210" s="770">
        <f t="shared" si="188"/>
        <v>0</v>
      </c>
      <c r="J210" s="772">
        <f t="shared" si="155"/>
        <v>0</v>
      </c>
      <c r="K210" s="773">
        <v>4896</v>
      </c>
      <c r="L210" s="774">
        <f t="shared" si="156"/>
        <v>1.7669865841110517E-3</v>
      </c>
      <c r="M210" s="775">
        <f t="shared" si="189"/>
        <v>148289.11879123104</v>
      </c>
      <c r="N210" s="806">
        <v>1226.5</v>
      </c>
      <c r="O210" s="777">
        <f t="shared" si="157"/>
        <v>1.3948325802867452E-3</v>
      </c>
      <c r="P210" s="778">
        <f t="shared" si="158"/>
        <v>117057.19559612745</v>
      </c>
      <c r="Q210" s="786">
        <f t="shared" si="144"/>
        <v>265346.31438735849</v>
      </c>
      <c r="R210" s="692">
        <f t="shared" si="145"/>
        <v>12.025665732488488</v>
      </c>
      <c r="S210" s="807">
        <v>77828535.960000008</v>
      </c>
      <c r="T210" s="782">
        <f t="shared" si="152"/>
        <v>6.2556004554707796</v>
      </c>
      <c r="U210" s="777">
        <f t="shared" si="159"/>
        <v>3.4003736575110052E-3</v>
      </c>
      <c r="V210" s="783">
        <f t="shared" si="146"/>
        <v>3527.2393365057787</v>
      </c>
      <c r="W210" s="778">
        <f t="shared" si="160"/>
        <v>1355489.8969777783</v>
      </c>
      <c r="X210" s="784">
        <v>13815694.6567</v>
      </c>
      <c r="Y210" s="782">
        <f t="shared" si="153"/>
        <v>35.239938135422847</v>
      </c>
      <c r="Z210" s="782">
        <f t="shared" si="161"/>
        <v>5.4411009570289638E-3</v>
      </c>
      <c r="AA210" s="783">
        <f t="shared" si="147"/>
        <v>626.13617297530027</v>
      </c>
      <c r="AB210" s="692">
        <f t="shared" si="162"/>
        <v>1278559.2180475043</v>
      </c>
      <c r="AC210" s="786">
        <f t="shared" si="163"/>
        <v>2634049.1150252828</v>
      </c>
      <c r="AD210" s="787">
        <f t="shared" si="148"/>
        <v>119.37680104352063</v>
      </c>
      <c r="AE210" s="788">
        <v>2769.3575999999998</v>
      </c>
      <c r="AF210" s="774">
        <f t="shared" si="164"/>
        <v>2.8803956898768544E-3</v>
      </c>
      <c r="AG210" s="692">
        <f t="shared" si="165"/>
        <v>362593.02345250949</v>
      </c>
      <c r="AH210" s="786">
        <f t="shared" si="166"/>
        <v>362593.02345250949</v>
      </c>
      <c r="AI210" s="692">
        <f t="shared" si="149"/>
        <v>16.432949170745953</v>
      </c>
      <c r="AJ210" s="789">
        <v>2642</v>
      </c>
      <c r="AK210" s="777">
        <f t="shared" si="167"/>
        <v>3.5119622058631958E-3</v>
      </c>
      <c r="AL210" s="692">
        <f t="shared" si="168"/>
        <v>73682.758179734839</v>
      </c>
      <c r="AM210" s="790">
        <v>5</v>
      </c>
      <c r="AN210" s="791">
        <f t="shared" si="169"/>
        <v>7.2202166064981913E-4</v>
      </c>
      <c r="AO210" s="778">
        <f t="shared" si="170"/>
        <v>45445.148014440412</v>
      </c>
      <c r="AP210" s="768">
        <v>239</v>
      </c>
      <c r="AQ210" s="792">
        <f t="shared" si="171"/>
        <v>3.2303845374062308E-3</v>
      </c>
      <c r="AR210" s="793">
        <f t="shared" si="172"/>
        <v>271100.46036358719</v>
      </c>
      <c r="AS210" s="794">
        <v>24.472222222222225</v>
      </c>
      <c r="AT210" s="791">
        <f t="shared" si="173"/>
        <v>9.8145703479660617E-4</v>
      </c>
      <c r="AU210" s="795">
        <f t="shared" si="174"/>
        <v>82365.876532482172</v>
      </c>
      <c r="AV210" s="796">
        <v>96</v>
      </c>
      <c r="AW210" s="791">
        <f t="shared" si="175"/>
        <v>1.2224938875305623E-3</v>
      </c>
      <c r="AX210" s="795">
        <f t="shared" si="176"/>
        <v>76945.635696821511</v>
      </c>
      <c r="AY210" s="786">
        <f t="shared" si="177"/>
        <v>549539.87878706609</v>
      </c>
      <c r="AZ210" s="787">
        <f t="shared" si="150"/>
        <v>24.905500964743535</v>
      </c>
      <c r="BA210" s="797">
        <f t="shared" si="154"/>
        <v>3811528.3316522175</v>
      </c>
      <c r="BB210" s="775">
        <v>2951967</v>
      </c>
      <c r="BC210" s="775">
        <f t="shared" si="178"/>
        <v>0</v>
      </c>
      <c r="BD210" s="775">
        <f t="shared" si="179"/>
        <v>859561.33165221754</v>
      </c>
      <c r="BE210" s="798">
        <f t="shared" si="180"/>
        <v>1.3374782681468526E-3</v>
      </c>
      <c r="BF210" s="775">
        <f t="shared" si="181"/>
        <v>-1770.6635346729865</v>
      </c>
      <c r="BG210" s="797">
        <f t="shared" si="182"/>
        <v>3809757.6681175446</v>
      </c>
      <c r="BH210" s="799">
        <v>7</v>
      </c>
      <c r="BI210" s="692">
        <f t="shared" si="191"/>
        <v>0</v>
      </c>
      <c r="BJ210" s="800">
        <v>1300</v>
      </c>
      <c r="BK210" s="778">
        <f t="shared" si="183"/>
        <v>0</v>
      </c>
      <c r="BL210" s="786">
        <f t="shared" si="190"/>
        <v>3809757.6681175446</v>
      </c>
      <c r="BM210" s="692">
        <f t="shared" si="184"/>
        <v>3809757.6681175446</v>
      </c>
      <c r="BN210" s="801">
        <f t="shared" si="185"/>
        <v>1.8615055010600583E-3</v>
      </c>
      <c r="BO210" s="787">
        <f t="shared" si="186"/>
        <v>9201.1075712779948</v>
      </c>
      <c r="BP210" s="802">
        <f t="shared" si="187"/>
        <v>3818959</v>
      </c>
      <c r="BQ210" s="803">
        <f t="shared" si="151"/>
        <v>173.07767958305007</v>
      </c>
      <c r="BR210" s="682"/>
      <c r="BS210" s="618"/>
    </row>
    <row r="211" spans="1:71" ht="15.75">
      <c r="A211" s="805" t="s">
        <v>3837</v>
      </c>
      <c r="B211" s="767" t="s">
        <v>3838</v>
      </c>
      <c r="C211" s="768">
        <v>37295</v>
      </c>
      <c r="D211" s="769">
        <v>0</v>
      </c>
      <c r="E211" s="770">
        <v>0</v>
      </c>
      <c r="F211" s="771">
        <v>0</v>
      </c>
      <c r="G211" s="770">
        <v>0</v>
      </c>
      <c r="H211" s="771">
        <v>0</v>
      </c>
      <c r="I211" s="770">
        <f t="shared" si="188"/>
        <v>0</v>
      </c>
      <c r="J211" s="772">
        <f t="shared" si="155"/>
        <v>0</v>
      </c>
      <c r="K211" s="773">
        <v>12239</v>
      </c>
      <c r="L211" s="774">
        <f t="shared" si="156"/>
        <v>4.4171055561550571E-3</v>
      </c>
      <c r="M211" s="775">
        <f t="shared" si="189"/>
        <v>370692.50916786696</v>
      </c>
      <c r="N211" s="806">
        <v>3972</v>
      </c>
      <c r="O211" s="777">
        <f t="shared" si="157"/>
        <v>4.5171422820211599E-3</v>
      </c>
      <c r="P211" s="778">
        <f t="shared" si="158"/>
        <v>379087.79527747107</v>
      </c>
      <c r="Q211" s="786">
        <f t="shared" si="144"/>
        <v>749780.30444533797</v>
      </c>
      <c r="R211" s="692">
        <f t="shared" si="145"/>
        <v>20.104043556652044</v>
      </c>
      <c r="S211" s="807">
        <v>132497243.78</v>
      </c>
      <c r="T211" s="782">
        <f t="shared" si="152"/>
        <v>10.497705350833526</v>
      </c>
      <c r="U211" s="777">
        <f t="shared" si="159"/>
        <v>5.7062660880249985E-3</v>
      </c>
      <c r="V211" s="783">
        <f t="shared" si="146"/>
        <v>3552.6811577959511</v>
      </c>
      <c r="W211" s="778">
        <f t="shared" si="160"/>
        <v>2274687.081726918</v>
      </c>
      <c r="X211" s="784">
        <v>31312569.390999999</v>
      </c>
      <c r="Y211" s="782">
        <f t="shared" si="153"/>
        <v>44.420405353250366</v>
      </c>
      <c r="Z211" s="782">
        <f t="shared" si="161"/>
        <v>6.8585792957517894E-3</v>
      </c>
      <c r="AA211" s="783">
        <f t="shared" si="147"/>
        <v>839.5916179380614</v>
      </c>
      <c r="AB211" s="692">
        <f t="shared" si="162"/>
        <v>1611640.7048035099</v>
      </c>
      <c r="AC211" s="786">
        <f t="shared" si="163"/>
        <v>3886327.7865304276</v>
      </c>
      <c r="AD211" s="787">
        <f t="shared" si="148"/>
        <v>104.2050619796334</v>
      </c>
      <c r="AE211" s="788">
        <v>5460.1315000000004</v>
      </c>
      <c r="AF211" s="774">
        <f t="shared" si="164"/>
        <v>5.679056846526735E-3</v>
      </c>
      <c r="AG211" s="692">
        <f t="shared" si="165"/>
        <v>714897.05375473574</v>
      </c>
      <c r="AH211" s="786">
        <f t="shared" si="166"/>
        <v>714897.05375473574</v>
      </c>
      <c r="AI211" s="692">
        <f t="shared" si="149"/>
        <v>19.168710383556395</v>
      </c>
      <c r="AJ211" s="789">
        <v>4785</v>
      </c>
      <c r="AK211" s="777">
        <f t="shared" si="167"/>
        <v>6.3606128520270217E-3</v>
      </c>
      <c r="AL211" s="692">
        <f t="shared" si="168"/>
        <v>133448.90154808146</v>
      </c>
      <c r="AM211" s="790">
        <v>28.666666666666668</v>
      </c>
      <c r="AN211" s="791">
        <f t="shared" si="169"/>
        <v>4.1395908543922968E-3</v>
      </c>
      <c r="AO211" s="778">
        <f t="shared" si="170"/>
        <v>260552.18194945838</v>
      </c>
      <c r="AP211" s="768">
        <v>447</v>
      </c>
      <c r="AQ211" s="792">
        <f t="shared" si="171"/>
        <v>6.0417652226802728E-3</v>
      </c>
      <c r="AR211" s="793">
        <f t="shared" si="172"/>
        <v>507037.26268838276</v>
      </c>
      <c r="AS211" s="794">
        <v>121.02777777777777</v>
      </c>
      <c r="AT211" s="791">
        <f t="shared" si="173"/>
        <v>4.8538119189657355E-3</v>
      </c>
      <c r="AU211" s="795">
        <f t="shared" si="174"/>
        <v>407341.79801591922</v>
      </c>
      <c r="AV211" s="796">
        <v>253</v>
      </c>
      <c r="AW211" s="791">
        <f t="shared" si="175"/>
        <v>3.2217807660961696E-3</v>
      </c>
      <c r="AX211" s="795">
        <f t="shared" si="176"/>
        <v>202783.81074266505</v>
      </c>
      <c r="AY211" s="786">
        <f t="shared" si="177"/>
        <v>1511163.954944507</v>
      </c>
      <c r="AZ211" s="787">
        <f t="shared" si="150"/>
        <v>40.51921048249114</v>
      </c>
      <c r="BA211" s="797">
        <f t="shared" si="154"/>
        <v>6862169.0996750081</v>
      </c>
      <c r="BB211" s="775">
        <v>5295350</v>
      </c>
      <c r="BC211" s="775">
        <f t="shared" si="178"/>
        <v>0</v>
      </c>
      <c r="BD211" s="775">
        <f t="shared" si="179"/>
        <v>1566819.0996750081</v>
      </c>
      <c r="BE211" s="798">
        <f t="shared" si="180"/>
        <v>2.4379720431405173E-3</v>
      </c>
      <c r="BF211" s="775">
        <f t="shared" si="181"/>
        <v>-3227.587541532399</v>
      </c>
      <c r="BG211" s="797">
        <f t="shared" si="182"/>
        <v>6858941.5121334754</v>
      </c>
      <c r="BH211" s="799">
        <v>7.5</v>
      </c>
      <c r="BI211" s="692">
        <f t="shared" si="191"/>
        <v>0</v>
      </c>
      <c r="BJ211" s="800">
        <v>1375</v>
      </c>
      <c r="BK211" s="778">
        <f t="shared" si="183"/>
        <v>0</v>
      </c>
      <c r="BL211" s="786">
        <f t="shared" si="190"/>
        <v>6858941.5121334754</v>
      </c>
      <c r="BM211" s="692">
        <f t="shared" si="184"/>
        <v>6858941.5121334754</v>
      </c>
      <c r="BN211" s="801">
        <f t="shared" si="185"/>
        <v>3.3513830717202776E-3</v>
      </c>
      <c r="BO211" s="787">
        <f t="shared" si="186"/>
        <v>16565.320993087662</v>
      </c>
      <c r="BP211" s="802">
        <f t="shared" si="187"/>
        <v>6875507</v>
      </c>
      <c r="BQ211" s="803">
        <f t="shared" si="151"/>
        <v>184.35465880144793</v>
      </c>
      <c r="BR211" s="682"/>
      <c r="BS211" s="618"/>
    </row>
    <row r="212" spans="1:71" ht="15.75">
      <c r="A212" s="766" t="s">
        <v>3839</v>
      </c>
      <c r="B212" s="767" t="s">
        <v>3840</v>
      </c>
      <c r="C212" s="768">
        <v>11923</v>
      </c>
      <c r="D212" s="769">
        <v>0</v>
      </c>
      <c r="E212" s="770">
        <v>0</v>
      </c>
      <c r="F212" s="771">
        <v>0</v>
      </c>
      <c r="G212" s="770">
        <v>0</v>
      </c>
      <c r="H212" s="771">
        <v>0</v>
      </c>
      <c r="I212" s="770">
        <f t="shared" si="188"/>
        <v>0</v>
      </c>
      <c r="J212" s="772">
        <f t="shared" si="155"/>
        <v>0</v>
      </c>
      <c r="K212" s="773">
        <v>6504</v>
      </c>
      <c r="L212" s="774">
        <f t="shared" si="156"/>
        <v>2.347320413206348E-3</v>
      </c>
      <c r="M212" s="775">
        <f t="shared" si="189"/>
        <v>196991.91760991968</v>
      </c>
      <c r="N212" s="806">
        <v>0</v>
      </c>
      <c r="O212" s="777">
        <f t="shared" si="157"/>
        <v>0</v>
      </c>
      <c r="P212" s="778">
        <f t="shared" si="158"/>
        <v>0</v>
      </c>
      <c r="Q212" s="786">
        <f t="shared" si="144"/>
        <v>196991.91760991968</v>
      </c>
      <c r="R212" s="692">
        <f t="shared" si="145"/>
        <v>16.522009360892365</v>
      </c>
      <c r="S212" s="807">
        <v>42786232.75999999</v>
      </c>
      <c r="T212" s="782">
        <f t="shared" si="152"/>
        <v>3.3225156745489559</v>
      </c>
      <c r="U212" s="777">
        <f t="shared" si="159"/>
        <v>1.8060288307772743E-3</v>
      </c>
      <c r="V212" s="783">
        <f t="shared" si="146"/>
        <v>3588.5458995219315</v>
      </c>
      <c r="W212" s="778">
        <f t="shared" si="160"/>
        <v>719936.71294380736</v>
      </c>
      <c r="X212" s="784">
        <v>19784119.4531</v>
      </c>
      <c r="Y212" s="782">
        <f t="shared" si="153"/>
        <v>7.1854564635539084</v>
      </c>
      <c r="Z212" s="782">
        <f t="shared" si="161"/>
        <v>1.1094455923926099E-3</v>
      </c>
      <c r="AA212" s="783">
        <f t="shared" si="147"/>
        <v>1659.3239497693532</v>
      </c>
      <c r="AB212" s="692">
        <f t="shared" si="162"/>
        <v>260699.42467126966</v>
      </c>
      <c r="AC212" s="786">
        <f t="shared" si="163"/>
        <v>980636.13761507696</v>
      </c>
      <c r="AD212" s="787">
        <f t="shared" si="148"/>
        <v>82.247432493087061</v>
      </c>
      <c r="AE212" s="788">
        <v>1243.0800999999999</v>
      </c>
      <c r="AF212" s="774">
        <f t="shared" si="164"/>
        <v>1.2929217094288183E-3</v>
      </c>
      <c r="AG212" s="692">
        <f t="shared" si="165"/>
        <v>162756.9411233305</v>
      </c>
      <c r="AH212" s="786">
        <f t="shared" si="166"/>
        <v>162756.9411233305</v>
      </c>
      <c r="AI212" s="692">
        <f t="shared" si="149"/>
        <v>13.650670227571123</v>
      </c>
      <c r="AJ212" s="789">
        <v>1023</v>
      </c>
      <c r="AK212" s="777">
        <f t="shared" si="167"/>
        <v>1.3598551614678459E-3</v>
      </c>
      <c r="AL212" s="692">
        <f t="shared" si="168"/>
        <v>28530.454813727756</v>
      </c>
      <c r="AM212" s="790">
        <v>4.666666666666667</v>
      </c>
      <c r="AN212" s="791">
        <f t="shared" si="169"/>
        <v>6.7388688327316452E-4</v>
      </c>
      <c r="AO212" s="778">
        <f t="shared" si="170"/>
        <v>42415.471480144384</v>
      </c>
      <c r="AP212" s="768">
        <v>158</v>
      </c>
      <c r="AQ212" s="792">
        <f t="shared" si="171"/>
        <v>2.1355680205447048E-3</v>
      </c>
      <c r="AR212" s="793">
        <f t="shared" si="172"/>
        <v>179221.22484287355</v>
      </c>
      <c r="AS212" s="794">
        <v>39.388888888888886</v>
      </c>
      <c r="AT212" s="791">
        <f t="shared" si="173"/>
        <v>1.5796890753025964E-3</v>
      </c>
      <c r="AU212" s="795">
        <f t="shared" si="174"/>
        <v>132570.72976510751</v>
      </c>
      <c r="AV212" s="796">
        <v>107</v>
      </c>
      <c r="AW212" s="791">
        <f t="shared" si="175"/>
        <v>1.3625713121434393E-3</v>
      </c>
      <c r="AX212" s="795">
        <f t="shared" si="176"/>
        <v>85762.323120415647</v>
      </c>
      <c r="AY212" s="786">
        <f t="shared" si="177"/>
        <v>468500.20402226882</v>
      </c>
      <c r="AZ212" s="787">
        <f t="shared" si="150"/>
        <v>39.293819007151626</v>
      </c>
      <c r="BA212" s="797">
        <f t="shared" si="154"/>
        <v>1808885.2003705958</v>
      </c>
      <c r="BB212" s="775">
        <v>1227132</v>
      </c>
      <c r="BC212" s="775">
        <f t="shared" si="178"/>
        <v>0</v>
      </c>
      <c r="BD212" s="775">
        <f t="shared" si="179"/>
        <v>581753.20037059579</v>
      </c>
      <c r="BE212" s="798">
        <f t="shared" si="180"/>
        <v>9.0520854564845536E-4</v>
      </c>
      <c r="BF212" s="775">
        <f t="shared" si="181"/>
        <v>-1198.3893878701144</v>
      </c>
      <c r="BG212" s="797">
        <f t="shared" si="182"/>
        <v>1807686.8109827256</v>
      </c>
      <c r="BH212" s="799">
        <v>6</v>
      </c>
      <c r="BI212" s="692">
        <f t="shared" si="191"/>
        <v>0</v>
      </c>
      <c r="BJ212" s="800">
        <v>1000</v>
      </c>
      <c r="BK212" s="778">
        <f t="shared" si="183"/>
        <v>0</v>
      </c>
      <c r="BL212" s="786">
        <f t="shared" si="190"/>
        <v>1807686.8109827256</v>
      </c>
      <c r="BM212" s="692">
        <f t="shared" si="184"/>
        <v>1807686.8109827256</v>
      </c>
      <c r="BN212" s="801">
        <f t="shared" si="185"/>
        <v>8.832632508357838E-4</v>
      </c>
      <c r="BO212" s="787">
        <f t="shared" si="186"/>
        <v>4365.8212022842372</v>
      </c>
      <c r="BP212" s="802">
        <f t="shared" si="187"/>
        <v>1812053</v>
      </c>
      <c r="BQ212" s="803">
        <f t="shared" si="151"/>
        <v>151.97961922334983</v>
      </c>
      <c r="BR212" s="682"/>
      <c r="BS212" s="618"/>
    </row>
    <row r="213" spans="1:71" ht="15.75">
      <c r="A213" s="766" t="s">
        <v>3841</v>
      </c>
      <c r="B213" s="767" t="s">
        <v>3842</v>
      </c>
      <c r="C213" s="768">
        <v>70284</v>
      </c>
      <c r="D213" s="769">
        <v>0</v>
      </c>
      <c r="E213" s="770">
        <f>C213/($C$8+$C$149+$C$165+$C$99+$C$82+$C$188+$C$213+$C$236+$C$253+$C$271)*$E$7</f>
        <v>12689663.540464725</v>
      </c>
      <c r="F213" s="771">
        <v>0</v>
      </c>
      <c r="G213" s="770">
        <v>0</v>
      </c>
      <c r="H213" s="771">
        <f>C213/($C$38+$C$51+$C$53+$C$56+$C$57+$C$141+$C$143+$C$199+$C$209+$C$213)*$H$7</f>
        <v>4427080.6696188664</v>
      </c>
      <c r="I213" s="770">
        <f t="shared" si="188"/>
        <v>17116744.210083593</v>
      </c>
      <c r="J213" s="772">
        <f t="shared" si="155"/>
        <v>243.53685348135554</v>
      </c>
      <c r="K213" s="773">
        <v>32408</v>
      </c>
      <c r="L213" s="774">
        <f t="shared" si="156"/>
        <v>1.1696180804303709E-2</v>
      </c>
      <c r="M213" s="775">
        <f t="shared" si="189"/>
        <v>981567.35330600804</v>
      </c>
      <c r="N213" s="806">
        <v>10030.5</v>
      </c>
      <c r="O213" s="777">
        <f t="shared" si="157"/>
        <v>1.1407148957656909E-2</v>
      </c>
      <c r="P213" s="778">
        <f t="shared" si="158"/>
        <v>957311.21111044148</v>
      </c>
      <c r="Q213" s="786">
        <f t="shared" si="144"/>
        <v>1938878.5644164495</v>
      </c>
      <c r="R213" s="692">
        <f t="shared" si="145"/>
        <v>27.586343469586954</v>
      </c>
      <c r="S213" s="781">
        <v>213741666.35000002</v>
      </c>
      <c r="T213" s="782">
        <f t="shared" si="152"/>
        <v>23.111266700387073</v>
      </c>
      <c r="U213" s="777">
        <f t="shared" si="159"/>
        <v>1.2562653743491558E-2</v>
      </c>
      <c r="V213" s="783">
        <f t="shared" si="146"/>
        <v>3041.1141419099658</v>
      </c>
      <c r="W213" s="778">
        <f t="shared" si="160"/>
        <v>5007846.7673453791</v>
      </c>
      <c r="X213" s="784">
        <v>90081626.493400007</v>
      </c>
      <c r="Y213" s="782">
        <f t="shared" si="153"/>
        <v>54.837383030177925</v>
      </c>
      <c r="Z213" s="782">
        <f t="shared" si="161"/>
        <v>8.4669767619864385E-3</v>
      </c>
      <c r="AA213" s="783">
        <f t="shared" si="147"/>
        <v>1281.6804179244211</v>
      </c>
      <c r="AB213" s="692">
        <f t="shared" si="162"/>
        <v>1989584.6949957898</v>
      </c>
      <c r="AC213" s="786">
        <f t="shared" si="163"/>
        <v>6997431.4623411689</v>
      </c>
      <c r="AD213" s="787">
        <f t="shared" si="148"/>
        <v>99.559379977536409</v>
      </c>
      <c r="AE213" s="788">
        <v>1347.1491000000001</v>
      </c>
      <c r="AF213" s="774">
        <f t="shared" si="164"/>
        <v>1.4011633821726325E-3</v>
      </c>
      <c r="AG213" s="692">
        <f t="shared" si="165"/>
        <v>176382.73410784043</v>
      </c>
      <c r="AH213" s="786">
        <f t="shared" si="166"/>
        <v>176382.73410784043</v>
      </c>
      <c r="AI213" s="692">
        <f t="shared" si="149"/>
        <v>2.5095716536884702</v>
      </c>
      <c r="AJ213" s="789">
        <v>12141</v>
      </c>
      <c r="AK213" s="777">
        <f t="shared" si="167"/>
        <v>1.6138808910440977E-2</v>
      </c>
      <c r="AL213" s="692">
        <f t="shared" si="168"/>
        <v>338600.44173359603</v>
      </c>
      <c r="AM213" s="790">
        <v>132.33333333333334</v>
      </c>
      <c r="AN213" s="791">
        <f t="shared" si="169"/>
        <v>1.910950661853188E-2</v>
      </c>
      <c r="AO213" s="778">
        <f t="shared" si="170"/>
        <v>1202781.5841155229</v>
      </c>
      <c r="AP213" s="768">
        <v>1319</v>
      </c>
      <c r="AQ213" s="792">
        <f t="shared" si="171"/>
        <v>1.7827938095559912E-2</v>
      </c>
      <c r="AR213" s="793">
        <f t="shared" si="172"/>
        <v>1496156.9339731028</v>
      </c>
      <c r="AS213" s="794">
        <v>619.30555555555554</v>
      </c>
      <c r="AT213" s="791">
        <f t="shared" si="173"/>
        <v>2.4837212929387439E-2</v>
      </c>
      <c r="AU213" s="795">
        <f t="shared" si="174"/>
        <v>2084389.5769485699</v>
      </c>
      <c r="AV213" s="796">
        <v>1825</v>
      </c>
      <c r="AW213" s="791">
        <f t="shared" si="175"/>
        <v>2.3240118174409127E-2</v>
      </c>
      <c r="AX213" s="795">
        <f t="shared" si="176"/>
        <v>1462768.5952781173</v>
      </c>
      <c r="AY213" s="786">
        <f t="shared" si="177"/>
        <v>6584697.1320489086</v>
      </c>
      <c r="AZ213" s="787">
        <f t="shared" si="150"/>
        <v>93.687000342167622</v>
      </c>
      <c r="BA213" s="797">
        <f t="shared" si="154"/>
        <v>32814134.102997959</v>
      </c>
      <c r="BB213" s="775">
        <v>22896029</v>
      </c>
      <c r="BC213" s="775">
        <f t="shared" si="178"/>
        <v>0</v>
      </c>
      <c r="BD213" s="775">
        <f t="shared" si="179"/>
        <v>9918105.1029979587</v>
      </c>
      <c r="BE213" s="798">
        <f t="shared" si="180"/>
        <v>1.5432581187613675E-2</v>
      </c>
      <c r="BF213" s="775">
        <f t="shared" si="181"/>
        <v>-20430.917948782349</v>
      </c>
      <c r="BG213" s="797">
        <f t="shared" si="182"/>
        <v>32793703.185049176</v>
      </c>
      <c r="BH213" s="799">
        <v>6.5</v>
      </c>
      <c r="BI213" s="692">
        <f t="shared" si="191"/>
        <v>0</v>
      </c>
      <c r="BJ213" s="800">
        <v>2000</v>
      </c>
      <c r="BK213" s="778">
        <f t="shared" si="183"/>
        <v>0</v>
      </c>
      <c r="BL213" s="786">
        <f t="shared" si="190"/>
        <v>32793703.185049176</v>
      </c>
      <c r="BM213" s="692">
        <f t="shared" si="184"/>
        <v>32793703.185049176</v>
      </c>
      <c r="BN213" s="801">
        <f t="shared" si="185"/>
        <v>1.6023501806943886E-2</v>
      </c>
      <c r="BO213" s="787">
        <f t="shared" si="186"/>
        <v>79201.465539747194</v>
      </c>
      <c r="BP213" s="802">
        <f t="shared" si="187"/>
        <v>32872905</v>
      </c>
      <c r="BQ213" s="803">
        <f t="shared" si="151"/>
        <v>467.71534061806386</v>
      </c>
      <c r="BR213" s="682"/>
      <c r="BS213" s="618"/>
    </row>
    <row r="214" spans="1:71" ht="15.75">
      <c r="A214" s="766" t="s">
        <v>3843</v>
      </c>
      <c r="B214" s="767" t="s">
        <v>3844</v>
      </c>
      <c r="C214" s="768">
        <v>13420</v>
      </c>
      <c r="D214" s="769">
        <v>0</v>
      </c>
      <c r="E214" s="770">
        <v>0</v>
      </c>
      <c r="F214" s="771">
        <v>0</v>
      </c>
      <c r="G214" s="770">
        <v>0</v>
      </c>
      <c r="H214" s="771">
        <v>0</v>
      </c>
      <c r="I214" s="770">
        <f t="shared" si="188"/>
        <v>0</v>
      </c>
      <c r="J214" s="772">
        <f t="shared" si="155"/>
        <v>0</v>
      </c>
      <c r="K214" s="773">
        <v>3321</v>
      </c>
      <c r="L214" s="774">
        <f t="shared" si="156"/>
        <v>1.1985625910606215E-3</v>
      </c>
      <c r="M214" s="775">
        <f t="shared" si="189"/>
        <v>100585.81770949312</v>
      </c>
      <c r="N214" s="806">
        <v>141.5</v>
      </c>
      <c r="O214" s="777">
        <f t="shared" si="157"/>
        <v>1.6092035068126739E-4</v>
      </c>
      <c r="P214" s="778">
        <f t="shared" si="158"/>
        <v>13504.764106687349</v>
      </c>
      <c r="Q214" s="786">
        <f t="shared" si="144"/>
        <v>114090.58181618046</v>
      </c>
      <c r="R214" s="692">
        <f t="shared" si="145"/>
        <v>8.5015336673755932</v>
      </c>
      <c r="S214" s="807">
        <v>56252750.380000003</v>
      </c>
      <c r="T214" s="782">
        <f t="shared" si="152"/>
        <v>3.2015572355735187</v>
      </c>
      <c r="U214" s="777">
        <f t="shared" si="159"/>
        <v>1.7402791249778852E-3</v>
      </c>
      <c r="V214" s="783">
        <f t="shared" si="146"/>
        <v>4191.7101624441138</v>
      </c>
      <c r="W214" s="778">
        <f t="shared" si="160"/>
        <v>693726.92810340563</v>
      </c>
      <c r="X214" s="784">
        <v>8276097.5907000005</v>
      </c>
      <c r="Y214" s="782">
        <f t="shared" si="153"/>
        <v>21.761029038900841</v>
      </c>
      <c r="Z214" s="782">
        <f t="shared" si="161"/>
        <v>3.359936543432235E-3</v>
      </c>
      <c r="AA214" s="783">
        <f t="shared" si="147"/>
        <v>616.69877725037259</v>
      </c>
      <c r="AB214" s="692">
        <f t="shared" si="162"/>
        <v>789523.64118706889</v>
      </c>
      <c r="AC214" s="786">
        <f t="shared" si="163"/>
        <v>1483250.5692904745</v>
      </c>
      <c r="AD214" s="787">
        <f t="shared" si="148"/>
        <v>110.52537774146606</v>
      </c>
      <c r="AE214" s="788">
        <v>3348.4292999999998</v>
      </c>
      <c r="AF214" s="774">
        <f t="shared" si="164"/>
        <v>3.4826854154109146E-3</v>
      </c>
      <c r="AG214" s="692">
        <f t="shared" si="165"/>
        <v>438411.09710929706</v>
      </c>
      <c r="AH214" s="786">
        <f t="shared" si="166"/>
        <v>438411.09710929706</v>
      </c>
      <c r="AI214" s="692">
        <f t="shared" si="149"/>
        <v>32.668487116937186</v>
      </c>
      <c r="AJ214" s="789">
        <v>1236</v>
      </c>
      <c r="AK214" s="777">
        <f t="shared" si="167"/>
        <v>1.642992159896635E-3</v>
      </c>
      <c r="AL214" s="692">
        <f t="shared" si="168"/>
        <v>34470.813440632948</v>
      </c>
      <c r="AM214" s="790">
        <v>2.6666666666666665</v>
      </c>
      <c r="AN214" s="791">
        <f t="shared" si="169"/>
        <v>3.8507821901323682E-4</v>
      </c>
      <c r="AO214" s="778">
        <f t="shared" si="170"/>
        <v>24237.412274368216</v>
      </c>
      <c r="AP214" s="768">
        <v>83</v>
      </c>
      <c r="AQ214" s="792">
        <f t="shared" si="171"/>
        <v>1.1218490234506996E-3</v>
      </c>
      <c r="AR214" s="793">
        <f t="shared" si="172"/>
        <v>94147.85861999054</v>
      </c>
      <c r="AS214" s="794">
        <v>13.5</v>
      </c>
      <c r="AT214" s="791">
        <f t="shared" si="173"/>
        <v>5.4141670705011417E-4</v>
      </c>
      <c r="AU214" s="795">
        <f t="shared" si="174"/>
        <v>45436.794545727964</v>
      </c>
      <c r="AV214" s="796">
        <v>10</v>
      </c>
      <c r="AW214" s="791">
        <f t="shared" si="175"/>
        <v>1.2734311328443357E-4</v>
      </c>
      <c r="AX214" s="795">
        <f t="shared" si="176"/>
        <v>8015.1703850855738</v>
      </c>
      <c r="AY214" s="786">
        <f t="shared" si="177"/>
        <v>206308.04926580525</v>
      </c>
      <c r="AZ214" s="787">
        <f t="shared" si="150"/>
        <v>15.373178037690407</v>
      </c>
      <c r="BA214" s="797">
        <f t="shared" si="154"/>
        <v>2242060.2974817571</v>
      </c>
      <c r="BB214" s="775">
        <v>1787712</v>
      </c>
      <c r="BC214" s="775">
        <f t="shared" si="178"/>
        <v>0</v>
      </c>
      <c r="BD214" s="775">
        <f t="shared" si="179"/>
        <v>454348.29748175712</v>
      </c>
      <c r="BE214" s="798">
        <f t="shared" si="180"/>
        <v>7.0696639282657038E-4</v>
      </c>
      <c r="BF214" s="775">
        <f t="shared" si="181"/>
        <v>-935.94015082707938</v>
      </c>
      <c r="BG214" s="797">
        <f t="shared" si="182"/>
        <v>2241124.35733093</v>
      </c>
      <c r="BH214" s="799">
        <v>8</v>
      </c>
      <c r="BI214" s="692">
        <f t="shared" si="191"/>
        <v>0</v>
      </c>
      <c r="BJ214" s="800">
        <v>1200</v>
      </c>
      <c r="BK214" s="778">
        <f t="shared" si="183"/>
        <v>0</v>
      </c>
      <c r="BL214" s="786">
        <f t="shared" si="190"/>
        <v>2241124.35733093</v>
      </c>
      <c r="BM214" s="692">
        <f t="shared" si="184"/>
        <v>2241124.35733093</v>
      </c>
      <c r="BN214" s="801">
        <f t="shared" si="185"/>
        <v>1.0950474237886611E-3</v>
      </c>
      <c r="BO214" s="787">
        <f t="shared" si="186"/>
        <v>5412.6346315885748</v>
      </c>
      <c r="BP214" s="802">
        <f t="shared" si="187"/>
        <v>2246537</v>
      </c>
      <c r="BQ214" s="803">
        <f t="shared" si="151"/>
        <v>167.40216095380029</v>
      </c>
      <c r="BR214" s="682"/>
      <c r="BS214" s="618"/>
    </row>
    <row r="215" spans="1:71" ht="15.75">
      <c r="A215" s="805" t="s">
        <v>3845</v>
      </c>
      <c r="B215" s="767" t="s">
        <v>3846</v>
      </c>
      <c r="C215" s="768">
        <v>22764</v>
      </c>
      <c r="D215" s="769">
        <v>0</v>
      </c>
      <c r="E215" s="770">
        <v>0</v>
      </c>
      <c r="F215" s="771">
        <v>0</v>
      </c>
      <c r="G215" s="770">
        <v>0</v>
      </c>
      <c r="H215" s="771">
        <v>0</v>
      </c>
      <c r="I215" s="770">
        <f t="shared" si="188"/>
        <v>0</v>
      </c>
      <c r="J215" s="772">
        <f t="shared" si="155"/>
        <v>0</v>
      </c>
      <c r="K215" s="773">
        <v>8561</v>
      </c>
      <c r="L215" s="774">
        <f t="shared" si="156"/>
        <v>3.0897001933363386E-3</v>
      </c>
      <c r="M215" s="775">
        <f t="shared" si="189"/>
        <v>259293.94321317994</v>
      </c>
      <c r="N215" s="806">
        <v>523</v>
      </c>
      <c r="O215" s="777">
        <f t="shared" si="157"/>
        <v>5.9477981205867739E-4</v>
      </c>
      <c r="P215" s="778">
        <f t="shared" si="158"/>
        <v>49915.135178780809</v>
      </c>
      <c r="Q215" s="786">
        <f t="shared" si="144"/>
        <v>309209.07839196076</v>
      </c>
      <c r="R215" s="692">
        <f t="shared" si="145"/>
        <v>13.583248918993181</v>
      </c>
      <c r="S215" s="807">
        <v>81715958.720000014</v>
      </c>
      <c r="T215" s="782">
        <f t="shared" si="152"/>
        <v>6.3414748369484704</v>
      </c>
      <c r="U215" s="777">
        <f t="shared" si="159"/>
        <v>3.4470526272934216E-3</v>
      </c>
      <c r="V215" s="783">
        <f t="shared" si="146"/>
        <v>3589.7012264979799</v>
      </c>
      <c r="W215" s="778">
        <f t="shared" si="160"/>
        <v>1374097.5202316621</v>
      </c>
      <c r="X215" s="784">
        <v>19579985.8391</v>
      </c>
      <c r="Y215" s="782">
        <f t="shared" si="153"/>
        <v>26.465785024480855</v>
      </c>
      <c r="Z215" s="782">
        <f t="shared" si="161"/>
        <v>4.0863581448934263E-3</v>
      </c>
      <c r="AA215" s="783">
        <f t="shared" si="147"/>
        <v>860.12940779739938</v>
      </c>
      <c r="AB215" s="692">
        <f t="shared" si="162"/>
        <v>960219.43273220141</v>
      </c>
      <c r="AC215" s="786">
        <f t="shared" si="163"/>
        <v>2334316.9529638635</v>
      </c>
      <c r="AD215" s="787">
        <f t="shared" si="148"/>
        <v>102.54423444754276</v>
      </c>
      <c r="AE215" s="788">
        <v>5995.8705</v>
      </c>
      <c r="AF215" s="774">
        <f t="shared" si="164"/>
        <v>6.2362764365496825E-3</v>
      </c>
      <c r="AG215" s="692">
        <f t="shared" si="165"/>
        <v>785041.56083876989</v>
      </c>
      <c r="AH215" s="786">
        <f t="shared" si="166"/>
        <v>785041.56083876989</v>
      </c>
      <c r="AI215" s="692">
        <f t="shared" si="149"/>
        <v>34.486099140694513</v>
      </c>
      <c r="AJ215" s="789">
        <v>2311</v>
      </c>
      <c r="AK215" s="777">
        <f t="shared" si="167"/>
        <v>3.071969968868223E-3</v>
      </c>
      <c r="AL215" s="692">
        <f t="shared" si="168"/>
        <v>64451.496651539441</v>
      </c>
      <c r="AM215" s="790">
        <v>7.666666666666667</v>
      </c>
      <c r="AN215" s="791">
        <f t="shared" si="169"/>
        <v>1.107099879663056E-3</v>
      </c>
      <c r="AO215" s="778">
        <f t="shared" si="170"/>
        <v>69682.560288808629</v>
      </c>
      <c r="AP215" s="768">
        <v>134</v>
      </c>
      <c r="AQ215" s="792">
        <f t="shared" si="171"/>
        <v>1.8111779414746233E-3</v>
      </c>
      <c r="AR215" s="793">
        <f t="shared" si="172"/>
        <v>151997.74765155101</v>
      </c>
      <c r="AS215" s="794">
        <v>39.25</v>
      </c>
      <c r="AT215" s="791">
        <f t="shared" si="173"/>
        <v>1.5741189445716282E-3</v>
      </c>
      <c r="AU215" s="795">
        <f t="shared" si="174"/>
        <v>132103.27303109795</v>
      </c>
      <c r="AV215" s="796">
        <v>45</v>
      </c>
      <c r="AW215" s="791">
        <f t="shared" si="175"/>
        <v>5.7304400977995114E-4</v>
      </c>
      <c r="AX215" s="795">
        <f t="shared" si="176"/>
        <v>36068.266732885088</v>
      </c>
      <c r="AY215" s="786">
        <f t="shared" si="177"/>
        <v>454303.34435588215</v>
      </c>
      <c r="AZ215" s="787">
        <f t="shared" si="150"/>
        <v>19.95709648374109</v>
      </c>
      <c r="BA215" s="797">
        <f t="shared" si="154"/>
        <v>3882870.9365504766</v>
      </c>
      <c r="BB215" s="775">
        <v>2952150</v>
      </c>
      <c r="BC215" s="775">
        <f t="shared" si="178"/>
        <v>0</v>
      </c>
      <c r="BD215" s="775">
        <f t="shared" si="179"/>
        <v>930720.93655047659</v>
      </c>
      <c r="BE215" s="798">
        <f t="shared" si="180"/>
        <v>1.4482026825855488E-3</v>
      </c>
      <c r="BF215" s="775">
        <f t="shared" si="181"/>
        <v>-1917.2496046778951</v>
      </c>
      <c r="BG215" s="797">
        <f t="shared" si="182"/>
        <v>3880953.6869457988</v>
      </c>
      <c r="BH215" s="799">
        <v>8</v>
      </c>
      <c r="BI215" s="692">
        <f t="shared" si="191"/>
        <v>0</v>
      </c>
      <c r="BJ215" s="800">
        <v>1300</v>
      </c>
      <c r="BK215" s="778">
        <f t="shared" si="183"/>
        <v>0</v>
      </c>
      <c r="BL215" s="786">
        <f t="shared" si="190"/>
        <v>3880953.6869457988</v>
      </c>
      <c r="BM215" s="692">
        <f t="shared" si="184"/>
        <v>3880953.6869457988</v>
      </c>
      <c r="BN215" s="801">
        <f t="shared" si="185"/>
        <v>1.8962929579661707E-3</v>
      </c>
      <c r="BO215" s="787">
        <f t="shared" si="186"/>
        <v>9373.0561005421114</v>
      </c>
      <c r="BP215" s="802">
        <f t="shared" si="187"/>
        <v>3890327</v>
      </c>
      <c r="BQ215" s="803">
        <f t="shared" si="151"/>
        <v>170.89821648216483</v>
      </c>
      <c r="BR215" s="682"/>
      <c r="BS215" s="618"/>
    </row>
    <row r="216" spans="1:71" ht="15.75">
      <c r="A216" s="805" t="s">
        <v>3847</v>
      </c>
      <c r="B216" s="767" t="s">
        <v>3848</v>
      </c>
      <c r="C216" s="768">
        <v>7556</v>
      </c>
      <c r="D216" s="769">
        <v>0</v>
      </c>
      <c r="E216" s="770">
        <v>0</v>
      </c>
      <c r="F216" s="771">
        <v>0</v>
      </c>
      <c r="G216" s="770">
        <v>0</v>
      </c>
      <c r="H216" s="771">
        <v>0</v>
      </c>
      <c r="I216" s="770">
        <f t="shared" si="188"/>
        <v>0</v>
      </c>
      <c r="J216" s="772">
        <f t="shared" si="155"/>
        <v>0</v>
      </c>
      <c r="K216" s="773">
        <v>2952</v>
      </c>
      <c r="L216" s="774">
        <f t="shared" si="156"/>
        <v>1.0653889698316636E-3</v>
      </c>
      <c r="M216" s="775">
        <f t="shared" si="189"/>
        <v>89409.61574177166</v>
      </c>
      <c r="N216" s="806">
        <v>75.5</v>
      </c>
      <c r="O216" s="777">
        <f t="shared" si="157"/>
        <v>8.5862095239828189E-5</v>
      </c>
      <c r="P216" s="778">
        <f t="shared" si="158"/>
        <v>7205.7221912006707</v>
      </c>
      <c r="Q216" s="786">
        <f t="shared" si="144"/>
        <v>96615.337932972325</v>
      </c>
      <c r="R216" s="692">
        <f t="shared" si="145"/>
        <v>12.786571986894167</v>
      </c>
      <c r="S216" s="807">
        <v>22406972.440000001</v>
      </c>
      <c r="T216" s="782">
        <f t="shared" si="152"/>
        <v>2.5480075968710389</v>
      </c>
      <c r="U216" s="777">
        <f t="shared" si="159"/>
        <v>1.3850273803789725E-3</v>
      </c>
      <c r="V216" s="783">
        <f t="shared" si="146"/>
        <v>2965.4542668078352</v>
      </c>
      <c r="W216" s="778">
        <f t="shared" si="160"/>
        <v>552113.03528198192</v>
      </c>
      <c r="X216" s="784">
        <v>8412639.534</v>
      </c>
      <c r="Y216" s="782">
        <f t="shared" si="153"/>
        <v>6.7865900790418916</v>
      </c>
      <c r="Z216" s="782">
        <f t="shared" si="161"/>
        <v>1.0478600056598828E-3</v>
      </c>
      <c r="AA216" s="783">
        <f t="shared" si="147"/>
        <v>1113.3720929062997</v>
      </c>
      <c r="AB216" s="692">
        <f t="shared" si="162"/>
        <v>246227.93806628895</v>
      </c>
      <c r="AC216" s="786">
        <f t="shared" si="163"/>
        <v>798340.97334827087</v>
      </c>
      <c r="AD216" s="787">
        <f t="shared" si="148"/>
        <v>105.65656079251865</v>
      </c>
      <c r="AE216" s="788">
        <v>1083.1447000000001</v>
      </c>
      <c r="AF216" s="774">
        <f t="shared" si="164"/>
        <v>1.1265736593183051E-3</v>
      </c>
      <c r="AG216" s="692">
        <f t="shared" si="165"/>
        <v>141816.53955038576</v>
      </c>
      <c r="AH216" s="786">
        <f t="shared" si="166"/>
        <v>141816.53955038576</v>
      </c>
      <c r="AI216" s="692">
        <f t="shared" si="149"/>
        <v>18.768732073899649</v>
      </c>
      <c r="AJ216" s="789">
        <v>911</v>
      </c>
      <c r="AK216" s="777">
        <f t="shared" si="167"/>
        <v>1.2109756129982481E-3</v>
      </c>
      <c r="AL216" s="692">
        <f t="shared" si="168"/>
        <v>25406.885958265873</v>
      </c>
      <c r="AM216" s="790">
        <v>2.3333333333333335</v>
      </c>
      <c r="AN216" s="791">
        <f t="shared" si="169"/>
        <v>3.3694344163658226E-4</v>
      </c>
      <c r="AO216" s="778">
        <f t="shared" si="170"/>
        <v>21207.735740072192</v>
      </c>
      <c r="AP216" s="768">
        <v>53</v>
      </c>
      <c r="AQ216" s="792">
        <f t="shared" si="171"/>
        <v>7.1636142461309728E-4</v>
      </c>
      <c r="AR216" s="793">
        <f t="shared" si="172"/>
        <v>60118.512130837335</v>
      </c>
      <c r="AS216" s="794">
        <v>6.25</v>
      </c>
      <c r="AT216" s="791">
        <f t="shared" si="173"/>
        <v>2.5065588289357137E-4</v>
      </c>
      <c r="AU216" s="795">
        <f t="shared" si="174"/>
        <v>21035.553030429612</v>
      </c>
      <c r="AV216" s="796">
        <v>61</v>
      </c>
      <c r="AW216" s="791">
        <f t="shared" si="175"/>
        <v>7.7679299103504483E-4</v>
      </c>
      <c r="AX216" s="795">
        <f t="shared" si="176"/>
        <v>48892.539349022009</v>
      </c>
      <c r="AY216" s="786">
        <f t="shared" si="177"/>
        <v>176661.22620862699</v>
      </c>
      <c r="AZ216" s="787">
        <f t="shared" si="150"/>
        <v>23.380257571284673</v>
      </c>
      <c r="BA216" s="797">
        <f t="shared" si="154"/>
        <v>1213434.077040256</v>
      </c>
      <c r="BB216" s="775">
        <v>846605</v>
      </c>
      <c r="BC216" s="775">
        <f t="shared" si="178"/>
        <v>0</v>
      </c>
      <c r="BD216" s="775">
        <f t="shared" si="179"/>
        <v>366829.077040256</v>
      </c>
      <c r="BE216" s="798">
        <f t="shared" si="180"/>
        <v>5.7078640068957808E-4</v>
      </c>
      <c r="BF216" s="775">
        <f t="shared" si="181"/>
        <v>-755.6538972320036</v>
      </c>
      <c r="BG216" s="797">
        <f t="shared" si="182"/>
        <v>1212678.4231430241</v>
      </c>
      <c r="BH216" s="799">
        <v>7</v>
      </c>
      <c r="BI216" s="692">
        <f t="shared" si="191"/>
        <v>0</v>
      </c>
      <c r="BJ216" s="800">
        <v>1200</v>
      </c>
      <c r="BK216" s="778">
        <f t="shared" si="183"/>
        <v>0</v>
      </c>
      <c r="BL216" s="786">
        <f t="shared" si="190"/>
        <v>1212678.4231430241</v>
      </c>
      <c r="BM216" s="692">
        <f t="shared" si="184"/>
        <v>1212678.4231430241</v>
      </c>
      <c r="BN216" s="801">
        <f t="shared" si="185"/>
        <v>5.9253310901871443E-4</v>
      </c>
      <c r="BO216" s="787">
        <f t="shared" si="186"/>
        <v>2928.7911706520845</v>
      </c>
      <c r="BP216" s="802">
        <f t="shared" si="187"/>
        <v>1215607</v>
      </c>
      <c r="BQ216" s="803">
        <f t="shared" si="151"/>
        <v>160.87969825304393</v>
      </c>
      <c r="BR216" s="682"/>
      <c r="BS216" s="618"/>
    </row>
    <row r="217" spans="1:71" ht="15.75">
      <c r="A217" s="805" t="s">
        <v>3849</v>
      </c>
      <c r="B217" s="767" t="s">
        <v>3850</v>
      </c>
      <c r="C217" s="768">
        <v>10162</v>
      </c>
      <c r="D217" s="769">
        <v>0</v>
      </c>
      <c r="E217" s="770">
        <v>0</v>
      </c>
      <c r="F217" s="771">
        <v>0</v>
      </c>
      <c r="G217" s="770">
        <v>0</v>
      </c>
      <c r="H217" s="771">
        <v>0</v>
      </c>
      <c r="I217" s="770">
        <f t="shared" si="188"/>
        <v>0</v>
      </c>
      <c r="J217" s="772">
        <f t="shared" si="155"/>
        <v>0</v>
      </c>
      <c r="K217" s="773">
        <v>5115</v>
      </c>
      <c r="L217" s="774">
        <f t="shared" si="156"/>
        <v>1.8460245869542542E-3</v>
      </c>
      <c r="M217" s="775">
        <f t="shared" si="189"/>
        <v>154922.1492273584</v>
      </c>
      <c r="N217" s="806">
        <v>90.5</v>
      </c>
      <c r="O217" s="777">
        <f t="shared" si="157"/>
        <v>1.029207896583371E-4</v>
      </c>
      <c r="P217" s="778">
        <f t="shared" si="158"/>
        <v>8637.3226265385529</v>
      </c>
      <c r="Q217" s="786">
        <f t="shared" si="144"/>
        <v>163559.47185389695</v>
      </c>
      <c r="R217" s="692">
        <f t="shared" si="145"/>
        <v>16.095204866551558</v>
      </c>
      <c r="S217" s="807">
        <v>29886983.79999999</v>
      </c>
      <c r="T217" s="782">
        <f t="shared" si="152"/>
        <v>3.4552246787780585</v>
      </c>
      <c r="U217" s="777">
        <f t="shared" si="159"/>
        <v>1.8781658231103624E-3</v>
      </c>
      <c r="V217" s="783">
        <f t="shared" si="146"/>
        <v>2941.0533162763227</v>
      </c>
      <c r="W217" s="778">
        <f t="shared" si="160"/>
        <v>748692.65983507864</v>
      </c>
      <c r="X217" s="784">
        <v>10375332.079299999</v>
      </c>
      <c r="Y217" s="782">
        <f t="shared" si="153"/>
        <v>9.9530543418487998</v>
      </c>
      <c r="Z217" s="782">
        <f t="shared" si="161"/>
        <v>1.5367669857047259E-3</v>
      </c>
      <c r="AA217" s="783">
        <f t="shared" si="147"/>
        <v>1020.9931193957882</v>
      </c>
      <c r="AB217" s="692">
        <f t="shared" si="162"/>
        <v>361112.13724597602</v>
      </c>
      <c r="AC217" s="786">
        <f t="shared" si="163"/>
        <v>1109804.7970810547</v>
      </c>
      <c r="AD217" s="787">
        <f t="shared" si="148"/>
        <v>109.21125733921026</v>
      </c>
      <c r="AE217" s="788">
        <v>1700.1062999999999</v>
      </c>
      <c r="AF217" s="774">
        <f t="shared" si="164"/>
        <v>1.7682724899278036E-3</v>
      </c>
      <c r="AG217" s="692">
        <f t="shared" si="165"/>
        <v>222595.5519459311</v>
      </c>
      <c r="AH217" s="786">
        <f t="shared" si="166"/>
        <v>222595.5519459311</v>
      </c>
      <c r="AI217" s="692">
        <f t="shared" si="149"/>
        <v>21.904699069664545</v>
      </c>
      <c r="AJ217" s="789">
        <v>1012</v>
      </c>
      <c r="AK217" s="777">
        <f t="shared" si="167"/>
        <v>1.3452330629574391E-3</v>
      </c>
      <c r="AL217" s="692">
        <f t="shared" si="168"/>
        <v>28223.675729709179</v>
      </c>
      <c r="AM217" s="790">
        <v>6.666666666666667</v>
      </c>
      <c r="AN217" s="791">
        <f t="shared" si="169"/>
        <v>9.6269554753309217E-4</v>
      </c>
      <c r="AO217" s="778">
        <f t="shared" si="170"/>
        <v>60593.530685920545</v>
      </c>
      <c r="AP217" s="768">
        <v>112</v>
      </c>
      <c r="AQ217" s="792">
        <f t="shared" si="171"/>
        <v>1.5138203689937148E-3</v>
      </c>
      <c r="AR217" s="793">
        <f t="shared" si="172"/>
        <v>127042.89355950529</v>
      </c>
      <c r="AS217" s="794">
        <v>14.861111111111112</v>
      </c>
      <c r="AT217" s="791">
        <f t="shared" si="173"/>
        <v>5.9600398821360308E-4</v>
      </c>
      <c r="AU217" s="795">
        <f t="shared" si="174"/>
        <v>50017.870539021525</v>
      </c>
      <c r="AV217" s="796">
        <v>30</v>
      </c>
      <c r="AW217" s="791">
        <f t="shared" si="175"/>
        <v>3.8202933985330076E-4</v>
      </c>
      <c r="AX217" s="795">
        <f t="shared" si="176"/>
        <v>24045.511155256725</v>
      </c>
      <c r="AY217" s="786">
        <f t="shared" si="177"/>
        <v>289923.48166941322</v>
      </c>
      <c r="AZ217" s="787">
        <f t="shared" si="150"/>
        <v>28.530159581717498</v>
      </c>
      <c r="BA217" s="797">
        <f t="shared" si="154"/>
        <v>1785883.3025502958</v>
      </c>
      <c r="BB217" s="775">
        <v>1120280</v>
      </c>
      <c r="BC217" s="775">
        <f t="shared" si="178"/>
        <v>0</v>
      </c>
      <c r="BD217" s="775">
        <f t="shared" si="179"/>
        <v>665603.30255029583</v>
      </c>
      <c r="BE217" s="798">
        <f t="shared" si="180"/>
        <v>1.0356793862011308E-3</v>
      </c>
      <c r="BF217" s="775">
        <f t="shared" si="181"/>
        <v>-1371.1173978921736</v>
      </c>
      <c r="BG217" s="797">
        <f t="shared" si="182"/>
        <v>1784512.1851524035</v>
      </c>
      <c r="BH217" s="799">
        <v>7</v>
      </c>
      <c r="BI217" s="692">
        <f t="shared" si="191"/>
        <v>0</v>
      </c>
      <c r="BJ217" s="800">
        <v>1280</v>
      </c>
      <c r="BK217" s="778">
        <f t="shared" si="183"/>
        <v>0</v>
      </c>
      <c r="BL217" s="786">
        <f t="shared" si="190"/>
        <v>1784512.1851524035</v>
      </c>
      <c r="BM217" s="692">
        <f t="shared" si="184"/>
        <v>1784512.1851524035</v>
      </c>
      <c r="BN217" s="801">
        <f t="shared" si="185"/>
        <v>8.7193977642449161E-4</v>
      </c>
      <c r="BO217" s="787">
        <f t="shared" si="186"/>
        <v>4309.8511790532657</v>
      </c>
      <c r="BP217" s="802">
        <f t="shared" si="187"/>
        <v>1788822</v>
      </c>
      <c r="BQ217" s="803">
        <f t="shared" si="151"/>
        <v>176.0305058059437</v>
      </c>
      <c r="BR217" s="682"/>
      <c r="BS217" s="618"/>
    </row>
    <row r="218" spans="1:71" ht="15.75">
      <c r="A218" s="766" t="s">
        <v>3851</v>
      </c>
      <c r="B218" s="767" t="s">
        <v>3852</v>
      </c>
      <c r="C218" s="768">
        <v>13679</v>
      </c>
      <c r="D218" s="769">
        <v>0</v>
      </c>
      <c r="E218" s="770">
        <v>0</v>
      </c>
      <c r="F218" s="771">
        <v>0</v>
      </c>
      <c r="G218" s="770">
        <v>0</v>
      </c>
      <c r="H218" s="771">
        <v>0</v>
      </c>
      <c r="I218" s="770">
        <f t="shared" si="188"/>
        <v>0</v>
      </c>
      <c r="J218" s="772">
        <f t="shared" si="155"/>
        <v>0</v>
      </c>
      <c r="K218" s="773">
        <v>3148</v>
      </c>
      <c r="L218" s="774">
        <f t="shared" si="156"/>
        <v>1.136126177855717E-3</v>
      </c>
      <c r="M218" s="775">
        <f t="shared" si="189"/>
        <v>95346.026543054599</v>
      </c>
      <c r="N218" s="806">
        <v>1298.5</v>
      </c>
      <c r="O218" s="777">
        <f t="shared" si="157"/>
        <v>1.4767143134955881E-3</v>
      </c>
      <c r="P218" s="778">
        <f t="shared" si="158"/>
        <v>123928.87768574928</v>
      </c>
      <c r="Q218" s="786">
        <f t="shared" si="144"/>
        <v>219274.90422880388</v>
      </c>
      <c r="R218" s="692">
        <f t="shared" si="145"/>
        <v>16.030039054668023</v>
      </c>
      <c r="S218" s="807">
        <v>59411280.87000002</v>
      </c>
      <c r="T218" s="782">
        <f t="shared" si="152"/>
        <v>3.1494867348413713</v>
      </c>
      <c r="U218" s="777">
        <f t="shared" si="159"/>
        <v>1.7119750220730783E-3</v>
      </c>
      <c r="V218" s="783">
        <f t="shared" si="146"/>
        <v>4343.2473770012439</v>
      </c>
      <c r="W218" s="778">
        <f t="shared" si="160"/>
        <v>682444.07233673439</v>
      </c>
      <c r="X218" s="784">
        <v>12083112.6515</v>
      </c>
      <c r="Y218" s="782">
        <f t="shared" si="153"/>
        <v>15.485665523177218</v>
      </c>
      <c r="Z218" s="782">
        <f t="shared" si="161"/>
        <v>2.391010709910798E-3</v>
      </c>
      <c r="AA218" s="783">
        <f t="shared" si="147"/>
        <v>883.33303980554126</v>
      </c>
      <c r="AB218" s="692">
        <f t="shared" si="162"/>
        <v>561843.79002517462</v>
      </c>
      <c r="AC218" s="786">
        <f t="shared" si="163"/>
        <v>1244287.8623619089</v>
      </c>
      <c r="AD218" s="787">
        <f t="shared" si="148"/>
        <v>90.963364453681478</v>
      </c>
      <c r="AE218" s="788">
        <v>1277.8324</v>
      </c>
      <c r="AF218" s="774">
        <f t="shared" si="164"/>
        <v>1.3290674116426845E-3</v>
      </c>
      <c r="AG218" s="692">
        <f t="shared" si="165"/>
        <v>167307.07272386077</v>
      </c>
      <c r="AH218" s="786">
        <f t="shared" si="166"/>
        <v>167307.07272386077</v>
      </c>
      <c r="AI218" s="692">
        <f t="shared" si="149"/>
        <v>12.230943250519831</v>
      </c>
      <c r="AJ218" s="789">
        <v>1131</v>
      </c>
      <c r="AK218" s="777">
        <f t="shared" si="167"/>
        <v>1.503417583206387E-3</v>
      </c>
      <c r="AL218" s="692">
        <f t="shared" si="168"/>
        <v>31542.467638637434</v>
      </c>
      <c r="AM218" s="790">
        <v>5.666666666666667</v>
      </c>
      <c r="AN218" s="791">
        <f t="shared" si="169"/>
        <v>8.1829121540312835E-4</v>
      </c>
      <c r="AO218" s="778">
        <f t="shared" si="170"/>
        <v>51504.501083032468</v>
      </c>
      <c r="AP218" s="768">
        <v>78</v>
      </c>
      <c r="AQ218" s="792">
        <f t="shared" si="171"/>
        <v>1.0542677569777659E-3</v>
      </c>
      <c r="AR218" s="793">
        <f t="shared" si="172"/>
        <v>88476.300871798347</v>
      </c>
      <c r="AS218" s="794">
        <v>38.75</v>
      </c>
      <c r="AT218" s="791">
        <f t="shared" si="173"/>
        <v>1.5540664739401426E-3</v>
      </c>
      <c r="AU218" s="795">
        <f t="shared" si="174"/>
        <v>130420.4287886636</v>
      </c>
      <c r="AV218" s="796">
        <v>61</v>
      </c>
      <c r="AW218" s="791">
        <f t="shared" si="175"/>
        <v>7.7679299103504483E-4</v>
      </c>
      <c r="AX218" s="795">
        <f t="shared" si="176"/>
        <v>48892.539349022009</v>
      </c>
      <c r="AY218" s="786">
        <f t="shared" si="177"/>
        <v>350836.23773115384</v>
      </c>
      <c r="AZ218" s="787">
        <f t="shared" si="150"/>
        <v>25.647798649839451</v>
      </c>
      <c r="BA218" s="797">
        <f t="shared" si="154"/>
        <v>1981706.0770457275</v>
      </c>
      <c r="BB218" s="775">
        <v>1448034</v>
      </c>
      <c r="BC218" s="775">
        <f t="shared" si="178"/>
        <v>0</v>
      </c>
      <c r="BD218" s="775">
        <f t="shared" si="179"/>
        <v>533672.07704572752</v>
      </c>
      <c r="BE218" s="798">
        <f t="shared" si="180"/>
        <v>8.3039427098641281E-4</v>
      </c>
      <c r="BF218" s="775">
        <f t="shared" si="181"/>
        <v>-1099.3441090255965</v>
      </c>
      <c r="BG218" s="797">
        <f t="shared" si="182"/>
        <v>1980606.732936702</v>
      </c>
      <c r="BH218" s="799">
        <v>7.8</v>
      </c>
      <c r="BI218" s="692">
        <f t="shared" si="191"/>
        <v>0</v>
      </c>
      <c r="BJ218" s="800">
        <v>1350</v>
      </c>
      <c r="BK218" s="778">
        <f t="shared" si="183"/>
        <v>0</v>
      </c>
      <c r="BL218" s="786">
        <f t="shared" si="190"/>
        <v>1980606.732936702</v>
      </c>
      <c r="BM218" s="692">
        <f t="shared" si="184"/>
        <v>1980606.732936702</v>
      </c>
      <c r="BN218" s="801">
        <f t="shared" si="185"/>
        <v>9.6775455290835206E-4</v>
      </c>
      <c r="BO218" s="787">
        <f t="shared" si="186"/>
        <v>4783.4474509116717</v>
      </c>
      <c r="BP218" s="802">
        <f t="shared" si="187"/>
        <v>1985390</v>
      </c>
      <c r="BQ218" s="803">
        <f t="shared" si="151"/>
        <v>145.14145770889684</v>
      </c>
      <c r="BR218" s="682"/>
      <c r="BS218" s="618"/>
    </row>
    <row r="219" spans="1:71" ht="15.75">
      <c r="A219" s="805" t="s">
        <v>3853</v>
      </c>
      <c r="B219" s="767" t="s">
        <v>3854</v>
      </c>
      <c r="C219" s="768">
        <v>30248</v>
      </c>
      <c r="D219" s="769">
        <v>0</v>
      </c>
      <c r="E219" s="770">
        <v>0</v>
      </c>
      <c r="F219" s="771">
        <v>0</v>
      </c>
      <c r="G219" s="770">
        <f>C219/($C$10+$C$60+$C$62+$C$67+$C$74+$C$80+$C$94+$C$105+$C$127+$C$141+$C$168+$C$175+$C$201+$C$219+$C$237+$C$255+$C$265+$C$267+$C$268+$C$273+$C$281)*$G$7</f>
        <v>1857619.2561543188</v>
      </c>
      <c r="H219" s="771">
        <v>0</v>
      </c>
      <c r="I219" s="770">
        <f t="shared" si="188"/>
        <v>1857619.2561543188</v>
      </c>
      <c r="J219" s="772">
        <f t="shared" si="155"/>
        <v>61.412961390978538</v>
      </c>
      <c r="K219" s="773">
        <v>17148</v>
      </c>
      <c r="L219" s="774">
        <f t="shared" si="156"/>
        <v>6.1887838938595409E-3</v>
      </c>
      <c r="M219" s="775">
        <f t="shared" si="189"/>
        <v>519375.36949183611</v>
      </c>
      <c r="N219" s="806">
        <v>7173</v>
      </c>
      <c r="O219" s="777">
        <f t="shared" si="157"/>
        <v>8.1574676709309617E-3</v>
      </c>
      <c r="P219" s="778">
        <f t="shared" si="158"/>
        <v>684591.32817857503</v>
      </c>
      <c r="Q219" s="786">
        <f t="shared" si="144"/>
        <v>1203966.6976704111</v>
      </c>
      <c r="R219" s="692">
        <f t="shared" si="145"/>
        <v>39.803183604549425</v>
      </c>
      <c r="S219" s="807">
        <v>112092457.53999999</v>
      </c>
      <c r="T219" s="782">
        <f t="shared" si="152"/>
        <v>8.1623824125142832</v>
      </c>
      <c r="U219" s="777">
        <f t="shared" si="159"/>
        <v>4.4368482826891023E-3</v>
      </c>
      <c r="V219" s="783">
        <f t="shared" si="146"/>
        <v>3705.7807967468921</v>
      </c>
      <c r="W219" s="778">
        <f t="shared" si="160"/>
        <v>1768659.4555053893</v>
      </c>
      <c r="X219" s="784">
        <v>31654186.650699999</v>
      </c>
      <c r="Y219" s="782">
        <f t="shared" si="153"/>
        <v>28.904280943821597</v>
      </c>
      <c r="Z219" s="782">
        <f t="shared" si="161"/>
        <v>4.4628656866901343E-3</v>
      </c>
      <c r="AA219" s="783">
        <f t="shared" si="147"/>
        <v>1046.4885827393546</v>
      </c>
      <c r="AB219" s="692">
        <f t="shared" si="162"/>
        <v>1048691.8194845035</v>
      </c>
      <c r="AC219" s="786">
        <f t="shared" si="163"/>
        <v>2817351.2749898927</v>
      </c>
      <c r="AD219" s="787">
        <f t="shared" si="148"/>
        <v>93.141737469911817</v>
      </c>
      <c r="AE219" s="788">
        <v>4782.1527999999998</v>
      </c>
      <c r="AF219" s="774">
        <f t="shared" si="164"/>
        <v>4.9738944199378696E-3</v>
      </c>
      <c r="AG219" s="692">
        <f t="shared" si="165"/>
        <v>626129.04969870404</v>
      </c>
      <c r="AH219" s="786">
        <f t="shared" si="166"/>
        <v>626129.04969870404</v>
      </c>
      <c r="AI219" s="692">
        <f t="shared" si="149"/>
        <v>20.699849566870672</v>
      </c>
      <c r="AJ219" s="789">
        <v>3274</v>
      </c>
      <c r="AK219" s="777">
        <f t="shared" si="167"/>
        <v>4.3520682293702127E-3</v>
      </c>
      <c r="AL219" s="692">
        <f t="shared" si="168"/>
        <v>91308.611006984036</v>
      </c>
      <c r="AM219" s="790">
        <v>21.333333333333332</v>
      </c>
      <c r="AN219" s="791">
        <f t="shared" si="169"/>
        <v>3.0806257521058945E-3</v>
      </c>
      <c r="AO219" s="778">
        <f t="shared" si="170"/>
        <v>193899.29819494573</v>
      </c>
      <c r="AP219" s="768">
        <v>260</v>
      </c>
      <c r="AQ219" s="792">
        <f t="shared" si="171"/>
        <v>3.5142258565925527E-3</v>
      </c>
      <c r="AR219" s="793">
        <f t="shared" si="172"/>
        <v>294921.00290599448</v>
      </c>
      <c r="AS219" s="794">
        <v>107.6111111111111</v>
      </c>
      <c r="AT219" s="791">
        <f t="shared" si="173"/>
        <v>4.3157372903542017E-3</v>
      </c>
      <c r="AU219" s="795">
        <f t="shared" si="174"/>
        <v>362185.47751059692</v>
      </c>
      <c r="AV219" s="796">
        <v>251</v>
      </c>
      <c r="AW219" s="791">
        <f t="shared" si="175"/>
        <v>3.1963121434392828E-3</v>
      </c>
      <c r="AX219" s="795">
        <f t="shared" si="176"/>
        <v>201180.77666564792</v>
      </c>
      <c r="AY219" s="786">
        <f t="shared" si="177"/>
        <v>1143495.1662841691</v>
      </c>
      <c r="AZ219" s="787">
        <f t="shared" si="150"/>
        <v>37.803992537826275</v>
      </c>
      <c r="BA219" s="797">
        <f t="shared" si="154"/>
        <v>7648561.4447974954</v>
      </c>
      <c r="BB219" s="775">
        <v>4661153</v>
      </c>
      <c r="BC219" s="775">
        <f t="shared" si="178"/>
        <v>0</v>
      </c>
      <c r="BD219" s="775">
        <f t="shared" si="179"/>
        <v>2987408.4447974954</v>
      </c>
      <c r="BE219" s="798">
        <f t="shared" si="180"/>
        <v>4.6484104459595119E-3</v>
      </c>
      <c r="BF219" s="775">
        <f t="shared" si="181"/>
        <v>-6153.9473701188981</v>
      </c>
      <c r="BG219" s="797">
        <f t="shared" si="182"/>
        <v>7642407.4974273769</v>
      </c>
      <c r="BH219" s="799">
        <v>7</v>
      </c>
      <c r="BI219" s="692">
        <f t="shared" si="191"/>
        <v>0</v>
      </c>
      <c r="BJ219" s="800">
        <v>1200</v>
      </c>
      <c r="BK219" s="778">
        <f t="shared" si="183"/>
        <v>0</v>
      </c>
      <c r="BL219" s="786">
        <f t="shared" si="190"/>
        <v>7642407.4974273769</v>
      </c>
      <c r="BM219" s="692">
        <f t="shared" si="184"/>
        <v>7642407.4974273769</v>
      </c>
      <c r="BN219" s="801">
        <f t="shared" si="185"/>
        <v>3.7341964600160916E-3</v>
      </c>
      <c r="BO219" s="787">
        <f t="shared" si="186"/>
        <v>18457.502973441398</v>
      </c>
      <c r="BP219" s="802">
        <f t="shared" si="187"/>
        <v>7660865</v>
      </c>
      <c r="BQ219" s="803">
        <f t="shared" si="151"/>
        <v>253.26848056069824</v>
      </c>
      <c r="BR219" s="682"/>
      <c r="BS219" s="618"/>
    </row>
    <row r="220" spans="1:71" ht="15.75">
      <c r="A220" s="766" t="s">
        <v>3855</v>
      </c>
      <c r="B220" s="767" t="s">
        <v>3856</v>
      </c>
      <c r="C220" s="768">
        <v>9110</v>
      </c>
      <c r="D220" s="769">
        <v>0</v>
      </c>
      <c r="E220" s="770">
        <v>0</v>
      </c>
      <c r="F220" s="771">
        <v>0</v>
      </c>
      <c r="G220" s="770">
        <v>0</v>
      </c>
      <c r="H220" s="771">
        <v>0</v>
      </c>
      <c r="I220" s="770">
        <f t="shared" si="188"/>
        <v>0</v>
      </c>
      <c r="J220" s="772">
        <f t="shared" si="155"/>
        <v>0</v>
      </c>
      <c r="K220" s="773">
        <v>2531</v>
      </c>
      <c r="L220" s="774">
        <f t="shared" si="156"/>
        <v>9.1344833422897704E-4</v>
      </c>
      <c r="M220" s="775">
        <f t="shared" si="189"/>
        <v>76658.447643097577</v>
      </c>
      <c r="N220" s="806">
        <v>75</v>
      </c>
      <c r="O220" s="777">
        <f t="shared" si="157"/>
        <v>8.5293472092544552E-5</v>
      </c>
      <c r="P220" s="778">
        <f t="shared" si="158"/>
        <v>7158.0021766894079</v>
      </c>
      <c r="Q220" s="786">
        <f t="shared" si="144"/>
        <v>83816.449819786983</v>
      </c>
      <c r="R220" s="692">
        <f t="shared" si="145"/>
        <v>9.2004884544222811</v>
      </c>
      <c r="S220" s="807">
        <v>28495546.180000003</v>
      </c>
      <c r="T220" s="782">
        <f t="shared" si="152"/>
        <v>2.9124586514593345</v>
      </c>
      <c r="U220" s="777">
        <f t="shared" si="159"/>
        <v>1.5831330257595616E-3</v>
      </c>
      <c r="V220" s="783">
        <f t="shared" si="146"/>
        <v>3127.9414028540068</v>
      </c>
      <c r="W220" s="778">
        <f t="shared" si="160"/>
        <v>631083.82728729607</v>
      </c>
      <c r="X220" s="784">
        <v>5490131.5316000003</v>
      </c>
      <c r="Y220" s="782">
        <f t="shared" si="153"/>
        <v>15.116595936238607</v>
      </c>
      <c r="Z220" s="782">
        <f t="shared" si="161"/>
        <v>2.3340257948129082E-3</v>
      </c>
      <c r="AA220" s="783">
        <f t="shared" si="147"/>
        <v>602.64890577387484</v>
      </c>
      <c r="AB220" s="692">
        <f t="shared" si="162"/>
        <v>548453.37711729784</v>
      </c>
      <c r="AC220" s="786">
        <f t="shared" si="163"/>
        <v>1179537.2044045939</v>
      </c>
      <c r="AD220" s="787">
        <f t="shared" si="148"/>
        <v>129.47719038469748</v>
      </c>
      <c r="AE220" s="788">
        <v>2833.1369</v>
      </c>
      <c r="AF220" s="774">
        <f t="shared" si="164"/>
        <v>2.9467322369603238E-3</v>
      </c>
      <c r="AG220" s="692">
        <f t="shared" si="165"/>
        <v>370943.67098921066</v>
      </c>
      <c r="AH220" s="786">
        <f t="shared" si="166"/>
        <v>370943.67098921066</v>
      </c>
      <c r="AI220" s="692">
        <f t="shared" si="149"/>
        <v>40.718295388497332</v>
      </c>
      <c r="AJ220" s="789">
        <v>1010</v>
      </c>
      <c r="AK220" s="777">
        <f t="shared" si="167"/>
        <v>1.3425744995919106E-3</v>
      </c>
      <c r="AL220" s="692">
        <f t="shared" si="168"/>
        <v>28167.897714433078</v>
      </c>
      <c r="AM220" s="790">
        <v>4.333333333333333</v>
      </c>
      <c r="AN220" s="791">
        <f t="shared" si="169"/>
        <v>6.257521058965098E-4</v>
      </c>
      <c r="AO220" s="778">
        <f t="shared" si="170"/>
        <v>39385.794945848349</v>
      </c>
      <c r="AP220" s="768">
        <v>68</v>
      </c>
      <c r="AQ220" s="792">
        <f t="shared" si="171"/>
        <v>9.1910522403189831E-4</v>
      </c>
      <c r="AR220" s="793">
        <f t="shared" si="172"/>
        <v>77133.18537541393</v>
      </c>
      <c r="AS220" s="794">
        <v>6.166666666666667</v>
      </c>
      <c r="AT220" s="791">
        <f t="shared" si="173"/>
        <v>2.4731380445499045E-4</v>
      </c>
      <c r="AU220" s="795">
        <f t="shared" si="174"/>
        <v>20755.078990023885</v>
      </c>
      <c r="AV220" s="796">
        <v>43</v>
      </c>
      <c r="AW220" s="791">
        <f t="shared" si="175"/>
        <v>5.4757538712306441E-4</v>
      </c>
      <c r="AX220" s="795">
        <f t="shared" si="176"/>
        <v>34465.232655867971</v>
      </c>
      <c r="AY220" s="786">
        <f t="shared" si="177"/>
        <v>199907.18968158722</v>
      </c>
      <c r="AZ220" s="787">
        <f t="shared" si="150"/>
        <v>21.943709075915173</v>
      </c>
      <c r="BA220" s="797">
        <f t="shared" si="154"/>
        <v>1834204.5148951788</v>
      </c>
      <c r="BB220" s="775">
        <v>1209597</v>
      </c>
      <c r="BC220" s="775">
        <f t="shared" si="178"/>
        <v>0</v>
      </c>
      <c r="BD220" s="775">
        <f t="shared" si="179"/>
        <v>624607.51489517884</v>
      </c>
      <c r="BE220" s="798">
        <f t="shared" si="180"/>
        <v>9.7188990073313291E-4</v>
      </c>
      <c r="BF220" s="775">
        <f t="shared" si="181"/>
        <v>-1286.6676400877091</v>
      </c>
      <c r="BG220" s="797">
        <f t="shared" si="182"/>
        <v>1832917.8472550912</v>
      </c>
      <c r="BH220" s="799">
        <v>8</v>
      </c>
      <c r="BI220" s="692">
        <f t="shared" si="191"/>
        <v>0</v>
      </c>
      <c r="BJ220" s="800">
        <v>1900</v>
      </c>
      <c r="BK220" s="778">
        <f t="shared" si="183"/>
        <v>0</v>
      </c>
      <c r="BL220" s="786">
        <f t="shared" si="190"/>
        <v>1832917.8472550912</v>
      </c>
      <c r="BM220" s="692">
        <f t="shared" si="184"/>
        <v>1832917.8472550912</v>
      </c>
      <c r="BN220" s="801">
        <f t="shared" si="185"/>
        <v>8.9559151864439268E-4</v>
      </c>
      <c r="BO220" s="787">
        <f t="shared" si="186"/>
        <v>4426.7577497238972</v>
      </c>
      <c r="BP220" s="802">
        <f t="shared" si="187"/>
        <v>1837345</v>
      </c>
      <c r="BQ220" s="803">
        <f t="shared" si="151"/>
        <v>201.68441273326016</v>
      </c>
      <c r="BR220" s="682"/>
      <c r="BS220" s="618"/>
    </row>
    <row r="221" spans="1:71" ht="15.75">
      <c r="A221" s="805" t="s">
        <v>3857</v>
      </c>
      <c r="B221" s="767" t="s">
        <v>3858</v>
      </c>
      <c r="C221" s="768">
        <v>11046</v>
      </c>
      <c r="D221" s="769">
        <v>0</v>
      </c>
      <c r="E221" s="770">
        <v>0</v>
      </c>
      <c r="F221" s="771">
        <v>0</v>
      </c>
      <c r="G221" s="770">
        <v>0</v>
      </c>
      <c r="H221" s="771">
        <v>0</v>
      </c>
      <c r="I221" s="770">
        <f t="shared" si="188"/>
        <v>0</v>
      </c>
      <c r="J221" s="772">
        <f t="shared" si="155"/>
        <v>0</v>
      </c>
      <c r="K221" s="773">
        <v>2443</v>
      </c>
      <c r="L221" s="774">
        <f t="shared" si="156"/>
        <v>8.8168877144266728E-4</v>
      </c>
      <c r="M221" s="775">
        <f t="shared" si="189"/>
        <v>73993.120344562383</v>
      </c>
      <c r="N221" s="806">
        <v>399</v>
      </c>
      <c r="O221" s="777">
        <f t="shared" si="157"/>
        <v>4.5376127153233704E-4</v>
      </c>
      <c r="P221" s="778">
        <f t="shared" si="158"/>
        <v>38080.571579987649</v>
      </c>
      <c r="Q221" s="786">
        <f t="shared" si="144"/>
        <v>112073.69192455003</v>
      </c>
      <c r="R221" s="692">
        <f t="shared" si="145"/>
        <v>10.146088350946046</v>
      </c>
      <c r="S221" s="807">
        <v>62611282.540000007</v>
      </c>
      <c r="T221" s="782">
        <f t="shared" si="152"/>
        <v>1.9487560556206422</v>
      </c>
      <c r="U221" s="777">
        <f t="shared" si="159"/>
        <v>1.0592905994583361E-3</v>
      </c>
      <c r="V221" s="783">
        <f t="shared" si="146"/>
        <v>5668.2312638059029</v>
      </c>
      <c r="W221" s="778">
        <f t="shared" si="160"/>
        <v>422264.6832819907</v>
      </c>
      <c r="X221" s="784">
        <v>10622684.274800001</v>
      </c>
      <c r="Y221" s="782">
        <f t="shared" si="153"/>
        <v>11.486184926859952</v>
      </c>
      <c r="Z221" s="782">
        <f t="shared" si="161"/>
        <v>1.7734847194674119E-3</v>
      </c>
      <c r="AA221" s="783">
        <f t="shared" si="147"/>
        <v>961.67701202245166</v>
      </c>
      <c r="AB221" s="692">
        <f t="shared" si="162"/>
        <v>416736.47558629216</v>
      </c>
      <c r="AC221" s="786">
        <f t="shared" si="163"/>
        <v>839001.1588682828</v>
      </c>
      <c r="AD221" s="787">
        <f t="shared" si="148"/>
        <v>75.955201780579642</v>
      </c>
      <c r="AE221" s="788">
        <v>2312.1527000000001</v>
      </c>
      <c r="AF221" s="774">
        <f t="shared" si="164"/>
        <v>2.4048590443563997E-3</v>
      </c>
      <c r="AG221" s="692">
        <f t="shared" si="165"/>
        <v>302731.01537225931</v>
      </c>
      <c r="AH221" s="786">
        <f t="shared" si="166"/>
        <v>302731.01537225931</v>
      </c>
      <c r="AI221" s="692">
        <f t="shared" si="149"/>
        <v>27.406392845578427</v>
      </c>
      <c r="AJ221" s="789">
        <v>625</v>
      </c>
      <c r="AK221" s="777">
        <f t="shared" si="167"/>
        <v>8.3080105172766744E-4</v>
      </c>
      <c r="AL221" s="692">
        <f t="shared" si="168"/>
        <v>17430.629773782843</v>
      </c>
      <c r="AM221" s="790">
        <v>3.6666666666666665</v>
      </c>
      <c r="AN221" s="791">
        <f t="shared" si="169"/>
        <v>5.294825511432007E-4</v>
      </c>
      <c r="AO221" s="778">
        <f t="shared" si="170"/>
        <v>33326.4418772563</v>
      </c>
      <c r="AP221" s="768">
        <v>39</v>
      </c>
      <c r="AQ221" s="792">
        <f t="shared" si="171"/>
        <v>5.2713387848888293E-4</v>
      </c>
      <c r="AR221" s="793">
        <f t="shared" si="172"/>
        <v>44238.150435899173</v>
      </c>
      <c r="AS221" s="794">
        <v>19.166666666666668</v>
      </c>
      <c r="AT221" s="791">
        <f t="shared" si="173"/>
        <v>7.686780408736189E-4</v>
      </c>
      <c r="AU221" s="795">
        <f t="shared" si="174"/>
        <v>64509.029293317479</v>
      </c>
      <c r="AV221" s="796">
        <v>0</v>
      </c>
      <c r="AW221" s="791">
        <f t="shared" si="175"/>
        <v>0</v>
      </c>
      <c r="AX221" s="795">
        <f t="shared" si="176"/>
        <v>0</v>
      </c>
      <c r="AY221" s="786">
        <f t="shared" si="177"/>
        <v>159504.2513802558</v>
      </c>
      <c r="AZ221" s="787">
        <f t="shared" si="150"/>
        <v>14.440001030260348</v>
      </c>
      <c r="BA221" s="797">
        <f t="shared" si="154"/>
        <v>1413310.1175453481</v>
      </c>
      <c r="BB221" s="775">
        <v>1215303</v>
      </c>
      <c r="BC221" s="775">
        <f t="shared" si="178"/>
        <v>0</v>
      </c>
      <c r="BD221" s="775">
        <f t="shared" si="179"/>
        <v>198007.11754534813</v>
      </c>
      <c r="BE221" s="798">
        <f t="shared" si="180"/>
        <v>3.0809926750224501E-4</v>
      </c>
      <c r="BF221" s="775">
        <f t="shared" si="181"/>
        <v>-407.88710442492504</v>
      </c>
      <c r="BG221" s="797">
        <f t="shared" si="182"/>
        <v>1412902.2304409232</v>
      </c>
      <c r="BH221" s="799">
        <v>6</v>
      </c>
      <c r="BI221" s="692">
        <f t="shared" si="191"/>
        <v>0</v>
      </c>
      <c r="BJ221" s="800">
        <v>750</v>
      </c>
      <c r="BK221" s="778">
        <f t="shared" si="183"/>
        <v>0</v>
      </c>
      <c r="BL221" s="786">
        <f t="shared" si="190"/>
        <v>1412902.2304409232</v>
      </c>
      <c r="BM221" s="692">
        <f t="shared" si="184"/>
        <v>1412902.2304409232</v>
      </c>
      <c r="BN221" s="801">
        <f t="shared" si="185"/>
        <v>6.9036550446143917E-4</v>
      </c>
      <c r="BO221" s="787">
        <f t="shared" si="186"/>
        <v>3412.3601925602693</v>
      </c>
      <c r="BP221" s="802">
        <f t="shared" si="187"/>
        <v>1416315</v>
      </c>
      <c r="BQ221" s="803">
        <f t="shared" si="151"/>
        <v>128.2197175448126</v>
      </c>
      <c r="BR221" s="682"/>
      <c r="BS221" s="618"/>
    </row>
    <row r="222" spans="1:71" ht="15.75">
      <c r="A222" s="766" t="s">
        <v>3859</v>
      </c>
      <c r="B222" s="767" t="s">
        <v>3860</v>
      </c>
      <c r="C222" s="768">
        <v>12905</v>
      </c>
      <c r="D222" s="769">
        <v>0</v>
      </c>
      <c r="E222" s="770">
        <v>0</v>
      </c>
      <c r="F222" s="771">
        <v>0</v>
      </c>
      <c r="G222" s="770">
        <v>0</v>
      </c>
      <c r="H222" s="771">
        <v>0</v>
      </c>
      <c r="I222" s="770">
        <f t="shared" si="188"/>
        <v>0</v>
      </c>
      <c r="J222" s="772">
        <f t="shared" si="155"/>
        <v>0</v>
      </c>
      <c r="K222" s="773">
        <v>3608</v>
      </c>
      <c r="L222" s="774">
        <f t="shared" si="156"/>
        <v>1.3021420742386999E-3</v>
      </c>
      <c r="M222" s="775">
        <f t="shared" si="189"/>
        <v>109278.41923994313</v>
      </c>
      <c r="N222" s="806">
        <v>326.5</v>
      </c>
      <c r="O222" s="777">
        <f t="shared" si="157"/>
        <v>3.7131091517621061E-4</v>
      </c>
      <c r="P222" s="778">
        <f t="shared" si="158"/>
        <v>31161.169475854553</v>
      </c>
      <c r="Q222" s="786">
        <f t="shared" si="144"/>
        <v>140439.5887157977</v>
      </c>
      <c r="R222" s="692">
        <f t="shared" si="145"/>
        <v>10.882571771855691</v>
      </c>
      <c r="S222" s="807">
        <v>46190550.010000005</v>
      </c>
      <c r="T222" s="782">
        <f t="shared" si="152"/>
        <v>3.6054782842799056</v>
      </c>
      <c r="U222" s="777">
        <f t="shared" si="159"/>
        <v>1.9598395818056949E-3</v>
      </c>
      <c r="V222" s="783">
        <f t="shared" si="146"/>
        <v>3579.2754753971335</v>
      </c>
      <c r="W222" s="778">
        <f t="shared" si="160"/>
        <v>781250.2449449338</v>
      </c>
      <c r="X222" s="784">
        <v>12200253.236500001</v>
      </c>
      <c r="Y222" s="782">
        <f t="shared" si="153"/>
        <v>13.650456410343871</v>
      </c>
      <c r="Z222" s="782">
        <f t="shared" si="161"/>
        <v>2.1076515841991551E-3</v>
      </c>
      <c r="AA222" s="783">
        <f t="shared" si="147"/>
        <v>945.38963475397134</v>
      </c>
      <c r="AB222" s="692">
        <f t="shared" si="162"/>
        <v>495259.57755462959</v>
      </c>
      <c r="AC222" s="786">
        <f t="shared" si="163"/>
        <v>1276509.8224995635</v>
      </c>
      <c r="AD222" s="787">
        <f t="shared" si="148"/>
        <v>98.915910306049085</v>
      </c>
      <c r="AE222" s="788">
        <v>2803.8002000000001</v>
      </c>
      <c r="AF222" s="774">
        <f t="shared" si="164"/>
        <v>2.9162192745912857E-3</v>
      </c>
      <c r="AG222" s="692">
        <f t="shared" si="165"/>
        <v>367102.60591653129</v>
      </c>
      <c r="AH222" s="786">
        <f t="shared" si="166"/>
        <v>367102.60591653129</v>
      </c>
      <c r="AI222" s="692">
        <f t="shared" si="149"/>
        <v>28.446540559204283</v>
      </c>
      <c r="AJ222" s="789">
        <v>941</v>
      </c>
      <c r="AK222" s="777">
        <f t="shared" si="167"/>
        <v>1.2508540634811761E-3</v>
      </c>
      <c r="AL222" s="692">
        <f t="shared" si="168"/>
        <v>26243.556187407448</v>
      </c>
      <c r="AM222" s="790">
        <v>5.666666666666667</v>
      </c>
      <c r="AN222" s="791">
        <f t="shared" si="169"/>
        <v>8.1829121540312835E-4</v>
      </c>
      <c r="AO222" s="778">
        <f t="shared" si="170"/>
        <v>51504.501083032468</v>
      </c>
      <c r="AP222" s="768">
        <v>113</v>
      </c>
      <c r="AQ222" s="792">
        <f t="shared" si="171"/>
        <v>1.5273366222883016E-3</v>
      </c>
      <c r="AR222" s="793">
        <f t="shared" si="172"/>
        <v>128177.20510914375</v>
      </c>
      <c r="AS222" s="794">
        <v>8.8888888888888875</v>
      </c>
      <c r="AT222" s="791">
        <f t="shared" si="173"/>
        <v>3.5648836678196815E-4</v>
      </c>
      <c r="AU222" s="795">
        <f t="shared" si="174"/>
        <v>29917.230976611001</v>
      </c>
      <c r="AV222" s="796">
        <v>0</v>
      </c>
      <c r="AW222" s="791">
        <f t="shared" si="175"/>
        <v>0</v>
      </c>
      <c r="AX222" s="795">
        <f t="shared" si="176"/>
        <v>0</v>
      </c>
      <c r="AY222" s="786">
        <f t="shared" si="177"/>
        <v>235842.49335619464</v>
      </c>
      <c r="AZ222" s="787">
        <f t="shared" si="150"/>
        <v>18.275280384052277</v>
      </c>
      <c r="BA222" s="797">
        <f t="shared" si="154"/>
        <v>2019894.5104880871</v>
      </c>
      <c r="BB222" s="775">
        <v>1476243</v>
      </c>
      <c r="BC222" s="775">
        <f t="shared" si="178"/>
        <v>0</v>
      </c>
      <c r="BD222" s="775">
        <f t="shared" si="179"/>
        <v>543651.51048808708</v>
      </c>
      <c r="BE222" s="798">
        <f t="shared" si="180"/>
        <v>8.4592227912972718E-4</v>
      </c>
      <c r="BF222" s="775">
        <f t="shared" si="181"/>
        <v>-1119.9013610126269</v>
      </c>
      <c r="BG222" s="797">
        <f t="shared" si="182"/>
        <v>2018774.6091270745</v>
      </c>
      <c r="BH222" s="799">
        <v>5</v>
      </c>
      <c r="BI222" s="692">
        <f t="shared" si="191"/>
        <v>0</v>
      </c>
      <c r="BJ222" s="800">
        <v>800</v>
      </c>
      <c r="BK222" s="778">
        <f t="shared" si="183"/>
        <v>0</v>
      </c>
      <c r="BL222" s="786">
        <f t="shared" si="190"/>
        <v>2018774.6091270745</v>
      </c>
      <c r="BM222" s="692">
        <f t="shared" si="184"/>
        <v>2018774.6091270745</v>
      </c>
      <c r="BN222" s="801">
        <f t="shared" si="185"/>
        <v>9.8640395732762696E-4</v>
      </c>
      <c r="BO222" s="787">
        <f t="shared" si="186"/>
        <v>4875.6283099552247</v>
      </c>
      <c r="BP222" s="802">
        <f t="shared" si="187"/>
        <v>2023650</v>
      </c>
      <c r="BQ222" s="803">
        <f t="shared" si="151"/>
        <v>156.81131344440141</v>
      </c>
      <c r="BR222" s="682"/>
      <c r="BS222" s="618"/>
    </row>
    <row r="223" spans="1:71" ht="15.75">
      <c r="A223" s="805" t="s">
        <v>3861</v>
      </c>
      <c r="B223" s="767" t="s">
        <v>3862</v>
      </c>
      <c r="C223" s="768">
        <v>24716</v>
      </c>
      <c r="D223" s="769">
        <v>0</v>
      </c>
      <c r="E223" s="770">
        <v>0</v>
      </c>
      <c r="F223" s="771">
        <v>0</v>
      </c>
      <c r="G223" s="770">
        <v>0</v>
      </c>
      <c r="H223" s="771">
        <v>0</v>
      </c>
      <c r="I223" s="770">
        <f t="shared" si="188"/>
        <v>0</v>
      </c>
      <c r="J223" s="772">
        <f t="shared" si="155"/>
        <v>0</v>
      </c>
      <c r="K223" s="773">
        <v>7120</v>
      </c>
      <c r="L223" s="774">
        <f t="shared" si="156"/>
        <v>2.5696373527105162E-3</v>
      </c>
      <c r="M223" s="775">
        <f t="shared" si="189"/>
        <v>215649.20869966605</v>
      </c>
      <c r="N223" s="806">
        <v>1910</v>
      </c>
      <c r="O223" s="777">
        <f t="shared" si="157"/>
        <v>2.1721404226234678E-3</v>
      </c>
      <c r="P223" s="778">
        <f t="shared" si="158"/>
        <v>182290.45543302357</v>
      </c>
      <c r="Q223" s="786">
        <f t="shared" si="144"/>
        <v>397939.66413268959</v>
      </c>
      <c r="R223" s="692">
        <f t="shared" si="145"/>
        <v>16.100488110239908</v>
      </c>
      <c r="S223" s="807">
        <v>120303798.06</v>
      </c>
      <c r="T223" s="782">
        <f t="shared" si="152"/>
        <v>5.077816875701056</v>
      </c>
      <c r="U223" s="777">
        <f t="shared" si="159"/>
        <v>2.7601626518040266E-3</v>
      </c>
      <c r="V223" s="783">
        <f t="shared" si="146"/>
        <v>4867.4461102120085</v>
      </c>
      <c r="W223" s="778">
        <f t="shared" si="160"/>
        <v>1100282.7822382171</v>
      </c>
      <c r="X223" s="784">
        <v>43995809.690200001</v>
      </c>
      <c r="Y223" s="782">
        <f t="shared" si="153"/>
        <v>13.884973598657799</v>
      </c>
      <c r="Z223" s="782">
        <f t="shared" si="161"/>
        <v>2.143861400824571E-3</v>
      </c>
      <c r="AA223" s="783">
        <f t="shared" si="147"/>
        <v>1780.0537987619357</v>
      </c>
      <c r="AB223" s="692">
        <f t="shared" si="162"/>
        <v>503768.22225647588</v>
      </c>
      <c r="AC223" s="786">
        <f t="shared" si="163"/>
        <v>1604051.0044946929</v>
      </c>
      <c r="AD223" s="787">
        <f t="shared" si="148"/>
        <v>64.899296184442989</v>
      </c>
      <c r="AE223" s="788">
        <v>2638.4551999999999</v>
      </c>
      <c r="AF223" s="774">
        <f t="shared" si="164"/>
        <v>2.7442447252074538E-3</v>
      </c>
      <c r="AG223" s="692">
        <f t="shared" si="165"/>
        <v>345453.92339797341</v>
      </c>
      <c r="AH223" s="786">
        <f t="shared" si="166"/>
        <v>345453.92339797341</v>
      </c>
      <c r="AI223" s="692">
        <f t="shared" si="149"/>
        <v>13.976934916571185</v>
      </c>
      <c r="AJ223" s="789">
        <v>1314</v>
      </c>
      <c r="AK223" s="777">
        <f t="shared" si="167"/>
        <v>1.7466761311522479E-3</v>
      </c>
      <c r="AL223" s="692">
        <f t="shared" si="168"/>
        <v>36646.156036401051</v>
      </c>
      <c r="AM223" s="790">
        <v>6.666666666666667</v>
      </c>
      <c r="AN223" s="791">
        <f t="shared" si="169"/>
        <v>9.6269554753309217E-4</v>
      </c>
      <c r="AO223" s="778">
        <f t="shared" si="170"/>
        <v>60593.530685920545</v>
      </c>
      <c r="AP223" s="768">
        <v>97</v>
      </c>
      <c r="AQ223" s="792">
        <f t="shared" si="171"/>
        <v>1.3110765695749139E-3</v>
      </c>
      <c r="AR223" s="793">
        <f t="shared" si="172"/>
        <v>110028.22031492871</v>
      </c>
      <c r="AS223" s="794">
        <v>29.666666666666668</v>
      </c>
      <c r="AT223" s="791">
        <f t="shared" si="173"/>
        <v>1.1897799241348188E-3</v>
      </c>
      <c r="AU223" s="795">
        <f t="shared" si="174"/>
        <v>99848.758384439221</v>
      </c>
      <c r="AV223" s="796">
        <v>30</v>
      </c>
      <c r="AW223" s="791">
        <f t="shared" si="175"/>
        <v>3.8202933985330076E-4</v>
      </c>
      <c r="AX223" s="795">
        <f t="shared" si="176"/>
        <v>24045.511155256725</v>
      </c>
      <c r="AY223" s="786">
        <f t="shared" si="177"/>
        <v>331162.17657694628</v>
      </c>
      <c r="AZ223" s="787">
        <f t="shared" si="150"/>
        <v>13.398696252506323</v>
      </c>
      <c r="BA223" s="797">
        <f t="shared" si="154"/>
        <v>2678606.7686023023</v>
      </c>
      <c r="BB223" s="775">
        <v>2702014</v>
      </c>
      <c r="BC223" s="775">
        <f t="shared" si="178"/>
        <v>23407.231397697702</v>
      </c>
      <c r="BD223" s="775">
        <f t="shared" si="179"/>
        <v>0</v>
      </c>
      <c r="BE223" s="798">
        <f t="shared" si="180"/>
        <v>0</v>
      </c>
      <c r="BF223" s="775">
        <f t="shared" si="181"/>
        <v>0</v>
      </c>
      <c r="BG223" s="797">
        <f t="shared" si="182"/>
        <v>2702014</v>
      </c>
      <c r="BH223" s="799">
        <v>7</v>
      </c>
      <c r="BI223" s="692">
        <f t="shared" si="191"/>
        <v>0</v>
      </c>
      <c r="BJ223" s="800">
        <v>850</v>
      </c>
      <c r="BK223" s="778">
        <f t="shared" si="183"/>
        <v>0</v>
      </c>
      <c r="BL223" s="786">
        <f t="shared" si="190"/>
        <v>2702014</v>
      </c>
      <c r="BM223" s="692">
        <f t="shared" si="184"/>
        <v>0</v>
      </c>
      <c r="BN223" s="801">
        <f t="shared" si="185"/>
        <v>0</v>
      </c>
      <c r="BO223" s="787">
        <f t="shared" si="186"/>
        <v>0</v>
      </c>
      <c r="BP223" s="802">
        <f t="shared" si="187"/>
        <v>2702014</v>
      </c>
      <c r="BQ223" s="803">
        <f t="shared" si="151"/>
        <v>109.32246318174462</v>
      </c>
      <c r="BR223" s="682"/>
      <c r="BS223" s="618"/>
    </row>
    <row r="224" spans="1:71" ht="15.75">
      <c r="A224" s="766" t="s">
        <v>3863</v>
      </c>
      <c r="B224" s="767" t="s">
        <v>3864</v>
      </c>
      <c r="C224" s="768">
        <v>14400</v>
      </c>
      <c r="D224" s="769">
        <v>0</v>
      </c>
      <c r="E224" s="770">
        <v>0</v>
      </c>
      <c r="F224" s="771">
        <v>0</v>
      </c>
      <c r="G224" s="770">
        <v>0</v>
      </c>
      <c r="H224" s="771">
        <v>0</v>
      </c>
      <c r="I224" s="770">
        <f t="shared" si="188"/>
        <v>0</v>
      </c>
      <c r="J224" s="772">
        <f t="shared" si="155"/>
        <v>0</v>
      </c>
      <c r="K224" s="773">
        <v>8860</v>
      </c>
      <c r="L224" s="774">
        <f t="shared" si="156"/>
        <v>3.1976105259852771E-3</v>
      </c>
      <c r="M224" s="775">
        <f t="shared" si="189"/>
        <v>268349.99846615747</v>
      </c>
      <c r="N224" s="806">
        <v>3253.5</v>
      </c>
      <c r="O224" s="777">
        <f t="shared" si="157"/>
        <v>3.7000308193745829E-3</v>
      </c>
      <c r="P224" s="778">
        <f t="shared" si="158"/>
        <v>310514.13442478655</v>
      </c>
      <c r="Q224" s="786">
        <f t="shared" si="144"/>
        <v>578864.13289094402</v>
      </c>
      <c r="R224" s="692">
        <f t="shared" si="145"/>
        <v>40.198898117426666</v>
      </c>
      <c r="S224" s="807">
        <v>39724940.430000007</v>
      </c>
      <c r="T224" s="782">
        <f t="shared" si="152"/>
        <v>5.2198945487506165</v>
      </c>
      <c r="U224" s="777">
        <f t="shared" si="159"/>
        <v>2.8373921967849054E-3</v>
      </c>
      <c r="V224" s="783">
        <f t="shared" si="146"/>
        <v>2758.6764187500007</v>
      </c>
      <c r="W224" s="778">
        <f t="shared" si="160"/>
        <v>1131068.7718127859</v>
      </c>
      <c r="X224" s="784">
        <v>19025877.356600001</v>
      </c>
      <c r="Y224" s="782">
        <f t="shared" si="153"/>
        <v>10.898840359026472</v>
      </c>
      <c r="Z224" s="782">
        <f t="shared" si="161"/>
        <v>1.6827978096929559E-3</v>
      </c>
      <c r="AA224" s="783">
        <f t="shared" si="147"/>
        <v>1321.2414830972223</v>
      </c>
      <c r="AB224" s="692">
        <f t="shared" si="162"/>
        <v>395426.71027150098</v>
      </c>
      <c r="AC224" s="786">
        <f t="shared" si="163"/>
        <v>1526495.4820842869</v>
      </c>
      <c r="AD224" s="787">
        <f t="shared" si="148"/>
        <v>106.00663070029771</v>
      </c>
      <c r="AE224" s="788">
        <v>2706.3474999999999</v>
      </c>
      <c r="AF224" s="774">
        <f t="shared" si="164"/>
        <v>2.8148591840609534E-3</v>
      </c>
      <c r="AG224" s="692">
        <f t="shared" si="165"/>
        <v>354343.08755869605</v>
      </c>
      <c r="AH224" s="786">
        <f t="shared" si="166"/>
        <v>354343.08755869605</v>
      </c>
      <c r="AI224" s="692">
        <f t="shared" si="149"/>
        <v>24.60715885824278</v>
      </c>
      <c r="AJ224" s="789">
        <v>1551</v>
      </c>
      <c r="AK224" s="777">
        <f t="shared" si="167"/>
        <v>2.0617158899673793E-3</v>
      </c>
      <c r="AL224" s="692">
        <f t="shared" si="168"/>
        <v>43255.850846619498</v>
      </c>
      <c r="AM224" s="790">
        <v>11.333333333333334</v>
      </c>
      <c r="AN224" s="791">
        <f t="shared" si="169"/>
        <v>1.6365824308062567E-3</v>
      </c>
      <c r="AO224" s="778">
        <f t="shared" si="170"/>
        <v>103009.00216606494</v>
      </c>
      <c r="AP224" s="768">
        <v>140</v>
      </c>
      <c r="AQ224" s="792">
        <f t="shared" si="171"/>
        <v>1.8922754612421438E-3</v>
      </c>
      <c r="AR224" s="793">
        <f t="shared" si="172"/>
        <v>158803.61694938163</v>
      </c>
      <c r="AS224" s="794">
        <v>23.472222222222225</v>
      </c>
      <c r="AT224" s="791">
        <f t="shared" si="173"/>
        <v>9.4135209353363484E-4</v>
      </c>
      <c r="AU224" s="795">
        <f t="shared" si="174"/>
        <v>79000.188047613439</v>
      </c>
      <c r="AV224" s="796">
        <v>67</v>
      </c>
      <c r="AW224" s="791">
        <f t="shared" si="175"/>
        <v>8.53198859005705E-4</v>
      </c>
      <c r="AX224" s="795">
        <f t="shared" si="176"/>
        <v>53701.641580073352</v>
      </c>
      <c r="AY224" s="786">
        <f t="shared" si="177"/>
        <v>437770.29958975286</v>
      </c>
      <c r="AZ224" s="787">
        <f t="shared" si="150"/>
        <v>30.400715249288393</v>
      </c>
      <c r="BA224" s="797">
        <f t="shared" si="154"/>
        <v>2897473.0021236795</v>
      </c>
      <c r="BB224" s="775">
        <v>1725965</v>
      </c>
      <c r="BC224" s="775">
        <f t="shared" si="178"/>
        <v>0</v>
      </c>
      <c r="BD224" s="775">
        <f t="shared" si="179"/>
        <v>1171508.0021236795</v>
      </c>
      <c r="BE224" s="798">
        <f t="shared" si="180"/>
        <v>1.8228675908312259E-3</v>
      </c>
      <c r="BF224" s="775">
        <f t="shared" si="181"/>
        <v>-2413.2617691756436</v>
      </c>
      <c r="BG224" s="797">
        <f t="shared" si="182"/>
        <v>2895059.740354504</v>
      </c>
      <c r="BH224" s="799">
        <v>6</v>
      </c>
      <c r="BI224" s="692">
        <f t="shared" si="191"/>
        <v>0</v>
      </c>
      <c r="BJ224" s="800">
        <v>1176</v>
      </c>
      <c r="BK224" s="778">
        <f t="shared" si="183"/>
        <v>0</v>
      </c>
      <c r="BL224" s="786">
        <f t="shared" si="190"/>
        <v>2895059.740354504</v>
      </c>
      <c r="BM224" s="692">
        <f t="shared" si="184"/>
        <v>2895059.740354504</v>
      </c>
      <c r="BN224" s="801">
        <f t="shared" si="185"/>
        <v>1.4145701910825942E-3</v>
      </c>
      <c r="BO224" s="787">
        <f t="shared" si="186"/>
        <v>6991.9817523302027</v>
      </c>
      <c r="BP224" s="802">
        <f t="shared" si="187"/>
        <v>2902052</v>
      </c>
      <c r="BQ224" s="803">
        <f t="shared" si="151"/>
        <v>201.5313888888889</v>
      </c>
      <c r="BR224" s="682"/>
      <c r="BS224" s="618"/>
    </row>
    <row r="225" spans="1:71" ht="15.75">
      <c r="A225" s="766" t="s">
        <v>3865</v>
      </c>
      <c r="B225" s="767" t="s">
        <v>3866</v>
      </c>
      <c r="C225" s="768">
        <v>16194</v>
      </c>
      <c r="D225" s="769">
        <v>0</v>
      </c>
      <c r="E225" s="770">
        <v>0</v>
      </c>
      <c r="F225" s="771">
        <v>0</v>
      </c>
      <c r="G225" s="770">
        <v>0</v>
      </c>
      <c r="H225" s="771">
        <v>0</v>
      </c>
      <c r="I225" s="770">
        <f t="shared" si="188"/>
        <v>0</v>
      </c>
      <c r="J225" s="772">
        <f t="shared" si="155"/>
        <v>0</v>
      </c>
      <c r="K225" s="773">
        <v>8369</v>
      </c>
      <c r="L225" s="774">
        <f t="shared" si="156"/>
        <v>3.0204066018025715E-3</v>
      </c>
      <c r="M225" s="775">
        <f t="shared" si="189"/>
        <v>253478.68365273948</v>
      </c>
      <c r="N225" s="806">
        <v>1392</v>
      </c>
      <c r="O225" s="777">
        <f t="shared" si="157"/>
        <v>1.583046842037627E-3</v>
      </c>
      <c r="P225" s="778">
        <f t="shared" si="158"/>
        <v>132852.52039935542</v>
      </c>
      <c r="Q225" s="786">
        <f t="shared" si="144"/>
        <v>386331.20405209489</v>
      </c>
      <c r="R225" s="692">
        <f t="shared" si="145"/>
        <v>23.856440907255458</v>
      </c>
      <c r="S225" s="807">
        <v>47910251.780000001</v>
      </c>
      <c r="T225" s="782">
        <f t="shared" si="152"/>
        <v>5.4736851979866596</v>
      </c>
      <c r="U225" s="777">
        <f t="shared" si="159"/>
        <v>2.9753458663531311E-3</v>
      </c>
      <c r="V225" s="783">
        <f t="shared" si="146"/>
        <v>2958.5186970482896</v>
      </c>
      <c r="W225" s="778">
        <f t="shared" si="160"/>
        <v>1186061.20034713</v>
      </c>
      <c r="X225" s="784">
        <v>12224273.1873</v>
      </c>
      <c r="Y225" s="782">
        <f t="shared" si="153"/>
        <v>21.452861203433454</v>
      </c>
      <c r="Z225" s="782">
        <f t="shared" si="161"/>
        <v>3.3123549529639569E-3</v>
      </c>
      <c r="AA225" s="783">
        <f t="shared" si="147"/>
        <v>754.8643440348277</v>
      </c>
      <c r="AB225" s="692">
        <f t="shared" si="162"/>
        <v>778342.83759915002</v>
      </c>
      <c r="AC225" s="786">
        <f t="shared" si="163"/>
        <v>1964404.0379462801</v>
      </c>
      <c r="AD225" s="787">
        <f t="shared" si="148"/>
        <v>121.30443608412251</v>
      </c>
      <c r="AE225" s="788">
        <v>7233.8352999999997</v>
      </c>
      <c r="AF225" s="774">
        <f t="shared" si="164"/>
        <v>7.5238777467377428E-3</v>
      </c>
      <c r="AG225" s="692">
        <f t="shared" si="165"/>
        <v>947128.75382525206</v>
      </c>
      <c r="AH225" s="786">
        <f t="shared" si="166"/>
        <v>947128.75382525206</v>
      </c>
      <c r="AI225" s="692">
        <f t="shared" si="149"/>
        <v>58.486399519899471</v>
      </c>
      <c r="AJ225" s="789">
        <v>1822</v>
      </c>
      <c r="AK225" s="777">
        <f t="shared" si="167"/>
        <v>2.4219512259964961E-3</v>
      </c>
      <c r="AL225" s="692">
        <f t="shared" si="168"/>
        <v>50813.771916531747</v>
      </c>
      <c r="AM225" s="790">
        <v>8</v>
      </c>
      <c r="AN225" s="791">
        <f t="shared" si="169"/>
        <v>1.1552346570397106E-3</v>
      </c>
      <c r="AO225" s="778">
        <f t="shared" si="170"/>
        <v>72712.236823104657</v>
      </c>
      <c r="AP225" s="768">
        <v>138</v>
      </c>
      <c r="AQ225" s="792">
        <f t="shared" si="171"/>
        <v>1.8652429546529702E-3</v>
      </c>
      <c r="AR225" s="793">
        <f t="shared" si="172"/>
        <v>156534.99385010474</v>
      </c>
      <c r="AS225" s="794">
        <v>36.94444444444445</v>
      </c>
      <c r="AT225" s="791">
        <f t="shared" si="173"/>
        <v>1.4816547744375555E-3</v>
      </c>
      <c r="AU225" s="795">
        <f t="shared" si="174"/>
        <v>124343.49124653952</v>
      </c>
      <c r="AV225" s="796">
        <v>78</v>
      </c>
      <c r="AW225" s="791">
        <f t="shared" si="175"/>
        <v>9.9327628361858193E-4</v>
      </c>
      <c r="AX225" s="795">
        <f t="shared" si="176"/>
        <v>62518.329003667481</v>
      </c>
      <c r="AY225" s="786">
        <f t="shared" si="177"/>
        <v>466922.82283994812</v>
      </c>
      <c r="AZ225" s="787">
        <f t="shared" si="150"/>
        <v>28.833075388412258</v>
      </c>
      <c r="BA225" s="797">
        <f t="shared" si="154"/>
        <v>3764786.8186635748</v>
      </c>
      <c r="BB225" s="775">
        <v>2407138</v>
      </c>
      <c r="BC225" s="775">
        <f t="shared" si="178"/>
        <v>0</v>
      </c>
      <c r="BD225" s="775">
        <f t="shared" si="179"/>
        <v>1357648.8186635748</v>
      </c>
      <c r="BE225" s="798">
        <f t="shared" si="180"/>
        <v>2.1125028824266257E-3</v>
      </c>
      <c r="BF225" s="775">
        <f t="shared" si="181"/>
        <v>-2796.7047464532693</v>
      </c>
      <c r="BG225" s="797">
        <f t="shared" si="182"/>
        <v>3761990.1139171217</v>
      </c>
      <c r="BH225" s="799">
        <v>9</v>
      </c>
      <c r="BI225" s="692">
        <f t="shared" si="191"/>
        <v>0</v>
      </c>
      <c r="BJ225" s="800">
        <v>1550</v>
      </c>
      <c r="BK225" s="778">
        <f t="shared" si="183"/>
        <v>0</v>
      </c>
      <c r="BL225" s="786">
        <f t="shared" si="190"/>
        <v>3761990.1139171217</v>
      </c>
      <c r="BM225" s="692">
        <f t="shared" si="184"/>
        <v>3761990.1139171217</v>
      </c>
      <c r="BN225" s="801">
        <f t="shared" si="185"/>
        <v>1.8381655480597908E-3</v>
      </c>
      <c r="BO225" s="787">
        <f t="shared" si="186"/>
        <v>9085.7421221070217</v>
      </c>
      <c r="BP225" s="802">
        <f t="shared" si="187"/>
        <v>3771076</v>
      </c>
      <c r="BQ225" s="803">
        <f t="shared" si="151"/>
        <v>232.86871680869459</v>
      </c>
      <c r="BR225" s="682"/>
      <c r="BS225" s="618"/>
    </row>
    <row r="226" spans="1:71" ht="15.75">
      <c r="A226" s="766" t="s">
        <v>3867</v>
      </c>
      <c r="B226" s="767" t="s">
        <v>3868</v>
      </c>
      <c r="C226" s="768">
        <v>4417</v>
      </c>
      <c r="D226" s="769">
        <v>0</v>
      </c>
      <c r="E226" s="770">
        <v>0</v>
      </c>
      <c r="F226" s="771">
        <v>0</v>
      </c>
      <c r="G226" s="770">
        <v>0</v>
      </c>
      <c r="H226" s="771">
        <v>0</v>
      </c>
      <c r="I226" s="770">
        <f t="shared" si="188"/>
        <v>0</v>
      </c>
      <c r="J226" s="772">
        <f t="shared" si="155"/>
        <v>0</v>
      </c>
      <c r="K226" s="773">
        <v>1339</v>
      </c>
      <c r="L226" s="774">
        <f t="shared" si="156"/>
        <v>4.832506201235086E-4</v>
      </c>
      <c r="M226" s="775">
        <f t="shared" si="189"/>
        <v>40555.377872029894</v>
      </c>
      <c r="N226" s="806">
        <v>0</v>
      </c>
      <c r="O226" s="777">
        <f t="shared" si="157"/>
        <v>0</v>
      </c>
      <c r="P226" s="778">
        <f t="shared" si="158"/>
        <v>0</v>
      </c>
      <c r="Q226" s="786">
        <f t="shared" si="144"/>
        <v>40555.377872029894</v>
      </c>
      <c r="R226" s="692">
        <f t="shared" si="145"/>
        <v>9.1816567516481538</v>
      </c>
      <c r="S226" s="807">
        <v>19816794.120000001</v>
      </c>
      <c r="T226" s="782">
        <f t="shared" si="152"/>
        <v>0.98451287740380478</v>
      </c>
      <c r="U226" s="777">
        <f t="shared" si="159"/>
        <v>5.3515432733184677E-4</v>
      </c>
      <c r="V226" s="783">
        <f t="shared" si="146"/>
        <v>4486.4827077201726</v>
      </c>
      <c r="W226" s="778">
        <f t="shared" si="160"/>
        <v>213328.4036064526</v>
      </c>
      <c r="X226" s="784">
        <v>3733099.5969000002</v>
      </c>
      <c r="Y226" s="782">
        <f t="shared" si="153"/>
        <v>5.2261903261839544</v>
      </c>
      <c r="Z226" s="782">
        <f t="shared" si="161"/>
        <v>8.0693187020187192E-4</v>
      </c>
      <c r="AA226" s="783">
        <f t="shared" si="147"/>
        <v>845.16631127462085</v>
      </c>
      <c r="AB226" s="692">
        <f t="shared" si="162"/>
        <v>189614.23232739765</v>
      </c>
      <c r="AC226" s="786">
        <f t="shared" si="163"/>
        <v>402942.63593385025</v>
      </c>
      <c r="AD226" s="787">
        <f t="shared" si="148"/>
        <v>91.225409991815766</v>
      </c>
      <c r="AE226" s="788">
        <v>3098.4384</v>
      </c>
      <c r="AF226" s="774">
        <f t="shared" si="164"/>
        <v>3.2226710673655644E-3</v>
      </c>
      <c r="AG226" s="692">
        <f t="shared" si="165"/>
        <v>405679.69533344341</v>
      </c>
      <c r="AH226" s="786">
        <f t="shared" si="166"/>
        <v>405679.69533344341</v>
      </c>
      <c r="AI226" s="692">
        <f t="shared" si="149"/>
        <v>91.845074786833464</v>
      </c>
      <c r="AJ226" s="789">
        <v>377</v>
      </c>
      <c r="AK226" s="777">
        <f t="shared" si="167"/>
        <v>5.01139194402129E-4</v>
      </c>
      <c r="AL226" s="692">
        <f t="shared" si="168"/>
        <v>10514.155879545811</v>
      </c>
      <c r="AM226" s="790">
        <v>2.3333333333333335</v>
      </c>
      <c r="AN226" s="791">
        <f t="shared" si="169"/>
        <v>3.3694344163658226E-4</v>
      </c>
      <c r="AO226" s="778">
        <f t="shared" si="170"/>
        <v>21207.735740072192</v>
      </c>
      <c r="AP226" s="768">
        <v>17</v>
      </c>
      <c r="AQ226" s="792">
        <f t="shared" si="171"/>
        <v>2.2977630600797458E-4</v>
      </c>
      <c r="AR226" s="793">
        <f t="shared" si="172"/>
        <v>19283.296343853483</v>
      </c>
      <c r="AS226" s="794">
        <v>3.4166666666666665</v>
      </c>
      <c r="AT226" s="791">
        <f t="shared" si="173"/>
        <v>1.37025215981819E-4</v>
      </c>
      <c r="AU226" s="795">
        <f t="shared" si="174"/>
        <v>11499.435656634854</v>
      </c>
      <c r="AV226" s="796">
        <v>8</v>
      </c>
      <c r="AW226" s="791">
        <f t="shared" si="175"/>
        <v>1.0187449062754686E-4</v>
      </c>
      <c r="AX226" s="795">
        <f t="shared" si="176"/>
        <v>6412.1363080684596</v>
      </c>
      <c r="AY226" s="786">
        <f t="shared" si="177"/>
        <v>68916.759928174797</v>
      </c>
      <c r="AZ226" s="787">
        <f t="shared" si="150"/>
        <v>15.602617144707901</v>
      </c>
      <c r="BA226" s="797">
        <f t="shared" si="154"/>
        <v>918094.46906749834</v>
      </c>
      <c r="BB226" s="775">
        <v>569329</v>
      </c>
      <c r="BC226" s="775">
        <f t="shared" si="178"/>
        <v>0</v>
      </c>
      <c r="BD226" s="775">
        <f t="shared" si="179"/>
        <v>348765.46906749834</v>
      </c>
      <c r="BE226" s="798">
        <f t="shared" si="180"/>
        <v>5.4267940911348117E-4</v>
      </c>
      <c r="BF226" s="775">
        <f t="shared" si="181"/>
        <v>-718.44355427659104</v>
      </c>
      <c r="BG226" s="797">
        <f t="shared" si="182"/>
        <v>917376.02551322174</v>
      </c>
      <c r="BH226" s="799">
        <v>7.8</v>
      </c>
      <c r="BI226" s="692">
        <f t="shared" si="191"/>
        <v>0</v>
      </c>
      <c r="BJ226" s="800">
        <v>1100</v>
      </c>
      <c r="BK226" s="778">
        <f t="shared" si="183"/>
        <v>0</v>
      </c>
      <c r="BL226" s="786">
        <f t="shared" si="190"/>
        <v>917376.02551322174</v>
      </c>
      <c r="BM226" s="692">
        <f t="shared" si="184"/>
        <v>917376.02551322174</v>
      </c>
      <c r="BN226" s="801">
        <f t="shared" si="185"/>
        <v>4.4824386924254787E-4</v>
      </c>
      <c r="BO226" s="787">
        <f t="shared" si="186"/>
        <v>2215.5938065817654</v>
      </c>
      <c r="BP226" s="802">
        <f t="shared" si="187"/>
        <v>919592</v>
      </c>
      <c r="BQ226" s="803">
        <f t="shared" si="151"/>
        <v>208.19379669458908</v>
      </c>
      <c r="BR226" s="682"/>
      <c r="BS226" s="618"/>
    </row>
    <row r="227" spans="1:71" ht="15.75">
      <c r="A227" s="805" t="s">
        <v>3869</v>
      </c>
      <c r="B227" s="767" t="s">
        <v>3870</v>
      </c>
      <c r="C227" s="768">
        <v>6763</v>
      </c>
      <c r="D227" s="769">
        <v>0</v>
      </c>
      <c r="E227" s="770">
        <v>0</v>
      </c>
      <c r="F227" s="771">
        <v>0</v>
      </c>
      <c r="G227" s="770">
        <v>0</v>
      </c>
      <c r="H227" s="771">
        <v>0</v>
      </c>
      <c r="I227" s="770">
        <f t="shared" si="188"/>
        <v>0</v>
      </c>
      <c r="J227" s="772">
        <f t="shared" si="155"/>
        <v>0</v>
      </c>
      <c r="K227" s="773">
        <v>3247</v>
      </c>
      <c r="L227" s="774">
        <f t="shared" si="156"/>
        <v>1.1718556859903154E-3</v>
      </c>
      <c r="M227" s="775">
        <f t="shared" si="189"/>
        <v>98344.519753906687</v>
      </c>
      <c r="N227" s="806">
        <v>40</v>
      </c>
      <c r="O227" s="777">
        <f t="shared" si="157"/>
        <v>4.5489851782690426E-5</v>
      </c>
      <c r="P227" s="778">
        <f t="shared" si="158"/>
        <v>3817.6011609010175</v>
      </c>
      <c r="Q227" s="786">
        <f t="shared" si="144"/>
        <v>102162.1209148077</v>
      </c>
      <c r="R227" s="692">
        <f t="shared" si="145"/>
        <v>15.106035918203121</v>
      </c>
      <c r="S227" s="807">
        <v>20167980.68</v>
      </c>
      <c r="T227" s="782">
        <f t="shared" si="152"/>
        <v>2.2678606116157782</v>
      </c>
      <c r="U227" s="777">
        <f t="shared" si="159"/>
        <v>1.2327471259615055E-3</v>
      </c>
      <c r="V227" s="783">
        <f t="shared" si="146"/>
        <v>2982.1056749963032</v>
      </c>
      <c r="W227" s="778">
        <f t="shared" si="160"/>
        <v>491409.60467042588</v>
      </c>
      <c r="X227" s="784">
        <v>6464816.4041999998</v>
      </c>
      <c r="Y227" s="782">
        <f t="shared" si="153"/>
        <v>7.0749370346055409</v>
      </c>
      <c r="Z227" s="782">
        <f t="shared" si="161"/>
        <v>1.0923812216122087E-3</v>
      </c>
      <c r="AA227" s="783">
        <f t="shared" si="147"/>
        <v>955.90956738133957</v>
      </c>
      <c r="AB227" s="692">
        <f t="shared" si="162"/>
        <v>256689.60961108821</v>
      </c>
      <c r="AC227" s="786">
        <f t="shared" si="163"/>
        <v>748099.21428151405</v>
      </c>
      <c r="AD227" s="787">
        <f t="shared" si="148"/>
        <v>110.61647409160344</v>
      </c>
      <c r="AE227" s="788">
        <v>2689.5888</v>
      </c>
      <c r="AF227" s="774">
        <f t="shared" si="164"/>
        <v>2.7974285397671509E-3</v>
      </c>
      <c r="AG227" s="692">
        <f t="shared" si="165"/>
        <v>352148.86471722065</v>
      </c>
      <c r="AH227" s="786">
        <f t="shared" si="166"/>
        <v>352148.86471722065</v>
      </c>
      <c r="AI227" s="692">
        <f t="shared" si="149"/>
        <v>52.069919372648329</v>
      </c>
      <c r="AJ227" s="789">
        <v>984</v>
      </c>
      <c r="AK227" s="777">
        <f t="shared" si="167"/>
        <v>1.3080131758400396E-3</v>
      </c>
      <c r="AL227" s="692">
        <f t="shared" si="168"/>
        <v>27442.783515843708</v>
      </c>
      <c r="AM227" s="790">
        <v>2.6666666666666665</v>
      </c>
      <c r="AN227" s="791">
        <f t="shared" si="169"/>
        <v>3.8507821901323682E-4</v>
      </c>
      <c r="AO227" s="778">
        <f t="shared" si="170"/>
        <v>24237.412274368216</v>
      </c>
      <c r="AP227" s="768">
        <v>43</v>
      </c>
      <c r="AQ227" s="792">
        <f t="shared" si="171"/>
        <v>5.8119889166722985E-4</v>
      </c>
      <c r="AR227" s="793">
        <f t="shared" si="172"/>
        <v>48775.396634452933</v>
      </c>
      <c r="AS227" s="794">
        <v>5.0555555555555562</v>
      </c>
      <c r="AT227" s="791">
        <f t="shared" si="173"/>
        <v>2.0275275860724443E-4</v>
      </c>
      <c r="AU227" s="795">
        <f t="shared" si="174"/>
        <v>17015.42511794751</v>
      </c>
      <c r="AV227" s="796">
        <v>29</v>
      </c>
      <c r="AW227" s="791">
        <f t="shared" si="175"/>
        <v>3.692950285248574E-4</v>
      </c>
      <c r="AX227" s="795">
        <f t="shared" si="176"/>
        <v>23243.994116748167</v>
      </c>
      <c r="AY227" s="786">
        <f t="shared" si="177"/>
        <v>140715.01165936055</v>
      </c>
      <c r="AZ227" s="787">
        <f t="shared" si="150"/>
        <v>20.806596430483594</v>
      </c>
      <c r="BA227" s="797">
        <f t="shared" si="154"/>
        <v>1343125.2115729027</v>
      </c>
      <c r="BB227" s="775">
        <v>850780</v>
      </c>
      <c r="BC227" s="775">
        <f t="shared" si="178"/>
        <v>0</v>
      </c>
      <c r="BD227" s="775">
        <f t="shared" si="179"/>
        <v>492345.21157290274</v>
      </c>
      <c r="BE227" s="798">
        <f t="shared" si="180"/>
        <v>7.6608962811202199E-4</v>
      </c>
      <c r="BF227" s="775">
        <f t="shared" si="181"/>
        <v>-1014.2123435535378</v>
      </c>
      <c r="BG227" s="797">
        <f t="shared" si="182"/>
        <v>1342110.9992293492</v>
      </c>
      <c r="BH227" s="799">
        <v>7.5</v>
      </c>
      <c r="BI227" s="692">
        <f t="shared" si="191"/>
        <v>0</v>
      </c>
      <c r="BJ227" s="800">
        <v>1625</v>
      </c>
      <c r="BK227" s="778">
        <f t="shared" si="183"/>
        <v>0</v>
      </c>
      <c r="BL227" s="786">
        <f t="shared" si="190"/>
        <v>1342110.9992293492</v>
      </c>
      <c r="BM227" s="692">
        <f t="shared" si="184"/>
        <v>1342110.9992293492</v>
      </c>
      <c r="BN227" s="801">
        <f t="shared" si="185"/>
        <v>6.5577583293719409E-4</v>
      </c>
      <c r="BO227" s="787">
        <f t="shared" si="186"/>
        <v>3241.3892830633531</v>
      </c>
      <c r="BP227" s="802">
        <f t="shared" si="187"/>
        <v>1345352</v>
      </c>
      <c r="BQ227" s="803">
        <f t="shared" si="151"/>
        <v>198.92828626349254</v>
      </c>
      <c r="BR227" s="682"/>
      <c r="BS227" s="618"/>
    </row>
    <row r="228" spans="1:71" ht="15.75">
      <c r="A228" s="805" t="s">
        <v>3871</v>
      </c>
      <c r="B228" s="767" t="s">
        <v>3872</v>
      </c>
      <c r="C228" s="768">
        <v>19989</v>
      </c>
      <c r="D228" s="769">
        <v>0</v>
      </c>
      <c r="E228" s="770">
        <v>0</v>
      </c>
      <c r="F228" s="771">
        <v>0</v>
      </c>
      <c r="G228" s="770">
        <v>0</v>
      </c>
      <c r="H228" s="771">
        <v>0</v>
      </c>
      <c r="I228" s="770">
        <f t="shared" si="188"/>
        <v>0</v>
      </c>
      <c r="J228" s="772">
        <f t="shared" si="155"/>
        <v>0</v>
      </c>
      <c r="K228" s="773">
        <v>7861</v>
      </c>
      <c r="L228" s="774">
        <f t="shared" si="156"/>
        <v>2.8370673075361471E-3</v>
      </c>
      <c r="M228" s="775">
        <f t="shared" si="189"/>
        <v>238092.47606574083</v>
      </c>
      <c r="N228" s="806">
        <v>2927.5</v>
      </c>
      <c r="O228" s="777">
        <f t="shared" si="157"/>
        <v>3.329288527345656E-3</v>
      </c>
      <c r="P228" s="778">
        <f t="shared" si="158"/>
        <v>279400.68496344326</v>
      </c>
      <c r="Q228" s="786">
        <f t="shared" si="144"/>
        <v>517493.16102918412</v>
      </c>
      <c r="R228" s="692">
        <f t="shared" si="145"/>
        <v>25.888896944778836</v>
      </c>
      <c r="S228" s="807">
        <v>51099487.100000001</v>
      </c>
      <c r="T228" s="782">
        <f t="shared" si="152"/>
        <v>7.8192589334228364</v>
      </c>
      <c r="U228" s="777">
        <f t="shared" si="159"/>
        <v>4.2503357252006019E-3</v>
      </c>
      <c r="V228" s="783">
        <f t="shared" si="146"/>
        <v>2556.3803642003104</v>
      </c>
      <c r="W228" s="778">
        <f t="shared" si="160"/>
        <v>1694310.0125326412</v>
      </c>
      <c r="X228" s="784">
        <v>14767347.0581</v>
      </c>
      <c r="Y228" s="782">
        <f t="shared" si="153"/>
        <v>27.057000788834191</v>
      </c>
      <c r="Z228" s="782">
        <f t="shared" si="161"/>
        <v>4.1776427733984907E-3</v>
      </c>
      <c r="AA228" s="783">
        <f t="shared" si="147"/>
        <v>738.77367842813544</v>
      </c>
      <c r="AB228" s="692">
        <f t="shared" si="162"/>
        <v>981669.65101760544</v>
      </c>
      <c r="AC228" s="786">
        <f t="shared" si="163"/>
        <v>2675979.6635502465</v>
      </c>
      <c r="AD228" s="787">
        <f t="shared" si="148"/>
        <v>133.87261311472543</v>
      </c>
      <c r="AE228" s="788">
        <v>10209.8681</v>
      </c>
      <c r="AF228" s="774">
        <f t="shared" si="164"/>
        <v>1.0619235330768114E-2</v>
      </c>
      <c r="AG228" s="692">
        <f t="shared" si="165"/>
        <v>1336781.8382972023</v>
      </c>
      <c r="AH228" s="786">
        <f t="shared" si="166"/>
        <v>1336781.8382972023</v>
      </c>
      <c r="AI228" s="692">
        <f t="shared" si="149"/>
        <v>66.875873645365061</v>
      </c>
      <c r="AJ228" s="789">
        <v>3407</v>
      </c>
      <c r="AK228" s="777">
        <f t="shared" si="167"/>
        <v>4.5288626931778604E-3</v>
      </c>
      <c r="AL228" s="692">
        <f t="shared" si="168"/>
        <v>95017.849022845039</v>
      </c>
      <c r="AM228" s="790">
        <v>15</v>
      </c>
      <c r="AN228" s="791">
        <f t="shared" si="169"/>
        <v>2.1660649819494572E-3</v>
      </c>
      <c r="AO228" s="778">
        <f t="shared" si="170"/>
        <v>136335.44404332121</v>
      </c>
      <c r="AP228" s="768">
        <v>178</v>
      </c>
      <c r="AQ228" s="792">
        <f t="shared" si="171"/>
        <v>2.4058930864364397E-3</v>
      </c>
      <c r="AR228" s="793">
        <f t="shared" si="172"/>
        <v>201907.45583564235</v>
      </c>
      <c r="AS228" s="794">
        <v>30.5</v>
      </c>
      <c r="AT228" s="791">
        <f t="shared" si="173"/>
        <v>1.2232007085206283E-3</v>
      </c>
      <c r="AU228" s="795">
        <f t="shared" si="174"/>
        <v>102653.49878849651</v>
      </c>
      <c r="AV228" s="796">
        <v>70</v>
      </c>
      <c r="AW228" s="791">
        <f t="shared" si="175"/>
        <v>8.9140179299103503E-4</v>
      </c>
      <c r="AX228" s="795">
        <f t="shared" si="176"/>
        <v>56106.19269559902</v>
      </c>
      <c r="AY228" s="786">
        <f t="shared" si="177"/>
        <v>592020.44038590416</v>
      </c>
      <c r="AZ228" s="787">
        <f t="shared" si="150"/>
        <v>29.617311540642561</v>
      </c>
      <c r="BA228" s="797">
        <f t="shared" si="154"/>
        <v>5122275.1032625372</v>
      </c>
      <c r="BB228" s="775">
        <v>3356672</v>
      </c>
      <c r="BC228" s="775">
        <f t="shared" si="178"/>
        <v>0</v>
      </c>
      <c r="BD228" s="775">
        <f t="shared" si="179"/>
        <v>1765603.1032625372</v>
      </c>
      <c r="BE228" s="798">
        <f t="shared" si="180"/>
        <v>2.7472801460800738E-3</v>
      </c>
      <c r="BF228" s="775">
        <f t="shared" si="181"/>
        <v>-3637.0750015513136</v>
      </c>
      <c r="BG228" s="797">
        <f t="shared" si="182"/>
        <v>5118638.0282609854</v>
      </c>
      <c r="BH228" s="799">
        <v>8</v>
      </c>
      <c r="BI228" s="692">
        <f t="shared" si="191"/>
        <v>0</v>
      </c>
      <c r="BJ228" s="800">
        <v>1975</v>
      </c>
      <c r="BK228" s="778">
        <f t="shared" si="183"/>
        <v>0</v>
      </c>
      <c r="BL228" s="786">
        <f t="shared" si="190"/>
        <v>5118638.0282609854</v>
      </c>
      <c r="BM228" s="692">
        <f t="shared" si="184"/>
        <v>5118638.0282609854</v>
      </c>
      <c r="BN228" s="801">
        <f t="shared" si="185"/>
        <v>2.5010443386681703E-3</v>
      </c>
      <c r="BO228" s="787">
        <f t="shared" si="186"/>
        <v>12362.240126347719</v>
      </c>
      <c r="BP228" s="802">
        <f t="shared" si="187"/>
        <v>5131000</v>
      </c>
      <c r="BQ228" s="803">
        <f t="shared" si="151"/>
        <v>256.69118014908202</v>
      </c>
      <c r="BR228" s="682"/>
      <c r="BS228" s="618"/>
    </row>
    <row r="229" spans="1:71" ht="15.75">
      <c r="A229" s="805" t="s">
        <v>3873</v>
      </c>
      <c r="B229" s="767" t="s">
        <v>3874</v>
      </c>
      <c r="C229" s="768">
        <v>16726</v>
      </c>
      <c r="D229" s="769">
        <v>0</v>
      </c>
      <c r="E229" s="770">
        <v>0</v>
      </c>
      <c r="F229" s="771">
        <v>0</v>
      </c>
      <c r="G229" s="770">
        <v>0</v>
      </c>
      <c r="H229" s="771">
        <v>0</v>
      </c>
      <c r="I229" s="770">
        <f t="shared" si="188"/>
        <v>0</v>
      </c>
      <c r="J229" s="772">
        <f t="shared" si="155"/>
        <v>0</v>
      </c>
      <c r="K229" s="773">
        <v>4352</v>
      </c>
      <c r="L229" s="774">
        <f t="shared" si="156"/>
        <v>1.5706547414320459E-3</v>
      </c>
      <c r="M229" s="775">
        <f t="shared" si="189"/>
        <v>131812.5500366498</v>
      </c>
      <c r="N229" s="806">
        <v>202.5</v>
      </c>
      <c r="O229" s="777">
        <f t="shared" si="157"/>
        <v>2.3029237464987029E-4</v>
      </c>
      <c r="P229" s="778">
        <f t="shared" si="158"/>
        <v>19326.6058770614</v>
      </c>
      <c r="Q229" s="786">
        <f t="shared" si="144"/>
        <v>151139.15591371121</v>
      </c>
      <c r="R229" s="692">
        <f t="shared" si="145"/>
        <v>9.036180552057349</v>
      </c>
      <c r="S229" s="807">
        <v>63634081.149999999</v>
      </c>
      <c r="T229" s="782">
        <f t="shared" si="152"/>
        <v>4.3963717389199699</v>
      </c>
      <c r="U229" s="777">
        <f t="shared" si="159"/>
        <v>2.3897476758726706E-3</v>
      </c>
      <c r="V229" s="783">
        <f t="shared" si="146"/>
        <v>3804.5008459882815</v>
      </c>
      <c r="W229" s="778">
        <f t="shared" si="160"/>
        <v>952624.37521134317</v>
      </c>
      <c r="X229" s="784">
        <v>12998015.7707</v>
      </c>
      <c r="Y229" s="782">
        <f t="shared" si="153"/>
        <v>21.52321407630772</v>
      </c>
      <c r="Z229" s="782">
        <f t="shared" si="161"/>
        <v>3.3232175453571347E-3</v>
      </c>
      <c r="AA229" s="783">
        <f t="shared" si="147"/>
        <v>777.11441891067795</v>
      </c>
      <c r="AB229" s="692">
        <f t="shared" si="162"/>
        <v>780895.34815645718</v>
      </c>
      <c r="AC229" s="786">
        <f t="shared" si="163"/>
        <v>1733519.7233678005</v>
      </c>
      <c r="AD229" s="787">
        <f t="shared" si="148"/>
        <v>103.64221710915942</v>
      </c>
      <c r="AE229" s="788">
        <v>2472.9146000000001</v>
      </c>
      <c r="AF229" s="774">
        <f t="shared" si="164"/>
        <v>2.5720667331924005E-3</v>
      </c>
      <c r="AG229" s="692">
        <f t="shared" si="165"/>
        <v>323779.63089846296</v>
      </c>
      <c r="AH229" s="786">
        <f t="shared" si="166"/>
        <v>323779.63089846296</v>
      </c>
      <c r="AI229" s="692">
        <f t="shared" si="149"/>
        <v>19.357863858571264</v>
      </c>
      <c r="AJ229" s="789">
        <v>1956</v>
      </c>
      <c r="AK229" s="777">
        <f t="shared" si="167"/>
        <v>2.6000749714869078E-3</v>
      </c>
      <c r="AL229" s="692">
        <f t="shared" si="168"/>
        <v>54550.898940030784</v>
      </c>
      <c r="AM229" s="790">
        <v>3</v>
      </c>
      <c r="AN229" s="791">
        <f t="shared" si="169"/>
        <v>4.3321299638989148E-4</v>
      </c>
      <c r="AO229" s="778">
        <f t="shared" si="170"/>
        <v>27267.088808664244</v>
      </c>
      <c r="AP229" s="768">
        <v>168</v>
      </c>
      <c r="AQ229" s="792">
        <f t="shared" si="171"/>
        <v>2.2707305534905723E-3</v>
      </c>
      <c r="AR229" s="793">
        <f t="shared" si="172"/>
        <v>190564.34033925793</v>
      </c>
      <c r="AS229" s="794">
        <v>23</v>
      </c>
      <c r="AT229" s="791">
        <f t="shared" si="173"/>
        <v>9.2241364904834271E-4</v>
      </c>
      <c r="AU229" s="795">
        <f t="shared" si="174"/>
        <v>77410.83515198098</v>
      </c>
      <c r="AV229" s="796">
        <v>46</v>
      </c>
      <c r="AW229" s="791">
        <f t="shared" si="175"/>
        <v>5.8577832110839445E-4</v>
      </c>
      <c r="AX229" s="795">
        <f t="shared" si="176"/>
        <v>36869.783771393639</v>
      </c>
      <c r="AY229" s="786">
        <f t="shared" si="177"/>
        <v>386662.94701132755</v>
      </c>
      <c r="AZ229" s="787">
        <f t="shared" si="150"/>
        <v>23.117478596874779</v>
      </c>
      <c r="BA229" s="797">
        <f t="shared" si="154"/>
        <v>2595101.457191302</v>
      </c>
      <c r="BB229" s="775">
        <v>1979448</v>
      </c>
      <c r="BC229" s="775">
        <f t="shared" si="178"/>
        <v>0</v>
      </c>
      <c r="BD229" s="775">
        <f t="shared" si="179"/>
        <v>615653.45719130198</v>
      </c>
      <c r="BE229" s="798">
        <f t="shared" si="180"/>
        <v>9.5795737823628133E-4</v>
      </c>
      <c r="BF229" s="775">
        <f t="shared" si="181"/>
        <v>-1268.2226229844648</v>
      </c>
      <c r="BG229" s="797">
        <f t="shared" si="182"/>
        <v>2593833.2345683174</v>
      </c>
      <c r="BH229" s="799">
        <v>7.7</v>
      </c>
      <c r="BI229" s="692">
        <f t="shared" si="191"/>
        <v>0</v>
      </c>
      <c r="BJ229" s="800">
        <v>1150</v>
      </c>
      <c r="BK229" s="778">
        <f t="shared" si="183"/>
        <v>0</v>
      </c>
      <c r="BL229" s="786">
        <f t="shared" si="190"/>
        <v>2593833.2345683174</v>
      </c>
      <c r="BM229" s="692">
        <f t="shared" si="184"/>
        <v>2593833.2345683174</v>
      </c>
      <c r="BN229" s="801">
        <f t="shared" si="185"/>
        <v>1.2673863420208367E-3</v>
      </c>
      <c r="BO229" s="787">
        <f t="shared" si="186"/>
        <v>6264.4768230131649</v>
      </c>
      <c r="BP229" s="802">
        <f t="shared" si="187"/>
        <v>2600098</v>
      </c>
      <c r="BQ229" s="803">
        <f t="shared" si="151"/>
        <v>155.45246920961378</v>
      </c>
      <c r="BR229" s="682"/>
      <c r="BS229" s="618"/>
    </row>
    <row r="230" spans="1:71" ht="15.75">
      <c r="A230" s="766" t="s">
        <v>3875</v>
      </c>
      <c r="B230" s="767" t="s">
        <v>3876</v>
      </c>
      <c r="C230" s="768">
        <v>16704</v>
      </c>
      <c r="D230" s="769">
        <v>0</v>
      </c>
      <c r="E230" s="770">
        <v>0</v>
      </c>
      <c r="F230" s="771">
        <v>0</v>
      </c>
      <c r="G230" s="770">
        <v>0</v>
      </c>
      <c r="H230" s="771">
        <v>0</v>
      </c>
      <c r="I230" s="770">
        <f t="shared" si="188"/>
        <v>0</v>
      </c>
      <c r="J230" s="772">
        <f t="shared" si="155"/>
        <v>0</v>
      </c>
      <c r="K230" s="773">
        <v>10027</v>
      </c>
      <c r="L230" s="774">
        <f t="shared" si="156"/>
        <v>3.6187856370264531E-3</v>
      </c>
      <c r="M230" s="775">
        <f t="shared" si="189"/>
        <v>303695.87298195949</v>
      </c>
      <c r="N230" s="806">
        <v>1760.5</v>
      </c>
      <c r="O230" s="777">
        <f t="shared" si="157"/>
        <v>2.0021221015856625E-3</v>
      </c>
      <c r="P230" s="778">
        <f t="shared" si="158"/>
        <v>168022.17109415602</v>
      </c>
      <c r="Q230" s="786">
        <f t="shared" si="144"/>
        <v>471718.04407611548</v>
      </c>
      <c r="R230" s="692">
        <f t="shared" si="145"/>
        <v>28.239825435591204</v>
      </c>
      <c r="S230" s="807">
        <v>69290295.650000006</v>
      </c>
      <c r="T230" s="782">
        <f t="shared" si="152"/>
        <v>4.0268787047670793</v>
      </c>
      <c r="U230" s="777">
        <f t="shared" si="159"/>
        <v>2.1889013480243954E-3</v>
      </c>
      <c r="V230" s="783">
        <f t="shared" si="146"/>
        <v>4148.1259369013414</v>
      </c>
      <c r="W230" s="778">
        <f t="shared" si="160"/>
        <v>872561.06580354681</v>
      </c>
      <c r="X230" s="784">
        <v>21418833.074500002</v>
      </c>
      <c r="Y230" s="782">
        <f t="shared" si="153"/>
        <v>13.027022295261689</v>
      </c>
      <c r="Z230" s="782">
        <f t="shared" si="161"/>
        <v>2.0113923925064096E-3</v>
      </c>
      <c r="AA230" s="783">
        <f t="shared" si="147"/>
        <v>1282.2577271611592</v>
      </c>
      <c r="AB230" s="692">
        <f t="shared" si="162"/>
        <v>472640.4278949321</v>
      </c>
      <c r="AC230" s="786">
        <f t="shared" si="163"/>
        <v>1345201.4936984789</v>
      </c>
      <c r="AD230" s="787">
        <f t="shared" si="148"/>
        <v>80.53169861700664</v>
      </c>
      <c r="AE230" s="788">
        <v>2085.6405</v>
      </c>
      <c r="AF230" s="774">
        <f t="shared" si="164"/>
        <v>2.1692647806959304E-3</v>
      </c>
      <c r="AG230" s="692">
        <f t="shared" si="165"/>
        <v>273073.68854423263</v>
      </c>
      <c r="AH230" s="786">
        <f t="shared" si="166"/>
        <v>273073.68854423263</v>
      </c>
      <c r="AI230" s="692">
        <f t="shared" si="149"/>
        <v>16.34780223564611</v>
      </c>
      <c r="AJ230" s="789">
        <v>1698</v>
      </c>
      <c r="AK230" s="777">
        <f t="shared" si="167"/>
        <v>2.2571202973337267E-3</v>
      </c>
      <c r="AL230" s="692">
        <f t="shared" si="168"/>
        <v>47355.534969413224</v>
      </c>
      <c r="AM230" s="790">
        <v>5</v>
      </c>
      <c r="AN230" s="791">
        <f t="shared" si="169"/>
        <v>7.2202166064981913E-4</v>
      </c>
      <c r="AO230" s="778">
        <f t="shared" si="170"/>
        <v>45445.148014440412</v>
      </c>
      <c r="AP230" s="768">
        <v>100</v>
      </c>
      <c r="AQ230" s="792">
        <f t="shared" si="171"/>
        <v>1.3516253294586741E-3</v>
      </c>
      <c r="AR230" s="793">
        <f t="shared" si="172"/>
        <v>113431.15496384402</v>
      </c>
      <c r="AS230" s="794">
        <v>23.444444444444443</v>
      </c>
      <c r="AT230" s="791">
        <f t="shared" si="173"/>
        <v>9.4023806738744104E-4</v>
      </c>
      <c r="AU230" s="795">
        <f t="shared" si="174"/>
        <v>78906.696700811517</v>
      </c>
      <c r="AV230" s="796">
        <v>113</v>
      </c>
      <c r="AW230" s="791">
        <f t="shared" si="175"/>
        <v>1.4389771801140993E-3</v>
      </c>
      <c r="AX230" s="795">
        <f t="shared" si="176"/>
        <v>90571.425351466984</v>
      </c>
      <c r="AY230" s="786">
        <f t="shared" si="177"/>
        <v>375709.95999997616</v>
      </c>
      <c r="AZ230" s="787">
        <f t="shared" si="150"/>
        <v>22.49221503831275</v>
      </c>
      <c r="BA230" s="797">
        <f t="shared" si="154"/>
        <v>2465703.1863188031</v>
      </c>
      <c r="BB230" s="775">
        <v>2076299</v>
      </c>
      <c r="BC230" s="775">
        <f t="shared" si="178"/>
        <v>0</v>
      </c>
      <c r="BD230" s="775">
        <f t="shared" si="179"/>
        <v>389404.18631880311</v>
      </c>
      <c r="BE230" s="798">
        <f t="shared" si="180"/>
        <v>6.0591329268582449E-4</v>
      </c>
      <c r="BF230" s="775">
        <f t="shared" si="181"/>
        <v>-802.15776067819502</v>
      </c>
      <c r="BG230" s="797">
        <f t="shared" si="182"/>
        <v>2464901.0285581248</v>
      </c>
      <c r="BH230" s="799">
        <v>8</v>
      </c>
      <c r="BI230" s="692">
        <f t="shared" si="191"/>
        <v>0</v>
      </c>
      <c r="BJ230" s="800">
        <v>1395</v>
      </c>
      <c r="BK230" s="778">
        <f t="shared" si="183"/>
        <v>0</v>
      </c>
      <c r="BL230" s="786">
        <f t="shared" si="190"/>
        <v>2464901.0285581248</v>
      </c>
      <c r="BM230" s="692">
        <f t="shared" si="184"/>
        <v>2464901.0285581248</v>
      </c>
      <c r="BN230" s="801">
        <f t="shared" si="185"/>
        <v>1.2043881065266684E-3</v>
      </c>
      <c r="BO230" s="787">
        <f t="shared" si="186"/>
        <v>5953.0871756269744</v>
      </c>
      <c r="BP230" s="802">
        <f t="shared" si="187"/>
        <v>2470854</v>
      </c>
      <c r="BQ230" s="803">
        <f t="shared" si="151"/>
        <v>147.91989942528735</v>
      </c>
      <c r="BR230" s="682"/>
      <c r="BS230" s="618"/>
    </row>
    <row r="231" spans="1:71" ht="15.75">
      <c r="A231" s="805" t="s">
        <v>3877</v>
      </c>
      <c r="B231" s="767" t="s">
        <v>3878</v>
      </c>
      <c r="C231" s="768">
        <v>18463</v>
      </c>
      <c r="D231" s="769">
        <v>0</v>
      </c>
      <c r="E231" s="770">
        <v>0</v>
      </c>
      <c r="F231" s="771">
        <v>0</v>
      </c>
      <c r="G231" s="770">
        <v>0</v>
      </c>
      <c r="H231" s="771">
        <v>0</v>
      </c>
      <c r="I231" s="770">
        <f t="shared" si="188"/>
        <v>0</v>
      </c>
      <c r="J231" s="772">
        <f t="shared" si="155"/>
        <v>0</v>
      </c>
      <c r="K231" s="773">
        <v>6563</v>
      </c>
      <c r="L231" s="774">
        <f t="shared" si="156"/>
        <v>2.3686137564380783E-3</v>
      </c>
      <c r="M231" s="775">
        <f t="shared" si="189"/>
        <v>198778.89841234667</v>
      </c>
      <c r="N231" s="806">
        <v>284</v>
      </c>
      <c r="O231" s="777">
        <f t="shared" si="157"/>
        <v>3.2297794765710205E-4</v>
      </c>
      <c r="P231" s="778">
        <f t="shared" si="158"/>
        <v>27104.968242397226</v>
      </c>
      <c r="Q231" s="786">
        <f t="shared" si="144"/>
        <v>225883.86665474391</v>
      </c>
      <c r="R231" s="692">
        <f t="shared" si="145"/>
        <v>12.234407553200667</v>
      </c>
      <c r="S231" s="807">
        <v>78759844.339999989</v>
      </c>
      <c r="T231" s="782">
        <f t="shared" si="152"/>
        <v>4.3281239552536173</v>
      </c>
      <c r="U231" s="777">
        <f t="shared" si="159"/>
        <v>2.3526500435327373E-3</v>
      </c>
      <c r="V231" s="783">
        <f t="shared" si="146"/>
        <v>4265.8205242918266</v>
      </c>
      <c r="W231" s="778">
        <f t="shared" si="160"/>
        <v>937836.15753194154</v>
      </c>
      <c r="X231" s="784">
        <v>15654339.1645</v>
      </c>
      <c r="Y231" s="782">
        <f t="shared" si="153"/>
        <v>21.775583460784677</v>
      </c>
      <c r="Z231" s="782">
        <f t="shared" si="161"/>
        <v>3.3621837686837893E-3</v>
      </c>
      <c r="AA231" s="783">
        <f t="shared" si="147"/>
        <v>847.87624787412665</v>
      </c>
      <c r="AB231" s="692">
        <f t="shared" si="162"/>
        <v>790051.6980239288</v>
      </c>
      <c r="AC231" s="786">
        <f t="shared" si="163"/>
        <v>1727887.8555558703</v>
      </c>
      <c r="AD231" s="787">
        <f t="shared" si="148"/>
        <v>93.58651657671399</v>
      </c>
      <c r="AE231" s="788">
        <v>2700.4953</v>
      </c>
      <c r="AF231" s="774">
        <f t="shared" si="164"/>
        <v>2.8087723386292559E-3</v>
      </c>
      <c r="AG231" s="692">
        <f t="shared" si="165"/>
        <v>353576.85683000693</v>
      </c>
      <c r="AH231" s="786">
        <f t="shared" si="166"/>
        <v>353576.85683000693</v>
      </c>
      <c r="AI231" s="692">
        <f t="shared" si="149"/>
        <v>19.150563658669064</v>
      </c>
      <c r="AJ231" s="789">
        <v>1455</v>
      </c>
      <c r="AK231" s="777">
        <f t="shared" si="167"/>
        <v>1.9341048484220098E-3</v>
      </c>
      <c r="AL231" s="692">
        <f t="shared" si="168"/>
        <v>40578.506113366464</v>
      </c>
      <c r="AM231" s="790">
        <v>17</v>
      </c>
      <c r="AN231" s="791">
        <f t="shared" si="169"/>
        <v>2.4548736462093848E-3</v>
      </c>
      <c r="AO231" s="778">
        <f t="shared" si="170"/>
        <v>154513.50324909738</v>
      </c>
      <c r="AP231" s="768">
        <v>120</v>
      </c>
      <c r="AQ231" s="792">
        <f t="shared" si="171"/>
        <v>1.6219503953504089E-3</v>
      </c>
      <c r="AR231" s="793">
        <f t="shared" si="172"/>
        <v>136117.38595661282</v>
      </c>
      <c r="AS231" s="794">
        <v>25.444444444444443</v>
      </c>
      <c r="AT231" s="791">
        <f t="shared" si="173"/>
        <v>1.0204479499133839E-3</v>
      </c>
      <c r="AU231" s="795">
        <f t="shared" si="174"/>
        <v>85638.073670548998</v>
      </c>
      <c r="AV231" s="796">
        <v>2</v>
      </c>
      <c r="AW231" s="791">
        <f t="shared" si="175"/>
        <v>2.5468622656886714E-5</v>
      </c>
      <c r="AX231" s="795">
        <f t="shared" si="176"/>
        <v>1603.0340770171149</v>
      </c>
      <c r="AY231" s="786">
        <f t="shared" si="177"/>
        <v>418450.50306664279</v>
      </c>
      <c r="AZ231" s="787">
        <f t="shared" si="150"/>
        <v>22.664274661032486</v>
      </c>
      <c r="BA231" s="797">
        <f t="shared" si="154"/>
        <v>2725799.0821072641</v>
      </c>
      <c r="BB231" s="775">
        <v>2230396</v>
      </c>
      <c r="BC231" s="775">
        <f t="shared" si="178"/>
        <v>0</v>
      </c>
      <c r="BD231" s="775">
        <f t="shared" si="179"/>
        <v>495403.08210726408</v>
      </c>
      <c r="BE231" s="798">
        <f t="shared" si="180"/>
        <v>7.7084767763788131E-4</v>
      </c>
      <c r="BF231" s="775">
        <f t="shared" si="181"/>
        <v>-1020.5114401386961</v>
      </c>
      <c r="BG231" s="797">
        <f t="shared" si="182"/>
        <v>2724778.5706671253</v>
      </c>
      <c r="BH231" s="799">
        <v>6.5</v>
      </c>
      <c r="BI231" s="692">
        <f t="shared" si="191"/>
        <v>0</v>
      </c>
      <c r="BJ231" s="800">
        <v>1120</v>
      </c>
      <c r="BK231" s="778">
        <f t="shared" si="183"/>
        <v>0</v>
      </c>
      <c r="BL231" s="786">
        <f t="shared" si="190"/>
        <v>2724778.5706671253</v>
      </c>
      <c r="BM231" s="692">
        <f t="shared" si="184"/>
        <v>2724778.5706671253</v>
      </c>
      <c r="BN231" s="801">
        <f t="shared" si="185"/>
        <v>1.3313682234738194E-3</v>
      </c>
      <c r="BO231" s="787">
        <f t="shared" si="186"/>
        <v>6580.72846638806</v>
      </c>
      <c r="BP231" s="802">
        <f t="shared" si="187"/>
        <v>2731359</v>
      </c>
      <c r="BQ231" s="803">
        <f t="shared" si="151"/>
        <v>147.9369008286844</v>
      </c>
      <c r="BR231" s="682"/>
      <c r="BS231" s="618"/>
    </row>
    <row r="232" spans="1:71" ht="15.75">
      <c r="A232" s="805" t="s">
        <v>3879</v>
      </c>
      <c r="B232" s="767" t="s">
        <v>3880</v>
      </c>
      <c r="C232" s="768">
        <v>14515</v>
      </c>
      <c r="D232" s="769">
        <v>0</v>
      </c>
      <c r="E232" s="770">
        <v>0</v>
      </c>
      <c r="F232" s="771">
        <v>0</v>
      </c>
      <c r="G232" s="770">
        <v>0</v>
      </c>
      <c r="H232" s="771">
        <v>0</v>
      </c>
      <c r="I232" s="770">
        <f t="shared" si="188"/>
        <v>0</v>
      </c>
      <c r="J232" s="772">
        <f t="shared" si="155"/>
        <v>0</v>
      </c>
      <c r="K232" s="773">
        <v>4280</v>
      </c>
      <c r="L232" s="774">
        <f t="shared" si="156"/>
        <v>1.5446696446068833E-3</v>
      </c>
      <c r="M232" s="775">
        <f t="shared" si="189"/>
        <v>129631.82770148464</v>
      </c>
      <c r="N232" s="806">
        <v>40</v>
      </c>
      <c r="O232" s="777">
        <f t="shared" si="157"/>
        <v>4.5489851782690426E-5</v>
      </c>
      <c r="P232" s="778">
        <f t="shared" si="158"/>
        <v>3817.6011609010175</v>
      </c>
      <c r="Q232" s="786">
        <f t="shared" si="144"/>
        <v>133449.42886238566</v>
      </c>
      <c r="R232" s="692">
        <f t="shared" si="145"/>
        <v>9.1938979581388676</v>
      </c>
      <c r="S232" s="807">
        <v>33238271.770000003</v>
      </c>
      <c r="T232" s="782">
        <f t="shared" si="152"/>
        <v>6.3386335624753807</v>
      </c>
      <c r="U232" s="777">
        <f t="shared" si="159"/>
        <v>3.4455081880440121E-3</v>
      </c>
      <c r="V232" s="783">
        <f t="shared" si="146"/>
        <v>2289.9257161557011</v>
      </c>
      <c r="W232" s="778">
        <f t="shared" si="160"/>
        <v>1373481.8608924462</v>
      </c>
      <c r="X232" s="784">
        <v>13048691.131100001</v>
      </c>
      <c r="Y232" s="782">
        <f t="shared" si="153"/>
        <v>16.146081080719036</v>
      </c>
      <c r="Z232" s="782">
        <f t="shared" si="161"/>
        <v>2.4929798935219793E-3</v>
      </c>
      <c r="AA232" s="783">
        <f t="shared" si="147"/>
        <v>898.97975412332073</v>
      </c>
      <c r="AB232" s="692">
        <f t="shared" si="162"/>
        <v>585804.68336137244</v>
      </c>
      <c r="AC232" s="786">
        <f t="shared" si="163"/>
        <v>1959286.5442538187</v>
      </c>
      <c r="AD232" s="787">
        <f t="shared" si="148"/>
        <v>134.98357177084523</v>
      </c>
      <c r="AE232" s="788">
        <v>7897.9736000000003</v>
      </c>
      <c r="AF232" s="774">
        <f t="shared" si="164"/>
        <v>8.2146448390056914E-3</v>
      </c>
      <c r="AG232" s="692">
        <f t="shared" si="165"/>
        <v>1034084.6291472438</v>
      </c>
      <c r="AH232" s="786">
        <f t="shared" si="166"/>
        <v>1034084.6291472438</v>
      </c>
      <c r="AI232" s="692">
        <f t="shared" si="149"/>
        <v>71.242482200981314</v>
      </c>
      <c r="AJ232" s="789">
        <v>1306</v>
      </c>
      <c r="AK232" s="777">
        <f t="shared" si="167"/>
        <v>1.7360418776901339E-3</v>
      </c>
      <c r="AL232" s="692">
        <f t="shared" si="168"/>
        <v>36423.043975296634</v>
      </c>
      <c r="AM232" s="790">
        <v>14.333333333333334</v>
      </c>
      <c r="AN232" s="791">
        <f t="shared" si="169"/>
        <v>2.0697954271961484E-3</v>
      </c>
      <c r="AO232" s="778">
        <f t="shared" si="170"/>
        <v>130276.09097472919</v>
      </c>
      <c r="AP232" s="768">
        <v>158</v>
      </c>
      <c r="AQ232" s="792">
        <f t="shared" si="171"/>
        <v>2.1355680205447048E-3</v>
      </c>
      <c r="AR232" s="793">
        <f t="shared" si="172"/>
        <v>179221.22484287355</v>
      </c>
      <c r="AS232" s="794">
        <v>14.722222222222223</v>
      </c>
      <c r="AT232" s="791">
        <f t="shared" si="173"/>
        <v>5.9043385748263483E-4</v>
      </c>
      <c r="AU232" s="795">
        <f t="shared" si="174"/>
        <v>49550.41380501198</v>
      </c>
      <c r="AV232" s="796">
        <v>72</v>
      </c>
      <c r="AW232" s="791">
        <f t="shared" si="175"/>
        <v>9.1687041564792176E-4</v>
      </c>
      <c r="AX232" s="795">
        <f t="shared" si="176"/>
        <v>57709.226772616137</v>
      </c>
      <c r="AY232" s="786">
        <f t="shared" si="177"/>
        <v>453180.0003705275</v>
      </c>
      <c r="AZ232" s="787">
        <f t="shared" si="150"/>
        <v>31.221495030694282</v>
      </c>
      <c r="BA232" s="797">
        <f t="shared" si="154"/>
        <v>3580000.6026339759</v>
      </c>
      <c r="BB232" s="775">
        <v>2000599</v>
      </c>
      <c r="BC232" s="775">
        <f t="shared" si="178"/>
        <v>0</v>
      </c>
      <c r="BD232" s="775">
        <f t="shared" si="179"/>
        <v>1579401.6026339759</v>
      </c>
      <c r="BE232" s="798">
        <f t="shared" si="180"/>
        <v>2.4575504299836821E-3</v>
      </c>
      <c r="BF232" s="775">
        <f t="shared" si="181"/>
        <v>-3253.5070173672821</v>
      </c>
      <c r="BG232" s="797">
        <f t="shared" si="182"/>
        <v>3576747.0956166089</v>
      </c>
      <c r="BH232" s="799">
        <v>6</v>
      </c>
      <c r="BI232" s="692">
        <f t="shared" si="191"/>
        <v>0</v>
      </c>
      <c r="BJ232" s="800">
        <v>1250</v>
      </c>
      <c r="BK232" s="778">
        <f t="shared" si="183"/>
        <v>0</v>
      </c>
      <c r="BL232" s="786">
        <f t="shared" si="190"/>
        <v>3576747.0956166089</v>
      </c>
      <c r="BM232" s="692">
        <f t="shared" si="184"/>
        <v>3576747.0956166089</v>
      </c>
      <c r="BN232" s="801">
        <f t="shared" si="185"/>
        <v>1.7476529938138512E-3</v>
      </c>
      <c r="BO232" s="787">
        <f t="shared" si="186"/>
        <v>8638.3538400451271</v>
      </c>
      <c r="BP232" s="802">
        <f t="shared" si="187"/>
        <v>3585385</v>
      </c>
      <c r="BQ232" s="803">
        <f t="shared" si="151"/>
        <v>247.01240096451946</v>
      </c>
      <c r="BR232" s="682"/>
      <c r="BS232" s="618"/>
    </row>
    <row r="233" spans="1:71" ht="15.75">
      <c r="A233" s="805" t="s">
        <v>3881</v>
      </c>
      <c r="B233" s="767" t="s">
        <v>3882</v>
      </c>
      <c r="C233" s="768">
        <v>10799</v>
      </c>
      <c r="D233" s="769">
        <v>0</v>
      </c>
      <c r="E233" s="770">
        <v>0</v>
      </c>
      <c r="F233" s="771">
        <v>0</v>
      </c>
      <c r="G233" s="770">
        <v>0</v>
      </c>
      <c r="H233" s="771">
        <v>0</v>
      </c>
      <c r="I233" s="770">
        <f t="shared" si="188"/>
        <v>0</v>
      </c>
      <c r="J233" s="772">
        <f t="shared" si="155"/>
        <v>0</v>
      </c>
      <c r="K233" s="773">
        <v>2112</v>
      </c>
      <c r="L233" s="774">
        <f t="shared" si="156"/>
        <v>7.6222950687143405E-4</v>
      </c>
      <c r="M233" s="775">
        <f t="shared" si="189"/>
        <v>63967.855164844761</v>
      </c>
      <c r="N233" s="806">
        <v>56</v>
      </c>
      <c r="O233" s="777">
        <f t="shared" si="157"/>
        <v>6.3685792495766599E-5</v>
      </c>
      <c r="P233" s="778">
        <f t="shared" si="158"/>
        <v>5344.6416252614245</v>
      </c>
      <c r="Q233" s="786">
        <f t="shared" si="144"/>
        <v>69312.49679010619</v>
      </c>
      <c r="R233" s="692">
        <f t="shared" si="145"/>
        <v>6.4184180748315764</v>
      </c>
      <c r="S233" s="807">
        <v>32466377.350000005</v>
      </c>
      <c r="T233" s="782">
        <f t="shared" si="152"/>
        <v>3.5919745447054008</v>
      </c>
      <c r="U233" s="777">
        <f t="shared" si="159"/>
        <v>1.9524993175650529E-3</v>
      </c>
      <c r="V233" s="783">
        <f t="shared" si="146"/>
        <v>3006.4244235577371</v>
      </c>
      <c r="W233" s="778">
        <f t="shared" si="160"/>
        <v>778324.1976861686</v>
      </c>
      <c r="X233" s="784">
        <v>8410257.4846999999</v>
      </c>
      <c r="Y233" s="782">
        <f t="shared" si="153"/>
        <v>13.866210542561037</v>
      </c>
      <c r="Z233" s="782">
        <f t="shared" si="161"/>
        <v>2.1409643559406511E-3</v>
      </c>
      <c r="AA233" s="783">
        <f t="shared" si="147"/>
        <v>778.79965595888507</v>
      </c>
      <c r="AB233" s="692">
        <f t="shared" si="162"/>
        <v>503087.46968991158</v>
      </c>
      <c r="AC233" s="786">
        <f t="shared" si="163"/>
        <v>1281411.6673760801</v>
      </c>
      <c r="AD233" s="787">
        <f t="shared" si="148"/>
        <v>118.66021551774054</v>
      </c>
      <c r="AE233" s="788">
        <v>3881.029</v>
      </c>
      <c r="AF233" s="774">
        <f t="shared" si="164"/>
        <v>4.0366398344103627E-3</v>
      </c>
      <c r="AG233" s="692">
        <f t="shared" si="165"/>
        <v>508144.57447346975</v>
      </c>
      <c r="AH233" s="786">
        <f t="shared" si="166"/>
        <v>508144.57447346975</v>
      </c>
      <c r="AI233" s="692">
        <f t="shared" si="149"/>
        <v>47.054780486477426</v>
      </c>
      <c r="AJ233" s="789">
        <v>987</v>
      </c>
      <c r="AK233" s="777">
        <f t="shared" si="167"/>
        <v>1.3120010208883324E-3</v>
      </c>
      <c r="AL233" s="692">
        <f t="shared" si="168"/>
        <v>27526.450538757868</v>
      </c>
      <c r="AM233" s="790">
        <v>4.666666666666667</v>
      </c>
      <c r="AN233" s="791">
        <f t="shared" si="169"/>
        <v>6.7388688327316452E-4</v>
      </c>
      <c r="AO233" s="778">
        <f t="shared" si="170"/>
        <v>42415.471480144384</v>
      </c>
      <c r="AP233" s="768">
        <v>113</v>
      </c>
      <c r="AQ233" s="792">
        <f t="shared" si="171"/>
        <v>1.5273366222883016E-3</v>
      </c>
      <c r="AR233" s="793">
        <f t="shared" si="172"/>
        <v>128177.20510914375</v>
      </c>
      <c r="AS233" s="794">
        <v>12.5</v>
      </c>
      <c r="AT233" s="791">
        <f t="shared" si="173"/>
        <v>5.0131176578714273E-4</v>
      </c>
      <c r="AU233" s="795">
        <f t="shared" si="174"/>
        <v>42071.106060859223</v>
      </c>
      <c r="AV233" s="796">
        <v>34</v>
      </c>
      <c r="AW233" s="791">
        <f t="shared" si="175"/>
        <v>4.3296658516707415E-4</v>
      </c>
      <c r="AX233" s="795">
        <f t="shared" si="176"/>
        <v>27251.579309290952</v>
      </c>
      <c r="AY233" s="786">
        <f t="shared" si="177"/>
        <v>267441.81249819614</v>
      </c>
      <c r="AZ233" s="787">
        <f t="shared" si="150"/>
        <v>24.765423881673872</v>
      </c>
      <c r="BA233" s="797">
        <f t="shared" si="154"/>
        <v>2126310.551137852</v>
      </c>
      <c r="BB233" s="775">
        <v>1322593</v>
      </c>
      <c r="BC233" s="775">
        <f t="shared" si="178"/>
        <v>0</v>
      </c>
      <c r="BD233" s="775">
        <f t="shared" si="179"/>
        <v>803717.55113785202</v>
      </c>
      <c r="BE233" s="798">
        <f t="shared" si="180"/>
        <v>1.2505852913472094E-3</v>
      </c>
      <c r="BF233" s="775">
        <f t="shared" si="181"/>
        <v>-1655.6274783103713</v>
      </c>
      <c r="BG233" s="797">
        <f t="shared" si="182"/>
        <v>2124654.9236595416</v>
      </c>
      <c r="BH233" s="799">
        <v>7.5</v>
      </c>
      <c r="BI233" s="692">
        <f t="shared" si="191"/>
        <v>0</v>
      </c>
      <c r="BJ233" s="800">
        <v>1275</v>
      </c>
      <c r="BK233" s="778">
        <f t="shared" si="183"/>
        <v>0</v>
      </c>
      <c r="BL233" s="786">
        <f t="shared" si="190"/>
        <v>2124654.9236595416</v>
      </c>
      <c r="BM233" s="692">
        <f t="shared" si="184"/>
        <v>2124654.9236595416</v>
      </c>
      <c r="BN233" s="801">
        <f t="shared" si="185"/>
        <v>1.0381386882806183E-3</v>
      </c>
      <c r="BO233" s="787">
        <f t="shared" si="186"/>
        <v>5131.3443550587845</v>
      </c>
      <c r="BP233" s="802">
        <f t="shared" si="187"/>
        <v>2129786</v>
      </c>
      <c r="BQ233" s="803">
        <f t="shared" si="151"/>
        <v>197.2206685804241</v>
      </c>
      <c r="BR233" s="682"/>
      <c r="BS233" s="618"/>
    </row>
    <row r="234" spans="1:71" ht="15.75">
      <c r="A234" s="805" t="s">
        <v>3883</v>
      </c>
      <c r="B234" s="767" t="s">
        <v>3884</v>
      </c>
      <c r="C234" s="768">
        <v>16265</v>
      </c>
      <c r="D234" s="769">
        <v>0</v>
      </c>
      <c r="E234" s="770">
        <v>0</v>
      </c>
      <c r="F234" s="771">
        <v>0</v>
      </c>
      <c r="G234" s="770">
        <v>0</v>
      </c>
      <c r="H234" s="771">
        <v>0</v>
      </c>
      <c r="I234" s="770">
        <f t="shared" si="188"/>
        <v>0</v>
      </c>
      <c r="J234" s="772">
        <f t="shared" si="155"/>
        <v>0</v>
      </c>
      <c r="K234" s="773">
        <v>3543</v>
      </c>
      <c r="L234" s="774">
        <f t="shared" si="156"/>
        <v>1.2786833062715392E-3</v>
      </c>
      <c r="M234" s="775">
        <f t="shared" si="189"/>
        <v>107309.71157625236</v>
      </c>
      <c r="N234" s="806">
        <v>122</v>
      </c>
      <c r="O234" s="777">
        <f t="shared" si="157"/>
        <v>1.387440479372058E-4</v>
      </c>
      <c r="P234" s="778">
        <f t="shared" si="158"/>
        <v>11643.683540748103</v>
      </c>
      <c r="Q234" s="786">
        <f t="shared" si="144"/>
        <v>118953.39511700046</v>
      </c>
      <c r="R234" s="692">
        <f t="shared" si="145"/>
        <v>7.3134580459268648</v>
      </c>
      <c r="S234" s="807">
        <v>41981422.589999996</v>
      </c>
      <c r="T234" s="782">
        <f t="shared" si="152"/>
        <v>6.301602201136844</v>
      </c>
      <c r="U234" s="777">
        <f t="shared" si="159"/>
        <v>3.4253789508119237E-3</v>
      </c>
      <c r="V234" s="783">
        <f t="shared" si="146"/>
        <v>2581.0896151245001</v>
      </c>
      <c r="W234" s="778">
        <f t="shared" si="160"/>
        <v>1365457.7492946824</v>
      </c>
      <c r="X234" s="784">
        <v>10359365.6459</v>
      </c>
      <c r="Y234" s="782">
        <f t="shared" si="153"/>
        <v>25.537299680574836</v>
      </c>
      <c r="Z234" s="782">
        <f t="shared" si="161"/>
        <v>3.9429985716189142E-3</v>
      </c>
      <c r="AA234" s="783">
        <f t="shared" si="147"/>
        <v>636.91150604980021</v>
      </c>
      <c r="AB234" s="692">
        <f t="shared" si="162"/>
        <v>926532.55477256712</v>
      </c>
      <c r="AC234" s="786">
        <f t="shared" si="163"/>
        <v>2291990.3040672494</v>
      </c>
      <c r="AD234" s="787">
        <f t="shared" si="148"/>
        <v>140.91548134443588</v>
      </c>
      <c r="AE234" s="788">
        <v>4727.7960999999996</v>
      </c>
      <c r="AF234" s="774">
        <f t="shared" si="164"/>
        <v>4.9173582743725847E-3</v>
      </c>
      <c r="AG234" s="692">
        <f t="shared" si="165"/>
        <v>619012.10669434059</v>
      </c>
      <c r="AH234" s="786">
        <f t="shared" si="166"/>
        <v>619012.10669434059</v>
      </c>
      <c r="AI234" s="692">
        <f t="shared" si="149"/>
        <v>38.057922329808825</v>
      </c>
      <c r="AJ234" s="789">
        <v>1931</v>
      </c>
      <c r="AK234" s="777">
        <f t="shared" si="167"/>
        <v>2.5668429294178011E-3</v>
      </c>
      <c r="AL234" s="692">
        <f t="shared" si="168"/>
        <v>53853.673749079469</v>
      </c>
      <c r="AM234" s="790">
        <v>6</v>
      </c>
      <c r="AN234" s="791">
        <f t="shared" si="169"/>
        <v>8.6642599277978296E-4</v>
      </c>
      <c r="AO234" s="778">
        <f t="shared" si="170"/>
        <v>54534.177617328489</v>
      </c>
      <c r="AP234" s="768">
        <v>148</v>
      </c>
      <c r="AQ234" s="792">
        <f t="shared" si="171"/>
        <v>2.0004054875988374E-3</v>
      </c>
      <c r="AR234" s="793">
        <f t="shared" si="172"/>
        <v>167878.10934648913</v>
      </c>
      <c r="AS234" s="794">
        <v>14</v>
      </c>
      <c r="AT234" s="791">
        <f t="shared" si="173"/>
        <v>5.6146917768159989E-4</v>
      </c>
      <c r="AU234" s="795">
        <f t="shared" si="174"/>
        <v>47119.63878816233</v>
      </c>
      <c r="AV234" s="796">
        <v>29</v>
      </c>
      <c r="AW234" s="791">
        <f t="shared" si="175"/>
        <v>3.692950285248574E-4</v>
      </c>
      <c r="AX234" s="795">
        <f t="shared" si="176"/>
        <v>23243.994116748167</v>
      </c>
      <c r="AY234" s="786">
        <f t="shared" si="177"/>
        <v>346629.59361780755</v>
      </c>
      <c r="AZ234" s="787">
        <f t="shared" si="150"/>
        <v>21.311379871983249</v>
      </c>
      <c r="BA234" s="797">
        <f t="shared" si="154"/>
        <v>3376585.3994963984</v>
      </c>
      <c r="BB234" s="775">
        <v>2317145</v>
      </c>
      <c r="BC234" s="775">
        <f t="shared" si="178"/>
        <v>0</v>
      </c>
      <c r="BD234" s="775">
        <f t="shared" si="179"/>
        <v>1059440.3994963984</v>
      </c>
      <c r="BE234" s="798">
        <f t="shared" si="180"/>
        <v>1.6484902921349289E-3</v>
      </c>
      <c r="BF234" s="775">
        <f t="shared" si="181"/>
        <v>-2182.4067852631792</v>
      </c>
      <c r="BG234" s="797">
        <f t="shared" si="182"/>
        <v>3374402.9927111352</v>
      </c>
      <c r="BH234" s="799">
        <v>9</v>
      </c>
      <c r="BI234" s="692">
        <f t="shared" si="191"/>
        <v>0</v>
      </c>
      <c r="BJ234" s="800">
        <v>1400</v>
      </c>
      <c r="BK234" s="778">
        <f t="shared" si="183"/>
        <v>0</v>
      </c>
      <c r="BL234" s="786">
        <f t="shared" si="190"/>
        <v>3374402.9927111352</v>
      </c>
      <c r="BM234" s="692">
        <f t="shared" si="184"/>
        <v>3374402.9927111352</v>
      </c>
      <c r="BN234" s="801">
        <f t="shared" si="185"/>
        <v>1.6487845897109423E-3</v>
      </c>
      <c r="BO234" s="787">
        <f t="shared" si="186"/>
        <v>8149.6640021513322</v>
      </c>
      <c r="BP234" s="802">
        <f t="shared" si="187"/>
        <v>3382553</v>
      </c>
      <c r="BQ234" s="803">
        <f t="shared" si="151"/>
        <v>207.96513987088841</v>
      </c>
      <c r="BR234" s="682"/>
      <c r="BS234" s="618"/>
    </row>
    <row r="235" spans="1:71" ht="15.75">
      <c r="A235" s="766" t="s">
        <v>3885</v>
      </c>
      <c r="B235" s="767" t="s">
        <v>3886</v>
      </c>
      <c r="C235" s="768">
        <v>11434</v>
      </c>
      <c r="D235" s="769">
        <v>0</v>
      </c>
      <c r="E235" s="770">
        <v>0</v>
      </c>
      <c r="F235" s="771">
        <v>0</v>
      </c>
      <c r="G235" s="770">
        <v>0</v>
      </c>
      <c r="H235" s="771">
        <v>0</v>
      </c>
      <c r="I235" s="770">
        <f t="shared" si="188"/>
        <v>0</v>
      </c>
      <c r="J235" s="772">
        <f t="shared" si="155"/>
        <v>0</v>
      </c>
      <c r="K235" s="773">
        <v>3868</v>
      </c>
      <c r="L235" s="774">
        <f t="shared" si="156"/>
        <v>1.3959771461073422E-3</v>
      </c>
      <c r="M235" s="775">
        <f t="shared" si="189"/>
        <v>117153.24989470621</v>
      </c>
      <c r="N235" s="806">
        <v>56.5</v>
      </c>
      <c r="O235" s="777">
        <f t="shared" si="157"/>
        <v>6.4254415643050236E-5</v>
      </c>
      <c r="P235" s="778">
        <f t="shared" si="158"/>
        <v>5392.3616397726873</v>
      </c>
      <c r="Q235" s="786">
        <f t="shared" si="144"/>
        <v>122545.6115344789</v>
      </c>
      <c r="R235" s="692">
        <f t="shared" si="145"/>
        <v>10.717650125457311</v>
      </c>
      <c r="S235" s="807">
        <v>32354813.039999995</v>
      </c>
      <c r="T235" s="782">
        <f t="shared" si="152"/>
        <v>4.0407081270527412</v>
      </c>
      <c r="U235" s="777">
        <f t="shared" si="159"/>
        <v>2.1964186444971322E-3</v>
      </c>
      <c r="V235" s="783">
        <f t="shared" si="146"/>
        <v>2829.7020325345457</v>
      </c>
      <c r="W235" s="778">
        <f t="shared" si="160"/>
        <v>875557.68336611206</v>
      </c>
      <c r="X235" s="784">
        <v>10245776.0637</v>
      </c>
      <c r="Y235" s="782">
        <f t="shared" si="153"/>
        <v>12.760024734796703</v>
      </c>
      <c r="Z235" s="782">
        <f t="shared" si="161"/>
        <v>1.9701675561804308E-3</v>
      </c>
      <c r="AA235" s="783">
        <f t="shared" si="147"/>
        <v>896.07976768410003</v>
      </c>
      <c r="AB235" s="692">
        <f t="shared" si="162"/>
        <v>462953.34527813381</v>
      </c>
      <c r="AC235" s="786">
        <f t="shared" si="163"/>
        <v>1338511.0286442458</v>
      </c>
      <c r="AD235" s="787">
        <f t="shared" si="148"/>
        <v>117.0641095543332</v>
      </c>
      <c r="AE235" s="788">
        <v>3725.5257000000001</v>
      </c>
      <c r="AF235" s="774">
        <f t="shared" si="164"/>
        <v>3.8749015904646811E-3</v>
      </c>
      <c r="AG235" s="692">
        <f t="shared" si="165"/>
        <v>487784.46940656088</v>
      </c>
      <c r="AH235" s="786">
        <f t="shared" si="166"/>
        <v>487784.46940656088</v>
      </c>
      <c r="AI235" s="692">
        <f t="shared" si="149"/>
        <v>42.660877156424775</v>
      </c>
      <c r="AJ235" s="789">
        <v>1149</v>
      </c>
      <c r="AK235" s="777">
        <f t="shared" si="167"/>
        <v>1.5273446534961438E-3</v>
      </c>
      <c r="AL235" s="692">
        <f t="shared" si="168"/>
        <v>32044.46977612238</v>
      </c>
      <c r="AM235" s="790">
        <v>7.666666666666667</v>
      </c>
      <c r="AN235" s="791">
        <f t="shared" si="169"/>
        <v>1.107099879663056E-3</v>
      </c>
      <c r="AO235" s="778">
        <f t="shared" si="170"/>
        <v>69682.560288808629</v>
      </c>
      <c r="AP235" s="768">
        <v>131</v>
      </c>
      <c r="AQ235" s="792">
        <f t="shared" si="171"/>
        <v>1.7706291815908629E-3</v>
      </c>
      <c r="AR235" s="793">
        <f t="shared" si="172"/>
        <v>148594.81300263567</v>
      </c>
      <c r="AS235" s="794">
        <v>12.472222222222221</v>
      </c>
      <c r="AT235" s="791">
        <f t="shared" si="173"/>
        <v>5.0019773964094904E-4</v>
      </c>
      <c r="AU235" s="795">
        <f t="shared" si="174"/>
        <v>41977.614714057308</v>
      </c>
      <c r="AV235" s="796">
        <v>34</v>
      </c>
      <c r="AW235" s="791">
        <f t="shared" si="175"/>
        <v>4.3296658516707415E-4</v>
      </c>
      <c r="AX235" s="795">
        <f t="shared" si="176"/>
        <v>27251.579309290952</v>
      </c>
      <c r="AY235" s="786">
        <f t="shared" si="177"/>
        <v>319551.03709091491</v>
      </c>
      <c r="AZ235" s="787">
        <f t="shared" si="150"/>
        <v>27.947440711117274</v>
      </c>
      <c r="BA235" s="797">
        <f t="shared" si="154"/>
        <v>2268392.1466762004</v>
      </c>
      <c r="BB235" s="775">
        <v>1387471</v>
      </c>
      <c r="BC235" s="775">
        <f t="shared" si="178"/>
        <v>0</v>
      </c>
      <c r="BD235" s="775">
        <f t="shared" si="179"/>
        <v>880921.14667620044</v>
      </c>
      <c r="BE235" s="798">
        <f t="shared" si="180"/>
        <v>1.3707141611008795E-3</v>
      </c>
      <c r="BF235" s="775">
        <f t="shared" si="181"/>
        <v>-1814.6639383412489</v>
      </c>
      <c r="BG235" s="797">
        <f t="shared" si="182"/>
        <v>2266577.4827378592</v>
      </c>
      <c r="BH235" s="799">
        <v>7.4</v>
      </c>
      <c r="BI235" s="692">
        <f t="shared" si="191"/>
        <v>0</v>
      </c>
      <c r="BJ235" s="800">
        <v>1330</v>
      </c>
      <c r="BK235" s="778">
        <f t="shared" si="183"/>
        <v>0</v>
      </c>
      <c r="BL235" s="786">
        <f t="shared" si="190"/>
        <v>2266577.4827378592</v>
      </c>
      <c r="BM235" s="692">
        <f t="shared" si="184"/>
        <v>2266577.4827378592</v>
      </c>
      <c r="BN235" s="801">
        <f t="shared" si="185"/>
        <v>1.1074842077239454E-3</v>
      </c>
      <c r="BO235" s="787">
        <f t="shared" si="186"/>
        <v>5474.1075559307956</v>
      </c>
      <c r="BP235" s="802">
        <f t="shared" si="187"/>
        <v>2272052</v>
      </c>
      <c r="BQ235" s="803">
        <f t="shared" si="151"/>
        <v>198.71016267273046</v>
      </c>
      <c r="BR235" s="682"/>
      <c r="BS235" s="618"/>
    </row>
    <row r="236" spans="1:71" ht="15.75">
      <c r="A236" s="766" t="s">
        <v>3887</v>
      </c>
      <c r="B236" s="767" t="s">
        <v>3888</v>
      </c>
      <c r="C236" s="768">
        <v>58823</v>
      </c>
      <c r="D236" s="769">
        <v>0</v>
      </c>
      <c r="E236" s="770">
        <f>C236/($C$8+$C$149+$C$165+$C$99+$C$82+$C$188+$C$213+$C$236+$C$253+$C$271)*$E$7</f>
        <v>10620398.361515516</v>
      </c>
      <c r="F236" s="771">
        <v>0</v>
      </c>
      <c r="G236" s="770">
        <v>0</v>
      </c>
      <c r="H236" s="771">
        <v>0</v>
      </c>
      <c r="I236" s="770">
        <f t="shared" si="188"/>
        <v>10620398.361515516</v>
      </c>
      <c r="J236" s="772">
        <f t="shared" si="155"/>
        <v>180.5483970813375</v>
      </c>
      <c r="K236" s="773">
        <v>36831</v>
      </c>
      <c r="L236" s="774">
        <f t="shared" si="156"/>
        <v>1.3292459738438346E-2</v>
      </c>
      <c r="M236" s="775">
        <f t="shared" si="189"/>
        <v>1115530.3378676125</v>
      </c>
      <c r="N236" s="806">
        <v>13364.5</v>
      </c>
      <c r="O236" s="777">
        <f t="shared" si="157"/>
        <v>1.5198728103744156E-2</v>
      </c>
      <c r="P236" s="778">
        <f t="shared" si="158"/>
        <v>1275508.2678715412</v>
      </c>
      <c r="Q236" s="786">
        <f t="shared" si="144"/>
        <v>2391038.6057391539</v>
      </c>
      <c r="R236" s="692">
        <f t="shared" si="145"/>
        <v>40.648022129764783</v>
      </c>
      <c r="S236" s="781">
        <v>192386186.63</v>
      </c>
      <c r="T236" s="782">
        <f t="shared" si="152"/>
        <v>17.985414595563473</v>
      </c>
      <c r="U236" s="777">
        <f t="shared" si="159"/>
        <v>9.7763804522847299E-3</v>
      </c>
      <c r="V236" s="783">
        <f t="shared" si="146"/>
        <v>3270.5946080614726</v>
      </c>
      <c r="W236" s="778">
        <f t="shared" si="160"/>
        <v>3897155.5090163215</v>
      </c>
      <c r="X236" s="784">
        <v>62308278.813000001</v>
      </c>
      <c r="Y236" s="782">
        <f t="shared" si="153"/>
        <v>55.532673906538328</v>
      </c>
      <c r="Z236" s="782">
        <f t="shared" si="161"/>
        <v>8.5743307487681393E-3</v>
      </c>
      <c r="AA236" s="783">
        <f t="shared" si="147"/>
        <v>1059.2502730734577</v>
      </c>
      <c r="AB236" s="692">
        <f t="shared" si="162"/>
        <v>2014810.9185997793</v>
      </c>
      <c r="AC236" s="786">
        <f t="shared" si="163"/>
        <v>5911966.4276161008</v>
      </c>
      <c r="AD236" s="787">
        <f t="shared" si="148"/>
        <v>100.50433380847799</v>
      </c>
      <c r="AE236" s="788">
        <v>2933.6895</v>
      </c>
      <c r="AF236" s="774">
        <f t="shared" si="164"/>
        <v>3.0513165187612407E-3</v>
      </c>
      <c r="AG236" s="692">
        <f t="shared" si="165"/>
        <v>384109.06041021238</v>
      </c>
      <c r="AH236" s="786">
        <f t="shared" si="166"/>
        <v>384109.06041021238</v>
      </c>
      <c r="AI236" s="692">
        <f t="shared" si="149"/>
        <v>6.5299127961887757</v>
      </c>
      <c r="AJ236" s="789">
        <v>7779</v>
      </c>
      <c r="AK236" s="777">
        <f t="shared" si="167"/>
        <v>1.034048221022324E-2</v>
      </c>
      <c r="AL236" s="692">
        <f t="shared" si="168"/>
        <v>216948.59041641079</v>
      </c>
      <c r="AM236" s="790">
        <v>76.666666666666671</v>
      </c>
      <c r="AN236" s="791">
        <f t="shared" si="169"/>
        <v>1.107099879663056E-2</v>
      </c>
      <c r="AO236" s="778">
        <f t="shared" si="170"/>
        <v>696825.60288808635</v>
      </c>
      <c r="AP236" s="768">
        <v>526</v>
      </c>
      <c r="AQ236" s="792">
        <f t="shared" si="171"/>
        <v>7.1095492329526257E-3</v>
      </c>
      <c r="AR236" s="793">
        <f t="shared" si="172"/>
        <v>596647.87510981958</v>
      </c>
      <c r="AS236" s="794">
        <v>328.16666666666669</v>
      </c>
      <c r="AT236" s="791">
        <f t="shared" si="173"/>
        <v>1.3161104891131788E-2</v>
      </c>
      <c r="AU236" s="795">
        <f t="shared" si="174"/>
        <v>1104506.7711177575</v>
      </c>
      <c r="AV236" s="796">
        <v>422</v>
      </c>
      <c r="AW236" s="791">
        <f t="shared" si="175"/>
        <v>5.3738793806030966E-3</v>
      </c>
      <c r="AX236" s="795">
        <f t="shared" si="176"/>
        <v>338240.19025061122</v>
      </c>
      <c r="AY236" s="786">
        <f t="shared" si="177"/>
        <v>2953169.0297826855</v>
      </c>
      <c r="AZ236" s="787">
        <f t="shared" si="150"/>
        <v>50.204325345233762</v>
      </c>
      <c r="BA236" s="797">
        <f t="shared" si="154"/>
        <v>22260681.485063672</v>
      </c>
      <c r="BB236" s="775">
        <v>13733408</v>
      </c>
      <c r="BC236" s="775">
        <f t="shared" si="178"/>
        <v>0</v>
      </c>
      <c r="BD236" s="775">
        <f t="shared" si="179"/>
        <v>8527273.4850636721</v>
      </c>
      <c r="BE236" s="798">
        <f t="shared" si="180"/>
        <v>1.3268445837244887E-2</v>
      </c>
      <c r="BF236" s="775">
        <f t="shared" si="181"/>
        <v>-17565.857902383137</v>
      </c>
      <c r="BG236" s="797">
        <f t="shared" si="182"/>
        <v>22243115.62716129</v>
      </c>
      <c r="BH236" s="799">
        <v>8.5</v>
      </c>
      <c r="BI236" s="692">
        <f t="shared" si="191"/>
        <v>0</v>
      </c>
      <c r="BJ236" s="800">
        <v>1810</v>
      </c>
      <c r="BK236" s="778">
        <f t="shared" si="183"/>
        <v>0</v>
      </c>
      <c r="BL236" s="786">
        <f t="shared" si="190"/>
        <v>22243115.62716129</v>
      </c>
      <c r="BM236" s="692">
        <f t="shared" si="184"/>
        <v>22243115.62716129</v>
      </c>
      <c r="BN236" s="801">
        <f t="shared" si="185"/>
        <v>1.0868324368025966E-2</v>
      </c>
      <c r="BO236" s="787">
        <f t="shared" si="186"/>
        <v>53720.293371575972</v>
      </c>
      <c r="BP236" s="802">
        <f t="shared" si="187"/>
        <v>22296836</v>
      </c>
      <c r="BQ236" s="803">
        <f t="shared" si="151"/>
        <v>379.04962344661101</v>
      </c>
      <c r="BR236" s="682"/>
      <c r="BS236" s="618"/>
    </row>
    <row r="237" spans="1:71" ht="15.75">
      <c r="A237" s="766" t="s">
        <v>3889</v>
      </c>
      <c r="B237" s="767" t="s">
        <v>3890</v>
      </c>
      <c r="C237" s="768">
        <v>25403</v>
      </c>
      <c r="D237" s="769">
        <v>0</v>
      </c>
      <c r="E237" s="770">
        <v>0</v>
      </c>
      <c r="F237" s="771">
        <v>0</v>
      </c>
      <c r="G237" s="770">
        <f>C237/($C$10+$C$60+$C$62+$C$67+$C$74+$C$80+$C$94+$C$105+$C$127+$C$141+$C$168+$C$175+$C$201+$C$219+$C$237+$C$255+$C$265+$C$267+$C$268+$C$273+$C$281)*$G$7</f>
        <v>1560073.458215028</v>
      </c>
      <c r="H237" s="771">
        <v>0</v>
      </c>
      <c r="I237" s="770">
        <f t="shared" si="188"/>
        <v>1560073.458215028</v>
      </c>
      <c r="J237" s="772">
        <f t="shared" si="155"/>
        <v>61.412961390978545</v>
      </c>
      <c r="K237" s="773">
        <v>9259</v>
      </c>
      <c r="L237" s="774">
        <f t="shared" si="156"/>
        <v>3.3416112708913861E-3</v>
      </c>
      <c r="M237" s="775">
        <f t="shared" si="189"/>
        <v>280434.83474019775</v>
      </c>
      <c r="N237" s="806">
        <v>2392.5</v>
      </c>
      <c r="O237" s="777">
        <f t="shared" si="157"/>
        <v>2.7208617597521711E-3</v>
      </c>
      <c r="P237" s="778">
        <f t="shared" si="158"/>
        <v>228340.26943639209</v>
      </c>
      <c r="Q237" s="786">
        <f t="shared" si="144"/>
        <v>508775.10417658987</v>
      </c>
      <c r="R237" s="692">
        <f t="shared" si="145"/>
        <v>20.028150382891386</v>
      </c>
      <c r="S237" s="807">
        <v>62067137.390000001</v>
      </c>
      <c r="T237" s="782">
        <f t="shared" si="152"/>
        <v>10.397006147474912</v>
      </c>
      <c r="U237" s="777">
        <f t="shared" si="159"/>
        <v>5.6515287497198455E-3</v>
      </c>
      <c r="V237" s="783">
        <f t="shared" si="146"/>
        <v>2443.2995075384797</v>
      </c>
      <c r="W237" s="778">
        <f t="shared" si="160"/>
        <v>2252867.1535269096</v>
      </c>
      <c r="X237" s="784">
        <v>22477957.2623</v>
      </c>
      <c r="Y237" s="782">
        <f t="shared" si="153"/>
        <v>28.708676748056511</v>
      </c>
      <c r="Z237" s="782">
        <f t="shared" si="161"/>
        <v>4.4326640963046372E-3</v>
      </c>
      <c r="AA237" s="783">
        <f t="shared" si="147"/>
        <v>884.85443696807465</v>
      </c>
      <c r="AB237" s="692">
        <f t="shared" si="162"/>
        <v>1041594.9980705965</v>
      </c>
      <c r="AC237" s="786">
        <f t="shared" si="163"/>
        <v>3294462.1515975064</v>
      </c>
      <c r="AD237" s="787">
        <f t="shared" si="148"/>
        <v>129.68791684436903</v>
      </c>
      <c r="AE237" s="788">
        <v>2352.5102000000002</v>
      </c>
      <c r="AF237" s="774">
        <f t="shared" si="164"/>
        <v>2.4468346884748064E-3</v>
      </c>
      <c r="AG237" s="692">
        <f t="shared" si="165"/>
        <v>308015.03789935535</v>
      </c>
      <c r="AH237" s="786">
        <f t="shared" si="166"/>
        <v>308015.03789935535</v>
      </c>
      <c r="AI237" s="692">
        <f t="shared" si="149"/>
        <v>12.125144191605532</v>
      </c>
      <c r="AJ237" s="789">
        <v>4984</v>
      </c>
      <c r="AK237" s="777">
        <f t="shared" si="167"/>
        <v>6.6251399068971107E-3</v>
      </c>
      <c r="AL237" s="692">
        <f t="shared" si="168"/>
        <v>138998.81406805391</v>
      </c>
      <c r="AM237" s="790">
        <v>75.333333333333329</v>
      </c>
      <c r="AN237" s="791">
        <f t="shared" si="169"/>
        <v>1.0878459687123941E-2</v>
      </c>
      <c r="AO237" s="778">
        <f t="shared" si="170"/>
        <v>684706.89675090217</v>
      </c>
      <c r="AP237" s="768">
        <v>584</v>
      </c>
      <c r="AQ237" s="792">
        <f t="shared" si="171"/>
        <v>7.8934919240386571E-3</v>
      </c>
      <c r="AR237" s="793">
        <f t="shared" si="172"/>
        <v>662437.94498884911</v>
      </c>
      <c r="AS237" s="794">
        <v>124.30555555555554</v>
      </c>
      <c r="AT237" s="791">
        <f t="shared" si="173"/>
        <v>4.9852670042165861E-3</v>
      </c>
      <c r="AU237" s="795">
        <f t="shared" si="174"/>
        <v>418373.77693854453</v>
      </c>
      <c r="AV237" s="796">
        <v>430</v>
      </c>
      <c r="AW237" s="791">
        <f t="shared" si="175"/>
        <v>5.4757538712306439E-3</v>
      </c>
      <c r="AX237" s="795">
        <f t="shared" si="176"/>
        <v>344652.32655867969</v>
      </c>
      <c r="AY237" s="786">
        <f t="shared" si="177"/>
        <v>2249169.7593050292</v>
      </c>
      <c r="AZ237" s="787">
        <f t="shared" si="150"/>
        <v>88.539533098650921</v>
      </c>
      <c r="BA237" s="797">
        <f t="shared" si="154"/>
        <v>7920495.5111935083</v>
      </c>
      <c r="BB237" s="775">
        <v>5418845</v>
      </c>
      <c r="BC237" s="775">
        <f t="shared" si="178"/>
        <v>0</v>
      </c>
      <c r="BD237" s="775">
        <f t="shared" si="179"/>
        <v>2501650.5111935083</v>
      </c>
      <c r="BE237" s="798">
        <f t="shared" si="180"/>
        <v>3.8925706287745734E-3</v>
      </c>
      <c r="BF237" s="775">
        <f t="shared" si="181"/>
        <v>-5153.3045677520195</v>
      </c>
      <c r="BG237" s="797">
        <f t="shared" si="182"/>
        <v>7915342.2066257559</v>
      </c>
      <c r="BH237" s="799">
        <v>8</v>
      </c>
      <c r="BI237" s="692">
        <f t="shared" si="191"/>
        <v>0</v>
      </c>
      <c r="BJ237" s="800">
        <v>1500</v>
      </c>
      <c r="BK237" s="778">
        <f t="shared" si="183"/>
        <v>0</v>
      </c>
      <c r="BL237" s="786">
        <f t="shared" si="190"/>
        <v>7915342.2066257559</v>
      </c>
      <c r="BM237" s="692">
        <f t="shared" si="184"/>
        <v>7915342.2066257559</v>
      </c>
      <c r="BN237" s="801">
        <f t="shared" si="185"/>
        <v>3.8675565072586906E-3</v>
      </c>
      <c r="BO237" s="787">
        <f t="shared" si="186"/>
        <v>19116.679183069093</v>
      </c>
      <c r="BP237" s="802">
        <f t="shared" si="187"/>
        <v>7934459</v>
      </c>
      <c r="BQ237" s="803">
        <f t="shared" si="151"/>
        <v>312.3433846396095</v>
      </c>
      <c r="BR237" s="682"/>
      <c r="BS237" s="618"/>
    </row>
    <row r="238" spans="1:71" ht="15.75">
      <c r="A238" s="766" t="s">
        <v>3891</v>
      </c>
      <c r="B238" s="767" t="s">
        <v>3892</v>
      </c>
      <c r="C238" s="768">
        <v>11260</v>
      </c>
      <c r="D238" s="769">
        <v>0</v>
      </c>
      <c r="E238" s="770">
        <v>0</v>
      </c>
      <c r="F238" s="771">
        <v>0</v>
      </c>
      <c r="G238" s="770">
        <v>0</v>
      </c>
      <c r="H238" s="771">
        <v>0</v>
      </c>
      <c r="I238" s="770">
        <f t="shared" si="188"/>
        <v>0</v>
      </c>
      <c r="J238" s="772">
        <f t="shared" si="155"/>
        <v>0</v>
      </c>
      <c r="K238" s="773">
        <v>2917</v>
      </c>
      <c r="L238" s="774">
        <f t="shared" si="156"/>
        <v>1.0527573255416538E-3</v>
      </c>
      <c r="M238" s="775">
        <f t="shared" si="189"/>
        <v>88349.542384399698</v>
      </c>
      <c r="N238" s="806">
        <v>977</v>
      </c>
      <c r="O238" s="777">
        <f t="shared" si="157"/>
        <v>1.1110896297922138E-3</v>
      </c>
      <c r="P238" s="778">
        <f t="shared" si="158"/>
        <v>93244.908355007356</v>
      </c>
      <c r="Q238" s="786">
        <f t="shared" si="144"/>
        <v>181594.45073940704</v>
      </c>
      <c r="R238" s="692">
        <f t="shared" si="145"/>
        <v>16.127393493730644</v>
      </c>
      <c r="S238" s="807">
        <v>47912270.049999997</v>
      </c>
      <c r="T238" s="782">
        <f t="shared" si="152"/>
        <v>2.6462448944224048</v>
      </c>
      <c r="U238" s="777">
        <f t="shared" si="159"/>
        <v>1.4384264938863897E-3</v>
      </c>
      <c r="V238" s="783">
        <f t="shared" si="146"/>
        <v>4255.0861500888095</v>
      </c>
      <c r="W238" s="778">
        <f t="shared" si="160"/>
        <v>573399.50734571845</v>
      </c>
      <c r="X238" s="784">
        <v>8086831.7572999997</v>
      </c>
      <c r="Y238" s="782">
        <f t="shared" si="153"/>
        <v>15.678278441436422</v>
      </c>
      <c r="Z238" s="782">
        <f t="shared" si="161"/>
        <v>2.4207504424224972E-3</v>
      </c>
      <c r="AA238" s="783">
        <f t="shared" si="147"/>
        <v>718.19109745115452</v>
      </c>
      <c r="AB238" s="692">
        <f t="shared" si="162"/>
        <v>568832.08328519587</v>
      </c>
      <c r="AC238" s="786">
        <f t="shared" si="163"/>
        <v>1142231.5906309143</v>
      </c>
      <c r="AD238" s="787">
        <f t="shared" si="148"/>
        <v>101.44152669901548</v>
      </c>
      <c r="AE238" s="788">
        <v>1513.4657</v>
      </c>
      <c r="AF238" s="774">
        <f t="shared" si="164"/>
        <v>1.5741484881029654E-3</v>
      </c>
      <c r="AG238" s="692">
        <f t="shared" si="165"/>
        <v>198158.62857677488</v>
      </c>
      <c r="AH238" s="786">
        <f t="shared" si="166"/>
        <v>198158.62857677488</v>
      </c>
      <c r="AI238" s="692">
        <f t="shared" si="149"/>
        <v>17.598457244829032</v>
      </c>
      <c r="AJ238" s="789">
        <v>1139</v>
      </c>
      <c r="AK238" s="777">
        <f t="shared" si="167"/>
        <v>1.5140518366685012E-3</v>
      </c>
      <c r="AL238" s="692">
        <f t="shared" si="168"/>
        <v>31765.579699741855</v>
      </c>
      <c r="AM238" s="790">
        <v>2</v>
      </c>
      <c r="AN238" s="791">
        <f t="shared" si="169"/>
        <v>2.8880866425992765E-4</v>
      </c>
      <c r="AO238" s="778">
        <f t="shared" si="170"/>
        <v>18178.059205776164</v>
      </c>
      <c r="AP238" s="768">
        <v>84</v>
      </c>
      <c r="AQ238" s="792">
        <f t="shared" si="171"/>
        <v>1.1353652767452861E-3</v>
      </c>
      <c r="AR238" s="793">
        <f t="shared" si="172"/>
        <v>95282.170169628967</v>
      </c>
      <c r="AS238" s="794">
        <v>13.194444444444443</v>
      </c>
      <c r="AT238" s="791">
        <f t="shared" si="173"/>
        <v>5.2916241944198398E-4</v>
      </c>
      <c r="AU238" s="795">
        <f t="shared" si="174"/>
        <v>44408.389730906958</v>
      </c>
      <c r="AV238" s="796">
        <v>42</v>
      </c>
      <c r="AW238" s="791">
        <f t="shared" si="175"/>
        <v>5.34841075794621E-4</v>
      </c>
      <c r="AX238" s="795">
        <f t="shared" si="176"/>
        <v>33663.715617359412</v>
      </c>
      <c r="AY238" s="786">
        <f t="shared" si="177"/>
        <v>223297.91442341337</v>
      </c>
      <c r="AZ238" s="787">
        <f t="shared" si="150"/>
        <v>19.831075881297814</v>
      </c>
      <c r="BA238" s="797">
        <f t="shared" si="154"/>
        <v>1745282.5843705095</v>
      </c>
      <c r="BB238" s="775">
        <v>1296786</v>
      </c>
      <c r="BC238" s="775">
        <f t="shared" si="178"/>
        <v>0</v>
      </c>
      <c r="BD238" s="775">
        <f t="shared" si="179"/>
        <v>448496.58437050949</v>
      </c>
      <c r="BE238" s="798">
        <f t="shared" si="180"/>
        <v>6.9786112153350291E-4</v>
      </c>
      <c r="BF238" s="775">
        <f t="shared" si="181"/>
        <v>-923.88584517149832</v>
      </c>
      <c r="BG238" s="797">
        <f t="shared" si="182"/>
        <v>1744358.698525338</v>
      </c>
      <c r="BH238" s="799">
        <v>7.5</v>
      </c>
      <c r="BI238" s="692">
        <f t="shared" si="191"/>
        <v>0</v>
      </c>
      <c r="BJ238" s="800">
        <v>1050</v>
      </c>
      <c r="BK238" s="778">
        <f t="shared" si="183"/>
        <v>0</v>
      </c>
      <c r="BL238" s="786">
        <f t="shared" si="190"/>
        <v>1744358.698525338</v>
      </c>
      <c r="BM238" s="692">
        <f t="shared" si="184"/>
        <v>1744358.698525338</v>
      </c>
      <c r="BN238" s="801">
        <f t="shared" si="185"/>
        <v>8.523201725666019E-4</v>
      </c>
      <c r="BO238" s="787">
        <f t="shared" si="186"/>
        <v>4212.8747879013172</v>
      </c>
      <c r="BP238" s="802">
        <f t="shared" si="187"/>
        <v>1748572</v>
      </c>
      <c r="BQ238" s="803">
        <f t="shared" si="151"/>
        <v>155.29058614564832</v>
      </c>
      <c r="BR238" s="682"/>
      <c r="BS238" s="618"/>
    </row>
    <row r="239" spans="1:71" ht="15.75">
      <c r="A239" s="766" t="s">
        <v>3893</v>
      </c>
      <c r="B239" s="767" t="s">
        <v>3894</v>
      </c>
      <c r="C239" s="768">
        <v>15963</v>
      </c>
      <c r="D239" s="769">
        <v>0</v>
      </c>
      <c r="E239" s="770">
        <v>0</v>
      </c>
      <c r="F239" s="771">
        <v>0</v>
      </c>
      <c r="G239" s="770">
        <v>0</v>
      </c>
      <c r="H239" s="771">
        <v>0</v>
      </c>
      <c r="I239" s="770">
        <f t="shared" si="188"/>
        <v>0</v>
      </c>
      <c r="J239" s="772">
        <f t="shared" si="155"/>
        <v>0</v>
      </c>
      <c r="K239" s="773">
        <v>4617</v>
      </c>
      <c r="L239" s="774">
        <f t="shared" si="156"/>
        <v>1.6662943339135468E-3</v>
      </c>
      <c r="M239" s="775">
        <f t="shared" si="189"/>
        <v>139838.81974246603</v>
      </c>
      <c r="N239" s="806">
        <v>1041.5</v>
      </c>
      <c r="O239" s="777">
        <f t="shared" si="157"/>
        <v>1.1844420157918021E-3</v>
      </c>
      <c r="P239" s="778">
        <f t="shared" si="158"/>
        <v>99400.790226960249</v>
      </c>
      <c r="Q239" s="786">
        <f t="shared" si="144"/>
        <v>239239.6099694263</v>
      </c>
      <c r="R239" s="692">
        <f t="shared" si="145"/>
        <v>14.987133369004967</v>
      </c>
      <c r="S239" s="807">
        <v>75561677.989999995</v>
      </c>
      <c r="T239" s="782">
        <f t="shared" si="152"/>
        <v>3.3723095592679018</v>
      </c>
      <c r="U239" s="777">
        <f t="shared" si="159"/>
        <v>1.8330954273588012E-3</v>
      </c>
      <c r="V239" s="783">
        <f t="shared" si="146"/>
        <v>4733.5512115517131</v>
      </c>
      <c r="W239" s="778">
        <f t="shared" si="160"/>
        <v>730726.26194845641</v>
      </c>
      <c r="X239" s="784">
        <v>14185231.103700001</v>
      </c>
      <c r="Y239" s="782">
        <f t="shared" si="153"/>
        <v>17.963568385821699</v>
      </c>
      <c r="Z239" s="782">
        <f t="shared" si="161"/>
        <v>2.7736027447080214E-3</v>
      </c>
      <c r="AA239" s="783">
        <f t="shared" si="147"/>
        <v>888.63190526216886</v>
      </c>
      <c r="AB239" s="692">
        <f t="shared" si="162"/>
        <v>651745.92135938979</v>
      </c>
      <c r="AC239" s="786">
        <f t="shared" si="163"/>
        <v>1382472.1833078461</v>
      </c>
      <c r="AD239" s="787">
        <f t="shared" si="148"/>
        <v>86.604785022103997</v>
      </c>
      <c r="AE239" s="788">
        <v>2567.3445000000002</v>
      </c>
      <c r="AF239" s="774">
        <f t="shared" si="164"/>
        <v>2.6702828237960491E-3</v>
      </c>
      <c r="AG239" s="692">
        <f t="shared" si="165"/>
        <v>336143.37292488746</v>
      </c>
      <c r="AH239" s="786">
        <f t="shared" si="166"/>
        <v>336143.37292488746</v>
      </c>
      <c r="AI239" s="692">
        <f t="shared" si="149"/>
        <v>21.05765663878265</v>
      </c>
      <c r="AJ239" s="789">
        <v>1266</v>
      </c>
      <c r="AK239" s="777">
        <f t="shared" si="167"/>
        <v>1.682870610379563E-3</v>
      </c>
      <c r="AL239" s="692">
        <f t="shared" si="168"/>
        <v>35307.483669774527</v>
      </c>
      <c r="AM239" s="790">
        <v>7</v>
      </c>
      <c r="AN239" s="791">
        <f t="shared" si="169"/>
        <v>1.0108303249097468E-3</v>
      </c>
      <c r="AO239" s="778">
        <f t="shared" si="170"/>
        <v>63623.207220216573</v>
      </c>
      <c r="AP239" s="768">
        <v>91</v>
      </c>
      <c r="AQ239" s="792">
        <f t="shared" si="171"/>
        <v>1.2299790498073934E-3</v>
      </c>
      <c r="AR239" s="793">
        <f t="shared" si="172"/>
        <v>103222.35101709806</v>
      </c>
      <c r="AS239" s="794">
        <v>30.5</v>
      </c>
      <c r="AT239" s="791">
        <f t="shared" si="173"/>
        <v>1.2232007085206283E-3</v>
      </c>
      <c r="AU239" s="795">
        <f t="shared" si="174"/>
        <v>102653.49878849651</v>
      </c>
      <c r="AV239" s="796">
        <v>5</v>
      </c>
      <c r="AW239" s="791">
        <f t="shared" si="175"/>
        <v>6.3671556642216784E-5</v>
      </c>
      <c r="AX239" s="795">
        <f t="shared" si="176"/>
        <v>4007.5851925427869</v>
      </c>
      <c r="AY239" s="786">
        <f t="shared" si="177"/>
        <v>308814.12588812847</v>
      </c>
      <c r="AZ239" s="787">
        <f t="shared" si="150"/>
        <v>19.345619613363933</v>
      </c>
      <c r="BA239" s="797">
        <f t="shared" si="154"/>
        <v>2266669.2920902884</v>
      </c>
      <c r="BB239" s="775">
        <v>1799031</v>
      </c>
      <c r="BC239" s="775">
        <f t="shared" si="178"/>
        <v>0</v>
      </c>
      <c r="BD239" s="775">
        <f t="shared" si="179"/>
        <v>467638.29209028836</v>
      </c>
      <c r="BE239" s="798">
        <f t="shared" si="180"/>
        <v>7.2764563736463347E-4</v>
      </c>
      <c r="BF239" s="775">
        <f t="shared" si="181"/>
        <v>-963.31703245586823</v>
      </c>
      <c r="BG239" s="797">
        <f t="shared" si="182"/>
        <v>2265705.9750578324</v>
      </c>
      <c r="BH239" s="799">
        <v>6.5</v>
      </c>
      <c r="BI239" s="692">
        <f t="shared" si="191"/>
        <v>0</v>
      </c>
      <c r="BJ239" s="800">
        <v>1200</v>
      </c>
      <c r="BK239" s="778">
        <f t="shared" si="183"/>
        <v>0</v>
      </c>
      <c r="BL239" s="786">
        <f t="shared" si="190"/>
        <v>2265705.9750578324</v>
      </c>
      <c r="BM239" s="692">
        <f t="shared" si="184"/>
        <v>2265705.9750578324</v>
      </c>
      <c r="BN239" s="801">
        <f t="shared" si="185"/>
        <v>1.1070583758254593E-3</v>
      </c>
      <c r="BO239" s="787">
        <f t="shared" si="186"/>
        <v>5472.0027407137459</v>
      </c>
      <c r="BP239" s="802">
        <f t="shared" si="187"/>
        <v>2271178</v>
      </c>
      <c r="BQ239" s="803">
        <f t="shared" si="151"/>
        <v>142.27764204723422</v>
      </c>
      <c r="BR239" s="682"/>
      <c r="BS239" s="618"/>
    </row>
    <row r="240" spans="1:71" ht="15.75">
      <c r="A240" s="766" t="s">
        <v>3895</v>
      </c>
      <c r="B240" s="767" t="s">
        <v>3896</v>
      </c>
      <c r="C240" s="768">
        <v>5174</v>
      </c>
      <c r="D240" s="769">
        <v>0</v>
      </c>
      <c r="E240" s="770">
        <v>0</v>
      </c>
      <c r="F240" s="771">
        <v>0</v>
      </c>
      <c r="G240" s="770">
        <v>0</v>
      </c>
      <c r="H240" s="771">
        <v>0</v>
      </c>
      <c r="I240" s="770">
        <f t="shared" si="188"/>
        <v>0</v>
      </c>
      <c r="J240" s="772">
        <f t="shared" si="155"/>
        <v>0</v>
      </c>
      <c r="K240" s="773">
        <v>2005</v>
      </c>
      <c r="L240" s="774">
        <f t="shared" si="156"/>
        <v>7.23612765756262E-4</v>
      </c>
      <c r="M240" s="775">
        <f t="shared" si="189"/>
        <v>60727.05947230765</v>
      </c>
      <c r="N240" s="806">
        <v>307.5</v>
      </c>
      <c r="O240" s="777">
        <f t="shared" si="157"/>
        <v>3.4970323557943268E-4</v>
      </c>
      <c r="P240" s="778">
        <f t="shared" si="158"/>
        <v>29347.808924426572</v>
      </c>
      <c r="Q240" s="786">
        <f t="shared" si="144"/>
        <v>90074.868396734222</v>
      </c>
      <c r="R240" s="692">
        <f t="shared" si="145"/>
        <v>17.409135755070395</v>
      </c>
      <c r="S240" s="807">
        <v>15635864.820000002</v>
      </c>
      <c r="T240" s="782">
        <f t="shared" si="152"/>
        <v>1.712107152893638</v>
      </c>
      <c r="U240" s="777">
        <f t="shared" si="159"/>
        <v>9.306547153989489E-4</v>
      </c>
      <c r="V240" s="783">
        <f t="shared" si="146"/>
        <v>3022.0071163509861</v>
      </c>
      <c r="W240" s="778">
        <f t="shared" si="160"/>
        <v>370986.60069652123</v>
      </c>
      <c r="X240" s="784">
        <v>3784939.0060999999</v>
      </c>
      <c r="Y240" s="782">
        <f t="shared" si="153"/>
        <v>7.0728421136656801</v>
      </c>
      <c r="Z240" s="782">
        <f t="shared" si="161"/>
        <v>1.0920577625786834E-3</v>
      </c>
      <c r="AA240" s="783">
        <f t="shared" si="147"/>
        <v>731.53053848086586</v>
      </c>
      <c r="AB240" s="692">
        <f t="shared" si="162"/>
        <v>256613.60265362856</v>
      </c>
      <c r="AC240" s="786">
        <f t="shared" si="163"/>
        <v>627600.20335014979</v>
      </c>
      <c r="AD240" s="787">
        <f t="shared" si="148"/>
        <v>121.29884100312134</v>
      </c>
      <c r="AE240" s="788">
        <v>2456.9960000000001</v>
      </c>
      <c r="AF240" s="774">
        <f t="shared" si="164"/>
        <v>2.5555098729195076E-3</v>
      </c>
      <c r="AG240" s="692">
        <f t="shared" si="165"/>
        <v>321695.40266331873</v>
      </c>
      <c r="AH240" s="786">
        <f t="shared" si="166"/>
        <v>321695.40266331873</v>
      </c>
      <c r="AI240" s="692">
        <f t="shared" si="149"/>
        <v>62.17537739917254</v>
      </c>
      <c r="AJ240" s="789">
        <v>703</v>
      </c>
      <c r="AK240" s="777">
        <f t="shared" si="167"/>
        <v>9.344850229832803E-4</v>
      </c>
      <c r="AL240" s="692">
        <f t="shared" si="168"/>
        <v>19605.972369550942</v>
      </c>
      <c r="AM240" s="790">
        <v>1</v>
      </c>
      <c r="AN240" s="791">
        <f t="shared" si="169"/>
        <v>1.4440433212996383E-4</v>
      </c>
      <c r="AO240" s="778">
        <f t="shared" si="170"/>
        <v>9089.0296028880821</v>
      </c>
      <c r="AP240" s="768">
        <v>28</v>
      </c>
      <c r="AQ240" s="792">
        <f t="shared" si="171"/>
        <v>3.7845509224842871E-4</v>
      </c>
      <c r="AR240" s="793">
        <f t="shared" si="172"/>
        <v>31760.723389876322</v>
      </c>
      <c r="AS240" s="794">
        <v>0.97222222222222221</v>
      </c>
      <c r="AT240" s="791">
        <f t="shared" si="173"/>
        <v>3.899091511677777E-5</v>
      </c>
      <c r="AU240" s="795">
        <f t="shared" si="174"/>
        <v>3272.1971380668288</v>
      </c>
      <c r="AV240" s="796">
        <v>0</v>
      </c>
      <c r="AW240" s="791">
        <f t="shared" si="175"/>
        <v>0</v>
      </c>
      <c r="AX240" s="795">
        <f t="shared" si="176"/>
        <v>0</v>
      </c>
      <c r="AY240" s="786">
        <f t="shared" si="177"/>
        <v>63727.922500382178</v>
      </c>
      <c r="AZ240" s="787">
        <f t="shared" si="150"/>
        <v>12.316954484032118</v>
      </c>
      <c r="BA240" s="797">
        <f t="shared" si="154"/>
        <v>1103098.396910585</v>
      </c>
      <c r="BB240" s="775">
        <v>698555</v>
      </c>
      <c r="BC240" s="775">
        <f t="shared" si="178"/>
        <v>0</v>
      </c>
      <c r="BD240" s="775">
        <f t="shared" si="179"/>
        <v>404543.396910585</v>
      </c>
      <c r="BE240" s="798">
        <f t="shared" si="180"/>
        <v>6.2946991909255945E-4</v>
      </c>
      <c r="BF240" s="775">
        <f t="shared" si="181"/>
        <v>-833.343956649897</v>
      </c>
      <c r="BG240" s="797">
        <f t="shared" si="182"/>
        <v>1102265.052953935</v>
      </c>
      <c r="BH240" s="799">
        <v>6.5</v>
      </c>
      <c r="BI240" s="692">
        <f t="shared" si="191"/>
        <v>0</v>
      </c>
      <c r="BJ240" s="800">
        <v>1500</v>
      </c>
      <c r="BK240" s="778">
        <f t="shared" si="183"/>
        <v>0</v>
      </c>
      <c r="BL240" s="786">
        <f t="shared" si="190"/>
        <v>1102265.052953935</v>
      </c>
      <c r="BM240" s="692">
        <f t="shared" si="184"/>
        <v>1102265.052953935</v>
      </c>
      <c r="BN240" s="801">
        <f t="shared" si="185"/>
        <v>5.385834581740906E-4</v>
      </c>
      <c r="BO240" s="787">
        <f t="shared" si="186"/>
        <v>2662.1271502816944</v>
      </c>
      <c r="BP240" s="802">
        <f t="shared" si="187"/>
        <v>1104927</v>
      </c>
      <c r="BQ240" s="803">
        <f t="shared" si="151"/>
        <v>213.55373018940858</v>
      </c>
      <c r="BR240" s="682"/>
      <c r="BS240" s="618"/>
    </row>
    <row r="241" spans="1:71" ht="15.75">
      <c r="A241" s="766" t="s">
        <v>3897</v>
      </c>
      <c r="B241" s="767" t="s">
        <v>3898</v>
      </c>
      <c r="C241" s="768">
        <v>14876</v>
      </c>
      <c r="D241" s="769">
        <v>0</v>
      </c>
      <c r="E241" s="770">
        <v>0</v>
      </c>
      <c r="F241" s="771">
        <v>0</v>
      </c>
      <c r="G241" s="770">
        <v>0</v>
      </c>
      <c r="H241" s="771">
        <v>0</v>
      </c>
      <c r="I241" s="770">
        <f t="shared" si="188"/>
        <v>0</v>
      </c>
      <c r="J241" s="772">
        <f t="shared" si="155"/>
        <v>0</v>
      </c>
      <c r="K241" s="773">
        <v>4999</v>
      </c>
      <c r="L241" s="774">
        <f t="shared" si="156"/>
        <v>1.804159708735937E-3</v>
      </c>
      <c r="M241" s="775">
        <f t="shared" si="189"/>
        <v>151408.76324292566</v>
      </c>
      <c r="N241" s="806">
        <v>370</v>
      </c>
      <c r="O241" s="777">
        <f t="shared" si="157"/>
        <v>4.2078112898988649E-4</v>
      </c>
      <c r="P241" s="778">
        <f t="shared" si="158"/>
        <v>35312.81073833441</v>
      </c>
      <c r="Q241" s="786">
        <f t="shared" si="144"/>
        <v>186721.57398126007</v>
      </c>
      <c r="R241" s="692">
        <f t="shared" si="145"/>
        <v>12.551867032889222</v>
      </c>
      <c r="S241" s="807">
        <v>61700223.590000004</v>
      </c>
      <c r="T241" s="782">
        <f t="shared" si="152"/>
        <v>3.5866219459837776</v>
      </c>
      <c r="U241" s="777">
        <f t="shared" si="159"/>
        <v>1.9495897910021284E-3</v>
      </c>
      <c r="V241" s="783">
        <f t="shared" si="146"/>
        <v>4147.6353582952406</v>
      </c>
      <c r="W241" s="778">
        <f t="shared" si="160"/>
        <v>777164.37401434325</v>
      </c>
      <c r="X241" s="784">
        <v>10672416.297900001</v>
      </c>
      <c r="Y241" s="782">
        <f t="shared" si="153"/>
        <v>20.735264613276382</v>
      </c>
      <c r="Z241" s="782">
        <f t="shared" si="161"/>
        <v>3.2015569294697103E-3</v>
      </c>
      <c r="AA241" s="783">
        <f t="shared" si="147"/>
        <v>717.42513430357621</v>
      </c>
      <c r="AB241" s="692">
        <f t="shared" si="162"/>
        <v>752307.32835225575</v>
      </c>
      <c r="AC241" s="786">
        <f t="shared" si="163"/>
        <v>1529471.7023665989</v>
      </c>
      <c r="AD241" s="787">
        <f t="shared" si="148"/>
        <v>102.81471513623278</v>
      </c>
      <c r="AE241" s="788">
        <v>1195.3883000000001</v>
      </c>
      <c r="AF241" s="774">
        <f t="shared" si="164"/>
        <v>1.2433176947062455E-3</v>
      </c>
      <c r="AG241" s="692">
        <f t="shared" si="165"/>
        <v>156512.63596176798</v>
      </c>
      <c r="AH241" s="786">
        <f t="shared" si="166"/>
        <v>156512.63596176798</v>
      </c>
      <c r="AI241" s="692">
        <f t="shared" si="149"/>
        <v>10.521150575542348</v>
      </c>
      <c r="AJ241" s="789">
        <v>1145</v>
      </c>
      <c r="AK241" s="777">
        <f t="shared" si="167"/>
        <v>1.5220275267650866E-3</v>
      </c>
      <c r="AL241" s="692">
        <f t="shared" si="168"/>
        <v>31932.913745570168</v>
      </c>
      <c r="AM241" s="790">
        <v>9.6666666666666661</v>
      </c>
      <c r="AN241" s="791">
        <f t="shared" si="169"/>
        <v>1.3959085439229834E-3</v>
      </c>
      <c r="AO241" s="778">
        <f t="shared" si="170"/>
        <v>87860.619494584782</v>
      </c>
      <c r="AP241" s="768">
        <v>120</v>
      </c>
      <c r="AQ241" s="792">
        <f t="shared" si="171"/>
        <v>1.6219503953504089E-3</v>
      </c>
      <c r="AR241" s="793">
        <f t="shared" si="172"/>
        <v>136117.38595661282</v>
      </c>
      <c r="AS241" s="794">
        <v>8.9166666666666661</v>
      </c>
      <c r="AT241" s="791">
        <f t="shared" si="173"/>
        <v>3.5760239292816179E-4</v>
      </c>
      <c r="AU241" s="795">
        <f t="shared" si="174"/>
        <v>30010.722323412912</v>
      </c>
      <c r="AV241" s="796">
        <v>191</v>
      </c>
      <c r="AW241" s="791">
        <f t="shared" si="175"/>
        <v>2.4322534637326813E-3</v>
      </c>
      <c r="AX241" s="795">
        <f t="shared" si="176"/>
        <v>153089.75435513447</v>
      </c>
      <c r="AY241" s="786">
        <f t="shared" si="177"/>
        <v>439011.39587531518</v>
      </c>
      <c r="AZ241" s="787">
        <f t="shared" si="150"/>
        <v>29.511387192478836</v>
      </c>
      <c r="BA241" s="797">
        <f t="shared" si="154"/>
        <v>2311717.3081849422</v>
      </c>
      <c r="BB241" s="775">
        <v>1836167</v>
      </c>
      <c r="BC241" s="775">
        <f t="shared" si="178"/>
        <v>0</v>
      </c>
      <c r="BD241" s="775">
        <f t="shared" si="179"/>
        <v>475550.30818494223</v>
      </c>
      <c r="BE241" s="798">
        <f t="shared" si="180"/>
        <v>7.3995674210393934E-4</v>
      </c>
      <c r="BF241" s="775">
        <f t="shared" si="181"/>
        <v>-979.61548361771929</v>
      </c>
      <c r="BG241" s="797">
        <f t="shared" si="182"/>
        <v>2310737.6927013244</v>
      </c>
      <c r="BH241" s="799">
        <v>6.8</v>
      </c>
      <c r="BI241" s="692">
        <f t="shared" si="191"/>
        <v>0</v>
      </c>
      <c r="BJ241" s="800">
        <v>1250</v>
      </c>
      <c r="BK241" s="778">
        <f t="shared" si="183"/>
        <v>0</v>
      </c>
      <c r="BL241" s="786">
        <f t="shared" si="190"/>
        <v>2310737.6927013244</v>
      </c>
      <c r="BM241" s="692">
        <f t="shared" si="184"/>
        <v>2310737.6927013244</v>
      </c>
      <c r="BN241" s="801">
        <f t="shared" si="185"/>
        <v>1.1290615575020944E-3</v>
      </c>
      <c r="BO241" s="787">
        <f t="shared" si="186"/>
        <v>5580.7607548059968</v>
      </c>
      <c r="BP241" s="802">
        <f t="shared" si="187"/>
        <v>2316318</v>
      </c>
      <c r="BQ241" s="803">
        <f t="shared" si="151"/>
        <v>155.70838935197634</v>
      </c>
      <c r="BR241" s="682"/>
      <c r="BS241" s="618"/>
    </row>
    <row r="242" spans="1:71" ht="15.75">
      <c r="A242" s="766" t="s">
        <v>3899</v>
      </c>
      <c r="B242" s="767" t="s">
        <v>3900</v>
      </c>
      <c r="C242" s="768">
        <v>8088</v>
      </c>
      <c r="D242" s="769">
        <v>0</v>
      </c>
      <c r="E242" s="770">
        <v>0</v>
      </c>
      <c r="F242" s="771">
        <v>0</v>
      </c>
      <c r="G242" s="770">
        <v>0</v>
      </c>
      <c r="H242" s="771">
        <v>0</v>
      </c>
      <c r="I242" s="770">
        <f t="shared" si="188"/>
        <v>0</v>
      </c>
      <c r="J242" s="772">
        <f t="shared" si="155"/>
        <v>0</v>
      </c>
      <c r="K242" s="773">
        <v>3143</v>
      </c>
      <c r="L242" s="774">
        <f t="shared" si="156"/>
        <v>1.1343216572428584E-3</v>
      </c>
      <c r="M242" s="775">
        <f t="shared" si="189"/>
        <v>95194.587492001461</v>
      </c>
      <c r="N242" s="806">
        <v>46.5</v>
      </c>
      <c r="O242" s="777">
        <f t="shared" si="157"/>
        <v>5.2881952697377623E-5</v>
      </c>
      <c r="P242" s="778">
        <f t="shared" si="158"/>
        <v>4437.9613495474332</v>
      </c>
      <c r="Q242" s="786">
        <f t="shared" si="144"/>
        <v>99632.548841548894</v>
      </c>
      <c r="R242" s="692">
        <f t="shared" si="145"/>
        <v>12.318564396828497</v>
      </c>
      <c r="S242" s="807">
        <v>32048267.109999999</v>
      </c>
      <c r="T242" s="782">
        <f t="shared" si="152"/>
        <v>2.0411632172021048</v>
      </c>
      <c r="U242" s="777">
        <f t="shared" si="159"/>
        <v>1.1095206101893078E-3</v>
      </c>
      <c r="V242" s="783">
        <f t="shared" si="146"/>
        <v>3962.4464774975272</v>
      </c>
      <c r="W242" s="778">
        <f t="shared" si="160"/>
        <v>442287.8568883746</v>
      </c>
      <c r="X242" s="784">
        <v>7819430.7830999997</v>
      </c>
      <c r="Y242" s="782">
        <f t="shared" si="153"/>
        <v>8.3657935998847783</v>
      </c>
      <c r="Z242" s="782">
        <f t="shared" si="161"/>
        <v>1.2916914719803226E-3</v>
      </c>
      <c r="AA242" s="783">
        <f t="shared" si="147"/>
        <v>966.7941126483679</v>
      </c>
      <c r="AB242" s="692">
        <f t="shared" si="162"/>
        <v>303523.87346173625</v>
      </c>
      <c r="AC242" s="786">
        <f t="shared" si="163"/>
        <v>745811.73035011091</v>
      </c>
      <c r="AD242" s="787">
        <f t="shared" si="148"/>
        <v>92.212132832605207</v>
      </c>
      <c r="AE242" s="788">
        <v>447.33170000000001</v>
      </c>
      <c r="AF242" s="774">
        <f t="shared" si="164"/>
        <v>4.6526757708187854E-4</v>
      </c>
      <c r="AG242" s="692">
        <f t="shared" si="165"/>
        <v>58569.306321852739</v>
      </c>
      <c r="AH242" s="786">
        <f t="shared" si="166"/>
        <v>58569.306321852739</v>
      </c>
      <c r="AI242" s="692">
        <f t="shared" si="149"/>
        <v>7.241506716351723</v>
      </c>
      <c r="AJ242" s="789">
        <v>642</v>
      </c>
      <c r="AK242" s="777">
        <f t="shared" si="167"/>
        <v>8.5339884033465993E-4</v>
      </c>
      <c r="AL242" s="692">
        <f t="shared" si="168"/>
        <v>17904.742903629736</v>
      </c>
      <c r="AM242" s="790">
        <v>2.3333333333333335</v>
      </c>
      <c r="AN242" s="791">
        <f t="shared" si="169"/>
        <v>3.3694344163658226E-4</v>
      </c>
      <c r="AO242" s="778">
        <f t="shared" si="170"/>
        <v>21207.735740072192</v>
      </c>
      <c r="AP242" s="809">
        <v>64</v>
      </c>
      <c r="AQ242" s="792">
        <f t="shared" si="171"/>
        <v>8.6504021085355139E-4</v>
      </c>
      <c r="AR242" s="793">
        <f t="shared" si="172"/>
        <v>72595.939176860178</v>
      </c>
      <c r="AS242" s="794">
        <v>11.694444444444443</v>
      </c>
      <c r="AT242" s="791">
        <f t="shared" si="173"/>
        <v>4.6900500754752683E-4</v>
      </c>
      <c r="AU242" s="795">
        <f t="shared" si="174"/>
        <v>39359.857003603851</v>
      </c>
      <c r="AV242" s="796">
        <v>124</v>
      </c>
      <c r="AW242" s="791">
        <f t="shared" si="175"/>
        <v>1.5790546047269763E-3</v>
      </c>
      <c r="AX242" s="795">
        <f t="shared" si="176"/>
        <v>99388.112775061119</v>
      </c>
      <c r="AY242" s="786">
        <f t="shared" si="177"/>
        <v>250456.38759922705</v>
      </c>
      <c r="AZ242" s="787">
        <f t="shared" si="150"/>
        <v>30.96641785351472</v>
      </c>
      <c r="BA242" s="797">
        <f t="shared" si="154"/>
        <v>1154469.9731127396</v>
      </c>
      <c r="BB242" s="775">
        <v>892396</v>
      </c>
      <c r="BC242" s="775">
        <f t="shared" si="178"/>
        <v>0</v>
      </c>
      <c r="BD242" s="775">
        <f t="shared" si="179"/>
        <v>262073.97311273962</v>
      </c>
      <c r="BE242" s="798">
        <f t="shared" si="180"/>
        <v>4.0778735708298834E-4</v>
      </c>
      <c r="BF242" s="775">
        <f t="shared" si="181"/>
        <v>-539.86238153085208</v>
      </c>
      <c r="BG242" s="797">
        <f t="shared" si="182"/>
        <v>1153930.1107312087</v>
      </c>
      <c r="BH242" s="799">
        <v>6.8</v>
      </c>
      <c r="BI242" s="692">
        <f t="shared" si="191"/>
        <v>0</v>
      </c>
      <c r="BJ242" s="800">
        <v>1350</v>
      </c>
      <c r="BK242" s="778">
        <f t="shared" si="183"/>
        <v>0</v>
      </c>
      <c r="BL242" s="786">
        <f t="shared" si="190"/>
        <v>1153930.1107312087</v>
      </c>
      <c r="BM242" s="692">
        <f t="shared" si="184"/>
        <v>1153930.1107312087</v>
      </c>
      <c r="BN242" s="801">
        <f t="shared" si="185"/>
        <v>5.6382779066007315E-4</v>
      </c>
      <c r="BO242" s="787">
        <f t="shared" si="186"/>
        <v>2786.9056258953096</v>
      </c>
      <c r="BP242" s="802">
        <f t="shared" si="187"/>
        <v>1156717</v>
      </c>
      <c r="BQ242" s="803">
        <f t="shared" si="151"/>
        <v>143.01644411473788</v>
      </c>
      <c r="BR242" s="682"/>
      <c r="BS242" s="618"/>
    </row>
    <row r="243" spans="1:71" ht="15.75">
      <c r="A243" s="766" t="s">
        <v>3901</v>
      </c>
      <c r="B243" s="767" t="s">
        <v>3902</v>
      </c>
      <c r="C243" s="768">
        <v>22592</v>
      </c>
      <c r="D243" s="769">
        <v>0</v>
      </c>
      <c r="E243" s="770">
        <v>0</v>
      </c>
      <c r="F243" s="771">
        <v>0</v>
      </c>
      <c r="G243" s="770">
        <v>0</v>
      </c>
      <c r="H243" s="771">
        <v>0</v>
      </c>
      <c r="I243" s="770">
        <f t="shared" si="188"/>
        <v>0</v>
      </c>
      <c r="J243" s="772">
        <f t="shared" si="155"/>
        <v>0</v>
      </c>
      <c r="K243" s="773">
        <v>4609</v>
      </c>
      <c r="L243" s="774">
        <f t="shared" si="156"/>
        <v>1.6634071009329733E-3</v>
      </c>
      <c r="M243" s="775">
        <f t="shared" si="189"/>
        <v>139596.51726078102</v>
      </c>
      <c r="N243" s="806">
        <v>320</v>
      </c>
      <c r="O243" s="777">
        <f t="shared" si="157"/>
        <v>3.6391881426152341E-4</v>
      </c>
      <c r="P243" s="778">
        <f t="shared" si="158"/>
        <v>30540.80928720814</v>
      </c>
      <c r="Q243" s="786">
        <f t="shared" si="144"/>
        <v>170137.32654798916</v>
      </c>
      <c r="R243" s="692">
        <f t="shared" si="145"/>
        <v>7.5308660830377638</v>
      </c>
      <c r="S243" s="807">
        <v>79076693.139999986</v>
      </c>
      <c r="T243" s="782">
        <f t="shared" si="152"/>
        <v>6.4544740521252413</v>
      </c>
      <c r="U243" s="777">
        <f t="shared" si="159"/>
        <v>3.5084759162872822E-3</v>
      </c>
      <c r="V243" s="783">
        <f t="shared" si="146"/>
        <v>3500.2077345963166</v>
      </c>
      <c r="W243" s="778">
        <f t="shared" si="160"/>
        <v>1398582.6668820654</v>
      </c>
      <c r="X243" s="784">
        <v>15051947.180300001</v>
      </c>
      <c r="Y243" s="782">
        <f t="shared" si="153"/>
        <v>33.909132013697857</v>
      </c>
      <c r="Z243" s="782">
        <f t="shared" si="161"/>
        <v>5.2356224333518974E-3</v>
      </c>
      <c r="AA243" s="783">
        <f t="shared" si="147"/>
        <v>666.25120309401564</v>
      </c>
      <c r="AB243" s="692">
        <f t="shared" si="162"/>
        <v>1230275.5227746346</v>
      </c>
      <c r="AC243" s="786">
        <f t="shared" si="163"/>
        <v>2628858.1896567</v>
      </c>
      <c r="AD243" s="787">
        <f t="shared" si="148"/>
        <v>116.36234904641908</v>
      </c>
      <c r="AE243" s="788">
        <v>3823.3867</v>
      </c>
      <c r="AF243" s="774">
        <f t="shared" si="164"/>
        <v>3.9766863518862607E-3</v>
      </c>
      <c r="AG243" s="692">
        <f t="shared" si="165"/>
        <v>500597.44663567928</v>
      </c>
      <c r="AH243" s="786">
        <f t="shared" si="166"/>
        <v>500597.44663567928</v>
      </c>
      <c r="AI243" s="692">
        <f t="shared" si="149"/>
        <v>22.158173098250675</v>
      </c>
      <c r="AJ243" s="789">
        <v>2546</v>
      </c>
      <c r="AK243" s="777">
        <f t="shared" si="167"/>
        <v>3.3843511643178261E-3</v>
      </c>
      <c r="AL243" s="692">
        <f t="shared" si="168"/>
        <v>71005.413446481791</v>
      </c>
      <c r="AM243" s="790">
        <v>11.333333333333334</v>
      </c>
      <c r="AN243" s="791">
        <f t="shared" si="169"/>
        <v>1.6365824308062567E-3</v>
      </c>
      <c r="AO243" s="778">
        <f t="shared" si="170"/>
        <v>103009.00216606494</v>
      </c>
      <c r="AP243" s="768">
        <v>209</v>
      </c>
      <c r="AQ243" s="792">
        <f t="shared" si="171"/>
        <v>2.824896938568629E-3</v>
      </c>
      <c r="AR243" s="793">
        <f t="shared" si="172"/>
        <v>237071.11387443403</v>
      </c>
      <c r="AS243" s="794">
        <v>31.305555555555554</v>
      </c>
      <c r="AT243" s="791">
        <f t="shared" si="173"/>
        <v>1.2555074667602441E-3</v>
      </c>
      <c r="AU243" s="795">
        <f t="shared" si="174"/>
        <v>105364.74784575187</v>
      </c>
      <c r="AV243" s="796">
        <v>8</v>
      </c>
      <c r="AW243" s="791">
        <f t="shared" si="175"/>
        <v>1.0187449062754686E-4</v>
      </c>
      <c r="AX243" s="795">
        <f t="shared" si="176"/>
        <v>6412.1363080684596</v>
      </c>
      <c r="AY243" s="786">
        <f t="shared" si="177"/>
        <v>522862.4136408011</v>
      </c>
      <c r="AZ243" s="787">
        <f t="shared" si="150"/>
        <v>23.143697487641692</v>
      </c>
      <c r="BA243" s="797">
        <f t="shared" si="154"/>
        <v>3822455.3764811698</v>
      </c>
      <c r="BB243" s="775">
        <v>3007105</v>
      </c>
      <c r="BC243" s="775">
        <f t="shared" si="178"/>
        <v>0</v>
      </c>
      <c r="BD243" s="775">
        <f t="shared" si="179"/>
        <v>815350.37648116983</v>
      </c>
      <c r="BE243" s="798">
        <f t="shared" si="180"/>
        <v>1.2686859788966706E-3</v>
      </c>
      <c r="BF243" s="775">
        <f t="shared" si="181"/>
        <v>-1679.5906545051873</v>
      </c>
      <c r="BG243" s="797">
        <f t="shared" si="182"/>
        <v>3820775.7858266644</v>
      </c>
      <c r="BH243" s="799">
        <v>7.5</v>
      </c>
      <c r="BI243" s="692">
        <f t="shared" si="191"/>
        <v>0</v>
      </c>
      <c r="BJ243" s="800">
        <v>1450</v>
      </c>
      <c r="BK243" s="778">
        <f t="shared" si="183"/>
        <v>0</v>
      </c>
      <c r="BL243" s="786">
        <f t="shared" si="190"/>
        <v>3820775.7858266644</v>
      </c>
      <c r="BM243" s="692">
        <f t="shared" si="184"/>
        <v>3820775.7858266644</v>
      </c>
      <c r="BN243" s="801">
        <f t="shared" si="185"/>
        <v>1.866889120836848E-3</v>
      </c>
      <c r="BO243" s="787">
        <f t="shared" si="186"/>
        <v>9227.7178953736766</v>
      </c>
      <c r="BP243" s="802">
        <f t="shared" si="187"/>
        <v>3830004</v>
      </c>
      <c r="BQ243" s="803">
        <f t="shared" si="151"/>
        <v>169.52921388101984</v>
      </c>
      <c r="BR243" s="682"/>
      <c r="BS243" s="618"/>
    </row>
    <row r="244" spans="1:71" ht="15.75">
      <c r="A244" s="766" t="s">
        <v>3903</v>
      </c>
      <c r="B244" s="767" t="s">
        <v>3904</v>
      </c>
      <c r="C244" s="768">
        <v>19472</v>
      </c>
      <c r="D244" s="769">
        <v>0</v>
      </c>
      <c r="E244" s="770">
        <v>0</v>
      </c>
      <c r="F244" s="771">
        <v>0</v>
      </c>
      <c r="G244" s="770">
        <v>0</v>
      </c>
      <c r="H244" s="771">
        <v>0</v>
      </c>
      <c r="I244" s="770">
        <f t="shared" si="188"/>
        <v>0</v>
      </c>
      <c r="J244" s="772">
        <f t="shared" si="155"/>
        <v>0</v>
      </c>
      <c r="K244" s="773">
        <v>6904</v>
      </c>
      <c r="L244" s="774">
        <f t="shared" si="156"/>
        <v>2.4916820622350286E-3</v>
      </c>
      <c r="M244" s="775">
        <f t="shared" si="189"/>
        <v>209107.04169417056</v>
      </c>
      <c r="N244" s="806">
        <v>1534.5</v>
      </c>
      <c r="O244" s="777">
        <f t="shared" si="157"/>
        <v>1.7451044390134616E-3</v>
      </c>
      <c r="P244" s="778">
        <f t="shared" si="158"/>
        <v>146452.7245350653</v>
      </c>
      <c r="Q244" s="786">
        <f t="shared" si="144"/>
        <v>355559.76622923586</v>
      </c>
      <c r="R244" s="692">
        <f t="shared" si="145"/>
        <v>18.260053729931997</v>
      </c>
      <c r="S244" s="807">
        <v>97972955.01000002</v>
      </c>
      <c r="T244" s="782">
        <f t="shared" si="152"/>
        <v>3.8700351945217899</v>
      </c>
      <c r="U244" s="777">
        <f t="shared" si="159"/>
        <v>2.1036454969856318E-3</v>
      </c>
      <c r="V244" s="783">
        <f t="shared" si="146"/>
        <v>5031.4787905710773</v>
      </c>
      <c r="W244" s="778">
        <f t="shared" si="160"/>
        <v>838575.55233327835</v>
      </c>
      <c r="X244" s="784">
        <v>33176769.0207</v>
      </c>
      <c r="Y244" s="782">
        <f t="shared" si="153"/>
        <v>11.428442105481436</v>
      </c>
      <c r="Z244" s="782">
        <f t="shared" si="161"/>
        <v>1.764569138530328E-3</v>
      </c>
      <c r="AA244" s="783">
        <f t="shared" si="147"/>
        <v>1703.8192800277322</v>
      </c>
      <c r="AB244" s="692">
        <f t="shared" si="162"/>
        <v>414641.47711422161</v>
      </c>
      <c r="AC244" s="786">
        <f t="shared" si="163"/>
        <v>1253217.0294474999</v>
      </c>
      <c r="AD244" s="787">
        <f t="shared" si="148"/>
        <v>64.359954264970213</v>
      </c>
      <c r="AE244" s="788">
        <v>1876.1595</v>
      </c>
      <c r="AF244" s="774">
        <f t="shared" si="164"/>
        <v>1.9513845872853382E-3</v>
      </c>
      <c r="AG244" s="692">
        <f t="shared" si="165"/>
        <v>245646.26308431546</v>
      </c>
      <c r="AH244" s="786">
        <f t="shared" si="166"/>
        <v>245646.26308431546</v>
      </c>
      <c r="AI244" s="692">
        <f t="shared" si="149"/>
        <v>12.615358621832142</v>
      </c>
      <c r="AJ244" s="789">
        <v>1192</v>
      </c>
      <c r="AK244" s="777">
        <f t="shared" si="167"/>
        <v>1.5845037658550074E-3</v>
      </c>
      <c r="AL244" s="692">
        <f t="shared" si="168"/>
        <v>33243.69710455864</v>
      </c>
      <c r="AM244" s="790">
        <v>3.6666666666666665</v>
      </c>
      <c r="AN244" s="791">
        <f t="shared" si="169"/>
        <v>5.294825511432007E-4</v>
      </c>
      <c r="AO244" s="778">
        <f t="shared" si="170"/>
        <v>33326.4418772563</v>
      </c>
      <c r="AP244" s="768">
        <v>105</v>
      </c>
      <c r="AQ244" s="792">
        <f t="shared" si="171"/>
        <v>1.4192065959316078E-3</v>
      </c>
      <c r="AR244" s="793">
        <f t="shared" si="172"/>
        <v>119102.71271203623</v>
      </c>
      <c r="AS244" s="794">
        <v>15.138888888888888</v>
      </c>
      <c r="AT244" s="791">
        <f t="shared" si="173"/>
        <v>6.0714424967553947E-4</v>
      </c>
      <c r="AU244" s="795">
        <f t="shared" si="174"/>
        <v>50952.784007040609</v>
      </c>
      <c r="AV244" s="796">
        <v>9</v>
      </c>
      <c r="AW244" s="791">
        <f t="shared" si="175"/>
        <v>1.1460880195599022E-4</v>
      </c>
      <c r="AX244" s="795">
        <f t="shared" si="176"/>
        <v>7213.6533465770171</v>
      </c>
      <c r="AY244" s="786">
        <f t="shared" si="177"/>
        <v>243839.28904746877</v>
      </c>
      <c r="AZ244" s="787">
        <f t="shared" si="150"/>
        <v>12.522560037359735</v>
      </c>
      <c r="BA244" s="797">
        <f t="shared" si="154"/>
        <v>2098262.3478085198</v>
      </c>
      <c r="BB244" s="775">
        <v>2238407</v>
      </c>
      <c r="BC244" s="775">
        <f t="shared" si="178"/>
        <v>140144.65219148016</v>
      </c>
      <c r="BD244" s="775">
        <f t="shared" si="179"/>
        <v>0</v>
      </c>
      <c r="BE244" s="798">
        <f t="shared" si="180"/>
        <v>0</v>
      </c>
      <c r="BF244" s="775">
        <f t="shared" si="181"/>
        <v>0</v>
      </c>
      <c r="BG244" s="797">
        <f t="shared" si="182"/>
        <v>2238407</v>
      </c>
      <c r="BH244" s="799">
        <v>5</v>
      </c>
      <c r="BI244" s="692">
        <f t="shared" si="191"/>
        <v>0</v>
      </c>
      <c r="BJ244" s="800">
        <v>875</v>
      </c>
      <c r="BK244" s="778">
        <f t="shared" si="183"/>
        <v>0</v>
      </c>
      <c r="BL244" s="786">
        <f t="shared" si="190"/>
        <v>2238407</v>
      </c>
      <c r="BM244" s="692">
        <f t="shared" si="184"/>
        <v>0</v>
      </c>
      <c r="BN244" s="801">
        <f t="shared" si="185"/>
        <v>0</v>
      </c>
      <c r="BO244" s="787">
        <f t="shared" si="186"/>
        <v>0</v>
      </c>
      <c r="BP244" s="802">
        <f t="shared" si="187"/>
        <v>2238407</v>
      </c>
      <c r="BQ244" s="803">
        <f t="shared" si="151"/>
        <v>114.9551663927691</v>
      </c>
      <c r="BR244" s="682"/>
      <c r="BS244" s="618"/>
    </row>
    <row r="245" spans="1:71" ht="15.75">
      <c r="A245" s="805" t="s">
        <v>3905</v>
      </c>
      <c r="B245" s="767" t="s">
        <v>3906</v>
      </c>
      <c r="C245" s="768">
        <v>33766</v>
      </c>
      <c r="D245" s="769">
        <v>0</v>
      </c>
      <c r="E245" s="770">
        <v>0</v>
      </c>
      <c r="F245" s="771">
        <v>0</v>
      </c>
      <c r="G245" s="770">
        <v>0</v>
      </c>
      <c r="H245" s="771">
        <v>0</v>
      </c>
      <c r="I245" s="770">
        <f t="shared" si="188"/>
        <v>0</v>
      </c>
      <c r="J245" s="772">
        <f t="shared" si="155"/>
        <v>0</v>
      </c>
      <c r="K245" s="773">
        <v>12683</v>
      </c>
      <c r="L245" s="774">
        <f t="shared" si="156"/>
        <v>4.5773469865768926E-3</v>
      </c>
      <c r="M245" s="775">
        <f t="shared" si="189"/>
        <v>384140.29690138542</v>
      </c>
      <c r="N245" s="806">
        <v>3820.5</v>
      </c>
      <c r="O245" s="777">
        <f t="shared" si="157"/>
        <v>4.3448494683942197E-3</v>
      </c>
      <c r="P245" s="778">
        <f t="shared" si="158"/>
        <v>364628.63088055846</v>
      </c>
      <c r="Q245" s="786">
        <f t="shared" si="144"/>
        <v>748768.92778194393</v>
      </c>
      <c r="R245" s="692">
        <f t="shared" si="145"/>
        <v>22.175233305157374</v>
      </c>
      <c r="S245" s="807">
        <v>136532049.39999998</v>
      </c>
      <c r="T245" s="782">
        <f t="shared" si="152"/>
        <v>8.3507334798711383</v>
      </c>
      <c r="U245" s="777">
        <f t="shared" si="159"/>
        <v>4.5392307817574721E-3</v>
      </c>
      <c r="V245" s="783">
        <f t="shared" si="146"/>
        <v>4043.477148611028</v>
      </c>
      <c r="W245" s="778">
        <f t="shared" si="160"/>
        <v>1809472.1593704387</v>
      </c>
      <c r="X245" s="784">
        <v>40373848.9604</v>
      </c>
      <c r="Y245" s="782">
        <f t="shared" si="153"/>
        <v>28.239634945835597</v>
      </c>
      <c r="Z245" s="782">
        <f t="shared" si="161"/>
        <v>4.3602433165307519E-3</v>
      </c>
      <c r="AA245" s="783">
        <f t="shared" si="147"/>
        <v>1195.6953432565304</v>
      </c>
      <c r="AB245" s="692">
        <f t="shared" si="162"/>
        <v>1024577.439254954</v>
      </c>
      <c r="AC245" s="786">
        <f t="shared" si="163"/>
        <v>2834049.5986253927</v>
      </c>
      <c r="AD245" s="787">
        <f t="shared" si="148"/>
        <v>83.932049950405514</v>
      </c>
      <c r="AE245" s="788">
        <v>1240.3807999999999</v>
      </c>
      <c r="AF245" s="774">
        <f t="shared" si="164"/>
        <v>1.2901141803160431E-3</v>
      </c>
      <c r="AG245" s="692">
        <f t="shared" si="165"/>
        <v>162403.52076757528</v>
      </c>
      <c r="AH245" s="786">
        <f t="shared" si="166"/>
        <v>162403.52076757528</v>
      </c>
      <c r="AI245" s="692">
        <f t="shared" si="149"/>
        <v>4.809676028181463</v>
      </c>
      <c r="AJ245" s="789">
        <v>2527</v>
      </c>
      <c r="AK245" s="777">
        <f t="shared" si="167"/>
        <v>3.3590948123453047E-3</v>
      </c>
      <c r="AL245" s="692">
        <f t="shared" si="168"/>
        <v>70475.522301358782</v>
      </c>
      <c r="AM245" s="790">
        <v>29</v>
      </c>
      <c r="AN245" s="791">
        <f t="shared" si="169"/>
        <v>4.1877256317689512E-3</v>
      </c>
      <c r="AO245" s="778">
        <f t="shared" si="170"/>
        <v>263581.85848375439</v>
      </c>
      <c r="AP245" s="768">
        <v>372</v>
      </c>
      <c r="AQ245" s="792">
        <f t="shared" si="171"/>
        <v>5.0280462255862671E-3</v>
      </c>
      <c r="AR245" s="793">
        <f t="shared" si="172"/>
        <v>421963.89646549971</v>
      </c>
      <c r="AS245" s="794">
        <v>66.083333333333329</v>
      </c>
      <c r="AT245" s="791">
        <f t="shared" si="173"/>
        <v>2.6502682017946946E-3</v>
      </c>
      <c r="AU245" s="795">
        <f t="shared" si="174"/>
        <v>222415.91404174242</v>
      </c>
      <c r="AV245" s="796">
        <v>166</v>
      </c>
      <c r="AW245" s="791">
        <f t="shared" si="175"/>
        <v>2.1138956805215976E-3</v>
      </c>
      <c r="AX245" s="795">
        <f t="shared" si="176"/>
        <v>133051.82839242055</v>
      </c>
      <c r="AY245" s="786">
        <f t="shared" si="177"/>
        <v>1111489.019684776</v>
      </c>
      <c r="AZ245" s="787">
        <f t="shared" si="150"/>
        <v>32.917402703452467</v>
      </c>
      <c r="BA245" s="797">
        <f t="shared" si="154"/>
        <v>4856711.0668596877</v>
      </c>
      <c r="BB245" s="775">
        <v>4604580</v>
      </c>
      <c r="BC245" s="775">
        <f t="shared" si="178"/>
        <v>0</v>
      </c>
      <c r="BD245" s="775">
        <f t="shared" si="179"/>
        <v>252131.06685968768</v>
      </c>
      <c r="BE245" s="798">
        <f t="shared" si="180"/>
        <v>3.9231618528176658E-4</v>
      </c>
      <c r="BF245" s="775">
        <f t="shared" si="181"/>
        <v>-519.38037415959172</v>
      </c>
      <c r="BG245" s="797">
        <f t="shared" si="182"/>
        <v>4856191.686485528</v>
      </c>
      <c r="BH245" s="799">
        <v>6.7</v>
      </c>
      <c r="BI245" s="692">
        <f t="shared" si="191"/>
        <v>0</v>
      </c>
      <c r="BJ245" s="800">
        <v>1175</v>
      </c>
      <c r="BK245" s="778">
        <f t="shared" si="183"/>
        <v>0</v>
      </c>
      <c r="BL245" s="786">
        <f t="shared" si="190"/>
        <v>4856191.686485528</v>
      </c>
      <c r="BM245" s="692">
        <f t="shared" si="184"/>
        <v>4856191.686485528</v>
      </c>
      <c r="BN245" s="801">
        <f t="shared" si="185"/>
        <v>2.372809067160862E-3</v>
      </c>
      <c r="BO245" s="787">
        <f t="shared" si="186"/>
        <v>11728.394818397315</v>
      </c>
      <c r="BP245" s="802">
        <f t="shared" si="187"/>
        <v>4867920</v>
      </c>
      <c r="BQ245" s="803">
        <f t="shared" si="151"/>
        <v>144.16632115145413</v>
      </c>
      <c r="BR245" s="682"/>
      <c r="BS245" s="618"/>
    </row>
    <row r="246" spans="1:71" ht="15.75">
      <c r="A246" s="766" t="s">
        <v>3907</v>
      </c>
      <c r="B246" s="767" t="s">
        <v>3908</v>
      </c>
      <c r="C246" s="768">
        <v>8124</v>
      </c>
      <c r="D246" s="769">
        <v>0</v>
      </c>
      <c r="E246" s="770">
        <v>0</v>
      </c>
      <c r="F246" s="771">
        <v>0</v>
      </c>
      <c r="G246" s="770">
        <v>0</v>
      </c>
      <c r="H246" s="771">
        <v>0</v>
      </c>
      <c r="I246" s="770">
        <f t="shared" si="188"/>
        <v>0</v>
      </c>
      <c r="J246" s="772">
        <f t="shared" si="155"/>
        <v>0</v>
      </c>
      <c r="K246" s="773">
        <v>1699</v>
      </c>
      <c r="L246" s="774">
        <f t="shared" si="156"/>
        <v>6.131761042493212E-4</v>
      </c>
      <c r="M246" s="775">
        <f t="shared" si="189"/>
        <v>51458.989547855701</v>
      </c>
      <c r="N246" s="806">
        <v>42</v>
      </c>
      <c r="O246" s="777">
        <f t="shared" si="157"/>
        <v>4.7764344371824953E-5</v>
      </c>
      <c r="P246" s="778">
        <f t="shared" si="158"/>
        <v>4008.4812189460686</v>
      </c>
      <c r="Q246" s="786">
        <f t="shared" si="144"/>
        <v>55467.470766801773</v>
      </c>
      <c r="R246" s="692">
        <f t="shared" si="145"/>
        <v>6.8276059535698881</v>
      </c>
      <c r="S246" s="807">
        <v>31032278.050000008</v>
      </c>
      <c r="T246" s="782">
        <f t="shared" si="152"/>
        <v>2.1267976490046943</v>
      </c>
      <c r="U246" s="777">
        <f t="shared" si="159"/>
        <v>1.1560691498778985E-3</v>
      </c>
      <c r="V246" s="783">
        <f t="shared" si="146"/>
        <v>3819.8274310684401</v>
      </c>
      <c r="W246" s="778">
        <f t="shared" si="160"/>
        <v>460843.48683439021</v>
      </c>
      <c r="X246" s="784">
        <v>4628604.6276000002</v>
      </c>
      <c r="Y246" s="782">
        <f t="shared" si="153"/>
        <v>14.25902216975954</v>
      </c>
      <c r="Z246" s="782">
        <f t="shared" si="161"/>
        <v>2.2016150787787102E-3</v>
      </c>
      <c r="AA246" s="783">
        <f t="shared" si="147"/>
        <v>569.74453810930584</v>
      </c>
      <c r="AB246" s="692">
        <f t="shared" si="162"/>
        <v>517339.28037643619</v>
      </c>
      <c r="AC246" s="786">
        <f t="shared" si="163"/>
        <v>978182.76721082639</v>
      </c>
      <c r="AD246" s="787">
        <f t="shared" si="148"/>
        <v>120.40654446218936</v>
      </c>
      <c r="AE246" s="788">
        <v>1094.2828999999999</v>
      </c>
      <c r="AF246" s="774">
        <f t="shared" si="164"/>
        <v>1.1381584482502169E-3</v>
      </c>
      <c r="AG246" s="692">
        <f t="shared" si="165"/>
        <v>143274.86823058894</v>
      </c>
      <c r="AH246" s="786">
        <f t="shared" si="166"/>
        <v>143274.86823058894</v>
      </c>
      <c r="AI246" s="692">
        <f t="shared" si="149"/>
        <v>17.636000520751963</v>
      </c>
      <c r="AJ246" s="789">
        <v>974</v>
      </c>
      <c r="AK246" s="777">
        <f t="shared" si="167"/>
        <v>1.2947203590123969E-3</v>
      </c>
      <c r="AL246" s="692">
        <f t="shared" si="168"/>
        <v>27163.893439463183</v>
      </c>
      <c r="AM246" s="790">
        <v>2</v>
      </c>
      <c r="AN246" s="791">
        <f t="shared" si="169"/>
        <v>2.8880866425992765E-4</v>
      </c>
      <c r="AO246" s="778">
        <f t="shared" si="170"/>
        <v>18178.059205776164</v>
      </c>
      <c r="AP246" s="768">
        <v>65</v>
      </c>
      <c r="AQ246" s="792">
        <f t="shared" si="171"/>
        <v>8.7855646414813817E-4</v>
      </c>
      <c r="AR246" s="793">
        <f t="shared" si="172"/>
        <v>73730.25072649862</v>
      </c>
      <c r="AS246" s="794">
        <v>8.75</v>
      </c>
      <c r="AT246" s="791">
        <f t="shared" si="173"/>
        <v>3.509182360509999E-4</v>
      </c>
      <c r="AU246" s="795">
        <f t="shared" si="174"/>
        <v>29449.774242601456</v>
      </c>
      <c r="AV246" s="796">
        <v>79</v>
      </c>
      <c r="AW246" s="791">
        <f t="shared" si="175"/>
        <v>1.0060105949470253E-3</v>
      </c>
      <c r="AX246" s="795">
        <f t="shared" si="176"/>
        <v>63319.846042176046</v>
      </c>
      <c r="AY246" s="786">
        <f t="shared" si="177"/>
        <v>211841.82365651548</v>
      </c>
      <c r="AZ246" s="787">
        <f t="shared" si="150"/>
        <v>26.076049194548926</v>
      </c>
      <c r="BA246" s="797">
        <f t="shared" si="154"/>
        <v>1388766.9298647325</v>
      </c>
      <c r="BB246" s="775">
        <v>972514</v>
      </c>
      <c r="BC246" s="775">
        <f t="shared" si="178"/>
        <v>0</v>
      </c>
      <c r="BD246" s="775">
        <f t="shared" si="179"/>
        <v>416252.92986473255</v>
      </c>
      <c r="BE246" s="798">
        <f t="shared" si="180"/>
        <v>6.4768996375908524E-4</v>
      </c>
      <c r="BF246" s="775">
        <f t="shared" si="181"/>
        <v>-857.46514759517527</v>
      </c>
      <c r="BG246" s="797">
        <f t="shared" si="182"/>
        <v>1387909.4647171374</v>
      </c>
      <c r="BH246" s="799">
        <v>8.5</v>
      </c>
      <c r="BI246" s="692">
        <f t="shared" si="191"/>
        <v>0</v>
      </c>
      <c r="BJ246" s="800">
        <v>1500</v>
      </c>
      <c r="BK246" s="778">
        <f t="shared" si="183"/>
        <v>0</v>
      </c>
      <c r="BL246" s="786">
        <f t="shared" si="190"/>
        <v>1387909.4647171374</v>
      </c>
      <c r="BM246" s="692">
        <f t="shared" si="184"/>
        <v>1387909.4647171374</v>
      </c>
      <c r="BN246" s="801">
        <f t="shared" si="185"/>
        <v>6.7815365926433477E-4</v>
      </c>
      <c r="BO246" s="787">
        <f t="shared" si="186"/>
        <v>3351.9991024434976</v>
      </c>
      <c r="BP246" s="802">
        <f t="shared" si="187"/>
        <v>1391261</v>
      </c>
      <c r="BQ246" s="803">
        <f t="shared" si="151"/>
        <v>171.25320039389464</v>
      </c>
      <c r="BR246" s="682"/>
      <c r="BS246" s="618"/>
    </row>
    <row r="247" spans="1:71" ht="15.75">
      <c r="A247" s="766" t="s">
        <v>3909</v>
      </c>
      <c r="B247" s="767" t="s">
        <v>3910</v>
      </c>
      <c r="C247" s="768">
        <v>17934</v>
      </c>
      <c r="D247" s="769">
        <v>0</v>
      </c>
      <c r="E247" s="770">
        <v>0</v>
      </c>
      <c r="F247" s="771">
        <v>0</v>
      </c>
      <c r="G247" s="770">
        <v>0</v>
      </c>
      <c r="H247" s="771">
        <v>0</v>
      </c>
      <c r="I247" s="770">
        <f t="shared" si="188"/>
        <v>0</v>
      </c>
      <c r="J247" s="772">
        <f t="shared" si="155"/>
        <v>0</v>
      </c>
      <c r="K247" s="773">
        <v>5001</v>
      </c>
      <c r="L247" s="774">
        <f t="shared" si="156"/>
        <v>1.8048815169810803E-3</v>
      </c>
      <c r="M247" s="775">
        <f t="shared" si="189"/>
        <v>151469.3388633469</v>
      </c>
      <c r="N247" s="806">
        <v>2617</v>
      </c>
      <c r="O247" s="777">
        <f t="shared" si="157"/>
        <v>2.9761735528825214E-3</v>
      </c>
      <c r="P247" s="778">
        <f t="shared" si="158"/>
        <v>249766.55595194906</v>
      </c>
      <c r="Q247" s="786">
        <f t="shared" si="144"/>
        <v>401235.89481529593</v>
      </c>
      <c r="R247" s="692">
        <f t="shared" si="145"/>
        <v>22.372917074567635</v>
      </c>
      <c r="S247" s="807">
        <v>92313313.709999993</v>
      </c>
      <c r="T247" s="782">
        <f t="shared" si="152"/>
        <v>3.4840950137527029</v>
      </c>
      <c r="U247" s="777">
        <f t="shared" si="159"/>
        <v>1.8938589491707784E-3</v>
      </c>
      <c r="V247" s="783">
        <f t="shared" si="146"/>
        <v>5147.3911960521909</v>
      </c>
      <c r="W247" s="778">
        <f t="shared" si="160"/>
        <v>754948.40581167315</v>
      </c>
      <c r="X247" s="784">
        <v>32513848.1338</v>
      </c>
      <c r="Y247" s="782">
        <f t="shared" si="153"/>
        <v>9.8920421439026462</v>
      </c>
      <c r="Z247" s="782">
        <f t="shared" si="161"/>
        <v>1.527346607968547E-3</v>
      </c>
      <c r="AA247" s="783">
        <f t="shared" si="147"/>
        <v>1812.972462016282</v>
      </c>
      <c r="AB247" s="692">
        <f t="shared" si="162"/>
        <v>358898.52075784199</v>
      </c>
      <c r="AC247" s="786">
        <f t="shared" si="163"/>
        <v>1113846.9265695151</v>
      </c>
      <c r="AD247" s="787">
        <f t="shared" si="148"/>
        <v>62.108114562814492</v>
      </c>
      <c r="AE247" s="788">
        <v>1271.3987</v>
      </c>
      <c r="AF247" s="774">
        <f t="shared" si="164"/>
        <v>1.3223757508221531E-3</v>
      </c>
      <c r="AG247" s="692">
        <f t="shared" si="165"/>
        <v>166464.70598329016</v>
      </c>
      <c r="AH247" s="786">
        <f t="shared" si="166"/>
        <v>166464.70598329016</v>
      </c>
      <c r="AI247" s="692">
        <f t="shared" si="149"/>
        <v>9.282073490760018</v>
      </c>
      <c r="AJ247" s="789">
        <v>839</v>
      </c>
      <c r="AK247" s="777">
        <f t="shared" si="167"/>
        <v>1.1152673318392207E-3</v>
      </c>
      <c r="AL247" s="692">
        <f t="shared" si="168"/>
        <v>23398.877408326087</v>
      </c>
      <c r="AM247" s="790">
        <v>6</v>
      </c>
      <c r="AN247" s="791">
        <f t="shared" si="169"/>
        <v>8.6642599277978296E-4</v>
      </c>
      <c r="AO247" s="778">
        <f t="shared" si="170"/>
        <v>54534.177617328489</v>
      </c>
      <c r="AP247" s="768">
        <v>93</v>
      </c>
      <c r="AQ247" s="792">
        <f t="shared" si="171"/>
        <v>1.2570115563965668E-3</v>
      </c>
      <c r="AR247" s="793">
        <f t="shared" si="172"/>
        <v>105490.97411637493</v>
      </c>
      <c r="AS247" s="794">
        <v>55.166666666666664</v>
      </c>
      <c r="AT247" s="791">
        <f t="shared" si="173"/>
        <v>2.2124559263405901E-3</v>
      </c>
      <c r="AU247" s="795">
        <f t="shared" si="174"/>
        <v>185673.81474859206</v>
      </c>
      <c r="AV247" s="796">
        <v>42</v>
      </c>
      <c r="AW247" s="791">
        <f t="shared" si="175"/>
        <v>5.34841075794621E-4</v>
      </c>
      <c r="AX247" s="795">
        <f t="shared" si="176"/>
        <v>33663.715617359412</v>
      </c>
      <c r="AY247" s="786">
        <f t="shared" si="177"/>
        <v>402761.55950798094</v>
      </c>
      <c r="AZ247" s="787">
        <f t="shared" si="150"/>
        <v>22.457988151443121</v>
      </c>
      <c r="BA247" s="797">
        <f t="shared" si="154"/>
        <v>2084309.0868760822</v>
      </c>
      <c r="BB247" s="775">
        <v>2187459</v>
      </c>
      <c r="BC247" s="775">
        <f t="shared" si="178"/>
        <v>103149.91312391777</v>
      </c>
      <c r="BD247" s="775">
        <f t="shared" si="179"/>
        <v>0</v>
      </c>
      <c r="BE247" s="798">
        <f t="shared" si="180"/>
        <v>0</v>
      </c>
      <c r="BF247" s="775">
        <f t="shared" si="181"/>
        <v>0</v>
      </c>
      <c r="BG247" s="797">
        <f t="shared" si="182"/>
        <v>2187459</v>
      </c>
      <c r="BH247" s="799">
        <v>6</v>
      </c>
      <c r="BI247" s="692">
        <f t="shared" si="191"/>
        <v>0</v>
      </c>
      <c r="BJ247" s="800">
        <v>1035</v>
      </c>
      <c r="BK247" s="778">
        <f t="shared" si="183"/>
        <v>0</v>
      </c>
      <c r="BL247" s="786">
        <f t="shared" si="190"/>
        <v>2187459</v>
      </c>
      <c r="BM247" s="692">
        <f t="shared" si="184"/>
        <v>0</v>
      </c>
      <c r="BN247" s="801">
        <f t="shared" si="185"/>
        <v>0</v>
      </c>
      <c r="BO247" s="787">
        <f t="shared" si="186"/>
        <v>0</v>
      </c>
      <c r="BP247" s="802">
        <f t="shared" si="187"/>
        <v>2187459</v>
      </c>
      <c r="BQ247" s="803">
        <f t="shared" si="151"/>
        <v>121.97273335563733</v>
      </c>
      <c r="BR247" s="682"/>
      <c r="BS247" s="618"/>
    </row>
    <row r="248" spans="1:71" ht="15.75">
      <c r="A248" s="805" t="s">
        <v>3911</v>
      </c>
      <c r="B248" s="767" t="s">
        <v>3912</v>
      </c>
      <c r="C248" s="768">
        <v>18876</v>
      </c>
      <c r="D248" s="769">
        <v>0</v>
      </c>
      <c r="E248" s="770">
        <v>0</v>
      </c>
      <c r="F248" s="771">
        <v>0</v>
      </c>
      <c r="G248" s="770">
        <v>0</v>
      </c>
      <c r="H248" s="771">
        <v>0</v>
      </c>
      <c r="I248" s="770">
        <f t="shared" si="188"/>
        <v>0</v>
      </c>
      <c r="J248" s="772">
        <f t="shared" si="155"/>
        <v>0</v>
      </c>
      <c r="K248" s="773">
        <v>4636</v>
      </c>
      <c r="L248" s="774">
        <f t="shared" si="156"/>
        <v>1.6731515122424092E-3</v>
      </c>
      <c r="M248" s="775">
        <f t="shared" si="189"/>
        <v>140414.28813646795</v>
      </c>
      <c r="N248" s="806">
        <v>360</v>
      </c>
      <c r="O248" s="777">
        <f t="shared" si="157"/>
        <v>4.0940866604421386E-4</v>
      </c>
      <c r="P248" s="778">
        <f t="shared" si="158"/>
        <v>34358.410448109156</v>
      </c>
      <c r="Q248" s="786">
        <f t="shared" si="144"/>
        <v>174772.6985845771</v>
      </c>
      <c r="R248" s="692">
        <f t="shared" si="145"/>
        <v>9.2589901771867495</v>
      </c>
      <c r="S248" s="807">
        <v>68422142.000000015</v>
      </c>
      <c r="T248" s="782">
        <f t="shared" si="152"/>
        <v>5.207427969735293</v>
      </c>
      <c r="U248" s="777">
        <f t="shared" si="159"/>
        <v>2.8306157047143623E-3</v>
      </c>
      <c r="V248" s="783">
        <f t="shared" si="146"/>
        <v>3624.8221021402846</v>
      </c>
      <c r="W248" s="778">
        <f t="shared" si="160"/>
        <v>1128367.4608794178</v>
      </c>
      <c r="X248" s="784">
        <v>13216757.2162</v>
      </c>
      <c r="Y248" s="782">
        <f t="shared" si="153"/>
        <v>26.958456614703721</v>
      </c>
      <c r="Z248" s="782">
        <f t="shared" si="161"/>
        <v>4.1624274004852238E-3</v>
      </c>
      <c r="AA248" s="783">
        <f t="shared" si="147"/>
        <v>700.18845180122901</v>
      </c>
      <c r="AB248" s="692">
        <f t="shared" si="162"/>
        <v>978094.31664172746</v>
      </c>
      <c r="AC248" s="786">
        <f t="shared" si="163"/>
        <v>2106461.7775211455</v>
      </c>
      <c r="AD248" s="787">
        <f t="shared" si="148"/>
        <v>111.59471167202508</v>
      </c>
      <c r="AE248" s="788">
        <v>4262.4048000000003</v>
      </c>
      <c r="AF248" s="774">
        <f t="shared" si="164"/>
        <v>4.433306993084034E-3</v>
      </c>
      <c r="AG248" s="692">
        <f t="shared" si="165"/>
        <v>558078.25020881707</v>
      </c>
      <c r="AH248" s="786">
        <f t="shared" si="166"/>
        <v>558078.25020881707</v>
      </c>
      <c r="AI248" s="692">
        <f t="shared" si="149"/>
        <v>29.565493229964879</v>
      </c>
      <c r="AJ248" s="789">
        <v>1920</v>
      </c>
      <c r="AK248" s="777">
        <f t="shared" si="167"/>
        <v>2.5522208309073941E-3</v>
      </c>
      <c r="AL248" s="692">
        <f t="shared" si="168"/>
        <v>53546.894665060892</v>
      </c>
      <c r="AM248" s="790">
        <v>8.3333333333333339</v>
      </c>
      <c r="AN248" s="791">
        <f t="shared" si="169"/>
        <v>1.2033694344163652E-3</v>
      </c>
      <c r="AO248" s="778">
        <f t="shared" si="170"/>
        <v>75741.913357400685</v>
      </c>
      <c r="AP248" s="768">
        <v>159</v>
      </c>
      <c r="AQ248" s="792">
        <f t="shared" si="171"/>
        <v>2.1490842738392918E-3</v>
      </c>
      <c r="AR248" s="793">
        <f t="shared" si="172"/>
        <v>180355.536392512</v>
      </c>
      <c r="AS248" s="794">
        <v>39.25</v>
      </c>
      <c r="AT248" s="791">
        <f t="shared" si="173"/>
        <v>1.5741189445716282E-3</v>
      </c>
      <c r="AU248" s="795">
        <f t="shared" si="174"/>
        <v>132103.27303109795</v>
      </c>
      <c r="AV248" s="796">
        <v>80</v>
      </c>
      <c r="AW248" s="791">
        <f t="shared" si="175"/>
        <v>1.0187449062754685E-3</v>
      </c>
      <c r="AX248" s="795">
        <f t="shared" si="176"/>
        <v>64121.36308068459</v>
      </c>
      <c r="AY248" s="786">
        <f t="shared" si="177"/>
        <v>505868.98052675615</v>
      </c>
      <c r="AZ248" s="787">
        <f t="shared" si="150"/>
        <v>26.799585745219122</v>
      </c>
      <c r="BA248" s="797">
        <f t="shared" si="154"/>
        <v>3345181.7068412956</v>
      </c>
      <c r="BB248" s="775">
        <v>2351544</v>
      </c>
      <c r="BC248" s="775">
        <f t="shared" si="178"/>
        <v>0</v>
      </c>
      <c r="BD248" s="775">
        <f t="shared" si="179"/>
        <v>993637.70684129559</v>
      </c>
      <c r="BE248" s="798">
        <f t="shared" si="180"/>
        <v>1.5461012383572567E-3</v>
      </c>
      <c r="BF248" s="775">
        <f t="shared" si="181"/>
        <v>-2046.8557500115999</v>
      </c>
      <c r="BG248" s="797">
        <f t="shared" si="182"/>
        <v>3343134.8510912838</v>
      </c>
      <c r="BH248" s="799">
        <v>7.5</v>
      </c>
      <c r="BI248" s="692">
        <f t="shared" si="191"/>
        <v>0</v>
      </c>
      <c r="BJ248" s="800">
        <v>1450</v>
      </c>
      <c r="BK248" s="778">
        <f t="shared" si="183"/>
        <v>0</v>
      </c>
      <c r="BL248" s="786">
        <f t="shared" si="190"/>
        <v>3343134.8510912838</v>
      </c>
      <c r="BM248" s="692">
        <f t="shared" si="184"/>
        <v>3343134.8510912838</v>
      </c>
      <c r="BN248" s="801">
        <f t="shared" si="185"/>
        <v>1.6335065004717286E-3</v>
      </c>
      <c r="BO248" s="787">
        <f t="shared" si="186"/>
        <v>8074.1469851489437</v>
      </c>
      <c r="BP248" s="802">
        <f t="shared" si="187"/>
        <v>3351209</v>
      </c>
      <c r="BQ248" s="803">
        <f t="shared" si="151"/>
        <v>177.53809069718162</v>
      </c>
      <c r="BR248" s="682"/>
      <c r="BS248" s="618"/>
    </row>
    <row r="249" spans="1:71" ht="15.75">
      <c r="A249" s="805" t="s">
        <v>3913</v>
      </c>
      <c r="B249" s="767" t="s">
        <v>3914</v>
      </c>
      <c r="C249" s="768">
        <v>20349</v>
      </c>
      <c r="D249" s="769">
        <v>0</v>
      </c>
      <c r="E249" s="770">
        <v>0</v>
      </c>
      <c r="F249" s="771">
        <v>0</v>
      </c>
      <c r="G249" s="770">
        <v>0</v>
      </c>
      <c r="H249" s="771">
        <v>0</v>
      </c>
      <c r="I249" s="770">
        <f t="shared" si="188"/>
        <v>0</v>
      </c>
      <c r="J249" s="772">
        <f t="shared" si="155"/>
        <v>0</v>
      </c>
      <c r="K249" s="773">
        <v>7700</v>
      </c>
      <c r="L249" s="774">
        <f t="shared" si="156"/>
        <v>2.7789617438021032E-3</v>
      </c>
      <c r="M249" s="775">
        <f t="shared" si="189"/>
        <v>233216.13862182986</v>
      </c>
      <c r="N249" s="806">
        <v>4253</v>
      </c>
      <c r="O249" s="777">
        <f t="shared" si="157"/>
        <v>4.8367084907945598E-3</v>
      </c>
      <c r="P249" s="778">
        <f t="shared" si="158"/>
        <v>405906.4434328007</v>
      </c>
      <c r="Q249" s="786">
        <f t="shared" si="144"/>
        <v>639122.58205463062</v>
      </c>
      <c r="R249" s="692">
        <f t="shared" si="145"/>
        <v>31.408058482216848</v>
      </c>
      <c r="S249" s="807">
        <v>83793429.159999996</v>
      </c>
      <c r="T249" s="782">
        <f t="shared" si="152"/>
        <v>4.9416977578197496</v>
      </c>
      <c r="U249" s="777">
        <f t="shared" si="159"/>
        <v>2.6861720147705439E-3</v>
      </c>
      <c r="V249" s="783">
        <f t="shared" si="146"/>
        <v>4117.8155761953903</v>
      </c>
      <c r="W249" s="778">
        <f t="shared" si="160"/>
        <v>1070787.9175346573</v>
      </c>
      <c r="X249" s="784">
        <v>19125401.894099999</v>
      </c>
      <c r="Y249" s="782">
        <f t="shared" si="153"/>
        <v>21.650881026857807</v>
      </c>
      <c r="Z249" s="782">
        <f t="shared" si="161"/>
        <v>3.3429295199965225E-3</v>
      </c>
      <c r="AA249" s="783">
        <f t="shared" si="147"/>
        <v>939.86937412649263</v>
      </c>
      <c r="AB249" s="692">
        <f t="shared" si="162"/>
        <v>785527.30170412106</v>
      </c>
      <c r="AC249" s="786">
        <f t="shared" si="163"/>
        <v>1856315.2192387783</v>
      </c>
      <c r="AD249" s="787">
        <f t="shared" si="148"/>
        <v>91.223903839932106</v>
      </c>
      <c r="AE249" s="788">
        <v>2235.7374</v>
      </c>
      <c r="AF249" s="774">
        <f t="shared" si="164"/>
        <v>2.3253798536730995E-3</v>
      </c>
      <c r="AG249" s="692">
        <f t="shared" si="165"/>
        <v>292725.93164272199</v>
      </c>
      <c r="AH249" s="786">
        <f t="shared" si="166"/>
        <v>292725.93164272199</v>
      </c>
      <c r="AI249" s="692">
        <f t="shared" si="149"/>
        <v>14.385273558539584</v>
      </c>
      <c r="AJ249" s="789">
        <v>2229</v>
      </c>
      <c r="AK249" s="777">
        <f t="shared" si="167"/>
        <v>2.9629688708815529E-3</v>
      </c>
      <c r="AL249" s="692">
        <f t="shared" si="168"/>
        <v>62164.598025219129</v>
      </c>
      <c r="AM249" s="790">
        <v>5</v>
      </c>
      <c r="AN249" s="791">
        <f t="shared" si="169"/>
        <v>7.2202166064981913E-4</v>
      </c>
      <c r="AO249" s="778">
        <f t="shared" si="170"/>
        <v>45445.148014440412</v>
      </c>
      <c r="AP249" s="768">
        <v>151</v>
      </c>
      <c r="AQ249" s="792">
        <f t="shared" si="171"/>
        <v>2.040954247482598E-3</v>
      </c>
      <c r="AR249" s="793">
        <f t="shared" si="172"/>
        <v>171281.0439954045</v>
      </c>
      <c r="AS249" s="794">
        <v>42.277777777777779</v>
      </c>
      <c r="AT249" s="791">
        <f t="shared" si="173"/>
        <v>1.6955477945067362E-3</v>
      </c>
      <c r="AU249" s="795">
        <f t="shared" si="174"/>
        <v>142293.8298325061</v>
      </c>
      <c r="AV249" s="796">
        <v>44</v>
      </c>
      <c r="AW249" s="791">
        <f t="shared" si="175"/>
        <v>5.6030969845150772E-4</v>
      </c>
      <c r="AX249" s="795">
        <f t="shared" si="176"/>
        <v>35266.749694376529</v>
      </c>
      <c r="AY249" s="786">
        <f t="shared" si="177"/>
        <v>456451.36956194666</v>
      </c>
      <c r="AZ249" s="787">
        <f t="shared" si="150"/>
        <v>22.431144997884253</v>
      </c>
      <c r="BA249" s="797">
        <f t="shared" si="154"/>
        <v>3244615.1024980773</v>
      </c>
      <c r="BB249" s="775">
        <v>2547700</v>
      </c>
      <c r="BC249" s="775">
        <f t="shared" si="178"/>
        <v>0</v>
      </c>
      <c r="BD249" s="775">
        <f t="shared" si="179"/>
        <v>696915.10249807732</v>
      </c>
      <c r="BE249" s="798">
        <f t="shared" si="180"/>
        <v>1.0844005773768919E-3</v>
      </c>
      <c r="BF249" s="775">
        <f t="shared" si="181"/>
        <v>-1435.6185106469111</v>
      </c>
      <c r="BG249" s="797">
        <f t="shared" si="182"/>
        <v>3243179.4839874306</v>
      </c>
      <c r="BH249" s="799">
        <v>7.5</v>
      </c>
      <c r="BI249" s="692">
        <f t="shared" si="191"/>
        <v>0</v>
      </c>
      <c r="BJ249" s="800">
        <v>1400</v>
      </c>
      <c r="BK249" s="778">
        <f t="shared" si="183"/>
        <v>0</v>
      </c>
      <c r="BL249" s="786">
        <f t="shared" si="190"/>
        <v>3243179.4839874306</v>
      </c>
      <c r="BM249" s="692">
        <f t="shared" si="184"/>
        <v>3243179.4839874306</v>
      </c>
      <c r="BN249" s="801">
        <f t="shared" si="185"/>
        <v>1.5846667888854955E-3</v>
      </c>
      <c r="BO249" s="787">
        <f t="shared" si="186"/>
        <v>7832.7405322541135</v>
      </c>
      <c r="BP249" s="802">
        <f t="shared" si="187"/>
        <v>3251012</v>
      </c>
      <c r="BQ249" s="803">
        <f t="shared" si="151"/>
        <v>159.76274018379283</v>
      </c>
      <c r="BR249" s="682"/>
      <c r="BS249" s="618"/>
    </row>
    <row r="250" spans="1:71" ht="15.75">
      <c r="A250" s="766" t="s">
        <v>3915</v>
      </c>
      <c r="B250" s="767" t="s">
        <v>3916</v>
      </c>
      <c r="C250" s="768">
        <v>6640</v>
      </c>
      <c r="D250" s="769">
        <v>0</v>
      </c>
      <c r="E250" s="770">
        <v>0</v>
      </c>
      <c r="F250" s="771">
        <v>0</v>
      </c>
      <c r="G250" s="770">
        <v>0</v>
      </c>
      <c r="H250" s="771">
        <v>0</v>
      </c>
      <c r="I250" s="770">
        <f t="shared" si="188"/>
        <v>0</v>
      </c>
      <c r="J250" s="772">
        <f t="shared" si="155"/>
        <v>0</v>
      </c>
      <c r="K250" s="773">
        <v>1637</v>
      </c>
      <c r="L250" s="774">
        <f t="shared" si="156"/>
        <v>5.9080004864987574E-4</v>
      </c>
      <c r="M250" s="775">
        <f t="shared" si="189"/>
        <v>49581.14531479682</v>
      </c>
      <c r="N250" s="806">
        <v>76</v>
      </c>
      <c r="O250" s="777">
        <f t="shared" si="157"/>
        <v>8.6430718387111812E-5</v>
      </c>
      <c r="P250" s="778">
        <f t="shared" si="158"/>
        <v>7253.4422057119327</v>
      </c>
      <c r="Q250" s="786">
        <f t="shared" si="144"/>
        <v>56834.58752050875</v>
      </c>
      <c r="R250" s="692">
        <f t="shared" si="145"/>
        <v>8.5594258314019207</v>
      </c>
      <c r="S250" s="807">
        <v>19922265.449999999</v>
      </c>
      <c r="T250" s="782">
        <f t="shared" si="152"/>
        <v>2.213081645290496</v>
      </c>
      <c r="U250" s="777">
        <f t="shared" si="159"/>
        <v>1.2029707750893408E-3</v>
      </c>
      <c r="V250" s="783">
        <f t="shared" si="146"/>
        <v>3000.3411822289154</v>
      </c>
      <c r="W250" s="778">
        <f t="shared" si="160"/>
        <v>479539.86715292366</v>
      </c>
      <c r="X250" s="784">
        <v>4252710.0544999996</v>
      </c>
      <c r="Y250" s="782">
        <f t="shared" si="153"/>
        <v>10.367412646283432</v>
      </c>
      <c r="Z250" s="782">
        <f t="shared" si="161"/>
        <v>1.6007445488363111E-3</v>
      </c>
      <c r="AA250" s="783">
        <f t="shared" si="147"/>
        <v>640.46838170180717</v>
      </c>
      <c r="AB250" s="692">
        <f t="shared" si="162"/>
        <v>376145.69456022402</v>
      </c>
      <c r="AC250" s="786">
        <f t="shared" si="163"/>
        <v>855685.56171314768</v>
      </c>
      <c r="AD250" s="787">
        <f t="shared" si="148"/>
        <v>128.86830748691983</v>
      </c>
      <c r="AE250" s="788">
        <v>6628.7919000000002</v>
      </c>
      <c r="AF250" s="774">
        <f t="shared" si="164"/>
        <v>6.894574979356442E-3</v>
      </c>
      <c r="AG250" s="692">
        <f t="shared" si="165"/>
        <v>867910.19580082572</v>
      </c>
      <c r="AH250" s="786">
        <f t="shared" si="166"/>
        <v>867910.19580082572</v>
      </c>
      <c r="AI250" s="692">
        <f t="shared" si="149"/>
        <v>130.70936683747377</v>
      </c>
      <c r="AJ250" s="789">
        <v>885</v>
      </c>
      <c r="AK250" s="777">
        <f t="shared" si="167"/>
        <v>1.176414289246377E-3</v>
      </c>
      <c r="AL250" s="692">
        <f t="shared" si="168"/>
        <v>24681.771759676507</v>
      </c>
      <c r="AM250" s="790">
        <v>3.3333333333333335</v>
      </c>
      <c r="AN250" s="791">
        <f t="shared" si="169"/>
        <v>4.8134777376654609E-4</v>
      </c>
      <c r="AO250" s="778">
        <f t="shared" si="170"/>
        <v>30296.765342960272</v>
      </c>
      <c r="AP250" s="768">
        <v>71</v>
      </c>
      <c r="AQ250" s="792">
        <f t="shared" si="171"/>
        <v>9.5965398391565856E-4</v>
      </c>
      <c r="AR250" s="793">
        <f t="shared" si="172"/>
        <v>80536.120024329255</v>
      </c>
      <c r="AS250" s="794">
        <v>18.972222222222218</v>
      </c>
      <c r="AT250" s="791">
        <f t="shared" si="173"/>
        <v>7.6087985785026316E-4</v>
      </c>
      <c r="AU250" s="795">
        <f t="shared" si="174"/>
        <v>63854.589865704096</v>
      </c>
      <c r="AV250" s="796">
        <v>0</v>
      </c>
      <c r="AW250" s="791">
        <f t="shared" si="175"/>
        <v>0</v>
      </c>
      <c r="AX250" s="795">
        <f t="shared" si="176"/>
        <v>0</v>
      </c>
      <c r="AY250" s="786">
        <f t="shared" si="177"/>
        <v>199369.24699267015</v>
      </c>
      <c r="AZ250" s="787">
        <f t="shared" si="150"/>
        <v>30.025489004920203</v>
      </c>
      <c r="BA250" s="797">
        <f t="shared" si="154"/>
        <v>1979799.5920271524</v>
      </c>
      <c r="BB250" s="775">
        <v>1084005</v>
      </c>
      <c r="BC250" s="775">
        <f t="shared" si="178"/>
        <v>0</v>
      </c>
      <c r="BD250" s="775">
        <f t="shared" si="179"/>
        <v>895794.59202715242</v>
      </c>
      <c r="BE250" s="798">
        <f t="shared" si="180"/>
        <v>1.393857256534373E-3</v>
      </c>
      <c r="BF250" s="775">
        <f t="shared" si="181"/>
        <v>-1845.3026680608145</v>
      </c>
      <c r="BG250" s="797">
        <f t="shared" si="182"/>
        <v>1977954.2893590915</v>
      </c>
      <c r="BH250" s="799">
        <v>7</v>
      </c>
      <c r="BI250" s="692">
        <f t="shared" si="191"/>
        <v>0</v>
      </c>
      <c r="BJ250" s="800">
        <v>1200</v>
      </c>
      <c r="BK250" s="778">
        <f t="shared" si="183"/>
        <v>0</v>
      </c>
      <c r="BL250" s="786">
        <f t="shared" si="190"/>
        <v>1977954.2893590915</v>
      </c>
      <c r="BM250" s="692">
        <f t="shared" si="184"/>
        <v>1977954.2893590915</v>
      </c>
      <c r="BN250" s="801">
        <f t="shared" si="185"/>
        <v>9.6645852866190365E-4</v>
      </c>
      <c r="BO250" s="787">
        <f t="shared" si="186"/>
        <v>4777.0414217595871</v>
      </c>
      <c r="BP250" s="802">
        <f t="shared" si="187"/>
        <v>1982731</v>
      </c>
      <c r="BQ250" s="803">
        <f t="shared" si="151"/>
        <v>298.60406626506023</v>
      </c>
      <c r="BR250" s="682"/>
      <c r="BS250" s="618"/>
    </row>
    <row r="251" spans="1:71" ht="15.75">
      <c r="A251" s="805" t="s">
        <v>3917</v>
      </c>
      <c r="B251" s="767" t="s">
        <v>3918</v>
      </c>
      <c r="C251" s="768">
        <v>9985</v>
      </c>
      <c r="D251" s="769">
        <v>0</v>
      </c>
      <c r="E251" s="770">
        <v>0</v>
      </c>
      <c r="F251" s="771">
        <v>0</v>
      </c>
      <c r="G251" s="770">
        <v>0</v>
      </c>
      <c r="H251" s="771">
        <v>0</v>
      </c>
      <c r="I251" s="770">
        <f t="shared" si="188"/>
        <v>0</v>
      </c>
      <c r="J251" s="772">
        <f t="shared" si="155"/>
        <v>0</v>
      </c>
      <c r="K251" s="773">
        <v>2823</v>
      </c>
      <c r="L251" s="774">
        <f t="shared" si="156"/>
        <v>1.018832338019914E-3</v>
      </c>
      <c r="M251" s="775">
        <f t="shared" si="189"/>
        <v>85502.488224600747</v>
      </c>
      <c r="N251" s="806">
        <v>112</v>
      </c>
      <c r="O251" s="777">
        <f t="shared" si="157"/>
        <v>1.273715849915332E-4</v>
      </c>
      <c r="P251" s="778">
        <f t="shared" si="158"/>
        <v>10689.283250522849</v>
      </c>
      <c r="Q251" s="786">
        <f t="shared" si="144"/>
        <v>96191.771475123591</v>
      </c>
      <c r="R251" s="692">
        <f t="shared" si="145"/>
        <v>9.6336275888957026</v>
      </c>
      <c r="S251" s="807">
        <v>37123918.789999992</v>
      </c>
      <c r="T251" s="782">
        <f t="shared" si="152"/>
        <v>2.6856061603834798</v>
      </c>
      <c r="U251" s="777">
        <f t="shared" si="159"/>
        <v>1.4598222036752515E-3</v>
      </c>
      <c r="V251" s="783">
        <f t="shared" si="146"/>
        <v>3717.9688322483717</v>
      </c>
      <c r="W251" s="778">
        <f t="shared" si="160"/>
        <v>581928.47250618238</v>
      </c>
      <c r="X251" s="784">
        <v>7378902.0734000001</v>
      </c>
      <c r="Y251" s="782">
        <f t="shared" si="153"/>
        <v>13.511525699657485</v>
      </c>
      <c r="Z251" s="782">
        <f t="shared" si="161"/>
        <v>2.0862004675720079E-3</v>
      </c>
      <c r="AA251" s="783">
        <f t="shared" si="147"/>
        <v>738.99870539809717</v>
      </c>
      <c r="AB251" s="692">
        <f t="shared" si="162"/>
        <v>490218.95744527091</v>
      </c>
      <c r="AC251" s="786">
        <f t="shared" si="163"/>
        <v>1072147.4299514533</v>
      </c>
      <c r="AD251" s="787">
        <f t="shared" si="148"/>
        <v>107.37580670520315</v>
      </c>
      <c r="AE251" s="788">
        <v>2061.0355</v>
      </c>
      <c r="AF251" s="774">
        <f t="shared" si="164"/>
        <v>2.1436732370291177E-3</v>
      </c>
      <c r="AG251" s="692">
        <f t="shared" si="165"/>
        <v>269852.14671733067</v>
      </c>
      <c r="AH251" s="786">
        <f t="shared" si="166"/>
        <v>269852.14671733067</v>
      </c>
      <c r="AI251" s="692">
        <f t="shared" si="149"/>
        <v>27.025753301685597</v>
      </c>
      <c r="AJ251" s="789">
        <v>1140</v>
      </c>
      <c r="AK251" s="777">
        <f t="shared" si="167"/>
        <v>1.5153811183512653E-3</v>
      </c>
      <c r="AL251" s="692">
        <f t="shared" si="168"/>
        <v>31793.468707379907</v>
      </c>
      <c r="AM251" s="790">
        <v>3</v>
      </c>
      <c r="AN251" s="791">
        <f t="shared" si="169"/>
        <v>4.3321299638989148E-4</v>
      </c>
      <c r="AO251" s="778">
        <f t="shared" si="170"/>
        <v>27267.088808664244</v>
      </c>
      <c r="AP251" s="768">
        <v>97</v>
      </c>
      <c r="AQ251" s="792">
        <f t="shared" si="171"/>
        <v>1.3110765695749139E-3</v>
      </c>
      <c r="AR251" s="793">
        <f t="shared" si="172"/>
        <v>110028.22031492871</v>
      </c>
      <c r="AS251" s="794">
        <v>9.75</v>
      </c>
      <c r="AT251" s="791">
        <f t="shared" si="173"/>
        <v>3.9102317731397134E-4</v>
      </c>
      <c r="AU251" s="795">
        <f t="shared" si="174"/>
        <v>32815.462727470192</v>
      </c>
      <c r="AV251" s="796">
        <v>18</v>
      </c>
      <c r="AW251" s="791">
        <f t="shared" si="175"/>
        <v>2.2921760391198044E-4</v>
      </c>
      <c r="AX251" s="795">
        <f t="shared" si="176"/>
        <v>14427.306693154034</v>
      </c>
      <c r="AY251" s="786">
        <f t="shared" si="177"/>
        <v>216331.54725159708</v>
      </c>
      <c r="AZ251" s="787">
        <f t="shared" si="150"/>
        <v>21.665653204967157</v>
      </c>
      <c r="BA251" s="797">
        <f t="shared" si="154"/>
        <v>1654522.8953955045</v>
      </c>
      <c r="BB251" s="775">
        <v>1151877</v>
      </c>
      <c r="BC251" s="775">
        <f t="shared" si="178"/>
        <v>0</v>
      </c>
      <c r="BD251" s="775">
        <f t="shared" si="179"/>
        <v>502645.89539550454</v>
      </c>
      <c r="BE251" s="798">
        <f t="shared" si="180"/>
        <v>7.8211750215947387E-4</v>
      </c>
      <c r="BF251" s="775">
        <f t="shared" si="181"/>
        <v>-1035.4313590620864</v>
      </c>
      <c r="BG251" s="797">
        <f t="shared" si="182"/>
        <v>1653487.4640364426</v>
      </c>
      <c r="BH251" s="799">
        <v>8.5</v>
      </c>
      <c r="BI251" s="692">
        <f t="shared" si="191"/>
        <v>0</v>
      </c>
      <c r="BJ251" s="800">
        <v>1495</v>
      </c>
      <c r="BK251" s="778">
        <f t="shared" si="183"/>
        <v>0</v>
      </c>
      <c r="BL251" s="786">
        <f t="shared" si="190"/>
        <v>1653487.4640364426</v>
      </c>
      <c r="BM251" s="692">
        <f t="shared" si="184"/>
        <v>1653487.4640364426</v>
      </c>
      <c r="BN251" s="801">
        <f t="shared" si="185"/>
        <v>8.0791910624555677E-4</v>
      </c>
      <c r="BO251" s="787">
        <f t="shared" si="186"/>
        <v>3993.4078095514083</v>
      </c>
      <c r="BP251" s="802">
        <f t="shared" si="187"/>
        <v>1657481</v>
      </c>
      <c r="BQ251" s="803">
        <f t="shared" si="151"/>
        <v>165.9970956434652</v>
      </c>
      <c r="BR251" s="682"/>
      <c r="BS251" s="618"/>
    </row>
    <row r="252" spans="1:71" ht="15.75">
      <c r="A252" s="805" t="s">
        <v>3919</v>
      </c>
      <c r="B252" s="767" t="s">
        <v>3920</v>
      </c>
      <c r="C252" s="768">
        <v>8378</v>
      </c>
      <c r="D252" s="769">
        <v>0</v>
      </c>
      <c r="E252" s="770">
        <v>0</v>
      </c>
      <c r="F252" s="771">
        <v>0</v>
      </c>
      <c r="G252" s="770">
        <v>0</v>
      </c>
      <c r="H252" s="771">
        <v>0</v>
      </c>
      <c r="I252" s="770">
        <f t="shared" si="188"/>
        <v>0</v>
      </c>
      <c r="J252" s="772">
        <f t="shared" si="155"/>
        <v>0</v>
      </c>
      <c r="K252" s="773">
        <v>3880</v>
      </c>
      <c r="L252" s="774">
        <f t="shared" si="156"/>
        <v>1.4003079955782027E-3</v>
      </c>
      <c r="M252" s="775">
        <f t="shared" si="189"/>
        <v>117516.70361723375</v>
      </c>
      <c r="N252" s="806">
        <v>165</v>
      </c>
      <c r="O252" s="777">
        <f t="shared" si="157"/>
        <v>1.8764563860359802E-4</v>
      </c>
      <c r="P252" s="778">
        <f t="shared" si="158"/>
        <v>15747.604788716697</v>
      </c>
      <c r="Q252" s="786">
        <f t="shared" si="144"/>
        <v>133264.30840595046</v>
      </c>
      <c r="R252" s="692">
        <f t="shared" si="145"/>
        <v>15.906458391734359</v>
      </c>
      <c r="S252" s="807">
        <v>54388564.780000009</v>
      </c>
      <c r="T252" s="782">
        <f t="shared" si="152"/>
        <v>1.2905448835416022</v>
      </c>
      <c r="U252" s="777">
        <f t="shared" si="159"/>
        <v>7.0150497255506354E-4</v>
      </c>
      <c r="V252" s="783">
        <f t="shared" si="146"/>
        <v>6491.8315564573895</v>
      </c>
      <c r="W252" s="778">
        <f t="shared" si="160"/>
        <v>279640.70974308351</v>
      </c>
      <c r="X252" s="784">
        <v>14430165.282099999</v>
      </c>
      <c r="Y252" s="782">
        <f t="shared" si="153"/>
        <v>4.8641774108484244</v>
      </c>
      <c r="Z252" s="782">
        <f t="shared" si="161"/>
        <v>7.5103651611471407E-4</v>
      </c>
      <c r="AA252" s="783">
        <f t="shared" si="147"/>
        <v>1722.3878350560992</v>
      </c>
      <c r="AB252" s="692">
        <f t="shared" si="162"/>
        <v>176479.84633115112</v>
      </c>
      <c r="AC252" s="786">
        <f t="shared" si="163"/>
        <v>456120.55607423466</v>
      </c>
      <c r="AD252" s="787">
        <f t="shared" si="148"/>
        <v>54.442654102916528</v>
      </c>
      <c r="AE252" s="788">
        <v>698.46590000000003</v>
      </c>
      <c r="AF252" s="774">
        <f t="shared" si="164"/>
        <v>7.2647106602843859E-4</v>
      </c>
      <c r="AG252" s="692">
        <f t="shared" si="165"/>
        <v>91450.400793121895</v>
      </c>
      <c r="AH252" s="786">
        <f t="shared" si="166"/>
        <v>91450.400793121895</v>
      </c>
      <c r="AI252" s="692">
        <f t="shared" si="149"/>
        <v>10.915540796505359</v>
      </c>
      <c r="AJ252" s="789">
        <v>461</v>
      </c>
      <c r="AK252" s="777">
        <f t="shared" si="167"/>
        <v>6.1279885575432744E-4</v>
      </c>
      <c r="AL252" s="692">
        <f t="shared" si="168"/>
        <v>12856.832521142223</v>
      </c>
      <c r="AM252" s="790">
        <v>1</v>
      </c>
      <c r="AN252" s="791">
        <f t="shared" si="169"/>
        <v>1.4440433212996383E-4</v>
      </c>
      <c r="AO252" s="778">
        <f t="shared" si="170"/>
        <v>9089.0296028880821</v>
      </c>
      <c r="AP252" s="768">
        <v>16</v>
      </c>
      <c r="AQ252" s="792">
        <f t="shared" si="171"/>
        <v>2.1626005271338785E-4</v>
      </c>
      <c r="AR252" s="793">
        <f t="shared" si="172"/>
        <v>18148.984794215045</v>
      </c>
      <c r="AS252" s="794">
        <v>11.638888888888888</v>
      </c>
      <c r="AT252" s="791">
        <f t="shared" si="173"/>
        <v>4.6677695525513955E-4</v>
      </c>
      <c r="AU252" s="795">
        <f t="shared" si="174"/>
        <v>39172.874310000028</v>
      </c>
      <c r="AV252" s="796">
        <v>0</v>
      </c>
      <c r="AW252" s="791">
        <f t="shared" si="175"/>
        <v>0</v>
      </c>
      <c r="AX252" s="795">
        <f t="shared" si="176"/>
        <v>0</v>
      </c>
      <c r="AY252" s="786">
        <f t="shared" si="177"/>
        <v>79267.721228245369</v>
      </c>
      <c r="AZ252" s="787">
        <f t="shared" si="150"/>
        <v>9.4614133717170414</v>
      </c>
      <c r="BA252" s="797">
        <f t="shared" si="154"/>
        <v>760102.9865015524</v>
      </c>
      <c r="BB252" s="775">
        <v>809273</v>
      </c>
      <c r="BC252" s="775">
        <f t="shared" si="178"/>
        <v>49170.013498447603</v>
      </c>
      <c r="BD252" s="775">
        <f t="shared" si="179"/>
        <v>0</v>
      </c>
      <c r="BE252" s="798">
        <f t="shared" si="180"/>
        <v>0</v>
      </c>
      <c r="BF252" s="775">
        <f t="shared" si="181"/>
        <v>0</v>
      </c>
      <c r="BG252" s="797">
        <f t="shared" si="182"/>
        <v>809273</v>
      </c>
      <c r="BH252" s="799">
        <v>5.5</v>
      </c>
      <c r="BI252" s="692">
        <f t="shared" si="191"/>
        <v>0</v>
      </c>
      <c r="BJ252" s="800">
        <v>750</v>
      </c>
      <c r="BK252" s="778">
        <f t="shared" si="183"/>
        <v>0</v>
      </c>
      <c r="BL252" s="786">
        <f t="shared" si="190"/>
        <v>809273</v>
      </c>
      <c r="BM252" s="692">
        <f t="shared" si="184"/>
        <v>0</v>
      </c>
      <c r="BN252" s="801">
        <f t="shared" si="185"/>
        <v>0</v>
      </c>
      <c r="BO252" s="787">
        <f t="shared" si="186"/>
        <v>0</v>
      </c>
      <c r="BP252" s="802">
        <f t="shared" si="187"/>
        <v>809273</v>
      </c>
      <c r="BQ252" s="803">
        <f t="shared" si="151"/>
        <v>96.595010742420627</v>
      </c>
      <c r="BR252" s="682"/>
      <c r="BS252" s="618"/>
    </row>
    <row r="253" spans="1:71" ht="15.75">
      <c r="A253" s="766" t="s">
        <v>3921</v>
      </c>
      <c r="B253" s="767" t="s">
        <v>3922</v>
      </c>
      <c r="C253" s="768">
        <v>72883</v>
      </c>
      <c r="D253" s="769">
        <v>0</v>
      </c>
      <c r="E253" s="770">
        <f>C253/($C$8+$C$149+$C$165+$C$99+$C$82+$C$188+$C$213+$C$236+$C$253+$C$271)*$E$7</f>
        <v>13158908.824479124</v>
      </c>
      <c r="F253" s="771">
        <v>0</v>
      </c>
      <c r="G253" s="770">
        <v>0</v>
      </c>
      <c r="H253" s="771">
        <v>0</v>
      </c>
      <c r="I253" s="770">
        <f t="shared" si="188"/>
        <v>13158908.824479124</v>
      </c>
      <c r="J253" s="772">
        <f t="shared" si="155"/>
        <v>180.54839708133753</v>
      </c>
      <c r="K253" s="773">
        <v>35548</v>
      </c>
      <c r="L253" s="774">
        <f t="shared" si="156"/>
        <v>1.2829419749178853E-2</v>
      </c>
      <c r="M253" s="775">
        <f t="shared" si="189"/>
        <v>1076671.0773673777</v>
      </c>
      <c r="N253" s="806">
        <v>15819</v>
      </c>
      <c r="O253" s="777">
        <f t="shared" si="157"/>
        <v>1.7990099133759499E-2</v>
      </c>
      <c r="P253" s="778">
        <f t="shared" si="158"/>
        <v>1509765.8191073299</v>
      </c>
      <c r="Q253" s="786">
        <f t="shared" si="144"/>
        <v>2586436.8964747079</v>
      </c>
      <c r="R253" s="692">
        <f t="shared" si="145"/>
        <v>35.487519675023087</v>
      </c>
      <c r="S253" s="781">
        <v>240107885.89000002</v>
      </c>
      <c r="T253" s="782">
        <f t="shared" si="152"/>
        <v>22.123103826059012</v>
      </c>
      <c r="U253" s="777">
        <f t="shared" si="159"/>
        <v>1.2025515377460376E-2</v>
      </c>
      <c r="V253" s="783">
        <f t="shared" si="146"/>
        <v>3294.429234389364</v>
      </c>
      <c r="W253" s="778">
        <f t="shared" si="160"/>
        <v>4793727.4670072626</v>
      </c>
      <c r="X253" s="784">
        <v>70674161.841900006</v>
      </c>
      <c r="Y253" s="782">
        <f t="shared" si="153"/>
        <v>75.160872807843603</v>
      </c>
      <c r="Z253" s="782">
        <f t="shared" si="161"/>
        <v>1.1604955019907073E-2</v>
      </c>
      <c r="AA253" s="783">
        <f t="shared" si="147"/>
        <v>969.69336939889968</v>
      </c>
      <c r="AB253" s="692">
        <f t="shared" si="162"/>
        <v>2726952.1982607581</v>
      </c>
      <c r="AC253" s="786">
        <f t="shared" si="163"/>
        <v>7520679.6652680207</v>
      </c>
      <c r="AD253" s="787">
        <f t="shared" si="148"/>
        <v>103.18839325038789</v>
      </c>
      <c r="AE253" s="788">
        <v>5274.1719000000003</v>
      </c>
      <c r="AF253" s="774">
        <f t="shared" si="164"/>
        <v>5.4856411495682687E-3</v>
      </c>
      <c r="AG253" s="692">
        <f t="shared" si="165"/>
        <v>690549.29396957136</v>
      </c>
      <c r="AH253" s="786">
        <f t="shared" si="166"/>
        <v>690549.29396957136</v>
      </c>
      <c r="AI253" s="692">
        <f t="shared" si="149"/>
        <v>9.4747649516289307</v>
      </c>
      <c r="AJ253" s="789">
        <v>10613</v>
      </c>
      <c r="AK253" s="777">
        <f t="shared" si="167"/>
        <v>1.4107666499177175E-2</v>
      </c>
      <c r="AL253" s="692">
        <f t="shared" si="168"/>
        <v>295986.0380626517</v>
      </c>
      <c r="AM253" s="790">
        <v>111</v>
      </c>
      <c r="AN253" s="791">
        <f t="shared" si="169"/>
        <v>1.6028880866425985E-2</v>
      </c>
      <c r="AO253" s="778">
        <f t="shared" si="170"/>
        <v>1008882.2859205771</v>
      </c>
      <c r="AP253" s="768">
        <v>1068</v>
      </c>
      <c r="AQ253" s="792">
        <f t="shared" si="171"/>
        <v>1.4435358518618638E-2</v>
      </c>
      <c r="AR253" s="793">
        <f t="shared" si="172"/>
        <v>1211444.735013854</v>
      </c>
      <c r="AS253" s="794">
        <v>555.19444444444446</v>
      </c>
      <c r="AT253" s="791">
        <f t="shared" si="173"/>
        <v>2.2266040583972493E-2</v>
      </c>
      <c r="AU253" s="795">
        <f t="shared" si="174"/>
        <v>1868611.548529763</v>
      </c>
      <c r="AV253" s="796">
        <v>1221</v>
      </c>
      <c r="AW253" s="791">
        <f t="shared" si="175"/>
        <v>1.554859413202934E-2</v>
      </c>
      <c r="AX253" s="795">
        <f t="shared" si="176"/>
        <v>978652.30401894858</v>
      </c>
      <c r="AY253" s="786">
        <f t="shared" si="177"/>
        <v>5363576.9115457945</v>
      </c>
      <c r="AZ253" s="787">
        <f t="shared" si="150"/>
        <v>73.591604510596355</v>
      </c>
      <c r="BA253" s="797">
        <f t="shared" si="154"/>
        <v>29320151.591737218</v>
      </c>
      <c r="BB253" s="775">
        <v>18704826</v>
      </c>
      <c r="BC253" s="775">
        <f t="shared" si="178"/>
        <v>0</v>
      </c>
      <c r="BD253" s="775">
        <f t="shared" si="179"/>
        <v>10615325.591737218</v>
      </c>
      <c r="BE253" s="798">
        <f t="shared" si="180"/>
        <v>1.6517456946278895E-2</v>
      </c>
      <c r="BF253" s="775">
        <f t="shared" si="181"/>
        <v>-21867.165543429834</v>
      </c>
      <c r="BG253" s="797">
        <f t="shared" si="182"/>
        <v>29298284.426193789</v>
      </c>
      <c r="BH253" s="799">
        <v>8.5</v>
      </c>
      <c r="BI253" s="692">
        <f t="shared" si="191"/>
        <v>0</v>
      </c>
      <c r="BJ253" s="800">
        <v>1325</v>
      </c>
      <c r="BK253" s="778">
        <f t="shared" si="183"/>
        <v>0</v>
      </c>
      <c r="BL253" s="786">
        <f t="shared" si="190"/>
        <v>29298284.426193789</v>
      </c>
      <c r="BM253" s="692">
        <f t="shared" si="184"/>
        <v>29298284.426193789</v>
      </c>
      <c r="BN253" s="801">
        <f t="shared" si="185"/>
        <v>1.4315587074579058E-2</v>
      </c>
      <c r="BO253" s="787">
        <f t="shared" si="186"/>
        <v>70759.531220396369</v>
      </c>
      <c r="BP253" s="802">
        <f t="shared" si="187"/>
        <v>29369044</v>
      </c>
      <c r="BQ253" s="803">
        <f t="shared" si="151"/>
        <v>402.96151365887795</v>
      </c>
      <c r="BR253" s="682"/>
      <c r="BS253" s="618"/>
    </row>
    <row r="254" spans="1:71" ht="15.75">
      <c r="A254" s="766" t="s">
        <v>3923</v>
      </c>
      <c r="B254" s="767" t="s">
        <v>3924</v>
      </c>
      <c r="C254" s="768">
        <v>32246</v>
      </c>
      <c r="D254" s="769">
        <v>0</v>
      </c>
      <c r="E254" s="770">
        <v>0</v>
      </c>
      <c r="F254" s="771">
        <v>0</v>
      </c>
      <c r="G254" s="770">
        <v>0</v>
      </c>
      <c r="H254" s="771">
        <v>0</v>
      </c>
      <c r="I254" s="770">
        <f t="shared" si="188"/>
        <v>0</v>
      </c>
      <c r="J254" s="772">
        <f t="shared" si="155"/>
        <v>0</v>
      </c>
      <c r="K254" s="773">
        <v>8869</v>
      </c>
      <c r="L254" s="774">
        <f t="shared" si="156"/>
        <v>3.2008586630884227E-3</v>
      </c>
      <c r="M254" s="775">
        <f t="shared" si="189"/>
        <v>268622.58875805314</v>
      </c>
      <c r="N254" s="806">
        <v>472.5</v>
      </c>
      <c r="O254" s="777">
        <f t="shared" si="157"/>
        <v>5.3734887418303064E-4</v>
      </c>
      <c r="P254" s="778">
        <f t="shared" si="158"/>
        <v>45095.413713143265</v>
      </c>
      <c r="Q254" s="786">
        <f t="shared" si="144"/>
        <v>313718.00247119641</v>
      </c>
      <c r="R254" s="692">
        <f t="shared" si="145"/>
        <v>9.7288966839668927</v>
      </c>
      <c r="S254" s="807">
        <v>118416307.60000001</v>
      </c>
      <c r="T254" s="782">
        <f t="shared" si="152"/>
        <v>8.7809233126265784</v>
      </c>
      <c r="U254" s="777">
        <f t="shared" si="159"/>
        <v>4.7730702325733216E-3</v>
      </c>
      <c r="V254" s="783">
        <f t="shared" si="146"/>
        <v>3672.2789679340076</v>
      </c>
      <c r="W254" s="778">
        <f t="shared" si="160"/>
        <v>1902687.5071589311</v>
      </c>
      <c r="X254" s="784">
        <v>40913325.087899998</v>
      </c>
      <c r="Y254" s="782">
        <f t="shared" si="153"/>
        <v>25.41481323666649</v>
      </c>
      <c r="Z254" s="782">
        <f t="shared" si="161"/>
        <v>3.9240864752181871E-3</v>
      </c>
      <c r="AA254" s="783">
        <f t="shared" si="147"/>
        <v>1268.787604288904</v>
      </c>
      <c r="AB254" s="692">
        <f t="shared" si="162"/>
        <v>922088.5579828152</v>
      </c>
      <c r="AC254" s="786">
        <f t="shared" si="163"/>
        <v>2824776.0651417463</v>
      </c>
      <c r="AD254" s="787">
        <f t="shared" si="148"/>
        <v>87.600820726345788</v>
      </c>
      <c r="AE254" s="788">
        <v>2762.9897000000001</v>
      </c>
      <c r="AF254" s="774">
        <f t="shared" si="164"/>
        <v>2.873772467323882E-3</v>
      </c>
      <c r="AG254" s="692">
        <f t="shared" si="165"/>
        <v>361759.27193048026</v>
      </c>
      <c r="AH254" s="786">
        <f t="shared" si="166"/>
        <v>361759.27193048026</v>
      </c>
      <c r="AI254" s="692">
        <f t="shared" si="149"/>
        <v>11.218733236075181</v>
      </c>
      <c r="AJ254" s="789">
        <v>3276</v>
      </c>
      <c r="AK254" s="777">
        <f t="shared" si="167"/>
        <v>4.3547267927357414E-3</v>
      </c>
      <c r="AL254" s="692">
        <f t="shared" si="168"/>
        <v>91364.389022260148</v>
      </c>
      <c r="AM254" s="790">
        <v>20.666666666666668</v>
      </c>
      <c r="AN254" s="791">
        <f t="shared" si="169"/>
        <v>2.9843561973525857E-3</v>
      </c>
      <c r="AO254" s="778">
        <f t="shared" si="170"/>
        <v>187839.9451263537</v>
      </c>
      <c r="AP254" s="768">
        <v>419</v>
      </c>
      <c r="AQ254" s="792">
        <f t="shared" si="171"/>
        <v>5.6633101304318445E-3</v>
      </c>
      <c r="AR254" s="793">
        <f t="shared" si="172"/>
        <v>475276.53929850645</v>
      </c>
      <c r="AS254" s="794">
        <v>81.833333333333329</v>
      </c>
      <c r="AT254" s="791">
        <f t="shared" si="173"/>
        <v>3.2819210266864943E-3</v>
      </c>
      <c r="AU254" s="795">
        <f t="shared" si="174"/>
        <v>275425.50767842506</v>
      </c>
      <c r="AV254" s="796">
        <v>507</v>
      </c>
      <c r="AW254" s="791">
        <f t="shared" si="175"/>
        <v>6.4562958435207827E-3</v>
      </c>
      <c r="AX254" s="795">
        <f t="shared" si="176"/>
        <v>406369.13852383866</v>
      </c>
      <c r="AY254" s="786">
        <f t="shared" si="177"/>
        <v>1436275.5196493841</v>
      </c>
      <c r="AZ254" s="787">
        <f t="shared" si="150"/>
        <v>44.541199517750542</v>
      </c>
      <c r="BA254" s="797">
        <f t="shared" si="154"/>
        <v>4936528.8591928072</v>
      </c>
      <c r="BB254" s="775">
        <v>3700971</v>
      </c>
      <c r="BC254" s="775">
        <f t="shared" si="178"/>
        <v>0</v>
      </c>
      <c r="BD254" s="775">
        <f t="shared" si="179"/>
        <v>1235557.8591928072</v>
      </c>
      <c r="BE254" s="798">
        <f t="shared" si="180"/>
        <v>1.9225292307321364E-3</v>
      </c>
      <c r="BF254" s="775">
        <f t="shared" si="181"/>
        <v>-2545.2020300239619</v>
      </c>
      <c r="BG254" s="797">
        <f t="shared" si="182"/>
        <v>4933983.6571627837</v>
      </c>
      <c r="BH254" s="799">
        <v>7.4</v>
      </c>
      <c r="BI254" s="692">
        <f t="shared" si="191"/>
        <v>0</v>
      </c>
      <c r="BJ254" s="800">
        <v>900</v>
      </c>
      <c r="BK254" s="778">
        <f t="shared" si="183"/>
        <v>0</v>
      </c>
      <c r="BL254" s="786">
        <f t="shared" si="190"/>
        <v>4933983.6571627837</v>
      </c>
      <c r="BM254" s="692">
        <f t="shared" si="184"/>
        <v>4933983.6571627837</v>
      </c>
      <c r="BN254" s="801">
        <f t="shared" si="185"/>
        <v>2.4108194063921146E-3</v>
      </c>
      <c r="BO254" s="787">
        <f t="shared" si="186"/>
        <v>11916.273511148082</v>
      </c>
      <c r="BP254" s="802">
        <f t="shared" si="187"/>
        <v>4945900</v>
      </c>
      <c r="BQ254" s="803">
        <f t="shared" si="151"/>
        <v>153.38026421881784</v>
      </c>
      <c r="BR254" s="682"/>
      <c r="BS254" s="618"/>
    </row>
    <row r="255" spans="1:71" ht="15.75">
      <c r="A255" s="805" t="s">
        <v>3925</v>
      </c>
      <c r="B255" s="767" t="s">
        <v>3926</v>
      </c>
      <c r="C255" s="768">
        <v>39747</v>
      </c>
      <c r="D255" s="769">
        <v>0</v>
      </c>
      <c r="E255" s="770">
        <v>0</v>
      </c>
      <c r="F255" s="771">
        <v>0</v>
      </c>
      <c r="G255" s="770">
        <f>C255/($C$10+$C$60+$C$62+$C$67+$C$74+$C$80+$C$94+$C$105+$C$127+$C$141+$C$168+$C$175+$C$201+$C$219+$C$237+$C$255+$C$265+$C$267+$C$268+$C$273+$C$281)*$G$7</f>
        <v>2440980.9764072243</v>
      </c>
      <c r="H255" s="771">
        <v>0</v>
      </c>
      <c r="I255" s="770">
        <f t="shared" si="188"/>
        <v>2440980.9764072243</v>
      </c>
      <c r="J255" s="772">
        <f t="shared" si="155"/>
        <v>61.412961390978545</v>
      </c>
      <c r="K255" s="773">
        <v>19508</v>
      </c>
      <c r="L255" s="774">
        <f t="shared" si="156"/>
        <v>7.0405176231287574E-3</v>
      </c>
      <c r="M255" s="775">
        <f t="shared" si="189"/>
        <v>590854.6015889165</v>
      </c>
      <c r="N255" s="806">
        <v>5778</v>
      </c>
      <c r="O255" s="777">
        <f t="shared" si="157"/>
        <v>6.5710090900096326E-3</v>
      </c>
      <c r="P255" s="778">
        <f t="shared" si="158"/>
        <v>551452.48769215203</v>
      </c>
      <c r="Q255" s="786">
        <f t="shared" si="144"/>
        <v>1142307.0892810686</v>
      </c>
      <c r="R255" s="692">
        <f t="shared" si="145"/>
        <v>28.739454280349928</v>
      </c>
      <c r="S255" s="807">
        <v>131484559.28999999</v>
      </c>
      <c r="T255" s="782">
        <f t="shared" si="152"/>
        <v>12.015281623415328</v>
      </c>
      <c r="U255" s="777">
        <f t="shared" si="159"/>
        <v>6.5311791267146715E-3</v>
      </c>
      <c r="V255" s="783">
        <f t="shared" si="146"/>
        <v>3308.0373182881726</v>
      </c>
      <c r="W255" s="778">
        <f t="shared" si="160"/>
        <v>2603521.9106167401</v>
      </c>
      <c r="X255" s="784">
        <v>38178524.859200001</v>
      </c>
      <c r="Y255" s="782">
        <f t="shared" si="153"/>
        <v>41.379912262883167</v>
      </c>
      <c r="Z255" s="782">
        <f t="shared" si="161"/>
        <v>6.3891224595830727E-3</v>
      </c>
      <c r="AA255" s="783">
        <f t="shared" si="147"/>
        <v>960.53852766749696</v>
      </c>
      <c r="AB255" s="692">
        <f t="shared" si="162"/>
        <v>1501326.9337304812</v>
      </c>
      <c r="AC255" s="786">
        <f t="shared" si="163"/>
        <v>4104848.8443472213</v>
      </c>
      <c r="AD255" s="787">
        <f t="shared" si="148"/>
        <v>103.27443189038723</v>
      </c>
      <c r="AE255" s="788">
        <v>8169.7026999999998</v>
      </c>
      <c r="AF255" s="774">
        <f t="shared" si="164"/>
        <v>8.4972689856504281E-3</v>
      </c>
      <c r="AG255" s="692">
        <f t="shared" si="165"/>
        <v>1069662.221556772</v>
      </c>
      <c r="AH255" s="786">
        <f t="shared" si="166"/>
        <v>1069662.221556772</v>
      </c>
      <c r="AI255" s="692">
        <f t="shared" si="149"/>
        <v>26.911772499981684</v>
      </c>
      <c r="AJ255" s="789">
        <v>6358</v>
      </c>
      <c r="AK255" s="777">
        <f t="shared" si="167"/>
        <v>8.4515729390152155E-3</v>
      </c>
      <c r="AL255" s="692">
        <f t="shared" si="168"/>
        <v>177318.31056273813</v>
      </c>
      <c r="AM255" s="790">
        <v>46.333333333333336</v>
      </c>
      <c r="AN255" s="791">
        <f t="shared" si="169"/>
        <v>6.6907340553549908E-3</v>
      </c>
      <c r="AO255" s="778">
        <f t="shared" si="170"/>
        <v>421125.03826714784</v>
      </c>
      <c r="AP255" s="768">
        <v>544</v>
      </c>
      <c r="AQ255" s="792">
        <f t="shared" si="171"/>
        <v>7.3528417922551865E-3</v>
      </c>
      <c r="AR255" s="793">
        <f t="shared" si="172"/>
        <v>617065.48300331144</v>
      </c>
      <c r="AS255" s="794">
        <v>122.13888888888887</v>
      </c>
      <c r="AT255" s="791">
        <f t="shared" si="173"/>
        <v>4.8983729648134806E-3</v>
      </c>
      <c r="AU255" s="795">
        <f t="shared" si="174"/>
        <v>411081.45188799553</v>
      </c>
      <c r="AV255" s="796">
        <v>761</v>
      </c>
      <c r="AW255" s="791">
        <f t="shared" si="175"/>
        <v>9.6908109209453957E-3</v>
      </c>
      <c r="AX255" s="795">
        <f t="shared" si="176"/>
        <v>609954.46630501223</v>
      </c>
      <c r="AY255" s="786">
        <f t="shared" si="177"/>
        <v>2236544.7500262051</v>
      </c>
      <c r="AZ255" s="787">
        <f t="shared" si="150"/>
        <v>56.269523486708557</v>
      </c>
      <c r="BA255" s="797">
        <f t="shared" si="154"/>
        <v>10994343.881618492</v>
      </c>
      <c r="BB255" s="775">
        <v>6729364</v>
      </c>
      <c r="BC255" s="775">
        <f t="shared" si="178"/>
        <v>0</v>
      </c>
      <c r="BD255" s="775">
        <f t="shared" si="179"/>
        <v>4264979.8816184923</v>
      </c>
      <c r="BE255" s="798">
        <f t="shared" si="180"/>
        <v>6.6363128443477524E-3</v>
      </c>
      <c r="BF255" s="775">
        <f t="shared" si="181"/>
        <v>-8785.6957664439069</v>
      </c>
      <c r="BG255" s="797">
        <f t="shared" si="182"/>
        <v>10985558.185852049</v>
      </c>
      <c r="BH255" s="799">
        <v>8</v>
      </c>
      <c r="BI255" s="692">
        <f t="shared" si="191"/>
        <v>0</v>
      </c>
      <c r="BJ255" s="800">
        <v>1500</v>
      </c>
      <c r="BK255" s="778">
        <f t="shared" si="183"/>
        <v>0</v>
      </c>
      <c r="BL255" s="786">
        <f t="shared" si="190"/>
        <v>10985558.185852049</v>
      </c>
      <c r="BM255" s="692">
        <f t="shared" si="184"/>
        <v>10985558.185852049</v>
      </c>
      <c r="BN255" s="801">
        <f t="shared" si="185"/>
        <v>5.3677106988496252E-3</v>
      </c>
      <c r="BO255" s="787">
        <f t="shared" si="186"/>
        <v>26531.688208006934</v>
      </c>
      <c r="BP255" s="802">
        <f t="shared" si="187"/>
        <v>11012090</v>
      </c>
      <c r="BQ255" s="803">
        <f t="shared" si="151"/>
        <v>277.05462047450123</v>
      </c>
      <c r="BR255" s="682"/>
      <c r="BS255" s="618"/>
    </row>
    <row r="256" spans="1:71" ht="15.75">
      <c r="A256" s="805" t="s">
        <v>3927</v>
      </c>
      <c r="B256" s="767" t="s">
        <v>3928</v>
      </c>
      <c r="C256" s="768">
        <v>2110</v>
      </c>
      <c r="D256" s="769">
        <v>0</v>
      </c>
      <c r="E256" s="770">
        <v>0</v>
      </c>
      <c r="F256" s="771">
        <v>0</v>
      </c>
      <c r="G256" s="770">
        <v>0</v>
      </c>
      <c r="H256" s="771">
        <v>0</v>
      </c>
      <c r="I256" s="770">
        <f t="shared" si="188"/>
        <v>0</v>
      </c>
      <c r="J256" s="772">
        <f t="shared" si="155"/>
        <v>0</v>
      </c>
      <c r="K256" s="773">
        <v>891</v>
      </c>
      <c r="L256" s="774">
        <f t="shared" si="156"/>
        <v>3.2156557321138624E-4</v>
      </c>
      <c r="M256" s="775">
        <f t="shared" si="189"/>
        <v>26986.438897668882</v>
      </c>
      <c r="N256" s="806">
        <v>87.5</v>
      </c>
      <c r="O256" s="777">
        <f t="shared" si="157"/>
        <v>9.9509050774635309E-5</v>
      </c>
      <c r="P256" s="778">
        <f t="shared" si="158"/>
        <v>8351.0025394709755</v>
      </c>
      <c r="Q256" s="786">
        <f t="shared" si="144"/>
        <v>35337.44143713986</v>
      </c>
      <c r="R256" s="692">
        <f t="shared" si="145"/>
        <v>16.747602576843537</v>
      </c>
      <c r="S256" s="807">
        <v>5928010.8999999994</v>
      </c>
      <c r="T256" s="782">
        <f t="shared" si="152"/>
        <v>0.75102763390667859</v>
      </c>
      <c r="U256" s="777">
        <f t="shared" si="159"/>
        <v>4.0823812207598843E-4</v>
      </c>
      <c r="V256" s="783">
        <f t="shared" si="146"/>
        <v>2809.483838862559</v>
      </c>
      <c r="W256" s="778">
        <f t="shared" si="160"/>
        <v>162735.83604933342</v>
      </c>
      <c r="X256" s="784">
        <v>1976559.7671000001</v>
      </c>
      <c r="Y256" s="782">
        <f t="shared" si="153"/>
        <v>2.2524489641576091</v>
      </c>
      <c r="Z256" s="782">
        <f t="shared" si="161"/>
        <v>3.4778160414014603E-4</v>
      </c>
      <c r="AA256" s="783">
        <f t="shared" si="147"/>
        <v>936.75818345971561</v>
      </c>
      <c r="AB256" s="692">
        <f t="shared" si="162"/>
        <v>81722.316742957802</v>
      </c>
      <c r="AC256" s="786">
        <f t="shared" si="163"/>
        <v>244458.15279229122</v>
      </c>
      <c r="AD256" s="787">
        <f t="shared" si="148"/>
        <v>115.85694445132286</v>
      </c>
      <c r="AE256" s="788">
        <v>873.38549999999998</v>
      </c>
      <c r="AF256" s="774">
        <f t="shared" si="164"/>
        <v>9.0840411140870412E-4</v>
      </c>
      <c r="AG256" s="692">
        <f t="shared" si="165"/>
        <v>114352.68926070859</v>
      </c>
      <c r="AH256" s="786">
        <f t="shared" si="166"/>
        <v>114352.68926070859</v>
      </c>
      <c r="AI256" s="692">
        <f t="shared" si="149"/>
        <v>54.19558732735004</v>
      </c>
      <c r="AJ256" s="789">
        <v>245</v>
      </c>
      <c r="AK256" s="777">
        <f t="shared" si="167"/>
        <v>3.256740122772456E-4</v>
      </c>
      <c r="AL256" s="692">
        <f t="shared" si="168"/>
        <v>6832.806871322874</v>
      </c>
      <c r="AM256" s="790">
        <v>0.66666666666666663</v>
      </c>
      <c r="AN256" s="791">
        <f t="shared" si="169"/>
        <v>9.6269554753309204E-5</v>
      </c>
      <c r="AO256" s="778">
        <f t="shared" si="170"/>
        <v>6059.3530685920541</v>
      </c>
      <c r="AP256" s="768">
        <v>33</v>
      </c>
      <c r="AQ256" s="792">
        <f t="shared" si="171"/>
        <v>4.4603635872136243E-4</v>
      </c>
      <c r="AR256" s="793">
        <f t="shared" si="172"/>
        <v>37432.281138068523</v>
      </c>
      <c r="AS256" s="794">
        <v>10.388888888888888</v>
      </c>
      <c r="AT256" s="791">
        <f t="shared" si="173"/>
        <v>4.1664577867642525E-4</v>
      </c>
      <c r="AU256" s="795">
        <f t="shared" si="174"/>
        <v>34965.763703914105</v>
      </c>
      <c r="AV256" s="796">
        <v>16</v>
      </c>
      <c r="AW256" s="791">
        <f t="shared" si="175"/>
        <v>2.0374898125509371E-4</v>
      </c>
      <c r="AX256" s="795">
        <f t="shared" si="176"/>
        <v>12824.272616136919</v>
      </c>
      <c r="AY256" s="786">
        <f t="shared" si="177"/>
        <v>98114.477398034476</v>
      </c>
      <c r="AZ256" s="787">
        <f t="shared" si="150"/>
        <v>46.499752321343351</v>
      </c>
      <c r="BA256" s="797">
        <f t="shared" si="154"/>
        <v>492262.76088817412</v>
      </c>
      <c r="BB256" s="775">
        <v>254026</v>
      </c>
      <c r="BC256" s="775">
        <f t="shared" si="178"/>
        <v>0</v>
      </c>
      <c r="BD256" s="775">
        <f t="shared" si="179"/>
        <v>238236.76088817412</v>
      </c>
      <c r="BE256" s="798">
        <f t="shared" si="180"/>
        <v>3.7069663167508881E-4</v>
      </c>
      <c r="BF256" s="775">
        <f t="shared" si="181"/>
        <v>-490.75863418897342</v>
      </c>
      <c r="BG256" s="797">
        <f t="shared" si="182"/>
        <v>491772.00225398515</v>
      </c>
      <c r="BH256" s="799">
        <v>7.5</v>
      </c>
      <c r="BI256" s="692">
        <f t="shared" si="191"/>
        <v>0</v>
      </c>
      <c r="BJ256" s="800">
        <v>2200</v>
      </c>
      <c r="BK256" s="778">
        <f t="shared" si="183"/>
        <v>0</v>
      </c>
      <c r="BL256" s="786">
        <f t="shared" si="190"/>
        <v>491772.00225398515</v>
      </c>
      <c r="BM256" s="692">
        <f t="shared" si="184"/>
        <v>491772.00225398515</v>
      </c>
      <c r="BN256" s="801">
        <f t="shared" si="185"/>
        <v>2.4028727473247472E-4</v>
      </c>
      <c r="BO256" s="787">
        <f t="shared" si="186"/>
        <v>1187.6994516340126</v>
      </c>
      <c r="BP256" s="802">
        <f t="shared" si="187"/>
        <v>492960</v>
      </c>
      <c r="BQ256" s="803">
        <f t="shared" si="151"/>
        <v>233.63033175355451</v>
      </c>
      <c r="BR256" s="682"/>
      <c r="BS256" s="618"/>
    </row>
    <row r="257" spans="1:71" ht="15.75">
      <c r="A257" s="766" t="s">
        <v>3929</v>
      </c>
      <c r="B257" s="767" t="s">
        <v>3930</v>
      </c>
      <c r="C257" s="768">
        <v>18028</v>
      </c>
      <c r="D257" s="769">
        <v>0</v>
      </c>
      <c r="E257" s="770">
        <v>0</v>
      </c>
      <c r="F257" s="771">
        <v>0</v>
      </c>
      <c r="G257" s="770">
        <v>0</v>
      </c>
      <c r="H257" s="771">
        <v>0</v>
      </c>
      <c r="I257" s="770">
        <f t="shared" si="188"/>
        <v>0</v>
      </c>
      <c r="J257" s="772">
        <f t="shared" si="155"/>
        <v>0</v>
      </c>
      <c r="K257" s="773">
        <v>3835</v>
      </c>
      <c r="L257" s="774">
        <f t="shared" si="156"/>
        <v>1.384067310062476E-3</v>
      </c>
      <c r="M257" s="775">
        <f t="shared" si="189"/>
        <v>116153.75215775552</v>
      </c>
      <c r="N257" s="806">
        <v>1692.5</v>
      </c>
      <c r="O257" s="777">
        <f t="shared" si="157"/>
        <v>1.9247893535550887E-3</v>
      </c>
      <c r="P257" s="778">
        <f t="shared" si="158"/>
        <v>161532.2491206243</v>
      </c>
      <c r="Q257" s="786">
        <f t="shared" si="144"/>
        <v>277686.00127837982</v>
      </c>
      <c r="R257" s="692">
        <f t="shared" si="145"/>
        <v>15.403039786908133</v>
      </c>
      <c r="S257" s="807">
        <v>76694761.690000013</v>
      </c>
      <c r="T257" s="782">
        <f t="shared" si="152"/>
        <v>4.2376920775069946</v>
      </c>
      <c r="U257" s="777">
        <f t="shared" si="159"/>
        <v>2.303493743177917E-3</v>
      </c>
      <c r="V257" s="783">
        <f t="shared" si="146"/>
        <v>4254.2024456401159</v>
      </c>
      <c r="W257" s="778">
        <f t="shared" si="160"/>
        <v>918240.99675995263</v>
      </c>
      <c r="X257" s="784">
        <v>14770729.666200001</v>
      </c>
      <c r="Y257" s="782">
        <f t="shared" si="153"/>
        <v>22.003569989079189</v>
      </c>
      <c r="Z257" s="782">
        <f t="shared" si="161"/>
        <v>3.3973852413006224E-3</v>
      </c>
      <c r="AA257" s="783">
        <f t="shared" si="147"/>
        <v>819.32159231195919</v>
      </c>
      <c r="AB257" s="692">
        <f t="shared" si="162"/>
        <v>798323.40032435337</v>
      </c>
      <c r="AC257" s="786">
        <f t="shared" si="163"/>
        <v>1716564.397084306</v>
      </c>
      <c r="AD257" s="787">
        <f t="shared" si="148"/>
        <v>95.21657405615187</v>
      </c>
      <c r="AE257" s="788">
        <v>1528.682</v>
      </c>
      <c r="AF257" s="774">
        <f t="shared" si="164"/>
        <v>1.5899748894806253E-3</v>
      </c>
      <c r="AG257" s="692">
        <f t="shared" si="165"/>
        <v>200150.90441098291</v>
      </c>
      <c r="AH257" s="786">
        <f t="shared" si="166"/>
        <v>200150.90441098291</v>
      </c>
      <c r="AI257" s="692">
        <f t="shared" si="149"/>
        <v>11.102224562401981</v>
      </c>
      <c r="AJ257" s="789">
        <v>1121</v>
      </c>
      <c r="AK257" s="777">
        <f t="shared" si="167"/>
        <v>1.4901247663787443E-3</v>
      </c>
      <c r="AL257" s="692">
        <f t="shared" si="168"/>
        <v>31263.577562256909</v>
      </c>
      <c r="AM257" s="790">
        <v>8.3333333333333339</v>
      </c>
      <c r="AN257" s="791">
        <f t="shared" si="169"/>
        <v>1.2033694344163652E-3</v>
      </c>
      <c r="AO257" s="778">
        <f t="shared" si="170"/>
        <v>75741.913357400685</v>
      </c>
      <c r="AP257" s="768">
        <v>212</v>
      </c>
      <c r="AQ257" s="792">
        <f t="shared" si="171"/>
        <v>2.8654456984523891E-3</v>
      </c>
      <c r="AR257" s="793">
        <f t="shared" si="172"/>
        <v>240474.04852334934</v>
      </c>
      <c r="AS257" s="794">
        <v>22.611111111111114</v>
      </c>
      <c r="AT257" s="791">
        <f t="shared" si="173"/>
        <v>9.0681728300163165E-4</v>
      </c>
      <c r="AU257" s="795">
        <f t="shared" si="174"/>
        <v>76101.956296754259</v>
      </c>
      <c r="AV257" s="796">
        <v>57</v>
      </c>
      <c r="AW257" s="791">
        <f t="shared" si="175"/>
        <v>7.2585574572127138E-4</v>
      </c>
      <c r="AX257" s="795">
        <f t="shared" si="176"/>
        <v>45686.471194987775</v>
      </c>
      <c r="AY257" s="786">
        <f t="shared" si="177"/>
        <v>469267.96693474898</v>
      </c>
      <c r="AZ257" s="787">
        <f t="shared" si="150"/>
        <v>26.029951571707841</v>
      </c>
      <c r="BA257" s="797">
        <f t="shared" si="154"/>
        <v>2663669.2697084178</v>
      </c>
      <c r="BB257" s="775">
        <v>2121048</v>
      </c>
      <c r="BC257" s="775">
        <f t="shared" si="178"/>
        <v>0</v>
      </c>
      <c r="BD257" s="775">
        <f t="shared" si="179"/>
        <v>542621.26970841782</v>
      </c>
      <c r="BE257" s="798">
        <f t="shared" si="180"/>
        <v>8.4431922347444582E-4</v>
      </c>
      <c r="BF257" s="775">
        <f t="shared" si="181"/>
        <v>-1117.7791043296897</v>
      </c>
      <c r="BG257" s="797">
        <f t="shared" si="182"/>
        <v>2662551.4906040882</v>
      </c>
      <c r="BH257" s="799">
        <v>6</v>
      </c>
      <c r="BI257" s="692">
        <f t="shared" si="191"/>
        <v>0</v>
      </c>
      <c r="BJ257" s="800">
        <v>950</v>
      </c>
      <c r="BK257" s="778">
        <f t="shared" si="183"/>
        <v>0</v>
      </c>
      <c r="BL257" s="786">
        <f t="shared" si="190"/>
        <v>2662551.4906040882</v>
      </c>
      <c r="BM257" s="692">
        <f t="shared" si="184"/>
        <v>2662551.4906040882</v>
      </c>
      <c r="BN257" s="801">
        <f t="shared" si="185"/>
        <v>1.3009631263670828E-3</v>
      </c>
      <c r="BO257" s="787">
        <f t="shared" si="186"/>
        <v>6430.4412021092685</v>
      </c>
      <c r="BP257" s="802">
        <f t="shared" si="187"/>
        <v>2668982</v>
      </c>
      <c r="BQ257" s="803">
        <f t="shared" si="151"/>
        <v>148.04648324828045</v>
      </c>
      <c r="BR257" s="682"/>
      <c r="BS257" s="618"/>
    </row>
    <row r="258" spans="1:71" ht="15.75">
      <c r="A258" s="805" t="s">
        <v>3931</v>
      </c>
      <c r="B258" s="767" t="s">
        <v>3932</v>
      </c>
      <c r="C258" s="768">
        <v>10951</v>
      </c>
      <c r="D258" s="769">
        <v>0</v>
      </c>
      <c r="E258" s="770">
        <v>0</v>
      </c>
      <c r="F258" s="771">
        <v>0</v>
      </c>
      <c r="G258" s="770">
        <v>0</v>
      </c>
      <c r="H258" s="771">
        <v>0</v>
      </c>
      <c r="I258" s="770">
        <f t="shared" si="188"/>
        <v>0</v>
      </c>
      <c r="J258" s="772">
        <f t="shared" si="155"/>
        <v>0</v>
      </c>
      <c r="K258" s="773">
        <v>5268</v>
      </c>
      <c r="L258" s="774">
        <f t="shared" si="156"/>
        <v>1.9012429177077247E-3</v>
      </c>
      <c r="M258" s="775">
        <f t="shared" si="189"/>
        <v>159556.1841895844</v>
      </c>
      <c r="N258" s="806">
        <v>102</v>
      </c>
      <c r="O258" s="777">
        <f t="shared" si="157"/>
        <v>1.159991220458606E-4</v>
      </c>
      <c r="P258" s="778">
        <f t="shared" si="158"/>
        <v>9734.8829602975948</v>
      </c>
      <c r="Q258" s="786">
        <f t="shared" si="144"/>
        <v>169291.067149882</v>
      </c>
      <c r="R258" s="692">
        <f t="shared" si="145"/>
        <v>15.458959652075793</v>
      </c>
      <c r="S258" s="807">
        <v>29792660.670000002</v>
      </c>
      <c r="T258" s="782">
        <f t="shared" si="152"/>
        <v>4.0253001344307258</v>
      </c>
      <c r="U258" s="777">
        <f t="shared" si="159"/>
        <v>2.1880432802775063E-3</v>
      </c>
      <c r="V258" s="783">
        <f t="shared" si="146"/>
        <v>2720.5424773993245</v>
      </c>
      <c r="W258" s="778">
        <f t="shared" si="160"/>
        <v>872219.01452360547</v>
      </c>
      <c r="X258" s="784">
        <v>9340476.3471000008</v>
      </c>
      <c r="Y258" s="782">
        <f t="shared" si="153"/>
        <v>12.839216817591291</v>
      </c>
      <c r="Z258" s="782">
        <f t="shared" si="161"/>
        <v>1.9823949362577416E-3</v>
      </c>
      <c r="AA258" s="783">
        <f t="shared" si="147"/>
        <v>852.93364506437774</v>
      </c>
      <c r="AB258" s="692">
        <f t="shared" si="162"/>
        <v>465826.55598197499</v>
      </c>
      <c r="AC258" s="786">
        <f t="shared" si="163"/>
        <v>1338045.5705055804</v>
      </c>
      <c r="AD258" s="787">
        <f t="shared" si="148"/>
        <v>122.18478408415491</v>
      </c>
      <c r="AE258" s="788">
        <v>3522.9668999999999</v>
      </c>
      <c r="AF258" s="774">
        <f t="shared" si="164"/>
        <v>3.6642211444050505E-3</v>
      </c>
      <c r="AG258" s="692">
        <f t="shared" si="165"/>
        <v>461263.37017440965</v>
      </c>
      <c r="AH258" s="786">
        <f t="shared" si="166"/>
        <v>461263.37017440965</v>
      </c>
      <c r="AI258" s="692">
        <f t="shared" si="149"/>
        <v>42.120662055922715</v>
      </c>
      <c r="AJ258" s="789">
        <v>1760</v>
      </c>
      <c r="AK258" s="777">
        <f t="shared" si="167"/>
        <v>2.3395357616651114E-3</v>
      </c>
      <c r="AL258" s="692">
        <f t="shared" si="168"/>
        <v>49084.653442972485</v>
      </c>
      <c r="AM258" s="790">
        <v>6.333333333333333</v>
      </c>
      <c r="AN258" s="791">
        <f t="shared" si="169"/>
        <v>9.1456077015643746E-4</v>
      </c>
      <c r="AO258" s="778">
        <f t="shared" si="170"/>
        <v>57563.85415162451</v>
      </c>
      <c r="AP258" s="768">
        <v>53</v>
      </c>
      <c r="AQ258" s="792">
        <f t="shared" si="171"/>
        <v>7.1636142461309728E-4</v>
      </c>
      <c r="AR258" s="793">
        <f t="shared" si="172"/>
        <v>60118.512130837335</v>
      </c>
      <c r="AS258" s="794">
        <v>6.583333333333333</v>
      </c>
      <c r="AT258" s="791">
        <f t="shared" si="173"/>
        <v>2.640241966478952E-4</v>
      </c>
      <c r="AU258" s="795">
        <f t="shared" si="174"/>
        <v>22157.449192052525</v>
      </c>
      <c r="AV258" s="796">
        <v>22</v>
      </c>
      <c r="AW258" s="791">
        <f t="shared" si="175"/>
        <v>2.8015484922575386E-4</v>
      </c>
      <c r="AX258" s="795">
        <f t="shared" si="176"/>
        <v>17633.374847188265</v>
      </c>
      <c r="AY258" s="786">
        <f t="shared" si="177"/>
        <v>206557.84376467511</v>
      </c>
      <c r="AZ258" s="787">
        <f t="shared" si="150"/>
        <v>18.862007466411754</v>
      </c>
      <c r="BA258" s="797">
        <f t="shared" si="154"/>
        <v>2175157.8515945473</v>
      </c>
      <c r="BB258" s="775">
        <v>1505626</v>
      </c>
      <c r="BC258" s="775">
        <f t="shared" si="178"/>
        <v>0</v>
      </c>
      <c r="BD258" s="775">
        <f t="shared" si="179"/>
        <v>669531.85159454728</v>
      </c>
      <c r="BE258" s="798">
        <f t="shared" si="180"/>
        <v>1.0417922123352888E-3</v>
      </c>
      <c r="BF258" s="775">
        <f t="shared" si="181"/>
        <v>-1379.2100589748441</v>
      </c>
      <c r="BG258" s="797">
        <f t="shared" si="182"/>
        <v>2173778.6415355722</v>
      </c>
      <c r="BH258" s="799">
        <v>8</v>
      </c>
      <c r="BI258" s="692">
        <f t="shared" si="191"/>
        <v>0</v>
      </c>
      <c r="BJ258" s="800">
        <v>1700</v>
      </c>
      <c r="BK258" s="778">
        <f t="shared" si="183"/>
        <v>0</v>
      </c>
      <c r="BL258" s="786">
        <f t="shared" si="190"/>
        <v>2173778.6415355722</v>
      </c>
      <c r="BM258" s="692">
        <f t="shared" si="184"/>
        <v>2173778.6415355722</v>
      </c>
      <c r="BN258" s="801">
        <f t="shared" si="185"/>
        <v>1.0621412834650877E-3</v>
      </c>
      <c r="BO258" s="787">
        <f t="shared" si="186"/>
        <v>5249.9851327284587</v>
      </c>
      <c r="BP258" s="802">
        <f t="shared" si="187"/>
        <v>2179029</v>
      </c>
      <c r="BQ258" s="803">
        <f t="shared" si="151"/>
        <v>198.97991051045565</v>
      </c>
      <c r="BR258" s="682"/>
      <c r="BS258" s="618"/>
    </row>
    <row r="259" spans="1:71" ht="15.75">
      <c r="A259" s="805" t="s">
        <v>3933</v>
      </c>
      <c r="B259" s="767" t="s">
        <v>3934</v>
      </c>
      <c r="C259" s="768">
        <v>11640</v>
      </c>
      <c r="D259" s="769">
        <v>0</v>
      </c>
      <c r="E259" s="770">
        <v>0</v>
      </c>
      <c r="F259" s="771">
        <v>0</v>
      </c>
      <c r="G259" s="770">
        <v>0</v>
      </c>
      <c r="H259" s="771">
        <v>0</v>
      </c>
      <c r="I259" s="770">
        <f t="shared" si="188"/>
        <v>0</v>
      </c>
      <c r="J259" s="772">
        <f t="shared" si="155"/>
        <v>0</v>
      </c>
      <c r="K259" s="773">
        <v>5671</v>
      </c>
      <c r="L259" s="774">
        <f t="shared" si="156"/>
        <v>2.0466872791041206E-3</v>
      </c>
      <c r="M259" s="775">
        <f t="shared" si="189"/>
        <v>171762.17170446718</v>
      </c>
      <c r="N259" s="806">
        <v>10.5</v>
      </c>
      <c r="O259" s="777">
        <f t="shared" si="157"/>
        <v>1.1941086092956238E-5</v>
      </c>
      <c r="P259" s="778">
        <f t="shared" si="158"/>
        <v>1002.1203047365171</v>
      </c>
      <c r="Q259" s="786">
        <f t="shared" si="144"/>
        <v>172764.29200920369</v>
      </c>
      <c r="R259" s="692">
        <f t="shared" si="145"/>
        <v>14.842293127938461</v>
      </c>
      <c r="S259" s="807">
        <v>55494077.130000003</v>
      </c>
      <c r="T259" s="782">
        <f t="shared" si="152"/>
        <v>2.4415146085338639</v>
      </c>
      <c r="U259" s="777">
        <f t="shared" si="159"/>
        <v>1.327140698704047E-3</v>
      </c>
      <c r="V259" s="783">
        <f t="shared" si="146"/>
        <v>4767.5323994845367</v>
      </c>
      <c r="W259" s="778">
        <f t="shared" si="160"/>
        <v>529037.68531077763</v>
      </c>
      <c r="X259" s="784">
        <v>17778178.8981</v>
      </c>
      <c r="Y259" s="782">
        <f t="shared" si="153"/>
        <v>7.6211180445754279</v>
      </c>
      <c r="Z259" s="782">
        <f t="shared" si="161"/>
        <v>1.1767124143809878E-3</v>
      </c>
      <c r="AA259" s="783">
        <f t="shared" si="147"/>
        <v>1527.3349568814433</v>
      </c>
      <c r="AB259" s="692">
        <f t="shared" si="162"/>
        <v>276505.89766289794</v>
      </c>
      <c r="AC259" s="786">
        <f t="shared" si="163"/>
        <v>805543.58297367557</v>
      </c>
      <c r="AD259" s="787">
        <f t="shared" si="148"/>
        <v>69.204775169559753</v>
      </c>
      <c r="AE259" s="788">
        <v>1210.2956999999999</v>
      </c>
      <c r="AF259" s="774">
        <f t="shared" si="164"/>
        <v>1.2588228106606711E-3</v>
      </c>
      <c r="AG259" s="692">
        <f t="shared" si="165"/>
        <v>158464.46740376591</v>
      </c>
      <c r="AH259" s="786">
        <f t="shared" si="166"/>
        <v>158464.46740376591</v>
      </c>
      <c r="AI259" s="692">
        <f t="shared" si="149"/>
        <v>13.613785859430061</v>
      </c>
      <c r="AJ259" s="789">
        <v>723</v>
      </c>
      <c r="AK259" s="777">
        <f t="shared" si="167"/>
        <v>9.6107065663856564E-4</v>
      </c>
      <c r="AL259" s="692">
        <f t="shared" si="168"/>
        <v>20163.752522311992</v>
      </c>
      <c r="AM259" s="790">
        <v>4.333333333333333</v>
      </c>
      <c r="AN259" s="791">
        <f t="shared" si="169"/>
        <v>6.257521058965098E-4</v>
      </c>
      <c r="AO259" s="778">
        <f t="shared" si="170"/>
        <v>39385.794945848349</v>
      </c>
      <c r="AP259" s="768">
        <v>68</v>
      </c>
      <c r="AQ259" s="792">
        <f t="shared" si="171"/>
        <v>9.1910522403189831E-4</v>
      </c>
      <c r="AR259" s="793">
        <f t="shared" si="172"/>
        <v>77133.18537541393</v>
      </c>
      <c r="AS259" s="794">
        <v>12.472222222222221</v>
      </c>
      <c r="AT259" s="791">
        <f t="shared" si="173"/>
        <v>5.0019773964094904E-4</v>
      </c>
      <c r="AU259" s="795">
        <f t="shared" si="174"/>
        <v>41977.614714057308</v>
      </c>
      <c r="AV259" s="796">
        <v>62</v>
      </c>
      <c r="AW259" s="791">
        <f t="shared" si="175"/>
        <v>7.8952730236348813E-4</v>
      </c>
      <c r="AX259" s="795">
        <f t="shared" si="176"/>
        <v>49694.05638753056</v>
      </c>
      <c r="AY259" s="786">
        <f t="shared" si="177"/>
        <v>228354.40394516214</v>
      </c>
      <c r="AZ259" s="787">
        <f t="shared" si="150"/>
        <v>19.618075940306024</v>
      </c>
      <c r="BA259" s="797">
        <f t="shared" si="154"/>
        <v>1365126.7463318075</v>
      </c>
      <c r="BB259" s="775">
        <v>1170642</v>
      </c>
      <c r="BC259" s="775">
        <f t="shared" si="178"/>
        <v>0</v>
      </c>
      <c r="BD259" s="775">
        <f t="shared" si="179"/>
        <v>194484.74633180746</v>
      </c>
      <c r="BE259" s="798">
        <f t="shared" si="180"/>
        <v>3.0261845446776235E-4</v>
      </c>
      <c r="BF259" s="775">
        <f t="shared" si="181"/>
        <v>-400.63115417014802</v>
      </c>
      <c r="BG259" s="797">
        <f t="shared" si="182"/>
        <v>1364726.1151776372</v>
      </c>
      <c r="BH259" s="799">
        <v>7</v>
      </c>
      <c r="BI259" s="692">
        <f t="shared" si="191"/>
        <v>0</v>
      </c>
      <c r="BJ259" s="800">
        <v>900</v>
      </c>
      <c r="BK259" s="778">
        <f t="shared" si="183"/>
        <v>0</v>
      </c>
      <c r="BL259" s="786">
        <f t="shared" si="190"/>
        <v>1364726.1151776372</v>
      </c>
      <c r="BM259" s="692">
        <f t="shared" si="184"/>
        <v>1364726.1151776372</v>
      </c>
      <c r="BN259" s="801">
        <f t="shared" si="185"/>
        <v>6.6682592231614676E-4</v>
      </c>
      <c r="BO259" s="787">
        <f t="shared" si="186"/>
        <v>3296.0080102119332</v>
      </c>
      <c r="BP259" s="802">
        <f t="shared" si="187"/>
        <v>1368022</v>
      </c>
      <c r="BQ259" s="803">
        <f t="shared" si="151"/>
        <v>117.52766323024055</v>
      </c>
      <c r="BR259" s="682"/>
      <c r="BS259" s="618"/>
    </row>
    <row r="260" spans="1:71" ht="15.75">
      <c r="A260" s="805" t="s">
        <v>3935</v>
      </c>
      <c r="B260" s="767" t="s">
        <v>3936</v>
      </c>
      <c r="C260" s="768">
        <v>17487</v>
      </c>
      <c r="D260" s="769">
        <v>0</v>
      </c>
      <c r="E260" s="770">
        <v>0</v>
      </c>
      <c r="F260" s="771">
        <v>0</v>
      </c>
      <c r="G260" s="770">
        <v>0</v>
      </c>
      <c r="H260" s="771">
        <v>0</v>
      </c>
      <c r="I260" s="770">
        <f t="shared" si="188"/>
        <v>0</v>
      </c>
      <c r="J260" s="772">
        <f t="shared" si="155"/>
        <v>0</v>
      </c>
      <c r="K260" s="773">
        <v>3745</v>
      </c>
      <c r="L260" s="774">
        <f t="shared" si="156"/>
        <v>1.3515859390310231E-3</v>
      </c>
      <c r="M260" s="775">
        <f t="shared" si="189"/>
        <v>113427.84923879908</v>
      </c>
      <c r="N260" s="806">
        <v>800</v>
      </c>
      <c r="O260" s="777">
        <f t="shared" si="157"/>
        <v>9.0979703565380863E-4</v>
      </c>
      <c r="P260" s="778">
        <f t="shared" si="158"/>
        <v>76352.02321802036</v>
      </c>
      <c r="Q260" s="786">
        <f t="shared" si="144"/>
        <v>189779.87245681946</v>
      </c>
      <c r="R260" s="692">
        <f t="shared" si="145"/>
        <v>10.852626091200289</v>
      </c>
      <c r="S260" s="807">
        <v>59085872.719999999</v>
      </c>
      <c r="T260" s="782">
        <f t="shared" si="152"/>
        <v>5.1754362747440856</v>
      </c>
      <c r="U260" s="777">
        <f t="shared" si="159"/>
        <v>2.8132258925481946E-3</v>
      </c>
      <c r="V260" s="783">
        <f t="shared" si="146"/>
        <v>3378.8455835763712</v>
      </c>
      <c r="W260" s="778">
        <f t="shared" si="160"/>
        <v>1121435.3654464602</v>
      </c>
      <c r="X260" s="784">
        <v>11199830.133200001</v>
      </c>
      <c r="Y260" s="782">
        <f t="shared" si="153"/>
        <v>27.303554193516021</v>
      </c>
      <c r="Z260" s="782">
        <f t="shared" si="161"/>
        <v>4.2157110004486563E-3</v>
      </c>
      <c r="AA260" s="783">
        <f t="shared" si="147"/>
        <v>640.46606811917434</v>
      </c>
      <c r="AB260" s="692">
        <f t="shared" si="162"/>
        <v>990614.98818265798</v>
      </c>
      <c r="AC260" s="786">
        <f t="shared" si="163"/>
        <v>2112050.3536291183</v>
      </c>
      <c r="AD260" s="787">
        <f t="shared" si="148"/>
        <v>120.77831266821744</v>
      </c>
      <c r="AE260" s="788">
        <v>3261.1224000000002</v>
      </c>
      <c r="AF260" s="774">
        <f t="shared" si="164"/>
        <v>3.3918779232847591E-3</v>
      </c>
      <c r="AG260" s="692">
        <f t="shared" si="165"/>
        <v>426979.97212953074</v>
      </c>
      <c r="AH260" s="786">
        <f t="shared" si="166"/>
        <v>426979.97212953074</v>
      </c>
      <c r="AI260" s="692">
        <f t="shared" si="149"/>
        <v>24.416993888576126</v>
      </c>
      <c r="AJ260" s="789">
        <v>1805</v>
      </c>
      <c r="AK260" s="777">
        <f t="shared" si="167"/>
        <v>2.3993534373895034E-3</v>
      </c>
      <c r="AL260" s="692">
        <f t="shared" si="168"/>
        <v>50339.658786684849</v>
      </c>
      <c r="AM260" s="790">
        <v>5</v>
      </c>
      <c r="AN260" s="791">
        <f t="shared" si="169"/>
        <v>7.2202166064981913E-4</v>
      </c>
      <c r="AO260" s="778">
        <f t="shared" si="170"/>
        <v>45445.148014440412</v>
      </c>
      <c r="AP260" s="768">
        <v>195</v>
      </c>
      <c r="AQ260" s="792">
        <f t="shared" si="171"/>
        <v>2.6356693924444144E-3</v>
      </c>
      <c r="AR260" s="793">
        <f t="shared" si="172"/>
        <v>221190.75217949584</v>
      </c>
      <c r="AS260" s="794">
        <v>37.80555555555555</v>
      </c>
      <c r="AT260" s="791">
        <f t="shared" si="173"/>
        <v>1.5161895849695583E-3</v>
      </c>
      <c r="AU260" s="795">
        <f t="shared" si="174"/>
        <v>127241.72299739867</v>
      </c>
      <c r="AV260" s="796">
        <v>95</v>
      </c>
      <c r="AW260" s="791">
        <f t="shared" si="175"/>
        <v>1.2097595762021189E-3</v>
      </c>
      <c r="AX260" s="795">
        <f t="shared" si="176"/>
        <v>76144.11865831296</v>
      </c>
      <c r="AY260" s="786">
        <f t="shared" si="177"/>
        <v>520361.40063633281</v>
      </c>
      <c r="AZ260" s="787">
        <f t="shared" si="150"/>
        <v>29.757042410724129</v>
      </c>
      <c r="BA260" s="797">
        <f t="shared" si="154"/>
        <v>3249171.5988518009</v>
      </c>
      <c r="BB260" s="775">
        <v>2312641</v>
      </c>
      <c r="BC260" s="775">
        <f t="shared" si="178"/>
        <v>0</v>
      </c>
      <c r="BD260" s="775">
        <f t="shared" si="179"/>
        <v>936530.5988518009</v>
      </c>
      <c r="BE260" s="798">
        <f t="shared" si="180"/>
        <v>1.4572425227774729E-3</v>
      </c>
      <c r="BF260" s="775">
        <f t="shared" si="181"/>
        <v>-1929.2172872700683</v>
      </c>
      <c r="BG260" s="797">
        <f t="shared" si="182"/>
        <v>3247242.381564531</v>
      </c>
      <c r="BH260" s="799">
        <v>8</v>
      </c>
      <c r="BI260" s="692">
        <f t="shared" si="191"/>
        <v>0</v>
      </c>
      <c r="BJ260" s="800">
        <v>1550</v>
      </c>
      <c r="BK260" s="778">
        <f t="shared" si="183"/>
        <v>0</v>
      </c>
      <c r="BL260" s="786">
        <f t="shared" si="190"/>
        <v>3247242.381564531</v>
      </c>
      <c r="BM260" s="692">
        <f t="shared" si="184"/>
        <v>3247242.381564531</v>
      </c>
      <c r="BN260" s="801">
        <f t="shared" si="185"/>
        <v>1.5866519823935523E-3</v>
      </c>
      <c r="BO260" s="787">
        <f t="shared" si="186"/>
        <v>7842.5530087721963</v>
      </c>
      <c r="BP260" s="802">
        <f t="shared" si="187"/>
        <v>3255085</v>
      </c>
      <c r="BQ260" s="803">
        <f t="shared" si="151"/>
        <v>186.14313490021158</v>
      </c>
      <c r="BR260" s="682"/>
      <c r="BS260" s="618"/>
    </row>
    <row r="261" spans="1:71" ht="15.75">
      <c r="A261" s="805" t="s">
        <v>3937</v>
      </c>
      <c r="B261" s="767" t="s">
        <v>3938</v>
      </c>
      <c r="C261" s="768">
        <v>28889</v>
      </c>
      <c r="D261" s="769">
        <v>0</v>
      </c>
      <c r="E261" s="770">
        <v>0</v>
      </c>
      <c r="F261" s="771">
        <v>0</v>
      </c>
      <c r="G261" s="770">
        <v>0</v>
      </c>
      <c r="H261" s="771">
        <v>0</v>
      </c>
      <c r="I261" s="770">
        <f t="shared" si="188"/>
        <v>0</v>
      </c>
      <c r="J261" s="772">
        <f t="shared" si="155"/>
        <v>0</v>
      </c>
      <c r="K261" s="773">
        <v>10607</v>
      </c>
      <c r="L261" s="774">
        <f t="shared" si="156"/>
        <v>3.82811002811804E-3</v>
      </c>
      <c r="M261" s="775">
        <f t="shared" si="189"/>
        <v>321262.80290412327</v>
      </c>
      <c r="N261" s="806">
        <v>1158</v>
      </c>
      <c r="O261" s="777">
        <f t="shared" si="157"/>
        <v>1.3169312091088879E-3</v>
      </c>
      <c r="P261" s="778">
        <f t="shared" si="158"/>
        <v>110519.55360808445</v>
      </c>
      <c r="Q261" s="786">
        <f t="shared" si="144"/>
        <v>431782.35651220771</v>
      </c>
      <c r="R261" s="692">
        <f t="shared" si="145"/>
        <v>14.946254855211594</v>
      </c>
      <c r="S261" s="807">
        <v>102414875.09000002</v>
      </c>
      <c r="T261" s="782">
        <f t="shared" si="152"/>
        <v>8.1489560990685561</v>
      </c>
      <c r="U261" s="777">
        <f t="shared" si="159"/>
        <v>4.4295501051786748E-3</v>
      </c>
      <c r="V261" s="783">
        <f t="shared" si="146"/>
        <v>3545.1166565128601</v>
      </c>
      <c r="W261" s="778">
        <f t="shared" si="160"/>
        <v>1765750.1852668426</v>
      </c>
      <c r="X261" s="784">
        <v>24397740.222199999</v>
      </c>
      <c r="Y261" s="782">
        <f t="shared" si="153"/>
        <v>34.207033659642128</v>
      </c>
      <c r="Z261" s="782">
        <f t="shared" si="161"/>
        <v>5.2816189082781273E-3</v>
      </c>
      <c r="AA261" s="783">
        <f t="shared" si="147"/>
        <v>844.53391333033335</v>
      </c>
      <c r="AB261" s="692">
        <f t="shared" si="162"/>
        <v>1241083.8531987653</v>
      </c>
      <c r="AC261" s="786">
        <f t="shared" si="163"/>
        <v>3006834.0384656079</v>
      </c>
      <c r="AD261" s="787">
        <f t="shared" si="148"/>
        <v>104.08231639951566</v>
      </c>
      <c r="AE261" s="788">
        <v>2375.837</v>
      </c>
      <c r="AF261" s="774">
        <f t="shared" si="164"/>
        <v>2.4710967823909618E-3</v>
      </c>
      <c r="AG261" s="692">
        <f t="shared" si="165"/>
        <v>311069.22452352836</v>
      </c>
      <c r="AH261" s="786">
        <f t="shared" si="166"/>
        <v>311069.22452352836</v>
      </c>
      <c r="AI261" s="692">
        <f t="shared" si="149"/>
        <v>10.767739434508925</v>
      </c>
      <c r="AJ261" s="789">
        <v>3245</v>
      </c>
      <c r="AK261" s="777">
        <f t="shared" si="167"/>
        <v>4.313519060570049E-3</v>
      </c>
      <c r="AL261" s="692">
        <f t="shared" si="168"/>
        <v>90499.829785480513</v>
      </c>
      <c r="AM261" s="790">
        <v>33</v>
      </c>
      <c r="AN261" s="791">
        <f t="shared" si="169"/>
        <v>4.7653429602888065E-3</v>
      </c>
      <c r="AO261" s="778">
        <f t="shared" si="170"/>
        <v>299937.97689530673</v>
      </c>
      <c r="AP261" s="768">
        <v>405</v>
      </c>
      <c r="AQ261" s="792">
        <f t="shared" si="171"/>
        <v>5.47408258430763E-3</v>
      </c>
      <c r="AR261" s="793">
        <f t="shared" si="172"/>
        <v>459396.1776035683</v>
      </c>
      <c r="AS261" s="794">
        <v>94.416666666666671</v>
      </c>
      <c r="AT261" s="791">
        <f t="shared" si="173"/>
        <v>3.7865748709122187E-3</v>
      </c>
      <c r="AU261" s="795">
        <f t="shared" si="174"/>
        <v>317777.08777969005</v>
      </c>
      <c r="AV261" s="796">
        <v>432</v>
      </c>
      <c r="AW261" s="791">
        <f t="shared" si="175"/>
        <v>5.5012224938875308E-3</v>
      </c>
      <c r="AX261" s="795">
        <f t="shared" si="176"/>
        <v>346255.36063569685</v>
      </c>
      <c r="AY261" s="786">
        <f t="shared" si="177"/>
        <v>1513866.4326997427</v>
      </c>
      <c r="AZ261" s="787">
        <f t="shared" si="150"/>
        <v>52.402867274732344</v>
      </c>
      <c r="BA261" s="797">
        <f t="shared" si="154"/>
        <v>5263552.0522010867</v>
      </c>
      <c r="BB261" s="775">
        <v>3838056</v>
      </c>
      <c r="BC261" s="775">
        <f t="shared" si="178"/>
        <v>0</v>
      </c>
      <c r="BD261" s="775">
        <f t="shared" si="179"/>
        <v>1425496.0522010867</v>
      </c>
      <c r="BE261" s="798">
        <f t="shared" si="180"/>
        <v>2.2180732438060531E-3</v>
      </c>
      <c r="BF261" s="775">
        <f t="shared" si="181"/>
        <v>-2936.4674578846875</v>
      </c>
      <c r="BG261" s="797">
        <f t="shared" si="182"/>
        <v>5260615.5847432017</v>
      </c>
      <c r="BH261" s="799">
        <v>8</v>
      </c>
      <c r="BI261" s="692">
        <f t="shared" si="191"/>
        <v>0</v>
      </c>
      <c r="BJ261" s="800">
        <v>1125</v>
      </c>
      <c r="BK261" s="778">
        <f t="shared" si="183"/>
        <v>0</v>
      </c>
      <c r="BL261" s="786">
        <f t="shared" si="190"/>
        <v>5260615.5847432017</v>
      </c>
      <c r="BM261" s="692">
        <f t="shared" si="184"/>
        <v>5260615.5847432017</v>
      </c>
      <c r="BN261" s="801">
        <f t="shared" si="185"/>
        <v>2.5704167306789464E-3</v>
      </c>
      <c r="BO261" s="787">
        <f t="shared" si="186"/>
        <v>12705.136153786008</v>
      </c>
      <c r="BP261" s="802">
        <f t="shared" si="187"/>
        <v>5273321</v>
      </c>
      <c r="BQ261" s="803">
        <f t="shared" si="151"/>
        <v>182.53733254872097</v>
      </c>
      <c r="BR261" s="682"/>
      <c r="BS261" s="618"/>
    </row>
    <row r="262" spans="1:71" ht="15.75">
      <c r="A262" s="805" t="s">
        <v>3939</v>
      </c>
      <c r="B262" s="767" t="s">
        <v>3940</v>
      </c>
      <c r="C262" s="768">
        <v>15142</v>
      </c>
      <c r="D262" s="769">
        <v>0</v>
      </c>
      <c r="E262" s="770">
        <v>0</v>
      </c>
      <c r="F262" s="771">
        <v>0</v>
      </c>
      <c r="G262" s="770">
        <v>0</v>
      </c>
      <c r="H262" s="771">
        <v>0</v>
      </c>
      <c r="I262" s="770">
        <f t="shared" si="188"/>
        <v>0</v>
      </c>
      <c r="J262" s="772">
        <f t="shared" si="155"/>
        <v>0</v>
      </c>
      <c r="K262" s="773">
        <v>6386</v>
      </c>
      <c r="L262" s="774">
        <f t="shared" si="156"/>
        <v>2.304733726742887E-3</v>
      </c>
      <c r="M262" s="775">
        <f t="shared" si="189"/>
        <v>193417.95600506564</v>
      </c>
      <c r="N262" s="806">
        <v>1617.5</v>
      </c>
      <c r="O262" s="777">
        <f t="shared" si="157"/>
        <v>1.8394958814625443E-3</v>
      </c>
      <c r="P262" s="778">
        <f t="shared" si="158"/>
        <v>154374.24694393491</v>
      </c>
      <c r="Q262" s="786">
        <f t="shared" si="144"/>
        <v>347792.20294900052</v>
      </c>
      <c r="R262" s="692">
        <f t="shared" si="145"/>
        <v>22.96870974435349</v>
      </c>
      <c r="S262" s="807">
        <v>69551998.400000006</v>
      </c>
      <c r="T262" s="782">
        <f t="shared" si="152"/>
        <v>3.2965287737871809</v>
      </c>
      <c r="U262" s="777">
        <f t="shared" si="159"/>
        <v>1.7919030608500384E-3</v>
      </c>
      <c r="V262" s="783">
        <f t="shared" si="146"/>
        <v>4593.3164971602173</v>
      </c>
      <c r="W262" s="778">
        <f t="shared" si="160"/>
        <v>714305.76165670191</v>
      </c>
      <c r="X262" s="784">
        <v>15391627.0835</v>
      </c>
      <c r="Y262" s="782">
        <f t="shared" si="153"/>
        <v>14.896421460586904</v>
      </c>
      <c r="Z262" s="782">
        <f t="shared" si="161"/>
        <v>2.3000305152077599E-3</v>
      </c>
      <c r="AA262" s="783">
        <f t="shared" si="147"/>
        <v>1016.4857405560692</v>
      </c>
      <c r="AB262" s="692">
        <f t="shared" si="162"/>
        <v>540465.10811576142</v>
      </c>
      <c r="AC262" s="786">
        <f t="shared" si="163"/>
        <v>1254770.8697724633</v>
      </c>
      <c r="AD262" s="787">
        <f t="shared" si="148"/>
        <v>82.866917829379432</v>
      </c>
      <c r="AE262" s="788">
        <v>1500.1241</v>
      </c>
      <c r="AF262" s="774">
        <f t="shared" si="164"/>
        <v>1.560271953293571E-3</v>
      </c>
      <c r="AG262" s="692">
        <f t="shared" si="165"/>
        <v>196411.80791277179</v>
      </c>
      <c r="AH262" s="786">
        <f t="shared" si="166"/>
        <v>196411.80791277179</v>
      </c>
      <c r="AI262" s="692">
        <f t="shared" si="149"/>
        <v>12.97132531454047</v>
      </c>
      <c r="AJ262" s="789">
        <v>1180</v>
      </c>
      <c r="AK262" s="777">
        <f t="shared" si="167"/>
        <v>1.568552385661836E-3</v>
      </c>
      <c r="AL262" s="692">
        <f t="shared" si="168"/>
        <v>32909.029012902007</v>
      </c>
      <c r="AM262" s="790">
        <v>2.3333333333333335</v>
      </c>
      <c r="AN262" s="791">
        <f t="shared" si="169"/>
        <v>3.3694344163658226E-4</v>
      </c>
      <c r="AO262" s="778">
        <f t="shared" si="170"/>
        <v>21207.735740072192</v>
      </c>
      <c r="AP262" s="768">
        <v>108</v>
      </c>
      <c r="AQ262" s="792">
        <f t="shared" si="171"/>
        <v>1.4597553558153679E-3</v>
      </c>
      <c r="AR262" s="793">
        <f t="shared" si="172"/>
        <v>122505.64736095154</v>
      </c>
      <c r="AS262" s="794">
        <v>28.75</v>
      </c>
      <c r="AT262" s="791">
        <f t="shared" si="173"/>
        <v>1.1530170613104284E-3</v>
      </c>
      <c r="AU262" s="795">
        <f t="shared" si="174"/>
        <v>96763.543939976225</v>
      </c>
      <c r="AV262" s="796">
        <v>47</v>
      </c>
      <c r="AW262" s="791">
        <f t="shared" si="175"/>
        <v>5.9851263243683786E-4</v>
      </c>
      <c r="AX262" s="795">
        <f t="shared" si="176"/>
        <v>37671.300809902204</v>
      </c>
      <c r="AY262" s="786">
        <f t="shared" si="177"/>
        <v>311057.25686380418</v>
      </c>
      <c r="AZ262" s="787">
        <f t="shared" si="150"/>
        <v>20.54267975589778</v>
      </c>
      <c r="BA262" s="797">
        <f t="shared" si="154"/>
        <v>2110032.1374980398</v>
      </c>
      <c r="BB262" s="775">
        <v>1767758</v>
      </c>
      <c r="BC262" s="775">
        <f t="shared" si="178"/>
        <v>0</v>
      </c>
      <c r="BD262" s="775">
        <f t="shared" si="179"/>
        <v>342274.13749803975</v>
      </c>
      <c r="BE262" s="798">
        <f t="shared" si="180"/>
        <v>5.3257889087728006E-4</v>
      </c>
      <c r="BF262" s="775">
        <f t="shared" si="181"/>
        <v>-705.07165901064332</v>
      </c>
      <c r="BG262" s="797">
        <f t="shared" si="182"/>
        <v>2109327.0658390289</v>
      </c>
      <c r="BH262" s="799">
        <v>6.9</v>
      </c>
      <c r="BI262" s="692">
        <f t="shared" si="191"/>
        <v>0</v>
      </c>
      <c r="BJ262" s="800">
        <v>1275</v>
      </c>
      <c r="BK262" s="778">
        <f t="shared" si="183"/>
        <v>0</v>
      </c>
      <c r="BL262" s="786">
        <f t="shared" si="190"/>
        <v>2109327.0658390289</v>
      </c>
      <c r="BM262" s="692">
        <f t="shared" si="184"/>
        <v>2109327.0658390289</v>
      </c>
      <c r="BN262" s="801">
        <f t="shared" si="185"/>
        <v>1.0306492639817627E-3</v>
      </c>
      <c r="BO262" s="787">
        <f t="shared" si="186"/>
        <v>5094.3253945553251</v>
      </c>
      <c r="BP262" s="802">
        <f t="shared" si="187"/>
        <v>2114421</v>
      </c>
      <c r="BQ262" s="803">
        <f t="shared" si="151"/>
        <v>139.63947959318452</v>
      </c>
      <c r="BR262" s="682"/>
      <c r="BS262" s="618"/>
    </row>
    <row r="263" spans="1:71" ht="15.75">
      <c r="A263" s="805" t="s">
        <v>3941</v>
      </c>
      <c r="B263" s="767" t="s">
        <v>3942</v>
      </c>
      <c r="C263" s="768">
        <v>21236</v>
      </c>
      <c r="D263" s="769">
        <v>0</v>
      </c>
      <c r="E263" s="770">
        <v>0</v>
      </c>
      <c r="F263" s="771">
        <v>0</v>
      </c>
      <c r="G263" s="770">
        <v>0</v>
      </c>
      <c r="H263" s="771">
        <v>0</v>
      </c>
      <c r="I263" s="770">
        <f t="shared" si="188"/>
        <v>0</v>
      </c>
      <c r="J263" s="772">
        <f t="shared" si="155"/>
        <v>0</v>
      </c>
      <c r="K263" s="773">
        <v>4405</v>
      </c>
      <c r="L263" s="774">
        <f t="shared" si="156"/>
        <v>1.589782659928346E-3</v>
      </c>
      <c r="M263" s="775">
        <f t="shared" si="189"/>
        <v>133417.80397781305</v>
      </c>
      <c r="N263" s="806">
        <v>1644.5</v>
      </c>
      <c r="O263" s="777">
        <f t="shared" si="157"/>
        <v>1.8702015314158603E-3</v>
      </c>
      <c r="P263" s="778">
        <f t="shared" si="158"/>
        <v>156951.12772754309</v>
      </c>
      <c r="Q263" s="786">
        <f t="shared" ref="Q263:Q315" si="192">M263+P263</f>
        <v>290368.93170535611</v>
      </c>
      <c r="R263" s="692">
        <f t="shared" ref="R263:R315" si="193">Q263/C263</f>
        <v>13.673428692096257</v>
      </c>
      <c r="S263" s="807">
        <v>113738506.52</v>
      </c>
      <c r="T263" s="782">
        <f t="shared" si="152"/>
        <v>3.9649517986303167</v>
      </c>
      <c r="U263" s="777">
        <f t="shared" si="159"/>
        <v>2.1552395721776904E-3</v>
      </c>
      <c r="V263" s="783">
        <f t="shared" ref="V263:V315" si="194">S263/C263</f>
        <v>5355.9289188171024</v>
      </c>
      <c r="W263" s="778">
        <f t="shared" si="160"/>
        <v>859142.48253292532</v>
      </c>
      <c r="X263" s="784">
        <v>32692787.9388</v>
      </c>
      <c r="Y263" s="782">
        <f t="shared" si="153"/>
        <v>13.794103361395765</v>
      </c>
      <c r="Z263" s="782">
        <f t="shared" si="161"/>
        <v>2.1298308956337886E-3</v>
      </c>
      <c r="AA263" s="783">
        <f t="shared" ref="AA263:AA315" si="195">X263/C263</f>
        <v>1539.4983960632887</v>
      </c>
      <c r="AB263" s="692">
        <f t="shared" si="162"/>
        <v>500471.31012652098</v>
      </c>
      <c r="AC263" s="786">
        <f t="shared" si="163"/>
        <v>1359613.7926594464</v>
      </c>
      <c r="AD263" s="787">
        <f t="shared" ref="AD263:AD315" si="196">AC263/C263</f>
        <v>64.024006058553695</v>
      </c>
      <c r="AE263" s="788">
        <v>2372.3874999999998</v>
      </c>
      <c r="AF263" s="774">
        <f t="shared" si="164"/>
        <v>2.4675089738204E-3</v>
      </c>
      <c r="AG263" s="692">
        <f t="shared" si="165"/>
        <v>310617.58020197181</v>
      </c>
      <c r="AH263" s="786">
        <f t="shared" si="166"/>
        <v>310617.58020197181</v>
      </c>
      <c r="AI263" s="692">
        <f t="shared" ref="AI263:AI315" si="197">AH263/C263</f>
        <v>14.6269344604432</v>
      </c>
      <c r="AJ263" s="789">
        <v>1009</v>
      </c>
      <c r="AK263" s="777">
        <f t="shared" si="167"/>
        <v>1.3412452179091463E-3</v>
      </c>
      <c r="AL263" s="692">
        <f t="shared" si="168"/>
        <v>28140.008706795023</v>
      </c>
      <c r="AM263" s="790">
        <v>9.6666666666666661</v>
      </c>
      <c r="AN263" s="791">
        <f t="shared" si="169"/>
        <v>1.3959085439229834E-3</v>
      </c>
      <c r="AO263" s="778">
        <f t="shared" si="170"/>
        <v>87860.619494584782</v>
      </c>
      <c r="AP263" s="768">
        <v>80</v>
      </c>
      <c r="AQ263" s="792">
        <f t="shared" si="171"/>
        <v>1.0813002635669392E-3</v>
      </c>
      <c r="AR263" s="793">
        <f t="shared" si="172"/>
        <v>90744.923971075215</v>
      </c>
      <c r="AS263" s="794">
        <v>36.916666666666664</v>
      </c>
      <c r="AT263" s="791">
        <f t="shared" si="173"/>
        <v>1.4805407482913614E-3</v>
      </c>
      <c r="AU263" s="795">
        <f t="shared" si="174"/>
        <v>124249.99989973757</v>
      </c>
      <c r="AV263" s="796">
        <v>305</v>
      </c>
      <c r="AW263" s="791">
        <f t="shared" si="175"/>
        <v>3.8839649551752242E-3</v>
      </c>
      <c r="AX263" s="795">
        <f t="shared" si="176"/>
        <v>244462.69674511004</v>
      </c>
      <c r="AY263" s="786">
        <f t="shared" si="177"/>
        <v>575458.24881730264</v>
      </c>
      <c r="AZ263" s="787">
        <f t="shared" ref="AZ263:AZ315" si="198">AY263/C263</f>
        <v>27.098241138505493</v>
      </c>
      <c r="BA263" s="797">
        <f t="shared" si="154"/>
        <v>2536058.5533840768</v>
      </c>
      <c r="BB263" s="775">
        <v>2287553</v>
      </c>
      <c r="BC263" s="775">
        <f t="shared" si="178"/>
        <v>0</v>
      </c>
      <c r="BD263" s="775">
        <f t="shared" si="179"/>
        <v>248505.5533840768</v>
      </c>
      <c r="BE263" s="798">
        <f t="shared" si="180"/>
        <v>3.866748827871762E-4</v>
      </c>
      <c r="BF263" s="775">
        <f t="shared" si="181"/>
        <v>-511.91195478177934</v>
      </c>
      <c r="BG263" s="797">
        <f t="shared" si="182"/>
        <v>2535546.6414292948</v>
      </c>
      <c r="BH263" s="799">
        <v>6.7</v>
      </c>
      <c r="BI263" s="692">
        <f t="shared" si="191"/>
        <v>0</v>
      </c>
      <c r="BJ263" s="800">
        <v>975</v>
      </c>
      <c r="BK263" s="778">
        <f t="shared" si="183"/>
        <v>0</v>
      </c>
      <c r="BL263" s="786">
        <f t="shared" si="190"/>
        <v>2535546.6414292948</v>
      </c>
      <c r="BM263" s="692">
        <f t="shared" si="184"/>
        <v>2535546.6414292948</v>
      </c>
      <c r="BN263" s="801">
        <f t="shared" si="185"/>
        <v>1.2389066267165423E-3</v>
      </c>
      <c r="BO263" s="787">
        <f t="shared" si="186"/>
        <v>6123.7063960845526</v>
      </c>
      <c r="BP263" s="802">
        <f t="shared" si="187"/>
        <v>2541670</v>
      </c>
      <c r="BQ263" s="803">
        <f t="shared" ref="BQ263:BQ315" si="199">BP263/C263</f>
        <v>119.68685251459786</v>
      </c>
      <c r="BR263" s="682"/>
      <c r="BS263" s="618"/>
    </row>
    <row r="264" spans="1:71" ht="15.75">
      <c r="A264" s="805" t="s">
        <v>3943</v>
      </c>
      <c r="B264" s="767" t="s">
        <v>3944</v>
      </c>
      <c r="C264" s="768">
        <v>18107</v>
      </c>
      <c r="D264" s="769">
        <v>0</v>
      </c>
      <c r="E264" s="770">
        <v>0</v>
      </c>
      <c r="F264" s="771">
        <v>0</v>
      </c>
      <c r="G264" s="770">
        <v>0</v>
      </c>
      <c r="H264" s="771">
        <v>0</v>
      </c>
      <c r="I264" s="770">
        <f t="shared" si="188"/>
        <v>0</v>
      </c>
      <c r="J264" s="772">
        <f t="shared" si="155"/>
        <v>0</v>
      </c>
      <c r="K264" s="773">
        <v>8936</v>
      </c>
      <c r="L264" s="774">
        <f t="shared" si="156"/>
        <v>3.2250392393007267E-3</v>
      </c>
      <c r="M264" s="775">
        <f t="shared" si="189"/>
        <v>270651.87204216514</v>
      </c>
      <c r="N264" s="806">
        <v>2744</v>
      </c>
      <c r="O264" s="777">
        <f t="shared" si="157"/>
        <v>3.1206038322925634E-3</v>
      </c>
      <c r="P264" s="778">
        <f t="shared" si="158"/>
        <v>261887.43963780979</v>
      </c>
      <c r="Q264" s="786">
        <f t="shared" si="192"/>
        <v>532539.3116799749</v>
      </c>
      <c r="R264" s="692">
        <f t="shared" si="193"/>
        <v>29.410687119896995</v>
      </c>
      <c r="S264" s="807">
        <v>64014514.68</v>
      </c>
      <c r="T264" s="782">
        <f t="shared" ref="T264:T315" si="200">C264*C264/S264</f>
        <v>5.1217048295835026</v>
      </c>
      <c r="U264" s="777">
        <f t="shared" si="159"/>
        <v>2.7840189455884895E-3</v>
      </c>
      <c r="V264" s="783">
        <f t="shared" si="194"/>
        <v>3535.3462572485778</v>
      </c>
      <c r="W264" s="778">
        <f t="shared" si="160"/>
        <v>1109792.6092340664</v>
      </c>
      <c r="X264" s="784">
        <v>30230574.587099999</v>
      </c>
      <c r="Y264" s="782">
        <f t="shared" ref="Y264:Y315" si="201">C264*C264/X264</f>
        <v>10.84542564863805</v>
      </c>
      <c r="Z264" s="782">
        <f t="shared" si="161"/>
        <v>1.6745504957874379E-3</v>
      </c>
      <c r="AA264" s="783">
        <f t="shared" si="195"/>
        <v>1669.5518079803392</v>
      </c>
      <c r="AB264" s="692">
        <f t="shared" si="162"/>
        <v>393488.74233058095</v>
      </c>
      <c r="AC264" s="786">
        <f t="shared" si="163"/>
        <v>1503281.3515646474</v>
      </c>
      <c r="AD264" s="787">
        <f t="shared" si="196"/>
        <v>83.022110320022506</v>
      </c>
      <c r="AE264" s="788">
        <v>3623.3993</v>
      </c>
      <c r="AF264" s="774">
        <f t="shared" si="164"/>
        <v>3.7686804067567194E-3</v>
      </c>
      <c r="AG264" s="692">
        <f t="shared" si="165"/>
        <v>474413.02176458051</v>
      </c>
      <c r="AH264" s="786">
        <f t="shared" si="166"/>
        <v>474413.02176458051</v>
      </c>
      <c r="AI264" s="692">
        <f t="shared" si="197"/>
        <v>26.200531383695836</v>
      </c>
      <c r="AJ264" s="789">
        <v>1926</v>
      </c>
      <c r="AK264" s="777">
        <f t="shared" si="167"/>
        <v>2.5601965210039798E-3</v>
      </c>
      <c r="AL264" s="692">
        <f t="shared" si="168"/>
        <v>53714.228710889205</v>
      </c>
      <c r="AM264" s="790">
        <v>20</v>
      </c>
      <c r="AN264" s="791">
        <f t="shared" si="169"/>
        <v>2.8880866425992765E-3</v>
      </c>
      <c r="AO264" s="778">
        <f t="shared" si="170"/>
        <v>181780.59205776165</v>
      </c>
      <c r="AP264" s="768">
        <v>168</v>
      </c>
      <c r="AQ264" s="792">
        <f t="shared" si="171"/>
        <v>2.2707305534905723E-3</v>
      </c>
      <c r="AR264" s="793">
        <f t="shared" si="172"/>
        <v>190564.34033925793</v>
      </c>
      <c r="AS264" s="794">
        <v>37.388888888888886</v>
      </c>
      <c r="AT264" s="791">
        <f t="shared" si="173"/>
        <v>1.4994791927766535E-3</v>
      </c>
      <c r="AU264" s="795">
        <f t="shared" si="174"/>
        <v>125839.35279537002</v>
      </c>
      <c r="AV264" s="796">
        <v>106</v>
      </c>
      <c r="AW264" s="791">
        <f t="shared" si="175"/>
        <v>1.3498370008149959E-3</v>
      </c>
      <c r="AX264" s="795">
        <f t="shared" si="176"/>
        <v>84960.806081907082</v>
      </c>
      <c r="AY264" s="786">
        <f t="shared" si="177"/>
        <v>636859.31998518587</v>
      </c>
      <c r="AZ264" s="787">
        <f t="shared" si="198"/>
        <v>35.171995360091998</v>
      </c>
      <c r="BA264" s="797">
        <f t="shared" ref="BA264:BA315" si="202">I264+Q264+AC264+AH264+AY264</f>
        <v>3147093.0049943887</v>
      </c>
      <c r="BB264" s="775">
        <v>2111572</v>
      </c>
      <c r="BC264" s="775">
        <f t="shared" si="178"/>
        <v>0</v>
      </c>
      <c r="BD264" s="775">
        <f t="shared" si="179"/>
        <v>1035521.0049943887</v>
      </c>
      <c r="BE264" s="798">
        <f t="shared" si="180"/>
        <v>1.6112716910233874E-3</v>
      </c>
      <c r="BF264" s="775">
        <f t="shared" si="181"/>
        <v>-2133.1337455665748</v>
      </c>
      <c r="BG264" s="797">
        <f t="shared" si="182"/>
        <v>3144959.8712488222</v>
      </c>
      <c r="BH264" s="799">
        <v>6</v>
      </c>
      <c r="BI264" s="692">
        <f t="shared" si="191"/>
        <v>0</v>
      </c>
      <c r="BJ264" s="800">
        <v>1250</v>
      </c>
      <c r="BK264" s="778">
        <f t="shared" si="183"/>
        <v>0</v>
      </c>
      <c r="BL264" s="786">
        <f t="shared" si="190"/>
        <v>3144959.8712488222</v>
      </c>
      <c r="BM264" s="692">
        <f t="shared" si="184"/>
        <v>3144959.8712488222</v>
      </c>
      <c r="BN264" s="801">
        <f t="shared" si="185"/>
        <v>1.5366751932638114E-3</v>
      </c>
      <c r="BO264" s="787">
        <f t="shared" si="186"/>
        <v>7595.5261734563937</v>
      </c>
      <c r="BP264" s="802">
        <f t="shared" si="187"/>
        <v>3152555</v>
      </c>
      <c r="BQ264" s="803">
        <f t="shared" si="199"/>
        <v>174.10697520296017</v>
      </c>
      <c r="BR264" s="682"/>
      <c r="BS264" s="618"/>
    </row>
    <row r="265" spans="1:71" ht="15.75">
      <c r="A265" s="805" t="s">
        <v>3945</v>
      </c>
      <c r="B265" s="767" t="s">
        <v>3946</v>
      </c>
      <c r="C265" s="768">
        <v>19922</v>
      </c>
      <c r="D265" s="769">
        <v>0</v>
      </c>
      <c r="E265" s="770">
        <v>0</v>
      </c>
      <c r="F265" s="771">
        <v>0</v>
      </c>
      <c r="G265" s="770">
        <f>C265/($C$10+$C$60+$C$62+$C$67+$C$74+$C$80+$C$94+$C$105+$C$127+$C$141+$C$168+$C$175+$C$201+$C$219+$C$237+$C$255+$C$265+$C$267+$C$268+$C$273+$C$281)*$G$7</f>
        <v>1223469.0168310744</v>
      </c>
      <c r="H265" s="771">
        <v>0</v>
      </c>
      <c r="I265" s="770">
        <f t="shared" si="188"/>
        <v>1223469.0168310744</v>
      </c>
      <c r="J265" s="772">
        <f t="shared" ref="J265:J315" si="203">I265/C265</f>
        <v>61.412961390978538</v>
      </c>
      <c r="K265" s="773">
        <v>11437</v>
      </c>
      <c r="L265" s="774">
        <f t="shared" ref="L265:L315" si="204">K265/$K$7</f>
        <v>4.1276604498525528E-3</v>
      </c>
      <c r="M265" s="775">
        <f t="shared" si="189"/>
        <v>346401.68537894392</v>
      </c>
      <c r="N265" s="806">
        <v>5892.5</v>
      </c>
      <c r="O265" s="777">
        <f t="shared" ref="O265:O315" si="205">N265/$N$7</f>
        <v>6.701223790737584E-3</v>
      </c>
      <c r="P265" s="778">
        <f t="shared" ref="P265:P315" si="206">$P$7*O265</f>
        <v>562380.37101523113</v>
      </c>
      <c r="Q265" s="786">
        <f t="shared" si="192"/>
        <v>908782.05639417504</v>
      </c>
      <c r="R265" s="692">
        <f t="shared" si="193"/>
        <v>45.61700915541487</v>
      </c>
      <c r="S265" s="807">
        <v>65482393.659999989</v>
      </c>
      <c r="T265" s="782">
        <f t="shared" si="200"/>
        <v>6.0609587068659403</v>
      </c>
      <c r="U265" s="777">
        <f t="shared" ref="U265:U315" si="207">T265/$T$7</f>
        <v>3.2945717158238638E-3</v>
      </c>
      <c r="V265" s="783">
        <f t="shared" si="194"/>
        <v>3286.9387441019971</v>
      </c>
      <c r="W265" s="778">
        <f t="shared" ref="W265:W315" si="208">$W$7*U265</f>
        <v>1313314.1017616349</v>
      </c>
      <c r="X265" s="784">
        <v>21166430.672899999</v>
      </c>
      <c r="Y265" s="782">
        <f t="shared" si="201"/>
        <v>18.750732711308991</v>
      </c>
      <c r="Z265" s="782">
        <f t="shared" ref="Z265:Z315" si="209">Y265/$Y$7</f>
        <v>2.8951421341441991E-3</v>
      </c>
      <c r="AA265" s="783">
        <f t="shared" si="195"/>
        <v>1062.4651477211123</v>
      </c>
      <c r="AB265" s="692">
        <f t="shared" ref="AB265:AB315" si="210">$AB$7*Z265</f>
        <v>680305.45516453753</v>
      </c>
      <c r="AC265" s="786">
        <f t="shared" ref="AC265:AC315" si="211">W265+AB265</f>
        <v>1993619.5569261725</v>
      </c>
      <c r="AD265" s="787">
        <f t="shared" si="196"/>
        <v>100.07125574370909</v>
      </c>
      <c r="AE265" s="788">
        <v>5338.7860000000001</v>
      </c>
      <c r="AF265" s="774">
        <f t="shared" ref="AF265:AF315" si="212">AE265/$AE$7</f>
        <v>5.552845968167814E-3</v>
      </c>
      <c r="AG265" s="692">
        <f t="shared" ref="AG265:AG315" si="213">$AG$7*AF265</f>
        <v>699009.24218162696</v>
      </c>
      <c r="AH265" s="786">
        <f t="shared" ref="AH265:AH315" si="214">AG265</f>
        <v>699009.24218162696</v>
      </c>
      <c r="AI265" s="692">
        <f t="shared" si="197"/>
        <v>35.087302589179146</v>
      </c>
      <c r="AJ265" s="789">
        <v>2629</v>
      </c>
      <c r="AK265" s="777">
        <f t="shared" ref="AK265:AK315" si="215">AJ265/$AJ$7</f>
        <v>3.4946815439872601E-3</v>
      </c>
      <c r="AL265" s="692">
        <f t="shared" ref="AL265:AL315" si="216">AK265*$AL$7</f>
        <v>73320.201080440151</v>
      </c>
      <c r="AM265" s="790">
        <v>21.333333333333332</v>
      </c>
      <c r="AN265" s="791">
        <f t="shared" ref="AN265:AN315" si="217">AM265/$AM$7</f>
        <v>3.0806257521058945E-3</v>
      </c>
      <c r="AO265" s="778">
        <f t="shared" ref="AO265:AO315" si="218">AN265*$AO$7</f>
        <v>193899.29819494573</v>
      </c>
      <c r="AP265" s="768">
        <v>157</v>
      </c>
      <c r="AQ265" s="792">
        <f t="shared" ref="AQ265:AQ315" si="219">AP265/$AP$7</f>
        <v>2.1220517672501183E-3</v>
      </c>
      <c r="AR265" s="793">
        <f t="shared" ref="AR265:AR315" si="220">AQ265*$AR$7</f>
        <v>178086.91329323512</v>
      </c>
      <c r="AS265" s="794">
        <v>39.55555555555555</v>
      </c>
      <c r="AT265" s="791">
        <f t="shared" ref="AT265:AT315" si="221">AS265/$AS$7</f>
        <v>1.5863732321797581E-3</v>
      </c>
      <c r="AU265" s="795">
        <f t="shared" ref="AU265:AU315" si="222">$AU$7*AT265</f>
        <v>133131.67784591895</v>
      </c>
      <c r="AV265" s="796">
        <v>215</v>
      </c>
      <c r="AW265" s="791">
        <f t="shared" ref="AW265:AW315" si="223">AV265/$AV$7</f>
        <v>2.737876935615322E-3</v>
      </c>
      <c r="AX265" s="795">
        <f t="shared" ref="AX265:AX315" si="224">AW265*$AX$7</f>
        <v>172326.16327933985</v>
      </c>
      <c r="AY265" s="786">
        <f t="shared" ref="AY265:AY315" si="225">AX265+AU265+AR265+AO265+AL265</f>
        <v>750764.25369387993</v>
      </c>
      <c r="AZ265" s="787">
        <f t="shared" si="198"/>
        <v>37.685184905826723</v>
      </c>
      <c r="BA265" s="797">
        <f t="shared" si="202"/>
        <v>5575644.1260269284</v>
      </c>
      <c r="BB265" s="775">
        <v>3010687</v>
      </c>
      <c r="BC265" s="775">
        <f t="shared" ref="BC265:BC315" si="226">IF(BA265&gt;BB265,0,BB265-BA265)</f>
        <v>0</v>
      </c>
      <c r="BD265" s="775">
        <f t="shared" ref="BD265:BD315" si="227">IF(BA265&lt;BB265,0,BA265-BB265)</f>
        <v>2564957.1260269284</v>
      </c>
      <c r="BE265" s="798">
        <f t="shared" ref="BE265:BE315" si="228">BD265/$BD$7</f>
        <v>3.9910757830337708E-3</v>
      </c>
      <c r="BF265" s="775">
        <f t="shared" ref="BF265:BF315" si="229">$BF$7*BE265</f>
        <v>-5283.7137779635359</v>
      </c>
      <c r="BG265" s="797">
        <f t="shared" ref="BG265:BG315" si="230">BA265+BC265+BF265</f>
        <v>5570360.4122489654</v>
      </c>
      <c r="BH265" s="799">
        <v>7</v>
      </c>
      <c r="BI265" s="692">
        <f t="shared" si="191"/>
        <v>0</v>
      </c>
      <c r="BJ265" s="800">
        <v>1250</v>
      </c>
      <c r="BK265" s="778">
        <f t="shared" ref="BK265:BK315" si="231">IF(BJ265&gt;=700,0,BG265*(700-BJ265)/700*-0.25)</f>
        <v>0</v>
      </c>
      <c r="BL265" s="786">
        <f t="shared" si="190"/>
        <v>5570360.4122489654</v>
      </c>
      <c r="BM265" s="692">
        <f t="shared" ref="BM265:BM315" si="232">IF(BH265&lt;5,0,IF(BJ265&lt;700,0,IF(BC265&lt;&gt;0,0,BL265)))</f>
        <v>5570360.4122489654</v>
      </c>
      <c r="BN265" s="801">
        <f t="shared" ref="BN265:BN315" si="233">BM265/$BM$7</f>
        <v>2.7217627612026621E-3</v>
      </c>
      <c r="BO265" s="787">
        <f t="shared" ref="BO265:BO315" si="234">$BO$7*BN265</f>
        <v>13453.214043720594</v>
      </c>
      <c r="BP265" s="802">
        <f t="shared" ref="BP265:BP315" si="235">ROUND(BG265+BI265+BO265,0)</f>
        <v>5583814</v>
      </c>
      <c r="BQ265" s="803">
        <f t="shared" si="199"/>
        <v>280.28380684670213</v>
      </c>
      <c r="BR265" s="682"/>
      <c r="BS265" s="618"/>
    </row>
    <row r="266" spans="1:71" ht="15.75">
      <c r="A266" s="766" t="s">
        <v>3947</v>
      </c>
      <c r="B266" s="767" t="s">
        <v>3948</v>
      </c>
      <c r="C266" s="768">
        <v>10539</v>
      </c>
      <c r="D266" s="769">
        <v>0</v>
      </c>
      <c r="E266" s="770">
        <v>0</v>
      </c>
      <c r="F266" s="771">
        <v>0</v>
      </c>
      <c r="G266" s="770">
        <v>0</v>
      </c>
      <c r="H266" s="771">
        <v>0</v>
      </c>
      <c r="I266" s="770">
        <f t="shared" ref="I266:I315" si="236">SUM(D266:H266)</f>
        <v>0</v>
      </c>
      <c r="J266" s="772">
        <f t="shared" si="203"/>
        <v>0</v>
      </c>
      <c r="K266" s="773">
        <v>2643</v>
      </c>
      <c r="L266" s="774">
        <f t="shared" si="204"/>
        <v>9.5386959595700769E-4</v>
      </c>
      <c r="M266" s="775">
        <f t="shared" ref="M266:M315" si="237">$M$7*L266</f>
        <v>80050.68238668784</v>
      </c>
      <c r="N266" s="806">
        <v>311</v>
      </c>
      <c r="O266" s="777">
        <f t="shared" si="205"/>
        <v>3.5368359761041811E-4</v>
      </c>
      <c r="P266" s="778">
        <f t="shared" si="206"/>
        <v>29681.849026005413</v>
      </c>
      <c r="Q266" s="786">
        <f t="shared" si="192"/>
        <v>109732.53141269325</v>
      </c>
      <c r="R266" s="692">
        <f t="shared" si="193"/>
        <v>10.412043971220537</v>
      </c>
      <c r="S266" s="807">
        <v>43384931.220000006</v>
      </c>
      <c r="T266" s="782">
        <f t="shared" si="200"/>
        <v>2.5601174849574875</v>
      </c>
      <c r="U266" s="777">
        <f t="shared" si="207"/>
        <v>1.3916099849966561E-3</v>
      </c>
      <c r="V266" s="783">
        <f t="shared" si="194"/>
        <v>4116.6079533162547</v>
      </c>
      <c r="W266" s="778">
        <f t="shared" si="208"/>
        <v>554737.05692012166</v>
      </c>
      <c r="X266" s="784">
        <v>7386509.2631000001</v>
      </c>
      <c r="Y266" s="782">
        <f t="shared" si="201"/>
        <v>15.03694330349834</v>
      </c>
      <c r="Z266" s="782">
        <f t="shared" si="209"/>
        <v>2.3217273051116083E-3</v>
      </c>
      <c r="AA266" s="783">
        <f t="shared" si="195"/>
        <v>700.87382703292531</v>
      </c>
      <c r="AB266" s="692">
        <f t="shared" si="210"/>
        <v>545563.4569522721</v>
      </c>
      <c r="AC266" s="786">
        <f t="shared" si="211"/>
        <v>1100300.5138723939</v>
      </c>
      <c r="AD266" s="787">
        <f t="shared" si="196"/>
        <v>104.40274351194553</v>
      </c>
      <c r="AE266" s="788">
        <v>3547.2159000000001</v>
      </c>
      <c r="AF266" s="774">
        <f t="shared" si="212"/>
        <v>3.6894424141622768E-3</v>
      </c>
      <c r="AG266" s="692">
        <f t="shared" si="213"/>
        <v>464438.30078853475</v>
      </c>
      <c r="AH266" s="786">
        <f t="shared" si="214"/>
        <v>464438.30078853475</v>
      </c>
      <c r="AI266" s="692">
        <f t="shared" si="197"/>
        <v>44.068535989044001</v>
      </c>
      <c r="AJ266" s="789">
        <v>999</v>
      </c>
      <c r="AK266" s="777">
        <f t="shared" si="215"/>
        <v>1.3279524010815036E-3</v>
      </c>
      <c r="AL266" s="692">
        <f t="shared" si="216"/>
        <v>27861.118630414498</v>
      </c>
      <c r="AM266" s="790">
        <v>7</v>
      </c>
      <c r="AN266" s="791">
        <f t="shared" si="217"/>
        <v>1.0108303249097468E-3</v>
      </c>
      <c r="AO266" s="778">
        <f t="shared" si="218"/>
        <v>63623.207220216573</v>
      </c>
      <c r="AP266" s="768">
        <v>61</v>
      </c>
      <c r="AQ266" s="792">
        <f t="shared" si="219"/>
        <v>8.2449145096979114E-4</v>
      </c>
      <c r="AR266" s="793">
        <f t="shared" si="220"/>
        <v>69193.004527944853</v>
      </c>
      <c r="AS266" s="794">
        <v>17.638888888888889</v>
      </c>
      <c r="AT266" s="791">
        <f t="shared" si="221"/>
        <v>7.0740660283296816E-4</v>
      </c>
      <c r="AU266" s="795">
        <f t="shared" si="222"/>
        <v>59367.005219212471</v>
      </c>
      <c r="AV266" s="796">
        <v>16</v>
      </c>
      <c r="AW266" s="791">
        <f t="shared" si="223"/>
        <v>2.0374898125509371E-4</v>
      </c>
      <c r="AX266" s="795">
        <f t="shared" si="224"/>
        <v>12824.272616136919</v>
      </c>
      <c r="AY266" s="786">
        <f t="shared" si="225"/>
        <v>232868.60821392533</v>
      </c>
      <c r="AZ266" s="787">
        <f t="shared" si="198"/>
        <v>22.095892230185534</v>
      </c>
      <c r="BA266" s="797">
        <f t="shared" si="202"/>
        <v>1907339.9542875472</v>
      </c>
      <c r="BB266" s="775">
        <v>1314035</v>
      </c>
      <c r="BC266" s="775">
        <f t="shared" si="226"/>
        <v>0</v>
      </c>
      <c r="BD266" s="775">
        <f t="shared" si="227"/>
        <v>593304.95428754715</v>
      </c>
      <c r="BE266" s="798">
        <f t="shared" si="228"/>
        <v>9.23183085979632E-4</v>
      </c>
      <c r="BF266" s="775">
        <f t="shared" si="229"/>
        <v>-1222.1855600210242</v>
      </c>
      <c r="BG266" s="797">
        <f t="shared" si="230"/>
        <v>1906117.7687275261</v>
      </c>
      <c r="BH266" s="799">
        <v>8.5</v>
      </c>
      <c r="BI266" s="692">
        <f t="shared" si="191"/>
        <v>0</v>
      </c>
      <c r="BJ266" s="800">
        <v>1500</v>
      </c>
      <c r="BK266" s="778">
        <f t="shared" si="231"/>
        <v>0</v>
      </c>
      <c r="BL266" s="786">
        <f t="shared" ref="BL266:BL315" si="238">BG266+BI266+BK266</f>
        <v>1906117.7687275261</v>
      </c>
      <c r="BM266" s="692">
        <f t="shared" si="232"/>
        <v>1906117.7687275261</v>
      </c>
      <c r="BN266" s="801">
        <f t="shared" si="233"/>
        <v>9.3135811283972137E-4</v>
      </c>
      <c r="BO266" s="787">
        <f t="shared" si="234"/>
        <v>4603.5459893837105</v>
      </c>
      <c r="BP266" s="802">
        <f t="shared" si="235"/>
        <v>1910721</v>
      </c>
      <c r="BQ266" s="803">
        <f t="shared" si="199"/>
        <v>181.30002846569883</v>
      </c>
      <c r="BR266" s="682"/>
      <c r="BS266" s="618"/>
    </row>
    <row r="267" spans="1:71" ht="15.75">
      <c r="A267" s="805" t="s">
        <v>3949</v>
      </c>
      <c r="B267" s="767" t="s">
        <v>3950</v>
      </c>
      <c r="C267" s="768">
        <v>32987</v>
      </c>
      <c r="D267" s="769">
        <v>0</v>
      </c>
      <c r="E267" s="770">
        <v>0</v>
      </c>
      <c r="F267" s="771">
        <v>0</v>
      </c>
      <c r="G267" s="770">
        <f>C267/($C$10+$C$60+$C$62+$C$67+$C$74+$C$80+$C$94+$C$105+$C$127+$C$141+$C$168+$C$175+$C$201+$C$219+$C$237+$C$255+$C$265+$C$267+$C$268+$C$273+$C$281)*$G$7</f>
        <v>2025829.3574042092</v>
      </c>
      <c r="H267" s="771">
        <v>0</v>
      </c>
      <c r="I267" s="770">
        <f t="shared" si="236"/>
        <v>2025829.3574042092</v>
      </c>
      <c r="J267" s="772">
        <f t="shared" si="203"/>
        <v>61.412961390978545</v>
      </c>
      <c r="K267" s="773">
        <v>15242</v>
      </c>
      <c r="L267" s="774">
        <f t="shared" si="204"/>
        <v>5.5009006362378779E-3</v>
      </c>
      <c r="M267" s="775">
        <f t="shared" si="237"/>
        <v>461646.80323038064</v>
      </c>
      <c r="N267" s="806">
        <v>4031.5</v>
      </c>
      <c r="O267" s="777">
        <f t="shared" si="205"/>
        <v>4.5848084365479116E-3</v>
      </c>
      <c r="P267" s="778">
        <f t="shared" si="206"/>
        <v>384766.47700431128</v>
      </c>
      <c r="Q267" s="786">
        <f t="shared" si="192"/>
        <v>846413.28023469192</v>
      </c>
      <c r="R267" s="692">
        <f t="shared" si="193"/>
        <v>25.658995368923875</v>
      </c>
      <c r="S267" s="807">
        <v>121350702.13999999</v>
      </c>
      <c r="T267" s="782">
        <f t="shared" si="200"/>
        <v>8.9669210792421392</v>
      </c>
      <c r="U267" s="777">
        <f t="shared" si="207"/>
        <v>4.8741735415933725E-3</v>
      </c>
      <c r="V267" s="783">
        <f t="shared" si="194"/>
        <v>3678.7432061114982</v>
      </c>
      <c r="W267" s="778">
        <f t="shared" si="208"/>
        <v>1942990.2878915682</v>
      </c>
      <c r="X267" s="784">
        <v>39609135.929700002</v>
      </c>
      <c r="Y267" s="782">
        <f t="shared" si="201"/>
        <v>27.47199966521061</v>
      </c>
      <c r="Z267" s="782">
        <f t="shared" si="209"/>
        <v>4.2417192418287208E-3</v>
      </c>
      <c r="AA267" s="783">
        <f t="shared" si="195"/>
        <v>1200.7498690302241</v>
      </c>
      <c r="AB267" s="692">
        <f t="shared" si="210"/>
        <v>996726.4492682548</v>
      </c>
      <c r="AC267" s="786">
        <f t="shared" si="211"/>
        <v>2939716.7371598231</v>
      </c>
      <c r="AD267" s="787">
        <f t="shared" si="196"/>
        <v>89.117432235723868</v>
      </c>
      <c r="AE267" s="788">
        <v>5277.6121000000003</v>
      </c>
      <c r="AF267" s="774">
        <f t="shared" si="212"/>
        <v>5.4892192852529905E-3</v>
      </c>
      <c r="AG267" s="692">
        <f t="shared" si="213"/>
        <v>690999.72063865932</v>
      </c>
      <c r="AH267" s="786">
        <f t="shared" si="214"/>
        <v>690999.72063865932</v>
      </c>
      <c r="AI267" s="692">
        <f t="shared" si="197"/>
        <v>20.947637573548953</v>
      </c>
      <c r="AJ267" s="789">
        <v>3670</v>
      </c>
      <c r="AK267" s="777">
        <f t="shared" si="215"/>
        <v>4.8784637757448629E-3</v>
      </c>
      <c r="AL267" s="692">
        <f t="shared" si="216"/>
        <v>102352.65803165286</v>
      </c>
      <c r="AM267" s="790">
        <v>52.333333333333336</v>
      </c>
      <c r="AN267" s="791">
        <f t="shared" si="217"/>
        <v>7.5571600481347733E-3</v>
      </c>
      <c r="AO267" s="778">
        <f t="shared" si="218"/>
        <v>475659.21588447626</v>
      </c>
      <c r="AP267" s="768">
        <v>433</v>
      </c>
      <c r="AQ267" s="792">
        <f t="shared" si="219"/>
        <v>5.8525376765560582E-3</v>
      </c>
      <c r="AR267" s="793">
        <f t="shared" si="220"/>
        <v>491156.90099344461</v>
      </c>
      <c r="AS267" s="794">
        <v>141.19444444444446</v>
      </c>
      <c r="AT267" s="791">
        <f t="shared" si="221"/>
        <v>5.6625949011023264E-3</v>
      </c>
      <c r="AU267" s="795">
        <f t="shared" si="222"/>
        <v>475216.51579410548</v>
      </c>
      <c r="AV267" s="796">
        <v>393</v>
      </c>
      <c r="AW267" s="791">
        <f t="shared" si="223"/>
        <v>5.0045843520782392E-3</v>
      </c>
      <c r="AX267" s="795">
        <f t="shared" si="224"/>
        <v>314996.19613386306</v>
      </c>
      <c r="AY267" s="786">
        <f t="shared" si="225"/>
        <v>1859381.4868375422</v>
      </c>
      <c r="AZ267" s="787">
        <f t="shared" si="198"/>
        <v>56.367098761255711</v>
      </c>
      <c r="BA267" s="797">
        <f t="shared" si="202"/>
        <v>8362340.582274925</v>
      </c>
      <c r="BB267" s="775">
        <v>5707146</v>
      </c>
      <c r="BC267" s="775">
        <f t="shared" si="226"/>
        <v>0</v>
      </c>
      <c r="BD267" s="775">
        <f t="shared" si="227"/>
        <v>2655194.582274925</v>
      </c>
      <c r="BE267" s="798">
        <f t="shared" si="228"/>
        <v>4.1314853527296995E-3</v>
      </c>
      <c r="BF267" s="775">
        <f t="shared" si="229"/>
        <v>-5469.5994935678573</v>
      </c>
      <c r="BG267" s="797">
        <f t="shared" si="230"/>
        <v>8356870.9827813571</v>
      </c>
      <c r="BH267" s="799">
        <v>7.9</v>
      </c>
      <c r="BI267" s="692">
        <f t="shared" si="191"/>
        <v>0</v>
      </c>
      <c r="BJ267" s="800">
        <v>1400</v>
      </c>
      <c r="BK267" s="778">
        <f t="shared" si="231"/>
        <v>0</v>
      </c>
      <c r="BL267" s="786">
        <f t="shared" si="238"/>
        <v>8356870.9827813571</v>
      </c>
      <c r="BM267" s="692">
        <f t="shared" si="232"/>
        <v>8356870.9827813571</v>
      </c>
      <c r="BN267" s="801">
        <f t="shared" si="233"/>
        <v>4.0832941780738746E-3</v>
      </c>
      <c r="BO267" s="787">
        <f t="shared" si="234"/>
        <v>20183.034085172294</v>
      </c>
      <c r="BP267" s="802">
        <f t="shared" si="235"/>
        <v>8377054</v>
      </c>
      <c r="BQ267" s="803">
        <f t="shared" si="199"/>
        <v>253.95016218510321</v>
      </c>
      <c r="BR267" s="682"/>
      <c r="BS267" s="618"/>
    </row>
    <row r="268" spans="1:71" ht="15.75">
      <c r="A268" s="766" t="s">
        <v>3951</v>
      </c>
      <c r="B268" s="767" t="s">
        <v>3952</v>
      </c>
      <c r="C268" s="768">
        <v>30557</v>
      </c>
      <c r="D268" s="769">
        <v>0</v>
      </c>
      <c r="E268" s="770">
        <v>0</v>
      </c>
      <c r="F268" s="771">
        <v>0</v>
      </c>
      <c r="G268" s="770">
        <f>C268/($C$10+$C$60+$C$62+$C$67+$C$74+$C$80+$C$94+$C$105+$C$127+$C$141+$C$168+$C$175+$C$201+$C$219+$C$237+$C$255+$C$265+$C$267+$C$268+$C$273+$C$281)*$G$7</f>
        <v>1876595.8612241314</v>
      </c>
      <c r="H268" s="771">
        <v>0</v>
      </c>
      <c r="I268" s="770">
        <f t="shared" si="236"/>
        <v>1876595.8612241314</v>
      </c>
      <c r="J268" s="772">
        <f t="shared" si="203"/>
        <v>61.412961390978545</v>
      </c>
      <c r="K268" s="773">
        <v>13153</v>
      </c>
      <c r="L268" s="774">
        <f t="shared" si="204"/>
        <v>4.7469719241855926E-3</v>
      </c>
      <c r="M268" s="775">
        <f t="shared" si="237"/>
        <v>398375.56770038028</v>
      </c>
      <c r="N268" s="806">
        <v>4356.5</v>
      </c>
      <c r="O268" s="777">
        <f t="shared" si="205"/>
        <v>4.9544134822822709E-3</v>
      </c>
      <c r="P268" s="778">
        <f t="shared" si="206"/>
        <v>415784.48643663205</v>
      </c>
      <c r="Q268" s="786">
        <f t="shared" si="192"/>
        <v>814160.05413701234</v>
      </c>
      <c r="R268" s="692">
        <f t="shared" si="193"/>
        <v>26.643978601859224</v>
      </c>
      <c r="S268" s="807">
        <v>97913948.070000008</v>
      </c>
      <c r="T268" s="782">
        <f t="shared" si="200"/>
        <v>9.5362332681393216</v>
      </c>
      <c r="U268" s="777">
        <f t="shared" si="207"/>
        <v>5.1836361077860242E-3</v>
      </c>
      <c r="V268" s="783">
        <f t="shared" si="194"/>
        <v>3204.3050060542596</v>
      </c>
      <c r="W268" s="778">
        <f t="shared" si="208"/>
        <v>2066351.2547195493</v>
      </c>
      <c r="X268" s="784">
        <v>25876942.1556</v>
      </c>
      <c r="Y268" s="782">
        <f t="shared" si="201"/>
        <v>36.083484802238601</v>
      </c>
      <c r="Z268" s="782">
        <f t="shared" si="209"/>
        <v>5.571345867178115E-3</v>
      </c>
      <c r="AA268" s="783">
        <f t="shared" si="195"/>
        <v>846.84171075694599</v>
      </c>
      <c r="AB268" s="692">
        <f t="shared" si="210"/>
        <v>1309164.3900136382</v>
      </c>
      <c r="AC268" s="786">
        <f t="shared" si="211"/>
        <v>3375515.6447331877</v>
      </c>
      <c r="AD268" s="787">
        <f t="shared" si="196"/>
        <v>110.46619906185776</v>
      </c>
      <c r="AE268" s="788">
        <v>6961.3903</v>
      </c>
      <c r="AF268" s="774">
        <f t="shared" si="212"/>
        <v>7.2405089959023507E-3</v>
      </c>
      <c r="AG268" s="692">
        <f t="shared" si="213"/>
        <v>911457.4283617154</v>
      </c>
      <c r="AH268" s="786">
        <f t="shared" si="214"/>
        <v>911457.4283617154</v>
      </c>
      <c r="AI268" s="692">
        <f t="shared" si="197"/>
        <v>29.828105781382838</v>
      </c>
      <c r="AJ268" s="789">
        <v>4466</v>
      </c>
      <c r="AK268" s="777">
        <f t="shared" si="215"/>
        <v>5.9365719952252198E-3</v>
      </c>
      <c r="AL268" s="692">
        <f t="shared" si="216"/>
        <v>124552.30811154268</v>
      </c>
      <c r="AM268" s="790">
        <v>19</v>
      </c>
      <c r="AN268" s="791">
        <f t="shared" si="217"/>
        <v>2.7436823104693125E-3</v>
      </c>
      <c r="AO268" s="778">
        <f t="shared" si="218"/>
        <v>172691.56245487355</v>
      </c>
      <c r="AP268" s="768">
        <v>436</v>
      </c>
      <c r="AQ268" s="792">
        <f t="shared" si="219"/>
        <v>5.8930864364398188E-3</v>
      </c>
      <c r="AR268" s="793">
        <f t="shared" si="220"/>
        <v>494559.83564235992</v>
      </c>
      <c r="AS268" s="794">
        <v>88.1388888888889</v>
      </c>
      <c r="AT268" s="791">
        <f t="shared" si="221"/>
        <v>3.5348049618724535E-3</v>
      </c>
      <c r="AU268" s="795">
        <f t="shared" si="222"/>
        <v>296648.04340245854</v>
      </c>
      <c r="AV268" s="796">
        <v>505</v>
      </c>
      <c r="AW268" s="791">
        <f t="shared" si="223"/>
        <v>6.4308272208638958E-3</v>
      </c>
      <c r="AX268" s="795">
        <f t="shared" si="224"/>
        <v>404766.1044468215</v>
      </c>
      <c r="AY268" s="786">
        <f t="shared" si="225"/>
        <v>1493217.8540580561</v>
      </c>
      <c r="AZ268" s="787">
        <f t="shared" si="198"/>
        <v>48.866637891745135</v>
      </c>
      <c r="BA268" s="797">
        <f t="shared" si="202"/>
        <v>8470946.8425141033</v>
      </c>
      <c r="BB268" s="775">
        <v>5804668</v>
      </c>
      <c r="BC268" s="775">
        <f t="shared" si="226"/>
        <v>0</v>
      </c>
      <c r="BD268" s="775">
        <f t="shared" si="227"/>
        <v>2666278.8425141033</v>
      </c>
      <c r="BE268" s="798">
        <f t="shared" si="228"/>
        <v>4.1487324724435301E-3</v>
      </c>
      <c r="BF268" s="775">
        <f t="shared" si="229"/>
        <v>-5492.432646586285</v>
      </c>
      <c r="BG268" s="797">
        <f t="shared" si="230"/>
        <v>8465454.4098675177</v>
      </c>
      <c r="BH268" s="799">
        <v>8.5</v>
      </c>
      <c r="BI268" s="692">
        <f t="shared" ref="BI268:BI315" si="239">IF(BH268&gt;=5,0,BG268*(5-BH268)/5*-0.25)</f>
        <v>0</v>
      </c>
      <c r="BJ268" s="800">
        <v>1250</v>
      </c>
      <c r="BK268" s="778">
        <f t="shared" si="231"/>
        <v>0</v>
      </c>
      <c r="BL268" s="786">
        <f t="shared" si="238"/>
        <v>8465454.4098675177</v>
      </c>
      <c r="BM268" s="692">
        <f t="shared" si="232"/>
        <v>8465454.4098675177</v>
      </c>
      <c r="BN268" s="801">
        <f t="shared" si="233"/>
        <v>4.1363496909051457E-3</v>
      </c>
      <c r="BO268" s="787">
        <f t="shared" si="234"/>
        <v>20445.278532224344</v>
      </c>
      <c r="BP268" s="802">
        <f t="shared" si="235"/>
        <v>8485900</v>
      </c>
      <c r="BQ268" s="803">
        <f t="shared" si="199"/>
        <v>277.70723565795072</v>
      </c>
      <c r="BR268" s="682"/>
      <c r="BS268" s="618"/>
    </row>
    <row r="269" spans="1:71" ht="15.75">
      <c r="A269" s="766" t="s">
        <v>3953</v>
      </c>
      <c r="B269" s="767" t="s">
        <v>3954</v>
      </c>
      <c r="C269" s="768">
        <v>20149</v>
      </c>
      <c r="D269" s="769">
        <v>0</v>
      </c>
      <c r="E269" s="770">
        <v>0</v>
      </c>
      <c r="F269" s="771">
        <v>0</v>
      </c>
      <c r="G269" s="770">
        <v>0</v>
      </c>
      <c r="H269" s="771">
        <v>0</v>
      </c>
      <c r="I269" s="770">
        <f t="shared" si="236"/>
        <v>0</v>
      </c>
      <c r="J269" s="772">
        <f t="shared" si="203"/>
        <v>0</v>
      </c>
      <c r="K269" s="773">
        <v>8328</v>
      </c>
      <c r="L269" s="774">
        <f t="shared" si="204"/>
        <v>3.0056095327771321E-3</v>
      </c>
      <c r="M269" s="775">
        <f t="shared" si="237"/>
        <v>252236.8834341038</v>
      </c>
      <c r="N269" s="806">
        <v>5307.5</v>
      </c>
      <c r="O269" s="777">
        <f t="shared" si="205"/>
        <v>6.0359347084157364E-3</v>
      </c>
      <c r="P269" s="778">
        <f t="shared" si="206"/>
        <v>506547.95403705374</v>
      </c>
      <c r="Q269" s="786">
        <f t="shared" si="192"/>
        <v>758784.83747115755</v>
      </c>
      <c r="R269" s="692">
        <f t="shared" si="193"/>
        <v>37.65868467274592</v>
      </c>
      <c r="S269" s="807">
        <v>66212264.779999986</v>
      </c>
      <c r="T269" s="782">
        <f t="shared" si="200"/>
        <v>6.1315256674716645</v>
      </c>
      <c r="U269" s="777">
        <f t="shared" si="207"/>
        <v>3.3329299894448191E-3</v>
      </c>
      <c r="V269" s="783">
        <f t="shared" si="194"/>
        <v>3286.1315588862963</v>
      </c>
      <c r="W269" s="778">
        <f t="shared" si="208"/>
        <v>1328604.8484840915</v>
      </c>
      <c r="X269" s="784">
        <v>14145645.27</v>
      </c>
      <c r="Y269" s="782">
        <f t="shared" si="201"/>
        <v>28.700154234816324</v>
      </c>
      <c r="Z269" s="782">
        <f t="shared" si="209"/>
        <v>4.431348207077781E-3</v>
      </c>
      <c r="AA269" s="783">
        <f t="shared" si="195"/>
        <v>702.05197627673829</v>
      </c>
      <c r="AB269" s="692">
        <f t="shared" si="210"/>
        <v>1041285.7881672675</v>
      </c>
      <c r="AC269" s="786">
        <f t="shared" si="211"/>
        <v>2369890.636651359</v>
      </c>
      <c r="AD269" s="787">
        <f t="shared" si="196"/>
        <v>117.61827567876118</v>
      </c>
      <c r="AE269" s="788">
        <v>3212.8568</v>
      </c>
      <c r="AF269" s="774">
        <f t="shared" si="212"/>
        <v>3.3416771019067902E-3</v>
      </c>
      <c r="AG269" s="692">
        <f t="shared" si="213"/>
        <v>420660.53911995859</v>
      </c>
      <c r="AH269" s="786">
        <f t="shared" si="214"/>
        <v>420660.53911995859</v>
      </c>
      <c r="AI269" s="692">
        <f t="shared" si="197"/>
        <v>20.877489658045491</v>
      </c>
      <c r="AJ269" s="789">
        <v>2579</v>
      </c>
      <c r="AK269" s="777">
        <f t="shared" si="215"/>
        <v>3.4282174598490468E-3</v>
      </c>
      <c r="AL269" s="692">
        <f t="shared" si="216"/>
        <v>71925.750698537522</v>
      </c>
      <c r="AM269" s="790">
        <v>19</v>
      </c>
      <c r="AN269" s="791">
        <f t="shared" si="217"/>
        <v>2.7436823104693125E-3</v>
      </c>
      <c r="AO269" s="778">
        <f t="shared" si="218"/>
        <v>172691.56245487355</v>
      </c>
      <c r="AP269" s="768">
        <v>186</v>
      </c>
      <c r="AQ269" s="792">
        <f t="shared" si="219"/>
        <v>2.5140231127931336E-3</v>
      </c>
      <c r="AR269" s="793">
        <f t="shared" si="220"/>
        <v>210981.94823274986</v>
      </c>
      <c r="AS269" s="794">
        <v>36.249999999999993</v>
      </c>
      <c r="AT269" s="791">
        <f t="shared" si="221"/>
        <v>1.4538041207827136E-3</v>
      </c>
      <c r="AU269" s="795">
        <f t="shared" si="222"/>
        <v>122006.20757649172</v>
      </c>
      <c r="AV269" s="796">
        <v>40</v>
      </c>
      <c r="AW269" s="791">
        <f t="shared" si="223"/>
        <v>5.0937245313773427E-4</v>
      </c>
      <c r="AX269" s="795">
        <f t="shared" si="224"/>
        <v>32060.681540342295</v>
      </c>
      <c r="AY269" s="786">
        <f t="shared" si="225"/>
        <v>609666.15050299501</v>
      </c>
      <c r="AZ269" s="787">
        <f t="shared" si="198"/>
        <v>30.257886272420219</v>
      </c>
      <c r="BA269" s="797">
        <f t="shared" si="202"/>
        <v>4159002.1637454703</v>
      </c>
      <c r="BB269" s="775">
        <v>2869461</v>
      </c>
      <c r="BC269" s="775">
        <f t="shared" si="226"/>
        <v>0</v>
      </c>
      <c r="BD269" s="775">
        <f t="shared" si="227"/>
        <v>1289541.1637454703</v>
      </c>
      <c r="BE269" s="798">
        <f t="shared" si="228"/>
        <v>2.0065273051256844E-3</v>
      </c>
      <c r="BF269" s="775">
        <f t="shared" si="229"/>
        <v>-2656.4055769178344</v>
      </c>
      <c r="BG269" s="797">
        <f t="shared" si="230"/>
        <v>4156345.7581685525</v>
      </c>
      <c r="BH269" s="799">
        <v>8</v>
      </c>
      <c r="BI269" s="692">
        <f t="shared" si="239"/>
        <v>0</v>
      </c>
      <c r="BJ269" s="800">
        <v>1750</v>
      </c>
      <c r="BK269" s="778">
        <f t="shared" si="231"/>
        <v>0</v>
      </c>
      <c r="BL269" s="786">
        <f t="shared" si="238"/>
        <v>4156345.7581685525</v>
      </c>
      <c r="BM269" s="692">
        <f t="shared" si="232"/>
        <v>4156345.7581685525</v>
      </c>
      <c r="BN269" s="801">
        <f t="shared" si="233"/>
        <v>2.0308537096432673E-3</v>
      </c>
      <c r="BO269" s="787">
        <f t="shared" si="234"/>
        <v>10038.167189576194</v>
      </c>
      <c r="BP269" s="802">
        <f t="shared" si="235"/>
        <v>4166384</v>
      </c>
      <c r="BQ269" s="803">
        <f t="shared" si="199"/>
        <v>206.77869869472431</v>
      </c>
      <c r="BR269" s="682"/>
      <c r="BS269" s="618"/>
    </row>
    <row r="270" spans="1:71" ht="15.75">
      <c r="A270" s="766" t="s">
        <v>3955</v>
      </c>
      <c r="B270" s="767" t="s">
        <v>3956</v>
      </c>
      <c r="C270" s="768">
        <v>14679</v>
      </c>
      <c r="D270" s="769">
        <v>0</v>
      </c>
      <c r="E270" s="770">
        <v>0</v>
      </c>
      <c r="F270" s="771">
        <v>0</v>
      </c>
      <c r="G270" s="770">
        <v>0</v>
      </c>
      <c r="H270" s="771">
        <v>0</v>
      </c>
      <c r="I270" s="770">
        <f t="shared" si="236"/>
        <v>0</v>
      </c>
      <c r="J270" s="772">
        <f t="shared" si="203"/>
        <v>0</v>
      </c>
      <c r="K270" s="773">
        <v>3415</v>
      </c>
      <c r="L270" s="774">
        <f t="shared" si="204"/>
        <v>1.2324875785823615E-3</v>
      </c>
      <c r="M270" s="775">
        <f t="shared" si="237"/>
        <v>103432.87186929208</v>
      </c>
      <c r="N270" s="806">
        <v>78.5</v>
      </c>
      <c r="O270" s="777">
        <f t="shared" si="205"/>
        <v>8.9273834123529969E-5</v>
      </c>
      <c r="P270" s="778">
        <f t="shared" si="206"/>
        <v>7492.0422782682472</v>
      </c>
      <c r="Q270" s="786">
        <f t="shared" si="192"/>
        <v>110924.91414756032</v>
      </c>
      <c r="R270" s="692">
        <f t="shared" si="193"/>
        <v>7.5567078239362573</v>
      </c>
      <c r="S270" s="807">
        <v>60774006.599999994</v>
      </c>
      <c r="T270" s="782">
        <f t="shared" si="200"/>
        <v>3.5454802645840373</v>
      </c>
      <c r="U270" s="777">
        <f t="shared" si="207"/>
        <v>1.9272262959782347E-3</v>
      </c>
      <c r="V270" s="783">
        <f t="shared" si="194"/>
        <v>4140.2007357449411</v>
      </c>
      <c r="W270" s="778">
        <f t="shared" si="208"/>
        <v>768249.62092565198</v>
      </c>
      <c r="X270" s="784">
        <v>14193307.5097</v>
      </c>
      <c r="Y270" s="782">
        <f t="shared" si="201"/>
        <v>15.181312802018928</v>
      </c>
      <c r="Z270" s="782">
        <f t="shared" si="209"/>
        <v>2.3440181789930398E-3</v>
      </c>
      <c r="AA270" s="783">
        <f t="shared" si="195"/>
        <v>966.91242657537987</v>
      </c>
      <c r="AB270" s="692">
        <f t="shared" si="210"/>
        <v>550801.40465890698</v>
      </c>
      <c r="AC270" s="786">
        <f t="shared" si="211"/>
        <v>1319051.025584559</v>
      </c>
      <c r="AD270" s="787">
        <f t="shared" si="196"/>
        <v>89.859733332281422</v>
      </c>
      <c r="AE270" s="788">
        <v>1293.2651000000001</v>
      </c>
      <c r="AF270" s="774">
        <f t="shared" si="212"/>
        <v>1.3451188896328014E-3</v>
      </c>
      <c r="AG270" s="692">
        <f t="shared" si="213"/>
        <v>169327.68189077932</v>
      </c>
      <c r="AH270" s="786">
        <f t="shared" si="214"/>
        <v>169327.68189077932</v>
      </c>
      <c r="AI270" s="692">
        <f t="shared" si="197"/>
        <v>11.535369023147307</v>
      </c>
      <c r="AJ270" s="789">
        <v>1631</v>
      </c>
      <c r="AK270" s="777">
        <f t="shared" si="215"/>
        <v>2.1680584245885206E-3</v>
      </c>
      <c r="AL270" s="692">
        <f t="shared" si="216"/>
        <v>45486.971457663705</v>
      </c>
      <c r="AM270" s="790">
        <v>6</v>
      </c>
      <c r="AN270" s="791">
        <f t="shared" si="217"/>
        <v>8.6642599277978296E-4</v>
      </c>
      <c r="AO270" s="778">
        <f t="shared" si="218"/>
        <v>54534.177617328489</v>
      </c>
      <c r="AP270" s="768">
        <v>108</v>
      </c>
      <c r="AQ270" s="792">
        <f t="shared" si="219"/>
        <v>1.4597553558153679E-3</v>
      </c>
      <c r="AR270" s="793">
        <f t="shared" si="220"/>
        <v>122505.64736095154</v>
      </c>
      <c r="AS270" s="794">
        <v>11.75</v>
      </c>
      <c r="AT270" s="791">
        <f t="shared" si="221"/>
        <v>4.7123305983991421E-4</v>
      </c>
      <c r="AU270" s="795">
        <f t="shared" si="222"/>
        <v>39546.839697207673</v>
      </c>
      <c r="AV270" s="796">
        <v>64</v>
      </c>
      <c r="AW270" s="791">
        <f t="shared" si="223"/>
        <v>8.1499592502037486E-4</v>
      </c>
      <c r="AX270" s="795">
        <f t="shared" si="224"/>
        <v>51297.090464547677</v>
      </c>
      <c r="AY270" s="786">
        <f t="shared" si="225"/>
        <v>313370.72659769905</v>
      </c>
      <c r="AZ270" s="787">
        <f t="shared" si="198"/>
        <v>21.348233980359634</v>
      </c>
      <c r="BA270" s="797">
        <f t="shared" si="202"/>
        <v>1912674.3482205977</v>
      </c>
      <c r="BB270" s="775">
        <v>1604888</v>
      </c>
      <c r="BC270" s="775">
        <f t="shared" si="226"/>
        <v>0</v>
      </c>
      <c r="BD270" s="775">
        <f t="shared" si="227"/>
        <v>307786.34822059772</v>
      </c>
      <c r="BE270" s="798">
        <f t="shared" si="228"/>
        <v>4.7891585721527978E-4</v>
      </c>
      <c r="BF270" s="775">
        <f t="shared" si="229"/>
        <v>-634.02812946089819</v>
      </c>
      <c r="BG270" s="797">
        <f t="shared" si="230"/>
        <v>1912040.3200911367</v>
      </c>
      <c r="BH270" s="799">
        <v>7</v>
      </c>
      <c r="BI270" s="692">
        <f t="shared" si="239"/>
        <v>0</v>
      </c>
      <c r="BJ270" s="800">
        <v>900</v>
      </c>
      <c r="BK270" s="778">
        <f t="shared" si="231"/>
        <v>0</v>
      </c>
      <c r="BL270" s="786">
        <f t="shared" si="238"/>
        <v>1912040.3200911367</v>
      </c>
      <c r="BM270" s="692">
        <f t="shared" si="232"/>
        <v>1912040.3200911367</v>
      </c>
      <c r="BN270" s="801">
        <f t="shared" si="233"/>
        <v>9.342519614527014E-4</v>
      </c>
      <c r="BO270" s="787">
        <f t="shared" si="234"/>
        <v>4617.8497947540736</v>
      </c>
      <c r="BP270" s="802">
        <f t="shared" si="235"/>
        <v>1916658</v>
      </c>
      <c r="BQ270" s="803">
        <f t="shared" si="199"/>
        <v>130.57142857142858</v>
      </c>
      <c r="BR270" s="682"/>
      <c r="BS270" s="618"/>
    </row>
    <row r="271" spans="1:71" ht="15.75">
      <c r="A271" s="766" t="s">
        <v>3957</v>
      </c>
      <c r="B271" s="767" t="s">
        <v>3958</v>
      </c>
      <c r="C271" s="768">
        <v>41572</v>
      </c>
      <c r="D271" s="769">
        <v>0</v>
      </c>
      <c r="E271" s="770">
        <f>C271/($C$8+$C$149+$C$165+$C$99+$C$82+$C$188+$C$213+$C$236+$C$253+$C$271)*$E$7</f>
        <v>7505757.9634653637</v>
      </c>
      <c r="F271" s="771">
        <v>0</v>
      </c>
      <c r="G271" s="770">
        <v>0</v>
      </c>
      <c r="H271" s="771">
        <v>0</v>
      </c>
      <c r="I271" s="770">
        <f t="shared" si="236"/>
        <v>7505757.9634653637</v>
      </c>
      <c r="J271" s="772">
        <f t="shared" si="203"/>
        <v>180.54839708133753</v>
      </c>
      <c r="K271" s="773">
        <v>29195</v>
      </c>
      <c r="L271" s="774">
        <f t="shared" si="204"/>
        <v>1.0536595858480833E-2</v>
      </c>
      <c r="M271" s="775">
        <f t="shared" si="237"/>
        <v>884252.61909926275</v>
      </c>
      <c r="N271" s="806">
        <v>13624</v>
      </c>
      <c r="O271" s="777">
        <f t="shared" si="205"/>
        <v>1.549384351718436E-2</v>
      </c>
      <c r="P271" s="778">
        <f t="shared" si="206"/>
        <v>1300274.9554028865</v>
      </c>
      <c r="Q271" s="786">
        <f t="shared" si="192"/>
        <v>2184527.5745021491</v>
      </c>
      <c r="R271" s="692">
        <f t="shared" si="193"/>
        <v>52.548050959832317</v>
      </c>
      <c r="S271" s="807">
        <v>131394199.16999999</v>
      </c>
      <c r="T271" s="782">
        <f t="shared" si="200"/>
        <v>13.153024980684162</v>
      </c>
      <c r="U271" s="777">
        <f t="shared" si="207"/>
        <v>7.14962536039024E-3</v>
      </c>
      <c r="V271" s="783">
        <f t="shared" si="194"/>
        <v>3160.641758154527</v>
      </c>
      <c r="W271" s="778">
        <f t="shared" si="208"/>
        <v>2850052.9410284995</v>
      </c>
      <c r="X271" s="784">
        <v>50094846.647600003</v>
      </c>
      <c r="Y271" s="782">
        <f t="shared" si="201"/>
        <v>34.499181046655586</v>
      </c>
      <c r="Z271" s="782">
        <f t="shared" si="209"/>
        <v>5.3267269167247876E-3</v>
      </c>
      <c r="AA271" s="783">
        <f t="shared" si="195"/>
        <v>1205.0141116039642</v>
      </c>
      <c r="AB271" s="692">
        <f t="shared" si="210"/>
        <v>1251683.4102484721</v>
      </c>
      <c r="AC271" s="786">
        <f t="shared" si="211"/>
        <v>4101736.3512769714</v>
      </c>
      <c r="AD271" s="787">
        <f t="shared" si="196"/>
        <v>98.665841221903477</v>
      </c>
      <c r="AE271" s="788">
        <v>3855.2874000000002</v>
      </c>
      <c r="AF271" s="774">
        <f t="shared" si="212"/>
        <v>4.0098661184805266E-3</v>
      </c>
      <c r="AG271" s="692">
        <f t="shared" si="213"/>
        <v>504774.21718465124</v>
      </c>
      <c r="AH271" s="786">
        <f t="shared" si="214"/>
        <v>504774.21718465124</v>
      </c>
      <c r="AI271" s="692">
        <f t="shared" si="197"/>
        <v>12.142168218624343</v>
      </c>
      <c r="AJ271" s="789">
        <v>5243</v>
      </c>
      <c r="AK271" s="777">
        <f t="shared" si="215"/>
        <v>6.9694238627330566E-3</v>
      </c>
      <c r="AL271" s="692">
        <f t="shared" si="216"/>
        <v>146222.06704630953</v>
      </c>
      <c r="AM271" s="790">
        <v>65.666666666666671</v>
      </c>
      <c r="AN271" s="791">
        <f t="shared" si="217"/>
        <v>9.4825511432009586E-3</v>
      </c>
      <c r="AO271" s="778">
        <f t="shared" si="218"/>
        <v>596846.27725631744</v>
      </c>
      <c r="AP271" s="768">
        <v>811</v>
      </c>
      <c r="AQ271" s="792">
        <f t="shared" si="219"/>
        <v>1.0961681421909846E-2</v>
      </c>
      <c r="AR271" s="793">
        <f t="shared" si="220"/>
        <v>919926.666756775</v>
      </c>
      <c r="AS271" s="794">
        <v>249.36111111111111</v>
      </c>
      <c r="AT271" s="791">
        <f t="shared" si="221"/>
        <v>1.0000612714380401E-2</v>
      </c>
      <c r="AU271" s="795">
        <f t="shared" si="222"/>
        <v>839271.82024074055</v>
      </c>
      <c r="AV271" s="796">
        <v>405</v>
      </c>
      <c r="AW271" s="791">
        <f t="shared" si="223"/>
        <v>5.1573960880195602E-3</v>
      </c>
      <c r="AX271" s="795">
        <f t="shared" si="224"/>
        <v>324614.4005959658</v>
      </c>
      <c r="AY271" s="786">
        <f t="shared" si="225"/>
        <v>2826881.2318961085</v>
      </c>
      <c r="AZ271" s="787">
        <f t="shared" si="198"/>
        <v>67.999644758397679</v>
      </c>
      <c r="BA271" s="797">
        <f t="shared" si="202"/>
        <v>17123677.338325243</v>
      </c>
      <c r="BB271" s="775">
        <v>8505600</v>
      </c>
      <c r="BC271" s="775">
        <f t="shared" si="226"/>
        <v>0</v>
      </c>
      <c r="BD271" s="775">
        <f t="shared" si="227"/>
        <v>8618077.3383252434</v>
      </c>
      <c r="BE271" s="798">
        <f t="shared" si="228"/>
        <v>1.3409736721244873E-2</v>
      </c>
      <c r="BF271" s="775">
        <f t="shared" si="229"/>
        <v>-17752.910374216659</v>
      </c>
      <c r="BG271" s="797">
        <f t="shared" si="230"/>
        <v>17105924.427951027</v>
      </c>
      <c r="BH271" s="799">
        <v>7.5</v>
      </c>
      <c r="BI271" s="692">
        <f t="shared" si="239"/>
        <v>0</v>
      </c>
      <c r="BJ271" s="800">
        <v>1450</v>
      </c>
      <c r="BK271" s="778">
        <f t="shared" si="231"/>
        <v>0</v>
      </c>
      <c r="BL271" s="786">
        <f t="shared" si="238"/>
        <v>17105924.427951027</v>
      </c>
      <c r="BM271" s="692">
        <f t="shared" si="232"/>
        <v>17105924.427951027</v>
      </c>
      <c r="BN271" s="801">
        <f t="shared" si="233"/>
        <v>8.3582146680427662E-3</v>
      </c>
      <c r="BO271" s="787">
        <f t="shared" si="234"/>
        <v>41313.244693985944</v>
      </c>
      <c r="BP271" s="802">
        <f t="shared" si="235"/>
        <v>17147238</v>
      </c>
      <c r="BQ271" s="803">
        <f t="shared" si="199"/>
        <v>412.47084576157027</v>
      </c>
      <c r="BR271" s="682"/>
      <c r="BS271" s="618"/>
    </row>
    <row r="272" spans="1:71" ht="15.75">
      <c r="A272" s="805" t="s">
        <v>3959</v>
      </c>
      <c r="B272" s="767" t="s">
        <v>3960</v>
      </c>
      <c r="C272" s="768">
        <v>11516</v>
      </c>
      <c r="D272" s="769">
        <v>0</v>
      </c>
      <c r="E272" s="770">
        <v>0</v>
      </c>
      <c r="F272" s="771">
        <v>0</v>
      </c>
      <c r="G272" s="770">
        <v>0</v>
      </c>
      <c r="H272" s="771">
        <v>0</v>
      </c>
      <c r="I272" s="770">
        <f t="shared" si="236"/>
        <v>0</v>
      </c>
      <c r="J272" s="772">
        <f t="shared" si="203"/>
        <v>0</v>
      </c>
      <c r="K272" s="773">
        <v>8018</v>
      </c>
      <c r="L272" s="774">
        <f t="shared" si="204"/>
        <v>2.8937292547799045E-3</v>
      </c>
      <c r="M272" s="775">
        <f t="shared" si="237"/>
        <v>242847.66226880933</v>
      </c>
      <c r="N272" s="806">
        <v>2314</v>
      </c>
      <c r="O272" s="777">
        <f t="shared" si="205"/>
        <v>2.6315879256286413E-3</v>
      </c>
      <c r="P272" s="778">
        <f t="shared" si="206"/>
        <v>220848.22715812386</v>
      </c>
      <c r="Q272" s="786">
        <f t="shared" si="192"/>
        <v>463695.88942693319</v>
      </c>
      <c r="R272" s="692">
        <f t="shared" si="193"/>
        <v>40.265360318420733</v>
      </c>
      <c r="S272" s="807">
        <v>32652994.729999997</v>
      </c>
      <c r="T272" s="782">
        <f t="shared" si="200"/>
        <v>4.0614423606958399</v>
      </c>
      <c r="U272" s="777">
        <f t="shared" si="207"/>
        <v>2.2076892079531171E-3</v>
      </c>
      <c r="V272" s="783">
        <f t="shared" si="194"/>
        <v>2835.445877908996</v>
      </c>
      <c r="W272" s="778">
        <f t="shared" si="208"/>
        <v>880050.46458269656</v>
      </c>
      <c r="X272" s="784">
        <v>13357332.457800001</v>
      </c>
      <c r="Y272" s="782">
        <f t="shared" si="201"/>
        <v>9.9284985545566542</v>
      </c>
      <c r="Z272" s="782">
        <f t="shared" si="209"/>
        <v>1.5329755341640778E-3</v>
      </c>
      <c r="AA272" s="783">
        <f t="shared" si="195"/>
        <v>1159.893405505384</v>
      </c>
      <c r="AB272" s="692">
        <f t="shared" si="210"/>
        <v>360221.21547198948</v>
      </c>
      <c r="AC272" s="786">
        <f t="shared" si="211"/>
        <v>1240271.680054686</v>
      </c>
      <c r="AD272" s="787">
        <f t="shared" si="196"/>
        <v>107.6998680144743</v>
      </c>
      <c r="AE272" s="788">
        <v>8308.7206000000006</v>
      </c>
      <c r="AF272" s="774">
        <f t="shared" si="212"/>
        <v>8.6418608433345822E-3</v>
      </c>
      <c r="AG272" s="692">
        <f t="shared" si="213"/>
        <v>1087863.8870531379</v>
      </c>
      <c r="AH272" s="786">
        <f t="shared" si="214"/>
        <v>1087863.8870531379</v>
      </c>
      <c r="AI272" s="692">
        <f t="shared" si="197"/>
        <v>94.465429580856011</v>
      </c>
      <c r="AJ272" s="789">
        <v>1694</v>
      </c>
      <c r="AK272" s="777">
        <f t="shared" si="215"/>
        <v>2.2518031706026697E-3</v>
      </c>
      <c r="AL272" s="692">
        <f t="shared" si="216"/>
        <v>47243.978938861015</v>
      </c>
      <c r="AM272" s="790">
        <v>5.333333333333333</v>
      </c>
      <c r="AN272" s="791">
        <f t="shared" si="217"/>
        <v>7.7015643802647363E-4</v>
      </c>
      <c r="AO272" s="778">
        <f t="shared" si="218"/>
        <v>48474.824548736433</v>
      </c>
      <c r="AP272" s="768">
        <v>100</v>
      </c>
      <c r="AQ272" s="792">
        <f t="shared" si="219"/>
        <v>1.3516253294586741E-3</v>
      </c>
      <c r="AR272" s="793">
        <f t="shared" si="220"/>
        <v>113431.15496384402</v>
      </c>
      <c r="AS272" s="794">
        <v>24.527777777777782</v>
      </c>
      <c r="AT272" s="791">
        <f t="shared" si="221"/>
        <v>9.8368508708899355E-4</v>
      </c>
      <c r="AU272" s="795">
        <f t="shared" si="222"/>
        <v>82552.859226086002</v>
      </c>
      <c r="AV272" s="796">
        <v>125</v>
      </c>
      <c r="AW272" s="791">
        <f t="shared" si="223"/>
        <v>1.5917889160554197E-3</v>
      </c>
      <c r="AX272" s="795">
        <f t="shared" si="224"/>
        <v>100189.62981356969</v>
      </c>
      <c r="AY272" s="786">
        <f t="shared" si="225"/>
        <v>391892.44749109715</v>
      </c>
      <c r="AZ272" s="787">
        <f t="shared" si="198"/>
        <v>34.030257684186971</v>
      </c>
      <c r="BA272" s="797">
        <f t="shared" si="202"/>
        <v>3183723.9040258545</v>
      </c>
      <c r="BB272" s="775">
        <v>1972719</v>
      </c>
      <c r="BC272" s="775">
        <f t="shared" si="226"/>
        <v>0</v>
      </c>
      <c r="BD272" s="775">
        <f t="shared" si="227"/>
        <v>1211004.9040258545</v>
      </c>
      <c r="BE272" s="798">
        <f t="shared" si="228"/>
        <v>1.8843248086096787E-3</v>
      </c>
      <c r="BF272" s="775">
        <f t="shared" si="229"/>
        <v>-2494.6238795399031</v>
      </c>
      <c r="BG272" s="797">
        <f t="shared" si="230"/>
        <v>3181229.2801463148</v>
      </c>
      <c r="BH272" s="799">
        <v>7.7</v>
      </c>
      <c r="BI272" s="692">
        <f t="shared" si="239"/>
        <v>0</v>
      </c>
      <c r="BJ272" s="800">
        <v>1920</v>
      </c>
      <c r="BK272" s="778">
        <f t="shared" si="231"/>
        <v>0</v>
      </c>
      <c r="BL272" s="786">
        <f t="shared" si="238"/>
        <v>3181229.2801463148</v>
      </c>
      <c r="BM272" s="692">
        <f t="shared" si="232"/>
        <v>3181229.2801463148</v>
      </c>
      <c r="BN272" s="801">
        <f t="shared" si="233"/>
        <v>1.5543969777090251E-3</v>
      </c>
      <c r="BO272" s="787">
        <f t="shared" si="234"/>
        <v>7683.1219634997515</v>
      </c>
      <c r="BP272" s="802">
        <f t="shared" si="235"/>
        <v>3188912</v>
      </c>
      <c r="BQ272" s="803">
        <f t="shared" si="199"/>
        <v>276.91142757902048</v>
      </c>
      <c r="BR272" s="682"/>
      <c r="BS272" s="618"/>
    </row>
    <row r="273" spans="1:71" ht="15.75">
      <c r="A273" s="805" t="s">
        <v>3961</v>
      </c>
      <c r="B273" s="767" t="s">
        <v>3962</v>
      </c>
      <c r="C273" s="768">
        <v>41005</v>
      </c>
      <c r="D273" s="769">
        <v>0</v>
      </c>
      <c r="E273" s="770">
        <v>0</v>
      </c>
      <c r="F273" s="771">
        <v>0</v>
      </c>
      <c r="G273" s="770">
        <f>C273/($C$10+$C$60+$C$62+$C$67+$C$74+$C$80+$C$94+$C$105+$C$127+$C$141+$C$168+$C$175+$C$201+$C$219+$C$237+$C$255+$C$265+$C$267+$C$268+$C$273+$C$281)*$G$7</f>
        <v>2518238.4818370752</v>
      </c>
      <c r="H273" s="771">
        <v>0</v>
      </c>
      <c r="I273" s="770">
        <f t="shared" si="236"/>
        <v>2518238.4818370752</v>
      </c>
      <c r="J273" s="772">
        <f t="shared" si="203"/>
        <v>61.412961390978545</v>
      </c>
      <c r="K273" s="773">
        <v>29767</v>
      </c>
      <c r="L273" s="774">
        <f t="shared" si="204"/>
        <v>1.0743033016591845E-2</v>
      </c>
      <c r="M273" s="775">
        <f t="shared" si="237"/>
        <v>901577.24653974152</v>
      </c>
      <c r="N273" s="806">
        <v>5151.5</v>
      </c>
      <c r="O273" s="777">
        <f t="shared" si="205"/>
        <v>5.8585242864632433E-3</v>
      </c>
      <c r="P273" s="778">
        <f t="shared" si="206"/>
        <v>491659.30950953974</v>
      </c>
      <c r="Q273" s="786">
        <f t="shared" si="192"/>
        <v>1393236.5560492813</v>
      </c>
      <c r="R273" s="692">
        <f t="shared" si="193"/>
        <v>33.977235850488505</v>
      </c>
      <c r="S273" s="807">
        <v>140955297.89000002</v>
      </c>
      <c r="T273" s="782">
        <f t="shared" si="200"/>
        <v>11.928675616805508</v>
      </c>
      <c r="U273" s="777">
        <f t="shared" si="207"/>
        <v>6.4841024654805433E-3</v>
      </c>
      <c r="V273" s="783">
        <f t="shared" si="194"/>
        <v>3437.5148857456411</v>
      </c>
      <c r="W273" s="778">
        <f t="shared" si="208"/>
        <v>2584755.7557427445</v>
      </c>
      <c r="X273" s="784">
        <v>51435260.285099998</v>
      </c>
      <c r="Y273" s="782">
        <f t="shared" si="201"/>
        <v>32.68983214394423</v>
      </c>
      <c r="Z273" s="782">
        <f t="shared" si="209"/>
        <v>5.0473606474563939E-3</v>
      </c>
      <c r="AA273" s="783">
        <f t="shared" si="195"/>
        <v>1254.3655721277892</v>
      </c>
      <c r="AB273" s="692">
        <f t="shared" si="210"/>
        <v>1186037.4460207319</v>
      </c>
      <c r="AC273" s="786">
        <f t="shared" si="211"/>
        <v>3770793.2017634762</v>
      </c>
      <c r="AD273" s="787">
        <f t="shared" si="196"/>
        <v>91.959351341628491</v>
      </c>
      <c r="AE273" s="788">
        <v>853.12480000000005</v>
      </c>
      <c r="AF273" s="774">
        <f t="shared" si="212"/>
        <v>8.8733105354362829E-4</v>
      </c>
      <c r="AG273" s="692">
        <f t="shared" si="213"/>
        <v>111699.94825309578</v>
      </c>
      <c r="AH273" s="786">
        <f t="shared" si="214"/>
        <v>111699.94825309578</v>
      </c>
      <c r="AI273" s="692">
        <f t="shared" si="197"/>
        <v>2.7240567797365145</v>
      </c>
      <c r="AJ273" s="789">
        <v>4742</v>
      </c>
      <c r="AK273" s="777">
        <f t="shared" si="215"/>
        <v>6.303453739668158E-3</v>
      </c>
      <c r="AL273" s="692">
        <f t="shared" si="216"/>
        <v>132249.67421964518</v>
      </c>
      <c r="AM273" s="790">
        <v>24.666666666666668</v>
      </c>
      <c r="AN273" s="791">
        <f t="shared" si="217"/>
        <v>3.561973525872441E-3</v>
      </c>
      <c r="AO273" s="778">
        <f t="shared" si="218"/>
        <v>224196.06353790601</v>
      </c>
      <c r="AP273" s="768">
        <v>687</v>
      </c>
      <c r="AQ273" s="792">
        <f t="shared" si="219"/>
        <v>9.2856660133810911E-3</v>
      </c>
      <c r="AR273" s="793">
        <f t="shared" si="220"/>
        <v>779272.03460160841</v>
      </c>
      <c r="AS273" s="794">
        <v>168.05555555555554</v>
      </c>
      <c r="AT273" s="791">
        <f t="shared" si="221"/>
        <v>6.7398581844715852E-3</v>
      </c>
      <c r="AU273" s="795">
        <f t="shared" si="222"/>
        <v>565622.64815155172</v>
      </c>
      <c r="AV273" s="796">
        <v>664</v>
      </c>
      <c r="AW273" s="791">
        <f t="shared" si="223"/>
        <v>8.4555827220863904E-3</v>
      </c>
      <c r="AX273" s="795">
        <f t="shared" si="224"/>
        <v>532207.31356968218</v>
      </c>
      <c r="AY273" s="786">
        <f t="shared" si="225"/>
        <v>2233547.7340803933</v>
      </c>
      <c r="AZ273" s="787">
        <f t="shared" si="198"/>
        <v>54.470131303021418</v>
      </c>
      <c r="BA273" s="797">
        <f t="shared" si="202"/>
        <v>10027515.921983322</v>
      </c>
      <c r="BB273" s="775">
        <v>7687857</v>
      </c>
      <c r="BC273" s="775">
        <f t="shared" si="226"/>
        <v>0</v>
      </c>
      <c r="BD273" s="775">
        <f t="shared" si="227"/>
        <v>2339658.9219833221</v>
      </c>
      <c r="BE273" s="798">
        <f t="shared" si="228"/>
        <v>3.6405115583941741E-3</v>
      </c>
      <c r="BF273" s="775">
        <f t="shared" si="229"/>
        <v>-4819.6080770235876</v>
      </c>
      <c r="BG273" s="797">
        <f t="shared" si="230"/>
        <v>10022696.313906299</v>
      </c>
      <c r="BH273" s="799">
        <v>7.7</v>
      </c>
      <c r="BI273" s="692">
        <f t="shared" si="239"/>
        <v>0</v>
      </c>
      <c r="BJ273" s="800">
        <v>1200</v>
      </c>
      <c r="BK273" s="778">
        <f t="shared" si="231"/>
        <v>0</v>
      </c>
      <c r="BL273" s="786">
        <f t="shared" si="238"/>
        <v>10022696.313906299</v>
      </c>
      <c r="BM273" s="692">
        <f t="shared" si="232"/>
        <v>10022696.313906299</v>
      </c>
      <c r="BN273" s="801">
        <f t="shared" si="233"/>
        <v>4.8972417537018259E-3</v>
      </c>
      <c r="BO273" s="787">
        <f t="shared" si="234"/>
        <v>24206.239601604495</v>
      </c>
      <c r="BP273" s="802">
        <f t="shared" si="235"/>
        <v>10046903</v>
      </c>
      <c r="BQ273" s="803">
        <f t="shared" si="199"/>
        <v>245.016534568955</v>
      </c>
      <c r="BR273" s="682"/>
      <c r="BS273" s="618"/>
    </row>
    <row r="274" spans="1:71" ht="15.75">
      <c r="A274" s="766" t="s">
        <v>3963</v>
      </c>
      <c r="B274" s="767" t="s">
        <v>3964</v>
      </c>
      <c r="C274" s="768">
        <v>3712</v>
      </c>
      <c r="D274" s="769">
        <v>0</v>
      </c>
      <c r="E274" s="770">
        <v>0</v>
      </c>
      <c r="F274" s="771">
        <v>0</v>
      </c>
      <c r="G274" s="770">
        <v>0</v>
      </c>
      <c r="H274" s="771">
        <v>0</v>
      </c>
      <c r="I274" s="770">
        <f t="shared" si="236"/>
        <v>0</v>
      </c>
      <c r="J274" s="772">
        <f t="shared" si="203"/>
        <v>0</v>
      </c>
      <c r="K274" s="773">
        <v>968</v>
      </c>
      <c r="L274" s="774">
        <f t="shared" si="204"/>
        <v>3.4935519064940726E-4</v>
      </c>
      <c r="M274" s="775">
        <f t="shared" si="237"/>
        <v>29318.600283887183</v>
      </c>
      <c r="N274" s="806">
        <v>7</v>
      </c>
      <c r="O274" s="777">
        <f t="shared" si="205"/>
        <v>7.9607240619708249E-6</v>
      </c>
      <c r="P274" s="778">
        <f t="shared" si="206"/>
        <v>668.08020315767806</v>
      </c>
      <c r="Q274" s="786">
        <f t="shared" si="192"/>
        <v>29986.680487044861</v>
      </c>
      <c r="R274" s="692">
        <f t="shared" si="193"/>
        <v>8.0783083208633784</v>
      </c>
      <c r="S274" s="807">
        <v>8552390.9400000013</v>
      </c>
      <c r="T274" s="782">
        <f t="shared" si="200"/>
        <v>1.6111218601520101</v>
      </c>
      <c r="U274" s="777">
        <f t="shared" si="207"/>
        <v>8.7576186671415766E-4</v>
      </c>
      <c r="V274" s="783">
        <f t="shared" si="194"/>
        <v>2303.984628232759</v>
      </c>
      <c r="W274" s="778">
        <f t="shared" si="208"/>
        <v>349104.681442086</v>
      </c>
      <c r="X274" s="784">
        <v>2344935.4350999999</v>
      </c>
      <c r="Y274" s="782">
        <f t="shared" si="201"/>
        <v>5.8760440879313149</v>
      </c>
      <c r="Z274" s="782">
        <f t="shared" si="209"/>
        <v>9.072702962054682E-4</v>
      </c>
      <c r="AA274" s="783">
        <f t="shared" si="195"/>
        <v>631.71752023168096</v>
      </c>
      <c r="AB274" s="692">
        <f t="shared" si="210"/>
        <v>213191.92744910801</v>
      </c>
      <c r="AC274" s="786">
        <f t="shared" si="211"/>
        <v>562296.60889119399</v>
      </c>
      <c r="AD274" s="787">
        <f t="shared" si="196"/>
        <v>151.48076748146389</v>
      </c>
      <c r="AE274" s="788">
        <v>3314.4693000000002</v>
      </c>
      <c r="AF274" s="774">
        <f t="shared" si="212"/>
        <v>3.4473637806649296E-3</v>
      </c>
      <c r="AG274" s="692">
        <f t="shared" si="213"/>
        <v>433964.70164327015</v>
      </c>
      <c r="AH274" s="786">
        <f t="shared" si="214"/>
        <v>433964.70164327015</v>
      </c>
      <c r="AI274" s="692">
        <f t="shared" si="197"/>
        <v>116.90859419269131</v>
      </c>
      <c r="AJ274" s="789">
        <v>707</v>
      </c>
      <c r="AK274" s="777">
        <f t="shared" si="215"/>
        <v>9.3980214971433739E-4</v>
      </c>
      <c r="AL274" s="692">
        <f t="shared" si="216"/>
        <v>19717.528400103154</v>
      </c>
      <c r="AM274" s="790">
        <v>3</v>
      </c>
      <c r="AN274" s="791">
        <f t="shared" si="217"/>
        <v>4.3321299638989148E-4</v>
      </c>
      <c r="AO274" s="778">
        <f t="shared" si="218"/>
        <v>27267.088808664244</v>
      </c>
      <c r="AP274" s="768">
        <v>26</v>
      </c>
      <c r="AQ274" s="792">
        <f t="shared" si="219"/>
        <v>3.5142258565925525E-4</v>
      </c>
      <c r="AR274" s="793">
        <f t="shared" si="220"/>
        <v>29492.100290599446</v>
      </c>
      <c r="AS274" s="794">
        <v>1.7777777777777777</v>
      </c>
      <c r="AT274" s="791">
        <f t="shared" si="221"/>
        <v>7.1297673356393639E-5</v>
      </c>
      <c r="AU274" s="795">
        <f t="shared" si="222"/>
        <v>5983.4461953222008</v>
      </c>
      <c r="AV274" s="796">
        <v>0</v>
      </c>
      <c r="AW274" s="791">
        <f t="shared" si="223"/>
        <v>0</v>
      </c>
      <c r="AX274" s="795">
        <f t="shared" si="224"/>
        <v>0</v>
      </c>
      <c r="AY274" s="786">
        <f t="shared" si="225"/>
        <v>82460.16369468905</v>
      </c>
      <c r="AZ274" s="787">
        <f t="shared" si="198"/>
        <v>22.214483753957179</v>
      </c>
      <c r="BA274" s="797">
        <f t="shared" si="202"/>
        <v>1108708.1547161981</v>
      </c>
      <c r="BB274" s="775">
        <v>575380</v>
      </c>
      <c r="BC274" s="775">
        <f t="shared" si="226"/>
        <v>0</v>
      </c>
      <c r="BD274" s="775">
        <f t="shared" si="227"/>
        <v>533328.1547161981</v>
      </c>
      <c r="BE274" s="798">
        <f t="shared" si="228"/>
        <v>8.2985912750713144E-4</v>
      </c>
      <c r="BF274" s="775">
        <f t="shared" si="229"/>
        <v>-1098.6356421539108</v>
      </c>
      <c r="BG274" s="797">
        <f t="shared" si="230"/>
        <v>1107609.5190740442</v>
      </c>
      <c r="BH274" s="799">
        <v>7</v>
      </c>
      <c r="BI274" s="692">
        <f t="shared" si="239"/>
        <v>0</v>
      </c>
      <c r="BJ274" s="800">
        <v>2000</v>
      </c>
      <c r="BK274" s="778">
        <f t="shared" si="231"/>
        <v>0</v>
      </c>
      <c r="BL274" s="786">
        <f t="shared" si="238"/>
        <v>1107609.5190740442</v>
      </c>
      <c r="BM274" s="692">
        <f t="shared" si="232"/>
        <v>1107609.5190740442</v>
      </c>
      <c r="BN274" s="801">
        <f t="shared" si="233"/>
        <v>5.4119484555079165E-4</v>
      </c>
      <c r="BO274" s="787">
        <f t="shared" si="234"/>
        <v>2675.0347974251604</v>
      </c>
      <c r="BP274" s="802">
        <f t="shared" si="235"/>
        <v>1110285</v>
      </c>
      <c r="BQ274" s="803">
        <f t="shared" si="199"/>
        <v>299.10695043103448</v>
      </c>
      <c r="BR274" s="682"/>
      <c r="BS274" s="618"/>
    </row>
    <row r="275" spans="1:71" ht="15.75">
      <c r="A275" s="805" t="s">
        <v>3965</v>
      </c>
      <c r="B275" s="767" t="s">
        <v>3966</v>
      </c>
      <c r="C275" s="768">
        <v>4157</v>
      </c>
      <c r="D275" s="769">
        <v>0</v>
      </c>
      <c r="E275" s="770">
        <v>0</v>
      </c>
      <c r="F275" s="771">
        <v>0</v>
      </c>
      <c r="G275" s="770">
        <v>0</v>
      </c>
      <c r="H275" s="771">
        <v>0</v>
      </c>
      <c r="I275" s="770">
        <f t="shared" si="236"/>
        <v>0</v>
      </c>
      <c r="J275" s="772">
        <f t="shared" si="203"/>
        <v>0</v>
      </c>
      <c r="K275" s="773">
        <v>1331</v>
      </c>
      <c r="L275" s="774">
        <f t="shared" si="204"/>
        <v>4.8036338714293499E-4</v>
      </c>
      <c r="M275" s="775">
        <f t="shared" si="237"/>
        <v>40313.075390344879</v>
      </c>
      <c r="N275" s="806">
        <v>757</v>
      </c>
      <c r="O275" s="777">
        <f t="shared" si="205"/>
        <v>8.6089544498741636E-4</v>
      </c>
      <c r="P275" s="778">
        <f t="shared" si="206"/>
        <v>72248.10197005175</v>
      </c>
      <c r="Q275" s="786">
        <f t="shared" si="192"/>
        <v>112561.17736039663</v>
      </c>
      <c r="R275" s="692">
        <f t="shared" si="193"/>
        <v>27.077502371998225</v>
      </c>
      <c r="S275" s="807">
        <v>10430859.819999998</v>
      </c>
      <c r="T275" s="782">
        <f t="shared" si="200"/>
        <v>1.6566849999140343</v>
      </c>
      <c r="U275" s="777">
        <f t="shared" si="207"/>
        <v>9.0052874581763123E-4</v>
      </c>
      <c r="V275" s="783">
        <f t="shared" si="194"/>
        <v>2509.2277652152993</v>
      </c>
      <c r="W275" s="778">
        <f t="shared" si="208"/>
        <v>358977.49478137115</v>
      </c>
      <c r="X275" s="784">
        <v>3077112.3209000002</v>
      </c>
      <c r="Y275" s="782">
        <f t="shared" si="201"/>
        <v>5.6158655251640992</v>
      </c>
      <c r="Z275" s="782">
        <f t="shared" si="209"/>
        <v>8.6709832367160868E-4</v>
      </c>
      <c r="AA275" s="783">
        <f t="shared" si="195"/>
        <v>740.22427733942754</v>
      </c>
      <c r="AB275" s="692">
        <f t="shared" si="210"/>
        <v>203752.24856868474</v>
      </c>
      <c r="AC275" s="786">
        <f t="shared" si="211"/>
        <v>562729.74335005588</v>
      </c>
      <c r="AD275" s="787">
        <f t="shared" si="196"/>
        <v>135.36919493626556</v>
      </c>
      <c r="AE275" s="788">
        <v>4596.0069000000003</v>
      </c>
      <c r="AF275" s="774">
        <f t="shared" si="212"/>
        <v>4.7802849532340231E-3</v>
      </c>
      <c r="AG275" s="692">
        <f t="shared" si="213"/>
        <v>601756.89758505567</v>
      </c>
      <c r="AH275" s="786">
        <f t="shared" si="214"/>
        <v>601756.89758505567</v>
      </c>
      <c r="AI275" s="692">
        <f t="shared" si="197"/>
        <v>144.75749280371798</v>
      </c>
      <c r="AJ275" s="789">
        <v>475</v>
      </c>
      <c r="AK275" s="777">
        <f t="shared" si="215"/>
        <v>6.3140879931302719E-4</v>
      </c>
      <c r="AL275" s="692">
        <f t="shared" si="216"/>
        <v>13247.278628074961</v>
      </c>
      <c r="AM275" s="790">
        <v>4.666666666666667</v>
      </c>
      <c r="AN275" s="791">
        <f t="shared" si="217"/>
        <v>6.7388688327316452E-4</v>
      </c>
      <c r="AO275" s="778">
        <f t="shared" si="218"/>
        <v>42415.471480144384</v>
      </c>
      <c r="AP275" s="768">
        <v>38</v>
      </c>
      <c r="AQ275" s="792">
        <f t="shared" si="219"/>
        <v>5.1361762519429614E-4</v>
      </c>
      <c r="AR275" s="793">
        <f t="shared" si="220"/>
        <v>43103.838886260732</v>
      </c>
      <c r="AS275" s="794">
        <v>5.1388888888888893</v>
      </c>
      <c r="AT275" s="791">
        <f t="shared" si="221"/>
        <v>2.0609483704582538E-4</v>
      </c>
      <c r="AU275" s="795">
        <f t="shared" si="222"/>
        <v>17295.899158353241</v>
      </c>
      <c r="AV275" s="796">
        <v>15</v>
      </c>
      <c r="AW275" s="791">
        <f t="shared" si="223"/>
        <v>1.9101466992665038E-4</v>
      </c>
      <c r="AX275" s="795">
        <f t="shared" si="224"/>
        <v>12022.755577628363</v>
      </c>
      <c r="AY275" s="786">
        <f t="shared" si="225"/>
        <v>128085.24373046168</v>
      </c>
      <c r="AZ275" s="787">
        <f t="shared" si="198"/>
        <v>30.811942201217626</v>
      </c>
      <c r="BA275" s="797">
        <f t="shared" si="202"/>
        <v>1405133.0620259698</v>
      </c>
      <c r="BB275" s="775">
        <v>703301</v>
      </c>
      <c r="BC275" s="775">
        <f t="shared" si="226"/>
        <v>0</v>
      </c>
      <c r="BD275" s="775">
        <f t="shared" si="227"/>
        <v>701832.06202596985</v>
      </c>
      <c r="BE275" s="798">
        <f t="shared" si="228"/>
        <v>1.0920513711850232E-3</v>
      </c>
      <c r="BF275" s="775">
        <f t="shared" si="229"/>
        <v>-1445.7472595993186</v>
      </c>
      <c r="BG275" s="797">
        <f t="shared" si="230"/>
        <v>1403687.3147663705</v>
      </c>
      <c r="BH275" s="799">
        <v>6.5</v>
      </c>
      <c r="BI275" s="692">
        <f t="shared" si="239"/>
        <v>0</v>
      </c>
      <c r="BJ275" s="800">
        <v>1500</v>
      </c>
      <c r="BK275" s="778">
        <f t="shared" si="231"/>
        <v>0</v>
      </c>
      <c r="BL275" s="786">
        <f t="shared" si="238"/>
        <v>1403687.3147663705</v>
      </c>
      <c r="BM275" s="692">
        <f t="shared" si="232"/>
        <v>1403687.3147663705</v>
      </c>
      <c r="BN275" s="801">
        <f t="shared" si="233"/>
        <v>6.8586295660556448E-4</v>
      </c>
      <c r="BO275" s="787">
        <f t="shared" si="234"/>
        <v>3390.1048582928506</v>
      </c>
      <c r="BP275" s="802">
        <f t="shared" si="235"/>
        <v>1407077</v>
      </c>
      <c r="BQ275" s="803">
        <f t="shared" si="199"/>
        <v>338.48376232860238</v>
      </c>
      <c r="BR275" s="682"/>
      <c r="BS275" s="618"/>
    </row>
    <row r="276" spans="1:71" ht="15.75">
      <c r="A276" s="766" t="s">
        <v>3967</v>
      </c>
      <c r="B276" s="767" t="s">
        <v>3968</v>
      </c>
      <c r="C276" s="768">
        <v>7640</v>
      </c>
      <c r="D276" s="769">
        <v>0</v>
      </c>
      <c r="E276" s="770">
        <v>0</v>
      </c>
      <c r="F276" s="771">
        <v>0</v>
      </c>
      <c r="G276" s="770">
        <v>0</v>
      </c>
      <c r="H276" s="771">
        <v>0</v>
      </c>
      <c r="I276" s="770">
        <f t="shared" si="236"/>
        <v>0</v>
      </c>
      <c r="J276" s="772">
        <f t="shared" si="203"/>
        <v>0</v>
      </c>
      <c r="K276" s="773">
        <v>1750</v>
      </c>
      <c r="L276" s="774">
        <f t="shared" si="204"/>
        <v>6.3158221450047803E-4</v>
      </c>
      <c r="M276" s="775">
        <f t="shared" si="237"/>
        <v>53003.667868597695</v>
      </c>
      <c r="N276" s="806">
        <v>2589.5</v>
      </c>
      <c r="O276" s="777">
        <f t="shared" si="205"/>
        <v>2.9448992797819215E-3</v>
      </c>
      <c r="P276" s="778">
        <f t="shared" si="206"/>
        <v>247141.95515382962</v>
      </c>
      <c r="Q276" s="786">
        <f t="shared" si="192"/>
        <v>300145.62302242732</v>
      </c>
      <c r="R276" s="692">
        <f t="shared" si="193"/>
        <v>39.286076311836034</v>
      </c>
      <c r="S276" s="807">
        <v>26297069.460000001</v>
      </c>
      <c r="T276" s="782">
        <f t="shared" si="200"/>
        <v>2.21962375270693</v>
      </c>
      <c r="U276" s="777">
        <f t="shared" si="207"/>
        <v>1.206526886110465E-3</v>
      </c>
      <c r="V276" s="783">
        <f t="shared" si="194"/>
        <v>3442.0247984293196</v>
      </c>
      <c r="W276" s="778">
        <f t="shared" si="208"/>
        <v>480957.43858687999</v>
      </c>
      <c r="X276" s="784">
        <v>4760369.3931</v>
      </c>
      <c r="Y276" s="782">
        <f t="shared" si="201"/>
        <v>12.26156946656384</v>
      </c>
      <c r="Z276" s="782">
        <f t="shared" si="209"/>
        <v>1.8932052917577317E-3</v>
      </c>
      <c r="AA276" s="783">
        <f t="shared" si="195"/>
        <v>623.08499909685861</v>
      </c>
      <c r="AB276" s="692">
        <f t="shared" si="210"/>
        <v>444868.62062469131</v>
      </c>
      <c r="AC276" s="786">
        <f t="shared" si="211"/>
        <v>925826.05921157124</v>
      </c>
      <c r="AD276" s="787">
        <f t="shared" si="196"/>
        <v>121.1814213627711</v>
      </c>
      <c r="AE276" s="788">
        <v>2257.9715000000001</v>
      </c>
      <c r="AF276" s="774">
        <f t="shared" si="212"/>
        <v>2.3485054355077786E-3</v>
      </c>
      <c r="AG276" s="692">
        <f t="shared" si="213"/>
        <v>295637.05064835184</v>
      </c>
      <c r="AH276" s="786">
        <f t="shared" si="214"/>
        <v>295637.05064835184</v>
      </c>
      <c r="AI276" s="692">
        <f t="shared" si="197"/>
        <v>38.695949037742388</v>
      </c>
      <c r="AJ276" s="789">
        <v>943</v>
      </c>
      <c r="AK276" s="777">
        <f t="shared" si="215"/>
        <v>1.2535126268467046E-3</v>
      </c>
      <c r="AL276" s="692">
        <f t="shared" si="216"/>
        <v>26299.334202683553</v>
      </c>
      <c r="AM276" s="790">
        <v>5</v>
      </c>
      <c r="AN276" s="791">
        <f t="shared" si="217"/>
        <v>7.2202166064981913E-4</v>
      </c>
      <c r="AO276" s="778">
        <f t="shared" si="218"/>
        <v>45445.148014440412</v>
      </c>
      <c r="AP276" s="768">
        <v>122</v>
      </c>
      <c r="AQ276" s="792">
        <f t="shared" si="219"/>
        <v>1.6489829019395823E-3</v>
      </c>
      <c r="AR276" s="793">
        <f t="shared" si="220"/>
        <v>138386.00905588971</v>
      </c>
      <c r="AS276" s="794">
        <v>17.694444444444446</v>
      </c>
      <c r="AT276" s="791">
        <f t="shared" si="221"/>
        <v>7.0963465512535544E-4</v>
      </c>
      <c r="AU276" s="795">
        <f t="shared" si="222"/>
        <v>59553.987912816287</v>
      </c>
      <c r="AV276" s="796">
        <v>78</v>
      </c>
      <c r="AW276" s="791">
        <f t="shared" si="223"/>
        <v>9.9327628361858193E-4</v>
      </c>
      <c r="AX276" s="795">
        <f t="shared" si="224"/>
        <v>62518.329003667481</v>
      </c>
      <c r="AY276" s="786">
        <f t="shared" si="225"/>
        <v>332202.80818949745</v>
      </c>
      <c r="AZ276" s="787">
        <f t="shared" si="198"/>
        <v>43.4820429567405</v>
      </c>
      <c r="BA276" s="797">
        <f t="shared" si="202"/>
        <v>1853811.541071848</v>
      </c>
      <c r="BB276" s="775">
        <v>957988</v>
      </c>
      <c r="BC276" s="775">
        <f t="shared" si="226"/>
        <v>0</v>
      </c>
      <c r="BD276" s="775">
        <f t="shared" si="227"/>
        <v>895823.54107184801</v>
      </c>
      <c r="BE276" s="798">
        <f t="shared" si="228"/>
        <v>1.3939023012760781E-3</v>
      </c>
      <c r="BF276" s="775">
        <f t="shared" si="229"/>
        <v>-1845.3623019879335</v>
      </c>
      <c r="BG276" s="797">
        <f t="shared" si="230"/>
        <v>1851966.1787698602</v>
      </c>
      <c r="BH276" s="799">
        <v>7.5</v>
      </c>
      <c r="BI276" s="692">
        <f t="shared" si="239"/>
        <v>0</v>
      </c>
      <c r="BJ276" s="800">
        <v>1200</v>
      </c>
      <c r="BK276" s="778">
        <f t="shared" si="231"/>
        <v>0</v>
      </c>
      <c r="BL276" s="786">
        <f t="shared" si="238"/>
        <v>1851966.1787698602</v>
      </c>
      <c r="BM276" s="692">
        <f t="shared" si="232"/>
        <v>1851966.1787698602</v>
      </c>
      <c r="BN276" s="801">
        <f t="shared" si="233"/>
        <v>9.0489882293765466E-4</v>
      </c>
      <c r="BO276" s="787">
        <f t="shared" si="234"/>
        <v>4472.7621842808476</v>
      </c>
      <c r="BP276" s="802">
        <f t="shared" si="235"/>
        <v>1856439</v>
      </c>
      <c r="BQ276" s="803">
        <f t="shared" si="199"/>
        <v>242.98939790575918</v>
      </c>
      <c r="BR276" s="682"/>
      <c r="BS276" s="618"/>
    </row>
    <row r="277" spans="1:71" ht="15.75">
      <c r="A277" s="766" t="s">
        <v>3969</v>
      </c>
      <c r="B277" s="767" t="s">
        <v>3970</v>
      </c>
      <c r="C277" s="768">
        <v>10700</v>
      </c>
      <c r="D277" s="769">
        <v>0</v>
      </c>
      <c r="E277" s="770">
        <v>0</v>
      </c>
      <c r="F277" s="771">
        <v>0</v>
      </c>
      <c r="G277" s="770">
        <v>0</v>
      </c>
      <c r="H277" s="771">
        <v>0</v>
      </c>
      <c r="I277" s="770">
        <f t="shared" si="236"/>
        <v>0</v>
      </c>
      <c r="J277" s="772">
        <f t="shared" si="203"/>
        <v>0</v>
      </c>
      <c r="K277" s="773">
        <v>1892</v>
      </c>
      <c r="L277" s="774">
        <f t="shared" si="204"/>
        <v>6.828305999056597E-4</v>
      </c>
      <c r="M277" s="775">
        <f t="shared" si="237"/>
        <v>57304.536918506768</v>
      </c>
      <c r="N277" s="806">
        <v>109.5</v>
      </c>
      <c r="O277" s="777">
        <f t="shared" si="205"/>
        <v>1.2452846925511504E-4</v>
      </c>
      <c r="P277" s="778">
        <f t="shared" si="206"/>
        <v>10450.683177966535</v>
      </c>
      <c r="Q277" s="786">
        <f t="shared" si="192"/>
        <v>67755.220096473306</v>
      </c>
      <c r="R277" s="692">
        <f t="shared" si="193"/>
        <v>6.3322635604180659</v>
      </c>
      <c r="S277" s="807">
        <v>43389538.57</v>
      </c>
      <c r="T277" s="782">
        <f t="shared" si="200"/>
        <v>2.6386544723284895</v>
      </c>
      <c r="U277" s="777">
        <f t="shared" si="207"/>
        <v>1.434300547620917E-3</v>
      </c>
      <c r="V277" s="783">
        <f t="shared" si="194"/>
        <v>4055.0970626168223</v>
      </c>
      <c r="W277" s="778">
        <f t="shared" si="208"/>
        <v>571754.78266495641</v>
      </c>
      <c r="X277" s="784">
        <v>9853104.1468000002</v>
      </c>
      <c r="Y277" s="782">
        <f t="shared" si="201"/>
        <v>11.619688404205389</v>
      </c>
      <c r="Z277" s="782">
        <f t="shared" si="209"/>
        <v>1.7940978628719056E-3</v>
      </c>
      <c r="AA277" s="783">
        <f t="shared" si="195"/>
        <v>920.85085484112153</v>
      </c>
      <c r="AB277" s="692">
        <f t="shared" si="210"/>
        <v>421580.18731318158</v>
      </c>
      <c r="AC277" s="786">
        <f t="shared" si="211"/>
        <v>993334.96997813799</v>
      </c>
      <c r="AD277" s="787">
        <f t="shared" si="196"/>
        <v>92.835043923190469</v>
      </c>
      <c r="AE277" s="788">
        <v>636.4914</v>
      </c>
      <c r="AF277" s="774">
        <f t="shared" si="212"/>
        <v>6.6201168285514483E-4</v>
      </c>
      <c r="AG277" s="692">
        <f t="shared" si="213"/>
        <v>83336.056393555162</v>
      </c>
      <c r="AH277" s="786">
        <f t="shared" si="214"/>
        <v>83336.056393555162</v>
      </c>
      <c r="AI277" s="692">
        <f t="shared" si="197"/>
        <v>7.7884164853789875</v>
      </c>
      <c r="AJ277" s="789">
        <v>774</v>
      </c>
      <c r="AK277" s="777">
        <f t="shared" si="215"/>
        <v>1.0288640224595433E-3</v>
      </c>
      <c r="AL277" s="692">
        <f t="shared" si="216"/>
        <v>21586.091911852673</v>
      </c>
      <c r="AM277" s="790">
        <v>5</v>
      </c>
      <c r="AN277" s="791">
        <f t="shared" si="217"/>
        <v>7.2202166064981913E-4</v>
      </c>
      <c r="AO277" s="778">
        <f t="shared" si="218"/>
        <v>45445.148014440412</v>
      </c>
      <c r="AP277" s="768">
        <v>89</v>
      </c>
      <c r="AQ277" s="792">
        <f t="shared" si="219"/>
        <v>1.2029465432182198E-3</v>
      </c>
      <c r="AR277" s="793">
        <f t="shared" si="220"/>
        <v>100953.72791782118</v>
      </c>
      <c r="AS277" s="794">
        <v>11.805555555555557</v>
      </c>
      <c r="AT277" s="791">
        <f t="shared" si="221"/>
        <v>4.7346111213230154E-4</v>
      </c>
      <c r="AU277" s="795">
        <f t="shared" si="222"/>
        <v>39733.822390811496</v>
      </c>
      <c r="AV277" s="796">
        <v>8</v>
      </c>
      <c r="AW277" s="791">
        <f t="shared" si="223"/>
        <v>1.0187449062754686E-4</v>
      </c>
      <c r="AX277" s="795">
        <f t="shared" si="224"/>
        <v>6412.1363080684596</v>
      </c>
      <c r="AY277" s="786">
        <f t="shared" si="225"/>
        <v>214130.92654299422</v>
      </c>
      <c r="AZ277" s="787">
        <f t="shared" si="198"/>
        <v>20.012236125513478</v>
      </c>
      <c r="BA277" s="797">
        <f t="shared" si="202"/>
        <v>1358557.1730111605</v>
      </c>
      <c r="BB277" s="775">
        <v>1091417</v>
      </c>
      <c r="BC277" s="775">
        <f t="shared" si="226"/>
        <v>0</v>
      </c>
      <c r="BD277" s="775">
        <f t="shared" si="227"/>
        <v>267140.17301116046</v>
      </c>
      <c r="BE277" s="798">
        <f t="shared" si="228"/>
        <v>4.1567036905282789E-4</v>
      </c>
      <c r="BF277" s="775">
        <f t="shared" si="229"/>
        <v>-550.29855995020341</v>
      </c>
      <c r="BG277" s="797">
        <f t="shared" si="230"/>
        <v>1358006.8744512103</v>
      </c>
      <c r="BH277" s="799">
        <v>7.5</v>
      </c>
      <c r="BI277" s="692">
        <f t="shared" si="239"/>
        <v>0</v>
      </c>
      <c r="BJ277" s="800">
        <v>1000</v>
      </c>
      <c r="BK277" s="778">
        <f t="shared" si="231"/>
        <v>0</v>
      </c>
      <c r="BL277" s="786">
        <f t="shared" si="238"/>
        <v>1358006.8744512103</v>
      </c>
      <c r="BM277" s="692">
        <f t="shared" si="232"/>
        <v>1358006.8744512103</v>
      </c>
      <c r="BN277" s="801">
        <f t="shared" si="233"/>
        <v>6.6354279917163169E-4</v>
      </c>
      <c r="BO277" s="787">
        <f t="shared" si="234"/>
        <v>3279.7800865204731</v>
      </c>
      <c r="BP277" s="802">
        <f t="shared" si="235"/>
        <v>1361287</v>
      </c>
      <c r="BQ277" s="803">
        <f t="shared" si="199"/>
        <v>127.22308411214954</v>
      </c>
      <c r="BR277" s="682"/>
      <c r="BS277" s="618"/>
    </row>
    <row r="278" spans="1:71" ht="15.75">
      <c r="A278" s="766" t="s">
        <v>3971</v>
      </c>
      <c r="B278" s="767" t="s">
        <v>3972</v>
      </c>
      <c r="C278" s="768">
        <v>7980</v>
      </c>
      <c r="D278" s="769">
        <v>0</v>
      </c>
      <c r="E278" s="770">
        <v>0</v>
      </c>
      <c r="F278" s="771">
        <v>0</v>
      </c>
      <c r="G278" s="770">
        <v>0</v>
      </c>
      <c r="H278" s="771">
        <v>0</v>
      </c>
      <c r="I278" s="770">
        <f t="shared" si="236"/>
        <v>0</v>
      </c>
      <c r="J278" s="772">
        <f t="shared" si="203"/>
        <v>0</v>
      </c>
      <c r="K278" s="773">
        <v>2014</v>
      </c>
      <c r="L278" s="774">
        <f t="shared" si="204"/>
        <v>7.2686090285940732E-4</v>
      </c>
      <c r="M278" s="775">
        <f t="shared" si="237"/>
        <v>60999.649764203292</v>
      </c>
      <c r="N278" s="806">
        <v>193.5</v>
      </c>
      <c r="O278" s="777">
        <f t="shared" si="205"/>
        <v>2.2005715799876496E-4</v>
      </c>
      <c r="P278" s="778">
        <f t="shared" si="206"/>
        <v>18467.645615858673</v>
      </c>
      <c r="Q278" s="786">
        <f t="shared" si="192"/>
        <v>79467.295380061958</v>
      </c>
      <c r="R278" s="692">
        <f t="shared" si="193"/>
        <v>9.9583076917370867</v>
      </c>
      <c r="S278" s="807">
        <v>27255282.439999998</v>
      </c>
      <c r="T278" s="782">
        <f t="shared" si="200"/>
        <v>2.3364424911092576</v>
      </c>
      <c r="U278" s="777">
        <f t="shared" si="207"/>
        <v>1.2700263636737344E-3</v>
      </c>
      <c r="V278" s="783">
        <f t="shared" si="194"/>
        <v>3415.4489273182953</v>
      </c>
      <c r="W278" s="778">
        <f t="shared" si="208"/>
        <v>506270.21564308798</v>
      </c>
      <c r="X278" s="784">
        <v>5083579.3136999998</v>
      </c>
      <c r="Y278" s="782">
        <f t="shared" si="201"/>
        <v>12.526685642217563</v>
      </c>
      <c r="Z278" s="782">
        <f t="shared" si="209"/>
        <v>1.9341396393587375E-3</v>
      </c>
      <c r="AA278" s="783">
        <f t="shared" si="195"/>
        <v>637.04001424812031</v>
      </c>
      <c r="AB278" s="692">
        <f t="shared" si="210"/>
        <v>454487.44370357873</v>
      </c>
      <c r="AC278" s="786">
        <f t="shared" si="211"/>
        <v>960757.65934666665</v>
      </c>
      <c r="AD278" s="787">
        <f t="shared" si="196"/>
        <v>120.39569665998329</v>
      </c>
      <c r="AE278" s="788">
        <v>1758.5672</v>
      </c>
      <c r="AF278" s="774">
        <f t="shared" si="212"/>
        <v>1.8290773944249052E-3</v>
      </c>
      <c r="AG278" s="692">
        <f t="shared" si="213"/>
        <v>230249.859387034</v>
      </c>
      <c r="AH278" s="786">
        <f t="shared" si="214"/>
        <v>230249.859387034</v>
      </c>
      <c r="AI278" s="692">
        <f t="shared" si="197"/>
        <v>28.853365837974184</v>
      </c>
      <c r="AJ278" s="789">
        <v>900</v>
      </c>
      <c r="AK278" s="777">
        <f t="shared" si="215"/>
        <v>1.196353514487841E-3</v>
      </c>
      <c r="AL278" s="692">
        <f t="shared" si="216"/>
        <v>25100.106874247293</v>
      </c>
      <c r="AM278" s="790">
        <v>7</v>
      </c>
      <c r="AN278" s="791">
        <f t="shared" si="217"/>
        <v>1.0108303249097468E-3</v>
      </c>
      <c r="AO278" s="778">
        <f t="shared" si="218"/>
        <v>63623.207220216573</v>
      </c>
      <c r="AP278" s="768">
        <v>103</v>
      </c>
      <c r="AQ278" s="792">
        <f t="shared" si="219"/>
        <v>1.3921740893424342E-3</v>
      </c>
      <c r="AR278" s="793">
        <f t="shared" si="220"/>
        <v>116834.08961275934</v>
      </c>
      <c r="AS278" s="794">
        <v>10.333333333333334</v>
      </c>
      <c r="AT278" s="791">
        <f t="shared" si="221"/>
        <v>4.1441772638403803E-4</v>
      </c>
      <c r="AU278" s="795">
        <f t="shared" si="222"/>
        <v>34778.781010310297</v>
      </c>
      <c r="AV278" s="796">
        <v>28</v>
      </c>
      <c r="AW278" s="791">
        <f t="shared" si="223"/>
        <v>3.5656071719641403E-4</v>
      </c>
      <c r="AX278" s="795">
        <f t="shared" si="224"/>
        <v>22442.477078239608</v>
      </c>
      <c r="AY278" s="786">
        <f t="shared" si="225"/>
        <v>262778.66179577314</v>
      </c>
      <c r="AZ278" s="787">
        <f t="shared" si="198"/>
        <v>32.92965686663824</v>
      </c>
      <c r="BA278" s="797">
        <f t="shared" si="202"/>
        <v>1533253.4759095358</v>
      </c>
      <c r="BB278" s="775">
        <v>1015854</v>
      </c>
      <c r="BC278" s="775">
        <f t="shared" si="226"/>
        <v>0</v>
      </c>
      <c r="BD278" s="775">
        <f t="shared" si="227"/>
        <v>517399.47590953577</v>
      </c>
      <c r="BE278" s="798">
        <f t="shared" si="228"/>
        <v>8.050740877901261E-4</v>
      </c>
      <c r="BF278" s="775">
        <f t="shared" si="229"/>
        <v>-1065.8231717927067</v>
      </c>
      <c r="BG278" s="797">
        <f t="shared" si="230"/>
        <v>1532187.652737743</v>
      </c>
      <c r="BH278" s="799">
        <v>7.5</v>
      </c>
      <c r="BI278" s="692">
        <f t="shared" si="239"/>
        <v>0</v>
      </c>
      <c r="BJ278" s="800">
        <v>1450</v>
      </c>
      <c r="BK278" s="778">
        <f t="shared" si="231"/>
        <v>0</v>
      </c>
      <c r="BL278" s="786">
        <f t="shared" si="238"/>
        <v>1532187.652737743</v>
      </c>
      <c r="BM278" s="692">
        <f t="shared" si="232"/>
        <v>1532187.652737743</v>
      </c>
      <c r="BN278" s="801">
        <f t="shared" si="233"/>
        <v>7.4865017481201297E-4</v>
      </c>
      <c r="BO278" s="787">
        <f t="shared" si="234"/>
        <v>3700.4514828340357</v>
      </c>
      <c r="BP278" s="802">
        <f t="shared" si="235"/>
        <v>1535888</v>
      </c>
      <c r="BQ278" s="803">
        <f t="shared" si="199"/>
        <v>192.46716791979949</v>
      </c>
      <c r="BR278" s="682"/>
      <c r="BS278" s="618"/>
    </row>
    <row r="279" spans="1:71" ht="15.75">
      <c r="A279" s="805" t="s">
        <v>3973</v>
      </c>
      <c r="B279" s="767" t="s">
        <v>3974</v>
      </c>
      <c r="C279" s="768">
        <v>10558</v>
      </c>
      <c r="D279" s="769">
        <v>0</v>
      </c>
      <c r="E279" s="770">
        <v>0</v>
      </c>
      <c r="F279" s="771">
        <v>0</v>
      </c>
      <c r="G279" s="770">
        <v>0</v>
      </c>
      <c r="H279" s="771">
        <v>0</v>
      </c>
      <c r="I279" s="770">
        <f t="shared" si="236"/>
        <v>0</v>
      </c>
      <c r="J279" s="772">
        <f t="shared" si="203"/>
        <v>0</v>
      </c>
      <c r="K279" s="773">
        <v>3008</v>
      </c>
      <c r="L279" s="774">
        <f t="shared" si="204"/>
        <v>1.0855996006956788E-3</v>
      </c>
      <c r="M279" s="775">
        <f t="shared" si="237"/>
        <v>91105.733113566777</v>
      </c>
      <c r="N279" s="806">
        <v>226</v>
      </c>
      <c r="O279" s="777">
        <f t="shared" si="205"/>
        <v>2.5701766257220094E-4</v>
      </c>
      <c r="P279" s="778">
        <f t="shared" si="206"/>
        <v>21569.446559090749</v>
      </c>
      <c r="Q279" s="786">
        <f t="shared" si="192"/>
        <v>112675.17967265753</v>
      </c>
      <c r="R279" s="692">
        <f t="shared" si="193"/>
        <v>10.672019290837046</v>
      </c>
      <c r="S279" s="807">
        <v>46934149.710000001</v>
      </c>
      <c r="T279" s="782">
        <f t="shared" si="200"/>
        <v>2.3750587725305996</v>
      </c>
      <c r="U279" s="777">
        <f t="shared" si="207"/>
        <v>1.2910171202015633E-3</v>
      </c>
      <c r="V279" s="783">
        <f t="shared" si="194"/>
        <v>4445.3636777798829</v>
      </c>
      <c r="W279" s="778">
        <f t="shared" si="208"/>
        <v>514637.75441064191</v>
      </c>
      <c r="X279" s="784">
        <v>9489798.3037</v>
      </c>
      <c r="Y279" s="782">
        <f t="shared" si="201"/>
        <v>11.746441856044314</v>
      </c>
      <c r="Z279" s="782">
        <f t="shared" si="209"/>
        <v>1.8136687918972956E-3</v>
      </c>
      <c r="AA279" s="783">
        <f t="shared" si="195"/>
        <v>898.82537447433231</v>
      </c>
      <c r="AB279" s="692">
        <f t="shared" si="210"/>
        <v>426178.99772099825</v>
      </c>
      <c r="AC279" s="786">
        <f t="shared" si="211"/>
        <v>940816.75213164021</v>
      </c>
      <c r="AD279" s="787">
        <f t="shared" si="196"/>
        <v>89.109372242057233</v>
      </c>
      <c r="AE279" s="788">
        <v>2191.4259999999999</v>
      </c>
      <c r="AF279" s="774">
        <f t="shared" si="212"/>
        <v>2.2792917769391993E-3</v>
      </c>
      <c r="AG279" s="692">
        <f t="shared" si="213"/>
        <v>286924.22351394384</v>
      </c>
      <c r="AH279" s="786">
        <f t="shared" si="214"/>
        <v>286924.22351394384</v>
      </c>
      <c r="AI279" s="692">
        <f t="shared" si="197"/>
        <v>27.176001469401765</v>
      </c>
      <c r="AJ279" s="789">
        <v>1105</v>
      </c>
      <c r="AK279" s="777">
        <f t="shared" si="215"/>
        <v>1.468856259454516E-3</v>
      </c>
      <c r="AL279" s="692">
        <f t="shared" si="216"/>
        <v>30817.353440048068</v>
      </c>
      <c r="AM279" s="790">
        <v>10</v>
      </c>
      <c r="AN279" s="791">
        <f t="shared" si="217"/>
        <v>1.4440433212996383E-3</v>
      </c>
      <c r="AO279" s="778">
        <f t="shared" si="218"/>
        <v>90890.296028880824</v>
      </c>
      <c r="AP279" s="768">
        <v>87</v>
      </c>
      <c r="AQ279" s="792">
        <f t="shared" si="219"/>
        <v>1.1759140366290465E-3</v>
      </c>
      <c r="AR279" s="793">
        <f t="shared" si="220"/>
        <v>98685.104818544307</v>
      </c>
      <c r="AS279" s="794">
        <v>31.972222222222225</v>
      </c>
      <c r="AT279" s="791">
        <f t="shared" si="221"/>
        <v>1.2822440942688918E-3</v>
      </c>
      <c r="AU279" s="795">
        <f t="shared" si="222"/>
        <v>107608.54016899772</v>
      </c>
      <c r="AV279" s="796">
        <v>36</v>
      </c>
      <c r="AW279" s="791">
        <f t="shared" si="223"/>
        <v>4.5843520782396088E-4</v>
      </c>
      <c r="AX279" s="795">
        <f t="shared" si="224"/>
        <v>28854.613386308069</v>
      </c>
      <c r="AY279" s="786">
        <f t="shared" si="225"/>
        <v>356855.90784277895</v>
      </c>
      <c r="AZ279" s="787">
        <f t="shared" si="198"/>
        <v>33.799574525741519</v>
      </c>
      <c r="BA279" s="797">
        <f t="shared" si="202"/>
        <v>1697272.0631610206</v>
      </c>
      <c r="BB279" s="775">
        <v>1238321</v>
      </c>
      <c r="BC279" s="775">
        <f t="shared" si="226"/>
        <v>0</v>
      </c>
      <c r="BD279" s="775">
        <f t="shared" si="227"/>
        <v>458951.06316102063</v>
      </c>
      <c r="BE279" s="798">
        <f t="shared" si="228"/>
        <v>7.1412830070061823E-4</v>
      </c>
      <c r="BF279" s="775">
        <f t="shared" si="229"/>
        <v>-945.42167244375173</v>
      </c>
      <c r="BG279" s="797">
        <f t="shared" si="230"/>
        <v>1696326.6414885768</v>
      </c>
      <c r="BH279" s="799">
        <v>8</v>
      </c>
      <c r="BI279" s="692">
        <f t="shared" si="239"/>
        <v>0</v>
      </c>
      <c r="BJ279" s="800">
        <v>1450</v>
      </c>
      <c r="BK279" s="778">
        <f t="shared" si="231"/>
        <v>0</v>
      </c>
      <c r="BL279" s="786">
        <f t="shared" si="238"/>
        <v>1696326.6414885768</v>
      </c>
      <c r="BM279" s="692">
        <f t="shared" si="232"/>
        <v>1696326.6414885768</v>
      </c>
      <c r="BN279" s="801">
        <f t="shared" si="233"/>
        <v>8.288509794603272E-4</v>
      </c>
      <c r="BO279" s="787">
        <f t="shared" si="234"/>
        <v>4096.8705266950201</v>
      </c>
      <c r="BP279" s="802">
        <f t="shared" si="235"/>
        <v>1700424</v>
      </c>
      <c r="BQ279" s="803">
        <f t="shared" si="199"/>
        <v>161.05550293616216</v>
      </c>
      <c r="BR279" s="682"/>
      <c r="BS279" s="618"/>
    </row>
    <row r="280" spans="1:71" ht="15.75">
      <c r="A280" s="766" t="s">
        <v>3975</v>
      </c>
      <c r="B280" s="767" t="s">
        <v>3976</v>
      </c>
      <c r="C280" s="768">
        <v>7282</v>
      </c>
      <c r="D280" s="769">
        <v>0</v>
      </c>
      <c r="E280" s="770">
        <v>0</v>
      </c>
      <c r="F280" s="771">
        <v>0</v>
      </c>
      <c r="G280" s="770">
        <v>0</v>
      </c>
      <c r="H280" s="771">
        <v>0</v>
      </c>
      <c r="I280" s="770">
        <f t="shared" si="236"/>
        <v>0</v>
      </c>
      <c r="J280" s="772">
        <f t="shared" si="203"/>
        <v>0</v>
      </c>
      <c r="K280" s="773">
        <v>1551</v>
      </c>
      <c r="L280" s="774">
        <f t="shared" si="204"/>
        <v>5.5976229410870939E-4</v>
      </c>
      <c r="M280" s="775">
        <f t="shared" si="237"/>
        <v>46976.393636682871</v>
      </c>
      <c r="N280" s="806">
        <v>140</v>
      </c>
      <c r="O280" s="777">
        <f t="shared" si="205"/>
        <v>1.592144812394165E-4</v>
      </c>
      <c r="P280" s="778">
        <f t="shared" si="206"/>
        <v>13361.604063153562</v>
      </c>
      <c r="Q280" s="786">
        <f t="shared" si="192"/>
        <v>60337.997699836429</v>
      </c>
      <c r="R280" s="692">
        <f t="shared" si="193"/>
        <v>8.2859101482884405</v>
      </c>
      <c r="S280" s="807">
        <v>25374817.289999999</v>
      </c>
      <c r="T280" s="782">
        <f t="shared" si="200"/>
        <v>2.0897696875593939</v>
      </c>
      <c r="U280" s="777">
        <f t="shared" si="207"/>
        <v>1.1359417607349714E-3</v>
      </c>
      <c r="V280" s="783">
        <f t="shared" si="194"/>
        <v>3484.5945193628122</v>
      </c>
      <c r="W280" s="778">
        <f t="shared" si="208"/>
        <v>452820.11193983583</v>
      </c>
      <c r="X280" s="784">
        <v>4459153.7822000002</v>
      </c>
      <c r="Y280" s="782">
        <f t="shared" si="201"/>
        <v>11.891835668838036</v>
      </c>
      <c r="Z280" s="782">
        <f t="shared" si="209"/>
        <v>1.8361178214869021E-3</v>
      </c>
      <c r="AA280" s="783">
        <f t="shared" si="195"/>
        <v>612.35289511123324</v>
      </c>
      <c r="AB280" s="692">
        <f t="shared" si="210"/>
        <v>431454.10912670265</v>
      </c>
      <c r="AC280" s="786">
        <f t="shared" si="211"/>
        <v>884274.22106653848</v>
      </c>
      <c r="AD280" s="787">
        <f t="shared" si="196"/>
        <v>121.43287847659138</v>
      </c>
      <c r="AE280" s="788">
        <v>2840.7745</v>
      </c>
      <c r="AF280" s="774">
        <f t="shared" si="212"/>
        <v>2.954676068454315E-3</v>
      </c>
      <c r="AG280" s="692">
        <f t="shared" si="213"/>
        <v>371943.66480579862</v>
      </c>
      <c r="AH280" s="786">
        <f t="shared" si="214"/>
        <v>371943.66480579862</v>
      </c>
      <c r="AI280" s="692">
        <f t="shared" si="197"/>
        <v>51.077130569321426</v>
      </c>
      <c r="AJ280" s="789">
        <v>765</v>
      </c>
      <c r="AK280" s="777">
        <f t="shared" si="215"/>
        <v>1.0169004873146648E-3</v>
      </c>
      <c r="AL280" s="692">
        <f t="shared" si="216"/>
        <v>21335.0908431102</v>
      </c>
      <c r="AM280" s="790">
        <v>4</v>
      </c>
      <c r="AN280" s="791">
        <f t="shared" si="217"/>
        <v>5.776173285198553E-4</v>
      </c>
      <c r="AO280" s="778">
        <f t="shared" si="218"/>
        <v>36356.118411552328</v>
      </c>
      <c r="AP280" s="768">
        <v>73</v>
      </c>
      <c r="AQ280" s="792">
        <f t="shared" si="219"/>
        <v>9.8668649050483214E-4</v>
      </c>
      <c r="AR280" s="793">
        <f t="shared" si="220"/>
        <v>82804.743123606138</v>
      </c>
      <c r="AS280" s="794">
        <v>19.027777777777779</v>
      </c>
      <c r="AT280" s="791">
        <f t="shared" si="221"/>
        <v>7.6310791014265065E-4</v>
      </c>
      <c r="AU280" s="795">
        <f t="shared" si="222"/>
        <v>64041.572559307933</v>
      </c>
      <c r="AV280" s="796">
        <v>0</v>
      </c>
      <c r="AW280" s="791">
        <f t="shared" si="223"/>
        <v>0</v>
      </c>
      <c r="AX280" s="795">
        <f t="shared" si="224"/>
        <v>0</v>
      </c>
      <c r="AY280" s="786">
        <f t="shared" si="225"/>
        <v>204537.52493757661</v>
      </c>
      <c r="AZ280" s="787">
        <f t="shared" si="198"/>
        <v>28.088097354789429</v>
      </c>
      <c r="BA280" s="797">
        <f t="shared" si="202"/>
        <v>1521093.4085097502</v>
      </c>
      <c r="BB280" s="775">
        <v>929086</v>
      </c>
      <c r="BC280" s="775">
        <f t="shared" si="226"/>
        <v>0</v>
      </c>
      <c r="BD280" s="775">
        <f t="shared" si="227"/>
        <v>592007.40850975015</v>
      </c>
      <c r="BE280" s="798">
        <f t="shared" si="228"/>
        <v>9.2116410348725601E-4</v>
      </c>
      <c r="BF280" s="775">
        <f t="shared" si="229"/>
        <v>-1219.5126652446877</v>
      </c>
      <c r="BG280" s="797">
        <f t="shared" si="230"/>
        <v>1519873.8958445054</v>
      </c>
      <c r="BH280" s="799">
        <v>8.5</v>
      </c>
      <c r="BI280" s="692">
        <f t="shared" si="239"/>
        <v>0</v>
      </c>
      <c r="BJ280" s="800">
        <v>1500</v>
      </c>
      <c r="BK280" s="778">
        <f t="shared" si="231"/>
        <v>0</v>
      </c>
      <c r="BL280" s="786">
        <f t="shared" si="238"/>
        <v>1519873.8958445054</v>
      </c>
      <c r="BM280" s="692">
        <f t="shared" si="232"/>
        <v>1519873.8958445054</v>
      </c>
      <c r="BN280" s="801">
        <f t="shared" si="233"/>
        <v>7.4263348603747364E-4</v>
      </c>
      <c r="BO280" s="787">
        <f t="shared" si="234"/>
        <v>3670.7120055099494</v>
      </c>
      <c r="BP280" s="802">
        <f t="shared" si="235"/>
        <v>1523545</v>
      </c>
      <c r="BQ280" s="803">
        <f t="shared" si="199"/>
        <v>209.22068113155726</v>
      </c>
      <c r="BR280" s="682"/>
      <c r="BS280" s="618"/>
    </row>
    <row r="281" spans="1:71" ht="15.75">
      <c r="A281" s="766" t="s">
        <v>3977</v>
      </c>
      <c r="B281" s="767" t="s">
        <v>3978</v>
      </c>
      <c r="C281" s="768">
        <v>36751</v>
      </c>
      <c r="D281" s="769">
        <v>0</v>
      </c>
      <c r="E281" s="770">
        <v>0</v>
      </c>
      <c r="F281" s="771">
        <v>0</v>
      </c>
      <c r="G281" s="770">
        <f>C281/($C$10+$C$60+$C$62+$C$67+$C$74+$C$80+$C$94+$C$105+$C$127+$C$141+$C$168+$C$175+$C$201+$C$219+$C$237+$C$255+$C$265+$C$267+$C$268+$C$273+$C$281)*$G$7</f>
        <v>2256987.7440798525</v>
      </c>
      <c r="H281" s="771">
        <v>0</v>
      </c>
      <c r="I281" s="770">
        <f t="shared" si="236"/>
        <v>2256987.7440798525</v>
      </c>
      <c r="J281" s="772">
        <f t="shared" si="203"/>
        <v>61.412961390978545</v>
      </c>
      <c r="K281" s="773">
        <v>21843</v>
      </c>
      <c r="L281" s="774">
        <f t="shared" si="204"/>
        <v>7.883228749333681E-3</v>
      </c>
      <c r="M281" s="775">
        <f t="shared" si="237"/>
        <v>661576.63843073114</v>
      </c>
      <c r="N281" s="806">
        <v>7655</v>
      </c>
      <c r="O281" s="777">
        <f t="shared" si="205"/>
        <v>8.7056203849123805E-3</v>
      </c>
      <c r="P281" s="778">
        <f t="shared" si="206"/>
        <v>730593.42216743215</v>
      </c>
      <c r="Q281" s="786">
        <f t="shared" si="192"/>
        <v>1392170.0605981634</v>
      </c>
      <c r="R281" s="692">
        <f t="shared" si="193"/>
        <v>37.881147740147568</v>
      </c>
      <c r="S281" s="807">
        <v>126394517.94</v>
      </c>
      <c r="T281" s="782">
        <f t="shared" si="200"/>
        <v>10.685874854486588</v>
      </c>
      <c r="U281" s="777">
        <f t="shared" si="207"/>
        <v>5.8085498940198691E-3</v>
      </c>
      <c r="V281" s="783">
        <f t="shared" si="194"/>
        <v>3439.2130265843107</v>
      </c>
      <c r="W281" s="778">
        <f t="shared" si="208"/>
        <v>2315460.4436026732</v>
      </c>
      <c r="X281" s="784">
        <v>41296154.906800002</v>
      </c>
      <c r="Y281" s="782">
        <f t="shared" si="201"/>
        <v>32.706095859244236</v>
      </c>
      <c r="Z281" s="782">
        <f t="shared" si="209"/>
        <v>5.04987179025533E-3</v>
      </c>
      <c r="AA281" s="783">
        <f t="shared" si="195"/>
        <v>1123.6743192511769</v>
      </c>
      <c r="AB281" s="692">
        <f t="shared" si="210"/>
        <v>1186627.5186547025</v>
      </c>
      <c r="AC281" s="786">
        <f t="shared" si="211"/>
        <v>3502087.9622573759</v>
      </c>
      <c r="AD281" s="787">
        <f t="shared" si="196"/>
        <v>95.292317549383029</v>
      </c>
      <c r="AE281" s="788">
        <v>2159.8368999999998</v>
      </c>
      <c r="AF281" s="774">
        <f t="shared" si="212"/>
        <v>2.2464361040253475E-3</v>
      </c>
      <c r="AG281" s="692">
        <f t="shared" si="213"/>
        <v>282788.25086918904</v>
      </c>
      <c r="AH281" s="786">
        <f t="shared" si="214"/>
        <v>282788.25086918904</v>
      </c>
      <c r="AI281" s="692">
        <f t="shared" si="197"/>
        <v>7.6947090111613026</v>
      </c>
      <c r="AJ281" s="789">
        <v>4912</v>
      </c>
      <c r="AK281" s="777">
        <f t="shared" si="215"/>
        <v>6.5294316257380833E-3</v>
      </c>
      <c r="AL281" s="692">
        <f t="shared" si="216"/>
        <v>136990.80551811412</v>
      </c>
      <c r="AM281" s="790">
        <v>22</v>
      </c>
      <c r="AN281" s="791">
        <f t="shared" si="217"/>
        <v>3.1768953068592042E-3</v>
      </c>
      <c r="AO281" s="778">
        <f t="shared" si="218"/>
        <v>199958.65126353782</v>
      </c>
      <c r="AP281" s="768">
        <v>378</v>
      </c>
      <c r="AQ281" s="792">
        <f t="shared" si="219"/>
        <v>5.1091437453537883E-3</v>
      </c>
      <c r="AR281" s="793">
        <f t="shared" si="220"/>
        <v>428769.76576333045</v>
      </c>
      <c r="AS281" s="794">
        <v>37.861111111111114</v>
      </c>
      <c r="AT281" s="791">
        <f t="shared" si="221"/>
        <v>1.5184176372619459E-3</v>
      </c>
      <c r="AU281" s="795">
        <f t="shared" si="222"/>
        <v>127428.70569100251</v>
      </c>
      <c r="AV281" s="796">
        <v>431</v>
      </c>
      <c r="AW281" s="791">
        <f t="shared" si="223"/>
        <v>5.4884881825590873E-3</v>
      </c>
      <c r="AX281" s="795">
        <f t="shared" si="224"/>
        <v>345453.8435971883</v>
      </c>
      <c r="AY281" s="786">
        <f t="shared" si="225"/>
        <v>1238601.771833173</v>
      </c>
      <c r="AZ281" s="787">
        <f t="shared" si="198"/>
        <v>33.70253249797755</v>
      </c>
      <c r="BA281" s="797">
        <f t="shared" si="202"/>
        <v>8672635.7896377537</v>
      </c>
      <c r="BB281" s="775">
        <v>5953449</v>
      </c>
      <c r="BC281" s="775">
        <f t="shared" si="226"/>
        <v>0</v>
      </c>
      <c r="BD281" s="775">
        <f t="shared" si="227"/>
        <v>2719186.7896377537</v>
      </c>
      <c r="BE281" s="798">
        <f t="shared" si="228"/>
        <v>4.231057289631533E-3</v>
      </c>
      <c r="BF281" s="775">
        <f t="shared" si="229"/>
        <v>-5601.4209982216271</v>
      </c>
      <c r="BG281" s="797">
        <f t="shared" si="230"/>
        <v>8667034.3686395325</v>
      </c>
      <c r="BH281" s="799">
        <v>6.8</v>
      </c>
      <c r="BI281" s="692">
        <f t="shared" si="239"/>
        <v>0</v>
      </c>
      <c r="BJ281" s="800">
        <v>1600</v>
      </c>
      <c r="BK281" s="778">
        <f t="shared" si="231"/>
        <v>0</v>
      </c>
      <c r="BL281" s="786">
        <f t="shared" si="238"/>
        <v>8667034.3686395325</v>
      </c>
      <c r="BM281" s="692">
        <f t="shared" si="232"/>
        <v>8667034.3686395325</v>
      </c>
      <c r="BN281" s="801">
        <f t="shared" si="233"/>
        <v>4.2348447225702378E-3</v>
      </c>
      <c r="BO281" s="787">
        <f t="shared" si="234"/>
        <v>20932.122853162888</v>
      </c>
      <c r="BP281" s="802">
        <f t="shared" si="235"/>
        <v>8687966</v>
      </c>
      <c r="BQ281" s="803">
        <f t="shared" si="199"/>
        <v>236.40080542026067</v>
      </c>
      <c r="BR281" s="682"/>
      <c r="BS281" s="618"/>
    </row>
    <row r="282" spans="1:71" ht="15.75">
      <c r="A282" s="766" t="s">
        <v>3979</v>
      </c>
      <c r="B282" s="767" t="s">
        <v>3980</v>
      </c>
      <c r="C282" s="768">
        <v>7405</v>
      </c>
      <c r="D282" s="769">
        <v>0</v>
      </c>
      <c r="E282" s="770">
        <v>0</v>
      </c>
      <c r="F282" s="771">
        <v>0</v>
      </c>
      <c r="G282" s="770">
        <v>0</v>
      </c>
      <c r="H282" s="771">
        <v>0</v>
      </c>
      <c r="I282" s="770">
        <f t="shared" si="236"/>
        <v>0</v>
      </c>
      <c r="J282" s="772">
        <f t="shared" si="203"/>
        <v>0</v>
      </c>
      <c r="K282" s="773">
        <v>2249</v>
      </c>
      <c r="L282" s="774">
        <f t="shared" si="204"/>
        <v>8.1167337166375723E-4</v>
      </c>
      <c r="M282" s="775">
        <f t="shared" si="237"/>
        <v>68117.285163700697</v>
      </c>
      <c r="N282" s="806">
        <v>0</v>
      </c>
      <c r="O282" s="777">
        <f t="shared" si="205"/>
        <v>0</v>
      </c>
      <c r="P282" s="778">
        <f t="shared" si="206"/>
        <v>0</v>
      </c>
      <c r="Q282" s="786">
        <f t="shared" si="192"/>
        <v>68117.285163700697</v>
      </c>
      <c r="R282" s="692">
        <f t="shared" si="193"/>
        <v>9.1988231146118427</v>
      </c>
      <c r="S282" s="807">
        <v>24220186.629999999</v>
      </c>
      <c r="T282" s="782">
        <f t="shared" si="200"/>
        <v>2.2639802837885896</v>
      </c>
      <c r="U282" s="777">
        <f t="shared" si="207"/>
        <v>1.2306378856703454E-3</v>
      </c>
      <c r="V282" s="783">
        <f t="shared" si="194"/>
        <v>3270.788201215395</v>
      </c>
      <c r="W282" s="778">
        <f t="shared" si="208"/>
        <v>490568.79886702524</v>
      </c>
      <c r="X282" s="784">
        <v>5665167.1953999996</v>
      </c>
      <c r="Y282" s="782">
        <f t="shared" si="201"/>
        <v>9.6791538729031892</v>
      </c>
      <c r="Z282" s="782">
        <f t="shared" si="209"/>
        <v>1.4944763296319619E-3</v>
      </c>
      <c r="AA282" s="783">
        <f t="shared" si="195"/>
        <v>765.04621139770416</v>
      </c>
      <c r="AB282" s="692">
        <f t="shared" si="210"/>
        <v>351174.60648039472</v>
      </c>
      <c r="AC282" s="786">
        <f t="shared" si="211"/>
        <v>841743.4053474199</v>
      </c>
      <c r="AD282" s="787">
        <f t="shared" si="196"/>
        <v>113.67230322044833</v>
      </c>
      <c r="AE282" s="788">
        <v>2172.4863</v>
      </c>
      <c r="AF282" s="774">
        <f t="shared" si="212"/>
        <v>2.2595926849015512E-3</v>
      </c>
      <c r="AG282" s="692">
        <f t="shared" si="213"/>
        <v>284444.44152902305</v>
      </c>
      <c r="AH282" s="786">
        <f t="shared" si="214"/>
        <v>284444.44152902305</v>
      </c>
      <c r="AI282" s="692">
        <f t="shared" si="197"/>
        <v>38.412483663608782</v>
      </c>
      <c r="AJ282" s="789">
        <v>970</v>
      </c>
      <c r="AK282" s="777">
        <f t="shared" si="215"/>
        <v>1.2894032322813397E-3</v>
      </c>
      <c r="AL282" s="692">
        <f t="shared" si="216"/>
        <v>27052.337408910971</v>
      </c>
      <c r="AM282" s="790">
        <v>2.6666666666666665</v>
      </c>
      <c r="AN282" s="791">
        <f t="shared" si="217"/>
        <v>3.8507821901323682E-4</v>
      </c>
      <c r="AO282" s="778">
        <f t="shared" si="218"/>
        <v>24237.412274368216</v>
      </c>
      <c r="AP282" s="768">
        <v>102</v>
      </c>
      <c r="AQ282" s="792">
        <f t="shared" si="219"/>
        <v>1.3786578360478476E-3</v>
      </c>
      <c r="AR282" s="793">
        <f t="shared" si="220"/>
        <v>115699.77806312092</v>
      </c>
      <c r="AS282" s="794">
        <v>7.7777777777777786</v>
      </c>
      <c r="AT282" s="791">
        <f t="shared" si="221"/>
        <v>3.1192732093422221E-4</v>
      </c>
      <c r="AU282" s="795">
        <f t="shared" si="222"/>
        <v>26177.577104534634</v>
      </c>
      <c r="AV282" s="796">
        <v>42</v>
      </c>
      <c r="AW282" s="791">
        <f t="shared" si="223"/>
        <v>5.34841075794621E-4</v>
      </c>
      <c r="AX282" s="795">
        <f t="shared" si="224"/>
        <v>33663.715617359412</v>
      </c>
      <c r="AY282" s="786">
        <f t="shared" si="225"/>
        <v>226830.82046829414</v>
      </c>
      <c r="AZ282" s="787">
        <f t="shared" si="198"/>
        <v>30.632116200985031</v>
      </c>
      <c r="BA282" s="797">
        <f t="shared" si="202"/>
        <v>1421135.9525084379</v>
      </c>
      <c r="BB282" s="775">
        <v>809452</v>
      </c>
      <c r="BC282" s="775">
        <f t="shared" si="226"/>
        <v>0</v>
      </c>
      <c r="BD282" s="775">
        <f t="shared" si="227"/>
        <v>611683.95250843791</v>
      </c>
      <c r="BE282" s="798">
        <f t="shared" si="228"/>
        <v>9.5178082508860448E-4</v>
      </c>
      <c r="BF282" s="775">
        <f t="shared" si="229"/>
        <v>-1260.045594849485</v>
      </c>
      <c r="BG282" s="797">
        <f t="shared" si="230"/>
        <v>1419875.9069135885</v>
      </c>
      <c r="BH282" s="799">
        <v>7.8</v>
      </c>
      <c r="BI282" s="692">
        <f t="shared" si="239"/>
        <v>0</v>
      </c>
      <c r="BJ282" s="800">
        <v>1350</v>
      </c>
      <c r="BK282" s="778">
        <f t="shared" si="231"/>
        <v>0</v>
      </c>
      <c r="BL282" s="786">
        <f t="shared" si="238"/>
        <v>1419875.9069135885</v>
      </c>
      <c r="BM282" s="692">
        <f t="shared" si="232"/>
        <v>1419875.9069135885</v>
      </c>
      <c r="BN282" s="801">
        <f t="shared" si="233"/>
        <v>6.9377294877872924E-4</v>
      </c>
      <c r="BO282" s="787">
        <f t="shared" si="234"/>
        <v>3429.202614830132</v>
      </c>
      <c r="BP282" s="802">
        <f t="shared" si="235"/>
        <v>1423305</v>
      </c>
      <c r="BQ282" s="803">
        <f t="shared" si="199"/>
        <v>192.20864280891288</v>
      </c>
      <c r="BR282" s="682"/>
      <c r="BS282" s="618"/>
    </row>
    <row r="283" spans="1:71" ht="15.75">
      <c r="A283" s="766" t="s">
        <v>3981</v>
      </c>
      <c r="B283" s="767" t="s">
        <v>3982</v>
      </c>
      <c r="C283" s="768">
        <v>15341</v>
      </c>
      <c r="D283" s="769">
        <v>0</v>
      </c>
      <c r="E283" s="770">
        <v>0</v>
      </c>
      <c r="F283" s="771">
        <v>0</v>
      </c>
      <c r="G283" s="770">
        <v>0</v>
      </c>
      <c r="H283" s="771">
        <v>0</v>
      </c>
      <c r="I283" s="770">
        <f t="shared" si="236"/>
        <v>0</v>
      </c>
      <c r="J283" s="772">
        <f t="shared" si="203"/>
        <v>0</v>
      </c>
      <c r="K283" s="773">
        <v>5625</v>
      </c>
      <c r="L283" s="774">
        <f t="shared" si="204"/>
        <v>2.0300856894658222E-3</v>
      </c>
      <c r="M283" s="775">
        <f t="shared" si="237"/>
        <v>170368.93243477831</v>
      </c>
      <c r="N283" s="806">
        <v>707</v>
      </c>
      <c r="O283" s="777">
        <f t="shared" si="205"/>
        <v>8.0403313025905333E-4</v>
      </c>
      <c r="P283" s="778">
        <f t="shared" si="206"/>
        <v>67476.100518925479</v>
      </c>
      <c r="Q283" s="786">
        <f t="shared" si="192"/>
        <v>237845.03295370378</v>
      </c>
      <c r="R283" s="692">
        <f t="shared" si="193"/>
        <v>15.503880643615394</v>
      </c>
      <c r="S283" s="807">
        <v>70932855.569999993</v>
      </c>
      <c r="T283" s="782">
        <f t="shared" si="200"/>
        <v>3.3178740529873192</v>
      </c>
      <c r="U283" s="777">
        <f t="shared" si="207"/>
        <v>1.8035057719920028E-3</v>
      </c>
      <c r="V283" s="783">
        <f t="shared" si="194"/>
        <v>4623.7439260804376</v>
      </c>
      <c r="W283" s="778">
        <f t="shared" si="208"/>
        <v>718930.94680238282</v>
      </c>
      <c r="X283" s="784">
        <v>22008788.374400001</v>
      </c>
      <c r="Y283" s="782">
        <f t="shared" si="201"/>
        <v>10.693286563368845</v>
      </c>
      <c r="Z283" s="782">
        <f t="shared" si="209"/>
        <v>1.6510599856940707E-3</v>
      </c>
      <c r="AA283" s="783">
        <f t="shared" si="195"/>
        <v>1434.6384443256634</v>
      </c>
      <c r="AB283" s="692">
        <f t="shared" si="210"/>
        <v>387968.90205308824</v>
      </c>
      <c r="AC283" s="786">
        <f t="shared" si="211"/>
        <v>1106899.848855471</v>
      </c>
      <c r="AD283" s="787">
        <f t="shared" si="196"/>
        <v>72.15304405550296</v>
      </c>
      <c r="AE283" s="788">
        <v>389.24790000000002</v>
      </c>
      <c r="AF283" s="774">
        <f t="shared" si="212"/>
        <v>4.0485489250417388E-4</v>
      </c>
      <c r="AG283" s="692">
        <f t="shared" si="213"/>
        <v>50964.372724396468</v>
      </c>
      <c r="AH283" s="786">
        <f t="shared" si="214"/>
        <v>50964.372724396468</v>
      </c>
      <c r="AI283" s="692">
        <f t="shared" si="197"/>
        <v>3.3221023873539188</v>
      </c>
      <c r="AJ283" s="789">
        <v>1226</v>
      </c>
      <c r="AK283" s="777">
        <f t="shared" si="215"/>
        <v>1.6296993430689923E-3</v>
      </c>
      <c r="AL283" s="692">
        <f t="shared" si="216"/>
        <v>34191.923364252427</v>
      </c>
      <c r="AM283" s="790">
        <v>8.3333333333333339</v>
      </c>
      <c r="AN283" s="791">
        <f t="shared" si="217"/>
        <v>1.2033694344163652E-3</v>
      </c>
      <c r="AO283" s="778">
        <f t="shared" si="218"/>
        <v>75741.913357400685</v>
      </c>
      <c r="AP283" s="768">
        <v>172</v>
      </c>
      <c r="AQ283" s="792">
        <f t="shared" si="219"/>
        <v>2.3247955666689194E-3</v>
      </c>
      <c r="AR283" s="793">
        <f t="shared" si="220"/>
        <v>195101.58653781173</v>
      </c>
      <c r="AS283" s="794">
        <v>39.138888888888893</v>
      </c>
      <c r="AT283" s="791">
        <f t="shared" si="221"/>
        <v>1.5696628399868538E-3</v>
      </c>
      <c r="AU283" s="795">
        <f t="shared" si="222"/>
        <v>131729.30764389035</v>
      </c>
      <c r="AV283" s="796">
        <v>4</v>
      </c>
      <c r="AW283" s="791">
        <f t="shared" si="223"/>
        <v>5.0937245313773429E-5</v>
      </c>
      <c r="AX283" s="795">
        <f t="shared" si="224"/>
        <v>3206.0681540342298</v>
      </c>
      <c r="AY283" s="786">
        <f t="shared" si="225"/>
        <v>439970.79905738943</v>
      </c>
      <c r="AZ283" s="787">
        <f t="shared" si="198"/>
        <v>28.679408060582062</v>
      </c>
      <c r="BA283" s="797">
        <f t="shared" si="202"/>
        <v>1835680.0535909606</v>
      </c>
      <c r="BB283" s="775">
        <v>1609219</v>
      </c>
      <c r="BC283" s="775">
        <f t="shared" si="226"/>
        <v>0</v>
      </c>
      <c r="BD283" s="775">
        <f t="shared" si="227"/>
        <v>226461.05359096057</v>
      </c>
      <c r="BE283" s="798">
        <f t="shared" si="228"/>
        <v>3.5237361966638451E-4</v>
      </c>
      <c r="BF283" s="775">
        <f t="shared" si="229"/>
        <v>-466.50112662278269</v>
      </c>
      <c r="BG283" s="797">
        <f t="shared" si="230"/>
        <v>1835213.5524643378</v>
      </c>
      <c r="BH283" s="799">
        <v>6.5</v>
      </c>
      <c r="BI283" s="692">
        <f t="shared" si="239"/>
        <v>0</v>
      </c>
      <c r="BJ283" s="800">
        <v>750</v>
      </c>
      <c r="BK283" s="778">
        <f t="shared" si="231"/>
        <v>0</v>
      </c>
      <c r="BL283" s="786">
        <f t="shared" si="238"/>
        <v>1835213.5524643378</v>
      </c>
      <c r="BM283" s="692">
        <f t="shared" si="232"/>
        <v>1835213.5524643378</v>
      </c>
      <c r="BN283" s="801">
        <f t="shared" si="233"/>
        <v>8.9671323510200041E-4</v>
      </c>
      <c r="BO283" s="787">
        <f t="shared" si="234"/>
        <v>4432.3022048893772</v>
      </c>
      <c r="BP283" s="802">
        <f t="shared" si="235"/>
        <v>1839646</v>
      </c>
      <c r="BQ283" s="803">
        <f t="shared" si="199"/>
        <v>119.91695456619516</v>
      </c>
      <c r="BR283" s="682"/>
      <c r="BS283" s="618"/>
    </row>
    <row r="284" spans="1:71" ht="15.75">
      <c r="A284" s="766" t="s">
        <v>3983</v>
      </c>
      <c r="B284" s="767" t="s">
        <v>3984</v>
      </c>
      <c r="C284" s="768">
        <v>18374</v>
      </c>
      <c r="D284" s="769">
        <v>0</v>
      </c>
      <c r="E284" s="770">
        <v>0</v>
      </c>
      <c r="F284" s="771">
        <v>0</v>
      </c>
      <c r="G284" s="770">
        <v>0</v>
      </c>
      <c r="H284" s="771">
        <v>0</v>
      </c>
      <c r="I284" s="770">
        <f t="shared" si="236"/>
        <v>0</v>
      </c>
      <c r="J284" s="772">
        <f t="shared" si="203"/>
        <v>0</v>
      </c>
      <c r="K284" s="773">
        <v>4737</v>
      </c>
      <c r="L284" s="774">
        <f t="shared" si="204"/>
        <v>1.7096028286221511E-3</v>
      </c>
      <c r="M284" s="775">
        <f t="shared" si="237"/>
        <v>143473.3569677413</v>
      </c>
      <c r="N284" s="806">
        <v>701.5</v>
      </c>
      <c r="O284" s="777">
        <f t="shared" si="205"/>
        <v>7.9777827563893341E-4</v>
      </c>
      <c r="P284" s="778">
        <f t="shared" si="206"/>
        <v>66951.180359301594</v>
      </c>
      <c r="Q284" s="786">
        <f t="shared" si="192"/>
        <v>210424.5373270429</v>
      </c>
      <c r="R284" s="692">
        <f t="shared" si="193"/>
        <v>11.452298755145472</v>
      </c>
      <c r="S284" s="807">
        <v>48489179.289999992</v>
      </c>
      <c r="T284" s="782">
        <f t="shared" si="200"/>
        <v>6.962458035861717</v>
      </c>
      <c r="U284" s="777">
        <f t="shared" si="207"/>
        <v>3.7846021441419377E-3</v>
      </c>
      <c r="V284" s="783">
        <f t="shared" si="194"/>
        <v>2639.0105197561766</v>
      </c>
      <c r="W284" s="778">
        <f t="shared" si="208"/>
        <v>1508654.779492636</v>
      </c>
      <c r="X284" s="784">
        <v>10426710.446699999</v>
      </c>
      <c r="Y284" s="782">
        <f t="shared" si="201"/>
        <v>32.378752409572272</v>
      </c>
      <c r="Z284" s="782">
        <f t="shared" si="209"/>
        <v>4.9993294552931429E-3</v>
      </c>
      <c r="AA284" s="783">
        <f t="shared" si="195"/>
        <v>567.47090708065741</v>
      </c>
      <c r="AB284" s="692">
        <f t="shared" si="210"/>
        <v>1174750.9942568103</v>
      </c>
      <c r="AC284" s="786">
        <f t="shared" si="211"/>
        <v>2683405.7737494465</v>
      </c>
      <c r="AD284" s="787">
        <f t="shared" si="196"/>
        <v>146.04363632031385</v>
      </c>
      <c r="AE284" s="788">
        <v>3306.3029999999999</v>
      </c>
      <c r="AF284" s="774">
        <f t="shared" si="212"/>
        <v>3.4388700508113917E-3</v>
      </c>
      <c r="AG284" s="692">
        <f t="shared" si="213"/>
        <v>432895.48493849346</v>
      </c>
      <c r="AH284" s="786">
        <f t="shared" si="214"/>
        <v>432895.48493849346</v>
      </c>
      <c r="AI284" s="692">
        <f t="shared" si="197"/>
        <v>23.56022014468779</v>
      </c>
      <c r="AJ284" s="789">
        <v>2234</v>
      </c>
      <c r="AK284" s="777">
        <f t="shared" si="215"/>
        <v>2.9696152792953743E-3</v>
      </c>
      <c r="AL284" s="692">
        <f t="shared" si="216"/>
        <v>62304.043063409394</v>
      </c>
      <c r="AM284" s="790">
        <v>24</v>
      </c>
      <c r="AN284" s="791">
        <f t="shared" si="217"/>
        <v>3.4657039711191318E-3</v>
      </c>
      <c r="AO284" s="778">
        <f t="shared" si="218"/>
        <v>218136.71046931396</v>
      </c>
      <c r="AP284" s="768">
        <v>246</v>
      </c>
      <c r="AQ284" s="792">
        <f t="shared" si="219"/>
        <v>3.3249983104683381E-3</v>
      </c>
      <c r="AR284" s="793">
        <f t="shared" si="220"/>
        <v>279040.64121105627</v>
      </c>
      <c r="AS284" s="794">
        <v>44.138888888888893</v>
      </c>
      <c r="AT284" s="791">
        <f t="shared" si="221"/>
        <v>1.770187546301711E-3</v>
      </c>
      <c r="AU284" s="795">
        <f t="shared" si="222"/>
        <v>148557.75006823405</v>
      </c>
      <c r="AV284" s="796">
        <v>251</v>
      </c>
      <c r="AW284" s="791">
        <f t="shared" si="223"/>
        <v>3.1963121434392828E-3</v>
      </c>
      <c r="AX284" s="795">
        <f t="shared" si="224"/>
        <v>201180.77666564792</v>
      </c>
      <c r="AY284" s="786">
        <f t="shared" si="225"/>
        <v>909219.92147766147</v>
      </c>
      <c r="AZ284" s="787">
        <f t="shared" si="198"/>
        <v>49.484049280377789</v>
      </c>
      <c r="BA284" s="797">
        <f t="shared" si="202"/>
        <v>4235945.7174926437</v>
      </c>
      <c r="BB284" s="775">
        <v>2651781</v>
      </c>
      <c r="BC284" s="775">
        <f t="shared" si="226"/>
        <v>0</v>
      </c>
      <c r="BD284" s="775">
        <f t="shared" si="227"/>
        <v>1584164.7174926437</v>
      </c>
      <c r="BE284" s="798">
        <f t="shared" si="228"/>
        <v>2.4649618413368551E-3</v>
      </c>
      <c r="BF284" s="775">
        <f t="shared" si="229"/>
        <v>-3263.3188521731722</v>
      </c>
      <c r="BG284" s="797">
        <f t="shared" si="230"/>
        <v>4232682.3986404706</v>
      </c>
      <c r="BH284" s="799">
        <v>8</v>
      </c>
      <c r="BI284" s="692">
        <f t="shared" si="239"/>
        <v>0</v>
      </c>
      <c r="BJ284" s="800">
        <v>2000</v>
      </c>
      <c r="BK284" s="778">
        <f t="shared" si="231"/>
        <v>0</v>
      </c>
      <c r="BL284" s="786">
        <f t="shared" si="238"/>
        <v>4232682.3986404706</v>
      </c>
      <c r="BM284" s="692">
        <f t="shared" si="232"/>
        <v>4232682.3986404706</v>
      </c>
      <c r="BN284" s="801">
        <f t="shared" si="233"/>
        <v>2.0681529524166622E-3</v>
      </c>
      <c r="BO284" s="787">
        <f t="shared" si="234"/>
        <v>10222.531052530016</v>
      </c>
      <c r="BP284" s="802">
        <f t="shared" si="235"/>
        <v>4242905</v>
      </c>
      <c r="BQ284" s="803">
        <f t="shared" si="199"/>
        <v>230.91896157614019</v>
      </c>
      <c r="BR284" s="682"/>
      <c r="BS284" s="618"/>
    </row>
    <row r="285" spans="1:71" ht="15.75">
      <c r="A285" s="805" t="s">
        <v>3985</v>
      </c>
      <c r="B285" s="767" t="s">
        <v>3986</v>
      </c>
      <c r="C285" s="768">
        <v>24379</v>
      </c>
      <c r="D285" s="769">
        <v>0</v>
      </c>
      <c r="E285" s="770">
        <v>0</v>
      </c>
      <c r="F285" s="771">
        <v>0</v>
      </c>
      <c r="G285" s="770">
        <v>0</v>
      </c>
      <c r="H285" s="771">
        <v>0</v>
      </c>
      <c r="I285" s="770">
        <f t="shared" si="236"/>
        <v>0</v>
      </c>
      <c r="J285" s="772">
        <f t="shared" si="203"/>
        <v>0</v>
      </c>
      <c r="K285" s="773">
        <v>11986</v>
      </c>
      <c r="L285" s="774">
        <f t="shared" si="204"/>
        <v>4.3257968131444171E-3</v>
      </c>
      <c r="M285" s="775">
        <f t="shared" si="237"/>
        <v>363029.69318457827</v>
      </c>
      <c r="N285" s="806">
        <v>3178.5</v>
      </c>
      <c r="O285" s="777">
        <f t="shared" si="205"/>
        <v>3.614737347282038E-3</v>
      </c>
      <c r="P285" s="778">
        <f t="shared" si="206"/>
        <v>303356.1322480971</v>
      </c>
      <c r="Q285" s="786">
        <f t="shared" si="192"/>
        <v>666385.82543267542</v>
      </c>
      <c r="R285" s="692">
        <f t="shared" si="193"/>
        <v>27.334420010364472</v>
      </c>
      <c r="S285" s="807">
        <v>88186898.649999991</v>
      </c>
      <c r="T285" s="782">
        <f t="shared" si="200"/>
        <v>6.739500425781217</v>
      </c>
      <c r="U285" s="777">
        <f t="shared" si="207"/>
        <v>3.6634084730537662E-3</v>
      </c>
      <c r="V285" s="783">
        <f t="shared" si="194"/>
        <v>3617.3304339800643</v>
      </c>
      <c r="W285" s="778">
        <f t="shared" si="208"/>
        <v>1460343.3839567963</v>
      </c>
      <c r="X285" s="784">
        <v>28585572.539999999</v>
      </c>
      <c r="Y285" s="782">
        <f t="shared" si="201"/>
        <v>20.791454856058657</v>
      </c>
      <c r="Z285" s="782">
        <f t="shared" si="209"/>
        <v>3.2102327898700161E-3</v>
      </c>
      <c r="AA285" s="783">
        <f t="shared" si="195"/>
        <v>1172.5490192378686</v>
      </c>
      <c r="AB285" s="692">
        <f t="shared" si="210"/>
        <v>754345.99688219267</v>
      </c>
      <c r="AC285" s="786">
        <f t="shared" si="211"/>
        <v>2214689.3808389888</v>
      </c>
      <c r="AD285" s="787">
        <f t="shared" si="196"/>
        <v>90.844143764674058</v>
      </c>
      <c r="AE285" s="788">
        <v>3679.9295000000002</v>
      </c>
      <c r="AF285" s="774">
        <f t="shared" si="212"/>
        <v>3.827477199351463E-3</v>
      </c>
      <c r="AG285" s="692">
        <f t="shared" si="213"/>
        <v>481814.54193459218</v>
      </c>
      <c r="AH285" s="786">
        <f t="shared" si="214"/>
        <v>481814.54193459218</v>
      </c>
      <c r="AI285" s="692">
        <f t="shared" si="197"/>
        <v>19.763507196135699</v>
      </c>
      <c r="AJ285" s="789">
        <v>2346</v>
      </c>
      <c r="AK285" s="777">
        <f t="shared" si="215"/>
        <v>3.1184948277649723E-3</v>
      </c>
      <c r="AL285" s="692">
        <f t="shared" si="216"/>
        <v>65427.611918871276</v>
      </c>
      <c r="AM285" s="790">
        <v>4.666666666666667</v>
      </c>
      <c r="AN285" s="791">
        <f t="shared" si="217"/>
        <v>6.7388688327316452E-4</v>
      </c>
      <c r="AO285" s="778">
        <f t="shared" si="218"/>
        <v>42415.471480144384</v>
      </c>
      <c r="AP285" s="768">
        <v>305</v>
      </c>
      <c r="AQ285" s="792">
        <f t="shared" si="219"/>
        <v>4.1224572548489557E-3</v>
      </c>
      <c r="AR285" s="793">
        <f t="shared" si="220"/>
        <v>345965.02263972425</v>
      </c>
      <c r="AS285" s="794">
        <v>35.472222222222221</v>
      </c>
      <c r="AT285" s="791">
        <f t="shared" si="221"/>
        <v>1.4226113886892917E-3</v>
      </c>
      <c r="AU285" s="795">
        <f t="shared" si="222"/>
        <v>119388.4498660383</v>
      </c>
      <c r="AV285" s="796">
        <v>163</v>
      </c>
      <c r="AW285" s="791">
        <f t="shared" si="223"/>
        <v>2.0756927465362673E-3</v>
      </c>
      <c r="AX285" s="795">
        <f t="shared" si="224"/>
        <v>130647.27727689486</v>
      </c>
      <c r="AY285" s="786">
        <f t="shared" si="225"/>
        <v>703843.8331816732</v>
      </c>
      <c r="AZ285" s="787">
        <f t="shared" si="198"/>
        <v>28.87090664841352</v>
      </c>
      <c r="BA285" s="797">
        <f t="shared" si="202"/>
        <v>4066733.5813879296</v>
      </c>
      <c r="BB285" s="775">
        <v>3166115</v>
      </c>
      <c r="BC285" s="775">
        <f t="shared" si="226"/>
        <v>0</v>
      </c>
      <c r="BD285" s="775">
        <f t="shared" si="227"/>
        <v>900618.58138792962</v>
      </c>
      <c r="BE285" s="798">
        <f t="shared" si="228"/>
        <v>1.4013633886720406E-3</v>
      </c>
      <c r="BF285" s="775">
        <f t="shared" si="229"/>
        <v>-1855.2399020175353</v>
      </c>
      <c r="BG285" s="797">
        <f t="shared" si="230"/>
        <v>4064878.341485912</v>
      </c>
      <c r="BH285" s="799">
        <v>7</v>
      </c>
      <c r="BI285" s="692">
        <f t="shared" si="239"/>
        <v>0</v>
      </c>
      <c r="BJ285" s="800">
        <v>1100</v>
      </c>
      <c r="BK285" s="778">
        <f t="shared" si="231"/>
        <v>0</v>
      </c>
      <c r="BL285" s="786">
        <f t="shared" si="238"/>
        <v>4064878.341485912</v>
      </c>
      <c r="BM285" s="692">
        <f t="shared" si="232"/>
        <v>4064878.341485912</v>
      </c>
      <c r="BN285" s="801">
        <f t="shared" si="233"/>
        <v>1.9861613396409991E-3</v>
      </c>
      <c r="BO285" s="787">
        <f t="shared" si="234"/>
        <v>9817.2603462861516</v>
      </c>
      <c r="BP285" s="802">
        <f t="shared" si="235"/>
        <v>4074696</v>
      </c>
      <c r="BQ285" s="803">
        <f t="shared" si="199"/>
        <v>167.13958734976825</v>
      </c>
      <c r="BR285" s="682"/>
      <c r="BS285" s="618"/>
    </row>
    <row r="286" spans="1:71" ht="15.75">
      <c r="A286" s="766" t="s">
        <v>3987</v>
      </c>
      <c r="B286" s="767" t="s">
        <v>3988</v>
      </c>
      <c r="C286" s="768">
        <v>24130</v>
      </c>
      <c r="D286" s="769">
        <v>0</v>
      </c>
      <c r="E286" s="770">
        <v>0</v>
      </c>
      <c r="F286" s="771">
        <v>0</v>
      </c>
      <c r="G286" s="770">
        <v>0</v>
      </c>
      <c r="H286" s="771">
        <v>0</v>
      </c>
      <c r="I286" s="770">
        <f t="shared" si="236"/>
        <v>0</v>
      </c>
      <c r="J286" s="772">
        <f t="shared" si="203"/>
        <v>0</v>
      </c>
      <c r="K286" s="773">
        <v>10680</v>
      </c>
      <c r="L286" s="774">
        <f t="shared" si="204"/>
        <v>3.8544560290657746E-3</v>
      </c>
      <c r="M286" s="775">
        <f t="shared" si="237"/>
        <v>323473.81304949912</v>
      </c>
      <c r="N286" s="806">
        <v>4969.5</v>
      </c>
      <c r="O286" s="777">
        <f t="shared" si="205"/>
        <v>5.6515454608520024E-3</v>
      </c>
      <c r="P286" s="778">
        <f t="shared" si="206"/>
        <v>474289.22422744019</v>
      </c>
      <c r="Q286" s="786">
        <f t="shared" si="192"/>
        <v>797763.03727693926</v>
      </c>
      <c r="R286" s="692">
        <f t="shared" si="193"/>
        <v>33.061045887979247</v>
      </c>
      <c r="S286" s="807">
        <v>89089771.500000015</v>
      </c>
      <c r="T286" s="782">
        <f t="shared" si="200"/>
        <v>6.5356200851856476</v>
      </c>
      <c r="U286" s="777">
        <f t="shared" si="207"/>
        <v>3.5525846849329547E-3</v>
      </c>
      <c r="V286" s="783">
        <f t="shared" si="194"/>
        <v>3692.0750725238299</v>
      </c>
      <c r="W286" s="778">
        <f t="shared" si="208"/>
        <v>1416165.7316535714</v>
      </c>
      <c r="X286" s="784">
        <v>24695324.720199998</v>
      </c>
      <c r="Y286" s="782">
        <f t="shared" si="201"/>
        <v>23.577616678339613</v>
      </c>
      <c r="Z286" s="782">
        <f t="shared" si="209"/>
        <v>3.6404204848481747E-3</v>
      </c>
      <c r="AA286" s="783">
        <f t="shared" si="195"/>
        <v>1023.4282934189805</v>
      </c>
      <c r="AB286" s="692">
        <f t="shared" si="210"/>
        <v>855432.23792949412</v>
      </c>
      <c r="AC286" s="786">
        <f t="shared" si="211"/>
        <v>2271597.9695830652</v>
      </c>
      <c r="AD286" s="787">
        <f t="shared" si="196"/>
        <v>94.139990451018036</v>
      </c>
      <c r="AE286" s="788">
        <v>2298.5441000000001</v>
      </c>
      <c r="AF286" s="774">
        <f t="shared" si="212"/>
        <v>2.3907048041148151E-3</v>
      </c>
      <c r="AG286" s="692">
        <f t="shared" si="213"/>
        <v>300949.2362986735</v>
      </c>
      <c r="AH286" s="786">
        <f t="shared" si="214"/>
        <v>300949.2362986735</v>
      </c>
      <c r="AI286" s="692">
        <f t="shared" si="197"/>
        <v>12.471994873546352</v>
      </c>
      <c r="AJ286" s="789">
        <v>2852</v>
      </c>
      <c r="AK286" s="777">
        <f t="shared" si="215"/>
        <v>3.7911113592436919E-3</v>
      </c>
      <c r="AL286" s="692">
        <f t="shared" si="216"/>
        <v>79539.449783725868</v>
      </c>
      <c r="AM286" s="790">
        <v>23</v>
      </c>
      <c r="AN286" s="791">
        <f t="shared" si="217"/>
        <v>3.3212996389891678E-3</v>
      </c>
      <c r="AO286" s="778">
        <f t="shared" si="218"/>
        <v>209047.68086642589</v>
      </c>
      <c r="AP286" s="768">
        <v>315</v>
      </c>
      <c r="AQ286" s="792">
        <f t="shared" si="219"/>
        <v>4.2576197877948231E-3</v>
      </c>
      <c r="AR286" s="793">
        <f t="shared" si="220"/>
        <v>357308.13813610864</v>
      </c>
      <c r="AS286" s="794">
        <v>98.805555555555557</v>
      </c>
      <c r="AT286" s="791">
        <f t="shared" si="221"/>
        <v>3.9625910020108148E-3</v>
      </c>
      <c r="AU286" s="795">
        <f t="shared" si="222"/>
        <v>332548.72057439166</v>
      </c>
      <c r="AV286" s="796">
        <v>378</v>
      </c>
      <c r="AW286" s="791">
        <f t="shared" si="223"/>
        <v>4.8135696821515889E-3</v>
      </c>
      <c r="AX286" s="795">
        <f t="shared" si="224"/>
        <v>302973.44055623468</v>
      </c>
      <c r="AY286" s="786">
        <f t="shared" si="225"/>
        <v>1281417.4299168868</v>
      </c>
      <c r="AZ286" s="787">
        <f t="shared" si="198"/>
        <v>53.104742226145333</v>
      </c>
      <c r="BA286" s="797">
        <f t="shared" si="202"/>
        <v>4651727.6730755651</v>
      </c>
      <c r="BB286" s="775">
        <v>3749797</v>
      </c>
      <c r="BC286" s="775">
        <f t="shared" si="226"/>
        <v>0</v>
      </c>
      <c r="BD286" s="775">
        <f t="shared" si="227"/>
        <v>901930.67307556514</v>
      </c>
      <c r="BE286" s="798">
        <f t="shared" si="228"/>
        <v>1.4034050046142742E-3</v>
      </c>
      <c r="BF286" s="775">
        <f t="shared" si="229"/>
        <v>-1857.9427608129374</v>
      </c>
      <c r="BG286" s="797">
        <f t="shared" si="230"/>
        <v>4649869.7303147521</v>
      </c>
      <c r="BH286" s="799">
        <v>7</v>
      </c>
      <c r="BI286" s="692">
        <f t="shared" si="239"/>
        <v>0</v>
      </c>
      <c r="BJ286" s="800">
        <v>1500</v>
      </c>
      <c r="BK286" s="778">
        <f t="shared" si="231"/>
        <v>0</v>
      </c>
      <c r="BL286" s="786">
        <f t="shared" si="238"/>
        <v>4649869.7303147521</v>
      </c>
      <c r="BM286" s="692">
        <f t="shared" si="232"/>
        <v>4649869.7303147521</v>
      </c>
      <c r="BN286" s="801">
        <f t="shared" si="233"/>
        <v>2.2719970234932273E-3</v>
      </c>
      <c r="BO286" s="787">
        <f t="shared" si="234"/>
        <v>11230.097898115286</v>
      </c>
      <c r="BP286" s="802">
        <f t="shared" si="235"/>
        <v>4661100</v>
      </c>
      <c r="BQ286" s="803">
        <f t="shared" si="199"/>
        <v>193.1661831744716</v>
      </c>
      <c r="BR286" s="682"/>
      <c r="BS286" s="618"/>
    </row>
    <row r="287" spans="1:71" ht="15.75">
      <c r="A287" s="766" t="s">
        <v>3989</v>
      </c>
      <c r="B287" s="767" t="s">
        <v>3990</v>
      </c>
      <c r="C287" s="768">
        <v>31076</v>
      </c>
      <c r="D287" s="769">
        <v>0</v>
      </c>
      <c r="E287" s="770">
        <v>0</v>
      </c>
      <c r="F287" s="771">
        <v>0</v>
      </c>
      <c r="G287" s="770">
        <v>0</v>
      </c>
      <c r="H287" s="771">
        <v>0</v>
      </c>
      <c r="I287" s="770">
        <f t="shared" si="236"/>
        <v>0</v>
      </c>
      <c r="J287" s="772">
        <f t="shared" si="203"/>
        <v>0</v>
      </c>
      <c r="K287" s="773">
        <v>12475</v>
      </c>
      <c r="L287" s="774">
        <f t="shared" si="204"/>
        <v>4.5022789290819791E-3</v>
      </c>
      <c r="M287" s="775">
        <f t="shared" si="237"/>
        <v>377840.43237757502</v>
      </c>
      <c r="N287" s="806">
        <v>1349.5</v>
      </c>
      <c r="O287" s="777">
        <f t="shared" si="205"/>
        <v>1.5347138745185184E-3</v>
      </c>
      <c r="P287" s="778">
        <f t="shared" si="206"/>
        <v>128796.31916589808</v>
      </c>
      <c r="Q287" s="786">
        <f t="shared" si="192"/>
        <v>506636.7515434731</v>
      </c>
      <c r="R287" s="692">
        <f t="shared" si="193"/>
        <v>16.30315199972561</v>
      </c>
      <c r="S287" s="807">
        <v>99245987.139999986</v>
      </c>
      <c r="T287" s="782">
        <f t="shared" si="200"/>
        <v>9.7305473382790133</v>
      </c>
      <c r="U287" s="777">
        <f t="shared" si="207"/>
        <v>5.2892599324036761E-3</v>
      </c>
      <c r="V287" s="783">
        <f t="shared" si="194"/>
        <v>3193.6538531342512</v>
      </c>
      <c r="W287" s="778">
        <f t="shared" si="208"/>
        <v>2108456.0471834983</v>
      </c>
      <c r="X287" s="784">
        <v>27864663.385000002</v>
      </c>
      <c r="Y287" s="782">
        <f t="shared" si="201"/>
        <v>34.657435571960342</v>
      </c>
      <c r="Z287" s="782">
        <f t="shared" si="209"/>
        <v>5.351161660218969E-3</v>
      </c>
      <c r="AA287" s="783">
        <f t="shared" si="195"/>
        <v>896.66184145321154</v>
      </c>
      <c r="AB287" s="692">
        <f t="shared" si="210"/>
        <v>1257425.1281070157</v>
      </c>
      <c r="AC287" s="786">
        <f t="shared" si="211"/>
        <v>3365881.1752905138</v>
      </c>
      <c r="AD287" s="787">
        <f t="shared" si="196"/>
        <v>108.3112747873122</v>
      </c>
      <c r="AE287" s="788">
        <v>2136.8047999999999</v>
      </c>
      <c r="AF287" s="774">
        <f t="shared" si="212"/>
        <v>2.2224805261798529E-3</v>
      </c>
      <c r="AG287" s="692">
        <f t="shared" si="213"/>
        <v>279772.64942592999</v>
      </c>
      <c r="AH287" s="786">
        <f t="shared" si="214"/>
        <v>279772.64942592999</v>
      </c>
      <c r="AI287" s="692">
        <f t="shared" si="197"/>
        <v>9.0028526652699838</v>
      </c>
      <c r="AJ287" s="789">
        <v>3605</v>
      </c>
      <c r="AK287" s="777">
        <f t="shared" si="215"/>
        <v>4.7920604663651859E-3</v>
      </c>
      <c r="AL287" s="692">
        <f t="shared" si="216"/>
        <v>100539.87253517944</v>
      </c>
      <c r="AM287" s="790">
        <v>26.333333333333332</v>
      </c>
      <c r="AN287" s="791">
        <f t="shared" si="217"/>
        <v>3.8026474127557139E-3</v>
      </c>
      <c r="AO287" s="778">
        <f t="shared" si="218"/>
        <v>239344.44620938614</v>
      </c>
      <c r="AP287" s="768">
        <v>274</v>
      </c>
      <c r="AQ287" s="792">
        <f t="shared" si="219"/>
        <v>3.7034534027167668E-3</v>
      </c>
      <c r="AR287" s="793">
        <f t="shared" si="220"/>
        <v>310801.36460093263</v>
      </c>
      <c r="AS287" s="794">
        <v>88.75</v>
      </c>
      <c r="AT287" s="791">
        <f t="shared" si="221"/>
        <v>3.5593135370887135E-3</v>
      </c>
      <c r="AU287" s="795">
        <f t="shared" si="222"/>
        <v>298704.85303210048</v>
      </c>
      <c r="AV287" s="796">
        <v>174</v>
      </c>
      <c r="AW287" s="791">
        <f t="shared" si="223"/>
        <v>2.2157701711491441E-3</v>
      </c>
      <c r="AX287" s="795">
        <f t="shared" si="224"/>
        <v>139463.96470048898</v>
      </c>
      <c r="AY287" s="786">
        <f t="shared" si="225"/>
        <v>1088854.5010780876</v>
      </c>
      <c r="AZ287" s="787">
        <f t="shared" si="198"/>
        <v>35.038438057603543</v>
      </c>
      <c r="BA287" s="797">
        <f t="shared" si="202"/>
        <v>5241145.0773380045</v>
      </c>
      <c r="BB287" s="775">
        <v>4542015</v>
      </c>
      <c r="BC287" s="775">
        <f t="shared" si="226"/>
        <v>0</v>
      </c>
      <c r="BD287" s="775">
        <f t="shared" si="227"/>
        <v>699130.07733800448</v>
      </c>
      <c r="BE287" s="798">
        <f t="shared" si="228"/>
        <v>1.0878470803823263E-3</v>
      </c>
      <c r="BF287" s="775">
        <f t="shared" si="229"/>
        <v>-1440.1812742739562</v>
      </c>
      <c r="BG287" s="797">
        <f t="shared" si="230"/>
        <v>5239704.8960637301</v>
      </c>
      <c r="BH287" s="799">
        <v>7</v>
      </c>
      <c r="BI287" s="692">
        <f t="shared" si="239"/>
        <v>0</v>
      </c>
      <c r="BJ287" s="800">
        <v>1800</v>
      </c>
      <c r="BK287" s="778">
        <f t="shared" si="231"/>
        <v>0</v>
      </c>
      <c r="BL287" s="786">
        <f t="shared" si="238"/>
        <v>5239704.8960637301</v>
      </c>
      <c r="BM287" s="692">
        <f t="shared" si="232"/>
        <v>5239704.8960637301</v>
      </c>
      <c r="BN287" s="801">
        <f t="shared" si="233"/>
        <v>2.5601994503690875E-3</v>
      </c>
      <c r="BO287" s="787">
        <f t="shared" si="234"/>
        <v>12654.633861333272</v>
      </c>
      <c r="BP287" s="802">
        <f t="shared" si="235"/>
        <v>5252360</v>
      </c>
      <c r="BQ287" s="803">
        <f t="shared" si="199"/>
        <v>169.01660445359764</v>
      </c>
      <c r="BR287" s="682"/>
      <c r="BS287" s="618"/>
    </row>
    <row r="288" spans="1:71" ht="15.75">
      <c r="A288" s="766" t="s">
        <v>3991</v>
      </c>
      <c r="B288" s="767" t="s">
        <v>3992</v>
      </c>
      <c r="C288" s="768">
        <v>13830</v>
      </c>
      <c r="D288" s="769">
        <v>0</v>
      </c>
      <c r="E288" s="770">
        <v>0</v>
      </c>
      <c r="F288" s="771">
        <v>0</v>
      </c>
      <c r="G288" s="770">
        <v>0</v>
      </c>
      <c r="H288" s="771">
        <v>0</v>
      </c>
      <c r="I288" s="770">
        <f t="shared" si="236"/>
        <v>0</v>
      </c>
      <c r="J288" s="772">
        <f t="shared" si="203"/>
        <v>0</v>
      </c>
      <c r="K288" s="773">
        <v>2545</v>
      </c>
      <c r="L288" s="774">
        <f t="shared" si="204"/>
        <v>9.1850099194498084E-4</v>
      </c>
      <c r="M288" s="775">
        <f t="shared" si="237"/>
        <v>77082.476986046357</v>
      </c>
      <c r="N288" s="806">
        <v>1113.5</v>
      </c>
      <c r="O288" s="777">
        <f t="shared" si="205"/>
        <v>1.2663237490006449E-3</v>
      </c>
      <c r="P288" s="778">
        <f t="shared" si="206"/>
        <v>106272.47231658208</v>
      </c>
      <c r="Q288" s="786">
        <f t="shared" si="192"/>
        <v>183354.94930262843</v>
      </c>
      <c r="R288" s="692">
        <f t="shared" si="193"/>
        <v>13.25776929158557</v>
      </c>
      <c r="S288" s="807">
        <v>69631050.550000012</v>
      </c>
      <c r="T288" s="782">
        <f t="shared" si="200"/>
        <v>2.7468909127351946</v>
      </c>
      <c r="U288" s="777">
        <f t="shared" si="207"/>
        <v>1.4931349222523482E-3</v>
      </c>
      <c r="V288" s="783">
        <f t="shared" si="194"/>
        <v>5034.7831200289238</v>
      </c>
      <c r="W288" s="778">
        <f t="shared" si="208"/>
        <v>595207.91118562769</v>
      </c>
      <c r="X288" s="784">
        <v>21673213.7051</v>
      </c>
      <c r="Y288" s="782">
        <f t="shared" si="201"/>
        <v>8.8251286866142902</v>
      </c>
      <c r="Z288" s="782">
        <f t="shared" si="209"/>
        <v>1.3626135198680478E-3</v>
      </c>
      <c r="AA288" s="783">
        <f t="shared" si="195"/>
        <v>1567.1159584309471</v>
      </c>
      <c r="AB288" s="692">
        <f t="shared" si="210"/>
        <v>320189.25769293989</v>
      </c>
      <c r="AC288" s="786">
        <f t="shared" si="211"/>
        <v>915397.16887856764</v>
      </c>
      <c r="AD288" s="787">
        <f t="shared" si="196"/>
        <v>66.189238530626724</v>
      </c>
      <c r="AE288" s="788">
        <v>221.892</v>
      </c>
      <c r="AF288" s="774">
        <f t="shared" si="212"/>
        <v>2.3078881557880246E-4</v>
      </c>
      <c r="AG288" s="692">
        <f t="shared" si="213"/>
        <v>29052.402318835324</v>
      </c>
      <c r="AH288" s="786">
        <f t="shared" si="214"/>
        <v>29052.402318835324</v>
      </c>
      <c r="AI288" s="692">
        <f t="shared" si="197"/>
        <v>2.1006798495181003</v>
      </c>
      <c r="AJ288" s="789">
        <v>746</v>
      </c>
      <c r="AK288" s="777">
        <f t="shared" si="215"/>
        <v>9.9164413534214382E-4</v>
      </c>
      <c r="AL288" s="692">
        <f t="shared" si="216"/>
        <v>20805.199697987202</v>
      </c>
      <c r="AM288" s="790">
        <v>5.333333333333333</v>
      </c>
      <c r="AN288" s="791">
        <f t="shared" si="217"/>
        <v>7.7015643802647363E-4</v>
      </c>
      <c r="AO288" s="778">
        <f t="shared" si="218"/>
        <v>48474.824548736433</v>
      </c>
      <c r="AP288" s="768">
        <v>69</v>
      </c>
      <c r="AQ288" s="792">
        <f t="shared" si="219"/>
        <v>9.326214773264851E-4</v>
      </c>
      <c r="AR288" s="793">
        <f t="shared" si="220"/>
        <v>78267.496925052372</v>
      </c>
      <c r="AS288" s="794">
        <v>52.444444444444436</v>
      </c>
      <c r="AT288" s="791">
        <f t="shared" si="221"/>
        <v>2.103281364013612E-3</v>
      </c>
      <c r="AU288" s="795">
        <f t="shared" si="222"/>
        <v>176511.66276200491</v>
      </c>
      <c r="AV288" s="796">
        <v>239</v>
      </c>
      <c r="AW288" s="791">
        <f t="shared" si="223"/>
        <v>3.0435004074979627E-3</v>
      </c>
      <c r="AX288" s="795">
        <f t="shared" si="224"/>
        <v>191562.57220354525</v>
      </c>
      <c r="AY288" s="786">
        <f t="shared" si="225"/>
        <v>515621.75613732613</v>
      </c>
      <c r="AZ288" s="787">
        <f t="shared" si="198"/>
        <v>37.282845707688075</v>
      </c>
      <c r="BA288" s="797">
        <f t="shared" si="202"/>
        <v>1643426.2766373574</v>
      </c>
      <c r="BB288" s="775">
        <v>1486727</v>
      </c>
      <c r="BC288" s="775">
        <f t="shared" si="226"/>
        <v>0</v>
      </c>
      <c r="BD288" s="775">
        <f t="shared" si="227"/>
        <v>156699.27663735743</v>
      </c>
      <c r="BE288" s="798">
        <f t="shared" si="228"/>
        <v>2.4382422686924121E-4</v>
      </c>
      <c r="BF288" s="775">
        <f t="shared" si="229"/>
        <v>-322.79452883027744</v>
      </c>
      <c r="BG288" s="797">
        <f t="shared" si="230"/>
        <v>1643103.4821085271</v>
      </c>
      <c r="BH288" s="799">
        <v>7.5</v>
      </c>
      <c r="BI288" s="692">
        <f t="shared" si="239"/>
        <v>0</v>
      </c>
      <c r="BJ288" s="800">
        <v>850</v>
      </c>
      <c r="BK288" s="778">
        <f t="shared" si="231"/>
        <v>0</v>
      </c>
      <c r="BL288" s="786">
        <f t="shared" si="238"/>
        <v>1643103.4821085271</v>
      </c>
      <c r="BM288" s="692">
        <f t="shared" si="232"/>
        <v>1643103.4821085271</v>
      </c>
      <c r="BN288" s="801">
        <f t="shared" si="233"/>
        <v>8.0284533484967842E-4</v>
      </c>
      <c r="BO288" s="787">
        <f t="shared" si="234"/>
        <v>3968.3290137170875</v>
      </c>
      <c r="BP288" s="802">
        <f t="shared" si="235"/>
        <v>1647072</v>
      </c>
      <c r="BQ288" s="803">
        <f t="shared" si="199"/>
        <v>119.09414316702819</v>
      </c>
      <c r="BR288" s="682"/>
      <c r="BS288" s="618"/>
    </row>
    <row r="289" spans="1:71" ht="15.75">
      <c r="A289" s="805" t="s">
        <v>3993</v>
      </c>
      <c r="B289" s="767" t="s">
        <v>3994</v>
      </c>
      <c r="C289" s="768">
        <v>11374</v>
      </c>
      <c r="D289" s="769">
        <v>0</v>
      </c>
      <c r="E289" s="770">
        <v>0</v>
      </c>
      <c r="F289" s="771">
        <v>0</v>
      </c>
      <c r="G289" s="770">
        <v>0</v>
      </c>
      <c r="H289" s="771">
        <v>0</v>
      </c>
      <c r="I289" s="770">
        <f t="shared" si="236"/>
        <v>0</v>
      </c>
      <c r="J289" s="772">
        <f t="shared" si="203"/>
        <v>0</v>
      </c>
      <c r="K289" s="773">
        <v>2730</v>
      </c>
      <c r="L289" s="774">
        <f t="shared" si="204"/>
        <v>9.8526825462074579E-4</v>
      </c>
      <c r="M289" s="775">
        <f t="shared" si="237"/>
        <v>82685.721875012416</v>
      </c>
      <c r="N289" s="806">
        <v>28</v>
      </c>
      <c r="O289" s="777">
        <f t="shared" si="205"/>
        <v>3.18428962478833E-5</v>
      </c>
      <c r="P289" s="778">
        <f t="shared" si="206"/>
        <v>2672.3208126307122</v>
      </c>
      <c r="Q289" s="786">
        <f t="shared" si="192"/>
        <v>85358.04268764313</v>
      </c>
      <c r="R289" s="692">
        <f t="shared" si="193"/>
        <v>7.5046635033974969</v>
      </c>
      <c r="S289" s="807">
        <v>42240603.399999999</v>
      </c>
      <c r="T289" s="782">
        <f t="shared" si="200"/>
        <v>3.0626427083662353</v>
      </c>
      <c r="U289" s="777">
        <f t="shared" si="207"/>
        <v>1.6647689797370485E-3</v>
      </c>
      <c r="V289" s="783">
        <f t="shared" si="194"/>
        <v>3713.7861262528572</v>
      </c>
      <c r="W289" s="778">
        <f t="shared" si="208"/>
        <v>663626.34231419594</v>
      </c>
      <c r="X289" s="784">
        <v>7994432.1140000001</v>
      </c>
      <c r="Y289" s="782">
        <f t="shared" si="201"/>
        <v>16.182247113393899</v>
      </c>
      <c r="Z289" s="782">
        <f t="shared" si="209"/>
        <v>2.4985639849083754E-3</v>
      </c>
      <c r="AA289" s="783">
        <f t="shared" si="195"/>
        <v>702.86900949534026</v>
      </c>
      <c r="AB289" s="692">
        <f t="shared" si="210"/>
        <v>587116.84271531226</v>
      </c>
      <c r="AC289" s="786">
        <f t="shared" si="211"/>
        <v>1250743.1850295081</v>
      </c>
      <c r="AD289" s="787">
        <f t="shared" si="196"/>
        <v>109.96511210036118</v>
      </c>
      <c r="AE289" s="788">
        <v>1604.2153000000001</v>
      </c>
      <c r="AF289" s="774">
        <f t="shared" si="212"/>
        <v>1.6685367161519717E-3</v>
      </c>
      <c r="AG289" s="692">
        <f t="shared" si="213"/>
        <v>210040.50755156163</v>
      </c>
      <c r="AH289" s="786">
        <f t="shared" si="214"/>
        <v>210040.50755156163</v>
      </c>
      <c r="AI289" s="692">
        <f t="shared" si="197"/>
        <v>18.46672301314943</v>
      </c>
      <c r="AJ289" s="789">
        <v>1044</v>
      </c>
      <c r="AK289" s="777">
        <f t="shared" si="215"/>
        <v>1.3877700768058956E-3</v>
      </c>
      <c r="AL289" s="692">
        <f t="shared" si="216"/>
        <v>29116.123974126862</v>
      </c>
      <c r="AM289" s="790">
        <v>3</v>
      </c>
      <c r="AN289" s="791">
        <f t="shared" si="217"/>
        <v>4.3321299638989148E-4</v>
      </c>
      <c r="AO289" s="778">
        <f t="shared" si="218"/>
        <v>27267.088808664244</v>
      </c>
      <c r="AP289" s="768">
        <v>112</v>
      </c>
      <c r="AQ289" s="792">
        <f t="shared" si="219"/>
        <v>1.5138203689937148E-3</v>
      </c>
      <c r="AR289" s="793">
        <f t="shared" si="220"/>
        <v>127042.89355950529</v>
      </c>
      <c r="AS289" s="794">
        <v>32.166666666666664</v>
      </c>
      <c r="AT289" s="791">
        <f t="shared" si="221"/>
        <v>1.2900422772922472E-3</v>
      </c>
      <c r="AU289" s="795">
        <f t="shared" si="222"/>
        <v>108262.97959661107</v>
      </c>
      <c r="AV289" s="796">
        <v>65</v>
      </c>
      <c r="AW289" s="791">
        <f t="shared" si="223"/>
        <v>8.2773023634881827E-4</v>
      </c>
      <c r="AX289" s="795">
        <f t="shared" si="224"/>
        <v>52098.607503056235</v>
      </c>
      <c r="AY289" s="786">
        <f t="shared" si="225"/>
        <v>343787.6934419637</v>
      </c>
      <c r="AZ289" s="787">
        <f t="shared" si="198"/>
        <v>30.225751137855081</v>
      </c>
      <c r="BA289" s="797">
        <f t="shared" si="202"/>
        <v>1889929.4287106765</v>
      </c>
      <c r="BB289" s="775">
        <v>1401858</v>
      </c>
      <c r="BC289" s="775">
        <f t="shared" si="226"/>
        <v>0</v>
      </c>
      <c r="BD289" s="775">
        <f t="shared" si="227"/>
        <v>488071.4287106765</v>
      </c>
      <c r="BE289" s="798">
        <f t="shared" si="228"/>
        <v>7.5943961782128588E-4</v>
      </c>
      <c r="BF289" s="775">
        <f t="shared" si="229"/>
        <v>-1005.4085139830422</v>
      </c>
      <c r="BG289" s="797">
        <f t="shared" si="230"/>
        <v>1888924.0201966935</v>
      </c>
      <c r="BH289" s="799">
        <v>7.5</v>
      </c>
      <c r="BI289" s="692">
        <f t="shared" si="239"/>
        <v>0</v>
      </c>
      <c r="BJ289" s="800">
        <v>1400</v>
      </c>
      <c r="BK289" s="778">
        <f t="shared" si="231"/>
        <v>0</v>
      </c>
      <c r="BL289" s="786">
        <f t="shared" si="238"/>
        <v>1888924.0201966935</v>
      </c>
      <c r="BM289" s="692">
        <f t="shared" si="232"/>
        <v>1888924.0201966935</v>
      </c>
      <c r="BN289" s="801">
        <f t="shared" si="233"/>
        <v>9.2295698598017419E-4</v>
      </c>
      <c r="BO289" s="787">
        <f t="shared" si="234"/>
        <v>4562.0206369683528</v>
      </c>
      <c r="BP289" s="802">
        <f t="shared" si="235"/>
        <v>1893486</v>
      </c>
      <c r="BQ289" s="803">
        <f t="shared" si="199"/>
        <v>166.47494285211886</v>
      </c>
      <c r="BR289" s="682"/>
      <c r="BS289" s="618"/>
    </row>
    <row r="290" spans="1:71" ht="15.75">
      <c r="A290" s="766" t="s">
        <v>3995</v>
      </c>
      <c r="B290" s="767" t="s">
        <v>3996</v>
      </c>
      <c r="C290" s="768">
        <v>9188</v>
      </c>
      <c r="D290" s="769">
        <v>0</v>
      </c>
      <c r="E290" s="770">
        <v>0</v>
      </c>
      <c r="F290" s="771">
        <v>0</v>
      </c>
      <c r="G290" s="770">
        <v>0</v>
      </c>
      <c r="H290" s="771">
        <v>0</v>
      </c>
      <c r="I290" s="770">
        <f t="shared" si="236"/>
        <v>0</v>
      </c>
      <c r="J290" s="772">
        <f t="shared" si="203"/>
        <v>0</v>
      </c>
      <c r="K290" s="773">
        <v>6816</v>
      </c>
      <c r="L290" s="774">
        <f t="shared" si="204"/>
        <v>2.4599224994487192E-3</v>
      </c>
      <c r="M290" s="775">
        <f t="shared" si="237"/>
        <v>206441.71439563538</v>
      </c>
      <c r="N290" s="806">
        <v>0</v>
      </c>
      <c r="O290" s="777">
        <f t="shared" si="205"/>
        <v>0</v>
      </c>
      <c r="P290" s="778">
        <f t="shared" si="206"/>
        <v>0</v>
      </c>
      <c r="Q290" s="786">
        <f t="shared" si="192"/>
        <v>206441.71439563538</v>
      </c>
      <c r="R290" s="692">
        <f t="shared" si="193"/>
        <v>22.468623682589833</v>
      </c>
      <c r="S290" s="807">
        <v>27584860.690000001</v>
      </c>
      <c r="T290" s="782">
        <f t="shared" si="200"/>
        <v>3.0603505650693208</v>
      </c>
      <c r="U290" s="777">
        <f t="shared" si="207"/>
        <v>1.6635230332061679E-3</v>
      </c>
      <c r="V290" s="783">
        <f t="shared" si="194"/>
        <v>3002.2704277318244</v>
      </c>
      <c r="W290" s="778">
        <f t="shared" si="208"/>
        <v>663129.67103483446</v>
      </c>
      <c r="X290" s="784">
        <v>16634688.965600001</v>
      </c>
      <c r="Y290" s="782">
        <f t="shared" si="201"/>
        <v>5.0748976536066577</v>
      </c>
      <c r="Z290" s="782">
        <f t="shared" si="209"/>
        <v>7.8357204753736148E-4</v>
      </c>
      <c r="AA290" s="783">
        <f t="shared" si="195"/>
        <v>1810.4798612973445</v>
      </c>
      <c r="AB290" s="692">
        <f t="shared" si="210"/>
        <v>184125.10120567458</v>
      </c>
      <c r="AC290" s="786">
        <f t="shared" si="211"/>
        <v>847254.77224050905</v>
      </c>
      <c r="AD290" s="787">
        <f t="shared" si="196"/>
        <v>92.213188097573905</v>
      </c>
      <c r="AE290" s="788">
        <v>1269.9647</v>
      </c>
      <c r="AF290" s="774">
        <f t="shared" si="212"/>
        <v>1.320884254231289E-3</v>
      </c>
      <c r="AG290" s="692">
        <f t="shared" si="213"/>
        <v>166276.95182845261</v>
      </c>
      <c r="AH290" s="786">
        <f t="shared" si="214"/>
        <v>166276.95182845261</v>
      </c>
      <c r="AI290" s="692">
        <f t="shared" si="197"/>
        <v>18.097186746675295</v>
      </c>
      <c r="AJ290" s="789">
        <v>1184</v>
      </c>
      <c r="AK290" s="777">
        <f t="shared" si="215"/>
        <v>1.5738695123928932E-3</v>
      </c>
      <c r="AL290" s="692">
        <f t="shared" si="216"/>
        <v>33020.585043454223</v>
      </c>
      <c r="AM290" s="790">
        <v>4.666666666666667</v>
      </c>
      <c r="AN290" s="791">
        <f t="shared" si="217"/>
        <v>6.7388688327316452E-4</v>
      </c>
      <c r="AO290" s="778">
        <f t="shared" si="218"/>
        <v>42415.471480144384</v>
      </c>
      <c r="AP290" s="768">
        <v>92</v>
      </c>
      <c r="AQ290" s="792">
        <f t="shared" si="219"/>
        <v>1.2434953031019802E-3</v>
      </c>
      <c r="AR290" s="793">
        <f t="shared" si="220"/>
        <v>104356.6625667365</v>
      </c>
      <c r="AS290" s="794">
        <v>8.0833333333333339</v>
      </c>
      <c r="AT290" s="791">
        <f t="shared" si="221"/>
        <v>3.2418160854235235E-4</v>
      </c>
      <c r="AU290" s="795">
        <f t="shared" si="222"/>
        <v>27205.981919355636</v>
      </c>
      <c r="AV290" s="796">
        <v>81</v>
      </c>
      <c r="AW290" s="791">
        <f t="shared" si="223"/>
        <v>1.031479217603912E-3</v>
      </c>
      <c r="AX290" s="795">
        <f t="shared" si="224"/>
        <v>64922.880119193156</v>
      </c>
      <c r="AY290" s="786">
        <f t="shared" si="225"/>
        <v>271921.58112888387</v>
      </c>
      <c r="AZ290" s="787">
        <f t="shared" si="198"/>
        <v>29.595296161175867</v>
      </c>
      <c r="BA290" s="797">
        <f t="shared" si="202"/>
        <v>1491895.0195934807</v>
      </c>
      <c r="BB290" s="775">
        <v>1048905</v>
      </c>
      <c r="BC290" s="775">
        <f t="shared" si="226"/>
        <v>0</v>
      </c>
      <c r="BD290" s="775">
        <f t="shared" si="227"/>
        <v>442990.01959348074</v>
      </c>
      <c r="BE290" s="798">
        <f t="shared" si="228"/>
        <v>6.8929290138420619E-4</v>
      </c>
      <c r="BF290" s="775">
        <f t="shared" si="229"/>
        <v>-912.54253191046803</v>
      </c>
      <c r="BG290" s="797">
        <f t="shared" si="230"/>
        <v>1490982.4770615704</v>
      </c>
      <c r="BH290" s="799">
        <v>6.5</v>
      </c>
      <c r="BI290" s="692">
        <f t="shared" si="239"/>
        <v>0</v>
      </c>
      <c r="BJ290" s="800">
        <v>1200</v>
      </c>
      <c r="BK290" s="778">
        <f t="shared" si="231"/>
        <v>0</v>
      </c>
      <c r="BL290" s="786">
        <f t="shared" si="238"/>
        <v>1490982.4770615704</v>
      </c>
      <c r="BM290" s="692">
        <f t="shared" si="232"/>
        <v>1490982.4770615704</v>
      </c>
      <c r="BN290" s="801">
        <f t="shared" si="233"/>
        <v>7.2851669970013227E-4</v>
      </c>
      <c r="BO290" s="787">
        <f t="shared" si="234"/>
        <v>3600.9351127870123</v>
      </c>
      <c r="BP290" s="802">
        <f t="shared" si="235"/>
        <v>1494583</v>
      </c>
      <c r="BQ290" s="803">
        <f t="shared" si="199"/>
        <v>162.66684806269046</v>
      </c>
      <c r="BR290" s="682"/>
      <c r="BS290" s="618"/>
    </row>
    <row r="291" spans="1:71" ht="15.75">
      <c r="A291" s="766" t="s">
        <v>3997</v>
      </c>
      <c r="B291" s="767" t="s">
        <v>3998</v>
      </c>
      <c r="C291" s="768">
        <v>9041</v>
      </c>
      <c r="D291" s="769">
        <v>0</v>
      </c>
      <c r="E291" s="770">
        <v>0</v>
      </c>
      <c r="F291" s="771">
        <v>0</v>
      </c>
      <c r="G291" s="770">
        <v>0</v>
      </c>
      <c r="H291" s="771">
        <v>0</v>
      </c>
      <c r="I291" s="770">
        <f t="shared" si="236"/>
        <v>0</v>
      </c>
      <c r="J291" s="772">
        <f t="shared" si="203"/>
        <v>0</v>
      </c>
      <c r="K291" s="773">
        <v>7148</v>
      </c>
      <c r="L291" s="774">
        <f t="shared" si="204"/>
        <v>2.5797426681425238E-3</v>
      </c>
      <c r="M291" s="775">
        <f t="shared" si="237"/>
        <v>216497.26738556361</v>
      </c>
      <c r="N291" s="806">
        <v>1058</v>
      </c>
      <c r="O291" s="777">
        <f t="shared" si="205"/>
        <v>1.2032065796521618E-3</v>
      </c>
      <c r="P291" s="778">
        <f t="shared" si="206"/>
        <v>100975.55070583191</v>
      </c>
      <c r="Q291" s="786">
        <f t="shared" si="192"/>
        <v>317472.81809139554</v>
      </c>
      <c r="R291" s="692">
        <f t="shared" si="193"/>
        <v>35.114790188186653</v>
      </c>
      <c r="S291" s="807">
        <v>35589339.680000007</v>
      </c>
      <c r="T291" s="782">
        <f t="shared" si="200"/>
        <v>2.296746209257007</v>
      </c>
      <c r="U291" s="777">
        <f t="shared" si="207"/>
        <v>1.248448548390874E-3</v>
      </c>
      <c r="V291" s="783">
        <f t="shared" si="194"/>
        <v>3936.4384116801248</v>
      </c>
      <c r="W291" s="778">
        <f t="shared" si="208"/>
        <v>497668.65782600414</v>
      </c>
      <c r="X291" s="784">
        <v>15992752.020200001</v>
      </c>
      <c r="Y291" s="782">
        <f t="shared" si="201"/>
        <v>5.1110453595952015</v>
      </c>
      <c r="Z291" s="782">
        <f t="shared" si="209"/>
        <v>7.8915330925504205E-4</v>
      </c>
      <c r="AA291" s="783">
        <f t="shared" si="195"/>
        <v>1768.9140604136712</v>
      </c>
      <c r="AB291" s="692">
        <f t="shared" si="210"/>
        <v>185436.59563921523</v>
      </c>
      <c r="AC291" s="786">
        <f t="shared" si="211"/>
        <v>683105.2534652194</v>
      </c>
      <c r="AD291" s="787">
        <f t="shared" si="196"/>
        <v>75.556382420663581</v>
      </c>
      <c r="AE291" s="788">
        <v>347.56319999999999</v>
      </c>
      <c r="AF291" s="774">
        <f t="shared" si="212"/>
        <v>3.6149883396777909E-4</v>
      </c>
      <c r="AG291" s="692">
        <f t="shared" si="213"/>
        <v>45506.579406295976</v>
      </c>
      <c r="AH291" s="786">
        <f t="shared" si="214"/>
        <v>45506.579406295976</v>
      </c>
      <c r="AI291" s="692">
        <f t="shared" si="197"/>
        <v>5.0333568638752322</v>
      </c>
      <c r="AJ291" s="789">
        <v>805</v>
      </c>
      <c r="AK291" s="777">
        <f t="shared" si="215"/>
        <v>1.0700717546252357E-3</v>
      </c>
      <c r="AL291" s="692">
        <f t="shared" si="216"/>
        <v>22450.651148632303</v>
      </c>
      <c r="AM291" s="790">
        <v>4</v>
      </c>
      <c r="AN291" s="791">
        <f t="shared" si="217"/>
        <v>5.776173285198553E-4</v>
      </c>
      <c r="AO291" s="778">
        <f t="shared" si="218"/>
        <v>36356.118411552328</v>
      </c>
      <c r="AP291" s="768">
        <v>79</v>
      </c>
      <c r="AQ291" s="792">
        <f t="shared" si="219"/>
        <v>1.0677840102723524E-3</v>
      </c>
      <c r="AR291" s="793">
        <f t="shared" si="220"/>
        <v>89610.612421436774</v>
      </c>
      <c r="AS291" s="794">
        <v>8.8888888888888875</v>
      </c>
      <c r="AT291" s="791">
        <f t="shared" si="221"/>
        <v>3.5648836678196815E-4</v>
      </c>
      <c r="AU291" s="795">
        <f t="shared" si="222"/>
        <v>29917.230976611001</v>
      </c>
      <c r="AV291" s="796">
        <v>6</v>
      </c>
      <c r="AW291" s="791">
        <f t="shared" si="223"/>
        <v>7.6405867970660146E-5</v>
      </c>
      <c r="AX291" s="795">
        <f t="shared" si="224"/>
        <v>4809.1022310513445</v>
      </c>
      <c r="AY291" s="786">
        <f t="shared" si="225"/>
        <v>183143.71518928377</v>
      </c>
      <c r="AZ291" s="787">
        <f t="shared" si="198"/>
        <v>20.257019709023755</v>
      </c>
      <c r="BA291" s="797">
        <f t="shared" si="202"/>
        <v>1229228.3661521948</v>
      </c>
      <c r="BB291" s="775">
        <v>979434</v>
      </c>
      <c r="BC291" s="775">
        <f t="shared" si="226"/>
        <v>0</v>
      </c>
      <c r="BD291" s="775">
        <f t="shared" si="227"/>
        <v>249794.36615219479</v>
      </c>
      <c r="BE291" s="798">
        <f t="shared" si="228"/>
        <v>3.8868027670799698E-4</v>
      </c>
      <c r="BF291" s="775">
        <f t="shared" si="229"/>
        <v>-514.56685989150662</v>
      </c>
      <c r="BG291" s="797">
        <f t="shared" si="230"/>
        <v>1228713.7992923034</v>
      </c>
      <c r="BH291" s="799">
        <v>7</v>
      </c>
      <c r="BI291" s="692">
        <f t="shared" si="239"/>
        <v>0</v>
      </c>
      <c r="BJ291" s="800">
        <v>1175</v>
      </c>
      <c r="BK291" s="778">
        <f t="shared" si="231"/>
        <v>0</v>
      </c>
      <c r="BL291" s="786">
        <f t="shared" si="238"/>
        <v>1228713.7992923034</v>
      </c>
      <c r="BM291" s="692">
        <f t="shared" si="232"/>
        <v>1228713.7992923034</v>
      </c>
      <c r="BN291" s="801">
        <f t="shared" si="233"/>
        <v>6.0036823752655994E-4</v>
      </c>
      <c r="BO291" s="787">
        <f t="shared" si="234"/>
        <v>2967.5188887245909</v>
      </c>
      <c r="BP291" s="802">
        <f t="shared" si="235"/>
        <v>1231681</v>
      </c>
      <c r="BQ291" s="803">
        <f t="shared" si="199"/>
        <v>136.23282822696603</v>
      </c>
      <c r="BR291" s="682"/>
      <c r="BS291" s="618"/>
    </row>
    <row r="292" spans="1:71" ht="15.75">
      <c r="A292" s="766" t="s">
        <v>3999</v>
      </c>
      <c r="B292" s="767" t="s">
        <v>4000</v>
      </c>
      <c r="C292" s="768">
        <v>24825</v>
      </c>
      <c r="D292" s="769">
        <v>0</v>
      </c>
      <c r="E292" s="770">
        <v>0</v>
      </c>
      <c r="F292" s="771">
        <v>0</v>
      </c>
      <c r="G292" s="770">
        <v>0</v>
      </c>
      <c r="H292" s="771">
        <v>0</v>
      </c>
      <c r="I292" s="770">
        <f t="shared" si="236"/>
        <v>0</v>
      </c>
      <c r="J292" s="772">
        <f t="shared" si="203"/>
        <v>0</v>
      </c>
      <c r="K292" s="773">
        <v>8897</v>
      </c>
      <c r="L292" s="774">
        <f t="shared" si="204"/>
        <v>3.2109639785204303E-3</v>
      </c>
      <c r="M292" s="775">
        <f t="shared" si="237"/>
        <v>269470.6474439507</v>
      </c>
      <c r="N292" s="806">
        <v>1186.5</v>
      </c>
      <c r="O292" s="777">
        <f t="shared" si="205"/>
        <v>1.3493427285040549E-3</v>
      </c>
      <c r="P292" s="778">
        <f t="shared" si="206"/>
        <v>113239.59443522643</v>
      </c>
      <c r="Q292" s="786">
        <f t="shared" si="192"/>
        <v>382710.24187917716</v>
      </c>
      <c r="R292" s="692">
        <f t="shared" si="193"/>
        <v>15.416323942766452</v>
      </c>
      <c r="S292" s="807">
        <v>87398158.829999998</v>
      </c>
      <c r="T292" s="782">
        <f t="shared" si="200"/>
        <v>7.0514142774877033</v>
      </c>
      <c r="U292" s="777">
        <f t="shared" si="207"/>
        <v>3.8329563289798861E-3</v>
      </c>
      <c r="V292" s="783">
        <f t="shared" si="194"/>
        <v>3520.5703456193351</v>
      </c>
      <c r="W292" s="778">
        <f t="shared" si="208"/>
        <v>1527930.1932047899</v>
      </c>
      <c r="X292" s="784">
        <v>22314316.851500001</v>
      </c>
      <c r="Y292" s="782">
        <f t="shared" si="201"/>
        <v>27.618171288921744</v>
      </c>
      <c r="Z292" s="782">
        <f t="shared" si="209"/>
        <v>4.2642883666270887E-3</v>
      </c>
      <c r="AA292" s="783">
        <f t="shared" si="195"/>
        <v>898.86472715005038</v>
      </c>
      <c r="AB292" s="692">
        <f t="shared" si="210"/>
        <v>1002029.780851717</v>
      </c>
      <c r="AC292" s="786">
        <f t="shared" si="211"/>
        <v>2529959.974056507</v>
      </c>
      <c r="AD292" s="787">
        <f t="shared" si="196"/>
        <v>101.91178143228629</v>
      </c>
      <c r="AE292" s="788">
        <v>1534.1205</v>
      </c>
      <c r="AF292" s="774">
        <f t="shared" si="212"/>
        <v>1.5956314475067161E-3</v>
      </c>
      <c r="AG292" s="692">
        <f t="shared" si="213"/>
        <v>200862.96924437478</v>
      </c>
      <c r="AH292" s="786">
        <f t="shared" si="214"/>
        <v>200862.96924437478</v>
      </c>
      <c r="AI292" s="692">
        <f t="shared" si="197"/>
        <v>8.091156867849941</v>
      </c>
      <c r="AJ292" s="789">
        <v>2701</v>
      </c>
      <c r="AK292" s="777">
        <f t="shared" si="215"/>
        <v>3.5903898251462875E-3</v>
      </c>
      <c r="AL292" s="692">
        <f t="shared" si="216"/>
        <v>75328.209630379934</v>
      </c>
      <c r="AM292" s="790">
        <v>27.333333333333332</v>
      </c>
      <c r="AN292" s="791">
        <f t="shared" si="217"/>
        <v>3.9470517448856775E-3</v>
      </c>
      <c r="AO292" s="778">
        <f t="shared" si="218"/>
        <v>248433.47581227421</v>
      </c>
      <c r="AP292" s="768">
        <v>386</v>
      </c>
      <c r="AQ292" s="792">
        <f t="shared" si="219"/>
        <v>5.2172737717104817E-3</v>
      </c>
      <c r="AR292" s="793">
        <f t="shared" si="220"/>
        <v>437844.25816043792</v>
      </c>
      <c r="AS292" s="794">
        <v>158.36111111111111</v>
      </c>
      <c r="AT292" s="791">
        <f t="shared" si="221"/>
        <v>6.3510630594500019E-3</v>
      </c>
      <c r="AU292" s="795">
        <f t="shared" si="222"/>
        <v>532994.16811768548</v>
      </c>
      <c r="AV292" s="796">
        <v>699</v>
      </c>
      <c r="AW292" s="791">
        <f t="shared" si="223"/>
        <v>8.9012836185819073E-3</v>
      </c>
      <c r="AX292" s="795">
        <f t="shared" si="224"/>
        <v>560260.40991748171</v>
      </c>
      <c r="AY292" s="786">
        <f t="shared" si="225"/>
        <v>1854860.5216382593</v>
      </c>
      <c r="AZ292" s="787">
        <f t="shared" si="198"/>
        <v>74.717442966294428</v>
      </c>
      <c r="BA292" s="797">
        <f t="shared" si="202"/>
        <v>4968393.706818318</v>
      </c>
      <c r="BB292" s="775">
        <v>3746266</v>
      </c>
      <c r="BC292" s="775">
        <f t="shared" si="226"/>
        <v>0</v>
      </c>
      <c r="BD292" s="775">
        <f t="shared" si="227"/>
        <v>1222127.706818318</v>
      </c>
      <c r="BE292" s="798">
        <f t="shared" si="228"/>
        <v>1.9016319005739112E-3</v>
      </c>
      <c r="BF292" s="775">
        <f t="shared" si="229"/>
        <v>-2517.5364287469706</v>
      </c>
      <c r="BG292" s="797">
        <f t="shared" si="230"/>
        <v>4965876.1703895712</v>
      </c>
      <c r="BH292" s="799">
        <v>8.5</v>
      </c>
      <c r="BI292" s="692">
        <f t="shared" si="239"/>
        <v>0</v>
      </c>
      <c r="BJ292" s="800">
        <v>1600</v>
      </c>
      <c r="BK292" s="778">
        <f t="shared" si="231"/>
        <v>0</v>
      </c>
      <c r="BL292" s="786">
        <f t="shared" si="238"/>
        <v>4965876.1703895712</v>
      </c>
      <c r="BM292" s="692">
        <f t="shared" si="232"/>
        <v>4965876.1703895712</v>
      </c>
      <c r="BN292" s="801">
        <f t="shared" si="233"/>
        <v>2.4264025730882871E-3</v>
      </c>
      <c r="BO292" s="787">
        <f t="shared" si="234"/>
        <v>11993.298474539803</v>
      </c>
      <c r="BP292" s="802">
        <f t="shared" si="235"/>
        <v>4977869</v>
      </c>
      <c r="BQ292" s="803">
        <f t="shared" si="199"/>
        <v>200.51838872104733</v>
      </c>
      <c r="BR292" s="682"/>
      <c r="BS292" s="618"/>
    </row>
    <row r="293" spans="1:71" ht="15.75">
      <c r="A293" s="805" t="s">
        <v>4001</v>
      </c>
      <c r="B293" s="767" t="s">
        <v>4002</v>
      </c>
      <c r="C293" s="768">
        <v>13949</v>
      </c>
      <c r="D293" s="769">
        <v>0</v>
      </c>
      <c r="E293" s="770">
        <v>0</v>
      </c>
      <c r="F293" s="771">
        <v>0</v>
      </c>
      <c r="G293" s="770">
        <v>0</v>
      </c>
      <c r="H293" s="771">
        <v>0</v>
      </c>
      <c r="I293" s="770">
        <f t="shared" si="236"/>
        <v>0</v>
      </c>
      <c r="J293" s="772">
        <f t="shared" si="203"/>
        <v>0</v>
      </c>
      <c r="K293" s="773">
        <v>4750</v>
      </c>
      <c r="L293" s="774">
        <f t="shared" si="204"/>
        <v>1.7142945822155831E-3</v>
      </c>
      <c r="M293" s="775">
        <f t="shared" si="237"/>
        <v>143867.09850047945</v>
      </c>
      <c r="N293" s="806">
        <v>188.5</v>
      </c>
      <c r="O293" s="777">
        <f t="shared" si="205"/>
        <v>2.1437092652592865E-4</v>
      </c>
      <c r="P293" s="778">
        <f t="shared" si="206"/>
        <v>17990.445470746046</v>
      </c>
      <c r="Q293" s="786">
        <f t="shared" si="192"/>
        <v>161857.5439712255</v>
      </c>
      <c r="R293" s="692">
        <f t="shared" si="193"/>
        <v>11.603523117874078</v>
      </c>
      <c r="S293" s="807">
        <v>41477882.890000008</v>
      </c>
      <c r="T293" s="782">
        <f t="shared" si="200"/>
        <v>4.6910446590539561</v>
      </c>
      <c r="U293" s="777">
        <f t="shared" si="207"/>
        <v>2.5499238319967661E-3</v>
      </c>
      <c r="V293" s="783">
        <f t="shared" si="194"/>
        <v>2973.5380952039577</v>
      </c>
      <c r="W293" s="778">
        <f t="shared" si="208"/>
        <v>1016475.346672483</v>
      </c>
      <c r="X293" s="784">
        <v>10993046.3463</v>
      </c>
      <c r="Y293" s="782">
        <f t="shared" si="201"/>
        <v>17.699789018490694</v>
      </c>
      <c r="Z293" s="782">
        <f t="shared" si="209"/>
        <v>2.7328748023798103E-3</v>
      </c>
      <c r="AA293" s="783">
        <f t="shared" si="195"/>
        <v>788.08848994910034</v>
      </c>
      <c r="AB293" s="692">
        <f t="shared" si="210"/>
        <v>642175.59974486951</v>
      </c>
      <c r="AC293" s="786">
        <f t="shared" si="211"/>
        <v>1658650.9464173527</v>
      </c>
      <c r="AD293" s="787">
        <f t="shared" si="196"/>
        <v>118.9082333082911</v>
      </c>
      <c r="AE293" s="788">
        <v>5495.1860999999999</v>
      </c>
      <c r="AF293" s="774">
        <f t="shared" si="212"/>
        <v>5.7155169695351738E-3</v>
      </c>
      <c r="AG293" s="692">
        <f t="shared" si="213"/>
        <v>719486.76560701441</v>
      </c>
      <c r="AH293" s="786">
        <f t="shared" si="214"/>
        <v>719486.76560701441</v>
      </c>
      <c r="AI293" s="692">
        <f t="shared" si="197"/>
        <v>51.579809707291879</v>
      </c>
      <c r="AJ293" s="789">
        <v>1850</v>
      </c>
      <c r="AK293" s="777">
        <f t="shared" si="215"/>
        <v>2.4591711131138954E-3</v>
      </c>
      <c r="AL293" s="692">
        <f t="shared" si="216"/>
        <v>51594.664130397214</v>
      </c>
      <c r="AM293" s="790">
        <v>9.3333333333333339</v>
      </c>
      <c r="AN293" s="791">
        <f t="shared" si="217"/>
        <v>1.347773766546329E-3</v>
      </c>
      <c r="AO293" s="778">
        <f t="shared" si="218"/>
        <v>84830.942960288769</v>
      </c>
      <c r="AP293" s="768">
        <v>83</v>
      </c>
      <c r="AQ293" s="792">
        <f t="shared" si="219"/>
        <v>1.1218490234506996E-3</v>
      </c>
      <c r="AR293" s="793">
        <f t="shared" si="220"/>
        <v>94147.85861999054</v>
      </c>
      <c r="AS293" s="794">
        <v>8.1944444444444446</v>
      </c>
      <c r="AT293" s="791">
        <f t="shared" si="221"/>
        <v>3.2863771312712691E-4</v>
      </c>
      <c r="AU293" s="795">
        <f t="shared" si="222"/>
        <v>27579.94730656327</v>
      </c>
      <c r="AV293" s="796">
        <v>43</v>
      </c>
      <c r="AW293" s="791">
        <f t="shared" si="223"/>
        <v>5.4757538712306441E-4</v>
      </c>
      <c r="AX293" s="795">
        <f t="shared" si="224"/>
        <v>34465.232655867971</v>
      </c>
      <c r="AY293" s="786">
        <f t="shared" si="225"/>
        <v>292618.64567310776</v>
      </c>
      <c r="AZ293" s="787">
        <f t="shared" si="198"/>
        <v>20.977750783074612</v>
      </c>
      <c r="BA293" s="797">
        <f t="shared" si="202"/>
        <v>2832613.9016687004</v>
      </c>
      <c r="BB293" s="775">
        <v>1820181</v>
      </c>
      <c r="BC293" s="775">
        <f t="shared" si="226"/>
        <v>0</v>
      </c>
      <c r="BD293" s="775">
        <f t="shared" si="227"/>
        <v>1012432.9016687004</v>
      </c>
      <c r="BE293" s="798">
        <f t="shared" si="228"/>
        <v>1.5753465797907996E-3</v>
      </c>
      <c r="BF293" s="775">
        <f t="shared" si="229"/>
        <v>-2085.5731339637027</v>
      </c>
      <c r="BG293" s="797">
        <f t="shared" si="230"/>
        <v>2830528.3285347368</v>
      </c>
      <c r="BH293" s="799">
        <v>7.8</v>
      </c>
      <c r="BI293" s="692">
        <f t="shared" si="239"/>
        <v>0</v>
      </c>
      <c r="BJ293" s="800">
        <v>1600</v>
      </c>
      <c r="BK293" s="778">
        <f t="shared" si="231"/>
        <v>0</v>
      </c>
      <c r="BL293" s="786">
        <f t="shared" si="238"/>
        <v>2830528.3285347368</v>
      </c>
      <c r="BM293" s="692">
        <f t="shared" si="232"/>
        <v>2830528.3285347368</v>
      </c>
      <c r="BN293" s="801">
        <f t="shared" si="233"/>
        <v>1.3830391624560347E-3</v>
      </c>
      <c r="BO293" s="787">
        <f t="shared" si="234"/>
        <v>6836.1291985446742</v>
      </c>
      <c r="BP293" s="802">
        <f t="shared" si="235"/>
        <v>2837364</v>
      </c>
      <c r="BQ293" s="803">
        <f t="shared" si="199"/>
        <v>203.40985016847085</v>
      </c>
      <c r="BR293" s="682"/>
      <c r="BS293" s="618"/>
    </row>
    <row r="294" spans="1:71" ht="15.75">
      <c r="A294" s="766" t="s">
        <v>4003</v>
      </c>
      <c r="B294" s="767" t="s">
        <v>4004</v>
      </c>
      <c r="C294" s="768">
        <v>12386</v>
      </c>
      <c r="D294" s="769">
        <v>0</v>
      </c>
      <c r="E294" s="770">
        <v>0</v>
      </c>
      <c r="F294" s="771">
        <v>0</v>
      </c>
      <c r="G294" s="770">
        <v>0</v>
      </c>
      <c r="H294" s="771">
        <v>0</v>
      </c>
      <c r="I294" s="770">
        <f t="shared" si="236"/>
        <v>0</v>
      </c>
      <c r="J294" s="772">
        <f t="shared" si="203"/>
        <v>0</v>
      </c>
      <c r="K294" s="773">
        <v>8159</v>
      </c>
      <c r="L294" s="774">
        <f t="shared" si="204"/>
        <v>2.9446167360625145E-3</v>
      </c>
      <c r="M294" s="775">
        <f t="shared" si="237"/>
        <v>247118.24350850779</v>
      </c>
      <c r="N294" s="806">
        <v>0</v>
      </c>
      <c r="O294" s="777">
        <f t="shared" si="205"/>
        <v>0</v>
      </c>
      <c r="P294" s="778">
        <f t="shared" si="206"/>
        <v>0</v>
      </c>
      <c r="Q294" s="786">
        <f t="shared" si="192"/>
        <v>247118.24350850779</v>
      </c>
      <c r="R294" s="692">
        <f t="shared" si="193"/>
        <v>19.951416398232503</v>
      </c>
      <c r="S294" s="807">
        <v>49129855.25</v>
      </c>
      <c r="T294" s="782">
        <f t="shared" si="200"/>
        <v>3.1226022388901704</v>
      </c>
      <c r="U294" s="777">
        <f t="shared" si="207"/>
        <v>1.697361343901229E-3</v>
      </c>
      <c r="V294" s="783">
        <f t="shared" si="194"/>
        <v>3966.563478927822</v>
      </c>
      <c r="W294" s="778">
        <f t="shared" si="208"/>
        <v>676618.62633733032</v>
      </c>
      <c r="X294" s="784">
        <v>16754917.876700001</v>
      </c>
      <c r="Y294" s="782">
        <f t="shared" si="201"/>
        <v>9.1562965052393182</v>
      </c>
      <c r="Z294" s="782">
        <f t="shared" si="209"/>
        <v>1.4137463433120982E-3</v>
      </c>
      <c r="AA294" s="783">
        <f t="shared" si="195"/>
        <v>1352.7303307524626</v>
      </c>
      <c r="AB294" s="692">
        <f t="shared" si="210"/>
        <v>332204.53608521656</v>
      </c>
      <c r="AC294" s="786">
        <f t="shared" si="211"/>
        <v>1008823.1624225469</v>
      </c>
      <c r="AD294" s="787">
        <f t="shared" si="196"/>
        <v>81.448664816934198</v>
      </c>
      <c r="AE294" s="788">
        <v>598.95630000000006</v>
      </c>
      <c r="AF294" s="774">
        <f t="shared" si="212"/>
        <v>6.2297160357499104E-4</v>
      </c>
      <c r="AG294" s="692">
        <f t="shared" si="213"/>
        <v>78421.571751126816</v>
      </c>
      <c r="AH294" s="786">
        <f t="shared" si="214"/>
        <v>78421.571751126816</v>
      </c>
      <c r="AI294" s="692">
        <f t="shared" si="197"/>
        <v>6.3314687349529155</v>
      </c>
      <c r="AJ294" s="789">
        <v>964</v>
      </c>
      <c r="AK294" s="777">
        <f t="shared" si="215"/>
        <v>1.2814275421847543E-3</v>
      </c>
      <c r="AL294" s="692">
        <f t="shared" si="216"/>
        <v>26885.003363082658</v>
      </c>
      <c r="AM294" s="790">
        <v>4.666666666666667</v>
      </c>
      <c r="AN294" s="791">
        <f t="shared" si="217"/>
        <v>6.7388688327316452E-4</v>
      </c>
      <c r="AO294" s="778">
        <f t="shared" si="218"/>
        <v>42415.471480144384</v>
      </c>
      <c r="AP294" s="768">
        <v>108</v>
      </c>
      <c r="AQ294" s="792">
        <f t="shared" si="219"/>
        <v>1.4597553558153679E-3</v>
      </c>
      <c r="AR294" s="793">
        <f t="shared" si="220"/>
        <v>122505.64736095154</v>
      </c>
      <c r="AS294" s="794">
        <v>26.777777777777775</v>
      </c>
      <c r="AT294" s="791">
        <f t="shared" si="221"/>
        <v>1.073921204930679E-3</v>
      </c>
      <c r="AU294" s="795">
        <f t="shared" si="222"/>
        <v>90125.658317040637</v>
      </c>
      <c r="AV294" s="796">
        <v>12</v>
      </c>
      <c r="AW294" s="791">
        <f t="shared" si="223"/>
        <v>1.5281173594132029E-4</v>
      </c>
      <c r="AX294" s="795">
        <f t="shared" si="224"/>
        <v>9618.2044621026889</v>
      </c>
      <c r="AY294" s="786">
        <f t="shared" si="225"/>
        <v>291549.98498332186</v>
      </c>
      <c r="AZ294" s="787">
        <f t="shared" si="198"/>
        <v>23.538671482586942</v>
      </c>
      <c r="BA294" s="797">
        <f t="shared" si="202"/>
        <v>1625912.9626655034</v>
      </c>
      <c r="BB294" s="775">
        <v>1470374</v>
      </c>
      <c r="BC294" s="775">
        <f t="shared" si="226"/>
        <v>0</v>
      </c>
      <c r="BD294" s="775">
        <f t="shared" si="227"/>
        <v>155538.96266550338</v>
      </c>
      <c r="BE294" s="798">
        <f t="shared" si="228"/>
        <v>2.4201877720039796E-4</v>
      </c>
      <c r="BF294" s="775">
        <f t="shared" si="229"/>
        <v>-320.40432633619315</v>
      </c>
      <c r="BG294" s="797">
        <f t="shared" si="230"/>
        <v>1625592.5583391672</v>
      </c>
      <c r="BH294" s="799">
        <v>5.5</v>
      </c>
      <c r="BI294" s="692">
        <f t="shared" si="239"/>
        <v>0</v>
      </c>
      <c r="BJ294" s="800">
        <v>700</v>
      </c>
      <c r="BK294" s="778">
        <f t="shared" si="231"/>
        <v>0</v>
      </c>
      <c r="BL294" s="786">
        <f t="shared" si="238"/>
        <v>1625592.5583391672</v>
      </c>
      <c r="BM294" s="692">
        <f t="shared" si="232"/>
        <v>1625592.5583391672</v>
      </c>
      <c r="BN294" s="801">
        <f t="shared" si="233"/>
        <v>7.9428923134784778E-4</v>
      </c>
      <c r="BO294" s="787">
        <f t="shared" si="234"/>
        <v>3926.0376379105155</v>
      </c>
      <c r="BP294" s="802">
        <f t="shared" si="235"/>
        <v>1629519</v>
      </c>
      <c r="BQ294" s="803">
        <f t="shared" si="199"/>
        <v>131.56135959954787</v>
      </c>
      <c r="BR294" s="682"/>
      <c r="BS294" s="618"/>
    </row>
    <row r="295" spans="1:71" ht="15.75">
      <c r="A295" s="766" t="s">
        <v>4005</v>
      </c>
      <c r="B295" s="767" t="s">
        <v>4006</v>
      </c>
      <c r="C295" s="768">
        <v>6275</v>
      </c>
      <c r="D295" s="769">
        <v>0</v>
      </c>
      <c r="E295" s="770">
        <v>0</v>
      </c>
      <c r="F295" s="771">
        <v>0</v>
      </c>
      <c r="G295" s="770">
        <v>0</v>
      </c>
      <c r="H295" s="771">
        <v>0</v>
      </c>
      <c r="I295" s="770">
        <f t="shared" si="236"/>
        <v>0</v>
      </c>
      <c r="J295" s="772">
        <f t="shared" si="203"/>
        <v>0</v>
      </c>
      <c r="K295" s="773">
        <v>2348</v>
      </c>
      <c r="L295" s="774">
        <f t="shared" si="204"/>
        <v>8.4740287979835562E-4</v>
      </c>
      <c r="M295" s="775">
        <f t="shared" si="237"/>
        <v>71115.778374552785</v>
      </c>
      <c r="N295" s="806">
        <v>42.5</v>
      </c>
      <c r="O295" s="777">
        <f t="shared" si="205"/>
        <v>4.8332967519108583E-5</v>
      </c>
      <c r="P295" s="778">
        <f t="shared" si="206"/>
        <v>4056.2012334573315</v>
      </c>
      <c r="Q295" s="786">
        <f t="shared" si="192"/>
        <v>75171.979608010122</v>
      </c>
      <c r="R295" s="692">
        <f t="shared" si="193"/>
        <v>11.979598343905996</v>
      </c>
      <c r="S295" s="807">
        <v>26345659.690000005</v>
      </c>
      <c r="T295" s="782">
        <f t="shared" si="200"/>
        <v>1.4945773028012568</v>
      </c>
      <c r="U295" s="777">
        <f t="shared" si="207"/>
        <v>8.1241142648660024E-4</v>
      </c>
      <c r="V295" s="783">
        <f t="shared" si="194"/>
        <v>4198.5115043824708</v>
      </c>
      <c r="W295" s="778">
        <f t="shared" si="208"/>
        <v>323851.31509281124</v>
      </c>
      <c r="X295" s="784">
        <v>4942490.7134999996</v>
      </c>
      <c r="Y295" s="782">
        <f t="shared" si="201"/>
        <v>7.9667575080007289</v>
      </c>
      <c r="Z295" s="782">
        <f t="shared" si="209"/>
        <v>1.2300796821668517E-3</v>
      </c>
      <c r="AA295" s="783">
        <f t="shared" si="195"/>
        <v>787.64792247011951</v>
      </c>
      <c r="AB295" s="692">
        <f t="shared" si="210"/>
        <v>289046.22961198265</v>
      </c>
      <c r="AC295" s="786">
        <f t="shared" si="211"/>
        <v>612897.54470479395</v>
      </c>
      <c r="AD295" s="787">
        <f t="shared" si="196"/>
        <v>97.672915490803817</v>
      </c>
      <c r="AE295" s="788">
        <v>3465.1833000000001</v>
      </c>
      <c r="AF295" s="774">
        <f t="shared" si="212"/>
        <v>3.6041206964218908E-3</v>
      </c>
      <c r="AG295" s="692">
        <f t="shared" si="213"/>
        <v>453697.74187491869</v>
      </c>
      <c r="AH295" s="786">
        <f t="shared" si="214"/>
        <v>453697.74187491869</v>
      </c>
      <c r="AI295" s="692">
        <f t="shared" si="197"/>
        <v>72.302428984050792</v>
      </c>
      <c r="AJ295" s="789">
        <v>587</v>
      </c>
      <c r="AK295" s="777">
        <f t="shared" si="215"/>
        <v>7.8028834778262526E-4</v>
      </c>
      <c r="AL295" s="692">
        <f t="shared" si="216"/>
        <v>16370.847483536847</v>
      </c>
      <c r="AM295" s="790">
        <v>1</v>
      </c>
      <c r="AN295" s="791">
        <f t="shared" si="217"/>
        <v>1.4440433212996383E-4</v>
      </c>
      <c r="AO295" s="778">
        <f t="shared" si="218"/>
        <v>9089.0296028880821</v>
      </c>
      <c r="AP295" s="768">
        <v>27</v>
      </c>
      <c r="AQ295" s="792">
        <f t="shared" si="219"/>
        <v>3.6493883895384198E-4</v>
      </c>
      <c r="AR295" s="793">
        <f t="shared" si="220"/>
        <v>30626.411840237884</v>
      </c>
      <c r="AS295" s="794">
        <v>5.2777777777777777</v>
      </c>
      <c r="AT295" s="791">
        <f t="shared" si="221"/>
        <v>2.116649677767936E-4</v>
      </c>
      <c r="AU295" s="795">
        <f t="shared" si="222"/>
        <v>17763.355892362782</v>
      </c>
      <c r="AV295" s="796">
        <v>3</v>
      </c>
      <c r="AW295" s="791">
        <f t="shared" si="223"/>
        <v>3.8202933985330073E-5</v>
      </c>
      <c r="AX295" s="795">
        <f t="shared" si="224"/>
        <v>2404.5511155256722</v>
      </c>
      <c r="AY295" s="786">
        <f t="shared" si="225"/>
        <v>76254.195934551273</v>
      </c>
      <c r="AZ295" s="787">
        <f t="shared" si="198"/>
        <v>12.152063097139646</v>
      </c>
      <c r="BA295" s="797">
        <f t="shared" si="202"/>
        <v>1218021.4621222741</v>
      </c>
      <c r="BB295" s="775">
        <v>815464</v>
      </c>
      <c r="BC295" s="775">
        <f t="shared" si="226"/>
        <v>0</v>
      </c>
      <c r="BD295" s="775">
        <f t="shared" si="227"/>
        <v>402557.4621222741</v>
      </c>
      <c r="BE295" s="798">
        <f t="shared" si="228"/>
        <v>6.263798026302273E-4</v>
      </c>
      <c r="BF295" s="775">
        <f t="shared" si="229"/>
        <v>-829.25300678696931</v>
      </c>
      <c r="BG295" s="797">
        <f t="shared" si="230"/>
        <v>1217192.2091154871</v>
      </c>
      <c r="BH295" s="799">
        <v>6.5</v>
      </c>
      <c r="BI295" s="692">
        <f t="shared" si="239"/>
        <v>0</v>
      </c>
      <c r="BJ295" s="800">
        <v>1400</v>
      </c>
      <c r="BK295" s="778">
        <f t="shared" si="231"/>
        <v>0</v>
      </c>
      <c r="BL295" s="786">
        <f t="shared" si="238"/>
        <v>1217192.2091154871</v>
      </c>
      <c r="BM295" s="692">
        <f t="shared" si="232"/>
        <v>1217192.2091154871</v>
      </c>
      <c r="BN295" s="801">
        <f t="shared" si="233"/>
        <v>5.9473861344978742E-4</v>
      </c>
      <c r="BO295" s="787">
        <f t="shared" si="234"/>
        <v>2939.6926068861849</v>
      </c>
      <c r="BP295" s="802">
        <f t="shared" si="235"/>
        <v>1220132</v>
      </c>
      <c r="BQ295" s="803">
        <f t="shared" si="199"/>
        <v>194.44334661354583</v>
      </c>
      <c r="BR295" s="682"/>
      <c r="BS295" s="618"/>
    </row>
    <row r="296" spans="1:71" ht="15.75">
      <c r="A296" s="766" t="s">
        <v>4007</v>
      </c>
      <c r="B296" s="767" t="s">
        <v>4008</v>
      </c>
      <c r="C296" s="768">
        <v>19547</v>
      </c>
      <c r="D296" s="769">
        <v>0</v>
      </c>
      <c r="E296" s="770">
        <v>0</v>
      </c>
      <c r="F296" s="771">
        <v>0</v>
      </c>
      <c r="G296" s="770">
        <v>0</v>
      </c>
      <c r="H296" s="771">
        <v>0</v>
      </c>
      <c r="I296" s="770">
        <f t="shared" si="236"/>
        <v>0</v>
      </c>
      <c r="J296" s="772">
        <f t="shared" si="203"/>
        <v>0</v>
      </c>
      <c r="K296" s="773">
        <v>5192</v>
      </c>
      <c r="L296" s="774">
        <f t="shared" si="204"/>
        <v>1.8738142043922754E-3</v>
      </c>
      <c r="M296" s="775">
        <f t="shared" si="237"/>
        <v>157254.3106135767</v>
      </c>
      <c r="N296" s="806">
        <v>1143</v>
      </c>
      <c r="O296" s="777">
        <f t="shared" si="205"/>
        <v>1.299872514690379E-3</v>
      </c>
      <c r="P296" s="778">
        <f t="shared" si="206"/>
        <v>109087.95317274657</v>
      </c>
      <c r="Q296" s="786">
        <f t="shared" si="192"/>
        <v>266342.26378632325</v>
      </c>
      <c r="R296" s="692">
        <f t="shared" si="193"/>
        <v>13.625736112258824</v>
      </c>
      <c r="S296" s="807">
        <v>64127811.909999996</v>
      </c>
      <c r="T296" s="782">
        <f t="shared" si="200"/>
        <v>5.9581825360927088</v>
      </c>
      <c r="U296" s="777">
        <f t="shared" si="207"/>
        <v>3.2387053947241016E-3</v>
      </c>
      <c r="V296" s="783">
        <f t="shared" si="194"/>
        <v>3280.6984145904739</v>
      </c>
      <c r="W296" s="778">
        <f t="shared" si="208"/>
        <v>1291044.1275001962</v>
      </c>
      <c r="X296" s="784">
        <v>17061381.516600002</v>
      </c>
      <c r="Y296" s="782">
        <f t="shared" si="201"/>
        <v>22.39474034551348</v>
      </c>
      <c r="Z296" s="782">
        <f t="shared" si="209"/>
        <v>3.4577825493939799E-3</v>
      </c>
      <c r="AA296" s="783">
        <f t="shared" si="195"/>
        <v>872.83887638000726</v>
      </c>
      <c r="AB296" s="692">
        <f t="shared" si="210"/>
        <v>812515.66318032192</v>
      </c>
      <c r="AC296" s="786">
        <f t="shared" si="211"/>
        <v>2103559.7906805184</v>
      </c>
      <c r="AD296" s="787">
        <f t="shared" si="196"/>
        <v>107.61548015964181</v>
      </c>
      <c r="AE296" s="788">
        <v>6983.9625999999998</v>
      </c>
      <c r="AF296" s="774">
        <f t="shared" si="212"/>
        <v>7.2639863379511376E-3</v>
      </c>
      <c r="AG296" s="692">
        <f t="shared" si="213"/>
        <v>914412.82801948336</v>
      </c>
      <c r="AH296" s="786">
        <f t="shared" si="214"/>
        <v>914412.82801948336</v>
      </c>
      <c r="AI296" s="692">
        <f t="shared" si="197"/>
        <v>46.78021323064835</v>
      </c>
      <c r="AJ296" s="789">
        <v>1624</v>
      </c>
      <c r="AK296" s="777">
        <f t="shared" si="215"/>
        <v>2.158753452809171E-3</v>
      </c>
      <c r="AL296" s="692">
        <f t="shared" si="216"/>
        <v>45291.748404197344</v>
      </c>
      <c r="AM296" s="790">
        <v>10.333333333333334</v>
      </c>
      <c r="AN296" s="791">
        <f t="shared" si="217"/>
        <v>1.4921780986762929E-3</v>
      </c>
      <c r="AO296" s="778">
        <f t="shared" si="218"/>
        <v>93919.972563176852</v>
      </c>
      <c r="AP296" s="768">
        <v>164</v>
      </c>
      <c r="AQ296" s="792">
        <f t="shared" si="219"/>
        <v>2.2166655403122256E-3</v>
      </c>
      <c r="AR296" s="793">
        <f t="shared" si="220"/>
        <v>186027.0941407042</v>
      </c>
      <c r="AS296" s="794">
        <v>63.527777777777779</v>
      </c>
      <c r="AT296" s="791">
        <f t="shared" si="221"/>
        <v>2.5477777963448787E-3</v>
      </c>
      <c r="AU296" s="795">
        <f t="shared" si="222"/>
        <v>213814.71013596677</v>
      </c>
      <c r="AV296" s="796">
        <v>161</v>
      </c>
      <c r="AW296" s="791">
        <f t="shared" si="223"/>
        <v>2.0502241238793805E-3</v>
      </c>
      <c r="AX296" s="795">
        <f t="shared" si="224"/>
        <v>129044.24319987775</v>
      </c>
      <c r="AY296" s="786">
        <f t="shared" si="225"/>
        <v>668097.76844392298</v>
      </c>
      <c r="AZ296" s="787">
        <f t="shared" si="198"/>
        <v>34.179043763438017</v>
      </c>
      <c r="BA296" s="797">
        <f t="shared" si="202"/>
        <v>3952412.6509302482</v>
      </c>
      <c r="BB296" s="775">
        <v>2623136</v>
      </c>
      <c r="BC296" s="775">
        <f t="shared" si="226"/>
        <v>0</v>
      </c>
      <c r="BD296" s="775">
        <f t="shared" si="227"/>
        <v>1329276.6509302482</v>
      </c>
      <c r="BE296" s="798">
        <f t="shared" si="228"/>
        <v>2.068355761835939E-3</v>
      </c>
      <c r="BF296" s="775">
        <f t="shared" si="229"/>
        <v>-2738.2591638577119</v>
      </c>
      <c r="BG296" s="797">
        <f t="shared" si="230"/>
        <v>3949674.3917663903</v>
      </c>
      <c r="BH296" s="799">
        <v>7</v>
      </c>
      <c r="BI296" s="692">
        <f t="shared" si="239"/>
        <v>0</v>
      </c>
      <c r="BJ296" s="800">
        <v>1175</v>
      </c>
      <c r="BK296" s="778">
        <f t="shared" si="231"/>
        <v>0</v>
      </c>
      <c r="BL296" s="786">
        <f t="shared" si="238"/>
        <v>3949674.3917663903</v>
      </c>
      <c r="BM296" s="692">
        <f t="shared" si="232"/>
        <v>3949674.3917663903</v>
      </c>
      <c r="BN296" s="801">
        <f t="shared" si="233"/>
        <v>1.9298709388258994E-3</v>
      </c>
      <c r="BO296" s="787">
        <f t="shared" si="234"/>
        <v>9539.0263938024527</v>
      </c>
      <c r="BP296" s="802">
        <f t="shared" si="235"/>
        <v>3959213</v>
      </c>
      <c r="BQ296" s="803">
        <f t="shared" si="199"/>
        <v>202.54837059395302</v>
      </c>
      <c r="BR296" s="682"/>
      <c r="BS296" s="618"/>
    </row>
    <row r="297" spans="1:71" ht="15.75">
      <c r="A297" s="766" t="s">
        <v>4009</v>
      </c>
      <c r="B297" s="767" t="s">
        <v>4010</v>
      </c>
      <c r="C297" s="768">
        <v>12580</v>
      </c>
      <c r="D297" s="769">
        <v>0</v>
      </c>
      <c r="E297" s="770">
        <v>0</v>
      </c>
      <c r="F297" s="771">
        <v>0</v>
      </c>
      <c r="G297" s="770">
        <v>0</v>
      </c>
      <c r="H297" s="771">
        <v>0</v>
      </c>
      <c r="I297" s="770">
        <f t="shared" si="236"/>
        <v>0</v>
      </c>
      <c r="J297" s="772">
        <f t="shared" si="203"/>
        <v>0</v>
      </c>
      <c r="K297" s="773">
        <v>4581</v>
      </c>
      <c r="L297" s="774">
        <f t="shared" si="204"/>
        <v>1.6533017855009655E-3</v>
      </c>
      <c r="M297" s="775">
        <f t="shared" si="237"/>
        <v>138748.45857488344</v>
      </c>
      <c r="N297" s="806">
        <v>937</v>
      </c>
      <c r="O297" s="777">
        <f t="shared" si="205"/>
        <v>1.0655997780095233E-3</v>
      </c>
      <c r="P297" s="778">
        <f t="shared" si="206"/>
        <v>89427.307194106339</v>
      </c>
      <c r="Q297" s="786">
        <f t="shared" si="192"/>
        <v>228175.76576898978</v>
      </c>
      <c r="R297" s="692">
        <f t="shared" si="193"/>
        <v>18.137978201032574</v>
      </c>
      <c r="S297" s="807">
        <v>51030731.939999998</v>
      </c>
      <c r="T297" s="782">
        <f t="shared" si="200"/>
        <v>3.1011979249302533</v>
      </c>
      <c r="U297" s="777">
        <f t="shared" si="207"/>
        <v>1.6857265430752352E-3</v>
      </c>
      <c r="V297" s="783">
        <f t="shared" si="194"/>
        <v>4056.4969745627977</v>
      </c>
      <c r="W297" s="778">
        <f t="shared" si="208"/>
        <v>671980.6492908526</v>
      </c>
      <c r="X297" s="784">
        <v>11629467.1391</v>
      </c>
      <c r="Y297" s="782">
        <f t="shared" si="201"/>
        <v>13.60822453059078</v>
      </c>
      <c r="Z297" s="782">
        <f t="shared" si="209"/>
        <v>2.101130916641266E-3</v>
      </c>
      <c r="AA297" s="783">
        <f t="shared" si="195"/>
        <v>924.44094905405404</v>
      </c>
      <c r="AB297" s="692">
        <f t="shared" si="210"/>
        <v>493727.33992849401</v>
      </c>
      <c r="AC297" s="786">
        <f t="shared" si="211"/>
        <v>1165707.9892193465</v>
      </c>
      <c r="AD297" s="787">
        <f t="shared" si="196"/>
        <v>92.663592147801793</v>
      </c>
      <c r="AE297" s="788">
        <v>2726.9236999999998</v>
      </c>
      <c r="AF297" s="774">
        <f t="shared" si="212"/>
        <v>2.8362603919779247E-3</v>
      </c>
      <c r="AG297" s="692">
        <f t="shared" si="213"/>
        <v>357037.1370989806</v>
      </c>
      <c r="AH297" s="786">
        <f t="shared" si="214"/>
        <v>357037.1370989806</v>
      </c>
      <c r="AI297" s="692">
        <f t="shared" si="197"/>
        <v>28.381330453019125</v>
      </c>
      <c r="AJ297" s="789">
        <v>1180</v>
      </c>
      <c r="AK297" s="777">
        <f t="shared" si="215"/>
        <v>1.568552385661836E-3</v>
      </c>
      <c r="AL297" s="692">
        <f t="shared" si="216"/>
        <v>32909.029012902007</v>
      </c>
      <c r="AM297" s="790">
        <v>2.6666666666666665</v>
      </c>
      <c r="AN297" s="791">
        <f t="shared" si="217"/>
        <v>3.8507821901323682E-4</v>
      </c>
      <c r="AO297" s="778">
        <f t="shared" si="218"/>
        <v>24237.412274368216</v>
      </c>
      <c r="AP297" s="768">
        <v>86</v>
      </c>
      <c r="AQ297" s="792">
        <f t="shared" si="219"/>
        <v>1.1623977833344597E-3</v>
      </c>
      <c r="AR297" s="793">
        <f t="shared" si="220"/>
        <v>97550.793268905865</v>
      </c>
      <c r="AS297" s="794">
        <v>11.194444444444445</v>
      </c>
      <c r="AT297" s="791">
        <f t="shared" si="221"/>
        <v>4.4895253691604116E-4</v>
      </c>
      <c r="AU297" s="795">
        <f t="shared" si="222"/>
        <v>37677.012761169484</v>
      </c>
      <c r="AV297" s="796">
        <v>5</v>
      </c>
      <c r="AW297" s="791">
        <f t="shared" si="223"/>
        <v>6.3671556642216784E-5</v>
      </c>
      <c r="AX297" s="795">
        <f t="shared" si="224"/>
        <v>4007.5851925427869</v>
      </c>
      <c r="AY297" s="786">
        <f t="shared" si="225"/>
        <v>196381.83250988837</v>
      </c>
      <c r="AZ297" s="787">
        <f t="shared" si="198"/>
        <v>15.610638514299552</v>
      </c>
      <c r="BA297" s="797">
        <f t="shared" si="202"/>
        <v>1947302.7245972052</v>
      </c>
      <c r="BB297" s="775">
        <v>1531976</v>
      </c>
      <c r="BC297" s="775">
        <f t="shared" si="226"/>
        <v>0</v>
      </c>
      <c r="BD297" s="775">
        <f t="shared" si="227"/>
        <v>415326.72459720518</v>
      </c>
      <c r="BE297" s="798">
        <f t="shared" si="228"/>
        <v>6.4624878746189201E-4</v>
      </c>
      <c r="BF297" s="775">
        <f t="shared" si="229"/>
        <v>-855.55720009632671</v>
      </c>
      <c r="BG297" s="797">
        <f t="shared" si="230"/>
        <v>1946447.1673971089</v>
      </c>
      <c r="BH297" s="799">
        <v>7</v>
      </c>
      <c r="BI297" s="692">
        <f t="shared" si="239"/>
        <v>0</v>
      </c>
      <c r="BJ297" s="800">
        <v>975</v>
      </c>
      <c r="BK297" s="778">
        <f t="shared" si="231"/>
        <v>0</v>
      </c>
      <c r="BL297" s="786">
        <f t="shared" si="238"/>
        <v>1946447.1673971089</v>
      </c>
      <c r="BM297" s="692">
        <f t="shared" si="232"/>
        <v>1946447.1673971089</v>
      </c>
      <c r="BN297" s="801">
        <f t="shared" si="233"/>
        <v>9.5106366999526807E-4</v>
      </c>
      <c r="BO297" s="787">
        <f t="shared" si="234"/>
        <v>4700.9472331817551</v>
      </c>
      <c r="BP297" s="802">
        <f t="shared" si="235"/>
        <v>1951148</v>
      </c>
      <c r="BQ297" s="803">
        <f t="shared" si="199"/>
        <v>155.09920508744037</v>
      </c>
      <c r="BR297" s="682"/>
      <c r="BS297" s="618"/>
    </row>
    <row r="298" spans="1:71" ht="15.75">
      <c r="A298" s="766" t="s">
        <v>4011</v>
      </c>
      <c r="B298" s="767" t="s">
        <v>4012</v>
      </c>
      <c r="C298" s="768">
        <v>31715</v>
      </c>
      <c r="D298" s="769">
        <v>0</v>
      </c>
      <c r="E298" s="770">
        <v>0</v>
      </c>
      <c r="F298" s="771">
        <v>0</v>
      </c>
      <c r="G298" s="770">
        <v>0</v>
      </c>
      <c r="H298" s="771">
        <v>0</v>
      </c>
      <c r="I298" s="770">
        <f t="shared" si="236"/>
        <v>0</v>
      </c>
      <c r="J298" s="772">
        <f t="shared" si="203"/>
        <v>0</v>
      </c>
      <c r="K298" s="773">
        <v>43894</v>
      </c>
      <c r="L298" s="774">
        <f t="shared" si="204"/>
        <v>1.5841525556162275E-2</v>
      </c>
      <c r="M298" s="775">
        <f t="shared" si="237"/>
        <v>1329453.1413852726</v>
      </c>
      <c r="N298" s="806">
        <v>2552.5</v>
      </c>
      <c r="O298" s="777">
        <f t="shared" si="205"/>
        <v>2.9028211668829331E-3</v>
      </c>
      <c r="P298" s="778">
        <f t="shared" si="206"/>
        <v>243610.67407999618</v>
      </c>
      <c r="Q298" s="786">
        <f t="shared" si="192"/>
        <v>1573063.8154652687</v>
      </c>
      <c r="R298" s="692">
        <f t="shared" si="193"/>
        <v>49.599994181468347</v>
      </c>
      <c r="S298" s="807">
        <v>128845142.58999999</v>
      </c>
      <c r="T298" s="782">
        <f t="shared" si="200"/>
        <v>7.8065901809019067</v>
      </c>
      <c r="U298" s="777">
        <f t="shared" si="207"/>
        <v>4.2434493371308491E-3</v>
      </c>
      <c r="V298" s="783">
        <f t="shared" si="194"/>
        <v>4062.5931764149454</v>
      </c>
      <c r="W298" s="778">
        <f t="shared" si="208"/>
        <v>1691564.8937911759</v>
      </c>
      <c r="X298" s="784">
        <v>79034254.055000007</v>
      </c>
      <c r="Y298" s="782">
        <f t="shared" si="201"/>
        <v>12.726649185554837</v>
      </c>
      <c r="Z298" s="782">
        <f t="shared" si="209"/>
        <v>1.9650143197523923E-3</v>
      </c>
      <c r="AA298" s="783">
        <f t="shared" si="195"/>
        <v>2492.0149473435285</v>
      </c>
      <c r="AB298" s="692">
        <f t="shared" si="210"/>
        <v>461742.42895993253</v>
      </c>
      <c r="AC298" s="786">
        <f t="shared" si="211"/>
        <v>2153307.3227511086</v>
      </c>
      <c r="AD298" s="787">
        <f t="shared" si="196"/>
        <v>67.895548565382583</v>
      </c>
      <c r="AE298" s="788">
        <v>1130.7937999999999</v>
      </c>
      <c r="AF298" s="774">
        <f t="shared" si="212"/>
        <v>1.1761332619736325E-3</v>
      </c>
      <c r="AG298" s="692">
        <f t="shared" si="213"/>
        <v>148055.25398502249</v>
      </c>
      <c r="AH298" s="786">
        <f t="shared" si="214"/>
        <v>148055.25398502249</v>
      </c>
      <c r="AI298" s="692">
        <f t="shared" si="197"/>
        <v>4.6683037674609009</v>
      </c>
      <c r="AJ298" s="789">
        <v>2437</v>
      </c>
      <c r="AK298" s="777">
        <f t="shared" si="215"/>
        <v>3.2394594608965207E-3</v>
      </c>
      <c r="AL298" s="692">
        <f t="shared" si="216"/>
        <v>67965.511613934068</v>
      </c>
      <c r="AM298" s="790">
        <v>19.666666666666668</v>
      </c>
      <c r="AN298" s="791">
        <f t="shared" si="217"/>
        <v>2.8399518652226221E-3</v>
      </c>
      <c r="AO298" s="778">
        <f t="shared" si="218"/>
        <v>178750.91552346564</v>
      </c>
      <c r="AP298" s="768">
        <v>295</v>
      </c>
      <c r="AQ298" s="792">
        <f t="shared" si="219"/>
        <v>3.9872947219030883E-3</v>
      </c>
      <c r="AR298" s="793">
        <f t="shared" si="220"/>
        <v>334621.90714333986</v>
      </c>
      <c r="AS298" s="794">
        <v>104.69444444444444</v>
      </c>
      <c r="AT298" s="791">
        <f t="shared" si="221"/>
        <v>4.1987645450038691E-3</v>
      </c>
      <c r="AU298" s="795">
        <f t="shared" si="222"/>
        <v>352368.88609639648</v>
      </c>
      <c r="AV298" s="796">
        <v>299</v>
      </c>
      <c r="AW298" s="791">
        <f t="shared" si="223"/>
        <v>3.8075590872045642E-3</v>
      </c>
      <c r="AX298" s="795">
        <f t="shared" si="224"/>
        <v>239653.5945140587</v>
      </c>
      <c r="AY298" s="786">
        <f t="shared" si="225"/>
        <v>1173360.8148911947</v>
      </c>
      <c r="AZ298" s="787">
        <f t="shared" si="198"/>
        <v>36.9970302661578</v>
      </c>
      <c r="BA298" s="797">
        <f t="shared" si="202"/>
        <v>5047787.2070925944</v>
      </c>
      <c r="BB298" s="775">
        <v>5033460</v>
      </c>
      <c r="BC298" s="775">
        <f t="shared" si="226"/>
        <v>0</v>
      </c>
      <c r="BD298" s="775">
        <f t="shared" si="227"/>
        <v>14327.207092594355</v>
      </c>
      <c r="BE298" s="798">
        <f t="shared" si="228"/>
        <v>2.2293148172162736E-5</v>
      </c>
      <c r="BF298" s="775">
        <f t="shared" si="229"/>
        <v>-29.513499756675046</v>
      </c>
      <c r="BG298" s="797">
        <f t="shared" si="230"/>
        <v>5047757.693592838</v>
      </c>
      <c r="BH298" s="799">
        <v>5</v>
      </c>
      <c r="BI298" s="692">
        <f t="shared" si="239"/>
        <v>0</v>
      </c>
      <c r="BJ298" s="800">
        <v>750</v>
      </c>
      <c r="BK298" s="778">
        <f t="shared" si="231"/>
        <v>0</v>
      </c>
      <c r="BL298" s="786">
        <f t="shared" si="238"/>
        <v>5047757.693592838</v>
      </c>
      <c r="BM298" s="692">
        <f t="shared" si="232"/>
        <v>5047757.693592838</v>
      </c>
      <c r="BN298" s="801">
        <f t="shared" si="233"/>
        <v>2.4664111298407622E-3</v>
      </c>
      <c r="BO298" s="787">
        <f t="shared" si="234"/>
        <v>12191.054019307987</v>
      </c>
      <c r="BP298" s="802">
        <f t="shared" si="235"/>
        <v>5059949</v>
      </c>
      <c r="BQ298" s="803">
        <f t="shared" si="199"/>
        <v>159.54434810026802</v>
      </c>
      <c r="BR298" s="682"/>
      <c r="BS298" s="618"/>
    </row>
    <row r="299" spans="1:71" ht="15.75">
      <c r="A299" s="805" t="s">
        <v>4013</v>
      </c>
      <c r="B299" s="767" t="s">
        <v>4014</v>
      </c>
      <c r="C299" s="768">
        <v>22320</v>
      </c>
      <c r="D299" s="769">
        <v>0</v>
      </c>
      <c r="E299" s="770">
        <v>0</v>
      </c>
      <c r="F299" s="771">
        <v>0</v>
      </c>
      <c r="G299" s="770">
        <v>0</v>
      </c>
      <c r="H299" s="771">
        <v>0</v>
      </c>
      <c r="I299" s="770">
        <f t="shared" si="236"/>
        <v>0</v>
      </c>
      <c r="J299" s="772">
        <f t="shared" si="203"/>
        <v>0</v>
      </c>
      <c r="K299" s="773">
        <v>9628</v>
      </c>
      <c r="L299" s="774">
        <f t="shared" si="204"/>
        <v>3.474784892120344E-3</v>
      </c>
      <c r="M299" s="775">
        <f t="shared" si="237"/>
        <v>291611.03670791921</v>
      </c>
      <c r="N299" s="806">
        <v>168</v>
      </c>
      <c r="O299" s="777">
        <f t="shared" si="205"/>
        <v>1.9105737748729981E-4</v>
      </c>
      <c r="P299" s="778">
        <f t="shared" si="206"/>
        <v>16033.924875784274</v>
      </c>
      <c r="Q299" s="786">
        <f t="shared" si="192"/>
        <v>307644.96158370347</v>
      </c>
      <c r="R299" s="692">
        <f t="shared" si="193"/>
        <v>13.783376415040477</v>
      </c>
      <c r="S299" s="807">
        <v>77393124.170000002</v>
      </c>
      <c r="T299" s="782">
        <f t="shared" si="200"/>
        <v>6.4370369505397367</v>
      </c>
      <c r="U299" s="777">
        <f t="shared" si="207"/>
        <v>3.498997583820758E-3</v>
      </c>
      <c r="V299" s="783">
        <f t="shared" si="194"/>
        <v>3467.4338785842297</v>
      </c>
      <c r="W299" s="778">
        <f t="shared" si="208"/>
        <v>1394804.3221492178</v>
      </c>
      <c r="X299" s="784">
        <v>19123547.9175</v>
      </c>
      <c r="Y299" s="782">
        <f t="shared" si="201"/>
        <v>26.050730865903404</v>
      </c>
      <c r="Z299" s="782">
        <f t="shared" si="209"/>
        <v>4.022273140805846E-3</v>
      </c>
      <c r="AA299" s="783">
        <f t="shared" si="195"/>
        <v>856.78978125000003</v>
      </c>
      <c r="AB299" s="692">
        <f t="shared" si="210"/>
        <v>945160.62875817472</v>
      </c>
      <c r="AC299" s="786">
        <f t="shared" si="211"/>
        <v>2339964.9509073924</v>
      </c>
      <c r="AD299" s="787">
        <f t="shared" si="196"/>
        <v>104.83713937757135</v>
      </c>
      <c r="AE299" s="788">
        <v>4404.0119000000004</v>
      </c>
      <c r="AF299" s="774">
        <f t="shared" si="212"/>
        <v>4.5805918653937577E-3</v>
      </c>
      <c r="AG299" s="692">
        <f t="shared" si="213"/>
        <v>576618.92062687431</v>
      </c>
      <c r="AH299" s="786">
        <f t="shared" si="214"/>
        <v>576618.92062687431</v>
      </c>
      <c r="AI299" s="692">
        <f t="shared" si="197"/>
        <v>25.834181031669996</v>
      </c>
      <c r="AJ299" s="789">
        <v>2426</v>
      </c>
      <c r="AK299" s="777">
        <f t="shared" si="215"/>
        <v>3.2248373623861137E-3</v>
      </c>
      <c r="AL299" s="692">
        <f t="shared" si="216"/>
        <v>67658.732529915476</v>
      </c>
      <c r="AM299" s="790">
        <v>15.333333333333334</v>
      </c>
      <c r="AN299" s="791">
        <f t="shared" si="217"/>
        <v>2.214199759326112E-3</v>
      </c>
      <c r="AO299" s="778">
        <f t="shared" si="218"/>
        <v>139365.12057761726</v>
      </c>
      <c r="AP299" s="768">
        <v>149</v>
      </c>
      <c r="AQ299" s="792">
        <f t="shared" si="219"/>
        <v>2.0139217408934244E-3</v>
      </c>
      <c r="AR299" s="793">
        <f t="shared" si="220"/>
        <v>169012.42089612759</v>
      </c>
      <c r="AS299" s="794">
        <v>53.222222222222229</v>
      </c>
      <c r="AT299" s="791">
        <f t="shared" si="221"/>
        <v>2.1344740961070346E-3</v>
      </c>
      <c r="AU299" s="795">
        <f t="shared" si="222"/>
        <v>179129.42047245841</v>
      </c>
      <c r="AV299" s="796">
        <v>26</v>
      </c>
      <c r="AW299" s="791">
        <f t="shared" si="223"/>
        <v>3.3109209453952731E-4</v>
      </c>
      <c r="AX299" s="795">
        <f t="shared" si="224"/>
        <v>20839.443001222495</v>
      </c>
      <c r="AY299" s="786">
        <f t="shared" si="225"/>
        <v>576005.13747734122</v>
      </c>
      <c r="AZ299" s="787">
        <f t="shared" si="198"/>
        <v>25.80668178661923</v>
      </c>
      <c r="BA299" s="797">
        <f t="shared" si="202"/>
        <v>3800233.9705953114</v>
      </c>
      <c r="BB299" s="775">
        <v>3052321</v>
      </c>
      <c r="BC299" s="775">
        <f t="shared" si="226"/>
        <v>0</v>
      </c>
      <c r="BD299" s="775">
        <f t="shared" si="227"/>
        <v>747912.97059531137</v>
      </c>
      <c r="BE299" s="798">
        <f t="shared" si="228"/>
        <v>1.1637533097418557E-3</v>
      </c>
      <c r="BF299" s="775">
        <f t="shared" si="229"/>
        <v>-1540.6721723934952</v>
      </c>
      <c r="BG299" s="797">
        <f t="shared" si="230"/>
        <v>3798693.2984229177</v>
      </c>
      <c r="BH299" s="799">
        <v>8</v>
      </c>
      <c r="BI299" s="692">
        <f t="shared" si="239"/>
        <v>0</v>
      </c>
      <c r="BJ299" s="800">
        <v>1500</v>
      </c>
      <c r="BK299" s="778">
        <f t="shared" si="231"/>
        <v>0</v>
      </c>
      <c r="BL299" s="786">
        <f t="shared" si="238"/>
        <v>3798693.2984229177</v>
      </c>
      <c r="BM299" s="692">
        <f t="shared" si="232"/>
        <v>3798693.2984229177</v>
      </c>
      <c r="BN299" s="801">
        <f t="shared" si="233"/>
        <v>1.8560992818601671E-3</v>
      </c>
      <c r="BO299" s="787">
        <f t="shared" si="234"/>
        <v>9174.385542047472</v>
      </c>
      <c r="BP299" s="802">
        <f t="shared" si="235"/>
        <v>3807868</v>
      </c>
      <c r="BQ299" s="803">
        <f t="shared" si="199"/>
        <v>170.60340501792115</v>
      </c>
      <c r="BR299" s="682"/>
      <c r="BS299" s="618"/>
    </row>
    <row r="300" spans="1:71" ht="15.75">
      <c r="A300" s="766" t="s">
        <v>4015</v>
      </c>
      <c r="B300" s="767" t="s">
        <v>4016</v>
      </c>
      <c r="C300" s="768">
        <v>20762</v>
      </c>
      <c r="D300" s="769">
        <v>0</v>
      </c>
      <c r="E300" s="770">
        <v>0</v>
      </c>
      <c r="F300" s="771">
        <v>0</v>
      </c>
      <c r="G300" s="770">
        <v>0</v>
      </c>
      <c r="H300" s="771">
        <v>0</v>
      </c>
      <c r="I300" s="770">
        <f t="shared" si="236"/>
        <v>0</v>
      </c>
      <c r="J300" s="772">
        <f t="shared" si="203"/>
        <v>0</v>
      </c>
      <c r="K300" s="773">
        <v>8096</v>
      </c>
      <c r="L300" s="774">
        <f t="shared" si="204"/>
        <v>2.9218797763404972E-3</v>
      </c>
      <c r="M300" s="775">
        <f t="shared" si="237"/>
        <v>245210.11146523827</v>
      </c>
      <c r="N300" s="806">
        <v>2136.5</v>
      </c>
      <c r="O300" s="777">
        <f t="shared" si="205"/>
        <v>2.4297267083429525E-3</v>
      </c>
      <c r="P300" s="778">
        <f t="shared" si="206"/>
        <v>203907.62200662561</v>
      </c>
      <c r="Q300" s="786">
        <f t="shared" si="192"/>
        <v>449117.7334718639</v>
      </c>
      <c r="R300" s="692">
        <f t="shared" si="193"/>
        <v>21.631718209799821</v>
      </c>
      <c r="S300" s="807">
        <v>63575413.179999992</v>
      </c>
      <c r="T300" s="782">
        <f t="shared" si="200"/>
        <v>6.7803042471709194</v>
      </c>
      <c r="U300" s="777">
        <f t="shared" si="207"/>
        <v>3.6855883165982793E-3</v>
      </c>
      <c r="V300" s="783">
        <f t="shared" si="194"/>
        <v>3062.1044783739521</v>
      </c>
      <c r="W300" s="778">
        <f t="shared" si="208"/>
        <v>1469184.9281131939</v>
      </c>
      <c r="X300" s="784">
        <v>17443192.792800002</v>
      </c>
      <c r="Y300" s="782">
        <f t="shared" si="201"/>
        <v>24.712255899500704</v>
      </c>
      <c r="Z300" s="782">
        <f t="shared" si="209"/>
        <v>3.8156105356484194E-3</v>
      </c>
      <c r="AA300" s="783">
        <f t="shared" si="195"/>
        <v>840.14992740583773</v>
      </c>
      <c r="AB300" s="692">
        <f t="shared" si="210"/>
        <v>896598.69599190261</v>
      </c>
      <c r="AC300" s="786">
        <f t="shared" si="211"/>
        <v>2365783.6241050968</v>
      </c>
      <c r="AD300" s="787">
        <f t="shared" si="196"/>
        <v>113.94777112537794</v>
      </c>
      <c r="AE300" s="788">
        <v>2301.1021000000001</v>
      </c>
      <c r="AF300" s="774">
        <f t="shared" si="212"/>
        <v>2.3933653677685319E-3</v>
      </c>
      <c r="AG300" s="692">
        <f t="shared" si="213"/>
        <v>301284.15619272814</v>
      </c>
      <c r="AH300" s="786">
        <f t="shared" si="214"/>
        <v>301284.15619272814</v>
      </c>
      <c r="AI300" s="692">
        <f t="shared" si="197"/>
        <v>14.511326278428289</v>
      </c>
      <c r="AJ300" s="789">
        <v>2455</v>
      </c>
      <c r="AK300" s="777">
        <f t="shared" si="215"/>
        <v>3.2633865311862778E-3</v>
      </c>
      <c r="AL300" s="692">
        <f t="shared" si="216"/>
        <v>68467.513751419014</v>
      </c>
      <c r="AM300" s="790">
        <v>18.333333333333332</v>
      </c>
      <c r="AN300" s="791">
        <f t="shared" si="217"/>
        <v>2.6474127557160033E-3</v>
      </c>
      <c r="AO300" s="778">
        <f t="shared" si="218"/>
        <v>166632.20938628149</v>
      </c>
      <c r="AP300" s="768">
        <v>272</v>
      </c>
      <c r="AQ300" s="792">
        <f t="shared" si="219"/>
        <v>3.6764208961275933E-3</v>
      </c>
      <c r="AR300" s="793">
        <f t="shared" si="220"/>
        <v>308532.74150165572</v>
      </c>
      <c r="AS300" s="794">
        <v>52.777777777777779</v>
      </c>
      <c r="AT300" s="791">
        <f t="shared" si="221"/>
        <v>2.1166496777679359E-3</v>
      </c>
      <c r="AU300" s="795">
        <f t="shared" si="222"/>
        <v>177633.55892362783</v>
      </c>
      <c r="AV300" s="796">
        <v>179</v>
      </c>
      <c r="AW300" s="791">
        <f t="shared" si="223"/>
        <v>2.2794417277913611E-3</v>
      </c>
      <c r="AX300" s="795">
        <f t="shared" si="224"/>
        <v>143471.5498930318</v>
      </c>
      <c r="AY300" s="786">
        <f t="shared" si="225"/>
        <v>864737.5734560159</v>
      </c>
      <c r="AZ300" s="787">
        <f t="shared" si="198"/>
        <v>41.65001317098622</v>
      </c>
      <c r="BA300" s="797">
        <f t="shared" si="202"/>
        <v>3980923.0872257049</v>
      </c>
      <c r="BB300" s="775">
        <v>3309348</v>
      </c>
      <c r="BC300" s="775">
        <f t="shared" si="226"/>
        <v>0</v>
      </c>
      <c r="BD300" s="775">
        <f t="shared" si="227"/>
        <v>671575.08722570492</v>
      </c>
      <c r="BE300" s="798">
        <f t="shared" si="228"/>
        <v>1.0449714889648272E-3</v>
      </c>
      <c r="BF300" s="775">
        <f t="shared" si="229"/>
        <v>-1383.4190463869247</v>
      </c>
      <c r="BG300" s="797">
        <f t="shared" si="230"/>
        <v>3979539.6681793178</v>
      </c>
      <c r="BH300" s="799">
        <v>7.8</v>
      </c>
      <c r="BI300" s="692">
        <f t="shared" si="239"/>
        <v>0</v>
      </c>
      <c r="BJ300" s="800">
        <v>1150</v>
      </c>
      <c r="BK300" s="778">
        <f t="shared" si="231"/>
        <v>0</v>
      </c>
      <c r="BL300" s="786">
        <f t="shared" si="238"/>
        <v>3979539.6681793178</v>
      </c>
      <c r="BM300" s="692">
        <f t="shared" si="232"/>
        <v>3979539.6681793178</v>
      </c>
      <c r="BN300" s="801">
        <f t="shared" si="233"/>
        <v>1.9444635668028946E-3</v>
      </c>
      <c r="BO300" s="787">
        <f t="shared" si="234"/>
        <v>9611.1552914541189</v>
      </c>
      <c r="BP300" s="802">
        <f t="shared" si="235"/>
        <v>3989151</v>
      </c>
      <c r="BQ300" s="803">
        <f t="shared" si="199"/>
        <v>192.13712551777286</v>
      </c>
      <c r="BR300" s="682"/>
      <c r="BS300" s="618"/>
    </row>
    <row r="301" spans="1:71" ht="15.75">
      <c r="A301" s="805" t="s">
        <v>4017</v>
      </c>
      <c r="B301" s="767" t="s">
        <v>4018</v>
      </c>
      <c r="C301" s="768">
        <v>12491</v>
      </c>
      <c r="D301" s="769">
        <v>0</v>
      </c>
      <c r="E301" s="770">
        <v>0</v>
      </c>
      <c r="F301" s="771">
        <v>0</v>
      </c>
      <c r="G301" s="770">
        <v>0</v>
      </c>
      <c r="H301" s="771">
        <v>0</v>
      </c>
      <c r="I301" s="770">
        <f t="shared" si="236"/>
        <v>0</v>
      </c>
      <c r="J301" s="772">
        <f t="shared" si="203"/>
        <v>0</v>
      </c>
      <c r="K301" s="773">
        <v>4142</v>
      </c>
      <c r="L301" s="774">
        <f t="shared" si="204"/>
        <v>1.4948648756919886E-3</v>
      </c>
      <c r="M301" s="775">
        <f t="shared" si="237"/>
        <v>125452.1098924181</v>
      </c>
      <c r="N301" s="806">
        <v>2264</v>
      </c>
      <c r="O301" s="777">
        <f t="shared" si="205"/>
        <v>2.5747256109002782E-3</v>
      </c>
      <c r="P301" s="778">
        <f t="shared" si="206"/>
        <v>216076.22570699759</v>
      </c>
      <c r="Q301" s="786">
        <f t="shared" si="192"/>
        <v>341528.3355994157</v>
      </c>
      <c r="R301" s="692">
        <f t="shared" si="193"/>
        <v>27.341953054152246</v>
      </c>
      <c r="S301" s="807">
        <v>39066278.5</v>
      </c>
      <c r="T301" s="782">
        <f t="shared" si="200"/>
        <v>3.9938557495308902</v>
      </c>
      <c r="U301" s="777">
        <f t="shared" si="207"/>
        <v>2.1709509709378762E-3</v>
      </c>
      <c r="V301" s="783">
        <f t="shared" si="194"/>
        <v>3127.5541189656551</v>
      </c>
      <c r="W301" s="778">
        <f t="shared" si="208"/>
        <v>865405.5125501646</v>
      </c>
      <c r="X301" s="784">
        <v>8408493.4276000001</v>
      </c>
      <c r="Y301" s="782">
        <f t="shared" si="201"/>
        <v>18.555652370240786</v>
      </c>
      <c r="Z301" s="782">
        <f t="shared" si="209"/>
        <v>2.8650214277341959E-3</v>
      </c>
      <c r="AA301" s="783">
        <f t="shared" si="195"/>
        <v>673.16415239772641</v>
      </c>
      <c r="AB301" s="692">
        <f t="shared" si="210"/>
        <v>673227.6400056656</v>
      </c>
      <c r="AC301" s="786">
        <f t="shared" si="211"/>
        <v>1538633.1525558303</v>
      </c>
      <c r="AD301" s="787">
        <f t="shared" si="196"/>
        <v>123.17934133022419</v>
      </c>
      <c r="AE301" s="788">
        <v>750.15440000000001</v>
      </c>
      <c r="AF301" s="774">
        <f t="shared" si="212"/>
        <v>7.8023202944327524E-4</v>
      </c>
      <c r="AG301" s="692">
        <f t="shared" si="213"/>
        <v>98217.995376329578</v>
      </c>
      <c r="AH301" s="786">
        <f t="shared" si="214"/>
        <v>98217.995376329578</v>
      </c>
      <c r="AI301" s="692">
        <f t="shared" si="197"/>
        <v>7.8631010628716336</v>
      </c>
      <c r="AJ301" s="789">
        <v>1413</v>
      </c>
      <c r="AK301" s="777">
        <f t="shared" si="215"/>
        <v>1.8782750177459104E-3</v>
      </c>
      <c r="AL301" s="692">
        <f t="shared" si="216"/>
        <v>39407.167792568252</v>
      </c>
      <c r="AM301" s="790">
        <v>19.666666666666668</v>
      </c>
      <c r="AN301" s="791">
        <f t="shared" si="217"/>
        <v>2.8399518652226221E-3</v>
      </c>
      <c r="AO301" s="778">
        <f t="shared" si="218"/>
        <v>178750.91552346564</v>
      </c>
      <c r="AP301" s="768">
        <v>188</v>
      </c>
      <c r="AQ301" s="792">
        <f t="shared" si="219"/>
        <v>2.5410556193823071E-3</v>
      </c>
      <c r="AR301" s="793">
        <f t="shared" si="220"/>
        <v>213250.57133202677</v>
      </c>
      <c r="AS301" s="794">
        <v>72.083333333333329</v>
      </c>
      <c r="AT301" s="791">
        <f t="shared" si="221"/>
        <v>2.8908978493725232E-3</v>
      </c>
      <c r="AU301" s="795">
        <f t="shared" si="222"/>
        <v>242610.04495095488</v>
      </c>
      <c r="AV301" s="796">
        <v>207</v>
      </c>
      <c r="AW301" s="791">
        <f t="shared" si="223"/>
        <v>2.6360024449877751E-3</v>
      </c>
      <c r="AX301" s="795">
        <f t="shared" si="224"/>
        <v>165914.02697127141</v>
      </c>
      <c r="AY301" s="786">
        <f t="shared" si="225"/>
        <v>839932.7265702869</v>
      </c>
      <c r="AZ301" s="787">
        <f t="shared" si="198"/>
        <v>67.243033109461763</v>
      </c>
      <c r="BA301" s="797">
        <f t="shared" si="202"/>
        <v>2818312.2101018624</v>
      </c>
      <c r="BB301" s="775">
        <v>2062957</v>
      </c>
      <c r="BC301" s="775">
        <f t="shared" si="226"/>
        <v>0</v>
      </c>
      <c r="BD301" s="775">
        <f t="shared" si="227"/>
        <v>755355.21010186244</v>
      </c>
      <c r="BE301" s="798">
        <f t="shared" si="228"/>
        <v>1.1753334416531214E-3</v>
      </c>
      <c r="BF301" s="775">
        <f t="shared" si="229"/>
        <v>-1556.0029017147208</v>
      </c>
      <c r="BG301" s="797">
        <f t="shared" si="230"/>
        <v>2816756.2072001477</v>
      </c>
      <c r="BH301" s="799">
        <v>8</v>
      </c>
      <c r="BI301" s="692">
        <f t="shared" si="239"/>
        <v>0</v>
      </c>
      <c r="BJ301" s="800">
        <v>1450</v>
      </c>
      <c r="BK301" s="778">
        <f t="shared" si="231"/>
        <v>0</v>
      </c>
      <c r="BL301" s="786">
        <f t="shared" si="238"/>
        <v>2816756.2072001477</v>
      </c>
      <c r="BM301" s="692">
        <f t="shared" si="232"/>
        <v>2816756.2072001477</v>
      </c>
      <c r="BN301" s="801">
        <f t="shared" si="233"/>
        <v>1.3763098946498039E-3</v>
      </c>
      <c r="BO301" s="787">
        <f t="shared" si="234"/>
        <v>6802.8675633113598</v>
      </c>
      <c r="BP301" s="802">
        <f t="shared" si="235"/>
        <v>2823559</v>
      </c>
      <c r="BQ301" s="803">
        <f t="shared" si="199"/>
        <v>226.04747418141062</v>
      </c>
      <c r="BR301" s="682"/>
      <c r="BS301" s="618"/>
    </row>
    <row r="302" spans="1:71" ht="15.75">
      <c r="A302" s="805" t="s">
        <v>4019</v>
      </c>
      <c r="B302" s="767" t="s">
        <v>4020</v>
      </c>
      <c r="C302" s="768">
        <v>22249</v>
      </c>
      <c r="D302" s="769">
        <v>0</v>
      </c>
      <c r="E302" s="770">
        <v>0</v>
      </c>
      <c r="F302" s="771">
        <v>0</v>
      </c>
      <c r="G302" s="770">
        <v>0</v>
      </c>
      <c r="H302" s="771">
        <v>0</v>
      </c>
      <c r="I302" s="770">
        <f t="shared" si="236"/>
        <v>0</v>
      </c>
      <c r="J302" s="772">
        <f t="shared" si="203"/>
        <v>0</v>
      </c>
      <c r="K302" s="773">
        <v>4839</v>
      </c>
      <c r="L302" s="774">
        <f t="shared" si="204"/>
        <v>1.7464150491244646E-3</v>
      </c>
      <c r="M302" s="775">
        <f t="shared" si="237"/>
        <v>146562.71360922529</v>
      </c>
      <c r="N302" s="806">
        <v>59.5</v>
      </c>
      <c r="O302" s="777">
        <f t="shared" si="205"/>
        <v>6.7666154526752016E-5</v>
      </c>
      <c r="P302" s="778">
        <f t="shared" si="206"/>
        <v>5678.6817268402638</v>
      </c>
      <c r="Q302" s="786">
        <f t="shared" si="192"/>
        <v>152241.39533606556</v>
      </c>
      <c r="R302" s="692">
        <f t="shared" si="193"/>
        <v>6.8426174361124348</v>
      </c>
      <c r="S302" s="807">
        <v>113362045.59</v>
      </c>
      <c r="T302" s="782">
        <f t="shared" si="200"/>
        <v>4.3666996164690506</v>
      </c>
      <c r="U302" s="777">
        <f t="shared" si="207"/>
        <v>2.3736187200253853E-3</v>
      </c>
      <c r="V302" s="783">
        <f t="shared" si="194"/>
        <v>5095.152392916536</v>
      </c>
      <c r="W302" s="778">
        <f t="shared" si="208"/>
        <v>946194.89454191609</v>
      </c>
      <c r="X302" s="784">
        <v>17920704.575399999</v>
      </c>
      <c r="Y302" s="782">
        <f t="shared" si="201"/>
        <v>27.622686313322642</v>
      </c>
      <c r="Z302" s="782">
        <f t="shared" si="209"/>
        <v>4.2649854933783996E-3</v>
      </c>
      <c r="AA302" s="783">
        <f t="shared" si="195"/>
        <v>805.46112523708928</v>
      </c>
      <c r="AB302" s="692">
        <f t="shared" si="210"/>
        <v>1002193.592889221</v>
      </c>
      <c r="AC302" s="786">
        <f t="shared" si="211"/>
        <v>1948388.4874311371</v>
      </c>
      <c r="AD302" s="787">
        <f t="shared" si="196"/>
        <v>87.571957725342131</v>
      </c>
      <c r="AE302" s="788">
        <v>2897.2379000000001</v>
      </c>
      <c r="AF302" s="774">
        <f t="shared" si="212"/>
        <v>3.0134033826862481E-3</v>
      </c>
      <c r="AG302" s="692">
        <f t="shared" si="213"/>
        <v>379336.43882689596</v>
      </c>
      <c r="AH302" s="786">
        <f t="shared" si="214"/>
        <v>379336.43882689596</v>
      </c>
      <c r="AI302" s="692">
        <f t="shared" si="197"/>
        <v>17.049594985253087</v>
      </c>
      <c r="AJ302" s="789">
        <v>1340</v>
      </c>
      <c r="AK302" s="777">
        <f t="shared" si="215"/>
        <v>1.7812374549041189E-3</v>
      </c>
      <c r="AL302" s="692">
        <f t="shared" si="216"/>
        <v>37371.270234990414</v>
      </c>
      <c r="AM302" s="790">
        <v>4.666666666666667</v>
      </c>
      <c r="AN302" s="791">
        <f t="shared" si="217"/>
        <v>6.7388688327316452E-4</v>
      </c>
      <c r="AO302" s="778">
        <f t="shared" si="218"/>
        <v>42415.471480144384</v>
      </c>
      <c r="AP302" s="768">
        <v>122</v>
      </c>
      <c r="AQ302" s="792">
        <f t="shared" si="219"/>
        <v>1.6489829019395823E-3</v>
      </c>
      <c r="AR302" s="793">
        <f t="shared" si="220"/>
        <v>138386.00905588971</v>
      </c>
      <c r="AS302" s="794">
        <v>16.666666666666668</v>
      </c>
      <c r="AT302" s="791">
        <f t="shared" si="221"/>
        <v>6.6841568771619042E-4</v>
      </c>
      <c r="AU302" s="795">
        <f t="shared" si="222"/>
        <v>56094.808081145638</v>
      </c>
      <c r="AV302" s="796">
        <v>119</v>
      </c>
      <c r="AW302" s="791">
        <f t="shared" si="223"/>
        <v>1.5153830480847596E-3</v>
      </c>
      <c r="AX302" s="795">
        <f t="shared" si="224"/>
        <v>95380.527582518334</v>
      </c>
      <c r="AY302" s="786">
        <f t="shared" si="225"/>
        <v>369648.08643468848</v>
      </c>
      <c r="AZ302" s="787">
        <f t="shared" si="198"/>
        <v>16.61414384622628</v>
      </c>
      <c r="BA302" s="797">
        <f t="shared" si="202"/>
        <v>2849614.408028787</v>
      </c>
      <c r="BB302" s="775">
        <v>2602679</v>
      </c>
      <c r="BC302" s="775">
        <f t="shared" si="226"/>
        <v>0</v>
      </c>
      <c r="BD302" s="775">
        <f t="shared" si="227"/>
        <v>246935.408028787</v>
      </c>
      <c r="BE302" s="798">
        <f t="shared" si="228"/>
        <v>3.8423173508706361E-4</v>
      </c>
      <c r="BF302" s="775">
        <f t="shared" si="229"/>
        <v>-508.67751528064002</v>
      </c>
      <c r="BG302" s="797">
        <f t="shared" si="230"/>
        <v>2849105.7305135066</v>
      </c>
      <c r="BH302" s="799">
        <v>7</v>
      </c>
      <c r="BI302" s="692">
        <f t="shared" si="239"/>
        <v>0</v>
      </c>
      <c r="BJ302" s="800">
        <v>1100</v>
      </c>
      <c r="BK302" s="778">
        <f t="shared" si="231"/>
        <v>0</v>
      </c>
      <c r="BL302" s="786">
        <f t="shared" si="238"/>
        <v>2849105.7305135066</v>
      </c>
      <c r="BM302" s="692">
        <f t="shared" si="232"/>
        <v>2849105.7305135066</v>
      </c>
      <c r="BN302" s="801">
        <f t="shared" si="233"/>
        <v>1.3921163634203603E-3</v>
      </c>
      <c r="BO302" s="787">
        <f t="shared" si="234"/>
        <v>6880.996271175567</v>
      </c>
      <c r="BP302" s="802">
        <f t="shared" si="235"/>
        <v>2855987</v>
      </c>
      <c r="BQ302" s="803">
        <f t="shared" si="199"/>
        <v>128.36473549373005</v>
      </c>
      <c r="BR302" s="682"/>
      <c r="BS302" s="618"/>
    </row>
    <row r="303" spans="1:71" ht="15.75">
      <c r="A303" s="766" t="s">
        <v>4021</v>
      </c>
      <c r="B303" s="767" t="s">
        <v>4022</v>
      </c>
      <c r="C303" s="768">
        <v>7307</v>
      </c>
      <c r="D303" s="769">
        <v>0</v>
      </c>
      <c r="E303" s="770">
        <v>0</v>
      </c>
      <c r="F303" s="771">
        <v>0</v>
      </c>
      <c r="G303" s="770">
        <v>0</v>
      </c>
      <c r="H303" s="771">
        <v>0</v>
      </c>
      <c r="I303" s="770">
        <f t="shared" si="236"/>
        <v>0</v>
      </c>
      <c r="J303" s="772">
        <f t="shared" si="203"/>
        <v>0</v>
      </c>
      <c r="K303" s="773">
        <v>2047</v>
      </c>
      <c r="L303" s="774">
        <f t="shared" si="204"/>
        <v>7.3877073890427341E-4</v>
      </c>
      <c r="M303" s="775">
        <f t="shared" si="237"/>
        <v>61999.147501153988</v>
      </c>
      <c r="N303" s="806">
        <v>0</v>
      </c>
      <c r="O303" s="777">
        <f t="shared" si="205"/>
        <v>0</v>
      </c>
      <c r="P303" s="778">
        <f t="shared" si="206"/>
        <v>0</v>
      </c>
      <c r="Q303" s="786">
        <f t="shared" si="192"/>
        <v>61999.147501153988</v>
      </c>
      <c r="R303" s="692">
        <f t="shared" si="193"/>
        <v>8.4848977009927449</v>
      </c>
      <c r="S303" s="807">
        <v>26646739.810000002</v>
      </c>
      <c r="T303" s="782">
        <f t="shared" si="200"/>
        <v>2.0037066215493624</v>
      </c>
      <c r="U303" s="777">
        <f t="shared" si="207"/>
        <v>1.0891602271910236E-3</v>
      </c>
      <c r="V303" s="783">
        <f t="shared" si="194"/>
        <v>3646.7414547693998</v>
      </c>
      <c r="W303" s="778">
        <f t="shared" si="208"/>
        <v>434171.60372548731</v>
      </c>
      <c r="X303" s="784">
        <v>4986176.8764000004</v>
      </c>
      <c r="Y303" s="782">
        <f t="shared" si="201"/>
        <v>10.708053549546158</v>
      </c>
      <c r="Z303" s="782">
        <f t="shared" si="209"/>
        <v>1.6533400312013311E-3</v>
      </c>
      <c r="AA303" s="783">
        <f t="shared" si="195"/>
        <v>682.38358784726984</v>
      </c>
      <c r="AB303" s="692">
        <f t="shared" si="210"/>
        <v>388504.67104982218</v>
      </c>
      <c r="AC303" s="786">
        <f t="shared" si="211"/>
        <v>822676.27477530949</v>
      </c>
      <c r="AD303" s="787">
        <f t="shared" si="196"/>
        <v>112.58741956689606</v>
      </c>
      <c r="AE303" s="788">
        <v>1814.0002999999999</v>
      </c>
      <c r="AF303" s="774">
        <f t="shared" si="212"/>
        <v>1.8867330985190649E-3</v>
      </c>
      <c r="AG303" s="692">
        <f t="shared" si="213"/>
        <v>237507.73584486137</v>
      </c>
      <c r="AH303" s="786">
        <f t="shared" si="214"/>
        <v>237507.73584486137</v>
      </c>
      <c r="AI303" s="692">
        <f t="shared" si="197"/>
        <v>32.504137928679533</v>
      </c>
      <c r="AJ303" s="789">
        <v>668</v>
      </c>
      <c r="AK303" s="777">
        <f t="shared" si="215"/>
        <v>8.8796016408653096E-4</v>
      </c>
      <c r="AL303" s="692">
        <f t="shared" si="216"/>
        <v>18629.857102219103</v>
      </c>
      <c r="AM303" s="790">
        <v>2</v>
      </c>
      <c r="AN303" s="791">
        <f t="shared" si="217"/>
        <v>2.8880866425992765E-4</v>
      </c>
      <c r="AO303" s="778">
        <f t="shared" si="218"/>
        <v>18178.059205776164</v>
      </c>
      <c r="AP303" s="768">
        <v>47</v>
      </c>
      <c r="AQ303" s="792">
        <f t="shared" si="219"/>
        <v>6.3526390484557678E-4</v>
      </c>
      <c r="AR303" s="793">
        <f t="shared" si="220"/>
        <v>53312.642833006692</v>
      </c>
      <c r="AS303" s="794">
        <v>6.7777777777777777</v>
      </c>
      <c r="AT303" s="791">
        <f t="shared" si="221"/>
        <v>2.7182237967125072E-4</v>
      </c>
      <c r="AU303" s="795">
        <f t="shared" si="222"/>
        <v>22811.88861966589</v>
      </c>
      <c r="AV303" s="796">
        <v>24</v>
      </c>
      <c r="AW303" s="791">
        <f t="shared" si="223"/>
        <v>3.0562347188264059E-4</v>
      </c>
      <c r="AX303" s="795">
        <f t="shared" si="224"/>
        <v>19236.408924205378</v>
      </c>
      <c r="AY303" s="786">
        <f t="shared" si="225"/>
        <v>132168.85668487323</v>
      </c>
      <c r="AZ303" s="787">
        <f t="shared" si="198"/>
        <v>18.087978196917096</v>
      </c>
      <c r="BA303" s="797">
        <f t="shared" si="202"/>
        <v>1254352.014806198</v>
      </c>
      <c r="BB303" s="775">
        <v>840873</v>
      </c>
      <c r="BC303" s="775">
        <f t="shared" si="226"/>
        <v>0</v>
      </c>
      <c r="BD303" s="775">
        <f t="shared" si="227"/>
        <v>413479.01480619796</v>
      </c>
      <c r="BE303" s="798">
        <f t="shared" si="228"/>
        <v>6.4337374922981592E-4</v>
      </c>
      <c r="BF303" s="775">
        <f t="shared" si="229"/>
        <v>-851.75098845194509</v>
      </c>
      <c r="BG303" s="797">
        <f t="shared" si="230"/>
        <v>1253500.263817746</v>
      </c>
      <c r="BH303" s="799">
        <v>7.5</v>
      </c>
      <c r="BI303" s="692">
        <f t="shared" si="239"/>
        <v>0</v>
      </c>
      <c r="BJ303" s="800">
        <v>1425</v>
      </c>
      <c r="BK303" s="778">
        <f t="shared" si="231"/>
        <v>0</v>
      </c>
      <c r="BL303" s="786">
        <f t="shared" si="238"/>
        <v>1253500.263817746</v>
      </c>
      <c r="BM303" s="692">
        <f t="shared" si="232"/>
        <v>1253500.263817746</v>
      </c>
      <c r="BN303" s="801">
        <f t="shared" si="233"/>
        <v>6.1247928082258662E-4</v>
      </c>
      <c r="BO303" s="787">
        <f t="shared" si="234"/>
        <v>3027.3817320541907</v>
      </c>
      <c r="BP303" s="802">
        <f t="shared" si="235"/>
        <v>1256528</v>
      </c>
      <c r="BQ303" s="803">
        <f t="shared" si="199"/>
        <v>171.96222800054741</v>
      </c>
      <c r="BR303" s="682"/>
      <c r="BS303" s="618"/>
    </row>
    <row r="304" spans="1:71" ht="15.75">
      <c r="A304" s="766" t="s">
        <v>4023</v>
      </c>
      <c r="B304" s="767" t="s">
        <v>4024</v>
      </c>
      <c r="C304" s="768">
        <v>21555</v>
      </c>
      <c r="D304" s="769">
        <v>0</v>
      </c>
      <c r="E304" s="770">
        <v>0</v>
      </c>
      <c r="F304" s="771">
        <v>0</v>
      </c>
      <c r="G304" s="770">
        <v>0</v>
      </c>
      <c r="H304" s="771">
        <v>0</v>
      </c>
      <c r="I304" s="770">
        <f t="shared" si="236"/>
        <v>0</v>
      </c>
      <c r="J304" s="772">
        <f t="shared" si="203"/>
        <v>0</v>
      </c>
      <c r="K304" s="773">
        <v>6394</v>
      </c>
      <c r="L304" s="774">
        <f t="shared" si="204"/>
        <v>2.3076209597234607E-3</v>
      </c>
      <c r="M304" s="775">
        <f t="shared" si="237"/>
        <v>193660.25848675065</v>
      </c>
      <c r="N304" s="806">
        <v>248</v>
      </c>
      <c r="O304" s="777">
        <f t="shared" si="205"/>
        <v>2.8203708105268064E-4</v>
      </c>
      <c r="P304" s="778">
        <f t="shared" si="206"/>
        <v>23669.127197586306</v>
      </c>
      <c r="Q304" s="786">
        <f t="shared" si="192"/>
        <v>217329.38568433694</v>
      </c>
      <c r="R304" s="692">
        <f t="shared" si="193"/>
        <v>10.082550948009137</v>
      </c>
      <c r="S304" s="807">
        <v>93589333.010000005</v>
      </c>
      <c r="T304" s="782">
        <f t="shared" si="200"/>
        <v>4.9644335530242065</v>
      </c>
      <c r="U304" s="777">
        <f t="shared" si="207"/>
        <v>2.6985305724575503E-3</v>
      </c>
      <c r="V304" s="783">
        <f t="shared" si="194"/>
        <v>4341.8850851310599</v>
      </c>
      <c r="W304" s="778">
        <f t="shared" si="208"/>
        <v>1075714.4055542757</v>
      </c>
      <c r="X304" s="784">
        <v>21020040.092</v>
      </c>
      <c r="Y304" s="782">
        <f t="shared" si="201"/>
        <v>22.103574634799511</v>
      </c>
      <c r="Z304" s="782">
        <f t="shared" si="209"/>
        <v>3.4128261132864114E-3</v>
      </c>
      <c r="AA304" s="783">
        <f t="shared" si="195"/>
        <v>975.18163266063561</v>
      </c>
      <c r="AB304" s="692">
        <f t="shared" si="210"/>
        <v>801951.72285834688</v>
      </c>
      <c r="AC304" s="786">
        <f t="shared" si="211"/>
        <v>1877666.1284126225</v>
      </c>
      <c r="AD304" s="787">
        <f t="shared" si="196"/>
        <v>87.110467567275464</v>
      </c>
      <c r="AE304" s="788">
        <v>2316.8211000000001</v>
      </c>
      <c r="AF304" s="774">
        <f t="shared" si="212"/>
        <v>2.4097146250291958E-3</v>
      </c>
      <c r="AG304" s="692">
        <f t="shared" si="213"/>
        <v>303342.25072542776</v>
      </c>
      <c r="AH304" s="786">
        <f t="shared" si="214"/>
        <v>303342.25072542776</v>
      </c>
      <c r="AI304" s="692">
        <f t="shared" si="197"/>
        <v>14.072941346575169</v>
      </c>
      <c r="AJ304" s="789">
        <v>1837</v>
      </c>
      <c r="AK304" s="777">
        <f t="shared" si="215"/>
        <v>2.4418904512379601E-3</v>
      </c>
      <c r="AL304" s="692">
        <f t="shared" si="216"/>
        <v>51232.107031102532</v>
      </c>
      <c r="AM304" s="790">
        <v>3</v>
      </c>
      <c r="AN304" s="791">
        <f t="shared" si="217"/>
        <v>4.3321299638989148E-4</v>
      </c>
      <c r="AO304" s="778">
        <f t="shared" si="218"/>
        <v>27267.088808664244</v>
      </c>
      <c r="AP304" s="768">
        <v>116</v>
      </c>
      <c r="AQ304" s="792">
        <f t="shared" si="219"/>
        <v>1.567885382172062E-3</v>
      </c>
      <c r="AR304" s="793">
        <f t="shared" si="220"/>
        <v>131580.13975805909</v>
      </c>
      <c r="AS304" s="794">
        <v>27.75</v>
      </c>
      <c r="AT304" s="791">
        <f t="shared" si="221"/>
        <v>1.112912120047457E-3</v>
      </c>
      <c r="AU304" s="795">
        <f t="shared" si="222"/>
        <v>93397.855455107492</v>
      </c>
      <c r="AV304" s="796">
        <v>57</v>
      </c>
      <c r="AW304" s="791">
        <f t="shared" si="223"/>
        <v>7.2585574572127138E-4</v>
      </c>
      <c r="AX304" s="795">
        <f t="shared" si="224"/>
        <v>45686.471194987775</v>
      </c>
      <c r="AY304" s="786">
        <f t="shared" si="225"/>
        <v>349163.66224792111</v>
      </c>
      <c r="AZ304" s="787">
        <f t="shared" si="198"/>
        <v>16.198731721081934</v>
      </c>
      <c r="BA304" s="797">
        <f t="shared" si="202"/>
        <v>2747501.4270703085</v>
      </c>
      <c r="BB304" s="775">
        <v>2420342</v>
      </c>
      <c r="BC304" s="775">
        <f t="shared" si="226"/>
        <v>0</v>
      </c>
      <c r="BD304" s="775">
        <f t="shared" si="227"/>
        <v>327159.42707030848</v>
      </c>
      <c r="BE304" s="798">
        <f t="shared" si="228"/>
        <v>5.0906038674963913E-4</v>
      </c>
      <c r="BF304" s="775">
        <f t="shared" si="229"/>
        <v>-673.93593244174065</v>
      </c>
      <c r="BG304" s="797">
        <f t="shared" si="230"/>
        <v>2746827.4911378669</v>
      </c>
      <c r="BH304" s="799">
        <v>6.5</v>
      </c>
      <c r="BI304" s="692">
        <f t="shared" si="239"/>
        <v>0</v>
      </c>
      <c r="BJ304" s="800">
        <v>935</v>
      </c>
      <c r="BK304" s="778">
        <f t="shared" si="231"/>
        <v>0</v>
      </c>
      <c r="BL304" s="786">
        <f t="shared" si="238"/>
        <v>2746827.4911378669</v>
      </c>
      <c r="BM304" s="692">
        <f t="shared" si="232"/>
        <v>2746827.4911378669</v>
      </c>
      <c r="BN304" s="801">
        <f t="shared" si="233"/>
        <v>1.342141661136851E-3</v>
      </c>
      <c r="BO304" s="787">
        <f t="shared" si="234"/>
        <v>6633.9797507885423</v>
      </c>
      <c r="BP304" s="802">
        <f t="shared" si="235"/>
        <v>2753461</v>
      </c>
      <c r="BQ304" s="803">
        <f t="shared" si="199"/>
        <v>127.74117374159128</v>
      </c>
      <c r="BR304" s="682"/>
      <c r="BS304" s="618"/>
    </row>
    <row r="305" spans="1:71" ht="15.75">
      <c r="A305" s="766" t="s">
        <v>4025</v>
      </c>
      <c r="B305" s="767" t="s">
        <v>4026</v>
      </c>
      <c r="C305" s="768">
        <v>8214</v>
      </c>
      <c r="D305" s="769">
        <v>0</v>
      </c>
      <c r="E305" s="770">
        <v>0</v>
      </c>
      <c r="F305" s="771">
        <v>0</v>
      </c>
      <c r="G305" s="770">
        <v>0</v>
      </c>
      <c r="H305" s="771">
        <v>0</v>
      </c>
      <c r="I305" s="770">
        <f t="shared" si="236"/>
        <v>0</v>
      </c>
      <c r="J305" s="772">
        <f t="shared" si="203"/>
        <v>0</v>
      </c>
      <c r="K305" s="773">
        <v>2282</v>
      </c>
      <c r="L305" s="774">
        <f t="shared" si="204"/>
        <v>8.2358320770862332E-4</v>
      </c>
      <c r="M305" s="775">
        <f t="shared" si="237"/>
        <v>69116.782900651393</v>
      </c>
      <c r="N305" s="806">
        <v>501</v>
      </c>
      <c r="O305" s="777">
        <f t="shared" si="205"/>
        <v>5.6976039357819759E-4</v>
      </c>
      <c r="P305" s="778">
        <f t="shared" si="206"/>
        <v>47815.454540285238</v>
      </c>
      <c r="Q305" s="786">
        <f t="shared" si="192"/>
        <v>116932.23744093663</v>
      </c>
      <c r="R305" s="692">
        <f t="shared" si="193"/>
        <v>14.235724061472684</v>
      </c>
      <c r="S305" s="807">
        <v>28777673.390000004</v>
      </c>
      <c r="T305" s="782">
        <f t="shared" si="200"/>
        <v>2.3445187901620002</v>
      </c>
      <c r="U305" s="777">
        <f t="shared" si="207"/>
        <v>1.2744164193917444E-3</v>
      </c>
      <c r="V305" s="783">
        <f t="shared" si="194"/>
        <v>3503.490794984174</v>
      </c>
      <c r="W305" s="778">
        <f t="shared" si="208"/>
        <v>508020.22219304106</v>
      </c>
      <c r="X305" s="784">
        <v>5377844.9647000004</v>
      </c>
      <c r="Y305" s="782">
        <f t="shared" si="201"/>
        <v>12.545879705136453</v>
      </c>
      <c r="Z305" s="782">
        <f t="shared" si="209"/>
        <v>1.9371032323626726E-3</v>
      </c>
      <c r="AA305" s="783">
        <f t="shared" si="195"/>
        <v>654.71694237886538</v>
      </c>
      <c r="AB305" s="692">
        <f t="shared" si="210"/>
        <v>455183.83386131463</v>
      </c>
      <c r="AC305" s="786">
        <f t="shared" si="211"/>
        <v>963204.05605435569</v>
      </c>
      <c r="AD305" s="787">
        <f t="shared" si="196"/>
        <v>117.26370295280688</v>
      </c>
      <c r="AE305" s="788">
        <v>3199.91</v>
      </c>
      <c r="AF305" s="774">
        <f t="shared" si="212"/>
        <v>3.3282111967027463E-3</v>
      </c>
      <c r="AG305" s="692">
        <f t="shared" si="213"/>
        <v>418965.40976720362</v>
      </c>
      <c r="AH305" s="786">
        <f t="shared" si="214"/>
        <v>418965.40976720362</v>
      </c>
      <c r="AI305" s="692">
        <f t="shared" si="197"/>
        <v>51.006258798052549</v>
      </c>
      <c r="AJ305" s="789">
        <v>966</v>
      </c>
      <c r="AK305" s="777">
        <f t="shared" si="215"/>
        <v>1.2840861055502827E-3</v>
      </c>
      <c r="AL305" s="692">
        <f t="shared" si="216"/>
        <v>26940.781378358763</v>
      </c>
      <c r="AM305" s="790">
        <v>3</v>
      </c>
      <c r="AN305" s="791">
        <f t="shared" si="217"/>
        <v>4.3321299638989148E-4</v>
      </c>
      <c r="AO305" s="778">
        <f t="shared" si="218"/>
        <v>27267.088808664244</v>
      </c>
      <c r="AP305" s="768">
        <v>58</v>
      </c>
      <c r="AQ305" s="792">
        <f t="shared" si="219"/>
        <v>7.83942691086031E-4</v>
      </c>
      <c r="AR305" s="793">
        <f t="shared" si="220"/>
        <v>65790.069879029543</v>
      </c>
      <c r="AS305" s="794">
        <v>10.777777777777777</v>
      </c>
      <c r="AT305" s="791">
        <f t="shared" si="221"/>
        <v>4.3224214472313636E-4</v>
      </c>
      <c r="AU305" s="795">
        <f t="shared" si="222"/>
        <v>36274.642559140841</v>
      </c>
      <c r="AV305" s="796">
        <v>14</v>
      </c>
      <c r="AW305" s="791">
        <f t="shared" si="223"/>
        <v>1.7828035859820702E-4</v>
      </c>
      <c r="AX305" s="795">
        <f t="shared" si="224"/>
        <v>11221.238539119804</v>
      </c>
      <c r="AY305" s="786">
        <f t="shared" si="225"/>
        <v>167493.82116431318</v>
      </c>
      <c r="AZ305" s="787">
        <f t="shared" si="198"/>
        <v>20.391261403008667</v>
      </c>
      <c r="BA305" s="797">
        <f t="shared" si="202"/>
        <v>1666595.524426809</v>
      </c>
      <c r="BB305" s="775">
        <v>1123960</v>
      </c>
      <c r="BC305" s="775">
        <f t="shared" si="226"/>
        <v>0</v>
      </c>
      <c r="BD305" s="775">
        <f t="shared" si="227"/>
        <v>542635.52442680905</v>
      </c>
      <c r="BE305" s="798">
        <f t="shared" si="228"/>
        <v>8.4434140383012816E-4</v>
      </c>
      <c r="BF305" s="775">
        <f t="shared" si="229"/>
        <v>-1117.8084685054882</v>
      </c>
      <c r="BG305" s="797">
        <f t="shared" si="230"/>
        <v>1665477.7159583035</v>
      </c>
      <c r="BH305" s="799">
        <v>7.8</v>
      </c>
      <c r="BI305" s="692">
        <f t="shared" si="239"/>
        <v>0</v>
      </c>
      <c r="BJ305" s="800">
        <v>1375</v>
      </c>
      <c r="BK305" s="778">
        <f t="shared" si="231"/>
        <v>0</v>
      </c>
      <c r="BL305" s="786">
        <f t="shared" si="238"/>
        <v>1665477.7159583035</v>
      </c>
      <c r="BM305" s="692">
        <f t="shared" si="232"/>
        <v>1665477.7159583035</v>
      </c>
      <c r="BN305" s="801">
        <f t="shared" si="233"/>
        <v>8.1377772557413703E-4</v>
      </c>
      <c r="BO305" s="787">
        <f t="shared" si="234"/>
        <v>4022.3659762776078</v>
      </c>
      <c r="BP305" s="802">
        <f t="shared" si="235"/>
        <v>1669500</v>
      </c>
      <c r="BQ305" s="803">
        <f t="shared" si="199"/>
        <v>203.25054784514245</v>
      </c>
      <c r="BR305" s="682"/>
      <c r="BS305" s="618"/>
    </row>
    <row r="306" spans="1:71" ht="15.75">
      <c r="A306" s="805" t="s">
        <v>4027</v>
      </c>
      <c r="B306" s="767" t="s">
        <v>4028</v>
      </c>
      <c r="C306" s="768">
        <v>20887</v>
      </c>
      <c r="D306" s="769">
        <v>0</v>
      </c>
      <c r="E306" s="770">
        <v>0</v>
      </c>
      <c r="F306" s="771">
        <v>0</v>
      </c>
      <c r="G306" s="770">
        <v>0</v>
      </c>
      <c r="H306" s="771">
        <v>0</v>
      </c>
      <c r="I306" s="770">
        <f t="shared" si="236"/>
        <v>0</v>
      </c>
      <c r="J306" s="772">
        <f t="shared" si="203"/>
        <v>0</v>
      </c>
      <c r="K306" s="773">
        <v>6623</v>
      </c>
      <c r="L306" s="774">
        <f t="shared" si="204"/>
        <v>2.3902680037923806E-3</v>
      </c>
      <c r="M306" s="775">
        <f t="shared" si="237"/>
        <v>200596.16702498432</v>
      </c>
      <c r="N306" s="806">
        <v>1445.5</v>
      </c>
      <c r="O306" s="777">
        <f t="shared" si="205"/>
        <v>1.6438895187969754E-3</v>
      </c>
      <c r="P306" s="778">
        <f t="shared" si="206"/>
        <v>137958.56195206053</v>
      </c>
      <c r="Q306" s="786">
        <f t="shared" si="192"/>
        <v>338554.72897704481</v>
      </c>
      <c r="R306" s="692">
        <f t="shared" si="193"/>
        <v>16.208872934219603</v>
      </c>
      <c r="S306" s="807">
        <v>70512071.949999988</v>
      </c>
      <c r="T306" s="782">
        <f t="shared" si="200"/>
        <v>6.1871216790985262</v>
      </c>
      <c r="U306" s="777">
        <f t="shared" si="207"/>
        <v>3.3631504638412181E-3</v>
      </c>
      <c r="V306" s="783">
        <f t="shared" si="194"/>
        <v>3375.8831785321008</v>
      </c>
      <c r="W306" s="778">
        <f t="shared" si="208"/>
        <v>1340651.6268243811</v>
      </c>
      <c r="X306" s="784">
        <v>17920093.1228</v>
      </c>
      <c r="Y306" s="782">
        <f t="shared" si="201"/>
        <v>24.345117294336564</v>
      </c>
      <c r="Z306" s="782">
        <f t="shared" si="209"/>
        <v>3.7589237671233388E-3</v>
      </c>
      <c r="AA306" s="783">
        <f t="shared" si="195"/>
        <v>857.95437941303203</v>
      </c>
      <c r="AB306" s="692">
        <f t="shared" si="210"/>
        <v>883278.34207613149</v>
      </c>
      <c r="AC306" s="786">
        <f t="shared" si="211"/>
        <v>2223929.9689005124</v>
      </c>
      <c r="AD306" s="787">
        <f t="shared" si="196"/>
        <v>106.47436055443637</v>
      </c>
      <c r="AE306" s="788">
        <v>2556.5857999999998</v>
      </c>
      <c r="AF306" s="774">
        <f t="shared" si="212"/>
        <v>2.6590927510121371E-3</v>
      </c>
      <c r="AG306" s="692">
        <f t="shared" si="213"/>
        <v>334734.73232122592</v>
      </c>
      <c r="AH306" s="786">
        <f t="shared" si="214"/>
        <v>334734.73232122592</v>
      </c>
      <c r="AI306" s="692">
        <f t="shared" si="197"/>
        <v>16.025984216078228</v>
      </c>
      <c r="AJ306" s="789">
        <v>2272</v>
      </c>
      <c r="AK306" s="777">
        <f t="shared" si="215"/>
        <v>3.0201279832404167E-3</v>
      </c>
      <c r="AL306" s="692">
        <f t="shared" si="216"/>
        <v>63363.825353655397</v>
      </c>
      <c r="AM306" s="790">
        <v>16.666666666666668</v>
      </c>
      <c r="AN306" s="791">
        <f t="shared" si="217"/>
        <v>2.4067388688327304E-3</v>
      </c>
      <c r="AO306" s="778">
        <f t="shared" si="218"/>
        <v>151483.82671480137</v>
      </c>
      <c r="AP306" s="768">
        <v>231</v>
      </c>
      <c r="AQ306" s="792">
        <f t="shared" si="219"/>
        <v>3.122254511049537E-3</v>
      </c>
      <c r="AR306" s="793">
        <f t="shared" si="220"/>
        <v>262025.96796647969</v>
      </c>
      <c r="AS306" s="794">
        <v>25.416666666666668</v>
      </c>
      <c r="AT306" s="791">
        <f t="shared" si="221"/>
        <v>1.0193339237671902E-3</v>
      </c>
      <c r="AU306" s="795">
        <f t="shared" si="222"/>
        <v>85544.58232374709</v>
      </c>
      <c r="AV306" s="796">
        <v>20</v>
      </c>
      <c r="AW306" s="791">
        <f t="shared" si="223"/>
        <v>2.5468622656886714E-4</v>
      </c>
      <c r="AX306" s="795">
        <f t="shared" si="224"/>
        <v>16030.340770171148</v>
      </c>
      <c r="AY306" s="786">
        <f t="shared" si="225"/>
        <v>578448.54312885471</v>
      </c>
      <c r="AZ306" s="787">
        <f t="shared" si="198"/>
        <v>27.69418983716449</v>
      </c>
      <c r="BA306" s="797">
        <f t="shared" si="202"/>
        <v>3475667.9733276377</v>
      </c>
      <c r="BB306" s="775">
        <v>2549163</v>
      </c>
      <c r="BC306" s="775">
        <f t="shared" si="226"/>
        <v>0</v>
      </c>
      <c r="BD306" s="775">
        <f t="shared" si="227"/>
        <v>926504.97332763765</v>
      </c>
      <c r="BE306" s="798">
        <f t="shared" si="228"/>
        <v>1.4416426397099408E-3</v>
      </c>
      <c r="BF306" s="775">
        <f t="shared" si="229"/>
        <v>-1908.5648813576242</v>
      </c>
      <c r="BG306" s="797">
        <f t="shared" si="230"/>
        <v>3473759.4084462798</v>
      </c>
      <c r="BH306" s="799">
        <v>8</v>
      </c>
      <c r="BI306" s="692">
        <f t="shared" si="239"/>
        <v>0</v>
      </c>
      <c r="BJ306" s="800">
        <v>1350</v>
      </c>
      <c r="BK306" s="778">
        <f t="shared" si="231"/>
        <v>0</v>
      </c>
      <c r="BL306" s="786">
        <f t="shared" si="238"/>
        <v>3473759.4084462798</v>
      </c>
      <c r="BM306" s="692">
        <f t="shared" si="232"/>
        <v>3473759.4084462798</v>
      </c>
      <c r="BN306" s="801">
        <f t="shared" si="233"/>
        <v>1.6973316445549763E-3</v>
      </c>
      <c r="BO306" s="787">
        <f t="shared" si="234"/>
        <v>8389.6239021539459</v>
      </c>
      <c r="BP306" s="802">
        <f t="shared" si="235"/>
        <v>3482149</v>
      </c>
      <c r="BQ306" s="803">
        <f t="shared" si="199"/>
        <v>166.71369751520083</v>
      </c>
      <c r="BR306" s="682"/>
      <c r="BS306" s="618"/>
    </row>
    <row r="307" spans="1:71" ht="15.75">
      <c r="A307" s="805" t="s">
        <v>4029</v>
      </c>
      <c r="B307" s="767" t="s">
        <v>4030</v>
      </c>
      <c r="C307" s="768">
        <v>12380</v>
      </c>
      <c r="D307" s="769">
        <v>0</v>
      </c>
      <c r="E307" s="770">
        <v>0</v>
      </c>
      <c r="F307" s="771">
        <v>0</v>
      </c>
      <c r="G307" s="770">
        <v>0</v>
      </c>
      <c r="H307" s="771">
        <v>0</v>
      </c>
      <c r="I307" s="770">
        <f t="shared" si="236"/>
        <v>0</v>
      </c>
      <c r="J307" s="772">
        <f t="shared" si="203"/>
        <v>0</v>
      </c>
      <c r="K307" s="773">
        <v>3984</v>
      </c>
      <c r="L307" s="774">
        <f t="shared" si="204"/>
        <v>1.4378420243256597E-3</v>
      </c>
      <c r="M307" s="775">
        <f t="shared" si="237"/>
        <v>120666.63587913898</v>
      </c>
      <c r="N307" s="806">
        <v>134</v>
      </c>
      <c r="O307" s="777">
        <f t="shared" si="205"/>
        <v>1.5239100347201295E-4</v>
      </c>
      <c r="P307" s="778">
        <f t="shared" si="206"/>
        <v>12788.963889018409</v>
      </c>
      <c r="Q307" s="786">
        <f t="shared" si="192"/>
        <v>133455.59976815738</v>
      </c>
      <c r="R307" s="692">
        <f t="shared" si="193"/>
        <v>10.779935360917397</v>
      </c>
      <c r="S307" s="807">
        <v>33399251.390000008</v>
      </c>
      <c r="T307" s="782">
        <f t="shared" si="200"/>
        <v>4.5888573432483737</v>
      </c>
      <c r="U307" s="777">
        <f t="shared" si="207"/>
        <v>2.4943775963842951E-3</v>
      </c>
      <c r="V307" s="783">
        <f t="shared" si="194"/>
        <v>2697.8393691437809</v>
      </c>
      <c r="W307" s="778">
        <f t="shared" si="208"/>
        <v>994332.96798961668</v>
      </c>
      <c r="X307" s="784">
        <v>7717707.3051000005</v>
      </c>
      <c r="Y307" s="782">
        <f t="shared" si="201"/>
        <v>19.858799244526949</v>
      </c>
      <c r="Z307" s="782">
        <f t="shared" si="209"/>
        <v>3.0662293208235537E-3</v>
      </c>
      <c r="AA307" s="783">
        <f t="shared" si="195"/>
        <v>623.40123627625201</v>
      </c>
      <c r="AB307" s="692">
        <f t="shared" si="210"/>
        <v>720507.81519171584</v>
      </c>
      <c r="AC307" s="786">
        <f t="shared" si="211"/>
        <v>1714840.7831813325</v>
      </c>
      <c r="AD307" s="787">
        <f t="shared" si="196"/>
        <v>138.51702610511572</v>
      </c>
      <c r="AE307" s="788">
        <v>5501.1116000000002</v>
      </c>
      <c r="AF307" s="774">
        <f t="shared" si="212"/>
        <v>5.7216800539488175E-3</v>
      </c>
      <c r="AG307" s="692">
        <f t="shared" si="213"/>
        <v>720262.59353204223</v>
      </c>
      <c r="AH307" s="786">
        <f t="shared" si="214"/>
        <v>720262.59353204223</v>
      </c>
      <c r="AI307" s="692">
        <f t="shared" si="197"/>
        <v>58.179530979971098</v>
      </c>
      <c r="AJ307" s="789">
        <v>1738</v>
      </c>
      <c r="AK307" s="777">
        <f t="shared" si="215"/>
        <v>2.3102915646442974E-3</v>
      </c>
      <c r="AL307" s="692">
        <f t="shared" si="216"/>
        <v>48471.095274935331</v>
      </c>
      <c r="AM307" s="790">
        <v>5.666666666666667</v>
      </c>
      <c r="AN307" s="791">
        <f t="shared" si="217"/>
        <v>8.1829121540312835E-4</v>
      </c>
      <c r="AO307" s="778">
        <f t="shared" si="218"/>
        <v>51504.501083032468</v>
      </c>
      <c r="AP307" s="768">
        <v>107</v>
      </c>
      <c r="AQ307" s="792">
        <f t="shared" si="219"/>
        <v>1.4462391025207811E-3</v>
      </c>
      <c r="AR307" s="793">
        <f t="shared" si="220"/>
        <v>121371.3358113131</v>
      </c>
      <c r="AS307" s="794">
        <v>11.777777777777779</v>
      </c>
      <c r="AT307" s="791">
        <f t="shared" si="221"/>
        <v>4.7234708598610785E-4</v>
      </c>
      <c r="AU307" s="795">
        <f t="shared" si="222"/>
        <v>39640.331044009581</v>
      </c>
      <c r="AV307" s="796">
        <v>33</v>
      </c>
      <c r="AW307" s="791">
        <f t="shared" si="223"/>
        <v>4.2023227383863079E-4</v>
      </c>
      <c r="AX307" s="795">
        <f t="shared" si="224"/>
        <v>26450.062270782397</v>
      </c>
      <c r="AY307" s="786">
        <f t="shared" si="225"/>
        <v>287437.32548407291</v>
      </c>
      <c r="AZ307" s="787">
        <f t="shared" si="198"/>
        <v>23.217877664303142</v>
      </c>
      <c r="BA307" s="797">
        <f t="shared" si="202"/>
        <v>2855996.301965605</v>
      </c>
      <c r="BB307" s="775">
        <v>1768702</v>
      </c>
      <c r="BC307" s="775">
        <f t="shared" si="226"/>
        <v>0</v>
      </c>
      <c r="BD307" s="775">
        <f t="shared" si="227"/>
        <v>1087294.301965605</v>
      </c>
      <c r="BE307" s="798">
        <f t="shared" si="228"/>
        <v>1.6918309914705279E-3</v>
      </c>
      <c r="BF307" s="775">
        <f t="shared" si="229"/>
        <v>-2239.784761196277</v>
      </c>
      <c r="BG307" s="797">
        <f t="shared" si="230"/>
        <v>2853756.5172044085</v>
      </c>
      <c r="BH307" s="799">
        <v>8</v>
      </c>
      <c r="BI307" s="692">
        <f t="shared" si="239"/>
        <v>0</v>
      </c>
      <c r="BJ307" s="800">
        <v>1900</v>
      </c>
      <c r="BK307" s="778">
        <f t="shared" si="231"/>
        <v>0</v>
      </c>
      <c r="BL307" s="786">
        <f t="shared" si="238"/>
        <v>2853756.5172044085</v>
      </c>
      <c r="BM307" s="692">
        <f t="shared" si="232"/>
        <v>2853756.5172044085</v>
      </c>
      <c r="BN307" s="801">
        <f t="shared" si="233"/>
        <v>1.3943888084847335E-3</v>
      </c>
      <c r="BO307" s="787">
        <f t="shared" si="234"/>
        <v>6892.2285836641468</v>
      </c>
      <c r="BP307" s="802">
        <f t="shared" si="235"/>
        <v>2860649</v>
      </c>
      <c r="BQ307" s="803">
        <f t="shared" si="199"/>
        <v>231.07019386106623</v>
      </c>
      <c r="BR307" s="682"/>
      <c r="BS307" s="618"/>
    </row>
    <row r="308" spans="1:71" ht="15.75">
      <c r="A308" s="766" t="s">
        <v>4031</v>
      </c>
      <c r="B308" s="767" t="s">
        <v>4032</v>
      </c>
      <c r="C308" s="768">
        <v>25398</v>
      </c>
      <c r="D308" s="769">
        <v>0</v>
      </c>
      <c r="E308" s="770">
        <v>0</v>
      </c>
      <c r="F308" s="771">
        <v>0</v>
      </c>
      <c r="G308" s="770">
        <v>0</v>
      </c>
      <c r="H308" s="771">
        <v>0</v>
      </c>
      <c r="I308" s="770">
        <f t="shared" si="236"/>
        <v>0</v>
      </c>
      <c r="J308" s="772">
        <f t="shared" si="203"/>
        <v>0</v>
      </c>
      <c r="K308" s="773">
        <v>8341</v>
      </c>
      <c r="L308" s="774">
        <f t="shared" si="204"/>
        <v>3.0103012863705639E-3</v>
      </c>
      <c r="M308" s="775">
        <f t="shared" si="237"/>
        <v>252630.62496684192</v>
      </c>
      <c r="N308" s="806">
        <v>4133</v>
      </c>
      <c r="O308" s="777">
        <f t="shared" si="205"/>
        <v>4.7002389354464883E-3</v>
      </c>
      <c r="P308" s="778">
        <f t="shared" si="206"/>
        <v>394453.6399500976</v>
      </c>
      <c r="Q308" s="786">
        <f t="shared" si="192"/>
        <v>647084.26491693954</v>
      </c>
      <c r="R308" s="692">
        <f t="shared" si="193"/>
        <v>25.477764584492462</v>
      </c>
      <c r="S308" s="807">
        <v>102248069.16999999</v>
      </c>
      <c r="T308" s="782">
        <f t="shared" si="200"/>
        <v>6.3087587788822796</v>
      </c>
      <c r="U308" s="777">
        <f t="shared" si="207"/>
        <v>3.429269071131585E-3</v>
      </c>
      <c r="V308" s="783">
        <f t="shared" si="194"/>
        <v>4025.8315288605395</v>
      </c>
      <c r="W308" s="778">
        <f t="shared" si="208"/>
        <v>1367008.4667517717</v>
      </c>
      <c r="X308" s="784">
        <v>20598685.489500001</v>
      </c>
      <c r="Y308" s="782">
        <f t="shared" si="201"/>
        <v>31.315513037412646</v>
      </c>
      <c r="Z308" s="782">
        <f t="shared" si="209"/>
        <v>4.8351636516195716E-3</v>
      </c>
      <c r="AA308" s="783">
        <f t="shared" si="195"/>
        <v>811.03573074651547</v>
      </c>
      <c r="AB308" s="692">
        <f t="shared" si="210"/>
        <v>1136175.0326577385</v>
      </c>
      <c r="AC308" s="786">
        <f t="shared" si="211"/>
        <v>2503183.4994095103</v>
      </c>
      <c r="AD308" s="787">
        <f t="shared" si="196"/>
        <v>98.558291968245939</v>
      </c>
      <c r="AE308" s="788">
        <v>4185.6563999999998</v>
      </c>
      <c r="AF308" s="774">
        <f t="shared" si="212"/>
        <v>4.3534813466724097E-3</v>
      </c>
      <c r="AG308" s="692">
        <f t="shared" si="213"/>
        <v>548029.55357204378</v>
      </c>
      <c r="AH308" s="786">
        <f t="shared" si="214"/>
        <v>548029.55357204378</v>
      </c>
      <c r="AI308" s="692">
        <f t="shared" si="197"/>
        <v>21.577665704860372</v>
      </c>
      <c r="AJ308" s="789">
        <v>2611</v>
      </c>
      <c r="AK308" s="777">
        <f t="shared" si="215"/>
        <v>3.4707544736975035E-3</v>
      </c>
      <c r="AL308" s="692">
        <f t="shared" si="216"/>
        <v>72818.198942955205</v>
      </c>
      <c r="AM308" s="790">
        <v>8</v>
      </c>
      <c r="AN308" s="791">
        <f t="shared" si="217"/>
        <v>1.1552346570397106E-3</v>
      </c>
      <c r="AO308" s="778">
        <f t="shared" si="218"/>
        <v>72712.236823104657</v>
      </c>
      <c r="AP308" s="768">
        <v>196</v>
      </c>
      <c r="AQ308" s="792">
        <f t="shared" si="219"/>
        <v>2.649185645739001E-3</v>
      </c>
      <c r="AR308" s="793">
        <f t="shared" si="220"/>
        <v>222325.06372913427</v>
      </c>
      <c r="AS308" s="810">
        <v>26.055555555555557</v>
      </c>
      <c r="AT308" s="791">
        <f t="shared" si="221"/>
        <v>1.0449565251296443E-3</v>
      </c>
      <c r="AU308" s="795">
        <f t="shared" si="222"/>
        <v>87694.88330019101</v>
      </c>
      <c r="AV308" s="796">
        <v>107</v>
      </c>
      <c r="AW308" s="791">
        <f t="shared" si="223"/>
        <v>1.3625713121434393E-3</v>
      </c>
      <c r="AX308" s="795">
        <f t="shared" si="224"/>
        <v>85762.323120415647</v>
      </c>
      <c r="AY308" s="786">
        <f t="shared" si="225"/>
        <v>541312.70591580076</v>
      </c>
      <c r="AZ308" s="787">
        <f t="shared" si="198"/>
        <v>21.313202059839387</v>
      </c>
      <c r="BA308" s="797">
        <f t="shared" si="202"/>
        <v>4239610.0238142945</v>
      </c>
      <c r="BB308" s="775">
        <v>3502772</v>
      </c>
      <c r="BC308" s="775">
        <f t="shared" si="226"/>
        <v>0</v>
      </c>
      <c r="BD308" s="775">
        <f t="shared" si="227"/>
        <v>736838.02381429449</v>
      </c>
      <c r="BE308" s="798">
        <f t="shared" si="228"/>
        <v>1.1465206817779837E-3</v>
      </c>
      <c r="BF308" s="775">
        <f t="shared" si="229"/>
        <v>-1517.8582047433952</v>
      </c>
      <c r="BG308" s="797">
        <f t="shared" si="230"/>
        <v>4238092.1656095507</v>
      </c>
      <c r="BH308" s="799">
        <v>7.5</v>
      </c>
      <c r="BI308" s="692">
        <f t="shared" si="239"/>
        <v>0</v>
      </c>
      <c r="BJ308" s="800">
        <v>1600</v>
      </c>
      <c r="BK308" s="778">
        <f t="shared" si="231"/>
        <v>0</v>
      </c>
      <c r="BL308" s="786">
        <f t="shared" si="238"/>
        <v>4238092.1656095507</v>
      </c>
      <c r="BM308" s="692">
        <f t="shared" si="232"/>
        <v>4238092.1656095507</v>
      </c>
      <c r="BN308" s="801">
        <f t="shared" si="233"/>
        <v>2.0707962467806768E-3</v>
      </c>
      <c r="BO308" s="787">
        <f t="shared" si="234"/>
        <v>10235.596410527614</v>
      </c>
      <c r="BP308" s="802">
        <f t="shared" si="235"/>
        <v>4248328</v>
      </c>
      <c r="BQ308" s="803">
        <f t="shared" si="199"/>
        <v>167.2701787542326</v>
      </c>
      <c r="BR308" s="682"/>
      <c r="BS308" s="618"/>
    </row>
    <row r="309" spans="1:71" ht="15.75">
      <c r="A309" s="766" t="s">
        <v>4033</v>
      </c>
      <c r="B309" s="767" t="s">
        <v>4034</v>
      </c>
      <c r="C309" s="768">
        <v>8252</v>
      </c>
      <c r="D309" s="769">
        <v>0</v>
      </c>
      <c r="E309" s="770">
        <v>0</v>
      </c>
      <c r="F309" s="771">
        <v>0</v>
      </c>
      <c r="G309" s="770">
        <v>0</v>
      </c>
      <c r="H309" s="771">
        <v>0</v>
      </c>
      <c r="I309" s="770">
        <f t="shared" si="236"/>
        <v>0</v>
      </c>
      <c r="J309" s="772">
        <f t="shared" si="203"/>
        <v>0</v>
      </c>
      <c r="K309" s="773">
        <v>2213</v>
      </c>
      <c r="L309" s="774">
        <f t="shared" si="204"/>
        <v>7.9868082325117596E-4</v>
      </c>
      <c r="M309" s="775">
        <f t="shared" si="237"/>
        <v>67026.923996118116</v>
      </c>
      <c r="N309" s="806">
        <v>644</v>
      </c>
      <c r="O309" s="777">
        <f t="shared" si="205"/>
        <v>7.3238661370131591E-4</v>
      </c>
      <c r="P309" s="778">
        <f t="shared" si="206"/>
        <v>61463.378690506383</v>
      </c>
      <c r="Q309" s="786">
        <f t="shared" si="192"/>
        <v>128490.30268662449</v>
      </c>
      <c r="R309" s="692">
        <f t="shared" si="193"/>
        <v>15.570807402644752</v>
      </c>
      <c r="S309" s="807">
        <v>28725506.079999998</v>
      </c>
      <c r="T309" s="782">
        <f t="shared" si="200"/>
        <v>2.3705588966946411</v>
      </c>
      <c r="U309" s="777">
        <f t="shared" si="207"/>
        <v>1.2885711105237421E-3</v>
      </c>
      <c r="V309" s="783">
        <f t="shared" si="194"/>
        <v>3481.0356374212311</v>
      </c>
      <c r="W309" s="778">
        <f t="shared" si="208"/>
        <v>513662.70233103505</v>
      </c>
      <c r="X309" s="784">
        <v>6367786.7241000002</v>
      </c>
      <c r="Y309" s="782">
        <f t="shared" si="201"/>
        <v>10.693747600289544</v>
      </c>
      <c r="Z309" s="782">
        <f t="shared" si="209"/>
        <v>1.6511311705077558E-3</v>
      </c>
      <c r="AA309" s="783">
        <f t="shared" si="195"/>
        <v>771.66586574163841</v>
      </c>
      <c r="AB309" s="692">
        <f t="shared" si="210"/>
        <v>387985.62918247638</v>
      </c>
      <c r="AC309" s="786">
        <f t="shared" si="211"/>
        <v>901648.33151351148</v>
      </c>
      <c r="AD309" s="787">
        <f t="shared" si="196"/>
        <v>109.2642185547154</v>
      </c>
      <c r="AE309" s="788">
        <v>4042.0196000000001</v>
      </c>
      <c r="AF309" s="774">
        <f t="shared" si="212"/>
        <v>4.2040853930304153E-3</v>
      </c>
      <c r="AG309" s="692">
        <f t="shared" si="213"/>
        <v>529223.13377597136</v>
      </c>
      <c r="AH309" s="786">
        <f t="shared" si="214"/>
        <v>529223.13377597136</v>
      </c>
      <c r="AI309" s="692">
        <f t="shared" si="197"/>
        <v>64.132711315556392</v>
      </c>
      <c r="AJ309" s="789">
        <v>1092</v>
      </c>
      <c r="AK309" s="777">
        <f t="shared" si="215"/>
        <v>1.4515755975785805E-3</v>
      </c>
      <c r="AL309" s="692">
        <f t="shared" si="216"/>
        <v>30454.796340753383</v>
      </c>
      <c r="AM309" s="790">
        <v>2.6666666666666665</v>
      </c>
      <c r="AN309" s="791">
        <f t="shared" si="217"/>
        <v>3.8507821901323682E-4</v>
      </c>
      <c r="AO309" s="778">
        <f t="shared" si="218"/>
        <v>24237.412274368216</v>
      </c>
      <c r="AP309" s="768">
        <v>103</v>
      </c>
      <c r="AQ309" s="792">
        <f t="shared" si="219"/>
        <v>1.3921740893424342E-3</v>
      </c>
      <c r="AR309" s="793">
        <f t="shared" si="220"/>
        <v>116834.08961275934</v>
      </c>
      <c r="AS309" s="810">
        <v>6.9444444444444438</v>
      </c>
      <c r="AT309" s="791">
        <f t="shared" si="221"/>
        <v>2.7850653654841261E-4</v>
      </c>
      <c r="AU309" s="795">
        <f t="shared" si="222"/>
        <v>23372.836700477346</v>
      </c>
      <c r="AV309" s="796">
        <v>31</v>
      </c>
      <c r="AW309" s="791">
        <f t="shared" si="223"/>
        <v>3.9476365118174407E-4</v>
      </c>
      <c r="AX309" s="795">
        <f t="shared" si="224"/>
        <v>24847.02819376528</v>
      </c>
      <c r="AY309" s="786">
        <f t="shared" si="225"/>
        <v>219746.16312212357</v>
      </c>
      <c r="AZ309" s="787">
        <f t="shared" si="198"/>
        <v>26.629442937727045</v>
      </c>
      <c r="BA309" s="797">
        <f t="shared" si="202"/>
        <v>1779107.9310982309</v>
      </c>
      <c r="BB309" s="775">
        <v>1043708</v>
      </c>
      <c r="BC309" s="775">
        <f t="shared" si="226"/>
        <v>0</v>
      </c>
      <c r="BD309" s="775">
        <f t="shared" si="227"/>
        <v>735399.93109823088</v>
      </c>
      <c r="BE309" s="798">
        <f t="shared" si="228"/>
        <v>1.1442830081129548E-3</v>
      </c>
      <c r="BF309" s="775">
        <f t="shared" si="229"/>
        <v>-1514.8957886387548</v>
      </c>
      <c r="BG309" s="797">
        <f t="shared" si="230"/>
        <v>1777593.035309592</v>
      </c>
      <c r="BH309" s="799">
        <v>7.8</v>
      </c>
      <c r="BI309" s="692">
        <f t="shared" si="239"/>
        <v>0</v>
      </c>
      <c r="BJ309" s="800">
        <v>1400</v>
      </c>
      <c r="BK309" s="778">
        <f t="shared" si="231"/>
        <v>0</v>
      </c>
      <c r="BL309" s="786">
        <f t="shared" si="238"/>
        <v>1777593.035309592</v>
      </c>
      <c r="BM309" s="692">
        <f t="shared" si="232"/>
        <v>1777593.035309592</v>
      </c>
      <c r="BN309" s="801">
        <f t="shared" si="233"/>
        <v>8.6855897464729707E-4</v>
      </c>
      <c r="BO309" s="787">
        <f t="shared" si="234"/>
        <v>4293.1404463632898</v>
      </c>
      <c r="BP309" s="802">
        <f t="shared" si="235"/>
        <v>1781886</v>
      </c>
      <c r="BQ309" s="803">
        <f t="shared" si="199"/>
        <v>215.93383422200679</v>
      </c>
      <c r="BR309" s="682"/>
      <c r="BS309" s="618"/>
    </row>
    <row r="310" spans="1:71" ht="15.75">
      <c r="A310" s="766" t="s">
        <v>4035</v>
      </c>
      <c r="B310" s="767" t="s">
        <v>4036</v>
      </c>
      <c r="C310" s="768">
        <v>2760</v>
      </c>
      <c r="D310" s="769">
        <v>0</v>
      </c>
      <c r="E310" s="770">
        <v>0</v>
      </c>
      <c r="F310" s="771">
        <v>0</v>
      </c>
      <c r="G310" s="770">
        <v>0</v>
      </c>
      <c r="H310" s="771">
        <v>0</v>
      </c>
      <c r="I310" s="770">
        <f t="shared" si="236"/>
        <v>0</v>
      </c>
      <c r="J310" s="772">
        <f t="shared" si="203"/>
        <v>0</v>
      </c>
      <c r="K310" s="773">
        <v>872</v>
      </c>
      <c r="L310" s="774">
        <f t="shared" si="204"/>
        <v>3.1470839488252389E-4</v>
      </c>
      <c r="M310" s="775">
        <f t="shared" si="237"/>
        <v>26410.970503666966</v>
      </c>
      <c r="N310" s="806">
        <v>0</v>
      </c>
      <c r="O310" s="777">
        <f t="shared" si="205"/>
        <v>0</v>
      </c>
      <c r="P310" s="778">
        <f t="shared" si="206"/>
        <v>0</v>
      </c>
      <c r="Q310" s="786">
        <f t="shared" si="192"/>
        <v>26410.970503666966</v>
      </c>
      <c r="R310" s="692">
        <f t="shared" si="193"/>
        <v>9.5691922114735384</v>
      </c>
      <c r="S310" s="807">
        <v>10441711.82</v>
      </c>
      <c r="T310" s="782">
        <f t="shared" si="200"/>
        <v>0.72953555234202971</v>
      </c>
      <c r="U310" s="777">
        <f t="shared" si="207"/>
        <v>3.9655561317572806E-4</v>
      </c>
      <c r="V310" s="783">
        <f t="shared" si="194"/>
        <v>3783.2289202898551</v>
      </c>
      <c r="W310" s="778">
        <f t="shared" si="208"/>
        <v>158078.84114800039</v>
      </c>
      <c r="X310" s="784">
        <v>2655118.4725000001</v>
      </c>
      <c r="Y310" s="782">
        <f t="shared" si="201"/>
        <v>2.8690245195829016</v>
      </c>
      <c r="Z310" s="782">
        <f t="shared" si="209"/>
        <v>4.4298182361309006E-4</v>
      </c>
      <c r="AA310" s="783">
        <f t="shared" si="195"/>
        <v>961.99944655797105</v>
      </c>
      <c r="AB310" s="692">
        <f t="shared" si="210"/>
        <v>104092.62729748593</v>
      </c>
      <c r="AC310" s="786">
        <f t="shared" si="211"/>
        <v>262171.46844548633</v>
      </c>
      <c r="AD310" s="787">
        <f t="shared" si="196"/>
        <v>94.989662480248668</v>
      </c>
      <c r="AE310" s="788">
        <v>4464.5532000000003</v>
      </c>
      <c r="AF310" s="774">
        <f t="shared" si="212"/>
        <v>4.6435605840523878E-3</v>
      </c>
      <c r="AG310" s="692">
        <f t="shared" si="213"/>
        <v>584545.61561590177</v>
      </c>
      <c r="AH310" s="786">
        <f t="shared" si="214"/>
        <v>584545.61561590177</v>
      </c>
      <c r="AI310" s="692">
        <f t="shared" si="197"/>
        <v>211.79188971590645</v>
      </c>
      <c r="AJ310" s="789">
        <v>268</v>
      </c>
      <c r="AK310" s="777">
        <f t="shared" si="215"/>
        <v>3.5624749098082378E-4</v>
      </c>
      <c r="AL310" s="692">
        <f t="shared" si="216"/>
        <v>7474.2540469980831</v>
      </c>
      <c r="AM310" s="790">
        <v>1.6666666666666667</v>
      </c>
      <c r="AN310" s="791">
        <f t="shared" si="217"/>
        <v>2.4067388688327304E-4</v>
      </c>
      <c r="AO310" s="778">
        <f t="shared" si="218"/>
        <v>15148.382671480136</v>
      </c>
      <c r="AP310" s="768">
        <v>14</v>
      </c>
      <c r="AQ310" s="792">
        <f t="shared" si="219"/>
        <v>1.8922754612421436E-4</v>
      </c>
      <c r="AR310" s="793">
        <f t="shared" si="220"/>
        <v>15880.361694938161</v>
      </c>
      <c r="AS310" s="810">
        <v>5.0555555555555554</v>
      </c>
      <c r="AT310" s="791">
        <f t="shared" si="221"/>
        <v>2.027527586072444E-4</v>
      </c>
      <c r="AU310" s="795">
        <f t="shared" si="222"/>
        <v>17015.42511794751</v>
      </c>
      <c r="AV310" s="796">
        <v>0</v>
      </c>
      <c r="AW310" s="791">
        <f t="shared" si="223"/>
        <v>0</v>
      </c>
      <c r="AX310" s="795">
        <f t="shared" si="224"/>
        <v>0</v>
      </c>
      <c r="AY310" s="786">
        <f t="shared" si="225"/>
        <v>55518.423531363886</v>
      </c>
      <c r="AZ310" s="787">
        <f t="shared" si="198"/>
        <v>20.115370844697061</v>
      </c>
      <c r="BA310" s="797">
        <f t="shared" si="202"/>
        <v>928646.4780964189</v>
      </c>
      <c r="BB310" s="775">
        <v>414130</v>
      </c>
      <c r="BC310" s="775">
        <f t="shared" si="226"/>
        <v>0</v>
      </c>
      <c r="BD310" s="775">
        <f t="shared" si="227"/>
        <v>514516.4780964189</v>
      </c>
      <c r="BE310" s="798">
        <f t="shared" si="228"/>
        <v>8.0058814038862192E-4</v>
      </c>
      <c r="BF310" s="775">
        <f t="shared" si="229"/>
        <v>-1059.8843063386087</v>
      </c>
      <c r="BG310" s="797">
        <f t="shared" si="230"/>
        <v>927586.59379008028</v>
      </c>
      <c r="BH310" s="799">
        <v>7</v>
      </c>
      <c r="BI310" s="692">
        <f t="shared" si="239"/>
        <v>0</v>
      </c>
      <c r="BJ310" s="800">
        <v>1800</v>
      </c>
      <c r="BK310" s="778">
        <f t="shared" si="231"/>
        <v>0</v>
      </c>
      <c r="BL310" s="786">
        <f t="shared" si="238"/>
        <v>927586.59379008028</v>
      </c>
      <c r="BM310" s="692">
        <f t="shared" si="232"/>
        <v>927586.59379008028</v>
      </c>
      <c r="BN310" s="801">
        <f t="shared" si="233"/>
        <v>4.5323290809280969E-4</v>
      </c>
      <c r="BO310" s="787">
        <f t="shared" si="234"/>
        <v>2240.2537837413297</v>
      </c>
      <c r="BP310" s="802">
        <f t="shared" si="235"/>
        <v>929827</v>
      </c>
      <c r="BQ310" s="803">
        <f t="shared" si="199"/>
        <v>336.89384057971017</v>
      </c>
      <c r="BR310" s="682"/>
      <c r="BS310" s="618"/>
    </row>
    <row r="311" spans="1:71" ht="15.75">
      <c r="A311" s="805" t="s">
        <v>4037</v>
      </c>
      <c r="B311" s="767" t="s">
        <v>4038</v>
      </c>
      <c r="C311" s="768">
        <v>15288</v>
      </c>
      <c r="D311" s="769">
        <v>0</v>
      </c>
      <c r="E311" s="770">
        <v>0</v>
      </c>
      <c r="F311" s="771">
        <v>0</v>
      </c>
      <c r="G311" s="770">
        <v>0</v>
      </c>
      <c r="H311" s="771">
        <v>0</v>
      </c>
      <c r="I311" s="770">
        <f t="shared" si="236"/>
        <v>0</v>
      </c>
      <c r="J311" s="772">
        <f t="shared" si="203"/>
        <v>0</v>
      </c>
      <c r="K311" s="773">
        <v>5357</v>
      </c>
      <c r="L311" s="774">
        <f t="shared" si="204"/>
        <v>1.9333633846166062E-3</v>
      </c>
      <c r="M311" s="775">
        <f t="shared" si="237"/>
        <v>162251.79929833021</v>
      </c>
      <c r="N311" s="806">
        <v>188.5</v>
      </c>
      <c r="O311" s="777">
        <f t="shared" si="205"/>
        <v>2.1437092652592865E-4</v>
      </c>
      <c r="P311" s="778">
        <f t="shared" si="206"/>
        <v>17990.445470746046</v>
      </c>
      <c r="Q311" s="786">
        <f t="shared" si="192"/>
        <v>180242.24476907626</v>
      </c>
      <c r="R311" s="692">
        <f t="shared" si="193"/>
        <v>11.789785764591592</v>
      </c>
      <c r="S311" s="807">
        <v>53380436.339999996</v>
      </c>
      <c r="T311" s="782">
        <f t="shared" si="200"/>
        <v>4.3784382448905257</v>
      </c>
      <c r="U311" s="777">
        <f t="shared" si="207"/>
        <v>2.3799995180229278E-3</v>
      </c>
      <c r="V311" s="783">
        <f t="shared" si="194"/>
        <v>3491.6559615384613</v>
      </c>
      <c r="W311" s="778">
        <f t="shared" si="208"/>
        <v>948738.47006962914</v>
      </c>
      <c r="X311" s="784">
        <v>11161405.078500001</v>
      </c>
      <c r="Y311" s="782">
        <f t="shared" si="201"/>
        <v>20.940279683085421</v>
      </c>
      <c r="Z311" s="782">
        <f t="shared" si="209"/>
        <v>3.2332115733642759E-3</v>
      </c>
      <c r="AA311" s="783">
        <f t="shared" si="195"/>
        <v>730.07620869309267</v>
      </c>
      <c r="AB311" s="692">
        <f t="shared" si="210"/>
        <v>759745.59076735121</v>
      </c>
      <c r="AC311" s="786">
        <f t="shared" si="211"/>
        <v>1708484.0608369804</v>
      </c>
      <c r="AD311" s="787">
        <f t="shared" si="196"/>
        <v>111.75327451837914</v>
      </c>
      <c r="AE311" s="788">
        <v>2105.7004999999999</v>
      </c>
      <c r="AF311" s="774">
        <f t="shared" si="212"/>
        <v>2.1901290914440002E-3</v>
      </c>
      <c r="AG311" s="692">
        <f t="shared" si="213"/>
        <v>275700.15182599059</v>
      </c>
      <c r="AH311" s="786">
        <f t="shared" si="214"/>
        <v>275700.15182599059</v>
      </c>
      <c r="AI311" s="692">
        <f t="shared" si="197"/>
        <v>18.033761893379815</v>
      </c>
      <c r="AJ311" s="789">
        <v>1777</v>
      </c>
      <c r="AK311" s="777">
        <f t="shared" si="215"/>
        <v>2.3621335502721041E-3</v>
      </c>
      <c r="AL311" s="692">
        <f t="shared" si="216"/>
        <v>49558.766572819382</v>
      </c>
      <c r="AM311" s="790">
        <v>8</v>
      </c>
      <c r="AN311" s="791">
        <f t="shared" si="217"/>
        <v>1.1552346570397106E-3</v>
      </c>
      <c r="AO311" s="778">
        <f t="shared" si="218"/>
        <v>72712.236823104657</v>
      </c>
      <c r="AP311" s="768">
        <v>149</v>
      </c>
      <c r="AQ311" s="792">
        <f t="shared" si="219"/>
        <v>2.0139217408934244E-3</v>
      </c>
      <c r="AR311" s="793">
        <f t="shared" si="220"/>
        <v>169012.42089612759</v>
      </c>
      <c r="AS311" s="810">
        <v>10.694444444444443</v>
      </c>
      <c r="AT311" s="791">
        <f t="shared" si="221"/>
        <v>4.2890006628455539E-4</v>
      </c>
      <c r="AU311" s="795">
        <f t="shared" si="222"/>
        <v>35994.16851873511</v>
      </c>
      <c r="AV311" s="796">
        <v>28</v>
      </c>
      <c r="AW311" s="791">
        <f t="shared" si="223"/>
        <v>3.5656071719641403E-4</v>
      </c>
      <c r="AX311" s="795">
        <f t="shared" si="224"/>
        <v>22442.477078239608</v>
      </c>
      <c r="AY311" s="786">
        <f t="shared" si="225"/>
        <v>349720.06988902634</v>
      </c>
      <c r="AZ311" s="787">
        <f t="shared" si="198"/>
        <v>22.875462446953581</v>
      </c>
      <c r="BA311" s="797">
        <f t="shared" si="202"/>
        <v>2514146.5273210737</v>
      </c>
      <c r="BB311" s="775">
        <v>1882814</v>
      </c>
      <c r="BC311" s="775">
        <f t="shared" si="226"/>
        <v>0</v>
      </c>
      <c r="BD311" s="775">
        <f t="shared" si="227"/>
        <v>631332.52732107369</v>
      </c>
      <c r="BE311" s="798">
        <f t="shared" si="228"/>
        <v>9.8235402660925035E-4</v>
      </c>
      <c r="BF311" s="775">
        <f t="shared" si="229"/>
        <v>-1300.5209089985688</v>
      </c>
      <c r="BG311" s="797">
        <f t="shared" si="230"/>
        <v>2512846.0064120749</v>
      </c>
      <c r="BH311" s="799">
        <v>7</v>
      </c>
      <c r="BI311" s="692">
        <f t="shared" si="239"/>
        <v>0</v>
      </c>
      <c r="BJ311" s="800">
        <v>1000</v>
      </c>
      <c r="BK311" s="778">
        <f t="shared" si="231"/>
        <v>0</v>
      </c>
      <c r="BL311" s="786">
        <f t="shared" si="238"/>
        <v>2512846.0064120749</v>
      </c>
      <c r="BM311" s="692">
        <f t="shared" si="232"/>
        <v>2512846.0064120749</v>
      </c>
      <c r="BN311" s="801">
        <f t="shared" si="233"/>
        <v>1.2278147514207072E-3</v>
      </c>
      <c r="BO311" s="787">
        <f t="shared" si="234"/>
        <v>6068.8811282000033</v>
      </c>
      <c r="BP311" s="802">
        <f t="shared" si="235"/>
        <v>2518915</v>
      </c>
      <c r="BQ311" s="803">
        <f t="shared" si="199"/>
        <v>164.76419413919413</v>
      </c>
      <c r="BR311" s="682"/>
      <c r="BS311" s="618"/>
    </row>
    <row r="312" spans="1:71" ht="15.75">
      <c r="A312" s="805" t="s">
        <v>4039</v>
      </c>
      <c r="B312" s="767" t="s">
        <v>4040</v>
      </c>
      <c r="C312" s="768">
        <v>7074</v>
      </c>
      <c r="D312" s="769">
        <v>0</v>
      </c>
      <c r="E312" s="770">
        <v>0</v>
      </c>
      <c r="F312" s="771">
        <v>0</v>
      </c>
      <c r="G312" s="770">
        <v>0</v>
      </c>
      <c r="H312" s="771">
        <v>0</v>
      </c>
      <c r="I312" s="770">
        <f t="shared" si="236"/>
        <v>0</v>
      </c>
      <c r="J312" s="772">
        <f t="shared" si="203"/>
        <v>0</v>
      </c>
      <c r="K312" s="773">
        <v>2170</v>
      </c>
      <c r="L312" s="774">
        <f t="shared" si="204"/>
        <v>7.8316194598059279E-4</v>
      </c>
      <c r="M312" s="775">
        <f t="shared" si="237"/>
        <v>65724.548157061145</v>
      </c>
      <c r="N312" s="806">
        <v>36.5</v>
      </c>
      <c r="O312" s="777">
        <f t="shared" si="205"/>
        <v>4.1509489751705016E-5</v>
      </c>
      <c r="P312" s="778">
        <f t="shared" si="206"/>
        <v>3483.5610593221786</v>
      </c>
      <c r="Q312" s="786">
        <f t="shared" si="192"/>
        <v>69208.109216383324</v>
      </c>
      <c r="R312" s="692">
        <f t="shared" si="193"/>
        <v>9.783447726375929</v>
      </c>
      <c r="S312" s="807">
        <v>22534012.530000001</v>
      </c>
      <c r="T312" s="782">
        <f t="shared" si="200"/>
        <v>2.2207086258330042</v>
      </c>
      <c r="U312" s="777">
        <f t="shared" si="207"/>
        <v>1.2071165935295853E-3</v>
      </c>
      <c r="V312" s="783">
        <f t="shared" si="194"/>
        <v>3185.4696819338424</v>
      </c>
      <c r="W312" s="778">
        <f t="shared" si="208"/>
        <v>481192.51347255462</v>
      </c>
      <c r="X312" s="784">
        <v>6541864.3365000002</v>
      </c>
      <c r="Y312" s="782">
        <f t="shared" si="201"/>
        <v>7.6494212392629608</v>
      </c>
      <c r="Z312" s="782">
        <f t="shared" si="209"/>
        <v>1.1810824714199506E-3</v>
      </c>
      <c r="AA312" s="783">
        <f t="shared" si="195"/>
        <v>924.77584626802377</v>
      </c>
      <c r="AB312" s="692">
        <f t="shared" si="210"/>
        <v>277532.78114745108</v>
      </c>
      <c r="AC312" s="786">
        <f t="shared" si="211"/>
        <v>758725.29462000565</v>
      </c>
      <c r="AD312" s="787">
        <f t="shared" si="196"/>
        <v>107.25548411365644</v>
      </c>
      <c r="AE312" s="788">
        <v>2397.4405000000002</v>
      </c>
      <c r="AF312" s="774">
        <f t="shared" si="212"/>
        <v>2.4935664801599517E-3</v>
      </c>
      <c r="AG312" s="692">
        <f t="shared" si="213"/>
        <v>313897.77883596404</v>
      </c>
      <c r="AH312" s="786">
        <f t="shared" si="214"/>
        <v>313897.77883596404</v>
      </c>
      <c r="AI312" s="692">
        <f t="shared" si="197"/>
        <v>44.373449086226188</v>
      </c>
      <c r="AJ312" s="789">
        <v>719</v>
      </c>
      <c r="AK312" s="777">
        <f t="shared" si="215"/>
        <v>9.5575352990750855E-4</v>
      </c>
      <c r="AL312" s="692">
        <f t="shared" si="216"/>
        <v>20052.196491759783</v>
      </c>
      <c r="AM312" s="790">
        <v>4.333333333333333</v>
      </c>
      <c r="AN312" s="791">
        <f t="shared" si="217"/>
        <v>6.257521058965098E-4</v>
      </c>
      <c r="AO312" s="778">
        <f t="shared" si="218"/>
        <v>39385.794945848349</v>
      </c>
      <c r="AP312" s="768">
        <v>81</v>
      </c>
      <c r="AQ312" s="792">
        <f t="shared" si="219"/>
        <v>1.094816516861526E-3</v>
      </c>
      <c r="AR312" s="793">
        <f t="shared" si="220"/>
        <v>91879.235520713657</v>
      </c>
      <c r="AS312" s="810">
        <v>8.9444444444444446</v>
      </c>
      <c r="AT312" s="791">
        <f t="shared" si="221"/>
        <v>3.5871641907435548E-4</v>
      </c>
      <c r="AU312" s="795">
        <f t="shared" si="222"/>
        <v>30104.213670214824</v>
      </c>
      <c r="AV312" s="796">
        <v>45</v>
      </c>
      <c r="AW312" s="791">
        <f t="shared" si="223"/>
        <v>5.7304400977995114E-4</v>
      </c>
      <c r="AX312" s="795">
        <f t="shared" si="224"/>
        <v>36068.266732885088</v>
      </c>
      <c r="AY312" s="786">
        <f t="shared" si="225"/>
        <v>217489.70736142172</v>
      </c>
      <c r="AZ312" s="787">
        <f t="shared" si="198"/>
        <v>30.744940254653905</v>
      </c>
      <c r="BA312" s="797">
        <f t="shared" si="202"/>
        <v>1359320.8900337748</v>
      </c>
      <c r="BB312" s="775">
        <v>837582</v>
      </c>
      <c r="BC312" s="775">
        <f t="shared" si="226"/>
        <v>0</v>
      </c>
      <c r="BD312" s="775">
        <f t="shared" si="227"/>
        <v>521738.89003377478</v>
      </c>
      <c r="BE312" s="798">
        <f t="shared" si="228"/>
        <v>8.118262203883936E-4</v>
      </c>
      <c r="BF312" s="775">
        <f t="shared" si="229"/>
        <v>-1074.762199257874</v>
      </c>
      <c r="BG312" s="797">
        <f t="shared" si="230"/>
        <v>1358246.1278345168</v>
      </c>
      <c r="BH312" s="799">
        <v>8</v>
      </c>
      <c r="BI312" s="692">
        <f t="shared" si="239"/>
        <v>0</v>
      </c>
      <c r="BJ312" s="800">
        <v>1300</v>
      </c>
      <c r="BK312" s="778">
        <f t="shared" si="231"/>
        <v>0</v>
      </c>
      <c r="BL312" s="786">
        <f t="shared" si="238"/>
        <v>1358246.1278345168</v>
      </c>
      <c r="BM312" s="692">
        <f t="shared" si="232"/>
        <v>1358246.1278345168</v>
      </c>
      <c r="BN312" s="801">
        <f t="shared" si="233"/>
        <v>6.6365970201112191E-4</v>
      </c>
      <c r="BO312" s="787">
        <f t="shared" si="234"/>
        <v>3280.3579175292589</v>
      </c>
      <c r="BP312" s="802">
        <f t="shared" si="235"/>
        <v>1361526</v>
      </c>
      <c r="BQ312" s="803">
        <f t="shared" si="199"/>
        <v>192.46904156064463</v>
      </c>
      <c r="BR312" s="682"/>
      <c r="BS312" s="618"/>
    </row>
    <row r="313" spans="1:71" ht="15.75">
      <c r="A313" s="805" t="s">
        <v>4041</v>
      </c>
      <c r="B313" s="767" t="s">
        <v>4042</v>
      </c>
      <c r="C313" s="768">
        <v>8045</v>
      </c>
      <c r="D313" s="769">
        <v>0</v>
      </c>
      <c r="E313" s="770">
        <v>0</v>
      </c>
      <c r="F313" s="771">
        <v>0</v>
      </c>
      <c r="G313" s="770">
        <v>0</v>
      </c>
      <c r="H313" s="771">
        <v>0</v>
      </c>
      <c r="I313" s="770">
        <f t="shared" si="236"/>
        <v>0</v>
      </c>
      <c r="J313" s="772">
        <f t="shared" si="203"/>
        <v>0</v>
      </c>
      <c r="K313" s="773">
        <v>1891</v>
      </c>
      <c r="L313" s="774">
        <f t="shared" si="204"/>
        <v>6.8246969578308794E-4</v>
      </c>
      <c r="M313" s="775">
        <f t="shared" si="237"/>
        <v>57274.249108296135</v>
      </c>
      <c r="N313" s="806">
        <v>0</v>
      </c>
      <c r="O313" s="777">
        <f t="shared" si="205"/>
        <v>0</v>
      </c>
      <c r="P313" s="778">
        <f t="shared" si="206"/>
        <v>0</v>
      </c>
      <c r="Q313" s="786">
        <f t="shared" si="192"/>
        <v>57274.249108296135</v>
      </c>
      <c r="R313" s="692">
        <f t="shared" si="193"/>
        <v>7.1192354391915647</v>
      </c>
      <c r="S313" s="807">
        <v>33524865.399999999</v>
      </c>
      <c r="T313" s="782">
        <f t="shared" si="200"/>
        <v>1.930567780892567</v>
      </c>
      <c r="U313" s="777">
        <f t="shared" si="207"/>
        <v>1.0494039497751979E-3</v>
      </c>
      <c r="V313" s="783">
        <f t="shared" si="194"/>
        <v>4167.1678558110625</v>
      </c>
      <c r="W313" s="778">
        <f t="shared" si="208"/>
        <v>418323.57118366269</v>
      </c>
      <c r="X313" s="784">
        <v>4489090.4361000005</v>
      </c>
      <c r="Y313" s="782">
        <f t="shared" si="201"/>
        <v>14.417625557178289</v>
      </c>
      <c r="Z313" s="782">
        <f t="shared" si="209"/>
        <v>2.2261036871229095E-3</v>
      </c>
      <c r="AA313" s="783">
        <f t="shared" si="195"/>
        <v>557.99756819142328</v>
      </c>
      <c r="AB313" s="692">
        <f t="shared" si="210"/>
        <v>523093.65548965364</v>
      </c>
      <c r="AC313" s="786">
        <f t="shared" si="211"/>
        <v>941417.22667331633</v>
      </c>
      <c r="AD313" s="787">
        <f t="shared" si="196"/>
        <v>117.01892189848556</v>
      </c>
      <c r="AE313" s="788">
        <v>2681.0680000000002</v>
      </c>
      <c r="AF313" s="774">
        <f t="shared" si="212"/>
        <v>2.7885660961469039E-3</v>
      </c>
      <c r="AG313" s="692">
        <f t="shared" si="213"/>
        <v>351033.23319522646</v>
      </c>
      <c r="AH313" s="786">
        <f t="shared" si="214"/>
        <v>351033.23319522646</v>
      </c>
      <c r="AI313" s="692">
        <f t="shared" si="197"/>
        <v>43.633714505310934</v>
      </c>
      <c r="AJ313" s="789">
        <v>786</v>
      </c>
      <c r="AK313" s="777">
        <f t="shared" si="215"/>
        <v>1.0448154026527145E-3</v>
      </c>
      <c r="AL313" s="692">
        <f t="shared" si="216"/>
        <v>21920.760003509302</v>
      </c>
      <c r="AM313" s="790">
        <v>3</v>
      </c>
      <c r="AN313" s="791">
        <f t="shared" si="217"/>
        <v>4.3321299638989148E-4</v>
      </c>
      <c r="AO313" s="778">
        <f t="shared" si="218"/>
        <v>27267.088808664244</v>
      </c>
      <c r="AP313" s="768">
        <v>60</v>
      </c>
      <c r="AQ313" s="792">
        <f t="shared" si="219"/>
        <v>8.1097519767520446E-4</v>
      </c>
      <c r="AR313" s="793">
        <f t="shared" si="220"/>
        <v>68058.692978306412</v>
      </c>
      <c r="AS313" s="810">
        <v>14</v>
      </c>
      <c r="AT313" s="791">
        <f t="shared" si="221"/>
        <v>5.6146917768159989E-4</v>
      </c>
      <c r="AU313" s="795">
        <f t="shared" si="222"/>
        <v>47119.63878816233</v>
      </c>
      <c r="AV313" s="796">
        <v>7</v>
      </c>
      <c r="AW313" s="791">
        <f t="shared" si="223"/>
        <v>8.9140179299103509E-5</v>
      </c>
      <c r="AX313" s="795">
        <f t="shared" si="224"/>
        <v>5610.619269559902</v>
      </c>
      <c r="AY313" s="786">
        <f t="shared" si="225"/>
        <v>169976.79984820218</v>
      </c>
      <c r="AZ313" s="787">
        <f t="shared" si="198"/>
        <v>21.128253554779636</v>
      </c>
      <c r="BA313" s="797">
        <f t="shared" si="202"/>
        <v>1519701.5088250411</v>
      </c>
      <c r="BB313" s="775">
        <v>1023461</v>
      </c>
      <c r="BC313" s="775">
        <f t="shared" si="226"/>
        <v>0</v>
      </c>
      <c r="BD313" s="775">
        <f t="shared" si="227"/>
        <v>496240.50882504112</v>
      </c>
      <c r="BE313" s="798">
        <f t="shared" si="228"/>
        <v>7.7215071442530807E-4</v>
      </c>
      <c r="BF313" s="775">
        <f t="shared" si="229"/>
        <v>-1022.2365072136407</v>
      </c>
      <c r="BG313" s="797">
        <f t="shared" si="230"/>
        <v>1518679.2723178274</v>
      </c>
      <c r="BH313" s="799">
        <v>6.9</v>
      </c>
      <c r="BI313" s="692">
        <f t="shared" si="239"/>
        <v>0</v>
      </c>
      <c r="BJ313" s="800">
        <v>1300</v>
      </c>
      <c r="BK313" s="778">
        <f t="shared" si="231"/>
        <v>0</v>
      </c>
      <c r="BL313" s="786">
        <f t="shared" si="238"/>
        <v>1518679.2723178274</v>
      </c>
      <c r="BM313" s="692">
        <f t="shared" si="232"/>
        <v>1518679.2723178274</v>
      </c>
      <c r="BN313" s="801">
        <f t="shared" si="233"/>
        <v>7.4204977482528374E-4</v>
      </c>
      <c r="BO313" s="787">
        <f t="shared" si="234"/>
        <v>3667.8268194866678</v>
      </c>
      <c r="BP313" s="802">
        <f t="shared" si="235"/>
        <v>1522347</v>
      </c>
      <c r="BQ313" s="803">
        <f t="shared" si="199"/>
        <v>189.22896208825358</v>
      </c>
      <c r="BR313" s="682"/>
      <c r="BS313" s="618"/>
    </row>
    <row r="314" spans="1:71" ht="15.75">
      <c r="A314" s="766" t="s">
        <v>4043</v>
      </c>
      <c r="B314" s="767" t="s">
        <v>4044</v>
      </c>
      <c r="C314" s="768">
        <v>24209</v>
      </c>
      <c r="D314" s="769">
        <v>0</v>
      </c>
      <c r="E314" s="770">
        <v>0</v>
      </c>
      <c r="F314" s="771">
        <v>0</v>
      </c>
      <c r="G314" s="770">
        <v>0</v>
      </c>
      <c r="H314" s="771">
        <v>0</v>
      </c>
      <c r="I314" s="770">
        <f t="shared" si="236"/>
        <v>0</v>
      </c>
      <c r="J314" s="772">
        <f t="shared" si="203"/>
        <v>0</v>
      </c>
      <c r="K314" s="773">
        <v>7783</v>
      </c>
      <c r="L314" s="774">
        <f t="shared" si="204"/>
        <v>2.8089167859755544E-3</v>
      </c>
      <c r="M314" s="775">
        <f t="shared" si="237"/>
        <v>235730.02686931193</v>
      </c>
      <c r="N314" s="806">
        <v>1509</v>
      </c>
      <c r="O314" s="777">
        <f t="shared" si="205"/>
        <v>1.7161046585019964E-3</v>
      </c>
      <c r="P314" s="778">
        <f t="shared" si="206"/>
        <v>144019.00379499089</v>
      </c>
      <c r="Q314" s="786">
        <f t="shared" si="192"/>
        <v>379749.03066430282</v>
      </c>
      <c r="R314" s="692">
        <f t="shared" si="193"/>
        <v>15.68627496651257</v>
      </c>
      <c r="S314" s="807">
        <v>81686905.25999999</v>
      </c>
      <c r="T314" s="782">
        <f t="shared" si="200"/>
        <v>7.1746588897521431</v>
      </c>
      <c r="U314" s="777">
        <f t="shared" si="207"/>
        <v>3.8999487361768095E-3</v>
      </c>
      <c r="V314" s="783">
        <f t="shared" si="194"/>
        <v>3374.2370713371056</v>
      </c>
      <c r="W314" s="778">
        <f t="shared" si="208"/>
        <v>1554635.3557180534</v>
      </c>
      <c r="X314" s="784">
        <v>22958992.2544</v>
      </c>
      <c r="Y314" s="782">
        <f t="shared" si="201"/>
        <v>25.527064711983641</v>
      </c>
      <c r="Z314" s="782">
        <f t="shared" si="209"/>
        <v>3.941418276637047E-3</v>
      </c>
      <c r="AA314" s="783">
        <f t="shared" si="195"/>
        <v>948.36599010285431</v>
      </c>
      <c r="AB314" s="692">
        <f t="shared" si="210"/>
        <v>926161.2143522629</v>
      </c>
      <c r="AC314" s="786">
        <f t="shared" si="211"/>
        <v>2480796.5700703161</v>
      </c>
      <c r="AD314" s="787">
        <f t="shared" si="196"/>
        <v>102.4741447424642</v>
      </c>
      <c r="AE314" s="788">
        <v>4718.0676999999996</v>
      </c>
      <c r="AF314" s="774">
        <f t="shared" si="212"/>
        <v>4.9072398117264463E-3</v>
      </c>
      <c r="AG314" s="692">
        <f t="shared" si="213"/>
        <v>617738.363653949</v>
      </c>
      <c r="AH314" s="786">
        <f t="shared" si="214"/>
        <v>617738.363653949</v>
      </c>
      <c r="AI314" s="692">
        <f t="shared" si="197"/>
        <v>25.516888911311867</v>
      </c>
      <c r="AJ314" s="789">
        <v>2380</v>
      </c>
      <c r="AK314" s="777">
        <f t="shared" si="215"/>
        <v>3.1636904049789573E-3</v>
      </c>
      <c r="AL314" s="692">
        <f t="shared" si="216"/>
        <v>66375.838178565056</v>
      </c>
      <c r="AM314" s="790">
        <v>7</v>
      </c>
      <c r="AN314" s="791">
        <f t="shared" si="217"/>
        <v>1.0108303249097468E-3</v>
      </c>
      <c r="AO314" s="778">
        <f t="shared" si="218"/>
        <v>63623.207220216573</v>
      </c>
      <c r="AP314" s="768">
        <v>194</v>
      </c>
      <c r="AQ314" s="792">
        <f t="shared" si="219"/>
        <v>2.6221531391498278E-3</v>
      </c>
      <c r="AR314" s="793">
        <f t="shared" si="220"/>
        <v>220056.44062985742</v>
      </c>
      <c r="AS314" s="810">
        <v>22.416666666666668</v>
      </c>
      <c r="AT314" s="791">
        <f t="shared" si="221"/>
        <v>8.9901909997827602E-4</v>
      </c>
      <c r="AU314" s="795">
        <f t="shared" si="222"/>
        <v>75447.516869140876</v>
      </c>
      <c r="AV314" s="796">
        <v>306</v>
      </c>
      <c r="AW314" s="791">
        <f t="shared" si="223"/>
        <v>3.8966992665036677E-3</v>
      </c>
      <c r="AX314" s="795">
        <f t="shared" si="224"/>
        <v>245264.21378361859</v>
      </c>
      <c r="AY314" s="786">
        <f t="shared" si="225"/>
        <v>670767.21668139845</v>
      </c>
      <c r="AZ314" s="787">
        <f t="shared" si="198"/>
        <v>27.70734919581141</v>
      </c>
      <c r="BA314" s="797">
        <f t="shared" si="202"/>
        <v>4149051.1810699664</v>
      </c>
      <c r="BB314" s="775">
        <v>3192834</v>
      </c>
      <c r="BC314" s="775">
        <f t="shared" si="226"/>
        <v>0</v>
      </c>
      <c r="BD314" s="775">
        <f t="shared" si="227"/>
        <v>956217.18106996641</v>
      </c>
      <c r="BE314" s="798">
        <f t="shared" si="228"/>
        <v>1.4878748638580928E-3</v>
      </c>
      <c r="BF314" s="775">
        <f t="shared" si="229"/>
        <v>-1969.7708952238415</v>
      </c>
      <c r="BG314" s="797">
        <f t="shared" si="230"/>
        <v>4147081.4101747423</v>
      </c>
      <c r="BH314" s="799">
        <v>7.5</v>
      </c>
      <c r="BI314" s="692">
        <f t="shared" si="239"/>
        <v>0</v>
      </c>
      <c r="BJ314" s="800">
        <v>1950</v>
      </c>
      <c r="BK314" s="778">
        <f t="shared" si="231"/>
        <v>0</v>
      </c>
      <c r="BL314" s="786">
        <f t="shared" si="238"/>
        <v>4147081.4101747423</v>
      </c>
      <c r="BM314" s="692">
        <f t="shared" si="232"/>
        <v>4147081.4101747423</v>
      </c>
      <c r="BN314" s="801">
        <f t="shared" si="233"/>
        <v>2.0263270084048828E-3</v>
      </c>
      <c r="BO314" s="787">
        <f t="shared" si="234"/>
        <v>10015.792469214801</v>
      </c>
      <c r="BP314" s="802">
        <f t="shared" si="235"/>
        <v>4157097</v>
      </c>
      <c r="BQ314" s="803">
        <f t="shared" si="199"/>
        <v>171.71700607212193</v>
      </c>
      <c r="BR314" s="682"/>
      <c r="BS314" s="618"/>
    </row>
    <row r="315" spans="1:71" ht="15.75">
      <c r="A315" s="805" t="s">
        <v>4045</v>
      </c>
      <c r="B315" s="767" t="s">
        <v>4046</v>
      </c>
      <c r="C315" s="768">
        <v>18643</v>
      </c>
      <c r="D315" s="769">
        <v>0</v>
      </c>
      <c r="E315" s="770">
        <v>0</v>
      </c>
      <c r="F315" s="771">
        <v>0</v>
      </c>
      <c r="G315" s="770">
        <v>0</v>
      </c>
      <c r="H315" s="771">
        <v>0</v>
      </c>
      <c r="I315" s="770">
        <f t="shared" si="236"/>
        <v>0</v>
      </c>
      <c r="J315" s="772">
        <f t="shared" si="203"/>
        <v>0</v>
      </c>
      <c r="K315" s="773">
        <v>14029</v>
      </c>
      <c r="L315" s="774">
        <f t="shared" si="204"/>
        <v>5.0631239355584034E-3</v>
      </c>
      <c r="M315" s="775">
        <f t="shared" si="237"/>
        <v>424907.68944488978</v>
      </c>
      <c r="N315" s="806">
        <v>151</v>
      </c>
      <c r="O315" s="777">
        <f t="shared" si="205"/>
        <v>1.7172419047965638E-4</v>
      </c>
      <c r="P315" s="778">
        <f t="shared" si="206"/>
        <v>14411.444382401341</v>
      </c>
      <c r="Q315" s="786">
        <f t="shared" si="192"/>
        <v>439319.13382729114</v>
      </c>
      <c r="R315" s="692">
        <f t="shared" si="193"/>
        <v>23.564830436479706</v>
      </c>
      <c r="S315" s="807">
        <v>76351923.120000005</v>
      </c>
      <c r="T315" s="782">
        <f t="shared" si="200"/>
        <v>4.5520981633134268</v>
      </c>
      <c r="U315" s="777">
        <f t="shared" si="207"/>
        <v>2.4743963095338558E-3</v>
      </c>
      <c r="V315" s="783">
        <f t="shared" si="194"/>
        <v>4095.4740717695654</v>
      </c>
      <c r="W315" s="778">
        <f t="shared" si="208"/>
        <v>986367.83380662499</v>
      </c>
      <c r="X315" s="784">
        <v>36303189.9256</v>
      </c>
      <c r="Y315" s="782">
        <f t="shared" si="201"/>
        <v>9.5738542456543012</v>
      </c>
      <c r="Z315" s="782">
        <f t="shared" si="209"/>
        <v>1.4782179043079176E-3</v>
      </c>
      <c r="AA315" s="783">
        <f t="shared" si="195"/>
        <v>1947.2826221959986</v>
      </c>
      <c r="AB315" s="692">
        <f t="shared" si="210"/>
        <v>347354.17386332667</v>
      </c>
      <c r="AC315" s="786">
        <f t="shared" si="211"/>
        <v>1333722.0076699518</v>
      </c>
      <c r="AD315" s="787">
        <f t="shared" si="196"/>
        <v>71.540095889607457</v>
      </c>
      <c r="AE315" s="788">
        <v>723.04819999999995</v>
      </c>
      <c r="AF315" s="774">
        <f t="shared" si="212"/>
        <v>7.5203899953303892E-4</v>
      </c>
      <c r="AG315" s="692">
        <f t="shared" si="213"/>
        <v>94668.970500557509</v>
      </c>
      <c r="AH315" s="786">
        <f t="shared" si="214"/>
        <v>94668.970500557509</v>
      </c>
      <c r="AI315" s="692">
        <f t="shared" si="197"/>
        <v>5.0779901571934509</v>
      </c>
      <c r="AJ315" s="789">
        <v>1562</v>
      </c>
      <c r="AK315" s="777">
        <f t="shared" si="215"/>
        <v>2.0763379884777863E-3</v>
      </c>
      <c r="AL315" s="692">
        <f t="shared" si="216"/>
        <v>43562.629930638082</v>
      </c>
      <c r="AM315" s="790">
        <v>11.333333333333334</v>
      </c>
      <c r="AN315" s="791">
        <f t="shared" si="217"/>
        <v>1.6365824308062567E-3</v>
      </c>
      <c r="AO315" s="778">
        <f t="shared" si="218"/>
        <v>103009.00216606494</v>
      </c>
      <c r="AP315" s="768">
        <v>242</v>
      </c>
      <c r="AQ315" s="792">
        <f t="shared" si="219"/>
        <v>3.2709332972899914E-3</v>
      </c>
      <c r="AR315" s="793">
        <f t="shared" si="220"/>
        <v>274503.39501250256</v>
      </c>
      <c r="AS315" s="810">
        <v>72.055555555555543</v>
      </c>
      <c r="AT315" s="791">
        <f t="shared" si="221"/>
        <v>2.8897838232263291E-3</v>
      </c>
      <c r="AU315" s="795">
        <f t="shared" si="222"/>
        <v>242516.55360415293</v>
      </c>
      <c r="AV315" s="796">
        <v>203</v>
      </c>
      <c r="AW315" s="791">
        <f t="shared" si="223"/>
        <v>2.5850651996740018E-3</v>
      </c>
      <c r="AX315" s="795">
        <f t="shared" si="224"/>
        <v>162707.95881723717</v>
      </c>
      <c r="AY315" s="786">
        <f t="shared" si="225"/>
        <v>826299.53953059565</v>
      </c>
      <c r="AZ315" s="787">
        <f t="shared" si="198"/>
        <v>44.322241030445511</v>
      </c>
      <c r="BA315" s="797">
        <f t="shared" si="202"/>
        <v>2694009.6515283962</v>
      </c>
      <c r="BB315" s="775">
        <v>2176055</v>
      </c>
      <c r="BC315" s="775">
        <f t="shared" si="226"/>
        <v>0</v>
      </c>
      <c r="BD315" s="775">
        <f t="shared" si="227"/>
        <v>517954.65152839618</v>
      </c>
      <c r="BE315" s="798">
        <f t="shared" si="228"/>
        <v>8.0593794159309273E-4</v>
      </c>
      <c r="BF315" s="775">
        <f t="shared" si="229"/>
        <v>-1066.9668123771037</v>
      </c>
      <c r="BG315" s="797">
        <f t="shared" si="230"/>
        <v>2692942.6847160188</v>
      </c>
      <c r="BH315" s="799">
        <v>1</v>
      </c>
      <c r="BI315" s="692">
        <f t="shared" si="239"/>
        <v>-538588.53694320377</v>
      </c>
      <c r="BJ315" s="800">
        <v>1200</v>
      </c>
      <c r="BK315" s="778">
        <f t="shared" si="231"/>
        <v>0</v>
      </c>
      <c r="BL315" s="786">
        <f t="shared" si="238"/>
        <v>2154354.1477728151</v>
      </c>
      <c r="BM315" s="692">
        <f t="shared" si="232"/>
        <v>0</v>
      </c>
      <c r="BN315" s="801">
        <f t="shared" si="233"/>
        <v>0</v>
      </c>
      <c r="BO315" s="787">
        <f t="shared" si="234"/>
        <v>0</v>
      </c>
      <c r="BP315" s="802">
        <f t="shared" si="235"/>
        <v>2154354</v>
      </c>
      <c r="BQ315" s="803">
        <f t="shared" si="199"/>
        <v>115.55833288633804</v>
      </c>
      <c r="BR315" s="682"/>
      <c r="BS315" s="618"/>
    </row>
    <row r="316" spans="1:71">
      <c r="D316" s="618"/>
      <c r="E316" s="618"/>
      <c r="F316" s="618"/>
      <c r="G316" s="618"/>
      <c r="H316" s="618"/>
      <c r="I316" s="618"/>
      <c r="M316" s="618"/>
      <c r="P316" s="618"/>
      <c r="W316" s="618"/>
      <c r="AB316" s="618"/>
      <c r="AC316" s="618"/>
      <c r="AG316" s="618"/>
      <c r="AL316" s="618"/>
      <c r="AO316" s="618"/>
      <c r="AR316" s="618"/>
      <c r="AU316" s="618"/>
      <c r="AX316" s="618"/>
      <c r="BF316" s="618"/>
      <c r="BG316" s="618"/>
      <c r="BL316" s="618"/>
      <c r="BM316" s="618"/>
    </row>
    <row r="318" spans="1:71">
      <c r="Q318" s="618"/>
      <c r="AC318" s="618"/>
      <c r="BG318" s="618"/>
      <c r="BO318" s="618"/>
    </row>
    <row r="319" spans="1:71">
      <c r="I319" s="618"/>
      <c r="P319" s="618"/>
      <c r="Q319" s="618"/>
      <c r="AC319" s="618"/>
      <c r="BG319" s="618"/>
      <c r="BO319" s="618"/>
    </row>
    <row r="320" spans="1:71">
      <c r="P320" s="618"/>
    </row>
  </sheetData>
  <mergeCells count="22">
    <mergeCell ref="BQ4:BQ6"/>
    <mergeCell ref="BA1:BM1"/>
    <mergeCell ref="BN1:BQ1"/>
    <mergeCell ref="A1:I1"/>
    <mergeCell ref="R5:R6"/>
    <mergeCell ref="N1:Z1"/>
    <mergeCell ref="AA1:AM1"/>
    <mergeCell ref="AN1:AZ1"/>
    <mergeCell ref="AD5:AD6"/>
    <mergeCell ref="AI5:AI6"/>
    <mergeCell ref="AZ5:AZ6"/>
    <mergeCell ref="D4:J4"/>
    <mergeCell ref="K4:R4"/>
    <mergeCell ref="S4:AD4"/>
    <mergeCell ref="AE4:AI4"/>
    <mergeCell ref="AJ4:AZ4"/>
    <mergeCell ref="J5:J6"/>
    <mergeCell ref="BB4:BF4"/>
    <mergeCell ref="BG4:BG6"/>
    <mergeCell ref="BH4:BO4"/>
    <mergeCell ref="BP4:BP6"/>
    <mergeCell ref="BA4:BA6"/>
  </mergeCells>
  <conditionalFormatting sqref="BH7:BH315">
    <cfRule type="cellIs" dxfId="3" priority="2" stopIfTrue="1" operator="lessThan">
      <formula>#REF!</formula>
    </cfRule>
  </conditionalFormatting>
  <conditionalFormatting sqref="BJ8:BJ315">
    <cfRule type="cellIs" dxfId="2" priority="1" stopIfTrue="1" operator="lessThan">
      <formula>#REF!</formula>
    </cfRule>
  </conditionalFormatting>
  <hyperlinks>
    <hyperlink ref="A1:I1" location="FINANCIËN!A1" display="GEMEENTEFONDS" xr:uid="{00000000-0004-0000-2D00-000000000000}"/>
  </hyperlinks>
  <pageMargins left="0.75" right="0.75" top="1" bottom="1" header="0.5" footer="0.5"/>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E0C816"/>
  </sheetPr>
  <dimension ref="A1:T20"/>
  <sheetViews>
    <sheetView workbookViewId="0">
      <selection sqref="A1:Q1"/>
    </sheetView>
  </sheetViews>
  <sheetFormatPr defaultRowHeight="15"/>
  <cols>
    <col min="1" max="1" width="14" customWidth="1"/>
    <col min="2" max="3" width="6.42578125" bestFit="1" customWidth="1"/>
    <col min="4" max="11" width="7.42578125" bestFit="1" customWidth="1"/>
    <col min="12" max="12" width="6.42578125" bestFit="1" customWidth="1"/>
    <col min="13" max="13" width="7.42578125" bestFit="1" customWidth="1"/>
    <col min="14" max="14" width="6.42578125" bestFit="1" customWidth="1"/>
    <col min="15" max="15" width="7" bestFit="1" customWidth="1"/>
    <col min="16" max="16" width="8" bestFit="1" customWidth="1"/>
  </cols>
  <sheetData>
    <row r="1" spans="1:20" ht="21" customHeight="1">
      <c r="A1" s="4881" t="s">
        <v>790</v>
      </c>
      <c r="B1" s="4758"/>
      <c r="C1" s="4758"/>
      <c r="D1" s="4758"/>
      <c r="E1" s="4758"/>
      <c r="F1" s="4758"/>
      <c r="G1" s="4758"/>
      <c r="H1" s="4758"/>
      <c r="I1" s="4758"/>
      <c r="J1" s="4758"/>
      <c r="K1" s="4758"/>
      <c r="L1" s="4758"/>
      <c r="M1" s="4758"/>
      <c r="N1" s="4758"/>
      <c r="O1" s="4758"/>
      <c r="P1" s="4758"/>
      <c r="Q1" s="4758"/>
      <c r="R1" s="377"/>
    </row>
    <row r="2" spans="1:20" ht="18">
      <c r="A2" s="378"/>
      <c r="B2" s="377"/>
      <c r="C2" s="377"/>
      <c r="D2" s="377"/>
      <c r="E2" s="377"/>
      <c r="F2" s="377"/>
      <c r="G2" s="377"/>
      <c r="H2" s="377"/>
      <c r="I2" s="377"/>
      <c r="J2" s="377"/>
      <c r="K2" s="377"/>
      <c r="L2" s="377"/>
      <c r="M2" s="377"/>
      <c r="N2" s="377"/>
      <c r="O2" s="377"/>
      <c r="P2" s="377"/>
      <c r="Q2" s="377"/>
      <c r="R2" s="377"/>
    </row>
    <row r="3" spans="1:20" ht="15.75" thickBot="1">
      <c r="A3" s="377"/>
      <c r="B3" s="377"/>
      <c r="C3" s="377"/>
      <c r="D3" s="377"/>
      <c r="E3" s="377"/>
      <c r="F3" s="377"/>
      <c r="G3" s="377"/>
      <c r="H3" s="377"/>
      <c r="I3" s="377"/>
      <c r="J3" s="377"/>
      <c r="K3" s="377"/>
      <c r="L3" s="377"/>
      <c r="M3" s="377"/>
      <c r="N3" s="377"/>
      <c r="O3" s="377"/>
      <c r="P3" s="377"/>
      <c r="Q3" s="377"/>
      <c r="R3" s="377"/>
    </row>
    <row r="4" spans="1:20" s="408" customFormat="1" ht="27" customHeight="1" thickBot="1">
      <c r="A4" s="402"/>
      <c r="B4" s="407">
        <v>2005</v>
      </c>
      <c r="C4" s="407">
        <v>2006</v>
      </c>
      <c r="D4" s="407">
        <v>2007</v>
      </c>
      <c r="E4" s="407">
        <v>2008</v>
      </c>
      <c r="F4" s="407">
        <v>2009</v>
      </c>
      <c r="G4" s="404">
        <v>2010</v>
      </c>
      <c r="H4" s="407">
        <v>2011</v>
      </c>
      <c r="I4" s="407">
        <v>2012</v>
      </c>
      <c r="J4" s="407">
        <v>2013</v>
      </c>
      <c r="K4" s="407">
        <v>2014</v>
      </c>
      <c r="L4" s="407">
        <v>2015</v>
      </c>
      <c r="M4" s="407">
        <v>2016</v>
      </c>
      <c r="N4" s="407">
        <v>2017</v>
      </c>
      <c r="O4" s="407">
        <v>2018</v>
      </c>
      <c r="P4" s="407">
        <v>2019</v>
      </c>
      <c r="Q4" s="407">
        <v>2020</v>
      </c>
      <c r="R4" s="407">
        <v>2021</v>
      </c>
      <c r="S4" s="407">
        <v>2022</v>
      </c>
      <c r="T4" s="406">
        <v>2023</v>
      </c>
    </row>
    <row r="5" spans="1:20" s="379" customFormat="1">
      <c r="A5" s="381" t="s">
        <v>780</v>
      </c>
      <c r="B5" s="382">
        <v>0.1</v>
      </c>
      <c r="C5" s="382">
        <v>1</v>
      </c>
      <c r="D5" s="382">
        <v>1.0611999999999999</v>
      </c>
      <c r="E5" s="382">
        <v>1.1852</v>
      </c>
      <c r="F5" s="382">
        <f>1.4*0.873</f>
        <v>1.2222</v>
      </c>
      <c r="G5" s="383">
        <f>1.4*0.873</f>
        <v>1.2222</v>
      </c>
      <c r="H5" s="382">
        <v>1.2555000000000001</v>
      </c>
      <c r="I5" s="384">
        <f>1.4*0.9313</f>
        <v>1.30382</v>
      </c>
      <c r="J5" s="384">
        <f>1.4*0.9523</f>
        <v>1.3332200000000001</v>
      </c>
      <c r="K5" s="384">
        <f>1.4*0.96</f>
        <v>1.3439999999999999</v>
      </c>
      <c r="L5" s="384">
        <f>1.2*1.2088</f>
        <v>1.4505600000000001</v>
      </c>
      <c r="M5" s="385">
        <f>1.4*0.9309</f>
        <v>1.3032599999999999</v>
      </c>
      <c r="N5" s="384">
        <f>1.4*0.9474</f>
        <v>1.32636</v>
      </c>
      <c r="O5" s="382">
        <v>1.3537999999999999</v>
      </c>
      <c r="P5" s="382">
        <f>0.9939*1.4</f>
        <v>1.3914599999999999</v>
      </c>
      <c r="Q5" s="382">
        <v>1.4038999999999999</v>
      </c>
      <c r="R5" s="382">
        <f>1.0025*1.4</f>
        <v>1.4034999999999997</v>
      </c>
      <c r="S5" s="382">
        <v>1.4832000000000001</v>
      </c>
      <c r="T5" s="386">
        <v>1.6407</v>
      </c>
    </row>
    <row r="6" spans="1:20" s="379" customFormat="1">
      <c r="A6" s="388" t="s">
        <v>781</v>
      </c>
      <c r="B6" s="387"/>
      <c r="C6" s="387"/>
      <c r="D6" s="387"/>
      <c r="E6" s="387"/>
      <c r="F6" s="387"/>
      <c r="G6" s="389"/>
      <c r="H6" s="387"/>
      <c r="I6" s="390"/>
      <c r="J6" s="390"/>
      <c r="K6" s="390"/>
      <c r="L6" s="391"/>
      <c r="M6" s="391">
        <f>1.4*1.0547</f>
        <v>1.4765799999999998</v>
      </c>
      <c r="N6" s="390">
        <v>1.5027999999999999</v>
      </c>
      <c r="O6" s="387">
        <v>1.5338000000000001</v>
      </c>
      <c r="P6" s="387">
        <v>1.5760000000000001</v>
      </c>
      <c r="Q6" s="390">
        <v>1.5905</v>
      </c>
      <c r="R6" s="390">
        <f>Q6</f>
        <v>1.5905</v>
      </c>
      <c r="S6" s="390">
        <v>1.6802999999999999</v>
      </c>
      <c r="T6" s="1613">
        <v>1.8586</v>
      </c>
    </row>
    <row r="7" spans="1:20" s="379" customFormat="1">
      <c r="A7" s="388" t="s">
        <v>782</v>
      </c>
      <c r="B7" s="387"/>
      <c r="C7" s="387"/>
      <c r="D7" s="387"/>
      <c r="E7" s="387"/>
      <c r="F7" s="387"/>
      <c r="G7" s="389"/>
      <c r="H7" s="387"/>
      <c r="I7" s="390"/>
      <c r="J7" s="390"/>
      <c r="K7" s="390"/>
      <c r="L7" s="391"/>
      <c r="M7" s="391">
        <f>1.4*1.8618</f>
        <v>2.6065199999999997</v>
      </c>
      <c r="N7" s="390">
        <v>2.6526999999999998</v>
      </c>
      <c r="O7" s="387">
        <v>2.7075999999999998</v>
      </c>
      <c r="P7" s="387">
        <f>1.9878*1.4</f>
        <v>2.7829199999999998</v>
      </c>
      <c r="Q7" s="390">
        <v>2.8077999999999999</v>
      </c>
      <c r="R7" s="390">
        <f>Q7</f>
        <v>2.8077999999999999</v>
      </c>
      <c r="S7" s="390">
        <v>2.9662999999999999</v>
      </c>
      <c r="T7" s="1613">
        <v>3.2812999999999999</v>
      </c>
    </row>
    <row r="8" spans="1:20" s="379" customFormat="1" ht="15.75" thickBot="1">
      <c r="A8" s="574"/>
      <c r="B8" s="1614"/>
      <c r="C8" s="1614"/>
      <c r="D8" s="1615">
        <f>(D5-C5)/D5</f>
        <v>5.7670561628345197E-2</v>
      </c>
      <c r="E8" s="1615">
        <f t="shared" ref="E8:K8" si="0">(E5-D5)/E5</f>
        <v>0.10462369220384754</v>
      </c>
      <c r="F8" s="1615">
        <f t="shared" si="0"/>
        <v>3.0273277695958046E-2</v>
      </c>
      <c r="G8" s="1615">
        <f t="shared" si="0"/>
        <v>0</v>
      </c>
      <c r="H8" s="1615">
        <f>(H5-G5)/H5</f>
        <v>2.6523297491039512E-2</v>
      </c>
      <c r="I8" s="1615">
        <f t="shared" si="0"/>
        <v>3.7060330413707349E-2</v>
      </c>
      <c r="J8" s="1615">
        <f t="shared" si="0"/>
        <v>2.2051874409324861E-2</v>
      </c>
      <c r="K8" s="1615">
        <f t="shared" si="0"/>
        <v>8.0208333333331785E-3</v>
      </c>
      <c r="L8" s="1615">
        <f>(L5-K5)/L5</f>
        <v>7.3461283917935286E-2</v>
      </c>
      <c r="M8" s="1616"/>
      <c r="N8" s="1616"/>
      <c r="O8" s="1614"/>
      <c r="P8" s="1615">
        <f t="shared" ref="P8:S8" si="1">(P5-O5)/P5</f>
        <v>2.7065097092262826E-2</v>
      </c>
      <c r="Q8" s="1615">
        <f t="shared" si="1"/>
        <v>8.8610299878908814E-3</v>
      </c>
      <c r="R8" s="1615">
        <f t="shared" si="1"/>
        <v>-2.8500178126125974E-4</v>
      </c>
      <c r="S8" s="1615">
        <f t="shared" si="1"/>
        <v>5.3735167206041212E-2</v>
      </c>
      <c r="T8" s="3906">
        <f>(T5-S5)/T5</f>
        <v>9.5995611629182645E-2</v>
      </c>
    </row>
    <row r="9" spans="1:20" s="379" customFormat="1">
      <c r="A9" s="388" t="s">
        <v>783</v>
      </c>
      <c r="B9" s="396"/>
      <c r="C9" s="396">
        <v>7694.17</v>
      </c>
      <c r="D9" s="397"/>
      <c r="E9" s="396">
        <v>251643</v>
      </c>
      <c r="F9" s="396">
        <v>279264.65999999997</v>
      </c>
      <c r="G9" s="396">
        <v>291247.26</v>
      </c>
      <c r="H9" s="396">
        <v>264308.99</v>
      </c>
      <c r="I9" s="396">
        <v>300860.95</v>
      </c>
      <c r="J9" s="396">
        <v>280921.27</v>
      </c>
      <c r="K9" s="396">
        <v>321052.55</v>
      </c>
      <c r="L9" s="397"/>
      <c r="M9" s="1024">
        <v>330214</v>
      </c>
    </row>
    <row r="10" spans="1:20" s="379" customFormat="1">
      <c r="A10" s="388" t="s">
        <v>784</v>
      </c>
      <c r="B10" s="396"/>
      <c r="C10" s="396">
        <v>7936.45</v>
      </c>
      <c r="D10" s="396">
        <v>192039.15</v>
      </c>
      <c r="E10" s="396">
        <v>111241</v>
      </c>
      <c r="F10" s="396">
        <v>121508.95</v>
      </c>
      <c r="G10" s="396">
        <v>125821.65</v>
      </c>
      <c r="H10" s="396">
        <v>129109.07</v>
      </c>
      <c r="I10" s="396">
        <v>124790.8</v>
      </c>
      <c r="J10" s="396">
        <v>137376.78</v>
      </c>
      <c r="K10" s="396">
        <v>120873.88</v>
      </c>
      <c r="L10" s="397"/>
      <c r="M10" s="1024">
        <v>205153</v>
      </c>
    </row>
    <row r="11" spans="1:20" s="379" customFormat="1">
      <c r="A11" s="388" t="s">
        <v>785</v>
      </c>
      <c r="B11" s="396"/>
      <c r="C11" s="396">
        <v>10051.549999999999</v>
      </c>
      <c r="D11" s="396">
        <v>126833.12999999999</v>
      </c>
      <c r="E11" s="396">
        <v>132371</v>
      </c>
      <c r="F11" s="396">
        <v>141960</v>
      </c>
      <c r="G11" s="396">
        <v>134139.57999999999</v>
      </c>
      <c r="H11" s="396">
        <v>111806.69</v>
      </c>
      <c r="I11" s="396">
        <v>132615.46</v>
      </c>
      <c r="J11" s="396">
        <v>127904.97</v>
      </c>
      <c r="K11" s="396">
        <v>150714.51</v>
      </c>
      <c r="L11" s="397"/>
      <c r="M11" s="1024">
        <v>188903</v>
      </c>
    </row>
    <row r="12" spans="1:20" s="379" customFormat="1" ht="15.75" thickBot="1">
      <c r="A12" s="574" t="s">
        <v>605</v>
      </c>
      <c r="B12" s="1039">
        <v>66708.479999999996</v>
      </c>
      <c r="C12" s="1039">
        <v>4758.17</v>
      </c>
      <c r="D12" s="1039">
        <v>135748.60999999999</v>
      </c>
      <c r="E12" s="1039">
        <v>140655</v>
      </c>
      <c r="F12" s="1039">
        <v>138146.95000000001</v>
      </c>
      <c r="G12" s="1039">
        <v>102557.6</v>
      </c>
      <c r="H12" s="1039">
        <v>79321.94</v>
      </c>
      <c r="I12" s="1039">
        <v>116251.6</v>
      </c>
      <c r="J12" s="1039">
        <v>126757.38</v>
      </c>
      <c r="K12" s="1039">
        <v>120026.88</v>
      </c>
      <c r="L12" s="1617"/>
      <c r="M12" s="1040">
        <v>181996.59960000002</v>
      </c>
    </row>
    <row r="13" spans="1:20" s="379" customFormat="1" ht="15.75" thickBot="1">
      <c r="A13" s="576" t="s">
        <v>8</v>
      </c>
      <c r="B13" s="401">
        <f>SUM(B9:B12)</f>
        <v>66708.479999999996</v>
      </c>
      <c r="C13" s="401">
        <f t="shared" ref="C13:K13" si="2">SUM(C9:C12)</f>
        <v>30440.339999999997</v>
      </c>
      <c r="D13" s="401">
        <f t="shared" si="2"/>
        <v>454620.88999999996</v>
      </c>
      <c r="E13" s="401">
        <f t="shared" si="2"/>
        <v>635910</v>
      </c>
      <c r="F13" s="401">
        <f t="shared" si="2"/>
        <v>680880.56</v>
      </c>
      <c r="G13" s="401">
        <f t="shared" si="2"/>
        <v>653766.09</v>
      </c>
      <c r="H13" s="401">
        <f t="shared" si="2"/>
        <v>584546.68999999994</v>
      </c>
      <c r="I13" s="401">
        <f t="shared" si="2"/>
        <v>674518.80999999994</v>
      </c>
      <c r="J13" s="401">
        <f t="shared" si="2"/>
        <v>672960.4</v>
      </c>
      <c r="K13" s="401">
        <f t="shared" si="2"/>
        <v>712667.82</v>
      </c>
      <c r="L13" s="401"/>
      <c r="M13" s="4345">
        <f>SUM(M9:M12)</f>
        <v>906266.59960000007</v>
      </c>
      <c r="O13" s="405"/>
    </row>
    <row r="14" spans="1:20" s="379" customFormat="1" ht="15.75" thickBot="1">
      <c r="A14" s="1618" t="s">
        <v>786</v>
      </c>
      <c r="B14" s="1206"/>
      <c r="C14" s="1206"/>
      <c r="D14" s="401">
        <f>(D13-29409.94-6.7)*0.04</f>
        <v>17008.169999999998</v>
      </c>
      <c r="E14" s="401">
        <f>E13*0.04</f>
        <v>25436.400000000001</v>
      </c>
      <c r="F14" s="401">
        <f>F13*0.04</f>
        <v>27235.222400000002</v>
      </c>
      <c r="G14" s="401">
        <f>G13*0.04</f>
        <v>26150.643599999999</v>
      </c>
      <c r="H14" s="401">
        <f>H13*0.04</f>
        <v>23381.867599999998</v>
      </c>
      <c r="I14" s="401">
        <f>I13*0.04</f>
        <v>26980.752399999998</v>
      </c>
      <c r="J14" s="401">
        <f>J13*0.045</f>
        <v>30283.218000000001</v>
      </c>
      <c r="K14" s="401">
        <f>K13*0.045</f>
        <v>32070.051899999995</v>
      </c>
      <c r="L14" s="401"/>
      <c r="M14" s="4345">
        <f>M13*0.04</f>
        <v>36250.663984000006</v>
      </c>
    </row>
    <row r="15" spans="1:20" s="379" customFormat="1" ht="15.75" thickBot="1">
      <c r="A15" s="3907" t="s">
        <v>600</v>
      </c>
      <c r="B15" s="3908">
        <v>66708.479999999996</v>
      </c>
      <c r="C15" s="3908">
        <v>30440.339999999997</v>
      </c>
      <c r="D15" s="3908">
        <f>D13-D14</f>
        <v>437612.72</v>
      </c>
      <c r="E15" s="3908">
        <f t="shared" ref="E15:M15" si="3">E13-E14</f>
        <v>610473.6</v>
      </c>
      <c r="F15" s="3908">
        <f t="shared" si="3"/>
        <v>653645.33760000009</v>
      </c>
      <c r="G15" s="3908">
        <f t="shared" si="3"/>
        <v>627615.44640000002</v>
      </c>
      <c r="H15" s="3908">
        <f t="shared" si="3"/>
        <v>561164.82239999995</v>
      </c>
      <c r="I15" s="3908">
        <f t="shared" si="3"/>
        <v>647538.05759999994</v>
      </c>
      <c r="J15" s="3908">
        <f t="shared" si="3"/>
        <v>642677.18200000003</v>
      </c>
      <c r="K15" s="3908">
        <f t="shared" si="3"/>
        <v>680597.76809999999</v>
      </c>
      <c r="L15" s="3908">
        <f t="shared" si="3"/>
        <v>0</v>
      </c>
      <c r="M15" s="4346">
        <f t="shared" si="3"/>
        <v>870015.93561600009</v>
      </c>
    </row>
    <row r="18" spans="1:1">
      <c r="A18" s="377" t="s">
        <v>787</v>
      </c>
    </row>
    <row r="19" spans="1:1">
      <c r="A19" s="377" t="s">
        <v>788</v>
      </c>
    </row>
    <row r="20" spans="1:1">
      <c r="A20" s="377" t="s">
        <v>789</v>
      </c>
    </row>
  </sheetData>
  <mergeCells count="1">
    <mergeCell ref="A1:Q1"/>
  </mergeCells>
  <hyperlinks>
    <hyperlink ref="A1" location="GLOBAAL!A1" display="Gemeentelijke SaneringsBijdrage/Vergoeding  (GSB/GSV)" xr:uid="{00000000-0004-0000-2E00-000000000000}"/>
    <hyperlink ref="A1:N1" location="FINANCIËN!A1" display="Gemeentelijke SaneringsVergoeding  (GSV)" xr:uid="{00000000-0004-0000-2E00-000001000000}"/>
  </hyperlinks>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E0C816"/>
  </sheetPr>
  <dimension ref="A1:AE64"/>
  <sheetViews>
    <sheetView zoomScale="110" zoomScaleNormal="110" workbookViewId="0">
      <selection sqref="A1:V1"/>
    </sheetView>
  </sheetViews>
  <sheetFormatPr defaultColWidth="9.140625" defaultRowHeight="15"/>
  <cols>
    <col min="1" max="1" width="22.5703125" style="37" customWidth="1"/>
    <col min="2" max="2" width="9.140625" style="34"/>
    <col min="3" max="12" width="0" style="34" hidden="1" customWidth="1"/>
    <col min="13" max="16384" width="9.140625" style="34"/>
  </cols>
  <sheetData>
    <row r="1" spans="1:31" ht="23.25">
      <c r="A1" s="4882" t="s">
        <v>791</v>
      </c>
      <c r="B1" s="4883"/>
      <c r="C1" s="4883"/>
      <c r="D1" s="4883"/>
      <c r="E1" s="4883"/>
      <c r="F1" s="4883"/>
      <c r="G1" s="4883"/>
      <c r="H1" s="4883"/>
      <c r="I1" s="4883"/>
      <c r="J1" s="4883"/>
      <c r="K1" s="4883"/>
      <c r="L1" s="4883"/>
      <c r="M1" s="4883"/>
      <c r="N1" s="4883"/>
      <c r="O1" s="4883"/>
      <c r="P1" s="4883"/>
      <c r="Q1" s="4883"/>
      <c r="R1" s="4883"/>
      <c r="S1" s="4883"/>
      <c r="T1" s="4883"/>
      <c r="U1" s="4883"/>
      <c r="V1" s="4883"/>
      <c r="W1" s="334"/>
      <c r="X1" s="334"/>
      <c r="Y1" s="334"/>
      <c r="Z1" s="334"/>
      <c r="AA1" s="334"/>
      <c r="AB1" s="334"/>
      <c r="AC1" s="334"/>
      <c r="AD1" s="334"/>
    </row>
    <row r="3" spans="1:31" ht="15.75" thickBot="1">
      <c r="A3" s="61"/>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row>
    <row r="4" spans="1:31" ht="27" customHeight="1">
      <c r="A4" s="410" t="s">
        <v>726</v>
      </c>
      <c r="B4" s="553">
        <v>1992</v>
      </c>
      <c r="C4" s="553">
        <v>1993</v>
      </c>
      <c r="D4" s="553">
        <v>1994</v>
      </c>
      <c r="E4" s="553">
        <v>1995</v>
      </c>
      <c r="F4" s="553">
        <v>1996</v>
      </c>
      <c r="G4" s="553">
        <v>1997</v>
      </c>
      <c r="H4" s="553">
        <v>1998</v>
      </c>
      <c r="I4" s="553">
        <v>1999</v>
      </c>
      <c r="J4" s="553">
        <v>2000</v>
      </c>
      <c r="K4" s="553">
        <v>2001</v>
      </c>
      <c r="L4" s="553">
        <v>2002</v>
      </c>
      <c r="M4" s="553">
        <v>2003</v>
      </c>
      <c r="N4" s="553">
        <v>2004</v>
      </c>
      <c r="O4" s="553">
        <v>2005</v>
      </c>
      <c r="P4" s="553">
        <v>2006</v>
      </c>
      <c r="Q4" s="553">
        <v>2007</v>
      </c>
      <c r="R4" s="553">
        <v>2008</v>
      </c>
      <c r="S4" s="553">
        <v>2009</v>
      </c>
      <c r="T4" s="553">
        <v>2010</v>
      </c>
      <c r="U4" s="553">
        <v>2011</v>
      </c>
      <c r="V4" s="553">
        <v>2012</v>
      </c>
      <c r="W4" s="553">
        <v>2013</v>
      </c>
      <c r="X4" s="553">
        <v>2014</v>
      </c>
      <c r="Y4" s="553">
        <v>2015</v>
      </c>
      <c r="Z4" s="553">
        <v>2016</v>
      </c>
      <c r="AA4" s="553">
        <v>2017</v>
      </c>
      <c r="AB4" s="553">
        <v>2018</v>
      </c>
      <c r="AC4" s="553">
        <v>2019</v>
      </c>
      <c r="AD4" s="553">
        <v>2020</v>
      </c>
      <c r="AE4" s="553">
        <v>2021</v>
      </c>
    </row>
    <row r="5" spans="1:31">
      <c r="A5" s="4329" t="s">
        <v>792</v>
      </c>
      <c r="B5" s="4330">
        <f>201072910/40.3399</f>
        <v>4984467.2396312337</v>
      </c>
      <c r="C5" s="4330">
        <f>209238940/40.3399</f>
        <v>5186897.8356416356</v>
      </c>
      <c r="D5" s="4330">
        <f>215944085/40.3399</f>
        <v>5353114.0384582011</v>
      </c>
      <c r="E5" s="4330">
        <f>221455620/40.3399</f>
        <v>5489741.4222643087</v>
      </c>
      <c r="F5" s="4330">
        <f>251087150/40.3399</f>
        <v>6224287.8638767079</v>
      </c>
      <c r="G5" s="4330">
        <f>238816250/40.3399</f>
        <v>5920100.1985627133</v>
      </c>
      <c r="H5" s="4330">
        <f>250755350/40.3399</f>
        <v>6216062.756724732</v>
      </c>
      <c r="I5" s="4330">
        <f>253241900/40.3399</f>
        <v>6277702.7211272214</v>
      </c>
      <c r="J5" s="4330">
        <f>255974520/40.3399</f>
        <v>6345442.6014938066</v>
      </c>
      <c r="K5" s="4330">
        <v>6501242</v>
      </c>
      <c r="L5" s="4330">
        <v>6584198</v>
      </c>
      <c r="M5" s="4330">
        <v>6686332</v>
      </c>
      <c r="N5" s="4330">
        <v>6750257</v>
      </c>
      <c r="O5" s="4330">
        <v>6832974</v>
      </c>
      <c r="P5" s="4330">
        <v>6982350</v>
      </c>
      <c r="Q5" s="4330">
        <v>7109450</v>
      </c>
      <c r="R5" s="4330">
        <v>7234803</v>
      </c>
      <c r="S5" s="4330">
        <v>7335701</v>
      </c>
      <c r="T5" s="4330">
        <v>7470230</v>
      </c>
      <c r="U5" s="4330">
        <v>7534614</v>
      </c>
      <c r="V5" s="4330">
        <v>7699074</v>
      </c>
      <c r="W5" s="4330">
        <v>7788528</v>
      </c>
      <c r="X5" s="4330">
        <v>7951650</v>
      </c>
      <c r="Y5" s="4330">
        <v>8139612</v>
      </c>
      <c r="Z5" s="4330">
        <v>8265417</v>
      </c>
      <c r="AA5" s="4330">
        <v>8376818</v>
      </c>
      <c r="AB5" s="4330">
        <v>8547309</v>
      </c>
      <c r="AC5" s="4330">
        <v>8591946</v>
      </c>
      <c r="AD5" s="4330">
        <v>8794281</v>
      </c>
      <c r="AE5" s="4331">
        <v>8978820</v>
      </c>
    </row>
    <row r="6" spans="1:31">
      <c r="A6" s="4332"/>
      <c r="B6" s="567"/>
      <c r="C6" s="568">
        <f>(C5-B5)/C5</f>
        <v>3.902729577964794E-2</v>
      </c>
      <c r="D6" s="568">
        <f t="shared" ref="D6:AE6" si="0">(D5-C5)/D5</f>
        <v>3.1050375841505322E-2</v>
      </c>
      <c r="E6" s="568">
        <f t="shared" si="0"/>
        <v>2.4887763065123383E-2</v>
      </c>
      <c r="F6" s="568">
        <f t="shared" si="0"/>
        <v>0.11801292897705049</v>
      </c>
      <c r="G6" s="568">
        <f t="shared" si="0"/>
        <v>-5.1382181907638227E-2</v>
      </c>
      <c r="H6" s="568">
        <f t="shared" si="0"/>
        <v>4.7612543461186436E-2</v>
      </c>
      <c r="I6" s="568">
        <f t="shared" si="0"/>
        <v>9.8188727852696594E-3</v>
      </c>
      <c r="J6" s="568">
        <f t="shared" si="0"/>
        <v>1.0675359406866007E-2</v>
      </c>
      <c r="K6" s="568">
        <f t="shared" si="0"/>
        <v>2.3964559157495357E-2</v>
      </c>
      <c r="L6" s="568">
        <f t="shared" si="0"/>
        <v>1.2599256583717562E-2</v>
      </c>
      <c r="M6" s="568">
        <f t="shared" si="0"/>
        <v>1.5275041682046299E-2</v>
      </c>
      <c r="N6" s="568">
        <f t="shared" si="0"/>
        <v>9.4700098085154383E-3</v>
      </c>
      <c r="O6" s="568">
        <f t="shared" si="0"/>
        <v>1.2105563404748797E-2</v>
      </c>
      <c r="P6" s="568">
        <f t="shared" si="0"/>
        <v>2.1393370426862016E-2</v>
      </c>
      <c r="Q6" s="568">
        <f t="shared" si="0"/>
        <v>1.7877613598801596E-2</v>
      </c>
      <c r="R6" s="568">
        <f t="shared" si="0"/>
        <v>1.7326387463487258E-2</v>
      </c>
      <c r="S6" s="568">
        <f t="shared" si="0"/>
        <v>1.3754377393516993E-2</v>
      </c>
      <c r="T6" s="568">
        <f t="shared" si="0"/>
        <v>1.8008682463592152E-2</v>
      </c>
      <c r="U6" s="568">
        <f t="shared" si="0"/>
        <v>8.5450960062453101E-3</v>
      </c>
      <c r="V6" s="568">
        <f t="shared" si="0"/>
        <v>2.1361010428007317E-2</v>
      </c>
      <c r="W6" s="568">
        <f t="shared" si="0"/>
        <v>1.1485353843499054E-2</v>
      </c>
      <c r="X6" s="568">
        <f t="shared" si="0"/>
        <v>2.0514232895059516E-2</v>
      </c>
      <c r="Y6" s="568">
        <f t="shared" si="0"/>
        <v>2.3092255503087862E-2</v>
      </c>
      <c r="Z6" s="568">
        <f t="shared" si="0"/>
        <v>1.5220647669682001E-2</v>
      </c>
      <c r="AA6" s="568">
        <f t="shared" si="0"/>
        <v>1.3298725124504317E-2</v>
      </c>
      <c r="AB6" s="568">
        <f t="shared" si="0"/>
        <v>1.9946745812044468E-2</v>
      </c>
      <c r="AC6" s="3809">
        <f t="shared" si="0"/>
        <v>5.1952142157318032E-3</v>
      </c>
      <c r="AD6" s="3809">
        <f t="shared" si="0"/>
        <v>2.3007565939728331E-2</v>
      </c>
      <c r="AE6" s="4333">
        <f t="shared" si="0"/>
        <v>2.0552700688954675E-2</v>
      </c>
    </row>
    <row r="7" spans="1:31">
      <c r="A7" s="4332" t="s">
        <v>793</v>
      </c>
      <c r="B7" s="567">
        <f>25072790/40.3399</f>
        <v>621538.22889992292</v>
      </c>
      <c r="C7" s="567">
        <f>24977970/40.3399</f>
        <v>619187.70249802305</v>
      </c>
      <c r="D7" s="567">
        <f>24830500/40.3399</f>
        <v>615532.01668819203</v>
      </c>
      <c r="E7" s="567">
        <f>24899730/40.3399</f>
        <v>617248.18356019724</v>
      </c>
      <c r="F7" s="567">
        <f>24894790/40.3399</f>
        <v>617125.72415895923</v>
      </c>
      <c r="G7" s="567">
        <f>24929710/40.3399</f>
        <v>617991.36834746739</v>
      </c>
      <c r="H7" s="567">
        <f>24850040/40.3399</f>
        <v>616016.40063559904</v>
      </c>
      <c r="I7" s="567">
        <f>24866800/40.3399</f>
        <v>616431.87018311897</v>
      </c>
      <c r="J7" s="567">
        <f>24834410/40.3399</f>
        <v>615628.9430563784</v>
      </c>
      <c r="K7" s="567">
        <v>621820</v>
      </c>
      <c r="L7" s="567">
        <v>621731</v>
      </c>
      <c r="M7" s="567">
        <v>611461</v>
      </c>
      <c r="N7" s="567">
        <v>611018</v>
      </c>
      <c r="O7" s="567">
        <v>613254</v>
      </c>
      <c r="P7" s="567">
        <v>610272</v>
      </c>
      <c r="Q7" s="567">
        <v>609296</v>
      </c>
      <c r="R7" s="567">
        <v>611623</v>
      </c>
      <c r="S7" s="567">
        <v>611785</v>
      </c>
      <c r="T7" s="567">
        <v>608835</v>
      </c>
      <c r="U7" s="567">
        <v>607375</v>
      </c>
      <c r="V7" s="567">
        <v>605044</v>
      </c>
      <c r="W7" s="567">
        <v>603920</v>
      </c>
      <c r="X7" s="567">
        <v>603875</v>
      </c>
      <c r="Y7" s="567">
        <v>603452</v>
      </c>
      <c r="Z7" s="567">
        <v>604636</v>
      </c>
      <c r="AA7" s="567">
        <v>602846</v>
      </c>
      <c r="AB7" s="567">
        <v>599545</v>
      </c>
      <c r="AC7" s="3811">
        <v>599953</v>
      </c>
      <c r="AD7" s="3811">
        <v>602051</v>
      </c>
      <c r="AE7" s="4334">
        <v>601254</v>
      </c>
    </row>
    <row r="8" spans="1:31">
      <c r="A8" s="4332" t="s">
        <v>794</v>
      </c>
      <c r="B8" s="567">
        <f>60300150/40.3399</f>
        <v>1494801.6727855052</v>
      </c>
      <c r="C8" s="567">
        <f>64189350/40.3399</f>
        <v>1591212.4224403135</v>
      </c>
      <c r="D8" s="567">
        <f>67450250/40.3399</f>
        <v>1672048.0219336192</v>
      </c>
      <c r="E8" s="567">
        <f>78795150/40.3399</f>
        <v>1953280.7468536114</v>
      </c>
      <c r="F8" s="567">
        <f>85094650/40.3399</f>
        <v>2109441.2727845134</v>
      </c>
      <c r="G8" s="567">
        <f>94498450/40.3399</f>
        <v>2342555.3856107723</v>
      </c>
      <c r="H8" s="567">
        <f>99390750/40.3399</f>
        <v>2463832.3347355844</v>
      </c>
      <c r="I8" s="567">
        <f>105594350/40.3399</f>
        <v>2617615.561763911</v>
      </c>
      <c r="J8" s="567">
        <f>107683250/40.3399</f>
        <v>2669398.0401537931</v>
      </c>
      <c r="K8" s="567">
        <v>2970836</v>
      </c>
      <c r="L8" s="567">
        <v>2899534</v>
      </c>
      <c r="M8" s="567">
        <v>2825297</v>
      </c>
      <c r="N8" s="567">
        <v>2920174</v>
      </c>
      <c r="O8" s="567">
        <v>2791875</v>
      </c>
      <c r="P8" s="567">
        <v>2597410</v>
      </c>
      <c r="Q8" s="567">
        <v>2011252</v>
      </c>
      <c r="R8" s="567">
        <v>2307846</v>
      </c>
      <c r="S8" s="567">
        <v>2378400</v>
      </c>
      <c r="T8" s="567">
        <v>2407771</v>
      </c>
      <c r="U8" s="567">
        <v>2359756</v>
      </c>
      <c r="V8" s="567">
        <v>2325424</v>
      </c>
      <c r="W8" s="567">
        <v>2006481</v>
      </c>
      <c r="X8" s="567">
        <v>1990445</v>
      </c>
      <c r="Y8" s="567">
        <v>1989848</v>
      </c>
      <c r="Z8" s="567">
        <v>2043053</v>
      </c>
      <c r="AA8" s="567">
        <v>2218142</v>
      </c>
      <c r="AB8" s="567">
        <v>2366456</v>
      </c>
      <c r="AC8" s="3811">
        <v>1106329</v>
      </c>
      <c r="AD8" s="3811">
        <v>2387272</v>
      </c>
      <c r="AE8" s="4334">
        <v>2393097</v>
      </c>
    </row>
    <row r="9" spans="1:31">
      <c r="A9" s="4332" t="s">
        <v>795</v>
      </c>
      <c r="B9" s="567">
        <f>(27868140+10246450)/40.3399</f>
        <v>944836.00603868626</v>
      </c>
      <c r="C9" s="567">
        <f>(28097550+10579600)/40.3399</f>
        <v>958781.50416832964</v>
      </c>
      <c r="D9" s="567">
        <f>(28591880+11718460)/40.3399</f>
        <v>999267.22674077027</v>
      </c>
      <c r="E9" s="567">
        <f>(28703440+11520460)/40.3399</f>
        <v>997124.43511263037</v>
      </c>
      <c r="F9" s="567">
        <f>(29048020+12750360)/40.3399</f>
        <v>1036154.7748011274</v>
      </c>
      <c r="G9" s="567">
        <f>(23206680+12841160)/40.3399</f>
        <v>893602.61180617695</v>
      </c>
      <c r="H9" s="567">
        <v>931291.84752565075</v>
      </c>
      <c r="I9" s="567">
        <f>(23892460+14424330)/40.3399</f>
        <v>949848.41310960113</v>
      </c>
      <c r="J9" s="567">
        <f>(24008710+15342560)/40.3399</f>
        <v>975492.50246034318</v>
      </c>
      <c r="K9" s="567">
        <f>595983+355281</f>
        <v>951264</v>
      </c>
      <c r="L9" s="567">
        <f>596766+356937</f>
        <v>953703</v>
      </c>
      <c r="M9" s="567">
        <f>384093+407820</f>
        <v>791913</v>
      </c>
      <c r="N9" s="567">
        <f>384471+432967</f>
        <v>817438</v>
      </c>
      <c r="O9" s="567">
        <f>406521+449188</f>
        <v>855709</v>
      </c>
      <c r="P9" s="567">
        <f>407743+451057</f>
        <v>858800</v>
      </c>
      <c r="Q9" s="567">
        <f>407778+452385</f>
        <v>860163</v>
      </c>
      <c r="R9" s="567">
        <f>496723+807781</f>
        <v>1304504</v>
      </c>
      <c r="S9" s="567">
        <f>495337+903307</f>
        <v>1398644</v>
      </c>
      <c r="T9" s="567">
        <f>491686+956240</f>
        <v>1447926</v>
      </c>
      <c r="U9" s="567">
        <f>494145+986194</f>
        <v>1480339</v>
      </c>
      <c r="V9" s="567">
        <f>541302+1124149</f>
        <v>1665451</v>
      </c>
      <c r="W9" s="567">
        <f>539558+1155036</f>
        <v>1694594</v>
      </c>
      <c r="X9" s="567">
        <f>1257041+526536</f>
        <v>1783577</v>
      </c>
      <c r="Y9" s="567">
        <f>477526+480418+841098</f>
        <v>1799042</v>
      </c>
      <c r="Z9" s="567">
        <f>480825+470555+905537</f>
        <v>1856917</v>
      </c>
      <c r="AA9" s="567">
        <f>464405+479965+1285221</f>
        <v>2229591</v>
      </c>
      <c r="AB9" s="567">
        <v>2421002</v>
      </c>
      <c r="AC9" s="3811">
        <f>482087+504542+534374</f>
        <v>1521003</v>
      </c>
      <c r="AD9" s="3811">
        <f>505681+502387+1502408</f>
        <v>2510476</v>
      </c>
      <c r="AE9" s="4334">
        <f>506712+502628+1520947</f>
        <v>2530287</v>
      </c>
    </row>
    <row r="10" spans="1:31">
      <c r="A10" s="4335" t="s">
        <v>7345</v>
      </c>
      <c r="B10" s="569"/>
      <c r="C10" s="569"/>
      <c r="D10" s="569"/>
      <c r="E10" s="569"/>
      <c r="F10" s="569"/>
      <c r="G10" s="569"/>
      <c r="H10" s="569"/>
      <c r="I10" s="569"/>
      <c r="J10" s="569"/>
      <c r="K10" s="569"/>
      <c r="L10" s="569"/>
      <c r="M10" s="569"/>
      <c r="N10" s="569"/>
      <c r="O10" s="569"/>
      <c r="P10" s="569"/>
      <c r="Q10" s="569"/>
      <c r="R10" s="569"/>
      <c r="S10" s="569"/>
      <c r="T10" s="569"/>
      <c r="U10" s="569"/>
      <c r="V10" s="569"/>
      <c r="W10" s="569"/>
      <c r="X10" s="569"/>
      <c r="Y10" s="569">
        <f>679763+832258+34906</f>
        <v>1546927</v>
      </c>
      <c r="Z10" s="569">
        <f>679763+832258+34906</f>
        <v>1546927</v>
      </c>
      <c r="AA10" s="569">
        <v>1285221</v>
      </c>
      <c r="AB10" s="569">
        <v>1436695</v>
      </c>
      <c r="AC10" s="3810">
        <f>34736+337275+525534</f>
        <v>897545</v>
      </c>
      <c r="AD10" s="3810">
        <f>34736+648282+1495900</f>
        <v>2178918</v>
      </c>
      <c r="AE10" s="4336">
        <f>34736+636943+1514439</f>
        <v>2186118</v>
      </c>
    </row>
    <row r="11" spans="1:31">
      <c r="A11" s="4335" t="s">
        <v>7346</v>
      </c>
      <c r="B11" s="569"/>
      <c r="C11" s="569"/>
      <c r="D11" s="569"/>
      <c r="E11" s="569"/>
      <c r="F11" s="569"/>
      <c r="G11" s="569"/>
      <c r="H11" s="569"/>
      <c r="I11" s="569"/>
      <c r="J11" s="569"/>
      <c r="K11" s="569"/>
      <c r="L11" s="569"/>
      <c r="M11" s="569"/>
      <c r="N11" s="569"/>
      <c r="O11" s="569"/>
      <c r="P11" s="569"/>
      <c r="Q11" s="569"/>
      <c r="R11" s="569"/>
      <c r="S11" s="569"/>
      <c r="T11" s="569"/>
      <c r="U11" s="569"/>
      <c r="V11" s="569"/>
      <c r="W11" s="569"/>
      <c r="X11" s="569"/>
      <c r="Y11" s="569">
        <f>436896+479620+6629</f>
        <v>923145</v>
      </c>
      <c r="Z11" s="569">
        <f>440236+470402+6629</f>
        <v>917267</v>
      </c>
      <c r="AA11" s="569">
        <f>424128+479816+6629</f>
        <v>910573</v>
      </c>
      <c r="AB11" s="569">
        <f>424572+511055+6629</f>
        <v>942256</v>
      </c>
      <c r="AC11" s="3810">
        <f>442385+504393+6629</f>
        <v>953407</v>
      </c>
      <c r="AD11" s="3810">
        <f>466000+502238+4297</f>
        <v>972535</v>
      </c>
      <c r="AE11" s="4336">
        <f>467329+502479+4297</f>
        <v>974105</v>
      </c>
    </row>
    <row r="12" spans="1:31">
      <c r="A12" s="4332" t="s">
        <v>796</v>
      </c>
      <c r="B12" s="567">
        <f>12864900/40.3399</f>
        <v>318912.54068552476</v>
      </c>
      <c r="C12" s="567">
        <f>11116600/40.3399</f>
        <v>275573.31574941933</v>
      </c>
      <c r="D12" s="567">
        <f>10123900/40.3399</f>
        <v>250964.92554517984</v>
      </c>
      <c r="E12" s="567">
        <f>19713600/40.3399</f>
        <v>488687.37899697322</v>
      </c>
      <c r="F12" s="567">
        <f>27161570/40.3399</f>
        <v>673317.73256750766</v>
      </c>
      <c r="G12" s="567">
        <f>37730170/40.3399</f>
        <v>935306.48315935337</v>
      </c>
      <c r="H12" s="567">
        <f>48830670/40.3399</f>
        <v>1210480.6903338877</v>
      </c>
      <c r="I12" s="567">
        <f>51458470/40.3399</f>
        <v>1275622.1507737997</v>
      </c>
      <c r="J12" s="567">
        <f>42175970/40.3399</f>
        <v>1045514.9864030401</v>
      </c>
      <c r="K12" s="567">
        <v>1222019</v>
      </c>
      <c r="L12" s="567">
        <v>956107</v>
      </c>
      <c r="M12" s="567">
        <v>805767</v>
      </c>
      <c r="N12" s="567">
        <v>910807</v>
      </c>
      <c r="O12" s="567">
        <v>974382</v>
      </c>
      <c r="P12" s="567">
        <v>858250</v>
      </c>
      <c r="Q12" s="567">
        <v>801667</v>
      </c>
      <c r="R12" s="567">
        <v>901292</v>
      </c>
      <c r="S12" s="567">
        <v>881287</v>
      </c>
      <c r="T12" s="567">
        <v>870438</v>
      </c>
      <c r="U12" s="567">
        <v>851284</v>
      </c>
      <c r="V12" s="567">
        <v>825169</v>
      </c>
      <c r="W12" s="567">
        <v>737619</v>
      </c>
      <c r="X12" s="567">
        <v>681500</v>
      </c>
      <c r="Y12" s="567">
        <v>679763</v>
      </c>
      <c r="Z12" s="567">
        <v>679763</v>
      </c>
      <c r="AA12" s="567">
        <v>679764</v>
      </c>
      <c r="AB12" s="567">
        <v>658205</v>
      </c>
      <c r="AC12" s="3811">
        <v>337275</v>
      </c>
      <c r="AD12" s="3811">
        <v>648282</v>
      </c>
      <c r="AE12" s="4334">
        <v>636943</v>
      </c>
    </row>
    <row r="13" spans="1:31">
      <c r="A13" s="4337" t="s">
        <v>797</v>
      </c>
      <c r="B13" s="4338">
        <f>54560/40.3399</f>
        <v>1352.5070711627941</v>
      </c>
      <c r="C13" s="4338">
        <f>57190/40.3399</f>
        <v>1417.7030681781562</v>
      </c>
      <c r="D13" s="4338">
        <f>56650/40.3399</f>
        <v>1404.3168178404012</v>
      </c>
      <c r="E13" s="4338">
        <f>62090/40.3399</f>
        <v>1539.1708953170435</v>
      </c>
      <c r="F13" s="4338">
        <f>62600/40.3399</f>
        <v>1551.8134650804786</v>
      </c>
      <c r="G13" s="4338">
        <f>54580/40.3399</f>
        <v>1353.0028582123407</v>
      </c>
      <c r="H13" s="4338">
        <f>50960/40.3399</f>
        <v>1263.2654022444281</v>
      </c>
      <c r="I13" s="4338">
        <f>52220/40.3399</f>
        <v>1294.4999863658561</v>
      </c>
      <c r="J13" s="4338">
        <f>54160/40.3399</f>
        <v>1342.5913301718647</v>
      </c>
      <c r="K13" s="4338">
        <v>1160</v>
      </c>
      <c r="L13" s="4338">
        <v>1089</v>
      </c>
      <c r="M13" s="4338">
        <v>1024</v>
      </c>
      <c r="N13" s="4338">
        <v>1045</v>
      </c>
      <c r="O13" s="4338">
        <v>1091</v>
      </c>
      <c r="P13" s="4338">
        <v>1065</v>
      </c>
      <c r="Q13" s="4338">
        <v>1026</v>
      </c>
      <c r="R13" s="4338">
        <v>967</v>
      </c>
      <c r="S13" s="4338">
        <v>958</v>
      </c>
      <c r="T13" s="4338">
        <v>886</v>
      </c>
      <c r="U13" s="4338">
        <v>957</v>
      </c>
      <c r="V13" s="4338">
        <v>955</v>
      </c>
      <c r="W13" s="4338">
        <v>893</v>
      </c>
      <c r="X13" s="4338">
        <v>854</v>
      </c>
      <c r="Y13" s="4338">
        <v>854</v>
      </c>
      <c r="Z13" s="4338">
        <v>854</v>
      </c>
      <c r="AA13" s="4338">
        <v>854</v>
      </c>
      <c r="AB13" s="4338">
        <v>854</v>
      </c>
      <c r="AC13" s="4339">
        <v>854</v>
      </c>
      <c r="AD13" s="4339">
        <v>854</v>
      </c>
      <c r="AE13" s="4340">
        <v>854</v>
      </c>
    </row>
    <row r="14" spans="1:31">
      <c r="A14" s="4326" t="s">
        <v>798</v>
      </c>
      <c r="B14" s="4327">
        <f>SUM(B5:B8)</f>
        <v>7100807.1413166616</v>
      </c>
      <c r="C14" s="4327">
        <f t="shared" ref="C14:AB14" si="1">SUM(C5:C8)</f>
        <v>7397297.9996072687</v>
      </c>
      <c r="D14" s="4327">
        <f t="shared" si="1"/>
        <v>7640694.108130388</v>
      </c>
      <c r="E14" s="4327">
        <f t="shared" si="1"/>
        <v>8060270.3775658803</v>
      </c>
      <c r="F14" s="4327">
        <f t="shared" si="1"/>
        <v>8950854.9788331091</v>
      </c>
      <c r="G14" s="4327">
        <f t="shared" si="1"/>
        <v>8880646.9011387713</v>
      </c>
      <c r="H14" s="4327">
        <f t="shared" si="1"/>
        <v>9295911.5397084579</v>
      </c>
      <c r="I14" s="4327">
        <f t="shared" si="1"/>
        <v>9511750.1628931239</v>
      </c>
      <c r="J14" s="4327">
        <f t="shared" si="1"/>
        <v>9630469.5953793377</v>
      </c>
      <c r="K14" s="4327">
        <f t="shared" si="1"/>
        <v>10093898.023964558</v>
      </c>
      <c r="L14" s="4327">
        <f t="shared" si="1"/>
        <v>10105463.012599256</v>
      </c>
      <c r="M14" s="4327">
        <f t="shared" si="1"/>
        <v>10123090.015275043</v>
      </c>
      <c r="N14" s="4327">
        <f t="shared" si="1"/>
        <v>10281449.00947001</v>
      </c>
      <c r="O14" s="4327">
        <f t="shared" si="1"/>
        <v>10238103.012105564</v>
      </c>
      <c r="P14" s="4327">
        <f t="shared" si="1"/>
        <v>10190032.02139337</v>
      </c>
      <c r="Q14" s="4327">
        <f t="shared" si="1"/>
        <v>9729998.0178776123</v>
      </c>
      <c r="R14" s="4327">
        <f t="shared" si="1"/>
        <v>10154272.017326389</v>
      </c>
      <c r="S14" s="4327">
        <f t="shared" si="1"/>
        <v>10325886.013754377</v>
      </c>
      <c r="T14" s="4327">
        <f t="shared" si="1"/>
        <v>10486836.018008683</v>
      </c>
      <c r="U14" s="4327">
        <f t="shared" si="1"/>
        <v>10501745.008545097</v>
      </c>
      <c r="V14" s="4327">
        <f t="shared" si="1"/>
        <v>10629542.02136101</v>
      </c>
      <c r="W14" s="4327">
        <f t="shared" si="1"/>
        <v>10398929.011485353</v>
      </c>
      <c r="X14" s="4327">
        <f t="shared" si="1"/>
        <v>10545970.020514233</v>
      </c>
      <c r="Y14" s="4327">
        <f t="shared" si="1"/>
        <v>10732912.023092255</v>
      </c>
      <c r="Z14" s="4327">
        <f t="shared" si="1"/>
        <v>10913106.015220648</v>
      </c>
      <c r="AA14" s="4327">
        <f t="shared" si="1"/>
        <v>11197806.013298724</v>
      </c>
      <c r="AB14" s="4327">
        <f t="shared" si="1"/>
        <v>11513310.019946747</v>
      </c>
      <c r="AC14" s="4327">
        <f>AC5+AC7+AC8</f>
        <v>10298228</v>
      </c>
      <c r="AD14" s="4327">
        <f>AD5+AD7+AD8</f>
        <v>11783604</v>
      </c>
      <c r="AE14" s="4328">
        <f>AE5+AE7+AE8</f>
        <v>11973171</v>
      </c>
    </row>
    <row r="15" spans="1:31">
      <c r="A15" s="3805"/>
      <c r="B15" s="3806"/>
      <c r="C15" s="3803">
        <f>(C14-B14)/C14</f>
        <v>4.0080967172925593E-2</v>
      </c>
      <c r="D15" s="3803">
        <f t="shared" ref="D15:AE15" si="2">(D14-C14)/D14</f>
        <v>3.1855235280800448E-2</v>
      </c>
      <c r="E15" s="3803">
        <f t="shared" si="2"/>
        <v>5.2054862899301411E-2</v>
      </c>
      <c r="F15" s="3803">
        <f t="shared" si="2"/>
        <v>9.9497154559343687E-2</v>
      </c>
      <c r="G15" s="3803">
        <f t="shared" si="2"/>
        <v>-7.9057391286816037E-3</v>
      </c>
      <c r="H15" s="3803">
        <f t="shared" si="2"/>
        <v>4.467175024158096E-2</v>
      </c>
      <c r="I15" s="3803">
        <f t="shared" si="2"/>
        <v>2.2691788523492493E-2</v>
      </c>
      <c r="J15" s="3803">
        <f t="shared" si="2"/>
        <v>1.2327481158673183E-2</v>
      </c>
      <c r="K15" s="3803">
        <f t="shared" si="2"/>
        <v>4.5911740685804982E-2</v>
      </c>
      <c r="L15" s="3803">
        <f t="shared" si="2"/>
        <v>1.144429366598951E-3</v>
      </c>
      <c r="M15" s="3803">
        <f t="shared" si="2"/>
        <v>1.7412670093013779E-3</v>
      </c>
      <c r="N15" s="3803">
        <f t="shared" si="2"/>
        <v>1.5402400386278898E-2</v>
      </c>
      <c r="O15" s="3803">
        <f t="shared" si="2"/>
        <v>-4.2337918765999998E-3</v>
      </c>
      <c r="P15" s="3803">
        <f t="shared" si="2"/>
        <v>-4.7174523702449185E-3</v>
      </c>
      <c r="Q15" s="3803">
        <f t="shared" si="2"/>
        <v>-4.7279968882882058E-2</v>
      </c>
      <c r="R15" s="3803">
        <f t="shared" si="2"/>
        <v>4.178280813482553E-2</v>
      </c>
      <c r="S15" s="3803">
        <f t="shared" si="2"/>
        <v>1.6619784123066424E-2</v>
      </c>
      <c r="T15" s="3803">
        <f t="shared" si="2"/>
        <v>1.5347813580560603E-2</v>
      </c>
      <c r="U15" s="3803">
        <f t="shared" si="2"/>
        <v>1.4196679241671633E-3</v>
      </c>
      <c r="V15" s="3803">
        <f t="shared" si="2"/>
        <v>1.2022814582142272E-2</v>
      </c>
      <c r="W15" s="3803">
        <f t="shared" si="2"/>
        <v>-2.2176611612691154E-2</v>
      </c>
      <c r="X15" s="3803">
        <f t="shared" si="2"/>
        <v>1.3942862415012825E-2</v>
      </c>
      <c r="Y15" s="3803">
        <f t="shared" si="2"/>
        <v>1.741764044797995E-2</v>
      </c>
      <c r="Z15" s="3803">
        <f t="shared" si="2"/>
        <v>1.6511705455538858E-2</v>
      </c>
      <c r="AA15" s="3803">
        <f t="shared" si="2"/>
        <v>2.542462315742576E-2</v>
      </c>
      <c r="AB15" s="3803">
        <f t="shared" si="2"/>
        <v>2.7403414491698194E-2</v>
      </c>
      <c r="AC15" s="3807">
        <f t="shared" si="2"/>
        <v>-0.11798942691371239</v>
      </c>
      <c r="AD15" s="3807">
        <f t="shared" si="2"/>
        <v>0.12605447365678615</v>
      </c>
      <c r="AE15" s="3808">
        <f t="shared" si="2"/>
        <v>1.5832647842413675E-2</v>
      </c>
    </row>
    <row r="16" spans="1:31">
      <c r="A16" s="4323" t="s">
        <v>799</v>
      </c>
      <c r="B16" s="4324">
        <v>5835706.0875212876</v>
      </c>
      <c r="C16" s="4324">
        <v>6161525.4375940459</v>
      </c>
      <c r="D16" s="4324">
        <v>6389057.6079762224</v>
      </c>
      <c r="E16" s="4324">
        <v>6572919.3676731968</v>
      </c>
      <c r="F16" s="4324">
        <v>7239830.5399864661</v>
      </c>
      <c r="G16" s="4324">
        <v>7050384.8546972107</v>
      </c>
      <c r="H16" s="4324">
        <v>7152875.6888341326</v>
      </c>
      <c r="I16" s="4324">
        <v>7284985.0892044846</v>
      </c>
      <c r="J16" s="4324">
        <v>7608119.5045104232</v>
      </c>
      <c r="K16" s="4324">
        <v>7919455</v>
      </c>
      <c r="L16" s="4324">
        <v>8194564</v>
      </c>
      <c r="M16" s="4324">
        <v>8524386</v>
      </c>
      <c r="N16" s="4324">
        <v>8552159</v>
      </c>
      <c r="O16" s="4324">
        <v>8406921</v>
      </c>
      <c r="P16" s="4324">
        <v>8471917</v>
      </c>
      <c r="Q16" s="4324">
        <v>8067142</v>
      </c>
      <c r="R16" s="4324">
        <v>7947509</v>
      </c>
      <c r="S16" s="4324">
        <v>8044997</v>
      </c>
      <c r="T16" s="4324">
        <v>8167586</v>
      </c>
      <c r="U16" s="4324">
        <v>8169165</v>
      </c>
      <c r="V16" s="4324">
        <v>8137967</v>
      </c>
      <c r="W16" s="4324">
        <v>7965823</v>
      </c>
      <c r="X16" s="4324">
        <v>8080039</v>
      </c>
      <c r="Y16" s="4324">
        <v>8254107</v>
      </c>
      <c r="Z16" s="4324">
        <v>8376426</v>
      </c>
      <c r="AA16" s="4324">
        <v>8288451</v>
      </c>
      <c r="AB16" s="4324">
        <v>8434103</v>
      </c>
      <c r="AC16" s="4324">
        <f>AC14-(AC9+AC12)</f>
        <v>8439950</v>
      </c>
      <c r="AD16" s="4324">
        <f>AD14-(AD9+AD12)</f>
        <v>8624846</v>
      </c>
      <c r="AE16" s="4325">
        <f>AE14-(AE9+AE12)</f>
        <v>8805941</v>
      </c>
    </row>
    <row r="17" spans="1:31">
      <c r="A17" s="3801"/>
      <c r="B17" s="3802"/>
      <c r="C17" s="3803">
        <f>(C16-B16)/C16</f>
        <v>5.2879656729938669E-2</v>
      </c>
      <c r="D17" s="3803">
        <f t="shared" ref="D17:AE17" si="3">(D16-C16)/D16</f>
        <v>3.561279054646823E-2</v>
      </c>
      <c r="E17" s="3803">
        <f t="shared" si="3"/>
        <v>2.7972617555791071E-2</v>
      </c>
      <c r="F17" s="3803">
        <f t="shared" si="3"/>
        <v>9.2116958902537502E-2</v>
      </c>
      <c r="G17" s="3803">
        <f t="shared" si="3"/>
        <v>-2.6870261580549049E-2</v>
      </c>
      <c r="H17" s="3803">
        <f t="shared" si="3"/>
        <v>1.4328619508502486E-2</v>
      </c>
      <c r="I17" s="3803">
        <f t="shared" si="3"/>
        <v>1.8134477799566538E-2</v>
      </c>
      <c r="J17" s="3803">
        <f t="shared" si="3"/>
        <v>4.2472310682603036E-2</v>
      </c>
      <c r="K17" s="3803">
        <f t="shared" si="3"/>
        <v>3.9312742542204841E-2</v>
      </c>
      <c r="L17" s="3803">
        <f t="shared" si="3"/>
        <v>3.3572133917069903E-2</v>
      </c>
      <c r="M17" s="3803">
        <f t="shared" si="3"/>
        <v>3.8691584355753011E-2</v>
      </c>
      <c r="N17" s="3803">
        <f t="shared" si="3"/>
        <v>3.2474840563651822E-3</v>
      </c>
      <c r="O17" s="3803">
        <f t="shared" si="3"/>
        <v>-1.7276003902023107E-2</v>
      </c>
      <c r="P17" s="3803">
        <f t="shared" si="3"/>
        <v>7.6719354072991982E-3</v>
      </c>
      <c r="Q17" s="3803">
        <f t="shared" si="3"/>
        <v>-5.0175762370366112E-2</v>
      </c>
      <c r="R17" s="3803">
        <f t="shared" si="3"/>
        <v>-1.505289267366668E-2</v>
      </c>
      <c r="S17" s="3803">
        <f t="shared" si="3"/>
        <v>1.2117841684714114E-2</v>
      </c>
      <c r="T17" s="3803">
        <f t="shared" si="3"/>
        <v>1.5009208351157858E-2</v>
      </c>
      <c r="U17" s="3803">
        <f t="shared" si="3"/>
        <v>1.9328780848471049E-4</v>
      </c>
      <c r="V17" s="3803">
        <f t="shared" si="3"/>
        <v>-3.8336355996528371E-3</v>
      </c>
      <c r="W17" s="3803">
        <f t="shared" si="3"/>
        <v>-2.1610321996860839E-2</v>
      </c>
      <c r="X17" s="3803">
        <f t="shared" si="3"/>
        <v>1.4135575335713108E-2</v>
      </c>
      <c r="Y17" s="3803">
        <f t="shared" si="3"/>
        <v>2.1088653200158416E-2</v>
      </c>
      <c r="Z17" s="3803">
        <f t="shared" si="3"/>
        <v>1.460276733776434E-2</v>
      </c>
      <c r="AA17" s="3803">
        <f t="shared" si="3"/>
        <v>-1.0614166627757105E-2</v>
      </c>
      <c r="AB17" s="3803">
        <f t="shared" si="3"/>
        <v>1.7269412052473156E-2</v>
      </c>
      <c r="AC17" s="3803">
        <f t="shared" si="3"/>
        <v>6.9277661597521309E-4</v>
      </c>
      <c r="AD17" s="3803">
        <f t="shared" si="3"/>
        <v>2.1437600161208676E-2</v>
      </c>
      <c r="AE17" s="3804">
        <f t="shared" si="3"/>
        <v>2.0565093497673902E-2</v>
      </c>
    </row>
    <row r="18" spans="1:31">
      <c r="A18" s="403" t="s">
        <v>800</v>
      </c>
      <c r="B18" s="360"/>
      <c r="C18" s="360"/>
      <c r="D18" s="360"/>
      <c r="E18" s="360"/>
      <c r="F18" s="360"/>
      <c r="G18" s="360"/>
      <c r="H18" s="360"/>
      <c r="I18" s="360"/>
      <c r="J18" s="360"/>
      <c r="K18" s="360"/>
      <c r="L18" s="360"/>
      <c r="M18" s="360"/>
      <c r="N18" s="360"/>
      <c r="O18" s="360"/>
      <c r="P18" s="360"/>
      <c r="Q18" s="360"/>
      <c r="R18" s="360"/>
      <c r="S18" s="360"/>
      <c r="T18" s="360"/>
      <c r="U18" s="360"/>
      <c r="V18" s="360"/>
      <c r="W18" s="360"/>
      <c r="X18" s="360"/>
      <c r="Y18" s="360"/>
      <c r="Z18" s="360"/>
      <c r="AA18" s="360"/>
      <c r="AB18" s="360"/>
      <c r="AC18" s="360"/>
      <c r="AD18" s="360"/>
    </row>
    <row r="20" spans="1:31">
      <c r="A20" s="42"/>
      <c r="B20" s="334"/>
      <c r="C20" s="334"/>
      <c r="D20" s="334"/>
      <c r="E20" s="334"/>
      <c r="F20" s="334"/>
      <c r="G20" s="334"/>
      <c r="H20" s="334"/>
      <c r="I20" s="334"/>
      <c r="J20" s="334"/>
      <c r="K20" s="334"/>
      <c r="L20" s="334"/>
      <c r="M20" s="334"/>
      <c r="N20" s="334"/>
      <c r="O20" s="334"/>
      <c r="P20" s="334"/>
      <c r="Q20" s="334"/>
      <c r="R20" s="334"/>
      <c r="S20" s="334"/>
      <c r="T20" s="334"/>
      <c r="U20" s="411"/>
      <c r="V20" s="334"/>
      <c r="W20" s="334"/>
      <c r="X20" s="334"/>
      <c r="Y20" s="334"/>
      <c r="Z20" s="334"/>
      <c r="AA20" s="334"/>
      <c r="AB20" s="334"/>
      <c r="AC20" s="334"/>
      <c r="AD20" s="334"/>
    </row>
    <row r="21" spans="1:31">
      <c r="A21" s="42"/>
      <c r="B21" s="334"/>
      <c r="C21" s="334"/>
      <c r="D21" s="334"/>
      <c r="E21" s="334"/>
      <c r="F21" s="334"/>
      <c r="G21" s="334"/>
      <c r="H21" s="334"/>
      <c r="I21" s="334"/>
      <c r="J21" s="334"/>
      <c r="K21" s="334"/>
      <c r="L21" s="334"/>
      <c r="M21" s="334"/>
      <c r="N21" s="334"/>
      <c r="O21" s="334"/>
      <c r="P21" s="334" t="s">
        <v>801</v>
      </c>
      <c r="Q21" s="334"/>
      <c r="R21" s="334"/>
      <c r="S21" s="334"/>
      <c r="T21" s="334"/>
      <c r="U21" s="334"/>
      <c r="V21" s="409" t="s">
        <v>806</v>
      </c>
      <c r="W21" s="368"/>
      <c r="X21" s="414">
        <f>X23+X28+X30</f>
        <v>7122813</v>
      </c>
      <c r="Y21" s="368" t="s">
        <v>807</v>
      </c>
      <c r="Z21" s="368"/>
      <c r="AA21" s="368"/>
      <c r="AB21" s="415">
        <v>1</v>
      </c>
      <c r="AC21" s="334"/>
      <c r="AD21" s="334"/>
    </row>
    <row r="22" spans="1:31">
      <c r="A22" s="42"/>
      <c r="B22" s="334"/>
      <c r="C22" s="334"/>
      <c r="D22" s="334"/>
      <c r="E22" s="334"/>
      <c r="F22" s="334"/>
      <c r="G22" s="334"/>
      <c r="H22" s="334"/>
      <c r="I22" s="334"/>
      <c r="J22" s="334"/>
      <c r="K22" s="334"/>
      <c r="L22" s="334"/>
      <c r="M22" s="334"/>
      <c r="N22" s="334"/>
      <c r="O22" s="334"/>
      <c r="P22" s="411">
        <f>M16-Q16</f>
        <v>457244</v>
      </c>
      <c r="Q22" s="334" t="s">
        <v>802</v>
      </c>
      <c r="R22" s="334"/>
      <c r="S22" s="334"/>
      <c r="T22" s="334"/>
      <c r="U22" s="334"/>
      <c r="W22" s="334"/>
      <c r="X22" s="411"/>
      <c r="Y22" s="334"/>
      <c r="Z22" s="334"/>
      <c r="AA22" s="334"/>
      <c r="AB22" s="334"/>
      <c r="AC22" s="334"/>
      <c r="AD22" s="334"/>
    </row>
    <row r="23" spans="1:31">
      <c r="A23" s="42"/>
      <c r="B23" s="334"/>
      <c r="C23" s="334"/>
      <c r="D23" s="334"/>
      <c r="E23" s="334"/>
      <c r="F23" s="334"/>
      <c r="G23" s="334"/>
      <c r="H23" s="334"/>
      <c r="I23" s="334"/>
      <c r="J23" s="334"/>
      <c r="K23" s="334"/>
      <c r="L23" s="334"/>
      <c r="M23" s="334"/>
      <c r="N23" s="334"/>
      <c r="O23" s="334"/>
      <c r="P23" s="411">
        <f>P22*0.48</f>
        <v>219477.12</v>
      </c>
      <c r="Q23" s="334" t="s">
        <v>803</v>
      </c>
      <c r="R23" s="334"/>
      <c r="S23" s="334"/>
      <c r="T23" s="334"/>
      <c r="U23" s="334"/>
      <c r="W23" s="334">
        <v>1</v>
      </c>
      <c r="X23" s="411">
        <v>583395</v>
      </c>
      <c r="Y23" s="334" t="s">
        <v>808</v>
      </c>
      <c r="Z23" s="334"/>
      <c r="AA23" s="334"/>
      <c r="AB23" s="412">
        <v>8.1905140567357301E-2</v>
      </c>
      <c r="AC23" s="334"/>
      <c r="AD23" s="334"/>
    </row>
    <row r="24" spans="1:31" ht="15.75" thickBot="1">
      <c r="A24" s="42"/>
      <c r="B24" s="334"/>
      <c r="C24" s="334"/>
      <c r="D24" s="334"/>
      <c r="E24" s="334"/>
      <c r="F24" s="334"/>
      <c r="G24" s="334"/>
      <c r="H24" s="334"/>
      <c r="I24" s="334"/>
      <c r="J24" s="334"/>
      <c r="K24" s="334"/>
      <c r="L24" s="334"/>
      <c r="M24" s="334"/>
      <c r="N24" s="334"/>
      <c r="O24" s="334"/>
      <c r="P24" s="413">
        <v>195576</v>
      </c>
      <c r="Q24" s="334" t="s">
        <v>804</v>
      </c>
      <c r="R24" s="334"/>
      <c r="S24" s="334"/>
      <c r="T24" s="334"/>
      <c r="U24" s="334"/>
      <c r="W24" s="334"/>
      <c r="X24" s="411"/>
      <c r="Y24" s="334"/>
      <c r="Z24" s="334"/>
      <c r="AA24" s="334"/>
      <c r="AB24" s="334"/>
      <c r="AC24" s="334"/>
      <c r="AD24" s="334"/>
    </row>
    <row r="25" spans="1:31">
      <c r="A25" s="42"/>
      <c r="B25" s="334"/>
      <c r="C25" s="334"/>
      <c r="D25" s="334"/>
      <c r="E25" s="334"/>
      <c r="F25" s="334"/>
      <c r="G25" s="334"/>
      <c r="H25" s="334"/>
      <c r="I25" s="334"/>
      <c r="J25" s="334"/>
      <c r="K25" s="334"/>
      <c r="L25" s="334"/>
      <c r="M25" s="334"/>
      <c r="N25" s="334"/>
      <c r="O25" s="334"/>
      <c r="P25" s="411">
        <f>P23-P24</f>
        <v>23901.119999999995</v>
      </c>
      <c r="Q25" s="334" t="s">
        <v>805</v>
      </c>
      <c r="R25" s="334"/>
      <c r="S25" s="334"/>
      <c r="T25" s="334"/>
      <c r="U25" s="334"/>
      <c r="W25" s="334">
        <v>3</v>
      </c>
      <c r="X25" s="411">
        <v>11866</v>
      </c>
      <c r="Y25" s="334" t="s">
        <v>809</v>
      </c>
      <c r="Z25" s="334"/>
      <c r="AA25" s="334"/>
      <c r="AB25" s="334"/>
      <c r="AC25" s="334"/>
      <c r="AD25" s="334"/>
    </row>
    <row r="26" spans="1:31">
      <c r="W26" s="334">
        <v>4</v>
      </c>
      <c r="X26" s="411">
        <v>1922338</v>
      </c>
      <c r="Y26" s="334" t="s">
        <v>810</v>
      </c>
      <c r="Z26" s="334"/>
      <c r="AA26" s="334"/>
      <c r="AB26" s="334"/>
    </row>
    <row r="27" spans="1:31">
      <c r="W27" s="334">
        <v>6</v>
      </c>
      <c r="X27" s="416">
        <v>5175</v>
      </c>
      <c r="Y27" s="334" t="s">
        <v>811</v>
      </c>
      <c r="Z27" s="334"/>
      <c r="AA27" s="334"/>
      <c r="AB27" s="334"/>
    </row>
    <row r="28" spans="1:31">
      <c r="W28" s="334"/>
      <c r="X28" s="411">
        <f>X25+X26+X27</f>
        <v>1939379</v>
      </c>
      <c r="Y28" s="334" t="s">
        <v>812</v>
      </c>
      <c r="Z28" s="334"/>
      <c r="AA28" s="334"/>
      <c r="AB28" s="412">
        <v>0.27227711860468612</v>
      </c>
    </row>
    <row r="29" spans="1:31">
      <c r="W29" s="334"/>
      <c r="X29" s="411"/>
      <c r="Y29" s="334"/>
      <c r="Z29" s="334"/>
      <c r="AA29" s="334"/>
      <c r="AB29" s="334"/>
    </row>
    <row r="30" spans="1:31">
      <c r="W30" s="334">
        <v>4</v>
      </c>
      <c r="X30" s="411">
        <v>4600039</v>
      </c>
      <c r="Y30" s="334" t="s">
        <v>813</v>
      </c>
      <c r="Z30" s="334"/>
      <c r="AA30" s="334"/>
      <c r="AB30" s="412">
        <v>0.64581774082795662</v>
      </c>
    </row>
    <row r="55" spans="1:7">
      <c r="A55" s="409" t="s">
        <v>806</v>
      </c>
      <c r="B55" s="368"/>
      <c r="C55" s="414">
        <f>C57+C62+C64</f>
        <v>7122813</v>
      </c>
      <c r="D55" s="368" t="s">
        <v>807</v>
      </c>
      <c r="E55" s="368"/>
      <c r="F55" s="368"/>
      <c r="G55" s="415">
        <v>1</v>
      </c>
    </row>
    <row r="56" spans="1:7">
      <c r="A56" s="34"/>
      <c r="B56" s="334"/>
      <c r="C56" s="411"/>
      <c r="D56" s="334"/>
      <c r="E56" s="334"/>
      <c r="F56" s="334"/>
      <c r="G56" s="334"/>
    </row>
    <row r="57" spans="1:7">
      <c r="A57" s="34"/>
      <c r="B57" s="334">
        <v>1</v>
      </c>
      <c r="C57" s="411">
        <v>583395</v>
      </c>
      <c r="D57" s="334" t="s">
        <v>808</v>
      </c>
      <c r="E57" s="334"/>
      <c r="F57" s="334"/>
      <c r="G57" s="412">
        <v>8.1905140567357301E-2</v>
      </c>
    </row>
    <row r="58" spans="1:7">
      <c r="A58" s="34"/>
      <c r="B58" s="334"/>
      <c r="C58" s="411"/>
      <c r="D58" s="334"/>
      <c r="E58" s="334"/>
      <c r="F58" s="334"/>
      <c r="G58" s="334"/>
    </row>
    <row r="59" spans="1:7">
      <c r="A59" s="34"/>
      <c r="B59" s="334">
        <v>3</v>
      </c>
      <c r="C59" s="411">
        <v>11866</v>
      </c>
      <c r="D59" s="334" t="s">
        <v>809</v>
      </c>
      <c r="E59" s="334"/>
      <c r="F59" s="334"/>
      <c r="G59" s="334"/>
    </row>
    <row r="60" spans="1:7">
      <c r="A60" s="34"/>
      <c r="B60" s="334">
        <v>4</v>
      </c>
      <c r="C60" s="411">
        <v>1922338</v>
      </c>
      <c r="D60" s="334" t="s">
        <v>810</v>
      </c>
      <c r="E60" s="334"/>
      <c r="F60" s="334"/>
      <c r="G60" s="334"/>
    </row>
    <row r="61" spans="1:7">
      <c r="A61" s="34"/>
      <c r="B61" s="334">
        <v>6</v>
      </c>
      <c r="C61" s="416">
        <v>5175</v>
      </c>
      <c r="D61" s="334" t="s">
        <v>811</v>
      </c>
      <c r="E61" s="334"/>
      <c r="F61" s="334"/>
      <c r="G61" s="334"/>
    </row>
    <row r="62" spans="1:7">
      <c r="A62" s="34"/>
      <c r="B62" s="334"/>
      <c r="C62" s="411">
        <f>C59+C60+C61</f>
        <v>1939379</v>
      </c>
      <c r="D62" s="334" t="s">
        <v>812</v>
      </c>
      <c r="E62" s="334"/>
      <c r="F62" s="334"/>
      <c r="G62" s="412">
        <v>0.27227711860468612</v>
      </c>
    </row>
    <row r="63" spans="1:7">
      <c r="A63" s="34"/>
      <c r="B63" s="334"/>
      <c r="C63" s="411"/>
      <c r="D63" s="334"/>
      <c r="E63" s="334"/>
      <c r="F63" s="334"/>
      <c r="G63" s="334"/>
    </row>
    <row r="64" spans="1:7">
      <c r="A64" s="34"/>
      <c r="B64" s="334">
        <v>4</v>
      </c>
      <c r="C64" s="411">
        <v>4600039</v>
      </c>
      <c r="D64" s="334" t="s">
        <v>813</v>
      </c>
      <c r="E64" s="334"/>
      <c r="F64" s="334"/>
      <c r="G64" s="412">
        <v>0.64581774082795662</v>
      </c>
    </row>
  </sheetData>
  <mergeCells count="1">
    <mergeCell ref="A1:V1"/>
  </mergeCells>
  <hyperlinks>
    <hyperlink ref="A1" location="GLOBAAL!A1" display="Kadastraal Inkomen" xr:uid="{00000000-0004-0000-2F00-000000000000}"/>
    <hyperlink ref="A1:M1" location="FINANCIËN!A1" display="Kadastraal Inkomen" xr:uid="{00000000-0004-0000-2F00-000001000000}"/>
  </hyperlinks>
  <pageMargins left="0.7" right="0.7" top="0.75" bottom="0.75" header="0.3" footer="0.3"/>
  <pageSetup paperSize="9" orientation="landscape" r:id="rId1"/>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E0C816"/>
    <pageSetUpPr fitToPage="1"/>
  </sheetPr>
  <dimension ref="A1:AI157"/>
  <sheetViews>
    <sheetView zoomScaleNormal="100" workbookViewId="0">
      <selection sqref="A1:W1"/>
    </sheetView>
  </sheetViews>
  <sheetFormatPr defaultColWidth="9.140625" defaultRowHeight="15"/>
  <cols>
    <col min="1" max="1" width="19.85546875" style="34" customWidth="1"/>
    <col min="2" max="2" width="19.28515625" style="34" customWidth="1"/>
    <col min="3" max="4" width="11.42578125" style="34" hidden="1" customWidth="1"/>
    <col min="5" max="5" width="14.42578125" style="34" hidden="1" customWidth="1"/>
    <col min="6" max="17" width="10" style="34" hidden="1" customWidth="1"/>
    <col min="18" max="18" width="9.42578125" style="34" hidden="1" customWidth="1"/>
    <col min="19" max="19" width="9.85546875" style="34" hidden="1" customWidth="1"/>
    <col min="20" max="24" width="10" style="34" bestFit="1" customWidth="1"/>
    <col min="25" max="25" width="10.5703125" style="34" bestFit="1" customWidth="1"/>
    <col min="26" max="26" width="10" style="34" bestFit="1" customWidth="1"/>
    <col min="27" max="27" width="9.85546875" style="34" bestFit="1" customWidth="1"/>
    <col min="28" max="28" width="10.85546875" style="34" bestFit="1" customWidth="1"/>
    <col min="29" max="29" width="10.28515625" style="34" bestFit="1" customWidth="1"/>
    <col min="30" max="30" width="10.42578125" style="34" bestFit="1" customWidth="1"/>
    <col min="31" max="16384" width="9.140625" style="34"/>
  </cols>
  <sheetData>
    <row r="1" spans="1:35" ht="21">
      <c r="A1" s="4758" t="s">
        <v>91</v>
      </c>
      <c r="B1" s="4758"/>
      <c r="C1" s="4758"/>
      <c r="D1" s="4758"/>
      <c r="E1" s="4758"/>
      <c r="F1" s="4758"/>
      <c r="G1" s="4758"/>
      <c r="H1" s="4758"/>
      <c r="I1" s="4758"/>
      <c r="J1" s="4758"/>
      <c r="K1" s="4758"/>
      <c r="L1" s="4758"/>
      <c r="M1" s="4758"/>
      <c r="N1" s="4758"/>
      <c r="O1" s="4758"/>
      <c r="P1" s="4758"/>
      <c r="Q1" s="4758"/>
      <c r="R1" s="4758"/>
      <c r="S1" s="4758"/>
      <c r="T1" s="4758"/>
      <c r="U1" s="4758"/>
      <c r="V1" s="4758"/>
      <c r="W1" s="4758"/>
      <c r="X1" s="334"/>
      <c r="Y1" s="334"/>
      <c r="Z1" s="334"/>
      <c r="AA1" s="334"/>
      <c r="AB1" s="334"/>
    </row>
    <row r="2" spans="1:35" s="37" customFormat="1" ht="15.75" thickBot="1">
      <c r="B2" s="42"/>
      <c r="C2" s="42"/>
      <c r="D2" s="42"/>
      <c r="E2" s="42"/>
      <c r="F2" s="42"/>
      <c r="G2" s="42"/>
      <c r="H2" s="42"/>
      <c r="I2" s="42"/>
      <c r="J2" s="42"/>
      <c r="K2" s="42"/>
      <c r="L2" s="42"/>
      <c r="M2" s="42"/>
      <c r="N2" s="228"/>
      <c r="O2" s="228"/>
      <c r="P2" s="228"/>
      <c r="Q2" s="228"/>
      <c r="R2" s="42"/>
      <c r="S2" s="42"/>
      <c r="T2" s="42"/>
      <c r="U2" s="42"/>
      <c r="V2" s="42"/>
      <c r="W2" s="42"/>
      <c r="X2" s="42"/>
      <c r="Y2" s="42"/>
      <c r="Z2" s="42"/>
      <c r="AA2" s="42"/>
      <c r="AB2" s="42"/>
    </row>
    <row r="3" spans="1:35" s="37" customFormat="1" ht="27.75" customHeight="1" thickBot="1">
      <c r="A3" s="4133" t="s">
        <v>7841</v>
      </c>
      <c r="B3" s="4130" t="s">
        <v>7840</v>
      </c>
      <c r="C3" s="3689" t="s">
        <v>904</v>
      </c>
      <c r="D3" s="3690" t="s">
        <v>905</v>
      </c>
      <c r="E3" s="3690" t="s">
        <v>906</v>
      </c>
      <c r="F3" s="3690" t="s">
        <v>907</v>
      </c>
      <c r="G3" s="3690" t="s">
        <v>908</v>
      </c>
      <c r="H3" s="3690" t="s">
        <v>909</v>
      </c>
      <c r="I3" s="3690" t="s">
        <v>910</v>
      </c>
      <c r="J3" s="3690" t="s">
        <v>911</v>
      </c>
      <c r="K3" s="3690" t="s">
        <v>912</v>
      </c>
      <c r="L3" s="3691" t="s">
        <v>913</v>
      </c>
      <c r="M3" s="3692" t="s">
        <v>914</v>
      </c>
      <c r="N3" s="4284" t="s">
        <v>915</v>
      </c>
      <c r="O3" s="4286" t="s">
        <v>916</v>
      </c>
      <c r="P3" s="4286" t="s">
        <v>917</v>
      </c>
      <c r="Q3" s="4286" t="s">
        <v>918</v>
      </c>
      <c r="R3" s="33" t="s">
        <v>656</v>
      </c>
      <c r="S3" s="33" t="s">
        <v>636</v>
      </c>
      <c r="T3" s="4286" t="s">
        <v>919</v>
      </c>
      <c r="U3" s="4286" t="s">
        <v>920</v>
      </c>
      <c r="V3" s="4286" t="s">
        <v>921</v>
      </c>
      <c r="W3" s="4286" t="s">
        <v>922</v>
      </c>
      <c r="X3" s="4286" t="s">
        <v>923</v>
      </c>
      <c r="Y3" s="4286" t="s">
        <v>924</v>
      </c>
      <c r="Z3" s="4286" t="s">
        <v>925</v>
      </c>
      <c r="AA3" s="4286" t="s">
        <v>7243</v>
      </c>
      <c r="AB3" s="4286" t="s">
        <v>7343</v>
      </c>
      <c r="AC3" s="4285" t="s">
        <v>7834</v>
      </c>
    </row>
    <row r="4" spans="1:35" s="37" customFormat="1" ht="15.75" hidden="1" thickBot="1">
      <c r="A4" s="3693"/>
      <c r="B4" s="488"/>
      <c r="C4" s="489"/>
      <c r="D4" s="490"/>
      <c r="E4" s="490"/>
      <c r="F4" s="1036"/>
      <c r="G4" s="1036"/>
      <c r="H4" s="65"/>
      <c r="I4" s="65"/>
      <c r="J4" s="65"/>
      <c r="K4" s="65"/>
      <c r="L4" s="1029"/>
      <c r="M4" s="65"/>
      <c r="N4" s="1029"/>
      <c r="O4" s="65"/>
      <c r="P4" s="65"/>
      <c r="Q4" s="65"/>
      <c r="R4" s="93"/>
      <c r="S4" s="61"/>
      <c r="T4" s="227"/>
      <c r="U4" s="227"/>
      <c r="V4" s="227"/>
      <c r="W4" s="227"/>
      <c r="X4" s="227"/>
      <c r="Y4" s="3694"/>
      <c r="Z4" s="3694"/>
      <c r="AA4" s="61"/>
      <c r="AB4" s="61"/>
      <c r="AC4" s="555"/>
    </row>
    <row r="5" spans="1:35" s="37" customFormat="1">
      <c r="A5" s="3695" t="s">
        <v>961</v>
      </c>
      <c r="B5" s="3695" t="s">
        <v>963</v>
      </c>
      <c r="C5" s="3696">
        <v>117626.87</v>
      </c>
      <c r="D5" s="3696">
        <v>132228.63715576884</v>
      </c>
      <c r="E5" s="3697">
        <v>5334090</v>
      </c>
      <c r="F5" s="3690">
        <v>124803.66</v>
      </c>
      <c r="G5" s="3690">
        <v>107542.41</v>
      </c>
      <c r="H5" s="3698">
        <v>119778.4</v>
      </c>
      <c r="I5" s="3690">
        <v>119097.54</v>
      </c>
      <c r="J5" s="3690">
        <v>106173.42</v>
      </c>
      <c r="K5" s="3690">
        <v>110696.95</v>
      </c>
      <c r="L5" s="1022">
        <v>90808.87</v>
      </c>
      <c r="M5" s="487">
        <v>97498</v>
      </c>
      <c r="N5" s="1022">
        <f>96691.17+2975</f>
        <v>99666.17</v>
      </c>
      <c r="O5" s="487">
        <f>96189.48+3384</f>
        <v>99573.48</v>
      </c>
      <c r="P5" s="487">
        <v>102583.52</v>
      </c>
      <c r="Q5" s="487">
        <v>104176.58</v>
      </c>
      <c r="R5" s="487">
        <v>1593.0599999999977</v>
      </c>
      <c r="S5" s="3699">
        <v>1.552939497494332</v>
      </c>
      <c r="T5" s="487">
        <f>103628.41-18000</f>
        <v>85628.41</v>
      </c>
      <c r="U5" s="487">
        <v>85256.99</v>
      </c>
      <c r="V5" s="487">
        <v>77702.8</v>
      </c>
      <c r="W5" s="487">
        <v>84436.03</v>
      </c>
      <c r="X5" s="4127">
        <v>95442</v>
      </c>
      <c r="Y5" s="487">
        <v>103666.42</v>
      </c>
      <c r="Z5" s="487">
        <v>84931.51</v>
      </c>
      <c r="AA5" s="65">
        <v>83811</v>
      </c>
      <c r="AB5" s="1083">
        <v>88743.92</v>
      </c>
      <c r="AC5" s="4109">
        <v>95295.28</v>
      </c>
    </row>
    <row r="6" spans="1:35" s="37" customFormat="1">
      <c r="A6" s="3693" t="s">
        <v>962</v>
      </c>
      <c r="B6" s="3693" t="s">
        <v>963</v>
      </c>
      <c r="C6" s="3700">
        <v>38978.43</v>
      </c>
      <c r="D6" s="3700">
        <v>44753.556652346684</v>
      </c>
      <c r="E6" s="556">
        <v>1805354</v>
      </c>
      <c r="F6" s="227">
        <v>51820</v>
      </c>
      <c r="G6" s="227">
        <v>82716.89</v>
      </c>
      <c r="H6" s="3701">
        <v>46182.76</v>
      </c>
      <c r="I6" s="227">
        <v>117668.52</v>
      </c>
      <c r="J6" s="227">
        <v>103314.31</v>
      </c>
      <c r="K6" s="227">
        <v>145380.63</v>
      </c>
      <c r="L6" s="1029">
        <v>111969.61</v>
      </c>
      <c r="M6" s="65">
        <v>115181.42</v>
      </c>
      <c r="N6" s="1029">
        <f>129059.04+25000</f>
        <v>154059.03999999998</v>
      </c>
      <c r="O6" s="65">
        <v>143399.6</v>
      </c>
      <c r="P6" s="65">
        <v>157898.48000000001</v>
      </c>
      <c r="Q6" s="65">
        <v>126432.08</v>
      </c>
      <c r="R6" s="65">
        <v>-31466.400000000009</v>
      </c>
      <c r="S6" s="59">
        <v>-19.928247567677669</v>
      </c>
      <c r="T6" s="65">
        <v>61327.17</v>
      </c>
      <c r="U6" s="65">
        <v>73057.740000000005</v>
      </c>
      <c r="V6" s="65">
        <v>56852.23</v>
      </c>
      <c r="W6" s="65">
        <v>66743.83</v>
      </c>
      <c r="X6" s="65">
        <v>69869</v>
      </c>
      <c r="Y6" s="65">
        <v>56679.07</v>
      </c>
      <c r="Z6" s="65">
        <v>63603.23</v>
      </c>
      <c r="AA6" s="65">
        <v>43747.35</v>
      </c>
      <c r="AB6" s="91">
        <v>48485.79</v>
      </c>
      <c r="AC6" s="4109">
        <v>45803.26</v>
      </c>
    </row>
    <row r="7" spans="1:35" s="37" customFormat="1">
      <c r="A7" s="3693" t="s">
        <v>960</v>
      </c>
      <c r="B7" s="3693" t="s">
        <v>928</v>
      </c>
      <c r="C7" s="3700">
        <v>3334.79</v>
      </c>
      <c r="D7" s="3700">
        <v>6709.6348776273617</v>
      </c>
      <c r="E7" s="556">
        <v>270666</v>
      </c>
      <c r="F7" s="227">
        <v>5422</v>
      </c>
      <c r="G7" s="227">
        <v>5447.77</v>
      </c>
      <c r="H7" s="3701">
        <v>7243.89</v>
      </c>
      <c r="I7" s="227">
        <v>7161.12</v>
      </c>
      <c r="J7" s="227">
        <v>8294.1200000000008</v>
      </c>
      <c r="K7" s="227">
        <v>8381.2199999999993</v>
      </c>
      <c r="L7" s="1029">
        <v>7771.12</v>
      </c>
      <c r="M7" s="65">
        <v>6381.5</v>
      </c>
      <c r="N7" s="1029">
        <f>44022.57-3076.64</f>
        <v>40945.93</v>
      </c>
      <c r="O7" s="65">
        <v>6984.33</v>
      </c>
      <c r="P7" s="65">
        <v>7862.55</v>
      </c>
      <c r="Q7" s="65">
        <v>7945.2</v>
      </c>
      <c r="R7" s="65">
        <v>82.649999999999636</v>
      </c>
      <c r="S7" s="59">
        <v>1.0511856840338012</v>
      </c>
      <c r="T7" s="65">
        <v>11854.89</v>
      </c>
      <c r="U7" s="65">
        <v>5279.67</v>
      </c>
      <c r="V7" s="65">
        <v>8396.35</v>
      </c>
      <c r="W7" s="65">
        <v>11939.45</v>
      </c>
      <c r="X7" s="65">
        <v>8853</v>
      </c>
      <c r="Y7" s="65">
        <v>10130.11</v>
      </c>
      <c r="Z7" s="65">
        <v>3930.19</v>
      </c>
      <c r="AA7" s="65">
        <v>7297.8</v>
      </c>
      <c r="AB7" s="91">
        <v>4298.42</v>
      </c>
      <c r="AC7" s="4109">
        <v>10794.56</v>
      </c>
    </row>
    <row r="8" spans="1:35" s="37" customFormat="1">
      <c r="A8" s="3693" t="s">
        <v>982</v>
      </c>
      <c r="B8" s="3693" t="s">
        <v>929</v>
      </c>
      <c r="C8" s="3700">
        <v>12038.25</v>
      </c>
      <c r="D8" s="3700">
        <v>52197.923148049449</v>
      </c>
      <c r="E8" s="556">
        <v>2105659</v>
      </c>
      <c r="F8" s="227">
        <v>50722</v>
      </c>
      <c r="G8" s="227">
        <v>48821</v>
      </c>
      <c r="H8" s="3701">
        <v>37204.6</v>
      </c>
      <c r="I8" s="227">
        <v>61402.22</v>
      </c>
      <c r="J8" s="227">
        <v>51856</v>
      </c>
      <c r="K8" s="227">
        <v>50903</v>
      </c>
      <c r="L8" s="1029">
        <f>47814.43+1000</f>
        <v>48814.43</v>
      </c>
      <c r="M8" s="65">
        <f>51249.78+8750</f>
        <v>59999.78</v>
      </c>
      <c r="N8" s="1029">
        <v>40945.93</v>
      </c>
      <c r="O8" s="65">
        <f>15413.81-1210.69</f>
        <v>14203.119999999999</v>
      </c>
      <c r="P8" s="65">
        <v>0</v>
      </c>
      <c r="Q8" s="65">
        <f>19933.83+6150</f>
        <v>26083.83</v>
      </c>
      <c r="R8" s="65">
        <v>26083.83</v>
      </c>
      <c r="S8" s="59"/>
      <c r="T8" s="65">
        <v>21166.639999999999</v>
      </c>
      <c r="U8" s="65">
        <v>11808.18</v>
      </c>
      <c r="V8" s="65">
        <v>6841.63</v>
      </c>
      <c r="W8" s="65">
        <v>785.51</v>
      </c>
      <c r="X8" s="65">
        <v>10995</v>
      </c>
      <c r="Y8" s="65">
        <v>12410.02</v>
      </c>
      <c r="Z8" s="65">
        <v>4736.71</v>
      </c>
      <c r="AA8" s="65">
        <v>7744.76</v>
      </c>
      <c r="AB8" s="91">
        <v>8634.42</v>
      </c>
      <c r="AC8" s="4109">
        <v>8706.11</v>
      </c>
    </row>
    <row r="9" spans="1:35" s="37" customFormat="1">
      <c r="A9" s="3693" t="s">
        <v>955</v>
      </c>
      <c r="B9" s="3693" t="s">
        <v>930</v>
      </c>
      <c r="C9" s="3700">
        <v>8097.49</v>
      </c>
      <c r="D9" s="3700">
        <v>8945.7336284918892</v>
      </c>
      <c r="E9" s="556">
        <v>360870</v>
      </c>
      <c r="F9" s="227">
        <v>16637</v>
      </c>
      <c r="G9" s="227">
        <v>0</v>
      </c>
      <c r="H9" s="3701">
        <v>8355.02</v>
      </c>
      <c r="I9" s="227">
        <v>11979.78</v>
      </c>
      <c r="J9" s="227">
        <v>13457.05</v>
      </c>
      <c r="K9" s="227">
        <v>12206.97</v>
      </c>
      <c r="L9" s="1029">
        <v>10297.61</v>
      </c>
      <c r="M9" s="65">
        <f>10622.39+4000</f>
        <v>14622.39</v>
      </c>
      <c r="N9" s="1029">
        <v>5959.04</v>
      </c>
      <c r="O9" s="65">
        <v>5823.34</v>
      </c>
      <c r="P9" s="65">
        <v>4622.83</v>
      </c>
      <c r="Q9" s="65">
        <v>725.76</v>
      </c>
      <c r="R9" s="65">
        <v>-3897.0699999999997</v>
      </c>
      <c r="S9" s="59">
        <v>-84.300525868353361</v>
      </c>
      <c r="T9" s="65">
        <v>1140.83</v>
      </c>
      <c r="U9" s="65">
        <v>3785.73</v>
      </c>
      <c r="V9" s="65">
        <f>3905.8+1750</f>
        <v>5655.8</v>
      </c>
      <c r="W9" s="65">
        <v>5651.16</v>
      </c>
      <c r="X9" s="65">
        <v>5087</v>
      </c>
      <c r="Y9" s="65">
        <v>2144.9</v>
      </c>
      <c r="Z9" s="65">
        <v>7863.54</v>
      </c>
      <c r="AA9" s="4128">
        <v>8405.65</v>
      </c>
      <c r="AB9" s="91">
        <v>593.22</v>
      </c>
      <c r="AC9" s="4287">
        <v>138.09</v>
      </c>
    </row>
    <row r="10" spans="1:35" s="37" customFormat="1">
      <c r="A10" s="3693" t="s">
        <v>956</v>
      </c>
      <c r="B10" s="3693" t="s">
        <v>931</v>
      </c>
      <c r="C10" s="3700">
        <v>18937.21</v>
      </c>
      <c r="D10" s="3700">
        <v>21843.088356689033</v>
      </c>
      <c r="E10" s="556">
        <v>881148</v>
      </c>
      <c r="F10" s="227">
        <v>22921</v>
      </c>
      <c r="G10" s="227">
        <v>11017.14</v>
      </c>
      <c r="H10" s="3701">
        <v>0</v>
      </c>
      <c r="I10" s="227">
        <v>3608.11</v>
      </c>
      <c r="J10" s="227">
        <v>7054.06</v>
      </c>
      <c r="K10" s="227">
        <v>0</v>
      </c>
      <c r="L10" s="1029">
        <v>2697.46</v>
      </c>
      <c r="M10" s="65">
        <f>13333.53+1300</f>
        <v>14633.53</v>
      </c>
      <c r="N10" s="1029">
        <v>0</v>
      </c>
      <c r="O10" s="65">
        <v>12269.58</v>
      </c>
      <c r="P10" s="65">
        <v>1653.03</v>
      </c>
      <c r="Q10" s="65">
        <v>4695.6000000000004</v>
      </c>
      <c r="R10" s="65">
        <v>3042.5700000000006</v>
      </c>
      <c r="S10" s="59">
        <v>184.06018039600011</v>
      </c>
      <c r="T10" s="65">
        <v>4856.12</v>
      </c>
      <c r="U10" s="65">
        <v>10768.57</v>
      </c>
      <c r="V10" s="65">
        <v>10116.92</v>
      </c>
      <c r="W10" s="65">
        <v>7495.58</v>
      </c>
      <c r="X10" s="65">
        <v>9018</v>
      </c>
      <c r="Y10" s="65">
        <v>4689.58</v>
      </c>
      <c r="Z10" s="65">
        <v>9689.56</v>
      </c>
      <c r="AA10" s="65">
        <v>10625.71</v>
      </c>
      <c r="AB10" s="4129">
        <v>19647.55</v>
      </c>
      <c r="AC10" s="4109">
        <v>14994.99</v>
      </c>
    </row>
    <row r="11" spans="1:35" s="37" customFormat="1">
      <c r="A11" s="3693" t="s">
        <v>957</v>
      </c>
      <c r="B11" s="3693" t="s">
        <v>932</v>
      </c>
      <c r="C11" s="3700">
        <v>15870.74</v>
      </c>
      <c r="D11" s="3700">
        <v>18978.133312179754</v>
      </c>
      <c r="E11" s="556">
        <v>765576</v>
      </c>
      <c r="F11" s="227">
        <v>18766</v>
      </c>
      <c r="G11" s="227">
        <v>29038.78</v>
      </c>
      <c r="H11" s="3701">
        <v>20885.04</v>
      </c>
      <c r="I11" s="227">
        <v>20814.62</v>
      </c>
      <c r="J11" s="227">
        <v>25709.53</v>
      </c>
      <c r="K11" s="227">
        <v>23367.68</v>
      </c>
      <c r="L11" s="1029">
        <v>25763.09</v>
      </c>
      <c r="M11" s="65">
        <v>24343.34</v>
      </c>
      <c r="N11" s="1029">
        <f>22692.77+199</f>
        <v>22891.77</v>
      </c>
      <c r="O11" s="65">
        <v>29190.15</v>
      </c>
      <c r="P11" s="65">
        <v>28624.720000000001</v>
      </c>
      <c r="Q11" s="65">
        <v>18730.62</v>
      </c>
      <c r="R11" s="65">
        <v>-9894.1000000000022</v>
      </c>
      <c r="S11" s="59">
        <v>-34.56487958659509</v>
      </c>
      <c r="T11" s="65">
        <f>26451.84-4091.51</f>
        <v>22360.33</v>
      </c>
      <c r="U11" s="65">
        <v>26367.7</v>
      </c>
      <c r="V11" s="65">
        <v>10205.99</v>
      </c>
      <c r="W11" s="65">
        <v>10132.89</v>
      </c>
      <c r="X11" s="65">
        <v>10788</v>
      </c>
      <c r="Y11" s="65">
        <v>3860.26</v>
      </c>
      <c r="Z11" s="65">
        <v>6714.72</v>
      </c>
      <c r="AA11" s="65">
        <v>8199.6200000000008</v>
      </c>
      <c r="AB11" s="91">
        <v>6785.12</v>
      </c>
      <c r="AC11" s="4109">
        <v>7565.94</v>
      </c>
    </row>
    <row r="12" spans="1:35" s="37" customFormat="1">
      <c r="A12" s="3693" t="s">
        <v>958</v>
      </c>
      <c r="B12" s="3693" t="s">
        <v>933</v>
      </c>
      <c r="C12" s="3700">
        <v>12445.25</v>
      </c>
      <c r="D12" s="3700">
        <v>4283.5009506716679</v>
      </c>
      <c r="E12" s="556">
        <v>172796</v>
      </c>
      <c r="F12" s="227">
        <v>22634</v>
      </c>
      <c r="G12" s="227">
        <v>23961.439999999999</v>
      </c>
      <c r="H12" s="3701">
        <v>15754.5</v>
      </c>
      <c r="I12" s="227">
        <v>25868.84</v>
      </c>
      <c r="J12" s="227">
        <v>29525.34</v>
      </c>
      <c r="K12" s="227">
        <v>27644.3</v>
      </c>
      <c r="L12" s="1029">
        <v>15719.19</v>
      </c>
      <c r="M12" s="65">
        <f>13627.11+1854</f>
        <v>15481.11</v>
      </c>
      <c r="N12" s="1029">
        <v>17261.53</v>
      </c>
      <c r="O12" s="65">
        <v>28599.59</v>
      </c>
      <c r="P12" s="65">
        <v>24404.34</v>
      </c>
      <c r="Q12" s="65">
        <v>31001.14</v>
      </c>
      <c r="R12" s="65">
        <v>6596.7999999999993</v>
      </c>
      <c r="S12" s="59">
        <v>27.031257555008654</v>
      </c>
      <c r="T12" s="65">
        <v>0</v>
      </c>
      <c r="U12" s="65">
        <v>5751.29</v>
      </c>
      <c r="V12" s="65">
        <v>12596.19</v>
      </c>
      <c r="W12" s="65">
        <v>16081</v>
      </c>
      <c r="X12" s="65">
        <v>24184</v>
      </c>
      <c r="Y12" s="65">
        <v>22876</v>
      </c>
      <c r="Z12" s="65">
        <v>29780</v>
      </c>
      <c r="AA12" s="65">
        <v>25432.44</v>
      </c>
      <c r="AB12" s="91">
        <v>23325.54</v>
      </c>
      <c r="AC12" s="4109">
        <v>26195.72</v>
      </c>
    </row>
    <row r="13" spans="1:35" s="37" customFormat="1" hidden="1">
      <c r="A13" s="3693"/>
      <c r="B13" s="3693" t="s">
        <v>934</v>
      </c>
      <c r="C13" s="3700">
        <v>5269.84</v>
      </c>
      <c r="D13" s="3700">
        <v>2217.0605281619437</v>
      </c>
      <c r="E13" s="3702">
        <v>89436</v>
      </c>
      <c r="F13" s="227"/>
      <c r="G13" s="227"/>
      <c r="H13" s="3701"/>
      <c r="I13" s="227"/>
      <c r="J13" s="227"/>
      <c r="K13" s="227"/>
      <c r="L13" s="1029"/>
      <c r="M13" s="65"/>
      <c r="N13" s="1029"/>
      <c r="O13" s="65"/>
      <c r="P13" s="65"/>
      <c r="Q13" s="65"/>
      <c r="R13" s="65">
        <v>0</v>
      </c>
      <c r="S13" s="59" t="e">
        <v>#DIV/0!</v>
      </c>
      <c r="T13" s="65"/>
      <c r="U13" s="65"/>
      <c r="V13" s="61"/>
      <c r="W13" s="61"/>
      <c r="X13" s="61"/>
      <c r="Y13" s="65"/>
      <c r="Z13" s="65"/>
      <c r="AA13" s="65"/>
      <c r="AB13" s="91"/>
      <c r="AC13" s="4109"/>
    </row>
    <row r="14" spans="1:35" s="37" customFormat="1" ht="15.75" thickBot="1">
      <c r="A14" s="3693" t="s">
        <v>959</v>
      </c>
      <c r="B14" s="3693" t="s">
        <v>935</v>
      </c>
      <c r="C14" s="3700">
        <v>13709.78</v>
      </c>
      <c r="D14" s="3700">
        <v>16694.414215206285</v>
      </c>
      <c r="E14" s="556">
        <v>673451</v>
      </c>
      <c r="F14" s="227">
        <v>15074</v>
      </c>
      <c r="G14" s="227">
        <v>11947.94</v>
      </c>
      <c r="H14" s="3703">
        <v>7368.12</v>
      </c>
      <c r="I14" s="3704">
        <v>14731.2</v>
      </c>
      <c r="J14" s="3704">
        <v>27098.12</v>
      </c>
      <c r="K14" s="3704">
        <v>9985.01</v>
      </c>
      <c r="L14" s="1037">
        <v>-1793.08</v>
      </c>
      <c r="M14" s="1036">
        <v>13406.97</v>
      </c>
      <c r="N14" s="1037">
        <v>22792.560000000001</v>
      </c>
      <c r="O14" s="1036">
        <v>15433.77</v>
      </c>
      <c r="P14" s="1036">
        <v>16573.41</v>
      </c>
      <c r="Q14" s="1036">
        <v>17619.43</v>
      </c>
      <c r="R14" s="1036">
        <v>1046.0200000000004</v>
      </c>
      <c r="S14" s="3705">
        <v>6.3114350034181284</v>
      </c>
      <c r="T14" s="1036">
        <v>11282.49</v>
      </c>
      <c r="U14" s="1036">
        <v>13493.89</v>
      </c>
      <c r="V14" s="1036">
        <v>17231.59</v>
      </c>
      <c r="W14" s="1036">
        <v>16507.14</v>
      </c>
      <c r="X14" s="1036">
        <v>15001</v>
      </c>
      <c r="Y14" s="1036">
        <v>11693.36</v>
      </c>
      <c r="Z14" s="1036">
        <v>17752.939999999999</v>
      </c>
      <c r="AA14" s="65">
        <v>16336.06</v>
      </c>
      <c r="AB14" s="91">
        <v>17849.560000000001</v>
      </c>
      <c r="AC14" s="4109">
        <v>17415.38</v>
      </c>
    </row>
    <row r="15" spans="1:35" s="37" customFormat="1" ht="15.75" hidden="1" thickBot="1">
      <c r="A15" s="3693"/>
      <c r="B15" s="496"/>
      <c r="C15" s="3697"/>
      <c r="D15" s="486"/>
      <c r="E15" s="486"/>
      <c r="F15" s="487"/>
      <c r="G15" s="487"/>
      <c r="H15" s="65"/>
      <c r="I15" s="65"/>
      <c r="J15" s="65"/>
      <c r="K15" s="65"/>
      <c r="L15" s="1022"/>
      <c r="M15" s="1022"/>
      <c r="N15" s="1022"/>
      <c r="O15" s="1022"/>
      <c r="P15" s="1022"/>
      <c r="Q15" s="1022"/>
      <c r="R15" s="1022"/>
      <c r="S15" s="485"/>
      <c r="T15" s="486"/>
      <c r="U15" s="487"/>
      <c r="V15" s="486"/>
      <c r="W15" s="486"/>
      <c r="X15" s="486"/>
      <c r="Y15" s="486"/>
      <c r="Z15" s="486"/>
      <c r="AA15" s="486"/>
      <c r="AB15" s="61"/>
      <c r="AC15" s="555"/>
    </row>
    <row r="16" spans="1:35" s="37" customFormat="1" ht="15.75" thickBot="1">
      <c r="A16" s="3693"/>
      <c r="B16" s="3706"/>
      <c r="C16" s="510">
        <f>SUM(C5:C14)</f>
        <v>246308.64999999997</v>
      </c>
      <c r="D16" s="510">
        <f t="shared" ref="D16:Y16" si="0">SUM(D5:D14)</f>
        <v>308851.68282519293</v>
      </c>
      <c r="E16" s="510">
        <f t="shared" si="0"/>
        <v>12459046</v>
      </c>
      <c r="F16" s="510">
        <f t="shared" si="0"/>
        <v>328799.66000000003</v>
      </c>
      <c r="G16" s="510">
        <f t="shared" si="0"/>
        <v>320493.37</v>
      </c>
      <c r="H16" s="510">
        <f t="shared" si="0"/>
        <v>262772.33</v>
      </c>
      <c r="I16" s="510">
        <f t="shared" si="0"/>
        <v>382331.95000000007</v>
      </c>
      <c r="J16" s="510">
        <f t="shared" si="0"/>
        <v>372481.95</v>
      </c>
      <c r="K16" s="510">
        <f t="shared" si="0"/>
        <v>388565.75999999995</v>
      </c>
      <c r="L16" s="3707">
        <f t="shared" si="0"/>
        <v>312048.3</v>
      </c>
      <c r="M16" s="3707">
        <f t="shared" si="0"/>
        <v>361548.04</v>
      </c>
      <c r="N16" s="3708">
        <f t="shared" si="0"/>
        <v>404521.96999999991</v>
      </c>
      <c r="O16" s="3709">
        <f t="shared" si="0"/>
        <v>355476.96000000014</v>
      </c>
      <c r="P16" s="3709">
        <f t="shared" si="0"/>
        <v>344222.88</v>
      </c>
      <c r="Q16" s="3709">
        <f t="shared" si="0"/>
        <v>337410.24</v>
      </c>
      <c r="R16" s="3709">
        <f t="shared" si="0"/>
        <v>-6812.6400000000103</v>
      </c>
      <c r="S16" s="3709" t="e">
        <f t="shared" si="0"/>
        <v>#DIV/0!</v>
      </c>
      <c r="T16" s="3709">
        <f t="shared" si="0"/>
        <v>219616.88</v>
      </c>
      <c r="U16" s="3709">
        <f t="shared" si="0"/>
        <v>235569.76000000007</v>
      </c>
      <c r="V16" s="3709">
        <f t="shared" si="0"/>
        <v>205599.5</v>
      </c>
      <c r="W16" s="3709">
        <f t="shared" si="0"/>
        <v>219772.59000000003</v>
      </c>
      <c r="X16" s="3709">
        <f t="shared" si="0"/>
        <v>249237</v>
      </c>
      <c r="Y16" s="3709">
        <f t="shared" si="0"/>
        <v>228149.71999999997</v>
      </c>
      <c r="Z16" s="3709">
        <f>SUM(Z5:Z14)</f>
        <v>229002.4</v>
      </c>
      <c r="AA16" s="3709">
        <f>SUM(AA5:AA14)</f>
        <v>211600.38999999998</v>
      </c>
      <c r="AB16" s="3709">
        <f>SUM(AB5:AB14)</f>
        <v>218363.54</v>
      </c>
      <c r="AC16" s="3710">
        <f>SUM(AC5:AC14)</f>
        <v>226909.33000000002</v>
      </c>
      <c r="AI16" s="143"/>
    </row>
    <row r="17" spans="1:32" s="37" customFormat="1" ht="15.75" thickBot="1">
      <c r="A17" s="3711"/>
      <c r="B17" s="488"/>
      <c r="C17" s="492"/>
      <c r="D17" s="492">
        <f t="shared" ref="D17:K17" si="1">(D16-C16)/C16</f>
        <v>0.253921382075672</v>
      </c>
      <c r="E17" s="492">
        <f t="shared" si="1"/>
        <v>39.3399</v>
      </c>
      <c r="F17" s="492">
        <f t="shared" si="1"/>
        <v>-0.97360956368569473</v>
      </c>
      <c r="G17" s="492">
        <f t="shared" si="1"/>
        <v>-2.5262465295736732E-2</v>
      </c>
      <c r="H17" s="492">
        <f t="shared" si="1"/>
        <v>-0.18010057431141238</v>
      </c>
      <c r="I17" s="492">
        <f t="shared" si="1"/>
        <v>0.45499318744861778</v>
      </c>
      <c r="J17" s="492">
        <f t="shared" si="1"/>
        <v>-2.5762952847649945E-2</v>
      </c>
      <c r="K17" s="492">
        <f t="shared" si="1"/>
        <v>4.318010577425279E-2</v>
      </c>
      <c r="L17" s="492">
        <f>(L16-K16)/K16</f>
        <v>-0.19692280657976649</v>
      </c>
      <c r="M17" s="491">
        <v>0.15862845591531821</v>
      </c>
      <c r="N17" s="563">
        <f>(N16-M16)/N16</f>
        <v>0.10623385918940309</v>
      </c>
      <c r="O17" s="564">
        <f>(O16-N16)/N16</f>
        <v>-0.12124189447608937</v>
      </c>
      <c r="P17" s="564">
        <f t="shared" ref="P17:Z17" si="2">(P16-O16)/O16</f>
        <v>-3.1659098243667125E-2</v>
      </c>
      <c r="Q17" s="564">
        <f t="shared" si="2"/>
        <v>-1.9791363084290078E-2</v>
      </c>
      <c r="R17" s="564">
        <f t="shared" si="2"/>
        <v>-1.0201909699006171</v>
      </c>
      <c r="S17" s="564" t="e">
        <f t="shared" si="2"/>
        <v>#DIV/0!</v>
      </c>
      <c r="T17" s="564">
        <f>(T16-Q16)/Q16</f>
        <v>-0.34911021076301652</v>
      </c>
      <c r="U17" s="564">
        <f t="shared" si="2"/>
        <v>7.2639589452322892E-2</v>
      </c>
      <c r="V17" s="564">
        <f t="shared" si="2"/>
        <v>-0.12722456396780324</v>
      </c>
      <c r="W17" s="564">
        <f t="shared" si="2"/>
        <v>6.8935430290443439E-2</v>
      </c>
      <c r="X17" s="564">
        <f t="shared" si="2"/>
        <v>0.13406771972792408</v>
      </c>
      <c r="Y17" s="564">
        <f t="shared" si="2"/>
        <v>-8.4607341606583411E-2</v>
      </c>
      <c r="Z17" s="564">
        <f t="shared" si="2"/>
        <v>3.7373703548705746E-3</v>
      </c>
      <c r="AA17" s="564">
        <f>(AA16-Z16)/Z16</f>
        <v>-7.5990513636538345E-2</v>
      </c>
      <c r="AB17" s="564">
        <f>(AB16-AA16)/AA16</f>
        <v>3.1961897612759714E-2</v>
      </c>
      <c r="AC17" s="4142">
        <f>(AC16-AB16)/AB16</f>
        <v>3.913560844452333E-2</v>
      </c>
    </row>
    <row r="18" spans="1:32" s="37" customFormat="1" ht="15.75" thickBot="1">
      <c r="C18" s="42"/>
      <c r="D18" s="42"/>
      <c r="E18" s="42"/>
      <c r="F18" s="42"/>
      <c r="G18" s="42"/>
      <c r="H18" s="42"/>
      <c r="I18" s="42"/>
      <c r="J18" s="42"/>
      <c r="K18" s="42"/>
      <c r="L18" s="42"/>
      <c r="M18" s="42"/>
      <c r="N18" s="228"/>
      <c r="O18" s="228"/>
      <c r="P18" s="228"/>
      <c r="Q18" s="228"/>
      <c r="R18" s="42"/>
      <c r="S18" s="42"/>
      <c r="T18" s="42"/>
      <c r="U18" s="42"/>
      <c r="V18" s="42"/>
      <c r="W18" s="42"/>
      <c r="X18" s="42"/>
      <c r="Y18" s="42"/>
      <c r="Z18" s="42"/>
      <c r="AA18" s="42"/>
    </row>
    <row r="19" spans="1:32" s="37" customFormat="1" ht="15.75" thickBot="1">
      <c r="A19" s="557"/>
      <c r="B19" s="4123" t="s">
        <v>937</v>
      </c>
      <c r="C19" s="61"/>
      <c r="D19" s="61"/>
      <c r="E19" s="61"/>
      <c r="F19" s="61"/>
      <c r="G19" s="510"/>
      <c r="H19" s="61"/>
      <c r="I19" s="61"/>
      <c r="J19" s="61"/>
      <c r="K19" s="61"/>
      <c r="L19" s="510"/>
      <c r="M19" s="510"/>
      <c r="N19" s="1750" t="s">
        <v>915</v>
      </c>
      <c r="O19" s="1748" t="s">
        <v>7846</v>
      </c>
      <c r="P19" s="1748" t="s">
        <v>917</v>
      </c>
      <c r="Q19" s="1748" t="s">
        <v>918</v>
      </c>
      <c r="R19" s="4145">
        <v>2014</v>
      </c>
      <c r="S19" s="4145">
        <v>2015</v>
      </c>
      <c r="T19" s="4145" t="s">
        <v>919</v>
      </c>
      <c r="U19" s="4145" t="s">
        <v>920</v>
      </c>
      <c r="V19" s="4145" t="s">
        <v>921</v>
      </c>
      <c r="W19" s="4145" t="s">
        <v>922</v>
      </c>
      <c r="X19" s="4145" t="s">
        <v>923</v>
      </c>
      <c r="Y19" s="4145" t="s">
        <v>924</v>
      </c>
      <c r="Z19" s="4145" t="s">
        <v>925</v>
      </c>
      <c r="AA19" s="4145" t="s">
        <v>7243</v>
      </c>
      <c r="AB19" s="4145" t="s">
        <v>7343</v>
      </c>
      <c r="AC19" s="4145" t="s">
        <v>7834</v>
      </c>
      <c r="AD19" s="4145" t="s">
        <v>7851</v>
      </c>
      <c r="AE19" s="4146" t="s">
        <v>7852</v>
      </c>
      <c r="AF19" s="88"/>
    </row>
    <row r="20" spans="1:32" s="37" customFormat="1">
      <c r="A20" s="3695" t="s">
        <v>961</v>
      </c>
      <c r="B20" s="3693" t="s">
        <v>963</v>
      </c>
      <c r="C20" s="61"/>
      <c r="D20" s="61"/>
      <c r="E20" s="61"/>
      <c r="F20" s="510">
        <v>0</v>
      </c>
      <c r="G20" s="510">
        <v>26509.8</v>
      </c>
      <c r="H20" s="61"/>
      <c r="I20" s="61"/>
      <c r="J20" s="61"/>
      <c r="K20" s="61"/>
      <c r="L20" s="91"/>
      <c r="M20" s="91"/>
      <c r="N20" s="544">
        <v>26510</v>
      </c>
      <c r="O20" s="91">
        <v>26510</v>
      </c>
      <c r="P20" s="91">
        <f>26510+11345.17</f>
        <v>37855.17</v>
      </c>
      <c r="Q20" s="91">
        <v>37855.17</v>
      </c>
      <c r="R20" s="91">
        <v>30536.49</v>
      </c>
      <c r="S20" s="91"/>
      <c r="T20" s="61"/>
      <c r="U20" s="61"/>
      <c r="V20" s="61"/>
      <c r="W20" s="91">
        <v>10000</v>
      </c>
      <c r="X20" s="91">
        <f>50500+27000</f>
        <v>77500</v>
      </c>
      <c r="Y20" s="91"/>
      <c r="Z20" s="61"/>
      <c r="AA20" s="88"/>
      <c r="AB20" s="1083">
        <v>144242.79999999999</v>
      </c>
      <c r="AC20" s="4141"/>
      <c r="AD20" s="4141"/>
      <c r="AE20" s="555"/>
    </row>
    <row r="21" spans="1:32" s="37" customFormat="1">
      <c r="A21" s="3693" t="s">
        <v>962</v>
      </c>
      <c r="B21" s="3693" t="s">
        <v>963</v>
      </c>
      <c r="C21" s="61"/>
      <c r="D21" s="61"/>
      <c r="E21" s="61"/>
      <c r="F21" s="61"/>
      <c r="G21" s="510">
        <v>152575</v>
      </c>
      <c r="H21" s="61"/>
      <c r="I21" s="61"/>
      <c r="J21" s="61"/>
      <c r="K21" s="61"/>
      <c r="L21" s="91"/>
      <c r="M21" s="91"/>
      <c r="N21" s="544">
        <f>2500+29817.29</f>
        <v>32317.29</v>
      </c>
      <c r="O21" s="91">
        <f>44000+26444.82</f>
        <v>70444.820000000007</v>
      </c>
      <c r="P21" s="91">
        <f>3000+70444.82</f>
        <v>73444.820000000007</v>
      </c>
      <c r="Q21" s="91">
        <f>3500+73444.82</f>
        <v>76944.820000000007</v>
      </c>
      <c r="R21" s="91">
        <v>76944.820000000007</v>
      </c>
      <c r="S21" s="91">
        <v>250944.82</v>
      </c>
      <c r="T21" s="61"/>
      <c r="U21" s="91">
        <v>174000</v>
      </c>
      <c r="V21" s="91">
        <f>174000+76944.82</f>
        <v>250944.82</v>
      </c>
      <c r="W21" s="91">
        <v>242548.82</v>
      </c>
      <c r="X21" s="91">
        <v>223828.92</v>
      </c>
      <c r="Y21" s="91">
        <v>3936</v>
      </c>
      <c r="Z21" s="556">
        <v>69677.279999999999</v>
      </c>
      <c r="AA21" s="88"/>
      <c r="AB21" s="91">
        <v>49000</v>
      </c>
      <c r="AC21" s="4315">
        <v>1100</v>
      </c>
      <c r="AD21" s="4293">
        <v>88830</v>
      </c>
      <c r="AE21" s="426"/>
    </row>
    <row r="22" spans="1:32" s="37" customFormat="1">
      <c r="A22" s="3693" t="s">
        <v>982</v>
      </c>
      <c r="B22" s="3693" t="s">
        <v>929</v>
      </c>
      <c r="C22" s="61"/>
      <c r="D22" s="61"/>
      <c r="E22" s="61"/>
      <c r="F22" s="61"/>
      <c r="G22" s="510"/>
      <c r="H22" s="61"/>
      <c r="I22" s="61"/>
      <c r="J22" s="61"/>
      <c r="K22" s="61"/>
      <c r="L22" s="91"/>
      <c r="M22" s="91"/>
      <c r="N22" s="544"/>
      <c r="O22" s="91">
        <v>0</v>
      </c>
      <c r="P22" s="91"/>
      <c r="Q22" s="91"/>
      <c r="R22" s="91"/>
      <c r="S22" s="91"/>
      <c r="T22" s="61"/>
      <c r="U22" s="61"/>
      <c r="V22" s="61"/>
      <c r="W22" s="61"/>
      <c r="X22" s="61"/>
      <c r="Y22" s="91"/>
      <c r="Z22" s="61"/>
      <c r="AA22" s="88"/>
      <c r="AB22" s="88"/>
      <c r="AC22" s="88"/>
      <c r="AD22" s="88"/>
      <c r="AE22" s="555"/>
    </row>
    <row r="23" spans="1:32" s="37" customFormat="1">
      <c r="A23" s="3693" t="s">
        <v>957</v>
      </c>
      <c r="B23" s="3693" t="s">
        <v>932</v>
      </c>
      <c r="C23" s="61"/>
      <c r="D23" s="61"/>
      <c r="E23" s="61"/>
      <c r="F23" s="61"/>
      <c r="G23" s="510"/>
      <c r="H23" s="61"/>
      <c r="I23" s="61"/>
      <c r="J23" s="61"/>
      <c r="K23" s="61"/>
      <c r="L23" s="91"/>
      <c r="M23" s="91"/>
      <c r="N23" s="544"/>
      <c r="O23" s="91"/>
      <c r="P23" s="91"/>
      <c r="Q23" s="91"/>
      <c r="R23" s="91"/>
      <c r="S23" s="91">
        <v>14500</v>
      </c>
      <c r="T23" s="61"/>
      <c r="U23" s="91">
        <v>14500</v>
      </c>
      <c r="V23" s="61"/>
      <c r="W23" s="61"/>
      <c r="X23" s="91"/>
      <c r="Y23" s="91">
        <v>5000</v>
      </c>
      <c r="Z23" s="61"/>
      <c r="AA23" s="61"/>
      <c r="AB23" s="88"/>
      <c r="AC23" s="88"/>
      <c r="AD23" s="88"/>
      <c r="AE23" s="555"/>
    </row>
    <row r="24" spans="1:32" s="37" customFormat="1">
      <c r="A24" s="3693" t="s">
        <v>958</v>
      </c>
      <c r="B24" s="3693" t="s">
        <v>933</v>
      </c>
      <c r="C24" s="61"/>
      <c r="D24" s="61"/>
      <c r="E24" s="61"/>
      <c r="F24" s="61"/>
      <c r="G24" s="510"/>
      <c r="H24" s="61"/>
      <c r="I24" s="61"/>
      <c r="J24" s="61"/>
      <c r="K24" s="61"/>
      <c r="L24" s="91"/>
      <c r="M24" s="91"/>
      <c r="N24" s="544"/>
      <c r="O24" s="91"/>
      <c r="P24" s="91"/>
      <c r="Q24" s="91"/>
      <c r="R24" s="91"/>
      <c r="S24" s="91"/>
      <c r="T24" s="61"/>
      <c r="U24" s="61"/>
      <c r="V24" s="61"/>
      <c r="W24" s="61"/>
      <c r="X24" s="91"/>
      <c r="Y24" s="240"/>
      <c r="Z24" s="61"/>
      <c r="AA24" s="91">
        <v>12000</v>
      </c>
      <c r="AB24" s="88"/>
      <c r="AC24" s="88"/>
      <c r="AD24" s="88"/>
      <c r="AE24" s="555"/>
    </row>
    <row r="25" spans="1:32" s="37" customFormat="1" ht="15.75" thickBot="1">
      <c r="A25" s="4134"/>
      <c r="B25" s="488"/>
      <c r="C25" s="489"/>
      <c r="D25" s="489"/>
      <c r="E25" s="489"/>
      <c r="F25" s="489"/>
      <c r="G25" s="489"/>
      <c r="H25" s="489"/>
      <c r="I25" s="489"/>
      <c r="J25" s="489"/>
      <c r="K25" s="489"/>
      <c r="L25" s="513"/>
      <c r="M25" s="513"/>
      <c r="N25" s="3794">
        <f>SUM(N20:N21)</f>
        <v>58827.29</v>
      </c>
      <c r="O25" s="514">
        <f t="shared" ref="O25:U25" si="3">SUM(O20:O21)</f>
        <v>96954.82</v>
      </c>
      <c r="P25" s="514">
        <f t="shared" si="3"/>
        <v>111299.99</v>
      </c>
      <c r="Q25" s="514">
        <f>SUM(Q20:Q21)</f>
        <v>114799.99</v>
      </c>
      <c r="R25" s="514">
        <f t="shared" si="3"/>
        <v>107481.31000000001</v>
      </c>
      <c r="S25" s="514">
        <f t="shared" si="3"/>
        <v>250944.82</v>
      </c>
      <c r="T25" s="514">
        <f t="shared" si="3"/>
        <v>0</v>
      </c>
      <c r="U25" s="514">
        <f t="shared" si="3"/>
        <v>174000</v>
      </c>
      <c r="V25" s="514">
        <f t="shared" ref="V25:AA25" si="4">SUM(V20:V24)</f>
        <v>250944.82</v>
      </c>
      <c r="W25" s="514">
        <f t="shared" si="4"/>
        <v>252548.82</v>
      </c>
      <c r="X25" s="514">
        <f t="shared" si="4"/>
        <v>301328.92000000004</v>
      </c>
      <c r="Y25" s="514">
        <f t="shared" si="4"/>
        <v>8936</v>
      </c>
      <c r="Z25" s="514">
        <f t="shared" si="4"/>
        <v>69677.279999999999</v>
      </c>
      <c r="AA25" s="514">
        <f t="shared" si="4"/>
        <v>12000</v>
      </c>
      <c r="AB25" s="514">
        <f>SUM(AB20:AB24)</f>
        <v>193242.8</v>
      </c>
      <c r="AC25" s="4143">
        <f t="shared" ref="AC25:AD25" si="5">SUM(AC20:AC24)</f>
        <v>1100</v>
      </c>
      <c r="AD25" s="4143">
        <f t="shared" si="5"/>
        <v>88830</v>
      </c>
      <c r="AE25" s="515"/>
    </row>
    <row r="26" spans="1:32" s="37" customFormat="1" ht="15.75" thickBot="1">
      <c r="A26" s="88"/>
      <c r="B26" s="42"/>
      <c r="C26" s="42"/>
      <c r="D26" s="42"/>
      <c r="E26" s="42"/>
      <c r="F26" s="42"/>
      <c r="G26" s="493">
        <v>179084.79999999999</v>
      </c>
      <c r="H26" s="42"/>
      <c r="I26" s="42"/>
      <c r="J26" s="42"/>
      <c r="K26" s="42"/>
      <c r="L26" s="42"/>
      <c r="M26" s="42"/>
      <c r="N26" s="42"/>
      <c r="O26" s="42"/>
      <c r="P26" s="42"/>
      <c r="Q26" s="228"/>
      <c r="R26" s="42"/>
      <c r="S26" s="42"/>
      <c r="T26" s="42"/>
      <c r="U26" s="42"/>
      <c r="V26" s="42"/>
      <c r="W26" s="42"/>
      <c r="X26" s="42"/>
      <c r="Y26" s="42"/>
      <c r="Z26" s="42"/>
      <c r="AA26" s="42"/>
    </row>
    <row r="27" spans="1:32" s="37" customFormat="1" ht="15.75" thickBot="1">
      <c r="A27" s="4134"/>
      <c r="B27" s="4137" t="s">
        <v>936</v>
      </c>
      <c r="C27" s="508"/>
      <c r="D27" s="508"/>
      <c r="E27" s="508"/>
      <c r="F27" s="508"/>
      <c r="G27" s="508">
        <v>2009</v>
      </c>
      <c r="H27" s="508"/>
      <c r="I27" s="508"/>
      <c r="J27" s="508"/>
      <c r="K27" s="508"/>
      <c r="L27" s="509"/>
      <c r="M27" s="509"/>
    </row>
    <row r="28" spans="1:32" s="37" customFormat="1">
      <c r="A28" s="3695" t="s">
        <v>961</v>
      </c>
      <c r="B28" s="3695" t="s">
        <v>963</v>
      </c>
      <c r="C28" s="61"/>
      <c r="D28" s="510">
        <v>150000</v>
      </c>
      <c r="E28" s="510"/>
      <c r="F28" s="510"/>
      <c r="G28" s="510">
        <v>26509.8</v>
      </c>
      <c r="H28" s="511"/>
      <c r="I28" s="511"/>
      <c r="J28" s="511"/>
      <c r="K28" s="511"/>
      <c r="L28" s="91"/>
      <c r="M28" s="91"/>
      <c r="N28" s="542">
        <f>26510+12500</f>
        <v>39010</v>
      </c>
      <c r="O28" s="486">
        <v>26510</v>
      </c>
      <c r="P28" s="486">
        <f>26510+115152.78</f>
        <v>141662.78</v>
      </c>
      <c r="Q28" s="486">
        <v>54758.97</v>
      </c>
      <c r="R28" s="486"/>
      <c r="S28" s="486"/>
      <c r="T28" s="508"/>
      <c r="U28" s="508"/>
      <c r="V28" s="508"/>
      <c r="W28" s="508"/>
      <c r="X28" s="508"/>
      <c r="Y28" s="508"/>
      <c r="Z28" s="495"/>
      <c r="AA28" s="508"/>
      <c r="AB28" s="4135"/>
      <c r="AC28" s="4135"/>
      <c r="AD28" s="4135"/>
      <c r="AE28" s="4136"/>
    </row>
    <row r="29" spans="1:32" s="37" customFormat="1">
      <c r="A29" s="3693" t="s">
        <v>962</v>
      </c>
      <c r="B29" s="3693" t="s">
        <v>963</v>
      </c>
      <c r="C29" s="61"/>
      <c r="D29" s="510"/>
      <c r="E29" s="510"/>
      <c r="F29" s="510"/>
      <c r="G29" s="510">
        <v>58909</v>
      </c>
      <c r="H29" s="511"/>
      <c r="I29" s="511"/>
      <c r="J29" s="511"/>
      <c r="K29" s="511"/>
      <c r="L29" s="91"/>
      <c r="M29" s="91"/>
      <c r="N29" s="544">
        <f>48000+58908.83</f>
        <v>106908.83</v>
      </c>
      <c r="O29" s="91">
        <f>50000+58908.83</f>
        <v>108908.83</v>
      </c>
      <c r="P29" s="91">
        <f>5000+63908.83</f>
        <v>68908.83</v>
      </c>
      <c r="Q29" s="91">
        <f>5000+48908.83</f>
        <v>53908.83</v>
      </c>
      <c r="R29" s="91">
        <v>15408.83</v>
      </c>
      <c r="S29" s="91"/>
      <c r="T29" s="511"/>
      <c r="U29" s="511"/>
      <c r="V29" s="511"/>
      <c r="W29" s="510"/>
      <c r="X29" s="511"/>
      <c r="Y29" s="511"/>
      <c r="Z29" s="61"/>
      <c r="AA29" s="511"/>
      <c r="AB29" s="88"/>
      <c r="AC29" s="88"/>
      <c r="AD29" s="88"/>
      <c r="AE29" s="555"/>
    </row>
    <row r="30" spans="1:32" s="37" customFormat="1">
      <c r="A30" s="3693" t="s">
        <v>954</v>
      </c>
      <c r="B30" s="3693" t="s">
        <v>929</v>
      </c>
      <c r="C30" s="61"/>
      <c r="D30" s="510"/>
      <c r="E30" s="510"/>
      <c r="F30" s="510"/>
      <c r="G30" s="510">
        <v>19916</v>
      </c>
      <c r="H30" s="511"/>
      <c r="I30" s="511"/>
      <c r="J30" s="511"/>
      <c r="K30" s="511"/>
      <c r="L30" s="91"/>
      <c r="M30" s="512"/>
      <c r="N30" s="544">
        <v>10000</v>
      </c>
      <c r="O30" s="512">
        <v>31500</v>
      </c>
      <c r="P30" s="91"/>
      <c r="Q30" s="91"/>
      <c r="R30" s="91"/>
      <c r="S30" s="91"/>
      <c r="T30" s="511"/>
      <c r="U30" s="511"/>
      <c r="V30" s="511"/>
      <c r="W30" s="511"/>
      <c r="X30" s="511"/>
      <c r="Y30" s="511"/>
      <c r="Z30" s="61"/>
      <c r="AA30" s="511"/>
      <c r="AB30" s="88"/>
      <c r="AC30" s="88"/>
      <c r="AD30" s="88"/>
      <c r="AE30" s="555"/>
    </row>
    <row r="31" spans="1:32" s="37" customFormat="1">
      <c r="A31" s="3693" t="s">
        <v>957</v>
      </c>
      <c r="B31" s="3693" t="s">
        <v>932</v>
      </c>
      <c r="C31" s="61"/>
      <c r="D31" s="510"/>
      <c r="E31" s="510"/>
      <c r="F31" s="510"/>
      <c r="G31" s="510">
        <v>105334.8</v>
      </c>
      <c r="H31" s="61"/>
      <c r="I31" s="61"/>
      <c r="J31" s="61"/>
      <c r="K31" s="61"/>
      <c r="L31" s="91"/>
      <c r="M31" s="91"/>
      <c r="N31" s="544">
        <v>31500</v>
      </c>
      <c r="O31" s="91"/>
      <c r="P31" s="91">
        <v>31500</v>
      </c>
      <c r="Q31" s="91"/>
      <c r="R31" s="91">
        <v>16500</v>
      </c>
      <c r="S31" s="91"/>
      <c r="T31" s="61"/>
      <c r="U31" s="61"/>
      <c r="V31" s="61"/>
      <c r="W31" s="61"/>
      <c r="X31" s="61"/>
      <c r="Y31" s="61"/>
      <c r="Z31" s="61"/>
      <c r="AA31" s="61"/>
      <c r="AB31" s="88"/>
      <c r="AC31" s="88"/>
      <c r="AD31" s="88"/>
      <c r="AE31" s="555"/>
    </row>
    <row r="32" spans="1:32" s="37" customFormat="1" ht="15.75" thickBot="1">
      <c r="A32" s="4134"/>
      <c r="B32" s="488"/>
      <c r="C32" s="61"/>
      <c r="D32" s="61"/>
      <c r="E32" s="61"/>
      <c r="F32" s="61"/>
      <c r="G32" s="510">
        <v>210669.6</v>
      </c>
      <c r="H32" s="61"/>
      <c r="I32" s="61"/>
      <c r="J32" s="61"/>
      <c r="K32" s="61"/>
      <c r="L32" s="494"/>
      <c r="M32" s="494"/>
      <c r="N32" s="3794">
        <f t="shared" ref="N32:S32" si="6">SUM(N28:N31)</f>
        <v>187418.83000000002</v>
      </c>
      <c r="O32" s="514">
        <f t="shared" si="6"/>
        <v>166918.83000000002</v>
      </c>
      <c r="P32" s="514">
        <f t="shared" si="6"/>
        <v>242071.61</v>
      </c>
      <c r="Q32" s="514">
        <f t="shared" si="6"/>
        <v>108667.8</v>
      </c>
      <c r="R32" s="514">
        <f t="shared" si="6"/>
        <v>31908.83</v>
      </c>
      <c r="S32" s="514">
        <f t="shared" si="6"/>
        <v>0</v>
      </c>
      <c r="T32" s="514"/>
      <c r="U32" s="514"/>
      <c r="V32" s="514"/>
      <c r="W32" s="514"/>
      <c r="X32" s="514"/>
      <c r="Y32" s="514"/>
      <c r="Z32" s="514"/>
      <c r="AA32" s="514"/>
      <c r="AB32" s="514"/>
      <c r="AC32" s="514"/>
      <c r="AD32" s="514"/>
      <c r="AE32" s="515"/>
    </row>
    <row r="33" spans="1:29" s="37" customFormat="1">
      <c r="A33" s="88"/>
      <c r="B33" s="42"/>
      <c r="C33" s="42"/>
      <c r="D33" s="42"/>
      <c r="E33" s="42"/>
      <c r="F33" s="42"/>
      <c r="G33" s="493"/>
      <c r="H33" s="42"/>
      <c r="I33" s="42"/>
      <c r="J33" s="42"/>
      <c r="K33" s="42"/>
      <c r="L33" s="42"/>
      <c r="M33" s="42"/>
      <c r="N33" s="42"/>
      <c r="O33" s="42"/>
      <c r="P33" s="42"/>
      <c r="Q33" s="228"/>
      <c r="R33" s="42"/>
      <c r="S33" s="42"/>
      <c r="T33" s="42"/>
      <c r="U33" s="42"/>
      <c r="V33" s="42"/>
      <c r="W33" s="42"/>
      <c r="X33" s="42"/>
      <c r="Y33" s="42"/>
      <c r="Z33" s="42"/>
      <c r="AA33" s="42"/>
    </row>
    <row r="34" spans="1:29" s="37" customFormat="1">
      <c r="A34" s="88"/>
      <c r="B34" s="42"/>
      <c r="C34" s="42"/>
      <c r="D34" s="42"/>
      <c r="E34" s="42"/>
      <c r="F34" s="42"/>
      <c r="G34" s="493"/>
      <c r="H34" s="42"/>
      <c r="I34" s="42"/>
      <c r="J34" s="42"/>
      <c r="K34" s="42"/>
      <c r="L34" s="42"/>
      <c r="M34" s="42"/>
      <c r="N34" s="42"/>
      <c r="O34" s="42"/>
      <c r="P34" s="42"/>
      <c r="Q34" s="228"/>
      <c r="R34" s="42"/>
      <c r="S34" s="42"/>
      <c r="T34" s="42"/>
      <c r="U34" s="42"/>
      <c r="V34" s="42"/>
      <c r="W34" s="42"/>
      <c r="X34" s="42"/>
      <c r="Y34" s="42"/>
      <c r="Z34" s="42"/>
      <c r="AA34" s="42"/>
    </row>
    <row r="35" spans="1:29" s="37" customFormat="1" ht="17.25" customHeight="1">
      <c r="A35" s="88"/>
      <c r="B35" s="42"/>
      <c r="C35" s="42"/>
      <c r="D35" s="42"/>
      <c r="E35" s="42"/>
      <c r="F35" s="42"/>
      <c r="G35" s="493"/>
      <c r="H35" s="42"/>
      <c r="I35" s="42"/>
      <c r="J35" s="42"/>
      <c r="K35" s="42"/>
      <c r="L35" s="42"/>
      <c r="M35" s="42"/>
      <c r="N35" s="42"/>
      <c r="O35" s="42"/>
      <c r="P35" s="42"/>
      <c r="Q35" s="228"/>
      <c r="R35" s="42"/>
      <c r="S35" s="42"/>
      <c r="T35" s="42"/>
      <c r="U35" s="42"/>
      <c r="V35" s="42"/>
      <c r="W35" s="42"/>
      <c r="X35" s="42"/>
      <c r="Y35" s="42"/>
      <c r="Z35" s="42"/>
      <c r="AA35" s="42"/>
    </row>
    <row r="36" spans="1:29" s="37" customFormat="1" ht="15.75" thickBot="1">
      <c r="B36" s="42"/>
      <c r="C36" s="42"/>
      <c r="D36" s="42"/>
      <c r="E36" s="42"/>
      <c r="F36" s="42"/>
      <c r="G36" s="42"/>
      <c r="H36" s="42"/>
      <c r="I36" s="42"/>
      <c r="J36" s="42"/>
      <c r="K36" s="42"/>
      <c r="L36" s="42"/>
      <c r="M36" s="42"/>
      <c r="N36" s="42"/>
      <c r="O36" s="42"/>
      <c r="P36" s="42"/>
      <c r="Q36" s="42"/>
      <c r="R36" s="42"/>
      <c r="S36" s="42"/>
      <c r="T36" s="42"/>
      <c r="U36" s="42"/>
      <c r="V36" s="42"/>
      <c r="W36" s="42"/>
      <c r="X36" s="42"/>
      <c r="Y36" s="42"/>
    </row>
    <row r="37" spans="1:29" s="37" customFormat="1" ht="19.5" customHeight="1" thickBot="1">
      <c r="A37" s="4132" t="s">
        <v>980</v>
      </c>
      <c r="B37" s="4131" t="s">
        <v>979</v>
      </c>
      <c r="C37" s="3689" t="s">
        <v>904</v>
      </c>
      <c r="D37" s="3690" t="s">
        <v>905</v>
      </c>
      <c r="E37" s="3690" t="s">
        <v>906</v>
      </c>
      <c r="F37" s="3690" t="s">
        <v>907</v>
      </c>
      <c r="G37" s="3690" t="s">
        <v>908</v>
      </c>
      <c r="H37" s="3690" t="s">
        <v>909</v>
      </c>
      <c r="I37" s="3690" t="s">
        <v>910</v>
      </c>
      <c r="J37" s="3690" t="s">
        <v>911</v>
      </c>
      <c r="K37" s="3690" t="s">
        <v>912</v>
      </c>
      <c r="L37" s="3698" t="s">
        <v>938</v>
      </c>
      <c r="M37" s="3690" t="s">
        <v>939</v>
      </c>
      <c r="N37" s="4096" t="s">
        <v>940</v>
      </c>
      <c r="O37" s="4097" t="s">
        <v>941</v>
      </c>
      <c r="P37" s="4097" t="s">
        <v>942</v>
      </c>
      <c r="Q37" s="4097" t="s">
        <v>943</v>
      </c>
      <c r="R37" s="33" t="s">
        <v>656</v>
      </c>
      <c r="S37" s="33" t="s">
        <v>636</v>
      </c>
      <c r="T37" s="4400" t="s">
        <v>944</v>
      </c>
      <c r="U37" s="4286" t="s">
        <v>945</v>
      </c>
      <c r="V37" s="4286" t="s">
        <v>946</v>
      </c>
      <c r="W37" s="4286" t="s">
        <v>947</v>
      </c>
      <c r="X37" s="4286" t="s">
        <v>948</v>
      </c>
      <c r="Y37" s="4286" t="s">
        <v>949</v>
      </c>
      <c r="Z37" s="4286" t="s">
        <v>2943</v>
      </c>
      <c r="AA37" s="4286" t="s">
        <v>7244</v>
      </c>
      <c r="AB37" s="4285" t="s">
        <v>7543</v>
      </c>
    </row>
    <row r="38" spans="1:29" s="37" customFormat="1" ht="15.75" hidden="1" thickBot="1">
      <c r="A38" s="39"/>
      <c r="B38" s="488"/>
      <c r="C38" s="489"/>
      <c r="D38" s="490"/>
      <c r="E38" s="490"/>
      <c r="F38" s="1036"/>
      <c r="G38" s="1036"/>
      <c r="H38" s="65"/>
      <c r="I38" s="65"/>
      <c r="J38" s="65"/>
      <c r="K38" s="65"/>
      <c r="L38" s="1029"/>
      <c r="M38" s="65"/>
      <c r="N38" s="4096"/>
      <c r="O38" s="4097"/>
      <c r="P38" s="4097"/>
      <c r="Q38" s="4097"/>
      <c r="R38" s="33"/>
      <c r="S38" s="33"/>
      <c r="T38" s="4400"/>
      <c r="U38" s="4286"/>
      <c r="V38" s="4286"/>
      <c r="W38" s="4286"/>
      <c r="X38" s="4286"/>
      <c r="Y38" s="4286"/>
      <c r="Z38" s="555"/>
      <c r="AA38" s="555"/>
      <c r="AB38" s="555"/>
    </row>
    <row r="39" spans="1:29" s="37" customFormat="1">
      <c r="A39" s="3695" t="s">
        <v>961</v>
      </c>
      <c r="B39" s="3695" t="s">
        <v>963</v>
      </c>
      <c r="C39" s="3696">
        <v>117626.87</v>
      </c>
      <c r="D39" s="3696">
        <v>132228.63715576884</v>
      </c>
      <c r="E39" s="3697">
        <v>5334090</v>
      </c>
      <c r="F39" s="3690">
        <v>124803.66</v>
      </c>
      <c r="G39" s="3690">
        <v>107542.41</v>
      </c>
      <c r="H39" s="3698">
        <v>119778.4</v>
      </c>
      <c r="I39" s="3690">
        <v>119097.54</v>
      </c>
      <c r="J39" s="3690">
        <v>106173.42</v>
      </c>
      <c r="K39" s="3690">
        <v>110696.95</v>
      </c>
      <c r="L39" s="3698">
        <v>18459.82</v>
      </c>
      <c r="M39" s="3690">
        <v>38307.35</v>
      </c>
      <c r="N39" s="1022">
        <v>39312</v>
      </c>
      <c r="O39" s="487">
        <v>46153.9</v>
      </c>
      <c r="P39" s="487">
        <v>44410.01</v>
      </c>
      <c r="Q39" s="487">
        <v>29265.599999999999</v>
      </c>
      <c r="R39" s="487"/>
      <c r="S39" s="3699"/>
      <c r="T39" s="1022">
        <v>36151.21</v>
      </c>
      <c r="U39" s="487">
        <v>43026.17</v>
      </c>
      <c r="V39" s="487">
        <v>29141.88</v>
      </c>
      <c r="W39" s="487">
        <v>13145.49</v>
      </c>
      <c r="X39" s="487">
        <v>17600.07</v>
      </c>
      <c r="Y39" s="487">
        <v>30965.7</v>
      </c>
      <c r="Z39" s="65">
        <v>27396.29</v>
      </c>
      <c r="AA39" s="4634">
        <v>11121.8</v>
      </c>
      <c r="AB39" s="555"/>
    </row>
    <row r="40" spans="1:29" s="37" customFormat="1">
      <c r="A40" s="3693" t="s">
        <v>962</v>
      </c>
      <c r="B40" s="3693" t="s">
        <v>963</v>
      </c>
      <c r="C40" s="3700">
        <v>38978.43</v>
      </c>
      <c r="D40" s="3700">
        <v>44753.556652346684</v>
      </c>
      <c r="E40" s="556">
        <v>1805354</v>
      </c>
      <c r="F40" s="227">
        <v>51820</v>
      </c>
      <c r="G40" s="227">
        <v>82716.89</v>
      </c>
      <c r="H40" s="3701">
        <v>46182.76</v>
      </c>
      <c r="I40" s="227">
        <v>117668.52</v>
      </c>
      <c r="J40" s="227">
        <v>103314.31</v>
      </c>
      <c r="K40" s="227">
        <v>145380.63</v>
      </c>
      <c r="L40" s="3701">
        <v>63803.54</v>
      </c>
      <c r="M40" s="227">
        <v>61226.36</v>
      </c>
      <c r="N40" s="1029">
        <v>68011.92</v>
      </c>
      <c r="O40" s="65">
        <v>84941.440000000002</v>
      </c>
      <c r="P40" s="65">
        <v>112990.75</v>
      </c>
      <c r="Q40" s="65">
        <v>103946.09</v>
      </c>
      <c r="R40" s="65"/>
      <c r="S40" s="59"/>
      <c r="T40" s="1029">
        <v>77379.03</v>
      </c>
      <c r="U40" s="65">
        <v>74288.94</v>
      </c>
      <c r="V40" s="65">
        <v>60926.94</v>
      </c>
      <c r="W40" s="65">
        <v>72290.7</v>
      </c>
      <c r="X40" s="65">
        <v>61527.3</v>
      </c>
      <c r="Y40" s="65">
        <v>54114.82</v>
      </c>
      <c r="Z40" s="65">
        <v>56244</v>
      </c>
      <c r="AA40" s="4634">
        <v>46507.4</v>
      </c>
      <c r="AB40" s="555"/>
    </row>
    <row r="41" spans="1:29" s="37" customFormat="1">
      <c r="A41" s="3693" t="s">
        <v>953</v>
      </c>
      <c r="B41" s="3693" t="s">
        <v>928</v>
      </c>
      <c r="C41" s="3700">
        <v>3334.79</v>
      </c>
      <c r="D41" s="3700">
        <v>6709.6348776273617</v>
      </c>
      <c r="E41" s="556">
        <v>270666</v>
      </c>
      <c r="F41" s="227">
        <v>5422</v>
      </c>
      <c r="G41" s="227">
        <v>5447.77</v>
      </c>
      <c r="H41" s="3701">
        <v>7243.89</v>
      </c>
      <c r="I41" s="227">
        <v>7161.12</v>
      </c>
      <c r="J41" s="227">
        <v>8294.1200000000008</v>
      </c>
      <c r="K41" s="227">
        <v>8381.2199999999993</v>
      </c>
      <c r="L41" s="3701">
        <v>8033.93</v>
      </c>
      <c r="M41" s="227">
        <v>8474.31</v>
      </c>
      <c r="N41" s="1029">
        <v>10597.53</v>
      </c>
      <c r="O41" s="65">
        <v>11565.92</v>
      </c>
      <c r="P41" s="65">
        <v>8641.2099999999991</v>
      </c>
      <c r="Q41" s="65">
        <v>9565.7199999999993</v>
      </c>
      <c r="R41" s="65"/>
      <c r="S41" s="59"/>
      <c r="T41" s="1029">
        <v>11946.3</v>
      </c>
      <c r="U41" s="65">
        <v>13527.04</v>
      </c>
      <c r="V41" s="65">
        <v>16560.509999999998</v>
      </c>
      <c r="W41" s="65">
        <v>13827.51</v>
      </c>
      <c r="X41" s="65">
        <v>17151.669999999998</v>
      </c>
      <c r="Y41" s="65">
        <v>18375.400000000001</v>
      </c>
      <c r="Z41" s="65">
        <v>17039.009999999998</v>
      </c>
      <c r="AA41" s="4634">
        <v>14016.51</v>
      </c>
      <c r="AB41" s="555"/>
    </row>
    <row r="42" spans="1:29" s="37" customFormat="1">
      <c r="A42" s="3693" t="s">
        <v>954</v>
      </c>
      <c r="B42" s="3693" t="s">
        <v>929</v>
      </c>
      <c r="C42" s="3700">
        <v>12038.25</v>
      </c>
      <c r="D42" s="3700">
        <v>52197.923148049449</v>
      </c>
      <c r="E42" s="556">
        <v>2105659</v>
      </c>
      <c r="F42" s="227">
        <v>50722</v>
      </c>
      <c r="G42" s="227">
        <v>48821</v>
      </c>
      <c r="H42" s="3701">
        <v>37204.6</v>
      </c>
      <c r="I42" s="227">
        <v>61402.22</v>
      </c>
      <c r="J42" s="227">
        <v>51856</v>
      </c>
      <c r="K42" s="227">
        <v>50903</v>
      </c>
      <c r="L42" s="3701">
        <v>4626.13</v>
      </c>
      <c r="M42" s="227">
        <v>13577.62</v>
      </c>
      <c r="N42" s="1029">
        <v>27253.05</v>
      </c>
      <c r="O42" s="65">
        <v>23813.040000000001</v>
      </c>
      <c r="P42" s="65">
        <v>6117.54</v>
      </c>
      <c r="Q42" s="65">
        <v>5025.68</v>
      </c>
      <c r="R42" s="65"/>
      <c r="S42" s="59"/>
      <c r="T42" s="1029">
        <v>8576.19</v>
      </c>
      <c r="U42" s="65">
        <v>12325.66</v>
      </c>
      <c r="V42" s="65">
        <v>10595.71</v>
      </c>
      <c r="W42" s="65">
        <v>5045.01</v>
      </c>
      <c r="X42" s="65">
        <v>10530.88</v>
      </c>
      <c r="Y42" s="65">
        <v>17954.53</v>
      </c>
      <c r="Z42" s="65">
        <v>17446.82</v>
      </c>
      <c r="AA42" s="4634">
        <v>17224.47</v>
      </c>
      <c r="AB42" s="555"/>
    </row>
    <row r="43" spans="1:29" s="37" customFormat="1">
      <c r="A43" s="3693" t="s">
        <v>955</v>
      </c>
      <c r="B43" s="3693" t="s">
        <v>930</v>
      </c>
      <c r="C43" s="3700">
        <v>8097.49</v>
      </c>
      <c r="D43" s="3700">
        <v>8945.7336284918892</v>
      </c>
      <c r="E43" s="556">
        <v>360870</v>
      </c>
      <c r="F43" s="227">
        <v>16637</v>
      </c>
      <c r="G43" s="227">
        <v>0</v>
      </c>
      <c r="H43" s="3701">
        <v>8355.02</v>
      </c>
      <c r="I43" s="227">
        <v>11979.78</v>
      </c>
      <c r="J43" s="227">
        <v>13457.05</v>
      </c>
      <c r="K43" s="227">
        <v>12206.97</v>
      </c>
      <c r="L43" s="3701">
        <v>13593.29</v>
      </c>
      <c r="M43" s="227">
        <v>19675.04</v>
      </c>
      <c r="N43" s="1029">
        <v>18426.830000000002</v>
      </c>
      <c r="O43" s="65">
        <v>16574.41</v>
      </c>
      <c r="P43" s="65">
        <v>16232.91</v>
      </c>
      <c r="Q43" s="65">
        <v>11745.64</v>
      </c>
      <c r="R43" s="65"/>
      <c r="S43" s="59"/>
      <c r="T43" s="1029">
        <v>8158.67</v>
      </c>
      <c r="U43" s="65">
        <v>7114.04</v>
      </c>
      <c r="V43" s="65">
        <v>6945.45</v>
      </c>
      <c r="W43" s="65">
        <v>10767.98</v>
      </c>
      <c r="X43" s="65">
        <v>8574.83</v>
      </c>
      <c r="Y43" s="65">
        <v>4681.3100000000004</v>
      </c>
      <c r="Z43" s="65">
        <v>10786.68</v>
      </c>
      <c r="AA43" s="4634">
        <v>17168.29</v>
      </c>
      <c r="AB43" s="555"/>
    </row>
    <row r="44" spans="1:29" s="37" customFormat="1">
      <c r="A44" s="3693" t="s">
        <v>956</v>
      </c>
      <c r="B44" s="3693" t="s">
        <v>931</v>
      </c>
      <c r="C44" s="3700">
        <v>18937.21</v>
      </c>
      <c r="D44" s="3700">
        <v>21843.088356689033</v>
      </c>
      <c r="E44" s="556">
        <v>881148</v>
      </c>
      <c r="F44" s="227">
        <v>22921</v>
      </c>
      <c r="G44" s="227">
        <v>11017.14</v>
      </c>
      <c r="H44" s="3701">
        <v>0</v>
      </c>
      <c r="I44" s="227">
        <v>3608.11</v>
      </c>
      <c r="J44" s="227">
        <v>7054.06</v>
      </c>
      <c r="K44" s="227">
        <v>0</v>
      </c>
      <c r="L44" s="3701">
        <v>14271.5</v>
      </c>
      <c r="M44" s="227">
        <v>14308.77</v>
      </c>
      <c r="N44" s="1029">
        <v>9278.7099999999991</v>
      </c>
      <c r="O44" s="65">
        <v>12856.37</v>
      </c>
      <c r="P44" s="65">
        <v>9686.2800000000007</v>
      </c>
      <c r="Q44" s="65">
        <v>10011.31</v>
      </c>
      <c r="R44" s="65"/>
      <c r="S44" s="59"/>
      <c r="T44" s="1029">
        <v>13008.51</v>
      </c>
      <c r="U44" s="65">
        <v>16464.02</v>
      </c>
      <c r="V44" s="65">
        <v>16661.189999999999</v>
      </c>
      <c r="W44" s="65">
        <v>16896.669999999998</v>
      </c>
      <c r="X44" s="65">
        <v>18142.34</v>
      </c>
      <c r="Y44" s="65">
        <v>15919.21</v>
      </c>
      <c r="Z44" s="65">
        <v>14062.04</v>
      </c>
      <c r="AA44" s="4634">
        <v>10860.76</v>
      </c>
      <c r="AB44" s="555"/>
    </row>
    <row r="45" spans="1:29" s="37" customFormat="1">
      <c r="A45" s="3693" t="s">
        <v>957</v>
      </c>
      <c r="B45" s="3693" t="s">
        <v>932</v>
      </c>
      <c r="C45" s="3700">
        <v>15870.74</v>
      </c>
      <c r="D45" s="3700">
        <v>18978.133312179754</v>
      </c>
      <c r="E45" s="556">
        <v>765576</v>
      </c>
      <c r="F45" s="227">
        <v>18766</v>
      </c>
      <c r="G45" s="227">
        <v>29038.78</v>
      </c>
      <c r="H45" s="3701">
        <v>20885.04</v>
      </c>
      <c r="I45" s="227">
        <v>20814.62</v>
      </c>
      <c r="J45" s="227">
        <v>25709.53</v>
      </c>
      <c r="K45" s="227">
        <v>23367.68</v>
      </c>
      <c r="L45" s="3701">
        <v>11960.66</v>
      </c>
      <c r="M45" s="227">
        <v>12114.96</v>
      </c>
      <c r="N45" s="1029">
        <v>12017.45</v>
      </c>
      <c r="O45" s="65">
        <v>27516.18</v>
      </c>
      <c r="P45" s="65">
        <v>27829.19</v>
      </c>
      <c r="Q45" s="65">
        <v>1660.87</v>
      </c>
      <c r="R45" s="65"/>
      <c r="S45" s="59"/>
      <c r="T45" s="1029">
        <v>3210.6</v>
      </c>
      <c r="U45" s="65">
        <v>13802.46</v>
      </c>
      <c r="V45" s="65">
        <v>9209.42</v>
      </c>
      <c r="W45" s="65">
        <v>12760.57</v>
      </c>
      <c r="X45" s="65">
        <v>14991.75</v>
      </c>
      <c r="Y45" s="65">
        <v>10800.41</v>
      </c>
      <c r="Z45" s="65">
        <v>11078.74</v>
      </c>
      <c r="AA45" s="4634">
        <v>11305.95</v>
      </c>
      <c r="AB45" s="555"/>
    </row>
    <row r="46" spans="1:29" s="37" customFormat="1">
      <c r="A46" s="3693" t="s">
        <v>958</v>
      </c>
      <c r="B46" s="3693" t="s">
        <v>933</v>
      </c>
      <c r="C46" s="3700">
        <v>12445.25</v>
      </c>
      <c r="D46" s="3700">
        <v>4283.5009506716679</v>
      </c>
      <c r="E46" s="556">
        <v>172796</v>
      </c>
      <c r="F46" s="227">
        <v>22634</v>
      </c>
      <c r="G46" s="227">
        <v>23961.439999999999</v>
      </c>
      <c r="H46" s="3701">
        <v>15754.5</v>
      </c>
      <c r="I46" s="227">
        <v>25868.84</v>
      </c>
      <c r="J46" s="227">
        <v>29525.34</v>
      </c>
      <c r="K46" s="227">
        <v>27644.3</v>
      </c>
      <c r="L46" s="3701">
        <v>53746.45</v>
      </c>
      <c r="M46" s="227">
        <v>40887.83</v>
      </c>
      <c r="N46" s="1029">
        <v>28222.67</v>
      </c>
      <c r="O46" s="65">
        <v>22967.119999999999</v>
      </c>
      <c r="P46" s="65">
        <v>38527.160000000003</v>
      </c>
      <c r="Q46" s="65">
        <v>49387.01</v>
      </c>
      <c r="R46" s="65"/>
      <c r="S46" s="59"/>
      <c r="T46" s="1029">
        <v>29605.119999999999</v>
      </c>
      <c r="U46" s="65">
        <v>20095.61</v>
      </c>
      <c r="V46" s="65">
        <v>9903.23</v>
      </c>
      <c r="W46" s="65">
        <v>3636.1</v>
      </c>
      <c r="X46" s="65">
        <v>2954.38</v>
      </c>
      <c r="Y46" s="65">
        <v>139.52000000000001</v>
      </c>
      <c r="Z46" s="65">
        <v>12932.92</v>
      </c>
      <c r="AA46" s="4634">
        <v>17918.09</v>
      </c>
      <c r="AB46" s="555"/>
    </row>
    <row r="47" spans="1:29" s="37" customFormat="1" ht="15.75" thickBot="1">
      <c r="A47" s="3693" t="s">
        <v>959</v>
      </c>
      <c r="B47" s="3693" t="s">
        <v>935</v>
      </c>
      <c r="C47" s="3700">
        <v>13709.78</v>
      </c>
      <c r="D47" s="3700">
        <v>16694.414215206285</v>
      </c>
      <c r="E47" s="556">
        <v>673451</v>
      </c>
      <c r="F47" s="227">
        <v>15074</v>
      </c>
      <c r="G47" s="227">
        <v>11947.94</v>
      </c>
      <c r="H47" s="3703">
        <v>7368.12</v>
      </c>
      <c r="I47" s="3704">
        <v>14731.2</v>
      </c>
      <c r="J47" s="3704">
        <v>27098.12</v>
      </c>
      <c r="K47" s="3704">
        <v>9985.01</v>
      </c>
      <c r="L47" s="3701">
        <v>29773.22</v>
      </c>
      <c r="M47" s="227">
        <v>30463.439999999999</v>
      </c>
      <c r="N47" s="1029">
        <v>33965.79</v>
      </c>
      <c r="O47" s="65">
        <v>30387.95</v>
      </c>
      <c r="P47" s="65">
        <v>26113.67</v>
      </c>
      <c r="Q47" s="65">
        <v>24563.05</v>
      </c>
      <c r="R47" s="65"/>
      <c r="S47" s="59"/>
      <c r="T47" s="1029">
        <v>20111.7</v>
      </c>
      <c r="U47" s="65">
        <v>16966.95</v>
      </c>
      <c r="V47" s="65">
        <v>18419.57</v>
      </c>
      <c r="W47" s="65">
        <v>22906.01</v>
      </c>
      <c r="X47" s="65">
        <v>19948.7</v>
      </c>
      <c r="Y47" s="65">
        <v>15459</v>
      </c>
      <c r="Z47" s="65">
        <v>18332.38</v>
      </c>
      <c r="AA47" s="4634">
        <v>18970.060000000001</v>
      </c>
      <c r="AB47" s="555"/>
      <c r="AC47" s="3798"/>
    </row>
    <row r="48" spans="1:29" s="37" customFormat="1" ht="15.75" hidden="1" thickBot="1">
      <c r="A48" s="3712"/>
      <c r="B48" s="496"/>
      <c r="C48" s="3697"/>
      <c r="D48" s="486"/>
      <c r="E48" s="486"/>
      <c r="F48" s="487"/>
      <c r="G48" s="487"/>
      <c r="H48" s="65"/>
      <c r="I48" s="65"/>
      <c r="J48" s="65"/>
      <c r="K48" s="65"/>
      <c r="L48" s="1022"/>
      <c r="M48" s="487"/>
      <c r="N48" s="1022"/>
      <c r="O48" s="487"/>
      <c r="P48" s="487"/>
      <c r="Q48" s="487"/>
      <c r="R48" s="3690"/>
      <c r="S48" s="485"/>
      <c r="T48" s="542"/>
      <c r="U48" s="487"/>
      <c r="V48" s="486"/>
      <c r="W48" s="486"/>
      <c r="X48" s="486"/>
      <c r="Y48" s="486"/>
      <c r="Z48" s="88"/>
      <c r="AA48" s="88"/>
      <c r="AB48" s="555"/>
    </row>
    <row r="49" spans="1:29" s="37" customFormat="1" ht="15.75" thickBot="1">
      <c r="A49" s="3712"/>
      <c r="B49" s="3706"/>
      <c r="C49" s="3700">
        <v>241038.80999999997</v>
      </c>
      <c r="D49" s="3713">
        <v>306634.62229703099</v>
      </c>
      <c r="E49" s="3713">
        <v>12369610</v>
      </c>
      <c r="F49" s="227">
        <v>328799.66000000003</v>
      </c>
      <c r="G49" s="227">
        <v>320493.37</v>
      </c>
      <c r="H49" s="227">
        <v>262772.33</v>
      </c>
      <c r="I49" s="227">
        <v>382331.95000000007</v>
      </c>
      <c r="J49" s="227">
        <v>372481.95</v>
      </c>
      <c r="K49" s="227">
        <v>388565.75999999995</v>
      </c>
      <c r="L49" s="3701">
        <v>218268.54</v>
      </c>
      <c r="M49" s="227">
        <v>239035.68</v>
      </c>
      <c r="N49" s="3720">
        <v>247085.95000000004</v>
      </c>
      <c r="O49" s="3714">
        <v>276776.33</v>
      </c>
      <c r="P49" s="3714">
        <v>290548.72000000003</v>
      </c>
      <c r="Q49" s="3714">
        <v>245170.96999999997</v>
      </c>
      <c r="R49" s="3714">
        <v>0</v>
      </c>
      <c r="S49" s="3715">
        <v>0</v>
      </c>
      <c r="T49" s="3720">
        <v>208147.33000000002</v>
      </c>
      <c r="U49" s="3714">
        <v>217610.89</v>
      </c>
      <c r="V49" s="3714">
        <v>178363.90000000002</v>
      </c>
      <c r="W49" s="3714">
        <v>171276.04</v>
      </c>
      <c r="X49" s="3714">
        <v>171121.92000000001</v>
      </c>
      <c r="Y49" s="3714">
        <v>168409.9</v>
      </c>
      <c r="Z49" s="3714">
        <f>SUM(Z39:Z47)</f>
        <v>185318.88</v>
      </c>
      <c r="AA49" s="3714">
        <f>SUM(AA39:AA47)</f>
        <v>165093.32999999999</v>
      </c>
      <c r="AB49" s="3716">
        <f>SUM(AB39:AB47)</f>
        <v>0</v>
      </c>
      <c r="AC49" s="3797"/>
    </row>
    <row r="50" spans="1:29" s="37" customFormat="1" ht="15.75" thickBot="1">
      <c r="A50" s="3717"/>
      <c r="B50" s="488"/>
      <c r="C50" s="489"/>
      <c r="D50" s="490"/>
      <c r="E50" s="490"/>
      <c r="F50" s="491">
        <v>6.7411984863272184E-2</v>
      </c>
      <c r="G50" s="491">
        <v>-2.5262465295736732E-2</v>
      </c>
      <c r="H50" s="491">
        <v>-0.18010057431141238</v>
      </c>
      <c r="I50" s="491">
        <v>0.45499318744861778</v>
      </c>
      <c r="J50" s="491">
        <v>-2.5762952847649945E-2</v>
      </c>
      <c r="K50" s="491">
        <v>4.318010577425279E-2</v>
      </c>
      <c r="L50" s="492">
        <v>-0.43827129801658271</v>
      </c>
      <c r="M50" s="491">
        <v>9.5144907277979612E-2</v>
      </c>
      <c r="N50" s="4138">
        <f>(N49-M49)/M49</f>
        <v>3.3678110313908147E-2</v>
      </c>
      <c r="O50" s="4125">
        <f>(O49-N49)/N49</f>
        <v>0.12016215410062762</v>
      </c>
      <c r="P50" s="4125">
        <f>(P49-O49)/O49</f>
        <v>4.9759999346764998E-2</v>
      </c>
      <c r="Q50" s="4125">
        <f>(Q49-P49)/P49</f>
        <v>-0.15617948686884614</v>
      </c>
      <c r="R50" s="4139">
        <f t="shared" ref="R50:X50" si="7">(R49-Q49)/Q49</f>
        <v>-1</v>
      </c>
      <c r="S50" s="4138" t="e">
        <f t="shared" si="7"/>
        <v>#DIV/0!</v>
      </c>
      <c r="T50" s="4637">
        <f>(T49-Q49)/Q49</f>
        <v>-0.15101151657555525</v>
      </c>
      <c r="U50" s="4125">
        <f t="shared" si="7"/>
        <v>4.5465680486989658E-2</v>
      </c>
      <c r="V50" s="4125">
        <f>(V49-U49)/U49</f>
        <v>-0.1803539795274032</v>
      </c>
      <c r="W50" s="4140">
        <f t="shared" si="7"/>
        <v>-3.9738198144355523E-2</v>
      </c>
      <c r="X50" s="4125">
        <f t="shared" si="7"/>
        <v>-8.9983397561033834E-4</v>
      </c>
      <c r="Y50" s="4125">
        <f>(Y49-X49)/X49</f>
        <v>-1.5848466403369121E-2</v>
      </c>
      <c r="Z50" s="4125">
        <f>(Z49-Y49)/Y49</f>
        <v>0.10040371735865891</v>
      </c>
      <c r="AA50" s="4125">
        <f>(AA49-Z49)/Z49</f>
        <v>-0.10913917675306486</v>
      </c>
      <c r="AB50" s="4126">
        <f>(AB49-AA49)/AA49</f>
        <v>-1</v>
      </c>
      <c r="AC50" s="3797"/>
    </row>
    <row r="51" spans="1:29" s="37" customFormat="1" ht="15.75" thickBot="1">
      <c r="A51" s="39"/>
      <c r="B51" s="42"/>
      <c r="C51" s="42"/>
      <c r="D51" s="42"/>
      <c r="E51" s="42"/>
      <c r="F51" s="42"/>
      <c r="G51" s="42"/>
      <c r="H51" s="42"/>
      <c r="I51" s="42"/>
      <c r="J51" s="42"/>
      <c r="K51" s="42"/>
      <c r="L51" s="42"/>
      <c r="M51" s="42"/>
      <c r="N51" s="42"/>
      <c r="O51" s="42"/>
      <c r="P51" s="42"/>
      <c r="Q51" s="42"/>
      <c r="R51" s="42"/>
      <c r="S51" s="42"/>
      <c r="T51" s="42"/>
      <c r="U51" s="42"/>
      <c r="V51" s="42"/>
      <c r="W51" s="42"/>
      <c r="X51" s="42"/>
      <c r="Y51" s="42"/>
      <c r="AA51" s="88"/>
      <c r="AC51" s="3797"/>
    </row>
    <row r="52" spans="1:29" s="37" customFormat="1" ht="15.75" thickBot="1">
      <c r="A52" s="4121"/>
      <c r="B52" s="4131" t="s">
        <v>7838</v>
      </c>
      <c r="C52" s="3689" t="s">
        <v>904</v>
      </c>
      <c r="D52" s="3690" t="s">
        <v>905</v>
      </c>
      <c r="E52" s="3690" t="s">
        <v>906</v>
      </c>
      <c r="F52" s="3690" t="s">
        <v>907</v>
      </c>
      <c r="G52" s="3690" t="s">
        <v>908</v>
      </c>
      <c r="H52" s="3690" t="s">
        <v>909</v>
      </c>
      <c r="I52" s="3690" t="s">
        <v>910</v>
      </c>
      <c r="J52" s="3690" t="s">
        <v>911</v>
      </c>
      <c r="K52" s="3690" t="s">
        <v>912</v>
      </c>
      <c r="L52" s="3698" t="s">
        <v>938</v>
      </c>
      <c r="M52" s="3690" t="s">
        <v>939</v>
      </c>
      <c r="N52" s="4117" t="s">
        <v>940</v>
      </c>
      <c r="O52" s="4118" t="s">
        <v>941</v>
      </c>
      <c r="P52" s="4118" t="s">
        <v>942</v>
      </c>
      <c r="Q52" s="4118" t="s">
        <v>943</v>
      </c>
      <c r="R52" s="33" t="s">
        <v>656</v>
      </c>
      <c r="S52" s="33" t="s">
        <v>636</v>
      </c>
      <c r="T52" s="4400" t="s">
        <v>944</v>
      </c>
      <c r="U52" s="4286" t="s">
        <v>945</v>
      </c>
      <c r="V52" s="4286" t="s">
        <v>946</v>
      </c>
      <c r="W52" s="4286" t="s">
        <v>947</v>
      </c>
      <c r="X52" s="4286" t="s">
        <v>948</v>
      </c>
      <c r="Y52" s="4286" t="s">
        <v>949</v>
      </c>
      <c r="Z52" s="4286" t="s">
        <v>2943</v>
      </c>
      <c r="AA52" s="4286" t="s">
        <v>7244</v>
      </c>
      <c r="AB52" s="4285" t="s">
        <v>7543</v>
      </c>
    </row>
    <row r="53" spans="1:29" s="37" customFormat="1">
      <c r="A53" s="3695" t="s">
        <v>961</v>
      </c>
      <c r="B53" s="3695" t="s">
        <v>963</v>
      </c>
      <c r="C53" s="3696">
        <v>117626.87</v>
      </c>
      <c r="D53" s="3696">
        <v>132228.63715576884</v>
      </c>
      <c r="E53" s="3697">
        <v>5334090</v>
      </c>
      <c r="F53" s="3690">
        <v>124803.66</v>
      </c>
      <c r="G53" s="3690">
        <v>107542.41</v>
      </c>
      <c r="H53" s="3698">
        <v>119778.4</v>
      </c>
      <c r="I53" s="3690">
        <v>119097.54</v>
      </c>
      <c r="J53" s="3690">
        <v>106173.42</v>
      </c>
      <c r="K53" s="3690">
        <v>110696.95</v>
      </c>
      <c r="L53" s="3698">
        <v>18459.82</v>
      </c>
      <c r="M53" s="3690">
        <v>38307.35</v>
      </c>
      <c r="N53" s="1022">
        <v>0</v>
      </c>
      <c r="O53" s="487">
        <v>0</v>
      </c>
      <c r="P53" s="487">
        <v>1777.38</v>
      </c>
      <c r="Q53" s="487">
        <v>42174.73</v>
      </c>
      <c r="R53" s="487"/>
      <c r="S53" s="3699"/>
      <c r="T53" s="1022">
        <v>-13072.99</v>
      </c>
      <c r="U53" s="487">
        <v>0</v>
      </c>
      <c r="V53" s="487">
        <v>0</v>
      </c>
      <c r="W53" s="487">
        <v>-1788.17</v>
      </c>
      <c r="X53" s="487">
        <v>45174.83</v>
      </c>
      <c r="Y53" s="487">
        <v>39298.660000000003</v>
      </c>
      <c r="Z53" s="65">
        <v>48077.83</v>
      </c>
      <c r="AA53" s="4634">
        <v>30502.35</v>
      </c>
      <c r="AB53" s="555"/>
    </row>
    <row r="54" spans="1:29" s="37" customFormat="1">
      <c r="A54" s="3693" t="s">
        <v>962</v>
      </c>
      <c r="B54" s="3693" t="s">
        <v>963</v>
      </c>
      <c r="C54" s="3700">
        <v>38978.43</v>
      </c>
      <c r="D54" s="3700">
        <v>44753.556652346684</v>
      </c>
      <c r="E54" s="556">
        <v>1805354</v>
      </c>
      <c r="F54" s="227">
        <v>51820</v>
      </c>
      <c r="G54" s="227">
        <v>82716.89</v>
      </c>
      <c r="H54" s="3701">
        <v>46182.76</v>
      </c>
      <c r="I54" s="227">
        <v>117668.52</v>
      </c>
      <c r="J54" s="227">
        <v>103314.31</v>
      </c>
      <c r="K54" s="227">
        <v>145380.63</v>
      </c>
      <c r="L54" s="3701">
        <v>63803.54</v>
      </c>
      <c r="M54" s="227">
        <v>61226.36</v>
      </c>
      <c r="N54" s="1029">
        <v>-51732.84</v>
      </c>
      <c r="O54" s="65">
        <v>-44847.839999999997</v>
      </c>
      <c r="P54" s="65">
        <v>-65974.5</v>
      </c>
      <c r="Q54" s="65">
        <v>-65974.5</v>
      </c>
      <c r="R54" s="65"/>
      <c r="S54" s="59"/>
      <c r="T54" s="1029">
        <v>-65974.5</v>
      </c>
      <c r="U54" s="65">
        <v>-55474.5</v>
      </c>
      <c r="V54" s="65">
        <v>-14366.83</v>
      </c>
      <c r="W54" s="65">
        <v>-67749.3</v>
      </c>
      <c r="X54" s="65">
        <v>-52143.28</v>
      </c>
      <c r="Y54" s="65">
        <v>-52143.28</v>
      </c>
      <c r="Z54" s="65">
        <v>-7680</v>
      </c>
      <c r="AA54" s="4634">
        <v>0</v>
      </c>
      <c r="AB54" s="555"/>
    </row>
    <row r="55" spans="1:29" s="37" customFormat="1">
      <c r="A55" s="3693" t="s">
        <v>953</v>
      </c>
      <c r="B55" s="3693" t="s">
        <v>928</v>
      </c>
      <c r="C55" s="3700">
        <v>3334.79</v>
      </c>
      <c r="D55" s="3700">
        <v>6709.6348776273617</v>
      </c>
      <c r="E55" s="556">
        <v>270666</v>
      </c>
      <c r="F55" s="227">
        <v>5422</v>
      </c>
      <c r="G55" s="227">
        <v>5447.77</v>
      </c>
      <c r="H55" s="3701">
        <v>7243.89</v>
      </c>
      <c r="I55" s="227">
        <v>7161.12</v>
      </c>
      <c r="J55" s="227">
        <v>8294.1200000000008</v>
      </c>
      <c r="K55" s="227">
        <v>8381.2199999999993</v>
      </c>
      <c r="L55" s="3701">
        <v>8033.93</v>
      </c>
      <c r="M55" s="227">
        <v>8474.31</v>
      </c>
      <c r="N55" s="1029">
        <v>0</v>
      </c>
      <c r="O55" s="65">
        <v>0</v>
      </c>
      <c r="P55" s="65">
        <v>0</v>
      </c>
      <c r="Q55" s="65">
        <v>0</v>
      </c>
      <c r="R55" s="65"/>
      <c r="S55" s="59"/>
      <c r="T55" s="1029">
        <v>0</v>
      </c>
      <c r="U55" s="65">
        <v>0</v>
      </c>
      <c r="V55" s="65">
        <v>0</v>
      </c>
      <c r="W55" s="65">
        <v>0</v>
      </c>
      <c r="X55" s="65">
        <v>0</v>
      </c>
      <c r="Y55" s="65">
        <v>0</v>
      </c>
      <c r="Z55" s="65">
        <v>0</v>
      </c>
      <c r="AA55" s="4634">
        <v>0</v>
      </c>
      <c r="AB55" s="555"/>
    </row>
    <row r="56" spans="1:29" s="37" customFormat="1">
      <c r="A56" s="3693" t="s">
        <v>954</v>
      </c>
      <c r="B56" s="3693" t="s">
        <v>929</v>
      </c>
      <c r="C56" s="3700">
        <v>12038.25</v>
      </c>
      <c r="D56" s="3700">
        <v>52197.923148049449</v>
      </c>
      <c r="E56" s="556">
        <v>2105659</v>
      </c>
      <c r="F56" s="227">
        <v>50722</v>
      </c>
      <c r="G56" s="227">
        <v>48821</v>
      </c>
      <c r="H56" s="3701">
        <v>37204.6</v>
      </c>
      <c r="I56" s="227">
        <v>61402.22</v>
      </c>
      <c r="J56" s="227">
        <v>51856</v>
      </c>
      <c r="K56" s="227">
        <v>50903</v>
      </c>
      <c r="L56" s="3701">
        <v>4626.13</v>
      </c>
      <c r="M56" s="227">
        <v>13577.62</v>
      </c>
      <c r="N56" s="1029">
        <v>1210.69</v>
      </c>
      <c r="O56" s="65">
        <v>0</v>
      </c>
      <c r="P56" s="65">
        <v>0</v>
      </c>
      <c r="Q56" s="65">
        <v>0</v>
      </c>
      <c r="R56" s="65"/>
      <c r="S56" s="59"/>
      <c r="T56" s="1029">
        <v>0</v>
      </c>
      <c r="U56" s="65">
        <v>0</v>
      </c>
      <c r="V56" s="65">
        <v>0</v>
      </c>
      <c r="W56" s="65">
        <v>0</v>
      </c>
      <c r="X56" s="65">
        <v>0</v>
      </c>
      <c r="Y56" s="65">
        <v>0</v>
      </c>
      <c r="Z56" s="65">
        <v>5000</v>
      </c>
      <c r="AA56" s="4634">
        <v>0</v>
      </c>
      <c r="AB56" s="555"/>
    </row>
    <row r="57" spans="1:29" s="37" customFormat="1">
      <c r="A57" s="3693" t="s">
        <v>955</v>
      </c>
      <c r="B57" s="3693" t="s">
        <v>930</v>
      </c>
      <c r="C57" s="3700">
        <v>8097.49</v>
      </c>
      <c r="D57" s="3700">
        <v>8945.7336284918892</v>
      </c>
      <c r="E57" s="556">
        <v>360870</v>
      </c>
      <c r="F57" s="227">
        <v>16637</v>
      </c>
      <c r="G57" s="227">
        <v>0</v>
      </c>
      <c r="H57" s="3701">
        <v>8355.02</v>
      </c>
      <c r="I57" s="227">
        <v>11979.78</v>
      </c>
      <c r="J57" s="227">
        <v>13457.05</v>
      </c>
      <c r="K57" s="227">
        <v>12206.97</v>
      </c>
      <c r="L57" s="3701">
        <v>13593.29</v>
      </c>
      <c r="M57" s="227">
        <v>19675.04</v>
      </c>
      <c r="N57" s="1029">
        <v>0</v>
      </c>
      <c r="O57" s="65">
        <v>0</v>
      </c>
      <c r="P57" s="65">
        <v>0</v>
      </c>
      <c r="Q57" s="65">
        <v>0</v>
      </c>
      <c r="R57" s="65"/>
      <c r="S57" s="59"/>
      <c r="T57" s="1029">
        <v>-108</v>
      </c>
      <c r="U57" s="65">
        <v>0</v>
      </c>
      <c r="V57" s="65">
        <v>0</v>
      </c>
      <c r="W57" s="65">
        <v>0</v>
      </c>
      <c r="X57" s="65">
        <v>0</v>
      </c>
      <c r="Y57" s="65">
        <v>0</v>
      </c>
      <c r="Z57" s="65">
        <v>0</v>
      </c>
      <c r="AA57" s="4634">
        <v>1000</v>
      </c>
      <c r="AB57" s="555"/>
    </row>
    <row r="58" spans="1:29" s="37" customFormat="1">
      <c r="A58" s="3693" t="s">
        <v>956</v>
      </c>
      <c r="B58" s="3693" t="s">
        <v>931</v>
      </c>
      <c r="C58" s="3700">
        <v>18937.21</v>
      </c>
      <c r="D58" s="3700">
        <v>21843.088356689033</v>
      </c>
      <c r="E58" s="556">
        <v>881148</v>
      </c>
      <c r="F58" s="227">
        <v>22921</v>
      </c>
      <c r="G58" s="227">
        <v>11017.14</v>
      </c>
      <c r="H58" s="3701">
        <v>0</v>
      </c>
      <c r="I58" s="227">
        <v>3608.11</v>
      </c>
      <c r="J58" s="227">
        <v>7054.06</v>
      </c>
      <c r="K58" s="227">
        <v>0</v>
      </c>
      <c r="L58" s="3701">
        <v>14271.5</v>
      </c>
      <c r="M58" s="227">
        <v>14308.77</v>
      </c>
      <c r="N58" s="1029">
        <v>0</v>
      </c>
      <c r="O58" s="65">
        <v>0</v>
      </c>
      <c r="P58" s="65">
        <v>0</v>
      </c>
      <c r="Q58" s="65">
        <v>0</v>
      </c>
      <c r="R58" s="65"/>
      <c r="S58" s="59"/>
      <c r="T58" s="1029">
        <v>0</v>
      </c>
      <c r="U58" s="65">
        <v>0</v>
      </c>
      <c r="V58" s="65">
        <v>0</v>
      </c>
      <c r="W58" s="65">
        <v>0</v>
      </c>
      <c r="X58" s="65">
        <v>0</v>
      </c>
      <c r="Y58" s="65">
        <v>0</v>
      </c>
      <c r="Z58" s="65">
        <v>0</v>
      </c>
      <c r="AA58" s="4634">
        <v>0</v>
      </c>
      <c r="AB58" s="555"/>
    </row>
    <row r="59" spans="1:29" s="37" customFormat="1">
      <c r="A59" s="3693" t="s">
        <v>957</v>
      </c>
      <c r="B59" s="3693" t="s">
        <v>932</v>
      </c>
      <c r="C59" s="3700">
        <v>15870.74</v>
      </c>
      <c r="D59" s="3700">
        <v>18978.133312179754</v>
      </c>
      <c r="E59" s="556">
        <v>765576</v>
      </c>
      <c r="F59" s="227">
        <v>18766</v>
      </c>
      <c r="G59" s="227">
        <v>29038.78</v>
      </c>
      <c r="H59" s="3701">
        <v>20885.04</v>
      </c>
      <c r="I59" s="227">
        <v>20814.62</v>
      </c>
      <c r="J59" s="227">
        <v>25709.53</v>
      </c>
      <c r="K59" s="227">
        <v>23367.68</v>
      </c>
      <c r="L59" s="3701">
        <v>11960.66</v>
      </c>
      <c r="M59" s="227">
        <v>12114.96</v>
      </c>
      <c r="N59" s="1029">
        <v>0</v>
      </c>
      <c r="O59" s="65">
        <v>-8744.56</v>
      </c>
      <c r="P59" s="65">
        <v>-1478.21</v>
      </c>
      <c r="Q59" s="65">
        <v>7509.54</v>
      </c>
      <c r="R59" s="65"/>
      <c r="S59" s="59"/>
      <c r="T59" s="1029">
        <v>0</v>
      </c>
      <c r="U59" s="65">
        <v>0</v>
      </c>
      <c r="V59" s="65">
        <v>0</v>
      </c>
      <c r="W59" s="65">
        <v>0</v>
      </c>
      <c r="X59" s="65">
        <v>-2295.37</v>
      </c>
      <c r="Y59" s="65">
        <v>0</v>
      </c>
      <c r="Z59" s="65">
        <v>0</v>
      </c>
      <c r="AA59" s="4634">
        <v>0</v>
      </c>
      <c r="AB59" s="555"/>
    </row>
    <row r="60" spans="1:29" s="37" customFormat="1">
      <c r="A60" s="3693" t="s">
        <v>958</v>
      </c>
      <c r="B60" s="3693" t="s">
        <v>933</v>
      </c>
      <c r="C60" s="3700">
        <v>12445.25</v>
      </c>
      <c r="D60" s="3700">
        <v>4283.5009506716679</v>
      </c>
      <c r="E60" s="556">
        <v>172796</v>
      </c>
      <c r="F60" s="227">
        <v>22634</v>
      </c>
      <c r="G60" s="227">
        <v>23961.439999999999</v>
      </c>
      <c r="H60" s="3701">
        <v>15754.5</v>
      </c>
      <c r="I60" s="227">
        <v>25868.84</v>
      </c>
      <c r="J60" s="227">
        <v>29525.34</v>
      </c>
      <c r="K60" s="227">
        <v>27644.3</v>
      </c>
      <c r="L60" s="3701">
        <v>53746.45</v>
      </c>
      <c r="M60" s="227">
        <v>40887.83</v>
      </c>
      <c r="N60" s="1029">
        <v>0</v>
      </c>
      <c r="O60" s="65">
        <v>0</v>
      </c>
      <c r="P60" s="65">
        <v>0</v>
      </c>
      <c r="Q60" s="65">
        <v>0</v>
      </c>
      <c r="R60" s="65"/>
      <c r="S60" s="59"/>
      <c r="T60" s="1029">
        <v>0</v>
      </c>
      <c r="U60" s="65">
        <v>0</v>
      </c>
      <c r="V60" s="65">
        <v>0</v>
      </c>
      <c r="W60" s="65">
        <v>0</v>
      </c>
      <c r="X60" s="65">
        <v>-1193.01</v>
      </c>
      <c r="Y60" s="65">
        <v>19000</v>
      </c>
      <c r="Z60" s="65">
        <v>0</v>
      </c>
      <c r="AA60" s="4634">
        <v>0</v>
      </c>
      <c r="AB60" s="555"/>
    </row>
    <row r="61" spans="1:29" s="37" customFormat="1" ht="15.75" thickBot="1">
      <c r="A61" s="3693" t="s">
        <v>959</v>
      </c>
      <c r="B61" s="3693" t="s">
        <v>935</v>
      </c>
      <c r="C61" s="3700">
        <v>13709.78</v>
      </c>
      <c r="D61" s="3700">
        <v>16694.414215206285</v>
      </c>
      <c r="E61" s="556">
        <v>673451</v>
      </c>
      <c r="F61" s="227">
        <v>15074</v>
      </c>
      <c r="G61" s="227">
        <v>11947.94</v>
      </c>
      <c r="H61" s="3703">
        <v>7368.12</v>
      </c>
      <c r="I61" s="3704">
        <v>14731.2</v>
      </c>
      <c r="J61" s="3704">
        <v>27098.12</v>
      </c>
      <c r="K61" s="3704">
        <v>9985.01</v>
      </c>
      <c r="L61" s="3701">
        <v>29773.22</v>
      </c>
      <c r="M61" s="227">
        <v>30463.439999999999</v>
      </c>
      <c r="N61" s="1029">
        <v>0</v>
      </c>
      <c r="O61" s="65">
        <v>752</v>
      </c>
      <c r="P61" s="65">
        <v>0</v>
      </c>
      <c r="Q61" s="65">
        <v>0</v>
      </c>
      <c r="R61" s="65"/>
      <c r="S61" s="59"/>
      <c r="T61" s="1029">
        <v>0</v>
      </c>
      <c r="U61" s="65">
        <v>752</v>
      </c>
      <c r="V61" s="65">
        <v>0</v>
      </c>
      <c r="W61" s="65">
        <v>0</v>
      </c>
      <c r="X61" s="65">
        <v>0</v>
      </c>
      <c r="Y61" s="65">
        <v>0</v>
      </c>
      <c r="Z61" s="65">
        <v>0</v>
      </c>
      <c r="AA61" s="4634">
        <v>0</v>
      </c>
      <c r="AB61" s="555"/>
    </row>
    <row r="62" spans="1:29" s="37" customFormat="1" ht="15.75" thickBot="1">
      <c r="A62" s="3712"/>
      <c r="B62" s="4144"/>
      <c r="C62" s="3700">
        <v>241038.80999999997</v>
      </c>
      <c r="D62" s="3713">
        <v>306634.62229703099</v>
      </c>
      <c r="E62" s="3713">
        <v>12369610</v>
      </c>
      <c r="F62" s="227">
        <v>328799.66000000003</v>
      </c>
      <c r="G62" s="227">
        <v>320493.37</v>
      </c>
      <c r="H62" s="227">
        <v>262772.33</v>
      </c>
      <c r="I62" s="227">
        <v>382331.95000000007</v>
      </c>
      <c r="J62" s="227">
        <v>372481.95</v>
      </c>
      <c r="K62" s="227">
        <v>388565.75999999995</v>
      </c>
      <c r="L62" s="3701">
        <v>218268.54</v>
      </c>
      <c r="M62" s="227">
        <v>239035.68</v>
      </c>
      <c r="N62" s="3714">
        <f t="shared" ref="N62" si="8">SUM(N53:N61)</f>
        <v>-50522.149999999994</v>
      </c>
      <c r="O62" s="3714">
        <f t="shared" ref="O62" si="9">SUM(O53:O61)</f>
        <v>-52840.399999999994</v>
      </c>
      <c r="P62" s="3714">
        <f t="shared" ref="P62" si="10">SUM(P53:P61)</f>
        <v>-65675.33</v>
      </c>
      <c r="Q62" s="3714">
        <f t="shared" ref="Q62" si="11">SUM(Q53:Q61)</f>
        <v>-16290.229999999996</v>
      </c>
      <c r="R62" s="3714">
        <f t="shared" ref="R62" si="12">SUM(R53:R61)</f>
        <v>0</v>
      </c>
      <c r="S62" s="3714">
        <f t="shared" ref="S62" si="13">SUM(S53:S61)</f>
        <v>0</v>
      </c>
      <c r="T62" s="3720">
        <f t="shared" ref="T62" si="14">SUM(T53:T61)</f>
        <v>-79155.490000000005</v>
      </c>
      <c r="U62" s="3714">
        <f t="shared" ref="U62" si="15">SUM(U53:U61)</f>
        <v>-54722.5</v>
      </c>
      <c r="V62" s="3714">
        <f t="shared" ref="V62" si="16">SUM(V53:V61)</f>
        <v>-14366.83</v>
      </c>
      <c r="W62" s="3714">
        <f t="shared" ref="W62:X62" si="17">SUM(W53:W61)</f>
        <v>-69537.47</v>
      </c>
      <c r="X62" s="3714">
        <f t="shared" si="17"/>
        <v>-10456.829999999996</v>
      </c>
      <c r="Y62" s="3714">
        <f>SUM(Y53:Y61)</f>
        <v>6155.3800000000047</v>
      </c>
      <c r="Z62" s="3714">
        <f>SUM(Z53:Z61)</f>
        <v>45397.83</v>
      </c>
      <c r="AA62" s="3714">
        <f>SUM(AA53:AA61)</f>
        <v>31502.35</v>
      </c>
      <c r="AB62" s="3716">
        <f>SUM(AB53:AB61)</f>
        <v>0</v>
      </c>
    </row>
    <row r="63" spans="1:29" s="37" customFormat="1" ht="15.75" thickBot="1">
      <c r="A63" s="75"/>
      <c r="B63" s="61"/>
      <c r="C63" s="61"/>
      <c r="D63" s="91"/>
      <c r="E63" s="91"/>
      <c r="F63" s="4119"/>
      <c r="G63" s="4119"/>
      <c r="H63" s="4119"/>
      <c r="I63" s="4119"/>
      <c r="J63" s="4119"/>
      <c r="K63" s="4119"/>
      <c r="L63" s="4119"/>
      <c r="M63" s="4119"/>
      <c r="N63" s="4120"/>
      <c r="O63" s="4120"/>
      <c r="P63" s="4120"/>
      <c r="Q63" s="4120"/>
      <c r="R63" s="4120"/>
      <c r="S63" s="4120"/>
      <c r="T63" s="4120"/>
      <c r="U63" s="4120"/>
      <c r="V63" s="4120"/>
      <c r="W63" s="4120"/>
      <c r="X63" s="4120"/>
      <c r="Y63" s="4120"/>
      <c r="Z63" s="4120"/>
      <c r="AA63" s="4120"/>
    </row>
    <row r="64" spans="1:29" s="37" customFormat="1" ht="39.75" thickBot="1">
      <c r="A64" s="75"/>
      <c r="B64" s="4124" t="s">
        <v>7839</v>
      </c>
      <c r="C64" s="61"/>
      <c r="D64" s="91"/>
      <c r="E64" s="91"/>
      <c r="F64" s="4119"/>
      <c r="G64" s="4119"/>
      <c r="H64" s="4119"/>
      <c r="I64" s="4119"/>
      <c r="J64" s="4119"/>
      <c r="K64" s="4119"/>
      <c r="L64" s="4119"/>
      <c r="M64" s="4119"/>
      <c r="N64" s="3714">
        <f t="shared" ref="N64:AB64" si="18">N49+N62</f>
        <v>196563.80000000005</v>
      </c>
      <c r="O64" s="3714">
        <f t="shared" si="18"/>
        <v>223935.93000000002</v>
      </c>
      <c r="P64" s="3714">
        <f t="shared" si="18"/>
        <v>224873.39</v>
      </c>
      <c r="Q64" s="3714">
        <f t="shared" si="18"/>
        <v>228880.74</v>
      </c>
      <c r="R64" s="3716">
        <f t="shared" si="18"/>
        <v>0</v>
      </c>
      <c r="S64" s="3714">
        <f t="shared" si="18"/>
        <v>0</v>
      </c>
      <c r="T64" s="3720">
        <f t="shared" si="18"/>
        <v>128991.84000000001</v>
      </c>
      <c r="U64" s="3714">
        <f t="shared" si="18"/>
        <v>162888.39000000001</v>
      </c>
      <c r="V64" s="3714">
        <f t="shared" si="18"/>
        <v>163997.07000000004</v>
      </c>
      <c r="W64" s="3714">
        <f t="shared" si="18"/>
        <v>101738.57</v>
      </c>
      <c r="X64" s="3714">
        <f t="shared" si="18"/>
        <v>160665.09000000003</v>
      </c>
      <c r="Y64" s="3714">
        <f t="shared" si="18"/>
        <v>174565.28</v>
      </c>
      <c r="Z64" s="3714">
        <f t="shared" si="18"/>
        <v>230716.71000000002</v>
      </c>
      <c r="AA64" s="3714">
        <f t="shared" si="18"/>
        <v>196595.68</v>
      </c>
      <c r="AB64" s="3716">
        <f t="shared" si="18"/>
        <v>0</v>
      </c>
    </row>
    <row r="65" spans="1:29" s="37" customFormat="1" ht="15.75" thickBot="1">
      <c r="A65" s="75"/>
      <c r="B65" s="61"/>
      <c r="C65" s="61"/>
      <c r="D65" s="91"/>
      <c r="E65" s="91"/>
      <c r="F65" s="4119"/>
      <c r="G65" s="4119"/>
      <c r="H65" s="4119"/>
      <c r="I65" s="4119"/>
      <c r="J65" s="4119"/>
      <c r="K65" s="4119"/>
      <c r="L65" s="4119"/>
      <c r="M65" s="4119"/>
      <c r="N65" s="4120"/>
      <c r="O65" s="4120"/>
      <c r="P65" s="4120"/>
      <c r="Q65" s="4120"/>
      <c r="R65" s="4120"/>
      <c r="S65" s="4120"/>
      <c r="T65" s="4120"/>
      <c r="U65" s="4120"/>
      <c r="V65" s="4120"/>
      <c r="W65" s="4120"/>
      <c r="X65" s="4120"/>
      <c r="Y65" s="4120"/>
      <c r="Z65" s="4120"/>
      <c r="AA65" s="4120"/>
    </row>
    <row r="66" spans="1:29" s="37" customFormat="1" ht="39.75" customHeight="1" thickBot="1">
      <c r="A66" s="39"/>
      <c r="B66" s="4161" t="s">
        <v>7854</v>
      </c>
      <c r="C66" s="495"/>
      <c r="D66" s="486"/>
      <c r="E66" s="486"/>
      <c r="F66" s="486"/>
      <c r="G66" s="486"/>
      <c r="H66" s="486"/>
      <c r="I66" s="486"/>
      <c r="J66" s="486"/>
      <c r="K66" s="486"/>
      <c r="L66" s="3718">
        <v>2008</v>
      </c>
      <c r="M66" s="3719">
        <v>2009</v>
      </c>
      <c r="N66" s="4107">
        <v>2010</v>
      </c>
      <c r="O66" s="4108">
        <v>2011</v>
      </c>
      <c r="P66" s="4108">
        <v>2012</v>
      </c>
      <c r="Q66" s="4108">
        <v>2013</v>
      </c>
      <c r="R66" s="4108" t="s">
        <v>656</v>
      </c>
      <c r="S66" s="4108" t="s">
        <v>636</v>
      </c>
      <c r="T66" s="4107">
        <v>2014</v>
      </c>
      <c r="U66" s="4108">
        <v>2015</v>
      </c>
      <c r="V66" s="4108">
        <v>2016</v>
      </c>
      <c r="W66" s="4108">
        <v>2017</v>
      </c>
      <c r="X66" s="4108">
        <v>2018</v>
      </c>
      <c r="Y66" s="4108">
        <v>2019</v>
      </c>
      <c r="Z66" s="4108">
        <v>2020</v>
      </c>
      <c r="AA66" s="4108">
        <v>2021</v>
      </c>
      <c r="AB66" s="1737">
        <v>2022</v>
      </c>
    </row>
    <row r="67" spans="1:29" s="37" customFormat="1">
      <c r="A67" s="3695" t="s">
        <v>961</v>
      </c>
      <c r="B67" s="3693" t="s">
        <v>963</v>
      </c>
      <c r="C67" s="61"/>
      <c r="D67" s="91"/>
      <c r="E67" s="91"/>
      <c r="F67" s="91"/>
      <c r="G67" s="91"/>
      <c r="H67" s="91"/>
      <c r="I67" s="91"/>
      <c r="J67" s="91"/>
      <c r="K67" s="91"/>
      <c r="L67" s="227">
        <v>20601.650000000009</v>
      </c>
      <c r="M67" s="227">
        <v>20946.749999999985</v>
      </c>
      <c r="N67" s="1029">
        <f>163032-139849.91</f>
        <v>23182.089999999997</v>
      </c>
      <c r="O67" s="65">
        <f>167345-134580.78</f>
        <v>32764.22</v>
      </c>
      <c r="P67" s="65">
        <f>165274-144346.54</f>
        <v>20927.459999999992</v>
      </c>
      <c r="Q67" s="65">
        <f>179925-126205.93</f>
        <v>53719.070000000007</v>
      </c>
      <c r="R67" s="65"/>
      <c r="S67" s="65"/>
      <c r="T67" s="1022">
        <f>145575-116657.44</f>
        <v>28917.559999999998</v>
      </c>
      <c r="U67" s="487">
        <f>144826-112816.66</f>
        <v>32009.339999999997</v>
      </c>
      <c r="V67" s="487">
        <f>137235-118031.35</f>
        <v>19203.649999999994</v>
      </c>
      <c r="W67" s="487">
        <f>142180-125525.55</f>
        <v>16654.449999999997</v>
      </c>
      <c r="X67" s="487">
        <f>132990-115169.17</f>
        <v>17820.830000000002</v>
      </c>
      <c r="Y67" s="487">
        <f>137014-112487.69</f>
        <v>24526.309999999998</v>
      </c>
      <c r="Z67" s="487">
        <f>130559-110401.71</f>
        <v>20157.289999999994</v>
      </c>
      <c r="AA67" s="4633">
        <f>127650-115817.65</f>
        <v>11832.350000000006</v>
      </c>
      <c r="AB67" s="1061">
        <f>128902-131218.27</f>
        <v>-2316.2699999999895</v>
      </c>
    </row>
    <row r="68" spans="1:29" s="37" customFormat="1">
      <c r="A68" s="3693" t="s">
        <v>962</v>
      </c>
      <c r="B68" s="3693" t="s">
        <v>963</v>
      </c>
      <c r="C68" s="61"/>
      <c r="D68" s="91"/>
      <c r="E68" s="91"/>
      <c r="F68" s="91"/>
      <c r="G68" s="91"/>
      <c r="H68" s="91"/>
      <c r="I68" s="91"/>
      <c r="J68" s="91"/>
      <c r="K68" s="91"/>
      <c r="L68" s="227">
        <v>25519.429999999993</v>
      </c>
      <c r="M68" s="227">
        <v>31734.98000000001</v>
      </c>
      <c r="N68" s="1029">
        <f>206570.01-174405.7</f>
        <v>32164.309999999998</v>
      </c>
      <c r="O68" s="65">
        <f>200855-149541.21</f>
        <v>51313.790000000008</v>
      </c>
      <c r="P68" s="65">
        <f>212964-154698.03</f>
        <v>58265.97</v>
      </c>
      <c r="Q68" s="65">
        <f>200792-160232.49</f>
        <v>40559.510000000009</v>
      </c>
      <c r="R68" s="65"/>
      <c r="S68" s="65"/>
      <c r="T68" s="1029">
        <f>144602-113329.28</f>
        <v>31272.720000000001</v>
      </c>
      <c r="U68" s="65">
        <f>139783-99745.46</f>
        <v>40037.539999999994</v>
      </c>
      <c r="V68" s="65">
        <f>113110-91312.2</f>
        <v>21797.800000000003</v>
      </c>
      <c r="W68" s="65">
        <f>128079-69583.68</f>
        <v>58495.320000000007</v>
      </c>
      <c r="X68" s="65">
        <f>111265-79108.29</f>
        <v>32156.710000000006</v>
      </c>
      <c r="Y68" s="65">
        <f>125578-109383.67</f>
        <v>16194.330000000002</v>
      </c>
      <c r="Z68" s="575">
        <f>85259.3+9073.08-25087.1</f>
        <v>69245.279999999999</v>
      </c>
      <c r="AA68" s="4634">
        <f>89544.42-64670.16</f>
        <v>24874.259999999995</v>
      </c>
      <c r="AB68" s="1062">
        <f>80385-88153.77</f>
        <v>-7768.7700000000041</v>
      </c>
    </row>
    <row r="69" spans="1:29" s="37" customFormat="1">
      <c r="A69" s="3693" t="s">
        <v>953</v>
      </c>
      <c r="B69" s="3693" t="s">
        <v>928</v>
      </c>
      <c r="C69" s="61"/>
      <c r="D69" s="91"/>
      <c r="E69" s="91"/>
      <c r="F69" s="91"/>
      <c r="G69" s="91"/>
      <c r="H69" s="91"/>
      <c r="I69" s="91"/>
      <c r="J69" s="91"/>
      <c r="K69" s="91"/>
      <c r="L69" s="227">
        <v>3458.9799999999996</v>
      </c>
      <c r="M69" s="227">
        <v>4844.4699999999993</v>
      </c>
      <c r="N69" s="1029">
        <f>1710.24-12312.73</f>
        <v>-10602.49</v>
      </c>
      <c r="O69" s="65">
        <f>17926.86-12798.01</f>
        <v>5128.8500000000004</v>
      </c>
      <c r="P69" s="65">
        <f>18796.55-17651.36</f>
        <v>1145.1899999999987</v>
      </c>
      <c r="Q69" s="65">
        <f>19988.12-12782.47</f>
        <v>7205.65</v>
      </c>
      <c r="R69" s="65"/>
      <c r="S69" s="65"/>
      <c r="T69" s="1029">
        <f>145575-116657.44</f>
        <v>28917.559999999998</v>
      </c>
      <c r="U69" s="65">
        <f>18395.1-8564.5</f>
        <v>9830.5999999999985</v>
      </c>
      <c r="V69" s="65">
        <f>16034.22-9246.09</f>
        <v>6788.1299999999992</v>
      </c>
      <c r="W69" s="65">
        <f>23368.62-18497.76</f>
        <v>4870.8600000000006</v>
      </c>
      <c r="X69" s="65">
        <f>19124.18-9842.72</f>
        <v>9281.4600000000009</v>
      </c>
      <c r="Y69" s="65">
        <f>18846.28-14660.33</f>
        <v>4185.9499999999989</v>
      </c>
      <c r="Z69" s="65">
        <f>17605.69-8077</f>
        <v>9528.6899999999987</v>
      </c>
      <c r="AA69" s="4634">
        <f>17112.7-12319.83</f>
        <v>4792.8700000000008</v>
      </c>
      <c r="AB69" s="1062">
        <f>16295.53-13312.15</f>
        <v>2983.380000000001</v>
      </c>
      <c r="AC69" s="3799"/>
    </row>
    <row r="70" spans="1:29" s="37" customFormat="1">
      <c r="A70" s="3693" t="s">
        <v>954</v>
      </c>
      <c r="B70" s="3693" t="s">
        <v>929</v>
      </c>
      <c r="C70" s="61"/>
      <c r="D70" s="91"/>
      <c r="E70" s="91"/>
      <c r="F70" s="91"/>
      <c r="G70" s="91"/>
      <c r="H70" s="91"/>
      <c r="I70" s="91"/>
      <c r="J70" s="91"/>
      <c r="K70" s="91"/>
      <c r="L70" s="227">
        <v>6148.9599999999991</v>
      </c>
      <c r="M70" s="227">
        <v>8281.1600000000035</v>
      </c>
      <c r="N70" s="1029">
        <f>55539.86-40608.36</f>
        <v>14931.5</v>
      </c>
      <c r="O70" s="65">
        <f>33457.5-29200.85</f>
        <v>4256.6500000000015</v>
      </c>
      <c r="P70" s="65">
        <f>24344.06-21431.02</f>
        <v>2913.0400000000009</v>
      </c>
      <c r="Q70" s="65">
        <f>34476.51-30651.21</f>
        <v>3825.3000000000029</v>
      </c>
      <c r="R70" s="65"/>
      <c r="S70" s="65"/>
      <c r="T70" s="1029">
        <f>26002.5-22188.97</f>
        <v>3813.5299999999988</v>
      </c>
      <c r="U70" s="65">
        <f>20105-13149.6</f>
        <v>6955.4</v>
      </c>
      <c r="V70" s="65">
        <f>16198-13092.57</f>
        <v>3105.4300000000003</v>
      </c>
      <c r="W70" s="65">
        <f>13497-10763.49</f>
        <v>2733.51</v>
      </c>
      <c r="X70" s="65">
        <f>18091-9876.1</f>
        <v>8214.9</v>
      </c>
      <c r="Y70" s="65">
        <f>18736.13-9987.55</f>
        <v>8748.5800000000017</v>
      </c>
      <c r="Z70" s="65">
        <f>17904-9920.94</f>
        <v>7983.0599999999995</v>
      </c>
      <c r="AA70" s="4634">
        <f>22277-12855.8</f>
        <v>9421.2000000000007</v>
      </c>
      <c r="AB70" s="1062">
        <f>21579-15043.87</f>
        <v>6535.1299999999992</v>
      </c>
    </row>
    <row r="71" spans="1:29" s="37" customFormat="1">
      <c r="A71" s="3693" t="s">
        <v>955</v>
      </c>
      <c r="B71" s="3693" t="s">
        <v>930</v>
      </c>
      <c r="C71" s="61"/>
      <c r="D71" s="91"/>
      <c r="E71" s="91"/>
      <c r="F71" s="91"/>
      <c r="G71" s="91"/>
      <c r="H71" s="91"/>
      <c r="I71" s="91"/>
      <c r="J71" s="91"/>
      <c r="K71" s="91"/>
      <c r="L71" s="227">
        <v>8990.76</v>
      </c>
      <c r="M71" s="227">
        <v>10620.539999999999</v>
      </c>
      <c r="N71" s="1029">
        <f>19938.06-11482.16</f>
        <v>8455.9000000000015</v>
      </c>
      <c r="O71" s="65">
        <f>21155-12293.16</f>
        <v>8861.84</v>
      </c>
      <c r="P71" s="65">
        <f>17668-11379.1</f>
        <v>6288.9</v>
      </c>
      <c r="Q71" s="65">
        <f>14205-9819.67</f>
        <v>4385.33</v>
      </c>
      <c r="R71" s="65"/>
      <c r="S71" s="65"/>
      <c r="T71" s="1029">
        <f>14199-9915.34</f>
        <v>4283.66</v>
      </c>
      <c r="U71" s="65">
        <f>13077.2-9919.38</f>
        <v>3157.8200000000015</v>
      </c>
      <c r="V71" s="65">
        <f>15057-11163.43</f>
        <v>3893.5699999999997</v>
      </c>
      <c r="W71" s="65">
        <f>13718-6731.93</f>
        <v>6986.07</v>
      </c>
      <c r="X71" s="65">
        <f>14334.11-12375.12</f>
        <v>1958.9899999999998</v>
      </c>
      <c r="Y71" s="65">
        <f>14459.27-11433.46</f>
        <v>3025.8100000000013</v>
      </c>
      <c r="Z71" s="65">
        <f>14928-7072.44</f>
        <v>7855.56</v>
      </c>
      <c r="AA71" s="4634">
        <f>14267-7662.81</f>
        <v>6604.19</v>
      </c>
      <c r="AB71" s="1062">
        <f>13963-12095.77</f>
        <v>1867.2299999999996</v>
      </c>
    </row>
    <row r="72" spans="1:29" s="37" customFormat="1">
      <c r="A72" s="3693" t="s">
        <v>956</v>
      </c>
      <c r="B72" s="3693" t="s">
        <v>931</v>
      </c>
      <c r="C72" s="61"/>
      <c r="D72" s="91"/>
      <c r="E72" s="91"/>
      <c r="F72" s="91"/>
      <c r="G72" s="91"/>
      <c r="H72" s="91"/>
      <c r="I72" s="91"/>
      <c r="J72" s="91"/>
      <c r="K72" s="91"/>
      <c r="L72" s="227">
        <v>5059.2700000000004</v>
      </c>
      <c r="M72" s="227">
        <v>2717.7599999999984</v>
      </c>
      <c r="N72" s="1029">
        <f>26268.05-18935.1</f>
        <v>7332.9500000000007</v>
      </c>
      <c r="O72" s="65">
        <f>26750.32-21789.16</f>
        <v>4961.16</v>
      </c>
      <c r="P72" s="65">
        <f>23286-17566.49</f>
        <v>5719.5099999999984</v>
      </c>
      <c r="Q72" s="65">
        <f>21782-16243.8</f>
        <v>5538.2000000000007</v>
      </c>
      <c r="R72" s="65"/>
      <c r="S72" s="65"/>
      <c r="T72" s="1029">
        <f>21469-14045.65</f>
        <v>7423.35</v>
      </c>
      <c r="U72" s="65">
        <f>22097-14881.91</f>
        <v>7215.09</v>
      </c>
      <c r="V72" s="65">
        <f>24213-16397.21</f>
        <v>7815.7900000000009</v>
      </c>
      <c r="W72" s="65">
        <f>22407-13831.7</f>
        <v>8575.2999999999993</v>
      </c>
      <c r="X72" s="65">
        <f>23085-15340.46</f>
        <v>7744.5400000000009</v>
      </c>
      <c r="Y72" s="65">
        <f>20475-14877.9</f>
        <v>5597.1</v>
      </c>
      <c r="Z72" s="65">
        <f>21372-14012.64</f>
        <v>7359.3600000000006</v>
      </c>
      <c r="AA72" s="4634">
        <f>20242-16446.4</f>
        <v>3795.5999999999985</v>
      </c>
      <c r="AB72" s="1062">
        <f>31648.42-23701.81</f>
        <v>7946.6099999999969</v>
      </c>
    </row>
    <row r="73" spans="1:29" s="37" customFormat="1" ht="14.25" customHeight="1">
      <c r="A73" s="3693" t="s">
        <v>957</v>
      </c>
      <c r="B73" s="3693" t="s">
        <v>932</v>
      </c>
      <c r="C73" s="61"/>
      <c r="D73" s="91"/>
      <c r="E73" s="91"/>
      <c r="F73" s="91"/>
      <c r="G73" s="91"/>
      <c r="H73" s="91"/>
      <c r="I73" s="91"/>
      <c r="J73" s="91"/>
      <c r="K73" s="91"/>
      <c r="L73" s="227">
        <v>5887.0799999999981</v>
      </c>
      <c r="M73" s="227">
        <v>5651.4099999999962</v>
      </c>
      <c r="N73" s="1029">
        <f>35070.89-28425.99</f>
        <v>6644.8999999999978</v>
      </c>
      <c r="O73" s="65">
        <f>39440.99-18094.97</f>
        <v>21346.019999999997</v>
      </c>
      <c r="P73" s="65">
        <f>40858.33-32693.15</f>
        <v>8165.18</v>
      </c>
      <c r="Q73" s="65">
        <f>44712.19-49242.6</f>
        <v>-4530.4099999999962</v>
      </c>
      <c r="R73" s="65"/>
      <c r="S73" s="65"/>
      <c r="T73" s="1029">
        <f>34952.95-27249.44</f>
        <v>7703.5099999999984</v>
      </c>
      <c r="U73" s="65">
        <f>25435.95-20158.96</f>
        <v>5276.9900000000016</v>
      </c>
      <c r="V73" s="65">
        <f>24338.34-18054.79</f>
        <v>6283.5499999999993</v>
      </c>
      <c r="W73" s="65">
        <f>20313-11012.24</f>
        <v>9300.76</v>
      </c>
      <c r="X73" s="65">
        <f>19707.79-12260.98</f>
        <v>7446.8100000000013</v>
      </c>
      <c r="Y73" s="65">
        <f>17191.52-11042.16</f>
        <v>6149.3600000000006</v>
      </c>
      <c r="Z73" s="65">
        <f>17805.21-10715.48</f>
        <v>7089.73</v>
      </c>
      <c r="AA73" s="4634">
        <f>16819.54-11334.2</f>
        <v>5485.34</v>
      </c>
      <c r="AB73" s="1062">
        <f>17813.94-15304.47</f>
        <v>2509.4699999999993</v>
      </c>
    </row>
    <row r="74" spans="1:29" s="37" customFormat="1">
      <c r="A74" s="3693" t="s">
        <v>958</v>
      </c>
      <c r="B74" s="3693" t="s">
        <v>933</v>
      </c>
      <c r="C74" s="61"/>
      <c r="D74" s="91"/>
      <c r="E74" s="91"/>
      <c r="F74" s="91"/>
      <c r="G74" s="91"/>
      <c r="H74" s="91"/>
      <c r="I74" s="91"/>
      <c r="J74" s="91"/>
      <c r="K74" s="91"/>
      <c r="L74" s="227">
        <v>27823.94</v>
      </c>
      <c r="M74" s="227">
        <v>12890.57</v>
      </c>
      <c r="N74" s="1029">
        <f>52975.7-36886.57</f>
        <v>16089.129999999997</v>
      </c>
      <c r="O74" s="65">
        <f>48062.3-40540.37</f>
        <v>7521.93</v>
      </c>
      <c r="P74" s="65">
        <f>47515.3-20694.62</f>
        <v>26820.680000000004</v>
      </c>
      <c r="Q74" s="65">
        <f>44969.3-26144.4</f>
        <v>18824.900000000001</v>
      </c>
      <c r="R74" s="65"/>
      <c r="S74" s="65"/>
      <c r="T74" s="1029">
        <f>29644.3-37063.13</f>
        <v>-7418.8299999999981</v>
      </c>
      <c r="U74" s="65">
        <f>30952.3-24512.22</f>
        <v>6440.0799999999981</v>
      </c>
      <c r="V74" s="65">
        <f>30603.3-19000</f>
        <v>11603.3</v>
      </c>
      <c r="W74" s="65">
        <f>30808-29188.48</f>
        <v>1619.5200000000004</v>
      </c>
      <c r="X74" s="65">
        <f>31651.5-32352.75</f>
        <v>-701.25</v>
      </c>
      <c r="Y74" s="65">
        <f>31181-31919.05</f>
        <v>-738.04999999999927</v>
      </c>
      <c r="Z74" s="65">
        <f>36904-31286.77</f>
        <v>5617.23</v>
      </c>
      <c r="AA74" s="4634">
        <f>31122.5-30933.18</f>
        <v>189.31999999999971</v>
      </c>
      <c r="AB74" s="1062">
        <f>43040.5-43152</f>
        <v>-111.5</v>
      </c>
    </row>
    <row r="75" spans="1:29" s="37" customFormat="1" ht="15.75" thickBot="1">
      <c r="A75" s="3693" t="s">
        <v>959</v>
      </c>
      <c r="B75" s="3711" t="s">
        <v>935</v>
      </c>
      <c r="C75" s="489"/>
      <c r="D75" s="490"/>
      <c r="E75" s="490"/>
      <c r="F75" s="490"/>
      <c r="G75" s="490"/>
      <c r="H75" s="490"/>
      <c r="I75" s="490"/>
      <c r="J75" s="490"/>
      <c r="K75" s="490"/>
      <c r="L75" s="227">
        <v>12325.2</v>
      </c>
      <c r="M75" s="227">
        <v>16557.37</v>
      </c>
      <c r="N75" s="1029">
        <f>39725.04-22335.74</f>
        <v>17389.3</v>
      </c>
      <c r="O75" s="65">
        <f>35466.67-22893.2</f>
        <v>12573.469999999998</v>
      </c>
      <c r="P75" s="65">
        <f>37062.6-23372.15</f>
        <v>13690.449999999997</v>
      </c>
      <c r="Q75" s="65">
        <f>32294-22000.96</f>
        <v>10293.040000000001</v>
      </c>
      <c r="R75" s="65"/>
      <c r="S75" s="65"/>
      <c r="T75" s="1037">
        <f>26689-18974.66</f>
        <v>7714.34</v>
      </c>
      <c r="U75" s="1036">
        <f>27970.5-19798.71</f>
        <v>8171.7900000000009</v>
      </c>
      <c r="V75" s="1036">
        <f>28458-18367.96</f>
        <v>10090.040000000001</v>
      </c>
      <c r="W75" s="1036">
        <f>27887-15614.3</f>
        <v>12272.7</v>
      </c>
      <c r="X75" s="1036">
        <f>27355.65-20822.23</f>
        <v>6533.4200000000019</v>
      </c>
      <c r="Y75" s="1036">
        <f>27173-19198.83</f>
        <v>7974.1699999999983</v>
      </c>
      <c r="Z75" s="1036">
        <f>27330-17941.32</f>
        <v>9388.68</v>
      </c>
      <c r="AA75" s="4635">
        <f>27395-18655.64</f>
        <v>8739.36</v>
      </c>
      <c r="AB75" s="4636">
        <f>30575-26202.47</f>
        <v>4372.5299999999988</v>
      </c>
    </row>
    <row r="76" spans="1:29" s="37" customFormat="1" ht="15.75" thickBot="1">
      <c r="A76" s="3717"/>
      <c r="B76" s="516"/>
      <c r="C76" s="61"/>
      <c r="D76" s="91"/>
      <c r="E76" s="91"/>
      <c r="F76" s="91"/>
      <c r="G76" s="91"/>
      <c r="H76" s="91"/>
      <c r="I76" s="91"/>
      <c r="J76" s="91"/>
      <c r="K76" s="91"/>
      <c r="L76" s="227">
        <v>115815.27</v>
      </c>
      <c r="M76" s="227">
        <v>114245.00999999998</v>
      </c>
      <c r="N76" s="3740">
        <f t="shared" ref="N76:Y76" si="19">SUM(N67:N75)</f>
        <v>115587.58999999998</v>
      </c>
      <c r="O76" s="3741">
        <f t="shared" si="19"/>
        <v>148727.93</v>
      </c>
      <c r="P76" s="3741">
        <f t="shared" si="19"/>
        <v>143936.38</v>
      </c>
      <c r="Q76" s="3741">
        <f t="shared" si="19"/>
        <v>139820.59000000003</v>
      </c>
      <c r="R76" s="3741">
        <f t="shared" si="19"/>
        <v>0</v>
      </c>
      <c r="S76" s="3741">
        <f t="shared" si="19"/>
        <v>0</v>
      </c>
      <c r="T76" s="3740">
        <f t="shared" si="19"/>
        <v>112627.4</v>
      </c>
      <c r="U76" s="3741">
        <f t="shared" si="19"/>
        <v>119094.65</v>
      </c>
      <c r="V76" s="3741">
        <f t="shared" si="19"/>
        <v>90581.260000000009</v>
      </c>
      <c r="W76" s="3741">
        <f t="shared" si="19"/>
        <v>121508.48999999999</v>
      </c>
      <c r="X76" s="3741">
        <f t="shared" si="19"/>
        <v>90456.410000000018</v>
      </c>
      <c r="Y76" s="3741">
        <f t="shared" si="19"/>
        <v>75663.56</v>
      </c>
      <c r="Z76" s="3741">
        <f>SUM(Z67:Z75)</f>
        <v>144224.87999999998</v>
      </c>
      <c r="AA76" s="3741">
        <f>SUM(AA67:AA75)</f>
        <v>75734.490000000005</v>
      </c>
      <c r="AB76" s="3742">
        <f>SUM(AB67:AB75)</f>
        <v>16017.810000000001</v>
      </c>
    </row>
    <row r="77" spans="1:29" s="37" customFormat="1" ht="15.75" thickBot="1">
      <c r="A77" s="75"/>
      <c r="B77" s="61"/>
      <c r="C77" s="61"/>
      <c r="D77" s="91"/>
      <c r="E77" s="91"/>
      <c r="F77" s="4119"/>
      <c r="G77" s="4119"/>
      <c r="H77" s="4119"/>
      <c r="I77" s="4119"/>
      <c r="J77" s="4119"/>
      <c r="K77" s="4119"/>
      <c r="L77" s="4119"/>
      <c r="M77" s="4119"/>
      <c r="N77" s="4120"/>
      <c r="O77" s="4120"/>
      <c r="P77" s="4120"/>
      <c r="Q77" s="4120"/>
      <c r="R77" s="4120"/>
      <c r="S77" s="4120"/>
      <c r="T77" s="4120"/>
      <c r="U77" s="4120"/>
      <c r="V77" s="4120"/>
      <c r="W77" s="4120"/>
      <c r="X77" s="4120"/>
      <c r="Y77" s="4120"/>
      <c r="Z77" s="4120"/>
      <c r="AA77" s="4120"/>
    </row>
    <row r="78" spans="1:29" s="37" customFormat="1" ht="15.75" thickBot="1">
      <c r="A78" s="557"/>
      <c r="B78" s="4123" t="s">
        <v>937</v>
      </c>
      <c r="C78" s="61"/>
      <c r="D78" s="61"/>
      <c r="E78" s="61"/>
      <c r="F78" s="61"/>
      <c r="G78" s="510"/>
      <c r="H78" s="61"/>
      <c r="I78" s="61"/>
      <c r="J78" s="61"/>
      <c r="K78" s="61"/>
      <c r="L78" s="510"/>
      <c r="M78" s="510"/>
      <c r="N78" s="3793" t="s">
        <v>940</v>
      </c>
      <c r="O78" s="517" t="s">
        <v>941</v>
      </c>
      <c r="P78" s="517" t="s">
        <v>942</v>
      </c>
      <c r="Q78" s="517" t="s">
        <v>943</v>
      </c>
      <c r="R78" s="518">
        <v>2014</v>
      </c>
      <c r="S78" s="518">
        <v>2015</v>
      </c>
      <c r="T78" s="4638" t="s">
        <v>944</v>
      </c>
      <c r="U78" s="518" t="s">
        <v>945</v>
      </c>
      <c r="V78" s="518" t="s">
        <v>946</v>
      </c>
      <c r="W78" s="518" t="s">
        <v>947</v>
      </c>
      <c r="X78" s="518" t="s">
        <v>948</v>
      </c>
      <c r="Y78" s="518" t="s">
        <v>949</v>
      </c>
      <c r="Z78" s="518" t="s">
        <v>2943</v>
      </c>
      <c r="AA78" s="518" t="s">
        <v>7244</v>
      </c>
      <c r="AB78" s="519" t="s">
        <v>7543</v>
      </c>
    </row>
    <row r="79" spans="1:29" s="37" customFormat="1">
      <c r="A79" s="3695" t="s">
        <v>961</v>
      </c>
      <c r="B79" s="3693" t="s">
        <v>963</v>
      </c>
      <c r="C79" s="61"/>
      <c r="D79" s="61"/>
      <c r="E79" s="61"/>
      <c r="F79" s="510">
        <v>0</v>
      </c>
      <c r="G79" s="510">
        <v>26509.8</v>
      </c>
      <c r="H79" s="61"/>
      <c r="I79" s="61"/>
      <c r="J79" s="61"/>
      <c r="K79" s="61"/>
      <c r="L79" s="91"/>
      <c r="M79" s="91"/>
      <c r="N79" s="544"/>
      <c r="O79" s="91"/>
      <c r="P79" s="91"/>
      <c r="Q79" s="91"/>
      <c r="R79" s="91"/>
      <c r="S79" s="91"/>
      <c r="T79" s="451">
        <v>30536.49</v>
      </c>
      <c r="U79" s="61"/>
      <c r="V79" s="61"/>
      <c r="W79" s="91"/>
      <c r="X79" s="91">
        <v>77500</v>
      </c>
      <c r="Y79" s="4141">
        <v>30000</v>
      </c>
      <c r="Z79" s="61"/>
      <c r="AA79" s="88"/>
      <c r="AB79" s="555"/>
    </row>
    <row r="80" spans="1:29" s="37" customFormat="1">
      <c r="A80" s="3693" t="s">
        <v>962</v>
      </c>
      <c r="B80" s="3693" t="s">
        <v>963</v>
      </c>
      <c r="C80" s="61"/>
      <c r="D80" s="61"/>
      <c r="E80" s="61"/>
      <c r="F80" s="61"/>
      <c r="G80" s="510">
        <v>152575</v>
      </c>
      <c r="H80" s="61"/>
      <c r="I80" s="61"/>
      <c r="J80" s="61"/>
      <c r="K80" s="61"/>
      <c r="L80" s="91"/>
      <c r="M80" s="91"/>
      <c r="N80" s="544">
        <v>5872.47</v>
      </c>
      <c r="O80" s="91"/>
      <c r="P80" s="91"/>
      <c r="Q80" s="91"/>
      <c r="R80" s="91"/>
      <c r="S80" s="91"/>
      <c r="T80" s="451"/>
      <c r="U80" s="61"/>
      <c r="V80" s="91">
        <v>8396</v>
      </c>
      <c r="W80" s="91">
        <v>18719.900000000001</v>
      </c>
      <c r="X80" s="91"/>
      <c r="Y80" s="88"/>
      <c r="Z80" s="556">
        <v>69677.279999999999</v>
      </c>
      <c r="AA80" s="88"/>
      <c r="AB80" s="555"/>
    </row>
    <row r="81" spans="1:28" s="37" customFormat="1">
      <c r="A81" s="3693" t="s">
        <v>982</v>
      </c>
      <c r="B81" s="3693" t="s">
        <v>929</v>
      </c>
      <c r="C81" s="61"/>
      <c r="D81" s="61"/>
      <c r="E81" s="61"/>
      <c r="F81" s="61"/>
      <c r="G81" s="510"/>
      <c r="H81" s="61"/>
      <c r="I81" s="61"/>
      <c r="J81" s="61"/>
      <c r="K81" s="61"/>
      <c r="L81" s="91"/>
      <c r="M81" s="91"/>
      <c r="N81" s="544"/>
      <c r="O81" s="91"/>
      <c r="P81" s="91"/>
      <c r="Q81" s="91"/>
      <c r="R81" s="91"/>
      <c r="S81" s="91"/>
      <c r="T81" s="451"/>
      <c r="U81" s="61"/>
      <c r="V81" s="61"/>
      <c r="W81" s="61"/>
      <c r="X81" s="61"/>
      <c r="Y81" s="88"/>
      <c r="Z81" s="61"/>
      <c r="AA81" s="88"/>
      <c r="AB81" s="555"/>
    </row>
    <row r="82" spans="1:28" s="37" customFormat="1">
      <c r="A82" s="3693" t="s">
        <v>957</v>
      </c>
      <c r="B82" s="3693" t="s">
        <v>932</v>
      </c>
      <c r="C82" s="61"/>
      <c r="D82" s="61"/>
      <c r="E82" s="61"/>
      <c r="F82" s="61"/>
      <c r="G82" s="510"/>
      <c r="H82" s="61"/>
      <c r="I82" s="61"/>
      <c r="J82" s="61"/>
      <c r="K82" s="61"/>
      <c r="L82" s="91"/>
      <c r="M82" s="91"/>
      <c r="N82" s="544"/>
      <c r="O82" s="91"/>
      <c r="P82" s="91"/>
      <c r="Q82" s="91"/>
      <c r="R82" s="91"/>
      <c r="S82" s="91"/>
      <c r="T82" s="451"/>
      <c r="U82" s="61"/>
      <c r="V82" s="61"/>
      <c r="W82" s="61"/>
      <c r="X82" s="91"/>
      <c r="Y82" s="91"/>
      <c r="Z82" s="61"/>
      <c r="AA82" s="61"/>
      <c r="AB82" s="555"/>
    </row>
    <row r="83" spans="1:28" s="37" customFormat="1">
      <c r="A83" s="3693" t="s">
        <v>958</v>
      </c>
      <c r="B83" s="3693" t="s">
        <v>933</v>
      </c>
      <c r="C83" s="61"/>
      <c r="D83" s="61"/>
      <c r="E83" s="61"/>
      <c r="F83" s="61"/>
      <c r="G83" s="510"/>
      <c r="H83" s="61"/>
      <c r="I83" s="61"/>
      <c r="J83" s="61"/>
      <c r="K83" s="61"/>
      <c r="L83" s="91"/>
      <c r="M83" s="91"/>
      <c r="N83" s="544"/>
      <c r="O83" s="91"/>
      <c r="P83" s="91"/>
      <c r="Q83" s="91"/>
      <c r="R83" s="91"/>
      <c r="S83" s="91"/>
      <c r="T83" s="451"/>
      <c r="U83" s="61"/>
      <c r="V83" s="61"/>
      <c r="W83" s="61"/>
      <c r="X83" s="91"/>
      <c r="Y83" s="240"/>
      <c r="Z83" s="61"/>
      <c r="AA83" s="91">
        <v>6050</v>
      </c>
      <c r="AB83" s="555"/>
    </row>
    <row r="84" spans="1:28" s="37" customFormat="1" ht="15.75" thickBot="1">
      <c r="A84" s="4134"/>
      <c r="B84" s="488"/>
      <c r="C84" s="489"/>
      <c r="D84" s="489"/>
      <c r="E84" s="489"/>
      <c r="F84" s="489"/>
      <c r="G84" s="489"/>
      <c r="H84" s="489"/>
      <c r="I84" s="489"/>
      <c r="J84" s="489"/>
      <c r="K84" s="489"/>
      <c r="L84" s="513"/>
      <c r="M84" s="513"/>
      <c r="N84" s="3794">
        <f>SUM(N79:N80)</f>
        <v>5872.47</v>
      </c>
      <c r="O84" s="514">
        <f t="shared" ref="O84:P84" si="20">SUM(O79:O80)</f>
        <v>0</v>
      </c>
      <c r="P84" s="514">
        <f t="shared" si="20"/>
        <v>0</v>
      </c>
      <c r="Q84" s="514">
        <f>SUM(Q79:Q80)</f>
        <v>0</v>
      </c>
      <c r="R84" s="514">
        <f t="shared" ref="R84:U84" si="21">SUM(R79:R80)</f>
        <v>0</v>
      </c>
      <c r="S84" s="514">
        <f t="shared" si="21"/>
        <v>0</v>
      </c>
      <c r="T84" s="3794">
        <f t="shared" si="21"/>
        <v>30536.49</v>
      </c>
      <c r="U84" s="514">
        <f t="shared" si="21"/>
        <v>0</v>
      </c>
      <c r="V84" s="514">
        <f t="shared" ref="V84:AB84" si="22">SUM(V79:V83)</f>
        <v>8396</v>
      </c>
      <c r="W84" s="514">
        <f t="shared" si="22"/>
        <v>18719.900000000001</v>
      </c>
      <c r="X84" s="514">
        <f t="shared" si="22"/>
        <v>77500</v>
      </c>
      <c r="Y84" s="514">
        <f t="shared" si="22"/>
        <v>30000</v>
      </c>
      <c r="Z84" s="514">
        <f t="shared" si="22"/>
        <v>69677.279999999999</v>
      </c>
      <c r="AA84" s="514">
        <f t="shared" si="22"/>
        <v>6050</v>
      </c>
      <c r="AB84" s="515">
        <f t="shared" si="22"/>
        <v>0</v>
      </c>
    </row>
    <row r="85" spans="1:28" s="37" customFormat="1" ht="15.75" thickBot="1">
      <c r="A85" s="75"/>
      <c r="B85" s="4169" t="s">
        <v>7845</v>
      </c>
      <c r="C85" s="4162"/>
      <c r="D85" s="4163"/>
      <c r="E85" s="4163"/>
      <c r="F85" s="4164"/>
      <c r="G85" s="4164"/>
      <c r="H85" s="4164"/>
      <c r="I85" s="4164"/>
      <c r="J85" s="4164"/>
      <c r="K85" s="4164"/>
      <c r="L85" s="4164"/>
      <c r="M85" s="4164"/>
      <c r="N85" s="4165">
        <f t="shared" ref="N85:S85" si="23">N84-N25</f>
        <v>-52954.82</v>
      </c>
      <c r="O85" s="4166">
        <f t="shared" si="23"/>
        <v>-96954.82</v>
      </c>
      <c r="P85" s="4166">
        <f t="shared" si="23"/>
        <v>-111299.99</v>
      </c>
      <c r="Q85" s="4166">
        <f t="shared" si="23"/>
        <v>-114799.99</v>
      </c>
      <c r="R85" s="4166">
        <f t="shared" si="23"/>
        <v>-107481.31000000001</v>
      </c>
      <c r="S85" s="4166">
        <f t="shared" si="23"/>
        <v>-250944.82</v>
      </c>
      <c r="T85" s="4165">
        <f t="shared" ref="T85:AB85" si="24">T84-T25</f>
        <v>30536.49</v>
      </c>
      <c r="U85" s="4166">
        <f t="shared" si="24"/>
        <v>-174000</v>
      </c>
      <c r="V85" s="4166">
        <f t="shared" si="24"/>
        <v>-242548.82</v>
      </c>
      <c r="W85" s="4166">
        <f t="shared" si="24"/>
        <v>-233828.92</v>
      </c>
      <c r="X85" s="4166">
        <f t="shared" si="24"/>
        <v>-223828.92000000004</v>
      </c>
      <c r="Y85" s="4166">
        <f t="shared" si="24"/>
        <v>21064</v>
      </c>
      <c r="Z85" s="4167">
        <f t="shared" si="24"/>
        <v>0</v>
      </c>
      <c r="AA85" s="4166">
        <f t="shared" si="24"/>
        <v>-5950</v>
      </c>
      <c r="AB85" s="4168">
        <f t="shared" si="24"/>
        <v>-193242.8</v>
      </c>
    </row>
    <row r="86" spans="1:28" s="37" customFormat="1">
      <c r="A86" s="75"/>
      <c r="B86" s="61"/>
      <c r="C86" s="61"/>
      <c r="D86" s="91"/>
      <c r="E86" s="91"/>
      <c r="F86" s="4119"/>
      <c r="G86" s="4119"/>
      <c r="H86" s="4119"/>
      <c r="I86" s="4119"/>
      <c r="J86" s="4119"/>
      <c r="K86" s="4119"/>
      <c r="L86" s="4119"/>
      <c r="M86" s="4119"/>
      <c r="N86" s="4120"/>
      <c r="O86" s="4120"/>
      <c r="P86" s="4120"/>
      <c r="Q86" s="4120"/>
      <c r="R86" s="4120"/>
      <c r="S86" s="4120"/>
      <c r="T86" s="4120"/>
      <c r="U86" s="4120"/>
      <c r="V86" s="4120"/>
      <c r="W86" s="4120"/>
      <c r="X86" s="4120"/>
      <c r="Y86" s="4120"/>
      <c r="Z86" s="4120"/>
      <c r="AA86" s="4120"/>
    </row>
    <row r="87" spans="1:28" s="37" customFormat="1">
      <c r="A87" s="75"/>
      <c r="B87" s="61"/>
      <c r="C87" s="61"/>
      <c r="D87" s="91"/>
      <c r="E87" s="91"/>
      <c r="F87" s="4119"/>
      <c r="G87" s="4119"/>
      <c r="H87" s="4119"/>
      <c r="I87" s="4119"/>
      <c r="J87" s="4119"/>
      <c r="K87" s="4119"/>
      <c r="L87" s="4119"/>
      <c r="M87" s="4119"/>
      <c r="N87" s="4120"/>
      <c r="O87" s="4120"/>
      <c r="P87" s="4120"/>
      <c r="Q87" s="4120"/>
      <c r="R87" s="4120"/>
      <c r="S87" s="4120"/>
      <c r="T87" s="4120"/>
      <c r="U87" s="4120"/>
      <c r="V87" s="4120"/>
      <c r="W87" s="4120"/>
      <c r="X87" s="4120"/>
      <c r="Y87" s="4120"/>
      <c r="Z87" s="4120"/>
      <c r="AA87" s="4120"/>
    </row>
    <row r="88" spans="1:28" s="37" customFormat="1">
      <c r="A88" s="75"/>
      <c r="B88" s="61"/>
      <c r="C88" s="61"/>
      <c r="D88" s="91"/>
      <c r="E88" s="91"/>
      <c r="F88" s="4119"/>
      <c r="G88" s="4119"/>
      <c r="H88" s="4119"/>
      <c r="I88" s="4119"/>
      <c r="J88" s="4119"/>
      <c r="K88" s="4119"/>
      <c r="L88" s="4119"/>
      <c r="M88" s="4119"/>
      <c r="N88" s="4120"/>
      <c r="O88" s="4120"/>
      <c r="P88" s="4120"/>
      <c r="Q88" s="4120"/>
      <c r="R88" s="4120"/>
      <c r="S88" s="4120"/>
      <c r="T88" s="4120"/>
      <c r="U88" s="4120"/>
      <c r="V88" s="4120"/>
      <c r="W88" s="4120"/>
      <c r="X88" s="4120"/>
      <c r="Y88" s="4120"/>
      <c r="Z88" s="4120"/>
      <c r="AA88" s="4120"/>
    </row>
    <row r="89" spans="1:28" s="37" customFormat="1">
      <c r="A89" s="75"/>
      <c r="B89" s="61"/>
      <c r="C89" s="61"/>
      <c r="D89" s="91"/>
      <c r="E89" s="91"/>
      <c r="F89" s="4119"/>
      <c r="G89" s="4119"/>
      <c r="H89" s="4119"/>
      <c r="I89" s="4119"/>
      <c r="J89" s="4119"/>
      <c r="K89" s="4119"/>
      <c r="L89" s="4119"/>
      <c r="M89" s="4119"/>
      <c r="N89" s="4120"/>
      <c r="O89" s="4120"/>
      <c r="P89" s="4120"/>
      <c r="Q89" s="4120"/>
      <c r="R89" s="4120"/>
      <c r="S89" s="4120"/>
      <c r="T89" s="4120"/>
      <c r="U89" s="4120"/>
      <c r="V89" s="4120"/>
      <c r="W89" s="4120"/>
      <c r="X89" s="4120"/>
      <c r="Y89" s="4120"/>
      <c r="Z89" s="4120"/>
      <c r="AA89" s="4120"/>
    </row>
    <row r="90" spans="1:28" s="37" customFormat="1" ht="15.75" thickBot="1"/>
    <row r="91" spans="1:28" s="39" customFormat="1" ht="13.5" thickBot="1">
      <c r="A91" s="4132" t="s">
        <v>7843</v>
      </c>
      <c r="B91" s="4122" t="s">
        <v>7842</v>
      </c>
      <c r="C91" s="3689" t="s">
        <v>904</v>
      </c>
      <c r="D91" s="3690" t="s">
        <v>905</v>
      </c>
      <c r="E91" s="3690" t="s">
        <v>906</v>
      </c>
      <c r="F91" s="3690" t="s">
        <v>907</v>
      </c>
      <c r="G91" s="3690" t="s">
        <v>908</v>
      </c>
      <c r="H91" s="3690" t="s">
        <v>909</v>
      </c>
      <c r="I91" s="3690" t="s">
        <v>910</v>
      </c>
      <c r="J91" s="3690" t="s">
        <v>911</v>
      </c>
      <c r="K91" s="3690" t="s">
        <v>912</v>
      </c>
      <c r="L91" s="3691" t="s">
        <v>913</v>
      </c>
      <c r="M91" s="3692" t="s">
        <v>914</v>
      </c>
      <c r="N91" s="3608" t="s">
        <v>7847</v>
      </c>
      <c r="O91" s="3610" t="s">
        <v>7848</v>
      </c>
      <c r="P91" s="3610" t="s">
        <v>7849</v>
      </c>
      <c r="Q91" s="3610" t="s">
        <v>7850</v>
      </c>
      <c r="R91" s="33" t="s">
        <v>656</v>
      </c>
      <c r="S91" s="33" t="s">
        <v>636</v>
      </c>
      <c r="T91" s="3610" t="s">
        <v>7851</v>
      </c>
      <c r="U91" s="3610" t="s">
        <v>7852</v>
      </c>
      <c r="V91" s="3609" t="s">
        <v>981</v>
      </c>
    </row>
    <row r="92" spans="1:28" s="39" customFormat="1" ht="12.75">
      <c r="A92" s="3695" t="s">
        <v>961</v>
      </c>
      <c r="B92" s="3695" t="s">
        <v>963</v>
      </c>
      <c r="C92" s="3696">
        <v>117626.87</v>
      </c>
      <c r="D92" s="3696">
        <v>132228.63715576884</v>
      </c>
      <c r="E92" s="3697">
        <v>5334090</v>
      </c>
      <c r="F92" s="3690">
        <v>124803.66</v>
      </c>
      <c r="G92" s="3690">
        <v>107542.41</v>
      </c>
      <c r="H92" s="3698">
        <v>119778.4</v>
      </c>
      <c r="I92" s="3690">
        <v>119097.54</v>
      </c>
      <c r="J92" s="3690">
        <v>106173.42</v>
      </c>
      <c r="K92" s="3690">
        <v>110696.95</v>
      </c>
      <c r="L92" s="1022">
        <v>90808.87</v>
      </c>
      <c r="M92" s="487">
        <v>97498</v>
      </c>
      <c r="N92" s="65">
        <v>84931.51</v>
      </c>
      <c r="O92" s="65">
        <v>100233</v>
      </c>
      <c r="P92" s="65">
        <v>102700</v>
      </c>
      <c r="Q92" s="65">
        <v>105425</v>
      </c>
      <c r="R92" s="65"/>
      <c r="S92" s="65"/>
      <c r="T92" s="65">
        <v>109050</v>
      </c>
      <c r="U92" s="65">
        <v>111900</v>
      </c>
      <c r="V92" s="3721">
        <f>N92+O92+P92+Q92+T92+U92</f>
        <v>614239.51</v>
      </c>
    </row>
    <row r="93" spans="1:28" s="39" customFormat="1" ht="12.75">
      <c r="A93" s="3693" t="s">
        <v>962</v>
      </c>
      <c r="B93" s="3693" t="s">
        <v>963</v>
      </c>
      <c r="C93" s="3700">
        <v>38978.43</v>
      </c>
      <c r="D93" s="3700">
        <v>44753.556652346684</v>
      </c>
      <c r="E93" s="556">
        <v>1805354</v>
      </c>
      <c r="F93" s="227">
        <v>51820</v>
      </c>
      <c r="G93" s="227">
        <v>82716.89</v>
      </c>
      <c r="H93" s="3701">
        <v>46182.76</v>
      </c>
      <c r="I93" s="227">
        <v>117668.52</v>
      </c>
      <c r="J93" s="227">
        <v>103314.31</v>
      </c>
      <c r="K93" s="227">
        <v>145380.63</v>
      </c>
      <c r="L93" s="1029">
        <v>111969.61</v>
      </c>
      <c r="M93" s="65">
        <v>115181.42</v>
      </c>
      <c r="N93" s="65">
        <v>63603.23</v>
      </c>
      <c r="O93" s="65">
        <v>79989.75</v>
      </c>
      <c r="P93" s="65">
        <v>79016.89</v>
      </c>
      <c r="Q93" s="65">
        <v>79340.490000000005</v>
      </c>
      <c r="R93" s="65"/>
      <c r="S93" s="65"/>
      <c r="T93" s="65">
        <v>81492.86</v>
      </c>
      <c r="U93" s="65">
        <v>83705.75</v>
      </c>
      <c r="V93" s="3721">
        <f t="shared" ref="V93:V100" si="25">N93+O93+P93+Q93+T93+U93</f>
        <v>467148.97</v>
      </c>
    </row>
    <row r="94" spans="1:28" s="39" customFormat="1" ht="12.75">
      <c r="A94" s="3693" t="s">
        <v>960</v>
      </c>
      <c r="B94" s="3693" t="s">
        <v>928</v>
      </c>
      <c r="C94" s="3700">
        <v>3334.79</v>
      </c>
      <c r="D94" s="3700">
        <v>6709.6348776273617</v>
      </c>
      <c r="E94" s="556">
        <v>270666</v>
      </c>
      <c r="F94" s="227">
        <v>5422</v>
      </c>
      <c r="G94" s="227">
        <v>5447.77</v>
      </c>
      <c r="H94" s="3701">
        <v>7243.89</v>
      </c>
      <c r="I94" s="227">
        <v>7161.12</v>
      </c>
      <c r="J94" s="227">
        <v>8294.1200000000008</v>
      </c>
      <c r="K94" s="227">
        <v>8381.2199999999993</v>
      </c>
      <c r="L94" s="1029">
        <v>7771.12</v>
      </c>
      <c r="M94" s="65">
        <v>6381.5</v>
      </c>
      <c r="N94" s="65">
        <v>3930.19</v>
      </c>
      <c r="O94" s="65">
        <v>12130</v>
      </c>
      <c r="P94" s="65">
        <v>12257</v>
      </c>
      <c r="Q94" s="65">
        <v>13317</v>
      </c>
      <c r="R94" s="65"/>
      <c r="S94" s="65"/>
      <c r="T94" s="65">
        <v>13447</v>
      </c>
      <c r="U94" s="65">
        <v>13429</v>
      </c>
      <c r="V94" s="3721">
        <f t="shared" si="25"/>
        <v>68510.19</v>
      </c>
    </row>
    <row r="95" spans="1:28" s="39" customFormat="1" ht="12.75">
      <c r="A95" s="3693" t="s">
        <v>954</v>
      </c>
      <c r="B95" s="3693" t="s">
        <v>929</v>
      </c>
      <c r="C95" s="3700">
        <v>12038.25</v>
      </c>
      <c r="D95" s="3700">
        <v>52197.923148049449</v>
      </c>
      <c r="E95" s="556">
        <v>2105659</v>
      </c>
      <c r="F95" s="227">
        <v>50722</v>
      </c>
      <c r="G95" s="227">
        <v>48821</v>
      </c>
      <c r="H95" s="3701">
        <v>37204.6</v>
      </c>
      <c r="I95" s="227">
        <v>61402.22</v>
      </c>
      <c r="J95" s="227">
        <v>51856</v>
      </c>
      <c r="K95" s="227">
        <v>50903</v>
      </c>
      <c r="L95" s="1029">
        <f>47814.43+1000</f>
        <v>48814.43</v>
      </c>
      <c r="M95" s="65">
        <f>51249.78+8750</f>
        <v>59999.78</v>
      </c>
      <c r="N95" s="65">
        <v>4736.71</v>
      </c>
      <c r="O95" s="65">
        <v>13029</v>
      </c>
      <c r="P95" s="65">
        <v>13029</v>
      </c>
      <c r="Q95" s="65">
        <v>12929</v>
      </c>
      <c r="R95" s="65"/>
      <c r="S95" s="65"/>
      <c r="T95" s="65">
        <v>12929</v>
      </c>
      <c r="U95" s="65">
        <v>12929</v>
      </c>
      <c r="V95" s="3721">
        <f t="shared" si="25"/>
        <v>69581.709999999992</v>
      </c>
    </row>
    <row r="96" spans="1:28" s="39" customFormat="1" ht="12.75">
      <c r="A96" s="3693" t="s">
        <v>955</v>
      </c>
      <c r="B96" s="3693" t="s">
        <v>930</v>
      </c>
      <c r="C96" s="3700">
        <v>8097.49</v>
      </c>
      <c r="D96" s="3700">
        <v>8945.7336284918892</v>
      </c>
      <c r="E96" s="556">
        <v>360870</v>
      </c>
      <c r="F96" s="227">
        <v>16637</v>
      </c>
      <c r="G96" s="227">
        <v>0</v>
      </c>
      <c r="H96" s="3701">
        <v>8355.02</v>
      </c>
      <c r="I96" s="227">
        <v>11979.78</v>
      </c>
      <c r="J96" s="227">
        <v>13457.05</v>
      </c>
      <c r="K96" s="227">
        <v>12206.97</v>
      </c>
      <c r="L96" s="1029">
        <v>10297.61</v>
      </c>
      <c r="M96" s="65">
        <f>10622.39+4000</f>
        <v>14622.39</v>
      </c>
      <c r="N96" s="65">
        <v>7863.54</v>
      </c>
      <c r="O96" s="65">
        <v>10043.620000000001</v>
      </c>
      <c r="P96" s="65">
        <v>10514.3</v>
      </c>
      <c r="Q96" s="65">
        <v>11006.46</v>
      </c>
      <c r="R96" s="65"/>
      <c r="S96" s="65"/>
      <c r="T96" s="65">
        <v>11521.15</v>
      </c>
      <c r="U96" s="65">
        <v>12059.4</v>
      </c>
      <c r="V96" s="3721">
        <f t="shared" si="25"/>
        <v>63008.47</v>
      </c>
    </row>
    <row r="97" spans="1:24" s="39" customFormat="1" ht="12.75">
      <c r="A97" s="3693" t="s">
        <v>956</v>
      </c>
      <c r="B97" s="3693" t="s">
        <v>931</v>
      </c>
      <c r="C97" s="3700">
        <v>18937.21</v>
      </c>
      <c r="D97" s="3700">
        <v>21843.088356689033</v>
      </c>
      <c r="E97" s="556">
        <v>881148</v>
      </c>
      <c r="F97" s="227">
        <v>22921</v>
      </c>
      <c r="G97" s="227">
        <v>11017.14</v>
      </c>
      <c r="H97" s="3701">
        <v>0</v>
      </c>
      <c r="I97" s="227">
        <v>3608.11</v>
      </c>
      <c r="J97" s="227">
        <v>7054.06</v>
      </c>
      <c r="K97" s="227">
        <v>0</v>
      </c>
      <c r="L97" s="1029">
        <v>2697.46</v>
      </c>
      <c r="M97" s="65">
        <f>13333.53+1300</f>
        <v>14633.53</v>
      </c>
      <c r="N97" s="65">
        <v>9689.56</v>
      </c>
      <c r="O97" s="65">
        <v>19159.48</v>
      </c>
      <c r="P97" s="65">
        <v>19659</v>
      </c>
      <c r="Q97" s="65">
        <v>20109</v>
      </c>
      <c r="R97" s="65"/>
      <c r="S97" s="65"/>
      <c r="T97" s="65">
        <v>20780</v>
      </c>
      <c r="U97" s="65">
        <v>21323</v>
      </c>
      <c r="V97" s="3721">
        <f t="shared" si="25"/>
        <v>110720.04000000001</v>
      </c>
    </row>
    <row r="98" spans="1:24" s="39" customFormat="1" ht="12.75">
      <c r="A98" s="3693" t="s">
        <v>957</v>
      </c>
      <c r="B98" s="3693" t="s">
        <v>932</v>
      </c>
      <c r="C98" s="3700">
        <v>15870.74</v>
      </c>
      <c r="D98" s="3700">
        <v>18978.133312179754</v>
      </c>
      <c r="E98" s="556">
        <v>765576</v>
      </c>
      <c r="F98" s="227">
        <v>18766</v>
      </c>
      <c r="G98" s="227">
        <v>29038.78</v>
      </c>
      <c r="H98" s="3701">
        <v>20885.04</v>
      </c>
      <c r="I98" s="227">
        <v>20814.62</v>
      </c>
      <c r="J98" s="227">
        <v>25709.53</v>
      </c>
      <c r="K98" s="227">
        <v>23367.68</v>
      </c>
      <c r="L98" s="1029">
        <v>25763.09</v>
      </c>
      <c r="M98" s="65">
        <v>24343.34</v>
      </c>
      <c r="N98" s="65">
        <v>6714.72</v>
      </c>
      <c r="O98" s="65">
        <v>12375</v>
      </c>
      <c r="P98" s="65">
        <v>12375</v>
      </c>
      <c r="Q98" s="65">
        <v>12375</v>
      </c>
      <c r="R98" s="65"/>
      <c r="S98" s="65"/>
      <c r="T98" s="65">
        <v>12375</v>
      </c>
      <c r="U98" s="65">
        <v>12375</v>
      </c>
      <c r="V98" s="3721">
        <f t="shared" si="25"/>
        <v>68589.72</v>
      </c>
    </row>
    <row r="99" spans="1:24" s="39" customFormat="1" ht="12.75">
      <c r="A99" s="3693" t="s">
        <v>958</v>
      </c>
      <c r="B99" s="3693" t="s">
        <v>933</v>
      </c>
      <c r="C99" s="3700">
        <v>12445.25</v>
      </c>
      <c r="D99" s="3700">
        <v>4283.5009506716679</v>
      </c>
      <c r="E99" s="556">
        <v>172796</v>
      </c>
      <c r="F99" s="227">
        <v>22634</v>
      </c>
      <c r="G99" s="227">
        <v>23961.439999999999</v>
      </c>
      <c r="H99" s="3701">
        <v>15754.5</v>
      </c>
      <c r="I99" s="227">
        <v>25868.84</v>
      </c>
      <c r="J99" s="227">
        <v>29525.34</v>
      </c>
      <c r="K99" s="227">
        <v>27644.3</v>
      </c>
      <c r="L99" s="1029">
        <v>15719.19</v>
      </c>
      <c r="M99" s="65">
        <f>13627.11+1854</f>
        <v>15481.11</v>
      </c>
      <c r="N99" s="65">
        <v>29780</v>
      </c>
      <c r="O99" s="65">
        <v>26184.87</v>
      </c>
      <c r="P99" s="65">
        <v>26359.87</v>
      </c>
      <c r="Q99" s="65">
        <v>26359.87</v>
      </c>
      <c r="R99" s="65">
        <v>26569.87</v>
      </c>
      <c r="S99" s="65">
        <v>26569.87</v>
      </c>
      <c r="T99" s="65">
        <v>26569.87</v>
      </c>
      <c r="U99" s="65">
        <v>26569.87</v>
      </c>
      <c r="V99" s="3721">
        <f t="shared" si="25"/>
        <v>161824.34999999998</v>
      </c>
    </row>
    <row r="100" spans="1:24" s="39" customFormat="1" ht="13.5" thickBot="1">
      <c r="A100" s="3711" t="s">
        <v>959</v>
      </c>
      <c r="B100" s="3693" t="s">
        <v>935</v>
      </c>
      <c r="C100" s="3700">
        <v>13709.78</v>
      </c>
      <c r="D100" s="3700">
        <v>16694.414215206285</v>
      </c>
      <c r="E100" s="556">
        <v>673451</v>
      </c>
      <c r="F100" s="227">
        <v>15074</v>
      </c>
      <c r="G100" s="227">
        <v>11947.94</v>
      </c>
      <c r="H100" s="3703">
        <v>7368.12</v>
      </c>
      <c r="I100" s="3704">
        <v>14731.2</v>
      </c>
      <c r="J100" s="3704">
        <v>27098.12</v>
      </c>
      <c r="K100" s="3704">
        <v>9985.01</v>
      </c>
      <c r="L100" s="1037">
        <v>-1793.08</v>
      </c>
      <c r="M100" s="1036">
        <v>13406.97</v>
      </c>
      <c r="N100" s="65">
        <v>17752.939999999999</v>
      </c>
      <c r="O100" s="65">
        <v>24724</v>
      </c>
      <c r="P100" s="65">
        <v>24779</v>
      </c>
      <c r="Q100" s="65">
        <v>25148</v>
      </c>
      <c r="R100" s="65"/>
      <c r="S100" s="65"/>
      <c r="T100" s="65">
        <v>25218</v>
      </c>
      <c r="U100" s="65">
        <v>25373</v>
      </c>
      <c r="V100" s="3721">
        <f t="shared" si="25"/>
        <v>142994.94</v>
      </c>
    </row>
    <row r="101" spans="1:24" s="39" customFormat="1" ht="13.5" thickBot="1">
      <c r="A101" s="3722"/>
      <c r="B101" s="3723"/>
      <c r="C101" s="510">
        <f t="shared" ref="C101:V101" si="26">SUM(C92:C100)</f>
        <v>241038.80999999997</v>
      </c>
      <c r="D101" s="510">
        <f t="shared" si="26"/>
        <v>306634.62229703099</v>
      </c>
      <c r="E101" s="510">
        <f t="shared" si="26"/>
        <v>12369610</v>
      </c>
      <c r="F101" s="510">
        <f t="shared" si="26"/>
        <v>328799.66000000003</v>
      </c>
      <c r="G101" s="510">
        <f t="shared" si="26"/>
        <v>320493.37</v>
      </c>
      <c r="H101" s="510">
        <f t="shared" si="26"/>
        <v>262772.33</v>
      </c>
      <c r="I101" s="510">
        <f t="shared" si="26"/>
        <v>382331.95000000007</v>
      </c>
      <c r="J101" s="510">
        <f t="shared" si="26"/>
        <v>372481.95</v>
      </c>
      <c r="K101" s="510">
        <f t="shared" si="26"/>
        <v>388565.75999999995</v>
      </c>
      <c r="L101" s="3707">
        <f t="shared" si="26"/>
        <v>312048.3</v>
      </c>
      <c r="M101" s="3707">
        <f t="shared" si="26"/>
        <v>361548.04</v>
      </c>
      <c r="N101" s="3724">
        <f t="shared" si="26"/>
        <v>229002.4</v>
      </c>
      <c r="O101" s="3724">
        <f t="shared" si="26"/>
        <v>297868.72000000003</v>
      </c>
      <c r="P101" s="3724">
        <f t="shared" si="26"/>
        <v>300690.06</v>
      </c>
      <c r="Q101" s="3725">
        <f t="shared" si="26"/>
        <v>306009.82</v>
      </c>
      <c r="R101" s="3724">
        <f t="shared" si="26"/>
        <v>26569.87</v>
      </c>
      <c r="S101" s="3724">
        <f t="shared" si="26"/>
        <v>26569.87</v>
      </c>
      <c r="T101" s="3724">
        <f t="shared" si="26"/>
        <v>313382.88</v>
      </c>
      <c r="U101" s="3724">
        <f t="shared" si="26"/>
        <v>319664.02</v>
      </c>
      <c r="V101" s="3726">
        <f t="shared" si="26"/>
        <v>1766617.9</v>
      </c>
    </row>
    <row r="102" spans="1:24" s="39" customFormat="1" ht="13.5" thickBot="1"/>
    <row r="103" spans="1:24" s="39" customFormat="1" ht="18.75" customHeight="1" thickBot="1">
      <c r="A103" s="61"/>
      <c r="B103" s="4122" t="s">
        <v>7844</v>
      </c>
      <c r="C103" s="3689" t="s">
        <v>904</v>
      </c>
      <c r="D103" s="3690" t="s">
        <v>905</v>
      </c>
      <c r="E103" s="3690" t="s">
        <v>906</v>
      </c>
      <c r="F103" s="3690" t="s">
        <v>907</v>
      </c>
      <c r="G103" s="3690" t="s">
        <v>908</v>
      </c>
      <c r="H103" s="3690" t="s">
        <v>909</v>
      </c>
      <c r="I103" s="3690" t="s">
        <v>910</v>
      </c>
      <c r="J103" s="3690" t="s">
        <v>911</v>
      </c>
      <c r="K103" s="3690" t="s">
        <v>912</v>
      </c>
      <c r="L103" s="3691" t="s">
        <v>913</v>
      </c>
      <c r="M103" s="3692" t="s">
        <v>914</v>
      </c>
      <c r="N103" s="3608" t="s">
        <v>7847</v>
      </c>
      <c r="O103" s="3610" t="s">
        <v>7848</v>
      </c>
      <c r="P103" s="3610" t="s">
        <v>7849</v>
      </c>
      <c r="Q103" s="3610" t="s">
        <v>7850</v>
      </c>
      <c r="R103" s="33" t="s">
        <v>656</v>
      </c>
      <c r="S103" s="33" t="s">
        <v>636</v>
      </c>
      <c r="T103" s="3610" t="s">
        <v>7851</v>
      </c>
      <c r="U103" s="3610" t="s">
        <v>7852</v>
      </c>
      <c r="V103" s="3609" t="s">
        <v>981</v>
      </c>
      <c r="X103" s="3729"/>
    </row>
    <row r="104" spans="1:24" s="39" customFormat="1" ht="12.75">
      <c r="A104" s="3695" t="s">
        <v>961</v>
      </c>
      <c r="B104" s="3695" t="s">
        <v>963</v>
      </c>
      <c r="C104" s="3696">
        <v>117626.87</v>
      </c>
      <c r="D104" s="3696">
        <v>132228.63715576884</v>
      </c>
      <c r="E104" s="3697">
        <v>5334090</v>
      </c>
      <c r="F104" s="3690">
        <v>124803.66</v>
      </c>
      <c r="G104" s="3690">
        <v>107542.41</v>
      </c>
      <c r="H104" s="3698">
        <v>119778.4</v>
      </c>
      <c r="I104" s="3690">
        <v>119097.54</v>
      </c>
      <c r="J104" s="3690">
        <v>106173.42</v>
      </c>
      <c r="K104" s="3690">
        <v>110696.95</v>
      </c>
      <c r="L104" s="1022">
        <v>90808.87</v>
      </c>
      <c r="M104" s="487">
        <v>97498</v>
      </c>
      <c r="N104" s="65">
        <v>83519.17</v>
      </c>
      <c r="O104" s="65">
        <v>85463.35</v>
      </c>
      <c r="P104" s="65">
        <v>87446.413600000014</v>
      </c>
      <c r="Q104" s="65">
        <v>89469.138472000021</v>
      </c>
      <c r="R104" s="65">
        <v>91532.317841440017</v>
      </c>
      <c r="S104" s="65">
        <v>93636.760798268821</v>
      </c>
      <c r="T104" s="65">
        <v>91532.317841440017</v>
      </c>
      <c r="U104" s="65">
        <v>93636.760798268821</v>
      </c>
      <c r="V104" s="3721">
        <f>N104+O104+P104+Q104+T104+U104</f>
        <v>531067.15071170893</v>
      </c>
    </row>
    <row r="105" spans="1:24" s="39" customFormat="1" ht="12.75">
      <c r="A105" s="3693" t="s">
        <v>962</v>
      </c>
      <c r="B105" s="3693" t="s">
        <v>963</v>
      </c>
      <c r="C105" s="3700">
        <v>38978.43</v>
      </c>
      <c r="D105" s="3700">
        <v>44753.556652346684</v>
      </c>
      <c r="E105" s="556">
        <v>1805354</v>
      </c>
      <c r="F105" s="227">
        <v>51820</v>
      </c>
      <c r="G105" s="227">
        <v>82716.89</v>
      </c>
      <c r="H105" s="3701">
        <v>46182.76</v>
      </c>
      <c r="I105" s="227">
        <v>117668.52</v>
      </c>
      <c r="J105" s="227">
        <v>103314.31</v>
      </c>
      <c r="K105" s="227">
        <v>145380.63</v>
      </c>
      <c r="L105" s="1029">
        <v>111969.61</v>
      </c>
      <c r="M105" s="65">
        <v>115181.42</v>
      </c>
      <c r="N105" s="65">
        <v>43262.298000000003</v>
      </c>
      <c r="O105" s="65">
        <v>44754.684000000001</v>
      </c>
      <c r="P105" s="65">
        <v>46276.917720000005</v>
      </c>
      <c r="Q105" s="65">
        <v>47829.59611440001</v>
      </c>
      <c r="R105" s="65">
        <v>49413.328076688013</v>
      </c>
      <c r="S105" s="65">
        <v>51028.734678221772</v>
      </c>
      <c r="T105" s="65">
        <v>49413.328076688013</v>
      </c>
      <c r="U105" s="65">
        <v>51028.734678221772</v>
      </c>
      <c r="V105" s="3721">
        <f t="shared" ref="V105:V110" si="27">N105+O105+P105+Q105+T105+U105</f>
        <v>282565.5585893098</v>
      </c>
    </row>
    <row r="106" spans="1:24" s="39" customFormat="1" ht="12.75">
      <c r="A106" s="3693" t="s">
        <v>960</v>
      </c>
      <c r="B106" s="3693" t="s">
        <v>928</v>
      </c>
      <c r="C106" s="3700">
        <v>3334.79</v>
      </c>
      <c r="D106" s="3700">
        <v>6709.6348776273617</v>
      </c>
      <c r="E106" s="556">
        <v>270666</v>
      </c>
      <c r="F106" s="227">
        <v>5422</v>
      </c>
      <c r="G106" s="227">
        <v>5447.77</v>
      </c>
      <c r="H106" s="3701">
        <v>7243.89</v>
      </c>
      <c r="I106" s="227">
        <v>7161.12</v>
      </c>
      <c r="J106" s="227">
        <v>8294.1200000000008</v>
      </c>
      <c r="K106" s="227">
        <v>8381.2199999999993</v>
      </c>
      <c r="L106" s="1029">
        <v>7771.12</v>
      </c>
      <c r="M106" s="65">
        <v>6381.5</v>
      </c>
      <c r="N106" s="65">
        <v>7303.68</v>
      </c>
      <c r="O106" s="65">
        <v>7603.3937999999998</v>
      </c>
      <c r="P106" s="65">
        <v>7909.1018760000006</v>
      </c>
      <c r="Q106" s="65">
        <v>8220.9241135200009</v>
      </c>
      <c r="R106" s="65">
        <v>8538.9827957904017</v>
      </c>
      <c r="S106" s="65">
        <v>8863.4026517062102</v>
      </c>
      <c r="T106" s="65">
        <v>8538.9827957904017</v>
      </c>
      <c r="U106" s="65">
        <v>8863.4026517062102</v>
      </c>
      <c r="V106" s="3721">
        <f t="shared" si="27"/>
        <v>48439.485237016612</v>
      </c>
    </row>
    <row r="107" spans="1:24" s="39" customFormat="1" ht="12.75">
      <c r="A107" s="3693" t="s">
        <v>954</v>
      </c>
      <c r="B107" s="3693" t="s">
        <v>929</v>
      </c>
      <c r="C107" s="3700">
        <v>12038.25</v>
      </c>
      <c r="D107" s="3700">
        <v>52197.923148049449</v>
      </c>
      <c r="E107" s="556">
        <v>2105659</v>
      </c>
      <c r="F107" s="227">
        <v>50722</v>
      </c>
      <c r="G107" s="227">
        <v>48821</v>
      </c>
      <c r="H107" s="3701">
        <v>37204.6</v>
      </c>
      <c r="I107" s="227">
        <v>61402.22</v>
      </c>
      <c r="J107" s="227">
        <v>51856</v>
      </c>
      <c r="K107" s="227">
        <v>50903</v>
      </c>
      <c r="L107" s="1029">
        <f>47814.43+1000</f>
        <v>48814.43</v>
      </c>
      <c r="M107" s="65">
        <f>51249.78+8750</f>
        <v>59999.78</v>
      </c>
      <c r="N107" s="65">
        <v>7936.4080000000004</v>
      </c>
      <c r="O107" s="65">
        <v>8197.9880000000012</v>
      </c>
      <c r="P107" s="65">
        <v>8464.7996000000021</v>
      </c>
      <c r="Q107" s="65">
        <v>8736.9474320000008</v>
      </c>
      <c r="R107" s="65">
        <v>9014.5382206400027</v>
      </c>
      <c r="S107" s="65">
        <v>9297.6808250528011</v>
      </c>
      <c r="T107" s="65">
        <v>9014.5382206400027</v>
      </c>
      <c r="U107" s="65">
        <v>9297.6808250528011</v>
      </c>
      <c r="V107" s="3721">
        <f t="shared" si="27"/>
        <v>51648.362077692815</v>
      </c>
    </row>
    <row r="108" spans="1:24" s="39" customFormat="1" ht="12.75">
      <c r="A108" s="3693" t="s">
        <v>955</v>
      </c>
      <c r="B108" s="3693" t="s">
        <v>930</v>
      </c>
      <c r="C108" s="3700">
        <v>8097.49</v>
      </c>
      <c r="D108" s="3700">
        <v>8945.7336284918892</v>
      </c>
      <c r="E108" s="556">
        <v>360870</v>
      </c>
      <c r="F108" s="227">
        <v>16637</v>
      </c>
      <c r="G108" s="227">
        <v>0</v>
      </c>
      <c r="H108" s="3701">
        <v>8355.02</v>
      </c>
      <c r="I108" s="227">
        <v>11979.78</v>
      </c>
      <c r="J108" s="227">
        <v>13457.05</v>
      </c>
      <c r="K108" s="227">
        <v>12206.97</v>
      </c>
      <c r="L108" s="1029">
        <v>10297.61</v>
      </c>
      <c r="M108" s="65">
        <f>10622.39+4000</f>
        <v>14622.39</v>
      </c>
      <c r="N108" s="65">
        <v>5671.1040000000003</v>
      </c>
      <c r="O108" s="65">
        <v>5862.9740000000011</v>
      </c>
      <c r="P108" s="65">
        <v>6058.6814000000004</v>
      </c>
      <c r="Q108" s="65">
        <v>6258.3029480000014</v>
      </c>
      <c r="R108" s="65">
        <v>6461.9169269600015</v>
      </c>
      <c r="S108" s="65">
        <v>6669.6031854992025</v>
      </c>
      <c r="T108" s="65">
        <v>6461.9169269600015</v>
      </c>
      <c r="U108" s="65">
        <v>6669.6031854992025</v>
      </c>
      <c r="V108" s="3721">
        <f t="shared" si="27"/>
        <v>36982.582460459205</v>
      </c>
    </row>
    <row r="109" spans="1:24" s="39" customFormat="1" ht="12.75">
      <c r="A109" s="3693" t="s">
        <v>956</v>
      </c>
      <c r="B109" s="3693" t="s">
        <v>931</v>
      </c>
      <c r="C109" s="3700">
        <v>18937.21</v>
      </c>
      <c r="D109" s="3700">
        <v>21843.088356689033</v>
      </c>
      <c r="E109" s="556">
        <v>881148</v>
      </c>
      <c r="F109" s="227">
        <v>22921</v>
      </c>
      <c r="G109" s="227">
        <v>11017.14</v>
      </c>
      <c r="H109" s="3701">
        <v>0</v>
      </c>
      <c r="I109" s="227">
        <v>3608.11</v>
      </c>
      <c r="J109" s="227">
        <v>7054.06</v>
      </c>
      <c r="K109" s="227">
        <v>0</v>
      </c>
      <c r="L109" s="1029">
        <v>2697.46</v>
      </c>
      <c r="M109" s="65">
        <f>13333.53+1300</f>
        <v>14633.53</v>
      </c>
      <c r="N109" s="65">
        <v>10527.758</v>
      </c>
      <c r="O109" s="65">
        <v>10909.307600000002</v>
      </c>
      <c r="P109" s="65">
        <v>11298.488192000003</v>
      </c>
      <c r="Q109" s="65">
        <v>11695.452395840004</v>
      </c>
      <c r="R109" s="65">
        <v>12100.355883756803</v>
      </c>
      <c r="S109" s="65">
        <v>12513.357441431939</v>
      </c>
      <c r="T109" s="65">
        <v>12100.355883756803</v>
      </c>
      <c r="U109" s="65">
        <v>12513.357441431939</v>
      </c>
      <c r="V109" s="3721">
        <f t="shared" si="27"/>
        <v>69044.719513028758</v>
      </c>
    </row>
    <row r="110" spans="1:24" s="39" customFormat="1" ht="12.75">
      <c r="A110" s="3693" t="s">
        <v>957</v>
      </c>
      <c r="B110" s="3693" t="s">
        <v>932</v>
      </c>
      <c r="C110" s="3700">
        <v>15870.74</v>
      </c>
      <c r="D110" s="3700">
        <v>18978.133312179754</v>
      </c>
      <c r="E110" s="556">
        <v>765576</v>
      </c>
      <c r="F110" s="227">
        <v>18766</v>
      </c>
      <c r="G110" s="227">
        <v>29038.78</v>
      </c>
      <c r="H110" s="3701">
        <v>20885.04</v>
      </c>
      <c r="I110" s="227">
        <v>20814.62</v>
      </c>
      <c r="J110" s="227">
        <v>25709.53</v>
      </c>
      <c r="K110" s="227">
        <v>23367.68</v>
      </c>
      <c r="L110" s="1029">
        <v>25763.09</v>
      </c>
      <c r="M110" s="65">
        <v>24343.34</v>
      </c>
      <c r="N110" s="65">
        <v>6602.5059999999994</v>
      </c>
      <c r="O110" s="65">
        <v>6866.8101999999999</v>
      </c>
      <c r="P110" s="65">
        <v>7136.4004839999998</v>
      </c>
      <c r="Q110" s="65">
        <v>7411.3825736800009</v>
      </c>
      <c r="R110" s="65">
        <v>7691.8643051536019</v>
      </c>
      <c r="S110" s="65">
        <v>7977.9556712566737</v>
      </c>
      <c r="T110" s="65">
        <v>7691.8643051536019</v>
      </c>
      <c r="U110" s="65">
        <v>7977.9556712566737</v>
      </c>
      <c r="V110" s="3721">
        <f t="shared" si="27"/>
        <v>43686.919234090266</v>
      </c>
    </row>
    <row r="111" spans="1:24" s="39" customFormat="1" ht="12.75">
      <c r="A111" s="3693" t="s">
        <v>958</v>
      </c>
      <c r="B111" s="3693" t="s">
        <v>933</v>
      </c>
      <c r="C111" s="3700">
        <v>12445.25</v>
      </c>
      <c r="D111" s="3700">
        <v>4283.5009506716679</v>
      </c>
      <c r="E111" s="556">
        <v>172796</v>
      </c>
      <c r="F111" s="227">
        <v>22634</v>
      </c>
      <c r="G111" s="227">
        <v>23961.439999999999</v>
      </c>
      <c r="H111" s="3701">
        <v>15754.5</v>
      </c>
      <c r="I111" s="227">
        <v>25868.84</v>
      </c>
      <c r="J111" s="227">
        <v>29525.34</v>
      </c>
      <c r="K111" s="227">
        <v>27644.3</v>
      </c>
      <c r="L111" s="1029">
        <v>15719.19</v>
      </c>
      <c r="M111" s="65">
        <f>13627.11+1854</f>
        <v>15481.11</v>
      </c>
      <c r="N111" s="65">
        <v>25657.225999999999</v>
      </c>
      <c r="O111" s="65">
        <v>26268.413399999998</v>
      </c>
      <c r="P111" s="65">
        <v>26891.824547999997</v>
      </c>
      <c r="Q111" s="65">
        <v>27527.703918959996</v>
      </c>
      <c r="R111" s="65">
        <v>28176.300877339199</v>
      </c>
      <c r="S111" s="65">
        <v>28837.869774885985</v>
      </c>
      <c r="T111" s="65">
        <v>28176.300877339199</v>
      </c>
      <c r="U111" s="65">
        <v>28837.869774885985</v>
      </c>
      <c r="V111" s="3721">
        <f>N111+O111+P111+Q111+T111+U111</f>
        <v>163359.3385191852</v>
      </c>
    </row>
    <row r="112" spans="1:24" s="39" customFormat="1" ht="13.5" thickBot="1">
      <c r="A112" s="3711" t="s">
        <v>959</v>
      </c>
      <c r="B112" s="3693" t="s">
        <v>935</v>
      </c>
      <c r="C112" s="3700">
        <v>13709.78</v>
      </c>
      <c r="D112" s="3700">
        <v>16694.414215206285</v>
      </c>
      <c r="E112" s="556">
        <v>673451</v>
      </c>
      <c r="F112" s="227">
        <v>15074</v>
      </c>
      <c r="G112" s="227">
        <v>11947.94</v>
      </c>
      <c r="H112" s="3703">
        <v>7368.12</v>
      </c>
      <c r="I112" s="3704">
        <v>14731.2</v>
      </c>
      <c r="J112" s="3704">
        <v>27098.12</v>
      </c>
      <c r="K112" s="3704">
        <v>9985.01</v>
      </c>
      <c r="L112" s="1037">
        <v>-1793.08</v>
      </c>
      <c r="M112" s="1036">
        <v>13406.97</v>
      </c>
      <c r="N112" s="65">
        <v>15315.196</v>
      </c>
      <c r="O112" s="65">
        <v>15808.675999999999</v>
      </c>
      <c r="P112" s="65">
        <v>16312.025600000001</v>
      </c>
      <c r="Q112" s="65">
        <v>16825.442192000002</v>
      </c>
      <c r="R112" s="65">
        <v>17349.127115840001</v>
      </c>
      <c r="S112" s="65">
        <v>17883.285738156803</v>
      </c>
      <c r="T112" s="65">
        <v>17349.127115840001</v>
      </c>
      <c r="U112" s="65">
        <v>17883.285738156803</v>
      </c>
      <c r="V112" s="3721">
        <f>N112+O112+P112+Q112+T112+U112</f>
        <v>99493.752645996807</v>
      </c>
    </row>
    <row r="113" spans="1:29" s="39" customFormat="1" ht="13.5" thickBot="1">
      <c r="A113" s="3722"/>
      <c r="B113" s="3723"/>
      <c r="C113" s="510">
        <f t="shared" ref="C113:V113" si="28">SUM(C104:C112)</f>
        <v>241038.80999999997</v>
      </c>
      <c r="D113" s="510">
        <f t="shared" si="28"/>
        <v>306634.62229703099</v>
      </c>
      <c r="E113" s="510">
        <f t="shared" si="28"/>
        <v>12369610</v>
      </c>
      <c r="F113" s="510">
        <f t="shared" si="28"/>
        <v>328799.66000000003</v>
      </c>
      <c r="G113" s="510">
        <f t="shared" si="28"/>
        <v>320493.37</v>
      </c>
      <c r="H113" s="510">
        <f t="shared" si="28"/>
        <v>262772.33</v>
      </c>
      <c r="I113" s="510">
        <f t="shared" si="28"/>
        <v>382331.95000000007</v>
      </c>
      <c r="J113" s="510">
        <f t="shared" si="28"/>
        <v>372481.95</v>
      </c>
      <c r="K113" s="510">
        <f t="shared" si="28"/>
        <v>388565.75999999995</v>
      </c>
      <c r="L113" s="3707">
        <f t="shared" si="28"/>
        <v>312048.3</v>
      </c>
      <c r="M113" s="3707">
        <f t="shared" si="28"/>
        <v>361548.04</v>
      </c>
      <c r="N113" s="3708">
        <f t="shared" si="28"/>
        <v>205795.34599999996</v>
      </c>
      <c r="O113" s="3709">
        <f t="shared" si="28"/>
        <v>211735.59700000001</v>
      </c>
      <c r="P113" s="3709">
        <f t="shared" si="28"/>
        <v>217794.65302000003</v>
      </c>
      <c r="Q113" s="3725">
        <f>SUM(Q104:Q112)</f>
        <v>223974.89016040007</v>
      </c>
      <c r="R113" s="3709">
        <f t="shared" si="28"/>
        <v>230278.73204360803</v>
      </c>
      <c r="S113" s="3709">
        <f t="shared" si="28"/>
        <v>236708.65076448023</v>
      </c>
      <c r="T113" s="3709">
        <f t="shared" si="28"/>
        <v>230278.73204360803</v>
      </c>
      <c r="U113" s="3710">
        <f t="shared" si="28"/>
        <v>236708.65076448023</v>
      </c>
      <c r="V113" s="3726">
        <f t="shared" si="28"/>
        <v>1326287.8689884883</v>
      </c>
    </row>
    <row r="114" spans="1:29" s="39" customFormat="1" ht="13.5" thickBot="1"/>
    <row r="115" spans="1:29" s="39" customFormat="1" ht="51.75" thickBot="1">
      <c r="A115" s="4170" t="s">
        <v>7853</v>
      </c>
      <c r="N115" s="3727"/>
      <c r="O115" s="559" t="s">
        <v>7835</v>
      </c>
      <c r="P115" s="558" t="s">
        <v>7836</v>
      </c>
      <c r="Q115" s="561" t="s">
        <v>7837</v>
      </c>
      <c r="V115" s="560" t="s">
        <v>985</v>
      </c>
      <c r="AB115" s="91"/>
      <c r="AC115" s="75"/>
    </row>
    <row r="116" spans="1:29" s="39" customFormat="1" ht="12.75">
      <c r="A116" s="3695" t="s">
        <v>961</v>
      </c>
      <c r="B116" s="3695" t="s">
        <v>963</v>
      </c>
      <c r="N116" s="3728"/>
      <c r="O116" s="3729">
        <v>100709</v>
      </c>
      <c r="P116" s="4148">
        <v>2413.7199999999998</v>
      </c>
      <c r="Q116" s="1142">
        <f t="shared" ref="Q116:Q123" si="29">O116-P116</f>
        <v>98295.28</v>
      </c>
      <c r="T116" s="3796">
        <f>Q104-Q116</f>
        <v>-8826.1415279999783</v>
      </c>
      <c r="V116" s="3730">
        <v>13690</v>
      </c>
      <c r="AB116" s="91"/>
      <c r="AC116" s="75"/>
    </row>
    <row r="117" spans="1:29" s="39" customFormat="1" ht="12.75">
      <c r="A117" s="3693" t="s">
        <v>962</v>
      </c>
      <c r="B117" s="3693" t="s">
        <v>963</v>
      </c>
      <c r="N117" s="3712"/>
      <c r="O117" s="3729">
        <v>57804.3</v>
      </c>
      <c r="P117" s="4148">
        <v>25133.89</v>
      </c>
      <c r="Q117" s="1142">
        <f t="shared" si="29"/>
        <v>32670.410000000003</v>
      </c>
      <c r="T117" s="3796">
        <f>Q105-Q117</f>
        <v>15159.186114400007</v>
      </c>
      <c r="V117" s="3731">
        <v>31357</v>
      </c>
      <c r="AB117" s="91"/>
      <c r="AC117" s="75"/>
    </row>
    <row r="118" spans="1:29" s="39" customFormat="1" ht="12.75">
      <c r="A118" s="3693" t="s">
        <v>960</v>
      </c>
      <c r="B118" s="3693" t="s">
        <v>928</v>
      </c>
      <c r="N118" s="3712"/>
      <c r="O118" s="3729">
        <v>15091.96</v>
      </c>
      <c r="P118" s="4148">
        <v>4297.3999999999996</v>
      </c>
      <c r="Q118" s="1142">
        <f t="shared" si="29"/>
        <v>10794.56</v>
      </c>
      <c r="T118" s="3796">
        <f>Q106-Q118</f>
        <v>-2573.6358864799986</v>
      </c>
      <c r="V118" s="3731">
        <v>7682</v>
      </c>
      <c r="AB118" s="91"/>
      <c r="AC118" s="75"/>
    </row>
    <row r="119" spans="1:29" s="39" customFormat="1" ht="12.75">
      <c r="A119" s="3693" t="s">
        <v>982</v>
      </c>
      <c r="B119" s="3693" t="s">
        <v>929</v>
      </c>
      <c r="N119" s="3712"/>
      <c r="O119" s="3729"/>
      <c r="P119" s="4148"/>
      <c r="Q119" s="1142">
        <f t="shared" si="29"/>
        <v>0</v>
      </c>
      <c r="T119" s="3796">
        <f t="shared" ref="T119:T124" si="30">Q107-Q119</f>
        <v>8736.9474320000008</v>
      </c>
      <c r="V119" s="3731">
        <v>5143</v>
      </c>
      <c r="AB119" s="91"/>
      <c r="AC119" s="75"/>
    </row>
    <row r="120" spans="1:29" s="39" customFormat="1" ht="12.75">
      <c r="A120" s="3693" t="s">
        <v>955</v>
      </c>
      <c r="B120" s="3693" t="s">
        <v>930</v>
      </c>
      <c r="N120" s="3712"/>
      <c r="O120" s="3729"/>
      <c r="P120" s="4148"/>
      <c r="Q120" s="1142">
        <f t="shared" si="29"/>
        <v>0</v>
      </c>
      <c r="T120" s="3796">
        <f t="shared" si="30"/>
        <v>6258.3029480000014</v>
      </c>
      <c r="V120" s="3731">
        <v>3922</v>
      </c>
      <c r="AB120" s="91"/>
      <c r="AC120" s="75"/>
    </row>
    <row r="121" spans="1:29" s="39" customFormat="1" ht="12.75">
      <c r="A121" s="3693" t="s">
        <v>956</v>
      </c>
      <c r="B121" s="3693" t="s">
        <v>931</v>
      </c>
      <c r="N121" s="3712"/>
      <c r="O121" s="3729"/>
      <c r="P121" s="4148"/>
      <c r="Q121" s="1142">
        <f t="shared" si="29"/>
        <v>0</v>
      </c>
      <c r="T121" s="3796">
        <f t="shared" si="30"/>
        <v>11695.452395840004</v>
      </c>
      <c r="V121" s="3731">
        <v>8550</v>
      </c>
      <c r="AB121" s="91"/>
      <c r="AC121" s="75"/>
    </row>
    <row r="122" spans="1:29" s="39" customFormat="1" ht="12.75">
      <c r="A122" s="3693" t="s">
        <v>957</v>
      </c>
      <c r="B122" s="3693" t="s">
        <v>932</v>
      </c>
      <c r="N122" s="3712"/>
      <c r="O122" s="3729">
        <v>11925</v>
      </c>
      <c r="P122" s="4148">
        <v>4527.13</v>
      </c>
      <c r="Q122" s="1142">
        <f t="shared" si="29"/>
        <v>7397.87</v>
      </c>
      <c r="T122" s="3796">
        <f t="shared" si="30"/>
        <v>13.512573680000969</v>
      </c>
      <c r="V122" s="3731">
        <v>6613</v>
      </c>
      <c r="AB122" s="91"/>
      <c r="AC122" s="75"/>
    </row>
    <row r="123" spans="1:29" s="39" customFormat="1" ht="12.75">
      <c r="A123" s="3693" t="s">
        <v>958</v>
      </c>
      <c r="B123" s="3693" t="s">
        <v>933</v>
      </c>
      <c r="N123" s="3712"/>
      <c r="O123" s="3729"/>
      <c r="P123" s="4148"/>
      <c r="Q123" s="1142">
        <f t="shared" si="29"/>
        <v>0</v>
      </c>
      <c r="T123" s="3796">
        <f t="shared" si="30"/>
        <v>27527.703918959996</v>
      </c>
      <c r="V123" s="3731">
        <v>4902</v>
      </c>
      <c r="AB123" s="91"/>
      <c r="AC123" s="75"/>
    </row>
    <row r="124" spans="1:29" s="39" customFormat="1" ht="13.5" thickBot="1">
      <c r="A124" s="3693" t="s">
        <v>959</v>
      </c>
      <c r="B124" s="3693" t="s">
        <v>935</v>
      </c>
      <c r="N124" s="3717"/>
      <c r="O124" s="3729">
        <v>26091</v>
      </c>
      <c r="P124" s="4148">
        <v>9175.6200000000008</v>
      </c>
      <c r="Q124" s="1142">
        <f>O124-P124</f>
        <v>16915.379999999997</v>
      </c>
      <c r="T124" s="3796">
        <f t="shared" si="30"/>
        <v>-89.93780799999513</v>
      </c>
      <c r="V124" s="3732">
        <v>9359</v>
      </c>
      <c r="AB124" s="91"/>
      <c r="AC124" s="75"/>
    </row>
    <row r="125" spans="1:29" s="39" customFormat="1" ht="13.5" thickBot="1">
      <c r="A125" s="3733"/>
      <c r="B125" s="3734"/>
      <c r="C125" s="3734"/>
      <c r="D125" s="3734"/>
      <c r="E125" s="3734"/>
      <c r="F125" s="3734"/>
      <c r="G125" s="3734"/>
      <c r="H125" s="3734"/>
      <c r="I125" s="3734"/>
      <c r="J125" s="3734"/>
      <c r="K125" s="3734"/>
      <c r="L125" s="3734"/>
      <c r="M125" s="3734"/>
      <c r="N125" s="3735"/>
      <c r="O125" s="3736">
        <f>SUM(O116:O124)</f>
        <v>211621.25999999998</v>
      </c>
      <c r="P125" s="4149">
        <f>SUM(P116:P124)</f>
        <v>45547.76</v>
      </c>
      <c r="Q125" s="3737">
        <f>SUM(Q116:Q124)</f>
        <v>166073.5</v>
      </c>
      <c r="R125" s="3709">
        <f>SUM(R116:R124)</f>
        <v>0</v>
      </c>
      <c r="S125" s="3708">
        <f>SUM(S116:S124)</f>
        <v>0</v>
      </c>
      <c r="V125" s="4150">
        <f>SUM(V116:V124)</f>
        <v>91218</v>
      </c>
      <c r="AC125" s="75"/>
    </row>
    <row r="126" spans="1:29" s="39" customFormat="1" ht="12.75">
      <c r="B126" s="4151" t="s">
        <v>983</v>
      </c>
      <c r="C126" s="4152"/>
      <c r="D126" s="4152"/>
      <c r="E126" s="4152"/>
      <c r="F126" s="4152"/>
      <c r="G126" s="4152"/>
      <c r="H126" s="4152"/>
      <c r="I126" s="4152"/>
      <c r="J126" s="4152"/>
      <c r="K126" s="4152"/>
      <c r="L126" s="4152"/>
      <c r="M126" s="4152"/>
      <c r="N126" s="4153"/>
      <c r="O126" s="4154">
        <f>O125-Q101</f>
        <v>-94388.560000000027</v>
      </c>
      <c r="P126" s="4155"/>
      <c r="Q126" s="4156"/>
    </row>
    <row r="127" spans="1:29" s="39" customFormat="1" ht="13.5" thickBot="1">
      <c r="B127" s="4157" t="s">
        <v>984</v>
      </c>
      <c r="C127" s="4158"/>
      <c r="D127" s="4158"/>
      <c r="E127" s="4158"/>
      <c r="F127" s="4158"/>
      <c r="G127" s="4158"/>
      <c r="H127" s="4158"/>
      <c r="I127" s="4158"/>
      <c r="J127" s="4158"/>
      <c r="K127" s="4158"/>
      <c r="L127" s="4158"/>
      <c r="M127" s="4158"/>
      <c r="N127" s="4159"/>
      <c r="O127" s="4158"/>
      <c r="P127" s="4158"/>
      <c r="Q127" s="4160">
        <f>Q125-Q113</f>
        <v>-57901.390160400071</v>
      </c>
    </row>
    <row r="128" spans="1:29" s="39" customFormat="1" ht="12.75"/>
    <row r="129" s="37" customFormat="1"/>
    <row r="130" s="37" customFormat="1"/>
    <row r="131" s="37" customFormat="1"/>
    <row r="132" s="37" customFormat="1"/>
    <row r="133" s="37" customFormat="1"/>
    <row r="134" s="37" customFormat="1"/>
    <row r="135" s="37" customFormat="1"/>
    <row r="136" s="37" customFormat="1"/>
    <row r="137" s="37" customFormat="1"/>
    <row r="138" s="37" customFormat="1"/>
    <row r="139" s="37" customFormat="1"/>
    <row r="140" s="37" customFormat="1"/>
    <row r="141" s="37" customFormat="1"/>
    <row r="142" s="37" customFormat="1"/>
    <row r="143" s="37" customFormat="1"/>
    <row r="144" s="37" customFormat="1"/>
    <row r="145" spans="2:27" s="37" customFormat="1"/>
    <row r="146" spans="2:27" s="37" customFormat="1">
      <c r="B146" s="500" t="s">
        <v>950</v>
      </c>
      <c r="C146" s="501"/>
      <c r="D146" s="502"/>
      <c r="E146" s="502"/>
      <c r="F146" s="502"/>
      <c r="G146" s="502"/>
      <c r="H146" s="502"/>
      <c r="I146" s="502"/>
      <c r="J146" s="502"/>
      <c r="K146" s="502"/>
      <c r="L146" s="500" t="s">
        <v>939</v>
      </c>
      <c r="M146" s="503" t="s">
        <v>940</v>
      </c>
      <c r="N146" s="500" t="s">
        <v>941</v>
      </c>
      <c r="O146" s="500" t="s">
        <v>942</v>
      </c>
      <c r="P146" s="503" t="s">
        <v>943</v>
      </c>
      <c r="Q146" s="503" t="s">
        <v>944</v>
      </c>
      <c r="R146" s="501"/>
      <c r="S146" s="501"/>
      <c r="T146" s="503" t="s">
        <v>945</v>
      </c>
      <c r="U146" s="503" t="s">
        <v>946</v>
      </c>
      <c r="V146" s="500" t="s">
        <v>805</v>
      </c>
      <c r="W146" s="230"/>
      <c r="X146" s="230"/>
      <c r="Y146" s="230"/>
      <c r="Z146" s="230"/>
      <c r="AA146" s="230"/>
    </row>
    <row r="147" spans="2:27" s="37" customFormat="1">
      <c r="B147" s="500" t="s">
        <v>926</v>
      </c>
      <c r="C147" s="504"/>
      <c r="D147" s="505"/>
      <c r="E147" s="505"/>
      <c r="F147" s="505"/>
      <c r="G147" s="505"/>
      <c r="H147" s="502"/>
      <c r="I147" s="500" t="s">
        <v>951</v>
      </c>
      <c r="J147" s="500" t="s">
        <v>952</v>
      </c>
      <c r="K147" s="506" t="s">
        <v>660</v>
      </c>
      <c r="L147" s="502">
        <v>38307.35</v>
      </c>
      <c r="M147" s="502">
        <v>39312</v>
      </c>
      <c r="N147" s="502">
        <v>46153.9</v>
      </c>
      <c r="O147" s="502">
        <v>44410.01</v>
      </c>
      <c r="P147" s="502">
        <v>29265.599999999999</v>
      </c>
      <c r="Q147" s="502">
        <v>36151.21</v>
      </c>
      <c r="R147" s="504"/>
      <c r="S147" s="504"/>
      <c r="T147" s="502">
        <v>43026.17</v>
      </c>
      <c r="U147" s="502">
        <v>29141.88</v>
      </c>
      <c r="V147" s="502">
        <v>-13884.289999999997</v>
      </c>
      <c r="W147" s="42"/>
      <c r="X147" s="42"/>
      <c r="Y147" s="42"/>
      <c r="Z147" s="42"/>
      <c r="AA147" s="42"/>
    </row>
    <row r="148" spans="2:27" s="37" customFormat="1">
      <c r="B148" s="500" t="s">
        <v>927</v>
      </c>
      <c r="C148" s="504"/>
      <c r="D148" s="505"/>
      <c r="E148" s="505"/>
      <c r="F148" s="505"/>
      <c r="G148" s="505"/>
      <c r="H148" s="502"/>
      <c r="I148" s="502">
        <v>11850.66</v>
      </c>
      <c r="J148" s="502">
        <v>20694.62</v>
      </c>
      <c r="K148" s="502">
        <v>-8843.9599999999991</v>
      </c>
      <c r="L148" s="502">
        <v>61226.36</v>
      </c>
      <c r="M148" s="502">
        <v>68011.92</v>
      </c>
      <c r="N148" s="502">
        <v>84941.440000000002</v>
      </c>
      <c r="O148" s="502">
        <v>112990.75</v>
      </c>
      <c r="P148" s="502">
        <v>103946.09</v>
      </c>
      <c r="Q148" s="502">
        <v>77379.03</v>
      </c>
      <c r="R148" s="504"/>
      <c r="S148" s="504"/>
      <c r="T148" s="502">
        <v>74288.94</v>
      </c>
      <c r="U148" s="502">
        <v>60926.94</v>
      </c>
      <c r="V148" s="502">
        <v>-13362</v>
      </c>
      <c r="W148" s="42"/>
      <c r="X148" s="42"/>
      <c r="Y148" s="42"/>
      <c r="Z148" s="42"/>
      <c r="AA148" s="42"/>
    </row>
    <row r="149" spans="2:27" s="37" customFormat="1">
      <c r="B149" s="500" t="s">
        <v>928</v>
      </c>
      <c r="C149" s="504"/>
      <c r="D149" s="505"/>
      <c r="E149" s="505"/>
      <c r="F149" s="505"/>
      <c r="G149" s="505"/>
      <c r="H149" s="502"/>
      <c r="I149" s="502">
        <v>12743.4</v>
      </c>
      <c r="J149" s="502">
        <v>17566.490000000002</v>
      </c>
      <c r="K149" s="502">
        <v>-4823.090000000002</v>
      </c>
      <c r="L149" s="502">
        <v>8474.31</v>
      </c>
      <c r="M149" s="502">
        <v>10597.53</v>
      </c>
      <c r="N149" s="502">
        <v>11565.92</v>
      </c>
      <c r="O149" s="502">
        <v>8641.2099999999991</v>
      </c>
      <c r="P149" s="502">
        <v>9565.7199999999993</v>
      </c>
      <c r="Q149" s="502">
        <v>11946.3</v>
      </c>
      <c r="R149" s="504"/>
      <c r="S149" s="504"/>
      <c r="T149" s="502">
        <v>13527.04</v>
      </c>
      <c r="U149" s="502">
        <v>16560.509999999998</v>
      </c>
      <c r="V149" s="502">
        <v>3033.4699999999975</v>
      </c>
      <c r="W149" s="42"/>
      <c r="X149" s="42"/>
      <c r="Y149" s="42"/>
      <c r="Z149" s="42"/>
      <c r="AA149" s="42"/>
    </row>
    <row r="150" spans="2:27" s="37" customFormat="1">
      <c r="B150" s="500" t="s">
        <v>929</v>
      </c>
      <c r="C150" s="504"/>
      <c r="D150" s="505"/>
      <c r="E150" s="505"/>
      <c r="F150" s="505"/>
      <c r="G150" s="505"/>
      <c r="H150" s="502"/>
      <c r="I150" s="502">
        <v>6414.6</v>
      </c>
      <c r="J150" s="502">
        <v>11379.1</v>
      </c>
      <c r="K150" s="502">
        <v>-4964.5</v>
      </c>
      <c r="L150" s="502">
        <v>13577.62</v>
      </c>
      <c r="M150" s="502">
        <v>27253.05</v>
      </c>
      <c r="N150" s="502">
        <v>23813.040000000001</v>
      </c>
      <c r="O150" s="502">
        <v>6117.54</v>
      </c>
      <c r="P150" s="502">
        <v>5025.68</v>
      </c>
      <c r="Q150" s="502">
        <v>8576.19</v>
      </c>
      <c r="R150" s="504"/>
      <c r="S150" s="504"/>
      <c r="T150" s="502">
        <v>12325.66</v>
      </c>
      <c r="U150" s="502">
        <v>10595.71</v>
      </c>
      <c r="V150" s="502">
        <v>-1729.9500000000007</v>
      </c>
      <c r="W150" s="42"/>
      <c r="X150" s="42"/>
      <c r="Y150" s="42"/>
      <c r="Z150" s="42"/>
      <c r="AA150" s="42"/>
    </row>
    <row r="151" spans="2:27" s="37" customFormat="1">
      <c r="B151" s="500" t="s">
        <v>930</v>
      </c>
      <c r="C151" s="504"/>
      <c r="D151" s="505"/>
      <c r="E151" s="505"/>
      <c r="F151" s="505"/>
      <c r="G151" s="505"/>
      <c r="H151" s="502"/>
      <c r="I151" s="502">
        <v>40018.65</v>
      </c>
      <c r="J151" s="502">
        <v>144346.54</v>
      </c>
      <c r="K151" s="502">
        <v>-104327.89000000001</v>
      </c>
      <c r="L151" s="502">
        <v>19675.04</v>
      </c>
      <c r="M151" s="502">
        <v>18426.830000000002</v>
      </c>
      <c r="N151" s="502">
        <v>16574.41</v>
      </c>
      <c r="O151" s="502">
        <v>16232.91</v>
      </c>
      <c r="P151" s="502">
        <v>11745.64</v>
      </c>
      <c r="Q151" s="502">
        <v>8158.67</v>
      </c>
      <c r="R151" s="504"/>
      <c r="S151" s="504"/>
      <c r="T151" s="502">
        <v>7114.04</v>
      </c>
      <c r="U151" s="502">
        <v>6945.45</v>
      </c>
      <c r="V151" s="502">
        <v>-168.59000000000015</v>
      </c>
      <c r="W151" s="42"/>
      <c r="X151" s="42"/>
      <c r="Y151" s="42"/>
      <c r="Z151" s="42"/>
      <c r="AA151" s="42"/>
    </row>
    <row r="152" spans="2:27" s="37" customFormat="1">
      <c r="B152" s="500" t="s">
        <v>931</v>
      </c>
      <c r="C152" s="504"/>
      <c r="D152" s="505"/>
      <c r="E152" s="505"/>
      <c r="F152" s="505"/>
      <c r="G152" s="505"/>
      <c r="H152" s="502"/>
      <c r="I152" s="502">
        <v>2524.87</v>
      </c>
      <c r="J152" s="502">
        <v>23372.15</v>
      </c>
      <c r="K152" s="502">
        <v>-20847.280000000002</v>
      </c>
      <c r="L152" s="502">
        <v>14308.77</v>
      </c>
      <c r="M152" s="502">
        <v>9278.7099999999991</v>
      </c>
      <c r="N152" s="502">
        <v>12856.37</v>
      </c>
      <c r="O152" s="502">
        <v>9686.2800000000007</v>
      </c>
      <c r="P152" s="502">
        <v>10011.31</v>
      </c>
      <c r="Q152" s="502">
        <v>13008.51</v>
      </c>
      <c r="R152" s="504"/>
      <c r="S152" s="504"/>
      <c r="T152" s="502">
        <v>16464.02</v>
      </c>
      <c r="U152" s="502">
        <v>16661.189999999999</v>
      </c>
      <c r="V152" s="502">
        <v>197.16999999999825</v>
      </c>
      <c r="W152" s="42"/>
      <c r="X152" s="42"/>
      <c r="Y152" s="42"/>
      <c r="Z152" s="42"/>
      <c r="AA152" s="42"/>
    </row>
    <row r="153" spans="2:27" s="37" customFormat="1">
      <c r="B153" s="500" t="s">
        <v>932</v>
      </c>
      <c r="C153" s="504"/>
      <c r="D153" s="505"/>
      <c r="E153" s="505"/>
      <c r="F153" s="505"/>
      <c r="G153" s="505"/>
      <c r="H153" s="502"/>
      <c r="I153" s="502">
        <v>3735.52</v>
      </c>
      <c r="J153" s="502">
        <v>21431.02</v>
      </c>
      <c r="K153" s="502">
        <v>-17695.5</v>
      </c>
      <c r="L153" s="502">
        <v>12114.96</v>
      </c>
      <c r="M153" s="502">
        <v>12017.45</v>
      </c>
      <c r="N153" s="502">
        <v>27516.18</v>
      </c>
      <c r="O153" s="502">
        <v>27829.19</v>
      </c>
      <c r="P153" s="502">
        <v>1660.87</v>
      </c>
      <c r="Q153" s="502">
        <v>3210.6</v>
      </c>
      <c r="R153" s="504"/>
      <c r="S153" s="504"/>
      <c r="T153" s="502">
        <v>13802.415999999999</v>
      </c>
      <c r="U153" s="502">
        <v>9209.42</v>
      </c>
      <c r="V153" s="502">
        <v>-4592.9959999999992</v>
      </c>
      <c r="W153" s="42"/>
      <c r="X153" s="42"/>
      <c r="Y153" s="42"/>
      <c r="Z153" s="42"/>
      <c r="AA153" s="42"/>
    </row>
    <row r="154" spans="2:27" s="37" customFormat="1">
      <c r="B154" s="500" t="s">
        <v>933</v>
      </c>
      <c r="C154" s="504"/>
      <c r="D154" s="505"/>
      <c r="E154" s="505"/>
      <c r="F154" s="505"/>
      <c r="G154" s="505"/>
      <c r="H154" s="502"/>
      <c r="I154" s="502">
        <v>4381.16</v>
      </c>
      <c r="J154" s="502">
        <v>32693.15</v>
      </c>
      <c r="K154" s="502">
        <v>-28311.99</v>
      </c>
      <c r="L154" s="502">
        <v>40887.730000000003</v>
      </c>
      <c r="M154" s="502">
        <v>28222.67</v>
      </c>
      <c r="N154" s="502">
        <v>22967.119999999999</v>
      </c>
      <c r="O154" s="502">
        <v>38527.160000000003</v>
      </c>
      <c r="P154" s="502">
        <v>49387.01</v>
      </c>
      <c r="Q154" s="502">
        <v>29605.119999999999</v>
      </c>
      <c r="R154" s="504"/>
      <c r="S154" s="504"/>
      <c r="T154" s="502">
        <v>20095.61</v>
      </c>
      <c r="U154" s="502">
        <v>9903.23</v>
      </c>
      <c r="V154" s="502">
        <v>-10192.380000000001</v>
      </c>
      <c r="W154" s="42"/>
      <c r="X154" s="42"/>
      <c r="Y154" s="42"/>
      <c r="Z154" s="42"/>
      <c r="AA154" s="42"/>
    </row>
    <row r="155" spans="2:27" s="37" customFormat="1">
      <c r="B155" s="500" t="s">
        <v>935</v>
      </c>
      <c r="C155" s="504"/>
      <c r="D155" s="505"/>
      <c r="E155" s="505"/>
      <c r="F155" s="505"/>
      <c r="G155" s="505"/>
      <c r="H155" s="505"/>
      <c r="I155" s="502">
        <v>6863.65</v>
      </c>
      <c r="J155" s="502">
        <v>17651.36</v>
      </c>
      <c r="K155" s="502">
        <v>-10787.710000000001</v>
      </c>
      <c r="L155" s="502">
        <v>30463.439999999999</v>
      </c>
      <c r="M155" s="502">
        <v>33965.79</v>
      </c>
      <c r="N155" s="502">
        <v>30387.95</v>
      </c>
      <c r="O155" s="502">
        <v>26113.67</v>
      </c>
      <c r="P155" s="502">
        <v>24563.05</v>
      </c>
      <c r="Q155" s="502">
        <v>20111.7</v>
      </c>
      <c r="R155" s="504"/>
      <c r="S155" s="504"/>
      <c r="T155" s="502">
        <v>16966.95</v>
      </c>
      <c r="U155" s="502">
        <v>18419.57</v>
      </c>
      <c r="V155" s="502">
        <v>1452.619999999999</v>
      </c>
      <c r="W155" s="42"/>
      <c r="X155" s="42"/>
      <c r="Y155" s="42"/>
      <c r="Z155" s="42"/>
      <c r="AA155" s="42"/>
    </row>
    <row r="156" spans="2:27" s="37" customFormat="1">
      <c r="B156" s="500"/>
      <c r="C156" s="507"/>
      <c r="D156" s="506"/>
      <c r="E156" s="506"/>
      <c r="F156" s="506"/>
      <c r="G156" s="506"/>
      <c r="H156" s="506"/>
      <c r="I156" s="500">
        <v>88532.51</v>
      </c>
      <c r="J156" s="500">
        <v>289134.43</v>
      </c>
      <c r="K156" s="500">
        <v>-200601.92</v>
      </c>
      <c r="L156" s="500">
        <v>239035.58</v>
      </c>
      <c r="M156" s="500">
        <v>247085.95000000004</v>
      </c>
      <c r="N156" s="500">
        <v>276776.33</v>
      </c>
      <c r="O156" s="500">
        <v>290548.72000000003</v>
      </c>
      <c r="P156" s="500">
        <v>245170.96999999997</v>
      </c>
      <c r="Q156" s="500">
        <v>208147.33000000002</v>
      </c>
      <c r="R156" s="500">
        <v>0</v>
      </c>
      <c r="S156" s="500">
        <v>0</v>
      </c>
      <c r="T156" s="500">
        <v>217610.84600000002</v>
      </c>
      <c r="U156" s="500">
        <v>178363.90000000002</v>
      </c>
      <c r="V156" s="500">
        <v>-39246.945999999996</v>
      </c>
      <c r="W156" s="226"/>
      <c r="X156" s="226"/>
      <c r="Y156" s="226"/>
      <c r="Z156" s="226"/>
      <c r="AA156" s="226"/>
    </row>
    <row r="157" spans="2:27" s="37" customFormat="1"/>
  </sheetData>
  <mergeCells count="1">
    <mergeCell ref="A1:W1"/>
  </mergeCells>
  <hyperlinks>
    <hyperlink ref="A1" location="GLOBAAL!A1" display="Kerkfabrieken " xr:uid="{00000000-0004-0000-3000-000000000000}"/>
    <hyperlink ref="A1:W1" location="FINANCIËN!A1" display="KERKFABRIEKEN" xr:uid="{00000000-0004-0000-3000-000001000000}"/>
  </hyperlinks>
  <pageMargins left="0.7" right="0.7" top="0.75" bottom="0.75" header="0.3" footer="0.3"/>
  <pageSetup paperSize="9"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E0C816"/>
  </sheetPr>
  <dimension ref="A1:R144"/>
  <sheetViews>
    <sheetView workbookViewId="0">
      <pane ySplit="1" topLeftCell="A2" activePane="bottomLeft" state="frozen"/>
      <selection pane="bottomLeft"/>
    </sheetView>
  </sheetViews>
  <sheetFormatPr defaultRowHeight="15"/>
  <cols>
    <col min="1" max="1" width="49.42578125" customWidth="1"/>
    <col min="2" max="2" width="9" bestFit="1" customWidth="1"/>
    <col min="3" max="3" width="13.42578125" bestFit="1" customWidth="1"/>
    <col min="4" max="4" width="11" bestFit="1" customWidth="1"/>
    <col min="5" max="5" width="11.140625" bestFit="1" customWidth="1"/>
    <col min="6" max="6" width="10.5703125" bestFit="1" customWidth="1"/>
    <col min="7" max="7" width="28.42578125" customWidth="1"/>
    <col min="8" max="8" width="18.5703125" bestFit="1" customWidth="1"/>
    <col min="9" max="9" width="14.5703125" bestFit="1" customWidth="1"/>
    <col min="10" max="10" width="13.7109375" bestFit="1" customWidth="1"/>
    <col min="11" max="11" width="11.7109375" bestFit="1" customWidth="1"/>
    <col min="12" max="12" width="19.85546875" bestFit="1" customWidth="1"/>
    <col min="13" max="13" width="11.42578125" bestFit="1" customWidth="1"/>
  </cols>
  <sheetData>
    <row r="1" spans="1:18" ht="21">
      <c r="A1" s="4222" t="s">
        <v>7999</v>
      </c>
      <c r="B1" s="4171"/>
      <c r="C1" s="4172" t="s">
        <v>960</v>
      </c>
      <c r="D1" s="4172" t="s">
        <v>955</v>
      </c>
      <c r="E1" s="4172" t="s">
        <v>957</v>
      </c>
      <c r="F1" s="4172" t="s">
        <v>959</v>
      </c>
      <c r="G1" s="4172" t="s">
        <v>7855</v>
      </c>
      <c r="H1" s="4172" t="s">
        <v>954</v>
      </c>
      <c r="I1" s="4172" t="s">
        <v>956</v>
      </c>
      <c r="J1" s="4172" t="s">
        <v>7856</v>
      </c>
      <c r="K1" s="4172" t="s">
        <v>961</v>
      </c>
      <c r="L1" s="4227" t="s">
        <v>165</v>
      </c>
    </row>
    <row r="2" spans="1:18">
      <c r="A2" s="4173"/>
      <c r="B2" s="4173"/>
      <c r="C2" s="4172" t="s">
        <v>928</v>
      </c>
      <c r="D2" s="4172" t="s">
        <v>930</v>
      </c>
      <c r="E2" s="4172" t="s">
        <v>932</v>
      </c>
      <c r="F2" s="4172" t="s">
        <v>935</v>
      </c>
      <c r="G2" s="4172" t="s">
        <v>933</v>
      </c>
      <c r="H2" s="4172" t="s">
        <v>929</v>
      </c>
      <c r="I2" s="4172" t="s">
        <v>931</v>
      </c>
      <c r="J2" s="4172" t="s">
        <v>963</v>
      </c>
      <c r="K2" s="4172" t="s">
        <v>963</v>
      </c>
      <c r="L2" s="4227" t="s">
        <v>7857</v>
      </c>
    </row>
    <row r="3" spans="1:18">
      <c r="A3" s="4174" t="s">
        <v>165</v>
      </c>
      <c r="B3" s="4174"/>
      <c r="C3" s="4175">
        <f>C7+C8+C9+C4</f>
        <v>16699.53</v>
      </c>
      <c r="D3" s="4175">
        <f t="shared" ref="D3:F3" si="0">D7+D8+D9+D4</f>
        <v>665863.27</v>
      </c>
      <c r="E3" s="4175">
        <f t="shared" si="0"/>
        <v>373959.05</v>
      </c>
      <c r="F3" s="4175">
        <f t="shared" si="0"/>
        <v>263251.13</v>
      </c>
      <c r="G3" s="4175">
        <f>G7+G8+G9+G4</f>
        <v>773234.13</v>
      </c>
      <c r="H3" s="4175">
        <f>H7+H8+H9+H4</f>
        <v>415489.83</v>
      </c>
      <c r="I3" s="4175">
        <f>I7+I8+I9+I4</f>
        <v>454129.68</v>
      </c>
      <c r="J3" s="4175">
        <f>J7+J8+J9+J4</f>
        <v>933421.26</v>
      </c>
      <c r="K3" s="4175">
        <f>K7+K8+K9+K4</f>
        <v>1344008.1</v>
      </c>
      <c r="L3" s="4223">
        <f>SUM(C3:K3)</f>
        <v>5240055.9800000004</v>
      </c>
      <c r="M3" s="4176"/>
    </row>
    <row r="4" spans="1:18">
      <c r="A4" s="4177" t="s">
        <v>7858</v>
      </c>
      <c r="B4" s="4177"/>
      <c r="C4" s="4178">
        <f>C5+C6</f>
        <v>0</v>
      </c>
      <c r="D4" s="4178">
        <f t="shared" ref="D4:K4" si="1">D5+D6</f>
        <v>645960</v>
      </c>
      <c r="E4" s="4178">
        <f>E5+E6</f>
        <v>324690</v>
      </c>
      <c r="F4" s="4178">
        <f t="shared" si="1"/>
        <v>177162</v>
      </c>
      <c r="G4" s="4178">
        <f>G5+G6</f>
        <v>647958</v>
      </c>
      <c r="H4" s="4178">
        <f t="shared" si="1"/>
        <v>270672</v>
      </c>
      <c r="I4" s="4178">
        <f t="shared" si="1"/>
        <v>117564</v>
      </c>
      <c r="J4" s="4178">
        <f t="shared" si="1"/>
        <v>191544</v>
      </c>
      <c r="K4" s="4178">
        <f t="shared" si="1"/>
        <v>944851.84</v>
      </c>
      <c r="L4" s="4224">
        <f t="shared" ref="L4:L9" si="2">SUM(C4:K4)</f>
        <v>3320401.84</v>
      </c>
    </row>
    <row r="5" spans="1:18">
      <c r="A5" s="4179" t="s">
        <v>7859</v>
      </c>
      <c r="B5" s="4180"/>
      <c r="C5" s="4181">
        <v>0</v>
      </c>
      <c r="D5" s="4181">
        <v>0</v>
      </c>
      <c r="E5" s="4181">
        <v>0</v>
      </c>
      <c r="F5" s="4181">
        <v>0</v>
      </c>
      <c r="G5" s="4181">
        <v>0</v>
      </c>
      <c r="H5" s="4181">
        <v>0</v>
      </c>
      <c r="I5" s="4181">
        <v>0</v>
      </c>
      <c r="J5" s="4181">
        <v>0</v>
      </c>
      <c r="K5" s="4181">
        <v>601843.84</v>
      </c>
      <c r="L5" s="4225">
        <f t="shared" si="2"/>
        <v>601843.84</v>
      </c>
    </row>
    <row r="6" spans="1:18">
      <c r="A6" s="4179" t="s">
        <v>7860</v>
      </c>
      <c r="B6" s="4180"/>
      <c r="C6" s="4181">
        <f>C48</f>
        <v>0</v>
      </c>
      <c r="D6" s="4181">
        <f t="shared" ref="D6:K6" si="3">D48</f>
        <v>645960</v>
      </c>
      <c r="E6" s="4181">
        <f t="shared" si="3"/>
        <v>324690</v>
      </c>
      <c r="F6" s="4181">
        <f t="shared" si="3"/>
        <v>177162</v>
      </c>
      <c r="G6" s="4181">
        <f t="shared" si="3"/>
        <v>647958</v>
      </c>
      <c r="H6" s="4181">
        <f t="shared" si="3"/>
        <v>270672</v>
      </c>
      <c r="I6" s="4181">
        <f t="shared" si="3"/>
        <v>117564</v>
      </c>
      <c r="J6" s="4181">
        <f t="shared" si="3"/>
        <v>191544</v>
      </c>
      <c r="K6" s="4181">
        <f t="shared" si="3"/>
        <v>343008</v>
      </c>
      <c r="L6" s="4225">
        <f t="shared" si="2"/>
        <v>2718558</v>
      </c>
      <c r="N6" s="4182" t="s">
        <v>7861</v>
      </c>
      <c r="O6" s="4182"/>
      <c r="P6" s="4182"/>
      <c r="Q6" s="4182"/>
      <c r="R6" s="4182"/>
    </row>
    <row r="7" spans="1:18">
      <c r="A7" s="4183" t="s">
        <v>7862</v>
      </c>
      <c r="B7" s="4183"/>
      <c r="C7" s="4184">
        <v>2683.02</v>
      </c>
      <c r="D7" s="4183">
        <v>734.98</v>
      </c>
      <c r="E7" s="4183">
        <v>0</v>
      </c>
      <c r="F7" s="4184">
        <v>9240.8799999999992</v>
      </c>
      <c r="G7" s="4183">
        <v>187.5</v>
      </c>
      <c r="H7" s="4184">
        <v>3422.73</v>
      </c>
      <c r="I7" s="4183">
        <v>9704.56</v>
      </c>
      <c r="J7" s="4184">
        <v>25457.49</v>
      </c>
      <c r="K7" s="4184">
        <v>50605.2</v>
      </c>
      <c r="L7" s="4224">
        <f t="shared" si="2"/>
        <v>102036.36</v>
      </c>
    </row>
    <row r="8" spans="1:18">
      <c r="A8" s="4183" t="s">
        <v>7863</v>
      </c>
      <c r="B8" s="4183"/>
      <c r="C8" s="4184">
        <f>13949.98+66.53</f>
        <v>14016.51</v>
      </c>
      <c r="D8" s="4184">
        <v>18168.29</v>
      </c>
      <c r="E8" s="4184">
        <v>11305.95</v>
      </c>
      <c r="F8" s="4184">
        <v>18970.060000000001</v>
      </c>
      <c r="G8" s="4185">
        <v>17918.09</v>
      </c>
      <c r="H8" s="4184">
        <v>17224.47</v>
      </c>
      <c r="I8" s="4184">
        <v>10860.76</v>
      </c>
      <c r="J8" s="4184">
        <v>46507.4</v>
      </c>
      <c r="K8" s="4184">
        <f>10773.74+309.7+38.36+30502.35</f>
        <v>41624.15</v>
      </c>
      <c r="L8" s="4224">
        <f t="shared" si="2"/>
        <v>196595.68</v>
      </c>
    </row>
    <row r="9" spans="1:18">
      <c r="A9" s="4183" t="s">
        <v>7864</v>
      </c>
      <c r="B9" s="4183"/>
      <c r="C9" s="4185">
        <f t="shared" ref="C9:H9" si="4">C10+C11</f>
        <v>0</v>
      </c>
      <c r="D9" s="4185">
        <f t="shared" si="4"/>
        <v>1000</v>
      </c>
      <c r="E9" s="4185">
        <f t="shared" si="4"/>
        <v>37963.1</v>
      </c>
      <c r="F9" s="4185">
        <f t="shared" si="4"/>
        <v>57878.19</v>
      </c>
      <c r="G9" s="4185">
        <f t="shared" si="4"/>
        <v>107170.54000000001</v>
      </c>
      <c r="H9" s="4185">
        <f t="shared" si="4"/>
        <v>124170.63</v>
      </c>
      <c r="I9" s="4185">
        <f t="shared" ref="I9" si="5">I10+I11</f>
        <v>316000.36</v>
      </c>
      <c r="J9" s="4185">
        <f>J10+J11</f>
        <v>669912.37</v>
      </c>
      <c r="K9" s="4185">
        <f>K10+K11</f>
        <v>306926.91000000003</v>
      </c>
      <c r="L9" s="4224">
        <f t="shared" si="2"/>
        <v>1621022.1</v>
      </c>
    </row>
    <row r="10" spans="1:18">
      <c r="A10" s="4186" t="s">
        <v>7865</v>
      </c>
      <c r="B10" s="4186"/>
      <c r="C10" s="4187">
        <v>0</v>
      </c>
      <c r="D10" s="3922">
        <v>0</v>
      </c>
      <c r="E10" s="3922">
        <v>497.1</v>
      </c>
      <c r="F10" s="4187">
        <v>4126.1899999999996</v>
      </c>
      <c r="G10" s="4187">
        <f>1179.55+3523.14</f>
        <v>4702.6899999999996</v>
      </c>
      <c r="H10" s="3922">
        <v>0</v>
      </c>
      <c r="I10" s="4188">
        <v>0</v>
      </c>
      <c r="J10" s="4187">
        <v>316.92</v>
      </c>
      <c r="K10" s="4187">
        <v>137756.24</v>
      </c>
      <c r="L10" s="4226">
        <f t="shared" ref="L10:L13" si="6">SUM(C10:K10)</f>
        <v>147399.13999999998</v>
      </c>
    </row>
    <row r="11" spans="1:18">
      <c r="A11" s="4186" t="s">
        <v>7866</v>
      </c>
      <c r="B11" s="4186"/>
      <c r="C11" s="4187">
        <v>0</v>
      </c>
      <c r="D11" s="3922">
        <v>1000</v>
      </c>
      <c r="E11" s="4187">
        <f>SUM(E12:E13)</f>
        <v>37466</v>
      </c>
      <c r="F11" s="4187">
        <f>F12+F13</f>
        <v>53752</v>
      </c>
      <c r="G11" s="4187">
        <f>G12+G13</f>
        <v>102467.85</v>
      </c>
      <c r="H11" s="4187">
        <v>124170.63</v>
      </c>
      <c r="I11" s="4187">
        <v>316000.36</v>
      </c>
      <c r="J11" s="4187">
        <v>669595.44999999995</v>
      </c>
      <c r="K11" s="4187">
        <v>169170.67</v>
      </c>
      <c r="L11" s="4226">
        <f t="shared" si="6"/>
        <v>1473622.96</v>
      </c>
    </row>
    <row r="12" spans="1:18">
      <c r="A12" s="4189" t="s">
        <v>7867</v>
      </c>
      <c r="B12" s="4189"/>
      <c r="C12" s="4187"/>
      <c r="D12" s="3922"/>
      <c r="E12" s="3922"/>
      <c r="F12" s="4190">
        <v>0</v>
      </c>
      <c r="G12" s="4190">
        <v>83467.850000000006</v>
      </c>
      <c r="H12" s="3922"/>
      <c r="I12" s="3922"/>
      <c r="J12" s="4187"/>
      <c r="K12" s="3922"/>
      <c r="L12" s="4226">
        <f t="shared" si="6"/>
        <v>83467.850000000006</v>
      </c>
    </row>
    <row r="13" spans="1:18">
      <c r="A13" s="4189" t="s">
        <v>7868</v>
      </c>
      <c r="B13" s="4189"/>
      <c r="C13" s="4187"/>
      <c r="D13" s="3922"/>
      <c r="E13" s="4190">
        <v>37466</v>
      </c>
      <c r="F13" s="4190">
        <v>53752</v>
      </c>
      <c r="G13" s="4190">
        <v>19000</v>
      </c>
      <c r="H13" s="3922"/>
      <c r="I13" s="3922"/>
      <c r="J13" s="3922"/>
      <c r="K13" s="3922"/>
      <c r="L13" s="4226">
        <f t="shared" si="6"/>
        <v>110218</v>
      </c>
    </row>
    <row r="14" spans="1:18">
      <c r="A14" s="4172" t="s">
        <v>7869</v>
      </c>
      <c r="B14" s="4172"/>
      <c r="C14" s="4191"/>
      <c r="D14" s="4191">
        <f>D18</f>
        <v>0</v>
      </c>
      <c r="E14" s="4191">
        <f>E18</f>
        <v>842.03</v>
      </c>
      <c r="F14" s="4172"/>
      <c r="G14" s="4172"/>
      <c r="H14" s="4191"/>
      <c r="I14" s="4191">
        <f>SUM(I15:I17)</f>
        <v>1402.38</v>
      </c>
      <c r="J14" s="4191">
        <f>SUM(J38:J47)</f>
        <v>2525.29</v>
      </c>
      <c r="K14" s="4191">
        <f>SUM(K25:K37)</f>
        <v>9755.6299999999992</v>
      </c>
      <c r="L14" s="4223">
        <f>SUM(C14:K14)</f>
        <v>14525.329999999998</v>
      </c>
    </row>
    <row r="15" spans="1:18">
      <c r="A15" s="4192" t="s">
        <v>7870</v>
      </c>
      <c r="B15" s="570"/>
      <c r="C15" s="4193"/>
      <c r="D15" s="4194"/>
      <c r="E15" s="4194"/>
      <c r="F15" s="4194"/>
      <c r="G15" s="4194"/>
      <c r="H15" s="4194"/>
      <c r="I15" s="4171">
        <v>33.39</v>
      </c>
      <c r="J15" s="4193"/>
      <c r="K15" s="4195"/>
    </row>
    <row r="16" spans="1:18">
      <c r="A16" s="4196" t="s">
        <v>7871</v>
      </c>
      <c r="B16" s="3598"/>
      <c r="C16" s="3598"/>
      <c r="D16" s="570"/>
      <c r="E16" s="570"/>
      <c r="F16" s="570"/>
      <c r="G16" s="570"/>
      <c r="H16" s="570"/>
      <c r="I16" s="4196">
        <f>62.01+171.72+219.42+233.73+147.87</f>
        <v>834.75</v>
      </c>
      <c r="J16" s="3598"/>
      <c r="K16" s="4192"/>
    </row>
    <row r="17" spans="1:11">
      <c r="A17" s="4173" t="s">
        <v>7872</v>
      </c>
      <c r="B17" s="4197"/>
      <c r="C17" s="4197"/>
      <c r="D17" s="4198"/>
      <c r="E17" s="4198"/>
      <c r="F17" s="4198"/>
      <c r="G17" s="4198"/>
      <c r="H17" s="4198"/>
      <c r="I17" s="4173">
        <f>338.67+119.25+76.32</f>
        <v>534.24</v>
      </c>
      <c r="J17" s="4197"/>
      <c r="K17" s="4199"/>
    </row>
    <row r="18" spans="1:11">
      <c r="A18" s="4200" t="s">
        <v>7873</v>
      </c>
      <c r="B18" s="4201"/>
      <c r="C18" s="4193"/>
      <c r="D18" s="4194"/>
      <c r="E18" s="4171">
        <v>842.03</v>
      </c>
      <c r="F18" s="570"/>
      <c r="G18" s="570"/>
      <c r="H18" s="570"/>
      <c r="I18" s="570"/>
      <c r="J18" s="4194"/>
      <c r="K18" s="4195"/>
    </row>
    <row r="19" spans="1:11">
      <c r="A19" s="4202" t="s">
        <v>7874</v>
      </c>
      <c r="B19" s="4203"/>
      <c r="C19" s="3598"/>
      <c r="D19" s="570"/>
      <c r="E19" s="4196">
        <v>653.75</v>
      </c>
      <c r="F19" s="570"/>
      <c r="G19" s="570"/>
      <c r="H19" s="570"/>
      <c r="I19" s="570"/>
      <c r="J19" s="570"/>
      <c r="K19" s="4192"/>
    </row>
    <row r="20" spans="1:11">
      <c r="A20" s="4202" t="s">
        <v>7875</v>
      </c>
      <c r="B20" s="4203"/>
      <c r="C20" s="3598"/>
      <c r="D20" s="570"/>
      <c r="E20" s="4196">
        <v>381.79</v>
      </c>
      <c r="F20" s="570"/>
      <c r="G20" s="570"/>
      <c r="H20" s="570"/>
      <c r="I20" s="570"/>
      <c r="J20" s="570"/>
      <c r="K20" s="4192"/>
    </row>
    <row r="21" spans="1:11">
      <c r="A21" s="4202" t="s">
        <v>7876</v>
      </c>
      <c r="B21" s="4203"/>
      <c r="C21" s="3598"/>
      <c r="D21" s="570"/>
      <c r="E21" s="4196">
        <v>167.36</v>
      </c>
      <c r="F21" s="570"/>
      <c r="G21" s="570"/>
      <c r="H21" s="570"/>
      <c r="I21" s="570"/>
      <c r="J21" s="570"/>
      <c r="K21" s="4192"/>
    </row>
    <row r="22" spans="1:11">
      <c r="A22" s="4202" t="s">
        <v>7877</v>
      </c>
      <c r="B22" s="4203"/>
      <c r="C22" s="3598"/>
      <c r="D22" s="570"/>
      <c r="E22" s="4196">
        <v>96.76</v>
      </c>
      <c r="F22" s="570"/>
      <c r="G22" s="570"/>
      <c r="H22" s="570"/>
      <c r="I22" s="570"/>
      <c r="J22" s="570"/>
      <c r="K22" s="4192"/>
    </row>
    <row r="23" spans="1:11">
      <c r="A23" s="4202" t="s">
        <v>7878</v>
      </c>
      <c r="B23" s="4203"/>
      <c r="C23" s="3598"/>
      <c r="D23" s="570"/>
      <c r="E23" s="4196">
        <v>402.71</v>
      </c>
      <c r="F23" s="570"/>
      <c r="G23" s="570"/>
      <c r="H23" s="570"/>
      <c r="I23" s="570"/>
      <c r="J23" s="570"/>
      <c r="K23" s="4192"/>
    </row>
    <row r="24" spans="1:11">
      <c r="A24" s="4202" t="s">
        <v>7879</v>
      </c>
      <c r="B24" s="4203"/>
      <c r="C24" s="4197"/>
      <c r="D24" s="4198"/>
      <c r="E24" s="4173">
        <v>49.69</v>
      </c>
      <c r="F24" s="570"/>
      <c r="G24" s="570"/>
      <c r="H24" s="570"/>
      <c r="I24" s="570"/>
      <c r="J24" s="4198"/>
      <c r="K24" s="4199"/>
    </row>
    <row r="25" spans="1:11">
      <c r="A25" s="4200" t="s">
        <v>7880</v>
      </c>
      <c r="B25" s="4201"/>
      <c r="C25" s="4193"/>
      <c r="D25" s="570"/>
      <c r="E25" s="4194"/>
      <c r="F25" s="4194"/>
      <c r="G25" s="4194"/>
      <c r="H25" s="4194"/>
      <c r="I25" s="4194"/>
      <c r="J25" s="4195"/>
      <c r="K25" s="4171">
        <v>6000</v>
      </c>
    </row>
    <row r="26" spans="1:11">
      <c r="A26" s="4202" t="s">
        <v>7881</v>
      </c>
      <c r="B26" s="4203"/>
      <c r="C26" s="3598"/>
      <c r="D26" s="570"/>
      <c r="E26" s="570"/>
      <c r="F26" s="570"/>
      <c r="G26" s="570"/>
      <c r="H26" s="570"/>
      <c r="I26" s="570"/>
      <c r="J26" s="4192"/>
      <c r="K26" s="4196">
        <v>2.52</v>
      </c>
    </row>
    <row r="27" spans="1:11">
      <c r="A27" s="4202" t="s">
        <v>7882</v>
      </c>
      <c r="B27" s="4203"/>
      <c r="C27" s="3598"/>
      <c r="D27" s="570"/>
      <c r="E27" s="570"/>
      <c r="F27" s="570"/>
      <c r="G27" s="570"/>
      <c r="H27" s="570"/>
      <c r="I27" s="570"/>
      <c r="J27" s="4192"/>
      <c r="K27" s="4196">
        <v>100</v>
      </c>
    </row>
    <row r="28" spans="1:11">
      <c r="A28" s="4202" t="s">
        <v>7883</v>
      </c>
      <c r="B28" s="4203"/>
      <c r="C28" s="3598"/>
      <c r="D28" s="570"/>
      <c r="E28" s="570"/>
      <c r="F28" s="570"/>
      <c r="G28" s="570"/>
      <c r="H28" s="570"/>
      <c r="I28" s="570"/>
      <c r="J28" s="4192"/>
      <c r="K28" s="4196">
        <v>262.35000000000002</v>
      </c>
    </row>
    <row r="29" spans="1:11">
      <c r="A29" s="4202" t="s">
        <v>7884</v>
      </c>
      <c r="B29" s="4203"/>
      <c r="C29" s="3598"/>
      <c r="D29" s="570"/>
      <c r="E29" s="570"/>
      <c r="F29" s="570"/>
      <c r="G29" s="570"/>
      <c r="H29" s="570"/>
      <c r="I29" s="570"/>
      <c r="J29" s="4192"/>
      <c r="K29" s="4196">
        <v>200.34</v>
      </c>
    </row>
    <row r="30" spans="1:11">
      <c r="A30" s="4202" t="s">
        <v>7885</v>
      </c>
      <c r="B30" s="4203"/>
      <c r="C30" s="3598"/>
      <c r="D30" s="570"/>
      <c r="E30" s="570"/>
      <c r="F30" s="570"/>
      <c r="G30" s="570"/>
      <c r="H30" s="570"/>
      <c r="I30" s="570"/>
      <c r="J30" s="4192"/>
      <c r="K30" s="4196">
        <v>796.59</v>
      </c>
    </row>
    <row r="31" spans="1:11">
      <c r="A31" s="4202" t="s">
        <v>7886</v>
      </c>
      <c r="B31" s="4203"/>
      <c r="C31" s="3598"/>
      <c r="D31" s="570"/>
      <c r="E31" s="570"/>
      <c r="F31" s="570"/>
      <c r="G31" s="570"/>
      <c r="H31" s="570"/>
      <c r="I31" s="570"/>
      <c r="J31" s="4192"/>
      <c r="K31" s="4196">
        <v>395.91</v>
      </c>
    </row>
    <row r="32" spans="1:11">
      <c r="A32" s="4202" t="s">
        <v>7887</v>
      </c>
      <c r="B32" s="4203"/>
      <c r="C32" s="3598"/>
      <c r="D32" s="570"/>
      <c r="E32" s="570"/>
      <c r="F32" s="570"/>
      <c r="G32" s="570"/>
      <c r="H32" s="570"/>
      <c r="I32" s="570"/>
      <c r="J32" s="4192"/>
      <c r="K32" s="4196">
        <v>147.87</v>
      </c>
    </row>
    <row r="33" spans="1:12">
      <c r="A33" s="4202" t="s">
        <v>7888</v>
      </c>
      <c r="B33" s="4203"/>
      <c r="C33" s="3598"/>
      <c r="D33" s="570"/>
      <c r="E33" s="570"/>
      <c r="F33" s="570"/>
      <c r="G33" s="570"/>
      <c r="H33" s="570"/>
      <c r="I33" s="570"/>
      <c r="J33" s="4192"/>
      <c r="K33" s="4196">
        <v>982.62</v>
      </c>
    </row>
    <row r="34" spans="1:12">
      <c r="A34" s="4202" t="s">
        <v>7889</v>
      </c>
      <c r="B34" s="4203"/>
      <c r="C34" s="3598"/>
      <c r="D34" s="570"/>
      <c r="E34" s="570"/>
      <c r="F34" s="570"/>
      <c r="G34" s="570"/>
      <c r="H34" s="570"/>
      <c r="I34" s="570"/>
      <c r="J34" s="4192"/>
      <c r="K34" s="4196">
        <v>538.05999999999995</v>
      </c>
    </row>
    <row r="35" spans="1:12">
      <c r="A35" s="4202" t="s">
        <v>7890</v>
      </c>
      <c r="B35" s="4203"/>
      <c r="C35" s="3598"/>
      <c r="D35" s="570"/>
      <c r="E35" s="570"/>
      <c r="F35" s="570"/>
      <c r="G35" s="570"/>
      <c r="H35" s="570"/>
      <c r="I35" s="570"/>
      <c r="J35" s="4192"/>
      <c r="K35" s="4196"/>
    </row>
    <row r="36" spans="1:12">
      <c r="A36" s="4202" t="s">
        <v>7891</v>
      </c>
      <c r="B36" s="4203"/>
      <c r="C36" s="3598"/>
      <c r="D36" s="570"/>
      <c r="E36" s="570"/>
      <c r="F36" s="570"/>
      <c r="G36" s="570"/>
      <c r="H36" s="570"/>
      <c r="I36" s="570"/>
      <c r="J36" s="4192"/>
      <c r="K36" s="4196">
        <v>109.71</v>
      </c>
    </row>
    <row r="37" spans="1:12">
      <c r="A37" s="4204" t="s">
        <v>7892</v>
      </c>
      <c r="B37" s="4205"/>
      <c r="C37" s="4197"/>
      <c r="D37" s="4198"/>
      <c r="E37" s="4198"/>
      <c r="F37" s="4198"/>
      <c r="G37" s="4198"/>
      <c r="H37" s="4198"/>
      <c r="I37" s="4198"/>
      <c r="J37" s="4199"/>
      <c r="K37" s="4173">
        <v>219.66</v>
      </c>
    </row>
    <row r="38" spans="1:12">
      <c r="A38" s="4200" t="s">
        <v>7893</v>
      </c>
      <c r="B38" s="4201"/>
      <c r="C38" s="4193"/>
      <c r="D38" s="4194"/>
      <c r="E38" s="4194"/>
      <c r="F38" s="4194"/>
      <c r="G38" s="4194"/>
      <c r="H38" s="4194"/>
      <c r="I38" s="4194"/>
      <c r="J38" s="4171">
        <v>272.8</v>
      </c>
      <c r="K38" s="4195"/>
    </row>
    <row r="39" spans="1:12">
      <c r="A39" s="4202" t="s">
        <v>7894</v>
      </c>
      <c r="B39" s="4203"/>
      <c r="C39" s="3598"/>
      <c r="D39" s="570"/>
      <c r="E39" s="570"/>
      <c r="F39" s="570"/>
      <c r="G39" s="570"/>
      <c r="H39" s="570"/>
      <c r="I39" s="570"/>
      <c r="J39" s="4196">
        <v>295.37</v>
      </c>
      <c r="K39" s="4192"/>
    </row>
    <row r="40" spans="1:12">
      <c r="A40" s="4202" t="s">
        <v>7895</v>
      </c>
      <c r="B40" s="4203"/>
      <c r="C40" s="3598"/>
      <c r="D40" s="570"/>
      <c r="E40" s="570"/>
      <c r="F40" s="570"/>
      <c r="G40" s="570"/>
      <c r="H40" s="570"/>
      <c r="I40" s="570"/>
      <c r="J40" s="4196">
        <v>592.39</v>
      </c>
      <c r="K40" s="4192"/>
    </row>
    <row r="41" spans="1:12">
      <c r="A41" s="4202" t="s">
        <v>7896</v>
      </c>
      <c r="B41" s="4203"/>
      <c r="C41" s="3598"/>
      <c r="D41" s="570"/>
      <c r="E41" s="570"/>
      <c r="F41" s="570"/>
      <c r="G41" s="570"/>
      <c r="H41" s="570"/>
      <c r="I41" s="570"/>
      <c r="J41" s="4196">
        <v>266.31</v>
      </c>
      <c r="K41" s="4192"/>
    </row>
    <row r="42" spans="1:12">
      <c r="A42" s="4202" t="s">
        <v>7897</v>
      </c>
      <c r="B42" s="4203"/>
      <c r="C42" s="3598"/>
      <c r="D42" s="570"/>
      <c r="E42" s="570"/>
      <c r="F42" s="570"/>
      <c r="G42" s="570"/>
      <c r="H42" s="570"/>
      <c r="I42" s="570"/>
      <c r="J42" s="4196">
        <v>81.540000000000006</v>
      </c>
      <c r="K42" s="4192"/>
    </row>
    <row r="43" spans="1:12">
      <c r="A43" s="4202" t="s">
        <v>7898</v>
      </c>
      <c r="B43" s="4203"/>
      <c r="C43" s="3598"/>
      <c r="D43" s="570"/>
      <c r="E43" s="570"/>
      <c r="F43" s="570"/>
      <c r="G43" s="570"/>
      <c r="H43" s="570"/>
      <c r="I43" s="570"/>
      <c r="J43" s="4196">
        <v>590.04999999999995</v>
      </c>
      <c r="K43" s="4192"/>
    </row>
    <row r="44" spans="1:12">
      <c r="A44" s="4202" t="s">
        <v>7899</v>
      </c>
      <c r="B44" s="4203"/>
      <c r="C44" s="3598"/>
      <c r="D44" s="570"/>
      <c r="E44" s="570"/>
      <c r="F44" s="570"/>
      <c r="G44" s="570"/>
      <c r="H44" s="570"/>
      <c r="I44" s="570"/>
      <c r="J44" s="4196">
        <v>0</v>
      </c>
      <c r="K44" s="4192"/>
    </row>
    <row r="45" spans="1:12">
      <c r="A45" s="4202" t="s">
        <v>7900</v>
      </c>
      <c r="B45" s="4203"/>
      <c r="C45" s="3598"/>
      <c r="D45" s="570"/>
      <c r="E45" s="570"/>
      <c r="F45" s="570"/>
      <c r="G45" s="570"/>
      <c r="H45" s="570"/>
      <c r="I45" s="570"/>
      <c r="J45" s="4196">
        <v>0</v>
      </c>
      <c r="K45" s="4192"/>
    </row>
    <row r="46" spans="1:12">
      <c r="A46" s="4202" t="s">
        <v>7901</v>
      </c>
      <c r="B46" s="4203"/>
      <c r="C46" s="3598"/>
      <c r="D46" s="570"/>
      <c r="E46" s="570"/>
      <c r="F46" s="570"/>
      <c r="G46" s="570"/>
      <c r="H46" s="570"/>
      <c r="I46" s="570"/>
      <c r="J46" s="4196">
        <v>0</v>
      </c>
      <c r="K46" s="4192"/>
    </row>
    <row r="47" spans="1:12">
      <c r="A47" s="4204" t="s">
        <v>7902</v>
      </c>
      <c r="B47" s="4205"/>
      <c r="C47" s="4197"/>
      <c r="D47" s="4198"/>
      <c r="E47" s="4198"/>
      <c r="F47" s="4198"/>
      <c r="G47" s="4198"/>
      <c r="H47" s="4198"/>
      <c r="I47" s="4198"/>
      <c r="J47" s="4173">
        <v>426.83</v>
      </c>
      <c r="K47" s="4199"/>
    </row>
    <row r="48" spans="1:12">
      <c r="A48" s="4206" t="s">
        <v>7903</v>
      </c>
      <c r="B48" s="4207">
        <v>6</v>
      </c>
      <c r="C48" s="4208"/>
      <c r="D48" s="4208">
        <f>SUM(D49:D144)</f>
        <v>645960</v>
      </c>
      <c r="E48" s="4208">
        <f t="shared" ref="E48:J48" si="7">SUM(E49:E144)</f>
        <v>324690</v>
      </c>
      <c r="F48" s="4208">
        <f>SUM(F49:F144)</f>
        <v>177162</v>
      </c>
      <c r="G48" s="4208">
        <f t="shared" si="7"/>
        <v>647958</v>
      </c>
      <c r="H48" s="4208">
        <f>SUM(H49:H144)</f>
        <v>270672</v>
      </c>
      <c r="I48" s="4208">
        <f t="shared" si="7"/>
        <v>117564</v>
      </c>
      <c r="J48" s="4208">
        <f t="shared" si="7"/>
        <v>191544</v>
      </c>
      <c r="K48" s="4208">
        <f>SUM(K49:K144)</f>
        <v>343008</v>
      </c>
      <c r="L48" s="4221">
        <f>SUM(C48:K48)</f>
        <v>2718558</v>
      </c>
    </row>
    <row r="49" spans="1:11">
      <c r="A49" s="4200" t="s">
        <v>7904</v>
      </c>
      <c r="B49" s="4209">
        <v>6</v>
      </c>
      <c r="C49" s="4195"/>
      <c r="D49" s="4194"/>
      <c r="E49" s="4194"/>
      <c r="F49" s="4194"/>
      <c r="G49" s="4194"/>
      <c r="H49" s="4194"/>
      <c r="I49" s="4194"/>
      <c r="J49" s="4194"/>
      <c r="K49" s="4195"/>
    </row>
    <row r="50" spans="1:11">
      <c r="A50" s="4202" t="s">
        <v>7905</v>
      </c>
      <c r="B50" s="4210">
        <v>7520</v>
      </c>
      <c r="C50" s="4192"/>
      <c r="D50" s="570"/>
      <c r="E50" s="570"/>
      <c r="F50" s="570"/>
      <c r="G50" s="570"/>
      <c r="H50" s="570"/>
      <c r="I50" s="570"/>
      <c r="J50" s="570"/>
      <c r="K50" s="4192"/>
    </row>
    <row r="51" spans="1:11">
      <c r="A51" s="4202" t="s">
        <v>7906</v>
      </c>
      <c r="B51" s="4210">
        <v>13649</v>
      </c>
      <c r="C51" s="4199"/>
      <c r="D51" s="570"/>
      <c r="E51" s="4198"/>
      <c r="F51" s="4198"/>
      <c r="G51" s="4198"/>
      <c r="H51" s="4198"/>
      <c r="I51" s="4198"/>
      <c r="J51" s="4198"/>
      <c r="K51" s="4199"/>
    </row>
    <row r="52" spans="1:11">
      <c r="A52" s="4200" t="s">
        <v>7907</v>
      </c>
      <c r="B52" s="4209">
        <v>4101</v>
      </c>
      <c r="C52" s="4194"/>
      <c r="D52" s="4211">
        <f>B52*$B$48</f>
        <v>24606</v>
      </c>
      <c r="E52" s="4194"/>
      <c r="F52" s="4194"/>
      <c r="G52" s="4194"/>
      <c r="H52" s="4194"/>
      <c r="I52" s="4194"/>
      <c r="J52" s="4194"/>
      <c r="K52" s="4195"/>
    </row>
    <row r="53" spans="1:11">
      <c r="A53" s="4202" t="s">
        <v>7908</v>
      </c>
      <c r="B53" s="4210">
        <v>6000</v>
      </c>
      <c r="C53" s="570"/>
      <c r="D53" s="4212">
        <f t="shared" ref="D53:D62" si="8">B53*$B$48</f>
        <v>36000</v>
      </c>
      <c r="E53" s="570"/>
      <c r="F53" s="570"/>
      <c r="G53" s="570"/>
      <c r="H53" s="570"/>
      <c r="I53" s="570"/>
      <c r="J53" s="570"/>
      <c r="K53" s="4192"/>
    </row>
    <row r="54" spans="1:11">
      <c r="A54" s="4202" t="s">
        <v>7909</v>
      </c>
      <c r="B54" s="4210">
        <v>7547</v>
      </c>
      <c r="C54" s="570"/>
      <c r="D54" s="4212">
        <f t="shared" si="8"/>
        <v>45282</v>
      </c>
      <c r="E54" s="570"/>
      <c r="F54" s="570"/>
      <c r="G54" s="570"/>
      <c r="H54" s="570"/>
      <c r="I54" s="570"/>
      <c r="J54" s="570"/>
      <c r="K54" s="4192"/>
    </row>
    <row r="55" spans="1:11">
      <c r="A55" s="4202" t="s">
        <v>7910</v>
      </c>
      <c r="B55" s="4210">
        <v>9330</v>
      </c>
      <c r="C55" s="570"/>
      <c r="D55" s="4212">
        <f t="shared" si="8"/>
        <v>55980</v>
      </c>
      <c r="E55" s="570"/>
      <c r="F55" s="570"/>
      <c r="G55" s="570"/>
      <c r="H55" s="570"/>
      <c r="I55" s="570"/>
      <c r="J55" s="570"/>
      <c r="K55" s="4192"/>
    </row>
    <row r="56" spans="1:11">
      <c r="A56" s="4202" t="s">
        <v>7911</v>
      </c>
      <c r="B56" s="4210">
        <v>1430</v>
      </c>
      <c r="C56" s="570"/>
      <c r="D56" s="4212">
        <f t="shared" si="8"/>
        <v>8580</v>
      </c>
      <c r="E56" s="570"/>
      <c r="F56" s="570"/>
      <c r="G56" s="570"/>
      <c r="H56" s="570"/>
      <c r="I56" s="570"/>
      <c r="J56" s="570"/>
      <c r="K56" s="4192"/>
    </row>
    <row r="57" spans="1:11">
      <c r="A57" s="4202" t="s">
        <v>7912</v>
      </c>
      <c r="B57" s="4210">
        <v>24972</v>
      </c>
      <c r="C57" s="570"/>
      <c r="D57" s="4212">
        <f t="shared" si="8"/>
        <v>149832</v>
      </c>
      <c r="E57" s="570"/>
      <c r="F57" s="570"/>
      <c r="G57" s="570"/>
      <c r="H57" s="570"/>
      <c r="I57" s="570"/>
      <c r="J57" s="570"/>
      <c r="K57" s="4192"/>
    </row>
    <row r="58" spans="1:11">
      <c r="A58" s="4202" t="s">
        <v>7913</v>
      </c>
      <c r="B58" s="4210">
        <v>21481</v>
      </c>
      <c r="C58" s="570"/>
      <c r="D58" s="4212">
        <f t="shared" si="8"/>
        <v>128886</v>
      </c>
      <c r="E58" s="570"/>
      <c r="F58" s="570"/>
      <c r="G58" s="570"/>
      <c r="H58" s="570"/>
      <c r="I58" s="570"/>
      <c r="J58" s="570"/>
      <c r="K58" s="4192"/>
    </row>
    <row r="59" spans="1:11">
      <c r="A59" s="4202" t="s">
        <v>7914</v>
      </c>
      <c r="B59" s="4210">
        <v>26108</v>
      </c>
      <c r="C59" s="570"/>
      <c r="D59" s="4212">
        <f t="shared" si="8"/>
        <v>156648</v>
      </c>
      <c r="E59" s="570"/>
      <c r="F59" s="570"/>
      <c r="G59" s="570"/>
      <c r="H59" s="570"/>
      <c r="I59" s="570"/>
      <c r="J59" s="570"/>
      <c r="K59" s="4192"/>
    </row>
    <row r="60" spans="1:11">
      <c r="A60" s="4202" t="s">
        <v>7915</v>
      </c>
      <c r="B60" s="4210">
        <v>2000</v>
      </c>
      <c r="C60" s="570"/>
      <c r="D60" s="4212">
        <f t="shared" si="8"/>
        <v>12000</v>
      </c>
      <c r="E60" s="570"/>
      <c r="F60" s="570"/>
      <c r="G60" s="570"/>
      <c r="H60" s="570"/>
      <c r="I60" s="570"/>
      <c r="J60" s="570"/>
      <c r="K60" s="4192"/>
    </row>
    <row r="61" spans="1:11">
      <c r="A61" s="4202" t="s">
        <v>7916</v>
      </c>
      <c r="B61" s="4210">
        <v>1040</v>
      </c>
      <c r="C61" s="570"/>
      <c r="D61" s="4212">
        <f t="shared" si="8"/>
        <v>6240</v>
      </c>
      <c r="E61" s="570"/>
      <c r="F61" s="570"/>
      <c r="G61" s="570"/>
      <c r="H61" s="570"/>
      <c r="I61" s="570"/>
      <c r="J61" s="570"/>
      <c r="K61" s="4192"/>
    </row>
    <row r="62" spans="1:11">
      <c r="A62" s="4204" t="s">
        <v>7917</v>
      </c>
      <c r="B62" s="4213">
        <v>3651</v>
      </c>
      <c r="C62" s="4198"/>
      <c r="D62" s="4214">
        <f t="shared" si="8"/>
        <v>21906</v>
      </c>
      <c r="E62" s="4198"/>
      <c r="F62" s="4198"/>
      <c r="G62" s="4198"/>
      <c r="H62" s="4198"/>
      <c r="I62" s="4198"/>
      <c r="J62" s="4198"/>
      <c r="K62" s="4199"/>
    </row>
    <row r="63" spans="1:11">
      <c r="A63" s="4200" t="s">
        <v>7918</v>
      </c>
      <c r="B63" s="4209">
        <v>28</v>
      </c>
      <c r="C63" s="4194"/>
      <c r="D63" s="570"/>
      <c r="E63" s="4211"/>
      <c r="F63" s="4194"/>
      <c r="G63" s="4194"/>
      <c r="H63" s="4194"/>
      <c r="I63" s="4194"/>
      <c r="J63" s="4194"/>
      <c r="K63" s="4195"/>
    </row>
    <row r="64" spans="1:11">
      <c r="A64" s="4202" t="s">
        <v>7919</v>
      </c>
      <c r="B64" s="4210">
        <v>15463</v>
      </c>
      <c r="C64" s="570"/>
      <c r="D64" s="570"/>
      <c r="E64" s="4212"/>
      <c r="F64" s="570"/>
      <c r="G64" s="570"/>
      <c r="H64" s="570"/>
      <c r="I64" s="570"/>
      <c r="J64" s="570"/>
      <c r="K64" s="4192"/>
    </row>
    <row r="65" spans="1:11">
      <c r="A65" s="4202" t="s">
        <v>7920</v>
      </c>
      <c r="B65" s="4210">
        <v>16696</v>
      </c>
      <c r="C65" s="570"/>
      <c r="D65" s="570"/>
      <c r="E65" s="4212">
        <f>B65*$B$48</f>
        <v>100176</v>
      </c>
      <c r="F65" s="570"/>
      <c r="G65" s="570"/>
      <c r="H65" s="570"/>
      <c r="I65" s="570"/>
      <c r="J65" s="570"/>
      <c r="K65" s="4192"/>
    </row>
    <row r="66" spans="1:11">
      <c r="A66" s="4202" t="s">
        <v>7921</v>
      </c>
      <c r="B66" s="4210">
        <v>3814</v>
      </c>
      <c r="C66" s="570"/>
      <c r="D66" s="570"/>
      <c r="E66" s="4212"/>
      <c r="F66" s="570"/>
      <c r="G66" s="570"/>
      <c r="H66" s="570"/>
      <c r="I66" s="570"/>
      <c r="J66" s="570"/>
      <c r="K66" s="4192"/>
    </row>
    <row r="67" spans="1:11">
      <c r="A67" s="4202" t="s">
        <v>7922</v>
      </c>
      <c r="B67" s="4210">
        <v>16000</v>
      </c>
      <c r="C67" s="570"/>
      <c r="D67" s="570"/>
      <c r="E67" s="4212">
        <f t="shared" ref="E67:E72" si="9">B67*$B$48</f>
        <v>96000</v>
      </c>
      <c r="F67" s="570"/>
      <c r="G67" s="570"/>
      <c r="H67" s="570"/>
      <c r="I67" s="570"/>
      <c r="J67" s="570"/>
      <c r="K67" s="4192"/>
    </row>
    <row r="68" spans="1:11">
      <c r="A68" s="4202" t="s">
        <v>7923</v>
      </c>
      <c r="B68" s="4210">
        <v>19951</v>
      </c>
      <c r="C68" s="570"/>
      <c r="D68" s="570"/>
      <c r="E68" s="4212"/>
      <c r="F68" s="570"/>
      <c r="G68" s="570"/>
      <c r="H68" s="570"/>
      <c r="I68" s="570"/>
      <c r="J68" s="570"/>
      <c r="K68" s="4192"/>
    </row>
    <row r="69" spans="1:11">
      <c r="A69" s="4202" t="s">
        <v>7924</v>
      </c>
      <c r="B69" s="4210">
        <v>2377</v>
      </c>
      <c r="C69" s="570"/>
      <c r="D69" s="570"/>
      <c r="E69" s="4212">
        <f t="shared" si="9"/>
        <v>14262</v>
      </c>
      <c r="F69" s="570"/>
      <c r="G69" s="570"/>
      <c r="H69" s="570"/>
      <c r="I69" s="570"/>
      <c r="J69" s="570"/>
      <c r="K69" s="4192"/>
    </row>
    <row r="70" spans="1:11">
      <c r="A70" s="4202" t="s">
        <v>7925</v>
      </c>
      <c r="B70" s="4210">
        <v>2775</v>
      </c>
      <c r="C70" s="570"/>
      <c r="D70" s="570"/>
      <c r="E70" s="4212">
        <f t="shared" si="9"/>
        <v>16650</v>
      </c>
      <c r="F70" s="570"/>
      <c r="G70" s="570"/>
      <c r="H70" s="570"/>
      <c r="I70" s="570"/>
      <c r="J70" s="570"/>
      <c r="K70" s="4192"/>
    </row>
    <row r="71" spans="1:11" ht="25.5" customHeight="1">
      <c r="A71" s="4215" t="s">
        <v>7926</v>
      </c>
      <c r="B71" s="4216">
        <v>5097</v>
      </c>
      <c r="C71" s="570"/>
      <c r="D71" s="570"/>
      <c r="E71" s="4212">
        <f t="shared" si="9"/>
        <v>30582</v>
      </c>
      <c r="F71" s="570"/>
      <c r="G71" s="570"/>
      <c r="H71" s="570"/>
      <c r="I71" s="570"/>
      <c r="J71" s="570"/>
      <c r="K71" s="4192"/>
    </row>
    <row r="72" spans="1:11">
      <c r="A72" s="4204" t="s">
        <v>7927</v>
      </c>
      <c r="B72" s="4213">
        <v>11170</v>
      </c>
      <c r="C72" s="4198"/>
      <c r="D72" s="4198"/>
      <c r="E72" s="4212">
        <f t="shared" si="9"/>
        <v>67020</v>
      </c>
      <c r="F72" s="4198"/>
      <c r="G72" s="4198"/>
      <c r="H72" s="4198"/>
      <c r="I72" s="4198"/>
      <c r="J72" s="4198"/>
      <c r="K72" s="4199"/>
    </row>
    <row r="73" spans="1:11">
      <c r="A73" s="4200" t="s">
        <v>7928</v>
      </c>
      <c r="B73" s="4209">
        <v>197</v>
      </c>
      <c r="C73" s="4194"/>
      <c r="D73" s="4194"/>
      <c r="E73" s="4195"/>
      <c r="F73" s="4171"/>
      <c r="G73" s="4193"/>
      <c r="H73" s="4194"/>
      <c r="I73" s="4194"/>
      <c r="J73" s="4194"/>
      <c r="K73" s="4195"/>
    </row>
    <row r="74" spans="1:11">
      <c r="A74" s="4202" t="s">
        <v>7929</v>
      </c>
      <c r="B74" s="4210">
        <v>2112</v>
      </c>
      <c r="C74" s="570"/>
      <c r="D74" s="570"/>
      <c r="E74" s="4192"/>
      <c r="F74" s="4212"/>
      <c r="G74" s="3598"/>
      <c r="H74" s="570"/>
      <c r="I74" s="570"/>
      <c r="J74" s="570"/>
      <c r="K74" s="4192"/>
    </row>
    <row r="75" spans="1:11">
      <c r="A75" s="4202" t="s">
        <v>7930</v>
      </c>
      <c r="B75" s="4210">
        <v>3948</v>
      </c>
      <c r="C75" s="570"/>
      <c r="D75" s="570"/>
      <c r="E75" s="4192"/>
      <c r="F75" s="4212">
        <f>B75*$B$48</f>
        <v>23688</v>
      </c>
      <c r="G75" s="3598"/>
      <c r="H75" s="570"/>
      <c r="I75" s="570"/>
      <c r="J75" s="570"/>
      <c r="K75" s="4192"/>
    </row>
    <row r="76" spans="1:11">
      <c r="A76" s="4202" t="s">
        <v>7931</v>
      </c>
      <c r="B76" s="4210">
        <v>3669</v>
      </c>
      <c r="C76" s="570"/>
      <c r="D76" s="570"/>
      <c r="E76" s="4192"/>
      <c r="F76" s="4212"/>
      <c r="G76" s="3598"/>
      <c r="H76" s="570"/>
      <c r="I76" s="570"/>
      <c r="J76" s="570"/>
      <c r="K76" s="4192"/>
    </row>
    <row r="77" spans="1:11">
      <c r="A77" s="4202" t="s">
        <v>7932</v>
      </c>
      <c r="B77" s="4210">
        <v>1971</v>
      </c>
      <c r="C77" s="570"/>
      <c r="D77" s="570"/>
      <c r="E77" s="4192"/>
      <c r="F77" s="4212">
        <f t="shared" ref="F77:F86" si="10">B77*$B$48</f>
        <v>11826</v>
      </c>
      <c r="G77" s="3598"/>
      <c r="H77" s="570"/>
      <c r="I77" s="570"/>
      <c r="J77" s="570"/>
      <c r="K77" s="4192"/>
    </row>
    <row r="78" spans="1:11">
      <c r="A78" s="4202" t="s">
        <v>7933</v>
      </c>
      <c r="B78" s="4210">
        <v>1663</v>
      </c>
      <c r="C78" s="570"/>
      <c r="D78" s="570"/>
      <c r="E78" s="4192"/>
      <c r="F78" s="4212">
        <f t="shared" si="10"/>
        <v>9978</v>
      </c>
      <c r="G78" s="3598"/>
      <c r="H78" s="570"/>
      <c r="I78" s="570"/>
      <c r="J78" s="570"/>
      <c r="K78" s="4192"/>
    </row>
    <row r="79" spans="1:11">
      <c r="A79" s="4202" t="s">
        <v>7934</v>
      </c>
      <c r="B79" s="4210">
        <v>230</v>
      </c>
      <c r="C79" s="570"/>
      <c r="D79" s="570"/>
      <c r="E79" s="4192"/>
      <c r="F79" s="4212"/>
      <c r="G79" s="3598"/>
      <c r="H79" s="570"/>
      <c r="I79" s="570"/>
      <c r="J79" s="570"/>
      <c r="K79" s="4192"/>
    </row>
    <row r="80" spans="1:11">
      <c r="A80" s="4202" t="s">
        <v>7935</v>
      </c>
      <c r="B80" s="4210">
        <v>550</v>
      </c>
      <c r="C80" s="570"/>
      <c r="D80" s="570"/>
      <c r="E80" s="4192"/>
      <c r="F80" s="4212"/>
      <c r="G80" s="3598"/>
      <c r="H80" s="570"/>
      <c r="I80" s="570"/>
      <c r="J80" s="570"/>
      <c r="K80" s="4192"/>
    </row>
    <row r="81" spans="1:11">
      <c r="A81" s="4202" t="s">
        <v>7936</v>
      </c>
      <c r="B81" s="4210">
        <v>5867</v>
      </c>
      <c r="C81" s="570"/>
      <c r="D81" s="570"/>
      <c r="E81" s="4192"/>
      <c r="F81" s="4212">
        <f t="shared" si="10"/>
        <v>35202</v>
      </c>
      <c r="G81" s="3598"/>
      <c r="H81" s="570"/>
      <c r="I81" s="570"/>
      <c r="J81" s="570"/>
      <c r="K81" s="4192"/>
    </row>
    <row r="82" spans="1:11">
      <c r="A82" s="4202" t="s">
        <v>7937</v>
      </c>
      <c r="B82" s="4210">
        <v>1000</v>
      </c>
      <c r="C82" s="570"/>
      <c r="D82" s="570"/>
      <c r="E82" s="4192"/>
      <c r="F82" s="4212">
        <f t="shared" si="10"/>
        <v>6000</v>
      </c>
      <c r="G82" s="3598"/>
      <c r="H82" s="570"/>
      <c r="I82" s="570"/>
      <c r="J82" s="570"/>
      <c r="K82" s="4192"/>
    </row>
    <row r="83" spans="1:11">
      <c r="A83" s="4202" t="s">
        <v>7938</v>
      </c>
      <c r="B83" s="4210">
        <v>2394</v>
      </c>
      <c r="C83" s="570"/>
      <c r="D83" s="570"/>
      <c r="E83" s="4192"/>
      <c r="F83" s="4212">
        <f t="shared" si="10"/>
        <v>14364</v>
      </c>
      <c r="G83" s="3598"/>
      <c r="H83" s="570"/>
      <c r="I83" s="570"/>
      <c r="J83" s="570"/>
      <c r="K83" s="4192"/>
    </row>
    <row r="84" spans="1:11">
      <c r="A84" s="4202" t="s">
        <v>7939</v>
      </c>
      <c r="B84" s="4210">
        <v>1377</v>
      </c>
      <c r="C84" s="570"/>
      <c r="D84" s="570"/>
      <c r="E84" s="4192"/>
      <c r="F84" s="4212">
        <f t="shared" si="10"/>
        <v>8262</v>
      </c>
      <c r="G84" s="3598"/>
      <c r="H84" s="570"/>
      <c r="I84" s="570"/>
      <c r="J84" s="570"/>
      <c r="K84" s="4192"/>
    </row>
    <row r="85" spans="1:11">
      <c r="A85" s="4202" t="s">
        <v>7940</v>
      </c>
      <c r="B85" s="4210">
        <v>5105</v>
      </c>
      <c r="C85" s="570"/>
      <c r="D85" s="570"/>
      <c r="E85" s="4192"/>
      <c r="F85" s="4212">
        <f t="shared" si="10"/>
        <v>30630</v>
      </c>
      <c r="G85" s="3598"/>
      <c r="H85" s="570"/>
      <c r="I85" s="570"/>
      <c r="J85" s="570"/>
      <c r="K85" s="4192"/>
    </row>
    <row r="86" spans="1:11">
      <c r="A86" s="4202" t="s">
        <v>7941</v>
      </c>
      <c r="B86" s="4210">
        <v>6202</v>
      </c>
      <c r="C86" s="4198"/>
      <c r="D86" s="4198"/>
      <c r="E86" s="4199"/>
      <c r="F86" s="4212">
        <f t="shared" si="10"/>
        <v>37212</v>
      </c>
      <c r="G86" s="3598"/>
      <c r="H86" s="4198"/>
      <c r="I86" s="4198"/>
      <c r="J86" s="4198"/>
      <c r="K86" s="4199"/>
    </row>
    <row r="87" spans="1:11">
      <c r="A87" s="4200" t="s">
        <v>7942</v>
      </c>
      <c r="B87" s="4209">
        <v>7927</v>
      </c>
      <c r="C87" s="4194"/>
      <c r="D87" s="4194"/>
      <c r="E87" s="4194"/>
      <c r="F87" s="4194"/>
      <c r="G87" s="4217">
        <f>B87*$B$48</f>
        <v>47562</v>
      </c>
      <c r="H87" s="4194"/>
      <c r="I87" s="4194"/>
      <c r="J87" s="4194"/>
      <c r="K87" s="4195"/>
    </row>
    <row r="88" spans="1:11">
      <c r="A88" s="4202" t="s">
        <v>7943</v>
      </c>
      <c r="B88" s="4210">
        <v>21228</v>
      </c>
      <c r="C88" s="570"/>
      <c r="D88" s="570"/>
      <c r="E88" s="570"/>
      <c r="F88" s="570"/>
      <c r="G88" s="4218">
        <f t="shared" ref="G88:G97" si="11">B88*$B$48</f>
        <v>127368</v>
      </c>
      <c r="H88" s="570"/>
      <c r="I88" s="570"/>
      <c r="J88" s="570"/>
      <c r="K88" s="4192"/>
    </row>
    <row r="89" spans="1:11">
      <c r="A89" s="4202" t="s">
        <v>7944</v>
      </c>
      <c r="B89" s="4210">
        <v>2425</v>
      </c>
      <c r="C89" s="570"/>
      <c r="D89" s="570"/>
      <c r="E89" s="570"/>
      <c r="F89" s="570"/>
      <c r="G89" s="4218">
        <f t="shared" si="11"/>
        <v>14550</v>
      </c>
      <c r="H89" s="570"/>
      <c r="I89" s="570"/>
      <c r="J89" s="570"/>
      <c r="K89" s="4192"/>
    </row>
    <row r="90" spans="1:11">
      <c r="A90" s="4202" t="s">
        <v>7945</v>
      </c>
      <c r="B90" s="4210">
        <v>5674</v>
      </c>
      <c r="C90" s="570"/>
      <c r="D90" s="570"/>
      <c r="E90" s="570"/>
      <c r="F90" s="570"/>
      <c r="G90" s="4218">
        <f t="shared" si="11"/>
        <v>34044</v>
      </c>
      <c r="H90" s="570"/>
      <c r="I90" s="570"/>
      <c r="J90" s="570"/>
      <c r="K90" s="4192"/>
    </row>
    <row r="91" spans="1:11">
      <c r="A91" s="4202" t="s">
        <v>7946</v>
      </c>
      <c r="B91" s="4210">
        <v>5267</v>
      </c>
      <c r="C91" s="570"/>
      <c r="D91" s="570"/>
      <c r="E91" s="570"/>
      <c r="F91" s="570"/>
      <c r="G91" s="4218">
        <f t="shared" si="11"/>
        <v>31602</v>
      </c>
      <c r="H91" s="570"/>
      <c r="I91" s="570"/>
      <c r="J91" s="570"/>
      <c r="K91" s="4192"/>
    </row>
    <row r="92" spans="1:11">
      <c r="A92" s="4202" t="s">
        <v>7947</v>
      </c>
      <c r="B92" s="4210">
        <v>24834</v>
      </c>
      <c r="C92" s="570"/>
      <c r="D92" s="570"/>
      <c r="E92" s="570"/>
      <c r="F92" s="570"/>
      <c r="G92" s="4218">
        <f t="shared" si="11"/>
        <v>149004</v>
      </c>
      <c r="H92" s="570"/>
      <c r="I92" s="570"/>
      <c r="J92" s="570"/>
      <c r="K92" s="4192"/>
    </row>
    <row r="93" spans="1:11">
      <c r="A93" s="4202" t="s">
        <v>7948</v>
      </c>
      <c r="B93" s="4210">
        <v>3354</v>
      </c>
      <c r="C93" s="570"/>
      <c r="D93" s="570"/>
      <c r="E93" s="570"/>
      <c r="F93" s="570"/>
      <c r="G93" s="4218">
        <f t="shared" si="11"/>
        <v>20124</v>
      </c>
      <c r="H93" s="570"/>
      <c r="I93" s="570"/>
      <c r="J93" s="570"/>
      <c r="K93" s="4192"/>
    </row>
    <row r="94" spans="1:11">
      <c r="A94" s="4202" t="s">
        <v>7949</v>
      </c>
      <c r="B94" s="4210">
        <v>5025</v>
      </c>
      <c r="C94" s="570"/>
      <c r="D94" s="570"/>
      <c r="E94" s="570"/>
      <c r="F94" s="570"/>
      <c r="G94" s="4218">
        <f t="shared" si="11"/>
        <v>30150</v>
      </c>
      <c r="H94" s="570"/>
      <c r="I94" s="570"/>
      <c r="J94" s="570"/>
      <c r="K94" s="4192"/>
    </row>
    <row r="95" spans="1:11">
      <c r="A95" s="4202" t="s">
        <v>7950</v>
      </c>
      <c r="B95" s="4210">
        <v>14935</v>
      </c>
      <c r="C95" s="570"/>
      <c r="D95" s="570"/>
      <c r="E95" s="570"/>
      <c r="F95" s="570"/>
      <c r="G95" s="4218">
        <f t="shared" si="11"/>
        <v>89610</v>
      </c>
      <c r="H95" s="570"/>
      <c r="I95" s="570"/>
      <c r="J95" s="570"/>
      <c r="K95" s="4192"/>
    </row>
    <row r="96" spans="1:11">
      <c r="A96" s="4202" t="s">
        <v>7951</v>
      </c>
      <c r="B96" s="4210">
        <v>2247</v>
      </c>
      <c r="C96" s="570"/>
      <c r="D96" s="570"/>
      <c r="E96" s="570"/>
      <c r="F96" s="570"/>
      <c r="G96" s="4218">
        <f t="shared" si="11"/>
        <v>13482</v>
      </c>
      <c r="H96" s="570"/>
      <c r="I96" s="570"/>
      <c r="J96" s="570"/>
      <c r="K96" s="4192"/>
    </row>
    <row r="97" spans="1:11">
      <c r="A97" s="4204" t="s">
        <v>7952</v>
      </c>
      <c r="B97" s="4213">
        <v>15077</v>
      </c>
      <c r="C97" s="4198"/>
      <c r="D97" s="4198"/>
      <c r="E97" s="4198"/>
      <c r="F97" s="4198"/>
      <c r="G97" s="4219">
        <f t="shared" si="11"/>
        <v>90462</v>
      </c>
      <c r="H97" s="570"/>
      <c r="I97" s="4198"/>
      <c r="J97" s="4198"/>
      <c r="K97" s="4199"/>
    </row>
    <row r="98" spans="1:11">
      <c r="A98" s="4200" t="s">
        <v>7953</v>
      </c>
      <c r="B98" s="4209">
        <v>2297</v>
      </c>
      <c r="C98" s="4194"/>
      <c r="D98" s="4194"/>
      <c r="E98" s="4194"/>
      <c r="F98" s="4194"/>
      <c r="G98" s="570"/>
      <c r="H98" s="4217">
        <f>B98*$B$48</f>
        <v>13782</v>
      </c>
      <c r="I98" s="4194"/>
      <c r="J98" s="4194"/>
      <c r="K98" s="4195"/>
    </row>
    <row r="99" spans="1:11">
      <c r="A99" s="4202" t="s">
        <v>7954</v>
      </c>
      <c r="B99" s="4210">
        <v>1940</v>
      </c>
      <c r="C99" s="570"/>
      <c r="D99" s="570"/>
      <c r="E99" s="570"/>
      <c r="F99" s="570"/>
      <c r="G99" s="570"/>
      <c r="H99" s="4218">
        <f t="shared" ref="H99:H105" si="12">B99*$B$48</f>
        <v>11640</v>
      </c>
      <c r="I99" s="570"/>
      <c r="J99" s="570"/>
      <c r="K99" s="4192"/>
    </row>
    <row r="100" spans="1:11">
      <c r="A100" s="4202" t="s">
        <v>7955</v>
      </c>
      <c r="B100" s="4210">
        <v>12800</v>
      </c>
      <c r="C100" s="570"/>
      <c r="D100" s="570"/>
      <c r="E100" s="570"/>
      <c r="F100" s="570"/>
      <c r="G100" s="570"/>
      <c r="H100" s="4218">
        <f t="shared" si="12"/>
        <v>76800</v>
      </c>
      <c r="I100" s="570"/>
      <c r="J100" s="570"/>
      <c r="K100" s="4192"/>
    </row>
    <row r="101" spans="1:11">
      <c r="A101" s="4202" t="s">
        <v>7956</v>
      </c>
      <c r="B101" s="4210">
        <v>9500</v>
      </c>
      <c r="C101" s="570"/>
      <c r="D101" s="570"/>
      <c r="E101" s="570"/>
      <c r="F101" s="570"/>
      <c r="G101" s="570"/>
      <c r="H101" s="4218">
        <f t="shared" si="12"/>
        <v>57000</v>
      </c>
      <c r="I101" s="570"/>
      <c r="J101" s="570"/>
      <c r="K101" s="4192"/>
    </row>
    <row r="102" spans="1:11">
      <c r="A102" s="4202" t="s">
        <v>7957</v>
      </c>
      <c r="B102" s="4210">
        <v>11168</v>
      </c>
      <c r="C102" s="570"/>
      <c r="D102" s="570"/>
      <c r="E102" s="570"/>
      <c r="F102" s="570"/>
      <c r="G102" s="570"/>
      <c r="H102" s="4218"/>
      <c r="I102" s="570"/>
      <c r="J102" s="570"/>
      <c r="K102" s="4192"/>
    </row>
    <row r="103" spans="1:11">
      <c r="A103" s="4202" t="s">
        <v>7958</v>
      </c>
      <c r="B103" s="4210">
        <v>4375</v>
      </c>
      <c r="C103" s="570"/>
      <c r="D103" s="570"/>
      <c r="E103" s="570"/>
      <c r="F103" s="570"/>
      <c r="G103" s="570"/>
      <c r="H103" s="4218">
        <f t="shared" si="12"/>
        <v>26250</v>
      </c>
      <c r="I103" s="570"/>
      <c r="J103" s="570"/>
      <c r="K103" s="4192"/>
    </row>
    <row r="104" spans="1:11">
      <c r="A104" s="4202" t="s">
        <v>7959</v>
      </c>
      <c r="B104" s="4210">
        <v>5600</v>
      </c>
      <c r="H104" s="4218">
        <f t="shared" si="12"/>
        <v>33600</v>
      </c>
    </row>
    <row r="105" spans="1:11">
      <c r="A105" s="4204" t="s">
        <v>7960</v>
      </c>
      <c r="B105" s="4213">
        <v>8600</v>
      </c>
      <c r="C105" s="4198"/>
      <c r="D105" s="4198"/>
      <c r="E105" s="4198"/>
      <c r="F105" s="4198"/>
      <c r="G105" s="4198"/>
      <c r="H105" s="4219">
        <f t="shared" si="12"/>
        <v>51600</v>
      </c>
      <c r="I105" s="4198"/>
      <c r="J105" s="4198"/>
      <c r="K105" s="4199"/>
    </row>
    <row r="106" spans="1:11">
      <c r="A106" s="4200" t="s">
        <v>7961</v>
      </c>
      <c r="B106" s="4209">
        <v>15</v>
      </c>
      <c r="C106" s="4194"/>
      <c r="D106" s="4194"/>
      <c r="E106" s="4194"/>
      <c r="F106" s="4194"/>
      <c r="G106" s="4194"/>
      <c r="H106" s="570"/>
      <c r="I106" s="4171"/>
      <c r="J106" s="4194"/>
      <c r="K106" s="4195"/>
    </row>
    <row r="107" spans="1:11">
      <c r="A107" s="4202" t="s">
        <v>7962</v>
      </c>
      <c r="B107" s="4210">
        <v>260</v>
      </c>
      <c r="C107" s="570"/>
      <c r="D107" s="570"/>
      <c r="E107" s="570"/>
      <c r="F107" s="570"/>
      <c r="G107" s="570"/>
      <c r="H107" s="570"/>
      <c r="I107" s="4196"/>
      <c r="J107" s="570"/>
      <c r="K107" s="4192"/>
    </row>
    <row r="108" spans="1:11">
      <c r="A108" s="4202" t="s">
        <v>7963</v>
      </c>
      <c r="B108" s="4210">
        <v>4150</v>
      </c>
      <c r="C108" s="570"/>
      <c r="D108" s="570"/>
      <c r="E108" s="570"/>
      <c r="F108" s="570"/>
      <c r="G108" s="570"/>
      <c r="H108" s="570"/>
      <c r="I108" s="4218">
        <f>B108*$B$48</f>
        <v>24900</v>
      </c>
      <c r="J108" s="570"/>
      <c r="K108" s="4192"/>
    </row>
    <row r="109" spans="1:11">
      <c r="A109" s="4202" t="s">
        <v>7964</v>
      </c>
      <c r="B109" s="4210">
        <v>5037</v>
      </c>
      <c r="I109" s="4218">
        <f>B109*$B$48</f>
        <v>30222</v>
      </c>
      <c r="J109" s="570"/>
      <c r="K109" s="4192"/>
    </row>
    <row r="110" spans="1:11">
      <c r="A110" s="4202" t="s">
        <v>7965</v>
      </c>
      <c r="B110" s="4210">
        <v>4024</v>
      </c>
      <c r="I110" s="4218">
        <f>B110*$B$48</f>
        <v>24144</v>
      </c>
      <c r="J110" s="570"/>
      <c r="K110" s="4192"/>
    </row>
    <row r="111" spans="1:11">
      <c r="A111" s="4202" t="s">
        <v>7966</v>
      </c>
      <c r="B111" s="4210">
        <v>4270</v>
      </c>
      <c r="I111" s="4218"/>
      <c r="J111" s="570"/>
      <c r="K111" s="4192"/>
    </row>
    <row r="112" spans="1:11">
      <c r="A112" s="4202" t="s">
        <v>7967</v>
      </c>
      <c r="B112" s="4210">
        <v>6383</v>
      </c>
      <c r="I112" s="4218">
        <f>B112*$B$48</f>
        <v>38298</v>
      </c>
      <c r="J112" s="570"/>
      <c r="K112" s="4192"/>
    </row>
    <row r="113" spans="1:11">
      <c r="A113" s="4202" t="s">
        <v>7968</v>
      </c>
      <c r="B113" s="4210">
        <v>9042</v>
      </c>
      <c r="I113" s="4218"/>
      <c r="J113" s="570"/>
      <c r="K113" s="4192"/>
    </row>
    <row r="114" spans="1:11">
      <c r="A114" s="4202" t="s">
        <v>7969</v>
      </c>
      <c r="B114" s="4210">
        <v>3278</v>
      </c>
      <c r="I114" s="4218"/>
      <c r="J114" s="570"/>
      <c r="K114" s="4192"/>
    </row>
    <row r="115" spans="1:11">
      <c r="A115" s="4202" t="s">
        <v>7970</v>
      </c>
      <c r="B115" s="4210">
        <v>281</v>
      </c>
      <c r="I115" s="4218"/>
      <c r="J115" s="570"/>
      <c r="K115" s="4192"/>
    </row>
    <row r="116" spans="1:11">
      <c r="A116" s="4202" t="s">
        <v>7971</v>
      </c>
      <c r="B116" s="4210">
        <v>550</v>
      </c>
      <c r="I116" s="4218"/>
      <c r="J116" s="570"/>
      <c r="K116" s="4192"/>
    </row>
    <row r="117" spans="1:11">
      <c r="A117" s="4202" t="s">
        <v>7972</v>
      </c>
      <c r="B117" s="4213">
        <v>1930</v>
      </c>
      <c r="I117" s="4218"/>
      <c r="J117" s="570"/>
      <c r="K117" s="4192"/>
    </row>
    <row r="118" spans="1:11">
      <c r="A118" s="4200" t="s">
        <v>7973</v>
      </c>
      <c r="B118" s="4209">
        <v>1</v>
      </c>
      <c r="C118" s="4194"/>
      <c r="D118" s="4194"/>
      <c r="E118" s="4194"/>
      <c r="F118" s="4194"/>
      <c r="G118" s="4194"/>
      <c r="H118" s="4194"/>
      <c r="I118" s="4194"/>
      <c r="J118" s="4171"/>
      <c r="K118" s="4195"/>
    </row>
    <row r="119" spans="1:11">
      <c r="A119" s="4202" t="s">
        <v>7974</v>
      </c>
      <c r="B119" s="4210">
        <v>330</v>
      </c>
      <c r="C119" s="570"/>
      <c r="D119" s="570"/>
      <c r="E119" s="570"/>
      <c r="F119" s="570"/>
      <c r="G119" s="570"/>
      <c r="H119" s="570"/>
      <c r="I119" s="570"/>
      <c r="J119" s="4196"/>
      <c r="K119" s="4192"/>
    </row>
    <row r="120" spans="1:11">
      <c r="A120" s="4202" t="s">
        <v>7975</v>
      </c>
      <c r="B120" s="4210">
        <v>1943</v>
      </c>
      <c r="C120" s="570"/>
      <c r="D120" s="570"/>
      <c r="E120" s="570"/>
      <c r="F120" s="570"/>
      <c r="G120" s="570"/>
      <c r="H120" s="570"/>
      <c r="I120" s="570"/>
      <c r="J120" s="4196"/>
      <c r="K120" s="4192"/>
    </row>
    <row r="121" spans="1:11">
      <c r="A121" s="4202" t="s">
        <v>7976</v>
      </c>
      <c r="B121" s="4210">
        <v>31924</v>
      </c>
      <c r="C121" s="570"/>
      <c r="D121" s="570"/>
      <c r="E121" s="570"/>
      <c r="F121" s="570"/>
      <c r="G121" s="570"/>
      <c r="H121" s="570"/>
      <c r="I121" s="570"/>
      <c r="J121" s="4220">
        <f>B121*$B$48</f>
        <v>191544</v>
      </c>
      <c r="K121" s="4192"/>
    </row>
    <row r="122" spans="1:11">
      <c r="A122" s="4202" t="s">
        <v>7977</v>
      </c>
      <c r="B122" s="4210">
        <v>124</v>
      </c>
      <c r="C122" s="570"/>
      <c r="D122" s="570"/>
      <c r="E122" s="570"/>
      <c r="F122" s="570"/>
      <c r="G122" s="570"/>
      <c r="H122" s="570"/>
      <c r="I122" s="570"/>
      <c r="J122" s="4196"/>
      <c r="K122" s="4192"/>
    </row>
    <row r="123" spans="1:11">
      <c r="A123" s="4202" t="s">
        <v>7978</v>
      </c>
      <c r="B123" s="4210">
        <v>250</v>
      </c>
      <c r="C123" s="570"/>
      <c r="D123" s="570"/>
      <c r="E123" s="570"/>
      <c r="F123" s="570"/>
      <c r="G123" s="570"/>
      <c r="H123" s="570"/>
      <c r="I123" s="570"/>
      <c r="J123" s="4196"/>
      <c r="K123" s="4192"/>
    </row>
    <row r="124" spans="1:11">
      <c r="A124" s="4202" t="s">
        <v>7979</v>
      </c>
      <c r="B124" s="4210">
        <v>30</v>
      </c>
      <c r="C124" s="570"/>
      <c r="D124" s="570"/>
      <c r="E124" s="570"/>
      <c r="F124" s="570"/>
      <c r="G124" s="570"/>
      <c r="H124" s="570"/>
      <c r="I124" s="570"/>
      <c r="J124" s="4196"/>
      <c r="K124" s="4192"/>
    </row>
    <row r="125" spans="1:11">
      <c r="A125" s="4202" t="s">
        <v>7980</v>
      </c>
      <c r="B125" s="4210">
        <v>550</v>
      </c>
      <c r="C125" s="570"/>
      <c r="D125" s="570"/>
      <c r="E125" s="570"/>
      <c r="F125" s="570"/>
      <c r="G125" s="570"/>
      <c r="H125" s="570"/>
      <c r="I125" s="570"/>
      <c r="J125" s="4196"/>
      <c r="K125" s="4192"/>
    </row>
    <row r="126" spans="1:11">
      <c r="A126" s="4204" t="s">
        <v>7981</v>
      </c>
      <c r="B126" s="4213">
        <v>961</v>
      </c>
      <c r="C126" s="4198"/>
      <c r="D126" s="4198"/>
      <c r="E126" s="4198"/>
      <c r="F126" s="4198"/>
      <c r="G126" s="4198"/>
      <c r="H126" s="4198"/>
      <c r="I126" s="4198"/>
      <c r="J126" s="4173"/>
      <c r="K126" s="4192"/>
    </row>
    <row r="127" spans="1:11">
      <c r="A127" s="4200" t="s">
        <v>7982</v>
      </c>
      <c r="B127" s="4209">
        <v>37724</v>
      </c>
      <c r="C127" s="4194"/>
      <c r="D127" s="4194"/>
      <c r="E127" s="4194"/>
      <c r="F127" s="4194"/>
      <c r="G127" s="4194"/>
      <c r="H127" s="4194"/>
      <c r="I127" s="4194"/>
      <c r="J127" s="4194"/>
      <c r="K127" s="4217">
        <f>B127*$B$48</f>
        <v>226344</v>
      </c>
    </row>
    <row r="128" spans="1:11">
      <c r="A128" s="4202" t="s">
        <v>7983</v>
      </c>
      <c r="B128" s="4210"/>
      <c r="C128" s="570"/>
      <c r="D128" s="570"/>
      <c r="E128" s="570"/>
      <c r="F128" s="570"/>
      <c r="G128" s="570"/>
      <c r="H128" s="570"/>
      <c r="I128" s="570"/>
      <c r="J128" s="570"/>
      <c r="K128" s="4218"/>
    </row>
    <row r="129" spans="1:11">
      <c r="A129" s="4202" t="s">
        <v>7984</v>
      </c>
      <c r="B129" s="4210"/>
      <c r="C129" s="570"/>
      <c r="D129" s="570"/>
      <c r="E129" s="570"/>
      <c r="F129" s="570"/>
      <c r="G129" s="570"/>
      <c r="H129" s="570"/>
      <c r="I129" s="570"/>
      <c r="J129" s="570"/>
      <c r="K129" s="4218"/>
    </row>
    <row r="130" spans="1:11">
      <c r="A130" s="4202" t="s">
        <v>7985</v>
      </c>
      <c r="B130" s="4210"/>
      <c r="C130" s="570"/>
      <c r="D130" s="570"/>
      <c r="E130" s="570"/>
      <c r="F130" s="570"/>
      <c r="G130" s="570"/>
      <c r="H130" s="570"/>
      <c r="I130" s="570"/>
      <c r="J130" s="570"/>
      <c r="K130" s="4218"/>
    </row>
    <row r="131" spans="1:11">
      <c r="A131" s="4202" t="s">
        <v>7986</v>
      </c>
      <c r="B131" s="4210"/>
      <c r="C131" s="570"/>
      <c r="D131" s="570"/>
      <c r="E131" s="570"/>
      <c r="F131" s="570"/>
      <c r="G131" s="570"/>
      <c r="H131" s="570"/>
      <c r="I131" s="570"/>
      <c r="J131" s="570"/>
      <c r="K131" s="4218"/>
    </row>
    <row r="132" spans="1:11">
      <c r="A132" s="4202" t="s">
        <v>7987</v>
      </c>
      <c r="B132" s="4210">
        <v>820</v>
      </c>
      <c r="C132" s="570"/>
      <c r="D132" s="570"/>
      <c r="E132" s="570"/>
      <c r="F132" s="570"/>
      <c r="G132" s="570"/>
      <c r="H132" s="570"/>
      <c r="I132" s="570"/>
      <c r="J132" s="570"/>
      <c r="K132" s="4218"/>
    </row>
    <row r="133" spans="1:11">
      <c r="A133" s="4202" t="s">
        <v>7988</v>
      </c>
      <c r="B133" s="4210">
        <v>132</v>
      </c>
      <c r="C133" s="570"/>
      <c r="D133" s="570"/>
      <c r="E133" s="570"/>
      <c r="F133" s="570"/>
      <c r="G133" s="570"/>
      <c r="H133" s="570"/>
      <c r="I133" s="570"/>
      <c r="J133" s="570"/>
      <c r="K133" s="4218"/>
    </row>
    <row r="134" spans="1:11">
      <c r="A134" s="4202" t="s">
        <v>7989</v>
      </c>
      <c r="B134" s="4210">
        <v>2968</v>
      </c>
      <c r="C134" s="570"/>
      <c r="D134" s="570"/>
      <c r="E134" s="570"/>
      <c r="F134" s="570"/>
      <c r="G134" s="570"/>
      <c r="H134" s="570"/>
      <c r="I134" s="570"/>
      <c r="J134" s="570"/>
      <c r="K134" s="4218">
        <f t="shared" ref="K134:K143" si="13">B134*$B$48</f>
        <v>17808</v>
      </c>
    </row>
    <row r="135" spans="1:11">
      <c r="A135" s="4202" t="s">
        <v>7990</v>
      </c>
      <c r="B135" s="4210">
        <v>6505</v>
      </c>
      <c r="C135" s="570"/>
      <c r="D135" s="570"/>
      <c r="E135" s="570"/>
      <c r="F135" s="570"/>
      <c r="G135" s="570"/>
      <c r="H135" s="570"/>
      <c r="I135" s="570"/>
      <c r="J135" s="570"/>
      <c r="K135" s="4218">
        <f t="shared" si="13"/>
        <v>39030</v>
      </c>
    </row>
    <row r="136" spans="1:11">
      <c r="A136" s="4202" t="s">
        <v>7991</v>
      </c>
      <c r="B136" s="4210">
        <v>1144</v>
      </c>
      <c r="C136" s="570"/>
      <c r="D136" s="570"/>
      <c r="E136" s="570"/>
      <c r="F136" s="570"/>
      <c r="G136" s="570"/>
      <c r="H136" s="570"/>
      <c r="I136" s="570"/>
      <c r="J136" s="570"/>
      <c r="K136" s="4218"/>
    </row>
    <row r="137" spans="1:11">
      <c r="A137" s="4202" t="s">
        <v>7992</v>
      </c>
      <c r="B137" s="4210">
        <v>1124</v>
      </c>
      <c r="C137" s="570"/>
      <c r="D137" s="570"/>
      <c r="E137" s="570"/>
      <c r="F137" s="570"/>
      <c r="G137" s="570"/>
      <c r="H137" s="570"/>
      <c r="I137" s="570"/>
      <c r="J137" s="570"/>
      <c r="K137" s="4218"/>
    </row>
    <row r="138" spans="1:11">
      <c r="A138" s="4202" t="s">
        <v>7993</v>
      </c>
      <c r="B138" s="4210">
        <v>73</v>
      </c>
      <c r="C138" s="570"/>
      <c r="D138" s="570"/>
      <c r="E138" s="570"/>
      <c r="F138" s="570"/>
      <c r="G138" s="570"/>
      <c r="H138" s="570"/>
      <c r="I138" s="570"/>
      <c r="J138" s="570"/>
      <c r="K138" s="4218"/>
    </row>
    <row r="139" spans="1:11">
      <c r="A139" s="4202" t="s">
        <v>7994</v>
      </c>
      <c r="B139" s="4210">
        <v>65</v>
      </c>
      <c r="C139" s="570"/>
      <c r="D139" s="570"/>
      <c r="E139" s="570"/>
      <c r="F139" s="570"/>
      <c r="G139" s="570"/>
      <c r="H139" s="570"/>
      <c r="I139" s="570"/>
      <c r="J139" s="570"/>
      <c r="K139" s="4218"/>
    </row>
    <row r="140" spans="1:11">
      <c r="A140" s="4202" t="s">
        <v>7995</v>
      </c>
      <c r="B140" s="4210">
        <v>230</v>
      </c>
      <c r="C140" s="570"/>
      <c r="D140" s="570"/>
      <c r="E140" s="570"/>
      <c r="F140" s="570"/>
      <c r="G140" s="570"/>
      <c r="H140" s="570"/>
      <c r="I140" s="570"/>
      <c r="J140" s="570"/>
      <c r="K140" s="4218"/>
    </row>
    <row r="141" spans="1:11">
      <c r="A141" s="4202" t="s">
        <v>7996</v>
      </c>
      <c r="B141" s="4210">
        <v>1640</v>
      </c>
      <c r="C141" s="570"/>
      <c r="D141" s="570"/>
      <c r="E141" s="570"/>
      <c r="F141" s="570"/>
      <c r="G141" s="570"/>
      <c r="H141" s="570"/>
      <c r="I141" s="570"/>
      <c r="J141" s="570"/>
      <c r="K141" s="4218"/>
    </row>
    <row r="142" spans="1:11">
      <c r="A142" s="4202" t="s">
        <v>7997</v>
      </c>
      <c r="B142" s="4210">
        <v>2100</v>
      </c>
      <c r="C142" s="570"/>
      <c r="D142" s="570"/>
      <c r="E142" s="570"/>
      <c r="F142" s="570"/>
      <c r="G142" s="570"/>
      <c r="H142" s="570"/>
      <c r="I142" s="570"/>
      <c r="J142" s="570"/>
      <c r="K142" s="4218"/>
    </row>
    <row r="143" spans="1:11">
      <c r="A143" s="4202" t="s">
        <v>7998</v>
      </c>
      <c r="B143" s="4210">
        <v>5870</v>
      </c>
      <c r="C143" s="570"/>
      <c r="D143" s="570"/>
      <c r="E143" s="570"/>
      <c r="F143" s="570"/>
      <c r="G143" s="570"/>
      <c r="H143" s="570"/>
      <c r="I143" s="570"/>
      <c r="J143" s="570"/>
      <c r="K143" s="4218">
        <f t="shared" si="13"/>
        <v>35220</v>
      </c>
    </row>
    <row r="144" spans="1:11">
      <c r="A144" s="4204" t="s">
        <v>7907</v>
      </c>
      <c r="B144" s="4213">
        <v>4101</v>
      </c>
      <c r="C144" s="4198"/>
      <c r="D144" s="4198"/>
      <c r="E144" s="4198"/>
      <c r="F144" s="4198"/>
      <c r="G144" s="4198"/>
      <c r="H144" s="4198"/>
      <c r="I144" s="4198"/>
      <c r="J144" s="4198"/>
      <c r="K144" s="4219">
        <f>B144*$B$48</f>
        <v>24606</v>
      </c>
    </row>
  </sheetData>
  <hyperlinks>
    <hyperlink ref="A1" location="FINANCIËN!A1" display="KERKFABRIEKEN - VERMOGEN" xr:uid="{00000000-0004-0000-3100-000000000000}"/>
  </hyperlinks>
  <pageMargins left="0.7" right="0.7" top="0.75" bottom="0.75" header="0.3" footer="0.3"/>
  <pageSetup paperSize="9"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EBD531"/>
    <pageSetUpPr fitToPage="1"/>
  </sheetPr>
  <dimension ref="A1:R205"/>
  <sheetViews>
    <sheetView topLeftCell="A160" workbookViewId="0">
      <selection activeCell="K165" sqref="K165"/>
    </sheetView>
  </sheetViews>
  <sheetFormatPr defaultColWidth="25" defaultRowHeight="15"/>
  <cols>
    <col min="1" max="1" width="37.28515625" style="143" bestFit="1" customWidth="1"/>
    <col min="2" max="2" width="14.5703125" style="143" bestFit="1" customWidth="1"/>
    <col min="3" max="3" width="8.7109375" style="143" bestFit="1" customWidth="1"/>
    <col min="4" max="4" width="10.42578125" style="143" bestFit="1" customWidth="1"/>
    <col min="5" max="5" width="11.28515625" style="143" bestFit="1" customWidth="1"/>
    <col min="6" max="6" width="15.28515625" style="143" bestFit="1" customWidth="1"/>
    <col min="7" max="7" width="9.140625" style="143" bestFit="1" customWidth="1"/>
    <col min="8" max="8" width="13.7109375" style="143" bestFit="1" customWidth="1"/>
    <col min="9" max="9" width="10.5703125" style="143" bestFit="1" customWidth="1"/>
    <col min="10" max="10" width="11.28515625" style="143" bestFit="1" customWidth="1"/>
    <col min="11" max="11" width="44.28515625" style="143" bestFit="1" customWidth="1"/>
    <col min="12" max="12" width="43.85546875" style="143" bestFit="1" customWidth="1"/>
    <col min="13" max="13" width="25" style="143"/>
    <col min="14" max="14" width="64.42578125" style="143" bestFit="1" customWidth="1"/>
    <col min="15" max="16384" width="25" style="143"/>
  </cols>
  <sheetData>
    <row r="1" spans="1:18" ht="21">
      <c r="A1" s="4881" t="s">
        <v>92</v>
      </c>
      <c r="B1" s="4758"/>
      <c r="C1" s="4758"/>
      <c r="D1" s="4758"/>
      <c r="E1" s="4758"/>
      <c r="F1" s="4758"/>
      <c r="G1" s="4758"/>
      <c r="H1" s="4758"/>
      <c r="I1" s="4758"/>
      <c r="J1" s="4758"/>
      <c r="K1" s="4299"/>
      <c r="L1" s="4299"/>
      <c r="M1" s="93"/>
      <c r="N1" s="93"/>
      <c r="O1" s="93"/>
    </row>
    <row r="3" spans="1:18" ht="15.75" hidden="1">
      <c r="A3" s="441" t="s">
        <v>92</v>
      </c>
      <c r="B3" s="441">
        <v>2018</v>
      </c>
      <c r="C3" s="441"/>
      <c r="D3" s="42"/>
      <c r="E3" s="42"/>
      <c r="F3" s="42"/>
      <c r="G3" s="42"/>
      <c r="H3" s="42"/>
      <c r="I3" s="42"/>
      <c r="J3" s="42"/>
      <c r="K3" s="42"/>
      <c r="L3" s="42"/>
      <c r="M3" s="42"/>
      <c r="N3" s="42"/>
      <c r="O3" s="42"/>
      <c r="P3" s="42"/>
      <c r="Q3" s="42"/>
      <c r="R3" s="42"/>
    </row>
    <row r="4" spans="1:18" ht="15.75" hidden="1" thickBot="1">
      <c r="A4" s="42"/>
      <c r="B4" s="42"/>
      <c r="C4" s="42"/>
      <c r="D4" s="42"/>
      <c r="E4" s="42"/>
      <c r="F4" s="42"/>
      <c r="G4" s="42"/>
      <c r="H4" s="42"/>
      <c r="I4" s="440"/>
      <c r="J4" s="227"/>
      <c r="K4" s="227"/>
      <c r="L4" s="227"/>
      <c r="M4" s="227"/>
      <c r="N4" s="227"/>
      <c r="O4" s="42"/>
      <c r="P4" s="42"/>
      <c r="Q4" s="42"/>
      <c r="R4" s="42"/>
    </row>
    <row r="5" spans="1:18" ht="27" hidden="1" customHeight="1" thickTop="1" thickBot="1">
      <c r="A5" s="439"/>
      <c r="B5" s="447" t="s">
        <v>815</v>
      </c>
      <c r="C5" s="448"/>
      <c r="D5" s="448" t="s">
        <v>665</v>
      </c>
      <c r="E5" s="448" t="s">
        <v>816</v>
      </c>
      <c r="F5" s="448" t="s">
        <v>817</v>
      </c>
      <c r="G5" s="448" t="s">
        <v>818</v>
      </c>
      <c r="H5" s="448" t="s">
        <v>819</v>
      </c>
      <c r="I5" s="448" t="s">
        <v>820</v>
      </c>
      <c r="J5" s="449" t="s">
        <v>665</v>
      </c>
      <c r="K5" s="4306"/>
      <c r="L5" s="4306"/>
      <c r="M5" s="42"/>
      <c r="N5" s="42"/>
      <c r="O5" s="61"/>
      <c r="P5" s="61"/>
      <c r="Q5" s="61"/>
      <c r="R5" s="61"/>
    </row>
    <row r="6" spans="1:18" hidden="1">
      <c r="A6" s="450" t="s">
        <v>821</v>
      </c>
      <c r="B6" s="443">
        <v>312</v>
      </c>
      <c r="C6" s="3878"/>
      <c r="D6" s="442">
        <v>43256</v>
      </c>
      <c r="E6" s="442">
        <v>43280</v>
      </c>
      <c r="F6" s="442">
        <v>43360</v>
      </c>
      <c r="G6" s="442">
        <v>43389</v>
      </c>
      <c r="H6" s="442">
        <v>43416</v>
      </c>
      <c r="I6" s="436">
        <v>43122</v>
      </c>
      <c r="J6" s="435">
        <v>565039.62</v>
      </c>
      <c r="K6" s="3713"/>
      <c r="L6" s="3713"/>
      <c r="M6" s="42"/>
      <c r="N6" s="42"/>
      <c r="O6" s="61"/>
      <c r="P6" s="61"/>
      <c r="Q6" s="61"/>
      <c r="R6" s="61"/>
    </row>
    <row r="7" spans="1:18" hidden="1">
      <c r="A7" s="451" t="s">
        <v>822</v>
      </c>
      <c r="B7" s="434">
        <v>314</v>
      </c>
      <c r="C7" s="93"/>
      <c r="D7" s="433">
        <v>43431</v>
      </c>
      <c r="E7" s="433">
        <v>43433</v>
      </c>
      <c r="F7" s="433" t="s">
        <v>177</v>
      </c>
      <c r="G7" s="433" t="s">
        <v>177</v>
      </c>
      <c r="H7" s="433" t="s">
        <v>177</v>
      </c>
      <c r="I7" s="432" t="s">
        <v>177</v>
      </c>
      <c r="J7" s="431">
        <v>330</v>
      </c>
      <c r="K7" s="3713"/>
      <c r="L7" s="3713"/>
      <c r="M7" s="42"/>
      <c r="N7" s="42"/>
      <c r="O7" s="61"/>
      <c r="P7" s="61"/>
      <c r="Q7" s="61"/>
      <c r="R7" s="61"/>
    </row>
    <row r="8" spans="1:18" hidden="1">
      <c r="A8" s="451" t="s">
        <v>823</v>
      </c>
      <c r="B8" s="434">
        <v>313</v>
      </c>
      <c r="C8" s="93"/>
      <c r="D8" s="433">
        <v>43305</v>
      </c>
      <c r="E8" s="433">
        <v>43315</v>
      </c>
      <c r="F8" s="433" t="s">
        <v>177</v>
      </c>
      <c r="G8" s="433" t="s">
        <v>177</v>
      </c>
      <c r="H8" s="433" t="s">
        <v>177</v>
      </c>
      <c r="I8" s="432" t="s">
        <v>177</v>
      </c>
      <c r="J8" s="431">
        <v>1280</v>
      </c>
      <c r="K8" s="3713"/>
      <c r="L8" s="3713"/>
      <c r="M8" s="42"/>
      <c r="N8" s="42"/>
      <c r="O8" s="61"/>
      <c r="P8" s="61"/>
      <c r="Q8" s="61"/>
      <c r="R8" s="61"/>
    </row>
    <row r="9" spans="1:18" hidden="1">
      <c r="A9" s="451" t="s">
        <v>824</v>
      </c>
      <c r="B9" s="434">
        <v>311</v>
      </c>
      <c r="C9" s="93"/>
      <c r="D9" s="433">
        <v>43277</v>
      </c>
      <c r="E9" s="433">
        <v>43284</v>
      </c>
      <c r="F9" s="433">
        <v>43360</v>
      </c>
      <c r="G9" s="433">
        <v>43389</v>
      </c>
      <c r="H9" s="433">
        <v>43416</v>
      </c>
      <c r="I9" s="432">
        <v>43122</v>
      </c>
      <c r="J9" s="431">
        <v>208670</v>
      </c>
      <c r="K9" s="3713"/>
      <c r="L9" s="3713"/>
      <c r="M9" s="42"/>
      <c r="N9" s="42"/>
      <c r="O9" s="61"/>
      <c r="P9" s="61"/>
      <c r="Q9" s="61"/>
      <c r="R9" s="61"/>
    </row>
    <row r="10" spans="1:18" hidden="1">
      <c r="A10" s="451" t="s">
        <v>142</v>
      </c>
      <c r="B10" s="434">
        <v>333</v>
      </c>
      <c r="C10" s="93"/>
      <c r="D10" s="433">
        <v>43242</v>
      </c>
      <c r="E10" s="433">
        <v>43286</v>
      </c>
      <c r="F10" s="433">
        <v>43360</v>
      </c>
      <c r="G10" s="433" t="s">
        <v>177</v>
      </c>
      <c r="H10" s="433" t="s">
        <v>177</v>
      </c>
      <c r="I10" s="432" t="s">
        <v>177</v>
      </c>
      <c r="J10" s="431"/>
      <c r="K10" s="3713"/>
      <c r="L10" s="3713"/>
      <c r="M10" s="42"/>
      <c r="N10" s="42"/>
      <c r="O10" s="61"/>
      <c r="P10" s="61"/>
      <c r="Q10" s="61"/>
      <c r="R10" s="61"/>
    </row>
    <row r="11" spans="1:18" hidden="1">
      <c r="A11" s="451" t="s">
        <v>825</v>
      </c>
      <c r="B11" s="434">
        <v>370</v>
      </c>
      <c r="C11" s="93"/>
      <c r="D11" s="433">
        <v>43158</v>
      </c>
      <c r="E11" s="433">
        <v>43168</v>
      </c>
      <c r="F11" s="433">
        <v>43304</v>
      </c>
      <c r="G11" s="433">
        <v>43360</v>
      </c>
      <c r="H11" s="433">
        <v>43382</v>
      </c>
      <c r="I11" s="432" t="s">
        <v>177</v>
      </c>
      <c r="J11" s="431">
        <v>39416.480000000003</v>
      </c>
      <c r="K11" s="3713"/>
      <c r="L11" s="3713"/>
      <c r="M11" s="42"/>
      <c r="N11" s="42"/>
      <c r="O11" s="61"/>
      <c r="P11" s="61"/>
      <c r="Q11" s="61"/>
      <c r="R11" s="61"/>
    </row>
    <row r="12" spans="1:18" hidden="1">
      <c r="A12" s="451" t="s">
        <v>826</v>
      </c>
      <c r="B12" s="434">
        <v>371</v>
      </c>
      <c r="C12" s="93"/>
      <c r="D12" s="433">
        <v>43158</v>
      </c>
      <c r="E12" s="433">
        <v>43168</v>
      </c>
      <c r="F12" s="433" t="s">
        <v>177</v>
      </c>
      <c r="G12" s="433" t="s">
        <v>177</v>
      </c>
      <c r="H12" s="433" t="s">
        <v>177</v>
      </c>
      <c r="I12" s="432" t="s">
        <v>177</v>
      </c>
      <c r="J12" s="431">
        <v>312.63</v>
      </c>
      <c r="K12" s="3713"/>
      <c r="L12" s="3713"/>
      <c r="M12" s="42"/>
      <c r="N12" s="42"/>
      <c r="O12" s="61"/>
      <c r="P12" s="61"/>
      <c r="Q12" s="61"/>
      <c r="R12" s="61"/>
    </row>
    <row r="13" spans="1:18" hidden="1">
      <c r="A13" s="451" t="s">
        <v>827</v>
      </c>
      <c r="B13" s="434">
        <v>366</v>
      </c>
      <c r="C13" s="93"/>
      <c r="D13" s="433">
        <v>43290</v>
      </c>
      <c r="E13" s="433">
        <v>43297</v>
      </c>
      <c r="F13" s="433">
        <v>43375</v>
      </c>
      <c r="G13" s="433">
        <v>43416</v>
      </c>
      <c r="H13" s="433">
        <v>43563</v>
      </c>
      <c r="I13" s="432" t="s">
        <v>177</v>
      </c>
      <c r="J13" s="431">
        <v>36597.230000000003</v>
      </c>
      <c r="K13" s="3713"/>
      <c r="L13" s="3713"/>
      <c r="M13" s="42"/>
      <c r="N13" s="42"/>
      <c r="O13" s="61"/>
      <c r="P13" s="61"/>
      <c r="Q13" s="61"/>
      <c r="R13" s="61"/>
    </row>
    <row r="14" spans="1:18" hidden="1">
      <c r="A14" s="451" t="s">
        <v>828</v>
      </c>
      <c r="B14" s="434">
        <v>367</v>
      </c>
      <c r="C14" s="93"/>
      <c r="D14" s="433">
        <v>43381</v>
      </c>
      <c r="E14" s="433">
        <v>43382</v>
      </c>
      <c r="F14" s="433">
        <v>43486</v>
      </c>
      <c r="G14" s="433">
        <v>43563</v>
      </c>
      <c r="H14" s="433">
        <v>43580</v>
      </c>
      <c r="I14" s="432" t="s">
        <v>177</v>
      </c>
      <c r="J14" s="431">
        <v>33216.910000000003</v>
      </c>
      <c r="K14" s="3713"/>
      <c r="L14" s="3713"/>
      <c r="M14" s="42"/>
      <c r="N14" s="42"/>
      <c r="O14" s="61"/>
      <c r="P14" s="61"/>
      <c r="Q14" s="61"/>
      <c r="R14" s="61"/>
    </row>
    <row r="15" spans="1:18" hidden="1">
      <c r="A15" s="451" t="s">
        <v>828</v>
      </c>
      <c r="B15" s="434">
        <v>368</v>
      </c>
      <c r="C15" s="93"/>
      <c r="D15" s="433">
        <v>43452</v>
      </c>
      <c r="E15" s="433">
        <v>43454</v>
      </c>
      <c r="F15" s="433" t="s">
        <v>177</v>
      </c>
      <c r="G15" s="433" t="s">
        <v>177</v>
      </c>
      <c r="H15" s="433" t="s">
        <v>177</v>
      </c>
      <c r="I15" s="432" t="s">
        <v>177</v>
      </c>
      <c r="J15" s="431">
        <v>82.6</v>
      </c>
      <c r="K15" s="3713"/>
      <c r="L15" s="3713"/>
      <c r="M15" s="42"/>
      <c r="N15" s="42"/>
      <c r="O15" s="61"/>
      <c r="P15" s="61"/>
      <c r="Q15" s="61"/>
      <c r="R15" s="61"/>
    </row>
    <row r="16" spans="1:18" hidden="1">
      <c r="A16" s="451" t="s">
        <v>829</v>
      </c>
      <c r="B16" s="434">
        <v>369</v>
      </c>
      <c r="C16" s="93"/>
      <c r="D16" s="433">
        <v>43438</v>
      </c>
      <c r="E16" s="433">
        <v>43448</v>
      </c>
      <c r="F16" s="433">
        <v>43563</v>
      </c>
      <c r="G16" s="433">
        <v>43588</v>
      </c>
      <c r="H16" s="433">
        <v>43605</v>
      </c>
      <c r="I16" s="432"/>
      <c r="J16" s="431"/>
      <c r="K16" s="3713"/>
      <c r="L16" s="3713"/>
      <c r="M16" s="42"/>
      <c r="N16" s="42"/>
      <c r="O16" s="61"/>
      <c r="P16" s="61"/>
      <c r="Q16" s="61"/>
      <c r="R16" s="61"/>
    </row>
    <row r="17" spans="1:18" hidden="1">
      <c r="A17" s="451" t="s">
        <v>829</v>
      </c>
      <c r="B17" s="434"/>
      <c r="C17" s="93"/>
      <c r="D17" s="433"/>
      <c r="E17" s="433"/>
      <c r="F17" s="433"/>
      <c r="G17" s="433"/>
      <c r="H17" s="433"/>
      <c r="I17" s="432"/>
      <c r="J17" s="431"/>
      <c r="K17" s="3713"/>
      <c r="L17" s="3713"/>
      <c r="M17" s="42"/>
      <c r="N17" s="42"/>
      <c r="O17" s="61"/>
      <c r="P17" s="61"/>
      <c r="Q17" s="61"/>
      <c r="R17" s="61"/>
    </row>
    <row r="18" spans="1:18" hidden="1">
      <c r="A18" s="451" t="s">
        <v>830</v>
      </c>
      <c r="B18" s="434">
        <v>352</v>
      </c>
      <c r="C18" s="93"/>
      <c r="D18" s="433">
        <v>43312</v>
      </c>
      <c r="E18" s="433">
        <v>43315</v>
      </c>
      <c r="F18" s="433" t="s">
        <v>177</v>
      </c>
      <c r="G18" s="433" t="s">
        <v>177</v>
      </c>
      <c r="H18" s="433" t="s">
        <v>177</v>
      </c>
      <c r="I18" s="432" t="s">
        <v>177</v>
      </c>
      <c r="J18" s="431">
        <v>23518.99</v>
      </c>
      <c r="K18" s="3713"/>
      <c r="L18" s="3713"/>
      <c r="M18" s="42"/>
      <c r="N18" s="42"/>
      <c r="O18" s="61"/>
      <c r="P18" s="61"/>
      <c r="Q18" s="61"/>
      <c r="R18" s="61"/>
    </row>
    <row r="19" spans="1:18" hidden="1">
      <c r="A19" s="451" t="s">
        <v>831</v>
      </c>
      <c r="B19" s="434"/>
      <c r="C19" s="93"/>
      <c r="D19" s="433">
        <v>43122</v>
      </c>
      <c r="E19" s="433">
        <v>43136</v>
      </c>
      <c r="F19" s="433" t="s">
        <v>177</v>
      </c>
      <c r="G19" s="433" t="s">
        <v>177</v>
      </c>
      <c r="H19" s="433" t="s">
        <v>177</v>
      </c>
      <c r="I19" s="432" t="s">
        <v>177</v>
      </c>
      <c r="J19" s="431">
        <v>250</v>
      </c>
      <c r="K19" s="3713"/>
      <c r="L19" s="3713"/>
      <c r="M19" s="42"/>
      <c r="N19" s="42"/>
      <c r="O19" s="61"/>
      <c r="P19" s="61"/>
      <c r="Q19" s="61"/>
      <c r="R19" s="61"/>
    </row>
    <row r="20" spans="1:18" hidden="1">
      <c r="A20" s="451" t="s">
        <v>831</v>
      </c>
      <c r="B20" s="434">
        <v>360</v>
      </c>
      <c r="C20" s="93"/>
      <c r="D20" s="430">
        <v>43312</v>
      </c>
      <c r="E20" s="430">
        <v>43315</v>
      </c>
      <c r="F20" s="433">
        <v>43382</v>
      </c>
      <c r="G20" s="433">
        <v>43416</v>
      </c>
      <c r="H20" s="433">
        <v>43486</v>
      </c>
      <c r="I20" s="432"/>
      <c r="J20" s="429">
        <v>52748.25</v>
      </c>
      <c r="K20" s="227"/>
      <c r="L20" s="227"/>
      <c r="M20" s="42"/>
      <c r="N20" s="42"/>
      <c r="O20" s="61"/>
      <c r="P20" s="61"/>
      <c r="Q20" s="61"/>
      <c r="R20" s="61"/>
    </row>
    <row r="21" spans="1:18" hidden="1">
      <c r="A21" s="451" t="s">
        <v>831</v>
      </c>
      <c r="B21" s="434">
        <v>361</v>
      </c>
      <c r="C21" s="93"/>
      <c r="D21" s="430">
        <v>43452</v>
      </c>
      <c r="E21" s="430">
        <v>43454</v>
      </c>
      <c r="F21" s="433" t="s">
        <v>177</v>
      </c>
      <c r="G21" s="433" t="s">
        <v>177</v>
      </c>
      <c r="H21" s="433" t="s">
        <v>177</v>
      </c>
      <c r="I21" s="432" t="s">
        <v>177</v>
      </c>
      <c r="J21" s="429">
        <v>260</v>
      </c>
      <c r="K21" s="227"/>
      <c r="L21" s="227"/>
      <c r="M21" s="42"/>
      <c r="N21" s="42"/>
      <c r="O21" s="61"/>
      <c r="P21" s="61"/>
      <c r="Q21" s="61"/>
      <c r="R21" s="61"/>
    </row>
    <row r="22" spans="1:18" ht="15.75" hidden="1" thickBot="1">
      <c r="A22" s="452" t="s">
        <v>832</v>
      </c>
      <c r="B22" s="425">
        <v>410</v>
      </c>
      <c r="C22" s="3879"/>
      <c r="D22" s="424">
        <v>43144</v>
      </c>
      <c r="E22" s="424">
        <v>43154</v>
      </c>
      <c r="F22" s="424" t="s">
        <v>177</v>
      </c>
      <c r="G22" s="424" t="s">
        <v>177</v>
      </c>
      <c r="H22" s="424" t="s">
        <v>177</v>
      </c>
      <c r="I22" s="423" t="s">
        <v>177</v>
      </c>
      <c r="J22" s="422">
        <v>10000</v>
      </c>
      <c r="K22" s="3713"/>
      <c r="L22" s="3713"/>
      <c r="M22" s="42"/>
      <c r="N22" s="42"/>
      <c r="O22" s="61"/>
      <c r="P22" s="61"/>
      <c r="Q22" s="61"/>
      <c r="R22" s="61"/>
    </row>
    <row r="23" spans="1:18" hidden="1">
      <c r="A23" s="450"/>
      <c r="B23" s="443"/>
      <c r="C23" s="3878"/>
      <c r="D23" s="442"/>
      <c r="E23" s="442"/>
      <c r="F23" s="442"/>
      <c r="G23" s="442"/>
      <c r="H23" s="442"/>
      <c r="I23" s="436"/>
      <c r="J23" s="438"/>
      <c r="K23" s="227"/>
      <c r="L23" s="227"/>
      <c r="M23" s="42"/>
      <c r="N23" s="42"/>
      <c r="O23" s="61"/>
      <c r="P23" s="61"/>
      <c r="Q23" s="61"/>
      <c r="R23" s="61"/>
    </row>
    <row r="24" spans="1:18" hidden="1">
      <c r="A24" s="451" t="s">
        <v>152</v>
      </c>
      <c r="B24" s="434">
        <v>388</v>
      </c>
      <c r="C24" s="93"/>
      <c r="D24" s="433">
        <v>43298</v>
      </c>
      <c r="E24" s="433">
        <v>43300</v>
      </c>
      <c r="F24" s="433">
        <v>43375</v>
      </c>
      <c r="G24" s="433">
        <v>43416</v>
      </c>
      <c r="H24" s="433">
        <v>43486</v>
      </c>
      <c r="I24" s="432" t="s">
        <v>177</v>
      </c>
      <c r="J24" s="431"/>
      <c r="K24" s="3713"/>
      <c r="L24" s="3713"/>
      <c r="M24" s="42"/>
      <c r="N24" s="42"/>
      <c r="O24" s="61"/>
      <c r="P24" s="61"/>
      <c r="Q24" s="61"/>
      <c r="R24" s="61"/>
    </row>
    <row r="25" spans="1:18" hidden="1">
      <c r="A25" s="451" t="s">
        <v>833</v>
      </c>
      <c r="B25" s="434">
        <v>389</v>
      </c>
      <c r="C25" s="93"/>
      <c r="D25" s="430">
        <v>43381</v>
      </c>
      <c r="E25" s="428">
        <v>43382</v>
      </c>
      <c r="F25" s="428">
        <v>43486</v>
      </c>
      <c r="G25" s="433">
        <v>43563</v>
      </c>
      <c r="H25" s="428">
        <v>43580</v>
      </c>
      <c r="I25" s="427">
        <v>43620</v>
      </c>
      <c r="J25" s="431">
        <v>7750</v>
      </c>
      <c r="K25" s="3713"/>
      <c r="L25" s="3713"/>
      <c r="M25" s="42"/>
      <c r="N25" s="42"/>
      <c r="O25" s="61"/>
      <c r="P25" s="61"/>
      <c r="Q25" s="61"/>
      <c r="R25" s="61"/>
    </row>
    <row r="26" spans="1:18" hidden="1">
      <c r="A26" s="451" t="s">
        <v>833</v>
      </c>
      <c r="B26" s="434">
        <v>391</v>
      </c>
      <c r="C26" s="93"/>
      <c r="D26" s="430">
        <v>43424</v>
      </c>
      <c r="E26" s="428">
        <v>43433</v>
      </c>
      <c r="F26" s="428">
        <v>43501</v>
      </c>
      <c r="G26" s="433">
        <v>43563</v>
      </c>
      <c r="H26" s="428">
        <v>43580</v>
      </c>
      <c r="I26" s="426" t="s">
        <v>177</v>
      </c>
      <c r="J26" s="431">
        <v>61100.01</v>
      </c>
      <c r="K26" s="3713"/>
      <c r="L26" s="3713"/>
      <c r="M26" s="42"/>
      <c r="N26" s="42"/>
      <c r="O26" s="61"/>
      <c r="P26" s="61"/>
      <c r="Q26" s="61"/>
      <c r="R26" s="61"/>
    </row>
    <row r="27" spans="1:18" hidden="1">
      <c r="A27" s="451" t="s">
        <v>834</v>
      </c>
      <c r="B27" s="434">
        <v>450</v>
      </c>
      <c r="C27" s="93"/>
      <c r="D27" s="430">
        <v>43158</v>
      </c>
      <c r="E27" s="428">
        <v>43168</v>
      </c>
      <c r="F27" s="428" t="s">
        <v>177</v>
      </c>
      <c r="G27" s="433" t="s">
        <v>177</v>
      </c>
      <c r="H27" s="61" t="s">
        <v>177</v>
      </c>
      <c r="I27" s="426" t="s">
        <v>177</v>
      </c>
      <c r="J27" s="431">
        <v>60000</v>
      </c>
      <c r="K27" s="3713"/>
      <c r="L27" s="3713"/>
      <c r="M27" s="42"/>
      <c r="N27" s="42"/>
      <c r="O27" s="61"/>
      <c r="P27" s="61"/>
      <c r="Q27" s="61"/>
      <c r="R27" s="61"/>
    </row>
    <row r="28" spans="1:18" hidden="1">
      <c r="A28" s="451" t="s">
        <v>188</v>
      </c>
      <c r="B28" s="434"/>
      <c r="C28" s="93"/>
      <c r="D28" s="430"/>
      <c r="E28" s="428"/>
      <c r="F28" s="428"/>
      <c r="G28" s="433"/>
      <c r="H28" s="61"/>
      <c r="I28" s="426"/>
      <c r="J28" s="431"/>
      <c r="K28" s="3713"/>
      <c r="L28" s="3713"/>
      <c r="M28" s="42"/>
      <c r="N28" s="42"/>
      <c r="O28" s="61"/>
      <c r="P28" s="61"/>
      <c r="Q28" s="61"/>
      <c r="R28" s="61"/>
    </row>
    <row r="29" spans="1:18" ht="15.75" hidden="1" thickBot="1">
      <c r="A29" s="452"/>
      <c r="B29" s="425"/>
      <c r="C29" s="3879"/>
      <c r="D29" s="424"/>
      <c r="E29" s="424"/>
      <c r="F29" s="424"/>
      <c r="G29" s="424"/>
      <c r="H29" s="424"/>
      <c r="I29" s="423"/>
      <c r="J29" s="422"/>
      <c r="K29" s="3713"/>
      <c r="L29" s="3713"/>
      <c r="M29" s="42"/>
      <c r="N29" s="42"/>
      <c r="O29" s="61"/>
      <c r="P29" s="61"/>
      <c r="Q29" s="61"/>
      <c r="R29" s="61"/>
    </row>
    <row r="30" spans="1:18" hidden="1">
      <c r="A30" s="437" t="s">
        <v>835</v>
      </c>
      <c r="B30" s="434">
        <v>340</v>
      </c>
      <c r="C30" s="93"/>
      <c r="D30" s="433">
        <v>43396</v>
      </c>
      <c r="E30" s="433">
        <v>43397</v>
      </c>
      <c r="F30" s="433">
        <v>43486</v>
      </c>
      <c r="G30" s="433">
        <v>43563</v>
      </c>
      <c r="H30" s="433">
        <v>43580</v>
      </c>
      <c r="I30" s="432">
        <v>43620</v>
      </c>
      <c r="J30" s="431">
        <v>29000</v>
      </c>
      <c r="K30" s="3713"/>
      <c r="L30" s="3713"/>
      <c r="M30" s="42"/>
      <c r="N30" s="42"/>
      <c r="O30" s="61"/>
      <c r="P30" s="61"/>
      <c r="Q30" s="61"/>
      <c r="R30" s="61"/>
    </row>
    <row r="31" spans="1:18" hidden="1">
      <c r="A31" s="437" t="s">
        <v>835</v>
      </c>
      <c r="B31" s="434">
        <v>341</v>
      </c>
      <c r="C31" s="93"/>
      <c r="D31" s="433">
        <v>43452</v>
      </c>
      <c r="E31" s="433">
        <v>43454</v>
      </c>
      <c r="F31" s="433" t="s">
        <v>177</v>
      </c>
      <c r="G31" s="433" t="s">
        <v>177</v>
      </c>
      <c r="H31" s="433" t="s">
        <v>177</v>
      </c>
      <c r="I31" s="432" t="s">
        <v>177</v>
      </c>
      <c r="J31" s="431">
        <v>2500</v>
      </c>
      <c r="K31" s="3713"/>
      <c r="L31" s="3713"/>
      <c r="M31" s="42"/>
      <c r="N31" s="42"/>
      <c r="O31" s="61"/>
      <c r="P31" s="61"/>
      <c r="Q31" s="61"/>
      <c r="R31" s="61"/>
    </row>
    <row r="32" spans="1:18" hidden="1">
      <c r="A32" s="437" t="s">
        <v>836</v>
      </c>
      <c r="B32" s="434">
        <v>322</v>
      </c>
      <c r="C32" s="93"/>
      <c r="D32" s="433">
        <v>43367</v>
      </c>
      <c r="E32" s="433">
        <v>43382</v>
      </c>
      <c r="F32" s="433">
        <v>43486</v>
      </c>
      <c r="G32" s="433">
        <v>43563</v>
      </c>
      <c r="H32" s="433">
        <v>43580</v>
      </c>
      <c r="I32" s="432">
        <v>43620</v>
      </c>
      <c r="J32" s="431">
        <v>21395.75</v>
      </c>
      <c r="K32" s="3713"/>
      <c r="L32" s="3713"/>
      <c r="M32" s="42"/>
      <c r="N32" s="42"/>
      <c r="O32" s="61"/>
      <c r="P32" s="61"/>
      <c r="Q32" s="61"/>
      <c r="R32" s="61"/>
    </row>
    <row r="33" spans="1:18" hidden="1">
      <c r="A33" s="437" t="s">
        <v>837</v>
      </c>
      <c r="B33" s="434">
        <v>323</v>
      </c>
      <c r="C33" s="93"/>
      <c r="D33" s="433">
        <v>43452</v>
      </c>
      <c r="E33" s="433">
        <v>43454</v>
      </c>
      <c r="F33" s="433" t="s">
        <v>177</v>
      </c>
      <c r="G33" s="433" t="s">
        <v>177</v>
      </c>
      <c r="H33" s="433" t="s">
        <v>177</v>
      </c>
      <c r="I33" s="432" t="s">
        <v>177</v>
      </c>
      <c r="J33" s="431">
        <v>907</v>
      </c>
      <c r="K33" s="3713"/>
      <c r="L33" s="3713"/>
      <c r="M33" s="42"/>
      <c r="N33" s="42"/>
      <c r="O33" s="61"/>
      <c r="P33" s="61"/>
      <c r="Q33" s="61"/>
      <c r="R33" s="61"/>
    </row>
    <row r="34" spans="1:18" hidden="1">
      <c r="A34" s="437" t="s">
        <v>136</v>
      </c>
      <c r="B34" s="434">
        <v>305</v>
      </c>
      <c r="C34" s="93"/>
      <c r="D34" s="433">
        <v>43298</v>
      </c>
      <c r="E34" s="433">
        <v>43300</v>
      </c>
      <c r="F34" s="433">
        <v>43375</v>
      </c>
      <c r="G34" s="433">
        <v>43416</v>
      </c>
      <c r="H34" s="433" t="s">
        <v>177</v>
      </c>
      <c r="I34" s="432" t="s">
        <v>177</v>
      </c>
      <c r="J34" s="431"/>
      <c r="K34" s="3713"/>
      <c r="L34" s="3713"/>
      <c r="M34" s="42"/>
      <c r="N34" s="42"/>
      <c r="O34" s="61"/>
      <c r="P34" s="61"/>
      <c r="Q34" s="61"/>
      <c r="R34" s="61"/>
    </row>
    <row r="35" spans="1:18" hidden="1">
      <c r="A35" s="437" t="s">
        <v>838</v>
      </c>
      <c r="B35" s="434">
        <v>301</v>
      </c>
      <c r="C35" s="93"/>
      <c r="D35" s="433">
        <v>43242</v>
      </c>
      <c r="E35" s="433">
        <v>43286</v>
      </c>
      <c r="F35" s="433">
        <v>43360</v>
      </c>
      <c r="G35" s="433">
        <v>43389</v>
      </c>
      <c r="H35" s="433">
        <v>43416</v>
      </c>
      <c r="I35" s="432" t="s">
        <v>177</v>
      </c>
      <c r="J35" s="431">
        <v>120132</v>
      </c>
      <c r="K35" s="3713"/>
      <c r="L35" s="3713"/>
      <c r="M35" s="42"/>
      <c r="N35" s="42"/>
      <c r="O35" s="61"/>
      <c r="P35" s="61"/>
      <c r="Q35" s="61"/>
      <c r="R35" s="61"/>
    </row>
    <row r="36" spans="1:18" hidden="1">
      <c r="A36" s="437" t="s">
        <v>839</v>
      </c>
      <c r="B36" s="434">
        <v>308</v>
      </c>
      <c r="C36" s="93"/>
      <c r="D36" s="433">
        <v>43144</v>
      </c>
      <c r="E36" s="433">
        <v>43154</v>
      </c>
      <c r="F36" s="433" t="s">
        <v>177</v>
      </c>
      <c r="G36" s="433" t="s">
        <v>177</v>
      </c>
      <c r="H36" s="433" t="s">
        <v>177</v>
      </c>
      <c r="I36" s="432" t="s">
        <v>177</v>
      </c>
      <c r="J36" s="431">
        <v>820</v>
      </c>
      <c r="K36" s="3713"/>
      <c r="L36" s="3713"/>
      <c r="M36" s="42"/>
      <c r="N36" s="42"/>
      <c r="O36" s="61"/>
      <c r="P36" s="61"/>
      <c r="Q36" s="61"/>
      <c r="R36" s="61"/>
    </row>
    <row r="37" spans="1:18" hidden="1">
      <c r="A37" s="437" t="s">
        <v>840</v>
      </c>
      <c r="B37" s="434">
        <v>307</v>
      </c>
      <c r="C37" s="93"/>
      <c r="D37" s="433">
        <v>43122</v>
      </c>
      <c r="E37" s="433">
        <v>43136</v>
      </c>
      <c r="F37" s="433">
        <v>43214</v>
      </c>
      <c r="G37" s="433">
        <v>43360</v>
      </c>
      <c r="H37" s="433">
        <v>43382</v>
      </c>
      <c r="I37" s="432" t="s">
        <v>177</v>
      </c>
      <c r="J37" s="431">
        <v>11480</v>
      </c>
      <c r="K37" s="3713"/>
      <c r="L37" s="3713"/>
      <c r="M37" s="42"/>
      <c r="N37" s="42"/>
      <c r="O37" s="61"/>
      <c r="P37" s="61"/>
      <c r="Q37" s="61"/>
      <c r="R37" s="61"/>
    </row>
    <row r="38" spans="1:18" hidden="1">
      <c r="A38" s="437" t="s">
        <v>840</v>
      </c>
      <c r="B38" s="434"/>
      <c r="C38" s="93"/>
      <c r="D38" s="433"/>
      <c r="E38" s="433"/>
      <c r="F38" s="433"/>
      <c r="G38" s="433"/>
      <c r="H38" s="433"/>
      <c r="I38" s="432"/>
      <c r="J38" s="431"/>
      <c r="K38" s="3713"/>
      <c r="L38" s="3713"/>
      <c r="M38" s="42"/>
      <c r="N38" s="42"/>
      <c r="O38" s="61"/>
      <c r="P38" s="61"/>
      <c r="Q38" s="61"/>
      <c r="R38" s="61"/>
    </row>
    <row r="39" spans="1:18" ht="15.75" hidden="1" thickBot="1">
      <c r="A39" s="437" t="s">
        <v>841</v>
      </c>
      <c r="B39" s="425"/>
      <c r="C39" s="3879"/>
      <c r="D39" s="424"/>
      <c r="E39" s="424"/>
      <c r="F39" s="424"/>
      <c r="G39" s="424"/>
      <c r="H39" s="424"/>
      <c r="I39" s="423"/>
      <c r="J39" s="422"/>
      <c r="K39" s="3713"/>
      <c r="L39" s="3713"/>
      <c r="M39" s="42"/>
      <c r="N39" s="42"/>
      <c r="O39" s="61"/>
      <c r="P39" s="61"/>
      <c r="Q39" s="61"/>
      <c r="R39" s="61"/>
    </row>
    <row r="40" spans="1:18" ht="16.5" hidden="1" thickTop="1" thickBot="1">
      <c r="A40" s="421"/>
      <c r="B40" s="420"/>
      <c r="C40" s="418"/>
      <c r="D40" s="419"/>
      <c r="E40" s="419"/>
      <c r="F40" s="419"/>
      <c r="G40" s="419"/>
      <c r="H40" s="419"/>
      <c r="I40" s="418"/>
      <c r="J40" s="417">
        <f>SUM(J6:J38)</f>
        <v>1286807.47</v>
      </c>
      <c r="K40" s="3713"/>
      <c r="L40" s="3713"/>
      <c r="M40" s="42"/>
      <c r="N40" s="42"/>
      <c r="O40" s="61"/>
      <c r="P40" s="61"/>
      <c r="Q40" s="61"/>
      <c r="R40" s="61"/>
    </row>
    <row r="41" spans="1:18" hidden="1">
      <c r="A41" s="42"/>
      <c r="B41" s="42"/>
      <c r="C41" s="42"/>
      <c r="D41" s="42"/>
      <c r="E41" s="42"/>
      <c r="F41" s="42"/>
      <c r="G41" s="42"/>
      <c r="H41" s="42"/>
      <c r="I41" s="42"/>
      <c r="J41" s="42"/>
      <c r="K41" s="42"/>
      <c r="L41" s="42"/>
      <c r="M41" s="42"/>
      <c r="N41" s="42"/>
      <c r="O41" s="42"/>
      <c r="P41" s="42"/>
      <c r="Q41" s="42"/>
      <c r="R41" s="42"/>
    </row>
    <row r="42" spans="1:18" ht="15.75" hidden="1">
      <c r="A42" s="441" t="s">
        <v>92</v>
      </c>
      <c r="B42" s="441">
        <v>2019</v>
      </c>
      <c r="C42" s="441"/>
      <c r="D42" s="42"/>
      <c r="E42" s="42"/>
      <c r="F42" s="42"/>
      <c r="G42" s="42"/>
      <c r="H42" s="42"/>
      <c r="I42" s="42"/>
      <c r="J42" s="42"/>
      <c r="K42" s="42"/>
      <c r="L42" s="42"/>
      <c r="M42" s="42"/>
      <c r="N42" s="42"/>
      <c r="O42" s="42"/>
      <c r="P42" s="42"/>
      <c r="Q42" s="42"/>
      <c r="R42" s="42"/>
    </row>
    <row r="43" spans="1:18" ht="15.75" hidden="1" thickBot="1">
      <c r="A43" s="42"/>
      <c r="B43" s="42"/>
      <c r="C43" s="42"/>
      <c r="D43" s="42"/>
      <c r="E43" s="42"/>
      <c r="F43" s="42"/>
      <c r="G43" s="42"/>
      <c r="H43" s="42"/>
      <c r="I43" s="440"/>
      <c r="J43" s="227"/>
      <c r="K43" s="227"/>
      <c r="L43" s="227"/>
      <c r="M43" s="42"/>
      <c r="N43" s="42"/>
      <c r="O43" s="42"/>
      <c r="P43" s="42"/>
      <c r="Q43" s="42"/>
      <c r="R43" s="42"/>
    </row>
    <row r="44" spans="1:18" ht="27.75" hidden="1" customHeight="1" thickTop="1" thickBot="1">
      <c r="A44" s="439"/>
      <c r="B44" s="447" t="s">
        <v>815</v>
      </c>
      <c r="C44" s="448"/>
      <c r="D44" s="448" t="s">
        <v>665</v>
      </c>
      <c r="E44" s="448" t="s">
        <v>816</v>
      </c>
      <c r="F44" s="448" t="s">
        <v>817</v>
      </c>
      <c r="G44" s="448" t="s">
        <v>818</v>
      </c>
      <c r="H44" s="448" t="s">
        <v>819</v>
      </c>
      <c r="I44" s="448" t="s">
        <v>820</v>
      </c>
      <c r="J44" s="449" t="s">
        <v>665</v>
      </c>
      <c r="K44" s="4306"/>
      <c r="L44" s="4306"/>
      <c r="M44" s="42"/>
      <c r="N44" s="42"/>
      <c r="O44" s="42"/>
      <c r="P44" s="42"/>
      <c r="Q44" s="42"/>
      <c r="R44" s="42"/>
    </row>
    <row r="45" spans="1:18" hidden="1">
      <c r="A45" s="450" t="s">
        <v>821</v>
      </c>
      <c r="B45" s="443">
        <v>312</v>
      </c>
      <c r="C45" s="3878"/>
      <c r="D45" s="442">
        <v>43640</v>
      </c>
      <c r="E45" s="442">
        <v>43650</v>
      </c>
      <c r="F45" s="442">
        <v>43732</v>
      </c>
      <c r="G45" s="442">
        <v>43774</v>
      </c>
      <c r="H45" s="442">
        <v>43850</v>
      </c>
      <c r="I45" s="436">
        <v>43885</v>
      </c>
      <c r="J45" s="435">
        <v>566459.92000000004</v>
      </c>
      <c r="K45" s="3713"/>
      <c r="L45" s="3713"/>
      <c r="M45" s="42"/>
      <c r="N45" s="42"/>
      <c r="O45" s="42"/>
      <c r="P45" s="42"/>
      <c r="Q45" s="42"/>
      <c r="R45" s="42"/>
    </row>
    <row r="46" spans="1:18" hidden="1">
      <c r="A46" s="451" t="s">
        <v>822</v>
      </c>
      <c r="B46" s="434"/>
      <c r="C46" s="93"/>
      <c r="D46" s="433"/>
      <c r="E46" s="433"/>
      <c r="F46" s="433"/>
      <c r="G46" s="433"/>
      <c r="H46" s="433"/>
      <c r="I46" s="432"/>
      <c r="J46" s="431"/>
      <c r="K46" s="3713"/>
      <c r="L46" s="3713"/>
      <c r="M46" s="42"/>
      <c r="N46" s="42"/>
      <c r="O46" s="42"/>
      <c r="P46" s="42"/>
      <c r="Q46" s="42"/>
      <c r="R46" s="42"/>
    </row>
    <row r="47" spans="1:18" hidden="1">
      <c r="A47" s="451" t="s">
        <v>823</v>
      </c>
      <c r="B47" s="434">
        <v>313</v>
      </c>
      <c r="C47" s="93"/>
      <c r="D47" s="433">
        <v>43647</v>
      </c>
      <c r="E47" s="433">
        <v>43649</v>
      </c>
      <c r="F47" s="433" t="s">
        <v>177</v>
      </c>
      <c r="G47" s="433" t="s">
        <v>177</v>
      </c>
      <c r="H47" s="433" t="s">
        <v>177</v>
      </c>
      <c r="I47" s="432" t="s">
        <v>177</v>
      </c>
      <c r="J47" s="431">
        <v>1120</v>
      </c>
      <c r="K47" s="3713"/>
      <c r="L47" s="3713"/>
      <c r="M47" s="42"/>
      <c r="N47" s="42"/>
      <c r="O47" s="42"/>
      <c r="P47" s="42"/>
      <c r="Q47" s="42"/>
      <c r="R47" s="42"/>
    </row>
    <row r="48" spans="1:18" hidden="1">
      <c r="A48" s="451" t="s">
        <v>824</v>
      </c>
      <c r="B48" s="434">
        <v>311</v>
      </c>
      <c r="C48" s="93"/>
      <c r="D48" s="433">
        <v>43647</v>
      </c>
      <c r="E48" s="433">
        <v>43658</v>
      </c>
      <c r="F48" s="433">
        <v>43732</v>
      </c>
      <c r="G48" s="433">
        <v>43774</v>
      </c>
      <c r="H48" s="433">
        <v>43850</v>
      </c>
      <c r="I48" s="432">
        <v>43885</v>
      </c>
      <c r="J48" s="431">
        <v>212740</v>
      </c>
      <c r="K48" s="3713"/>
      <c r="L48" s="3713"/>
      <c r="M48" s="42"/>
      <c r="N48" s="42"/>
      <c r="O48" s="42"/>
      <c r="P48" s="42"/>
      <c r="Q48" s="42"/>
      <c r="R48" s="42"/>
    </row>
    <row r="49" spans="1:18" hidden="1">
      <c r="A49" s="451" t="s">
        <v>142</v>
      </c>
      <c r="B49" s="434">
        <v>333</v>
      </c>
      <c r="C49" s="93"/>
      <c r="D49" s="433">
        <v>43591</v>
      </c>
      <c r="E49" s="433">
        <v>43612</v>
      </c>
      <c r="F49" s="433" t="s">
        <v>177</v>
      </c>
      <c r="G49" s="433" t="s">
        <v>177</v>
      </c>
      <c r="H49" s="433" t="s">
        <v>177</v>
      </c>
      <c r="I49" s="432" t="s">
        <v>177</v>
      </c>
      <c r="J49" s="431">
        <v>34850</v>
      </c>
      <c r="K49" s="3713"/>
      <c r="L49" s="3713"/>
      <c r="M49" s="42"/>
      <c r="N49" s="42"/>
      <c r="O49" s="42"/>
      <c r="P49" s="42"/>
      <c r="Q49" s="42"/>
      <c r="R49" s="42"/>
    </row>
    <row r="50" spans="1:18" hidden="1">
      <c r="A50" s="451" t="s">
        <v>842</v>
      </c>
      <c r="B50" s="434">
        <v>370</v>
      </c>
      <c r="C50" s="93"/>
      <c r="D50" s="433">
        <v>43479</v>
      </c>
      <c r="E50" s="433">
        <v>43487</v>
      </c>
      <c r="F50" s="433">
        <v>43580</v>
      </c>
      <c r="G50" s="433">
        <v>43605</v>
      </c>
      <c r="H50" s="433">
        <v>43732</v>
      </c>
      <c r="I50" s="432" t="s">
        <v>177</v>
      </c>
      <c r="J50" s="431">
        <v>35497.629999999997</v>
      </c>
      <c r="K50" s="3713"/>
      <c r="L50" s="3713"/>
      <c r="M50" s="42"/>
      <c r="N50" s="42"/>
      <c r="O50" s="42"/>
      <c r="P50" s="42"/>
      <c r="Q50" s="42"/>
      <c r="R50" s="42"/>
    </row>
    <row r="51" spans="1:18" hidden="1">
      <c r="A51" s="451" t="s">
        <v>826</v>
      </c>
      <c r="B51" s="434">
        <v>371</v>
      </c>
      <c r="C51" s="93"/>
      <c r="D51" s="433"/>
      <c r="E51" s="433"/>
      <c r="F51" s="433"/>
      <c r="G51" s="433"/>
      <c r="H51" s="433"/>
      <c r="I51" s="432"/>
      <c r="J51" s="431"/>
      <c r="K51" s="3713"/>
      <c r="L51" s="3713"/>
      <c r="M51" s="42"/>
      <c r="N51" s="42"/>
      <c r="O51" s="42"/>
      <c r="P51" s="42"/>
      <c r="Q51" s="42"/>
      <c r="R51" s="42"/>
    </row>
    <row r="52" spans="1:18" hidden="1">
      <c r="A52" s="451" t="s">
        <v>827</v>
      </c>
      <c r="B52" s="434">
        <v>366</v>
      </c>
      <c r="C52" s="93"/>
      <c r="D52" s="433">
        <v>43627</v>
      </c>
      <c r="E52" s="433">
        <v>43654</v>
      </c>
      <c r="F52" s="433">
        <v>43732</v>
      </c>
      <c r="G52" s="433">
        <v>43774</v>
      </c>
      <c r="H52" s="433" t="s">
        <v>177</v>
      </c>
      <c r="I52" s="432" t="s">
        <v>177</v>
      </c>
      <c r="J52" s="431">
        <v>28305.9</v>
      </c>
      <c r="K52" s="3713"/>
      <c r="L52" s="3713"/>
      <c r="M52" s="42"/>
      <c r="N52" s="42"/>
      <c r="O52" s="42"/>
      <c r="P52" s="42"/>
      <c r="Q52" s="42"/>
      <c r="R52" s="42"/>
    </row>
    <row r="53" spans="1:18" hidden="1">
      <c r="A53" s="451" t="s">
        <v>828</v>
      </c>
      <c r="B53" s="434">
        <v>367</v>
      </c>
      <c r="C53" s="93"/>
      <c r="D53" s="433">
        <v>43738</v>
      </c>
      <c r="E53" s="433">
        <v>43739</v>
      </c>
      <c r="F53" s="433">
        <v>43839</v>
      </c>
      <c r="G53" s="433" t="s">
        <v>177</v>
      </c>
      <c r="H53" s="433" t="s">
        <v>177</v>
      </c>
      <c r="I53" s="432" t="s">
        <v>177</v>
      </c>
      <c r="J53" s="431">
        <v>28629.95</v>
      </c>
      <c r="K53" s="3713"/>
      <c r="L53" s="3713"/>
      <c r="M53" s="42"/>
      <c r="N53" s="42"/>
      <c r="O53" s="42"/>
      <c r="P53" s="42"/>
      <c r="Q53" s="42"/>
      <c r="R53" s="42"/>
    </row>
    <row r="54" spans="1:18" hidden="1">
      <c r="A54" s="451" t="s">
        <v>828</v>
      </c>
      <c r="B54" s="434">
        <v>368</v>
      </c>
      <c r="C54" s="93"/>
      <c r="D54" s="433"/>
      <c r="E54" s="433"/>
      <c r="F54" s="433"/>
      <c r="G54" s="433"/>
      <c r="H54" s="433"/>
      <c r="I54" s="432"/>
      <c r="J54" s="431"/>
      <c r="K54" s="3713"/>
      <c r="L54" s="3713"/>
      <c r="M54" s="42"/>
      <c r="N54" s="42"/>
      <c r="O54" s="42"/>
      <c r="P54" s="42"/>
      <c r="Q54" s="42"/>
      <c r="R54" s="42"/>
    </row>
    <row r="55" spans="1:18" hidden="1">
      <c r="A55" s="451" t="s">
        <v>829</v>
      </c>
      <c r="B55" s="434">
        <v>369</v>
      </c>
      <c r="C55" s="93"/>
      <c r="D55" s="433">
        <v>43801</v>
      </c>
      <c r="E55" s="433">
        <v>43815</v>
      </c>
      <c r="F55" s="433" t="s">
        <v>177</v>
      </c>
      <c r="G55" s="433" t="s">
        <v>177</v>
      </c>
      <c r="H55" s="433" t="s">
        <v>177</v>
      </c>
      <c r="I55" s="432" t="s">
        <v>177</v>
      </c>
      <c r="J55" s="431">
        <v>21616.83</v>
      </c>
      <c r="K55" s="3713"/>
      <c r="L55" s="3713"/>
      <c r="M55" s="42"/>
      <c r="N55" s="42"/>
      <c r="O55" s="42"/>
      <c r="P55" s="42"/>
      <c r="Q55" s="42"/>
      <c r="R55" s="42"/>
    </row>
    <row r="56" spans="1:18" hidden="1">
      <c r="A56" s="451" t="s">
        <v>829</v>
      </c>
      <c r="B56" s="434"/>
      <c r="C56" s="93"/>
      <c r="D56" s="433"/>
      <c r="E56" s="433"/>
      <c r="F56" s="433"/>
      <c r="G56" s="433"/>
      <c r="H56" s="433"/>
      <c r="I56" s="432"/>
      <c r="J56" s="431"/>
      <c r="K56" s="3713"/>
      <c r="L56" s="3713"/>
    </row>
    <row r="57" spans="1:18" hidden="1">
      <c r="A57" s="451" t="s">
        <v>830</v>
      </c>
      <c r="B57" s="434">
        <v>352</v>
      </c>
      <c r="C57" s="93"/>
      <c r="D57" s="433">
        <v>43668</v>
      </c>
      <c r="E57" s="433">
        <v>43675</v>
      </c>
      <c r="F57" s="433" t="s">
        <v>177</v>
      </c>
      <c r="G57" s="433" t="s">
        <v>177</v>
      </c>
      <c r="H57" s="433" t="s">
        <v>177</v>
      </c>
      <c r="I57" s="432" t="s">
        <v>177</v>
      </c>
      <c r="J57" s="431">
        <v>16814.349999999999</v>
      </c>
      <c r="K57" s="3713"/>
      <c r="L57" s="3713"/>
    </row>
    <row r="58" spans="1:18" hidden="1">
      <c r="A58" s="451" t="s">
        <v>831</v>
      </c>
      <c r="B58" s="434"/>
      <c r="C58" s="93"/>
      <c r="D58" s="433"/>
      <c r="E58" s="433"/>
      <c r="F58" s="433"/>
      <c r="G58" s="433"/>
      <c r="H58" s="433"/>
      <c r="I58" s="432"/>
      <c r="J58" s="431"/>
      <c r="K58" s="3713"/>
      <c r="L58" s="3713"/>
    </row>
    <row r="59" spans="1:18" hidden="1">
      <c r="A59" s="451" t="s">
        <v>831</v>
      </c>
      <c r="B59" s="434">
        <v>360</v>
      </c>
      <c r="C59" s="93"/>
      <c r="D59" s="430">
        <v>43668</v>
      </c>
      <c r="E59" s="430">
        <v>43675</v>
      </c>
      <c r="F59" s="433">
        <v>43774</v>
      </c>
      <c r="G59" s="433">
        <v>43838</v>
      </c>
      <c r="H59" s="433" t="s">
        <v>177</v>
      </c>
      <c r="I59" s="432" t="s">
        <v>177</v>
      </c>
      <c r="J59" s="429">
        <v>40337.730000000003</v>
      </c>
      <c r="K59" s="227"/>
      <c r="L59" s="227"/>
    </row>
    <row r="60" spans="1:18" hidden="1">
      <c r="A60" s="451" t="s">
        <v>831</v>
      </c>
      <c r="B60" s="434">
        <v>361</v>
      </c>
      <c r="C60" s="93"/>
      <c r="D60" s="430"/>
      <c r="E60" s="430"/>
      <c r="F60" s="433"/>
      <c r="G60" s="433"/>
      <c r="H60" s="433"/>
      <c r="I60" s="432"/>
      <c r="J60" s="429"/>
      <c r="K60" s="227"/>
      <c r="L60" s="227"/>
    </row>
    <row r="61" spans="1:18" ht="15.75" hidden="1" thickBot="1">
      <c r="A61" s="452" t="s">
        <v>832</v>
      </c>
      <c r="B61" s="425">
        <v>410</v>
      </c>
      <c r="C61" s="3879"/>
      <c r="D61" s="424"/>
      <c r="E61" s="424"/>
      <c r="F61" s="424"/>
      <c r="G61" s="424"/>
      <c r="H61" s="424"/>
      <c r="I61" s="423"/>
      <c r="J61" s="422"/>
      <c r="K61" s="3713"/>
      <c r="L61" s="3713"/>
    </row>
    <row r="62" spans="1:18" hidden="1">
      <c r="A62" s="437"/>
      <c r="B62" s="434"/>
      <c r="C62" s="93"/>
      <c r="D62" s="433"/>
      <c r="E62" s="433"/>
      <c r="F62" s="433"/>
      <c r="G62" s="433"/>
      <c r="H62" s="433"/>
      <c r="I62" s="432"/>
      <c r="J62" s="429"/>
      <c r="K62" s="227"/>
      <c r="L62" s="227"/>
    </row>
    <row r="63" spans="1:18" hidden="1">
      <c r="A63" s="437" t="s">
        <v>152</v>
      </c>
      <c r="B63" s="434">
        <v>388</v>
      </c>
      <c r="C63" s="93"/>
      <c r="D63" s="433">
        <v>43668</v>
      </c>
      <c r="E63" s="433">
        <v>43675</v>
      </c>
      <c r="F63" s="433">
        <v>43774</v>
      </c>
      <c r="G63" s="433">
        <v>43838</v>
      </c>
      <c r="H63" s="433" t="s">
        <v>843</v>
      </c>
      <c r="I63" s="432">
        <v>44375</v>
      </c>
      <c r="J63" s="431">
        <v>14850</v>
      </c>
      <c r="K63" s="3713"/>
      <c r="L63" s="3713"/>
    </row>
    <row r="64" spans="1:18" hidden="1">
      <c r="A64" s="437" t="s">
        <v>833</v>
      </c>
      <c r="B64" s="434">
        <v>389</v>
      </c>
      <c r="C64" s="93"/>
      <c r="D64" s="430"/>
      <c r="E64" s="428"/>
      <c r="F64" s="428"/>
      <c r="G64" s="433"/>
      <c r="H64" s="42"/>
      <c r="I64" s="426"/>
      <c r="J64" s="431"/>
      <c r="K64" s="3713"/>
      <c r="L64" s="3713"/>
    </row>
    <row r="65" spans="1:12" hidden="1">
      <c r="A65" s="437" t="s">
        <v>833</v>
      </c>
      <c r="B65" s="434">
        <v>391</v>
      </c>
      <c r="C65" s="93"/>
      <c r="D65" s="430">
        <v>43801</v>
      </c>
      <c r="E65" s="428">
        <v>43815</v>
      </c>
      <c r="F65" s="428">
        <v>43885</v>
      </c>
      <c r="G65" s="433">
        <v>43978</v>
      </c>
      <c r="H65" s="3880">
        <v>44376</v>
      </c>
      <c r="I65" s="427">
        <v>44432</v>
      </c>
      <c r="J65" s="431">
        <v>62800</v>
      </c>
      <c r="K65" s="3713"/>
      <c r="L65" s="3713"/>
    </row>
    <row r="66" spans="1:12" hidden="1">
      <c r="A66" s="437" t="s">
        <v>844</v>
      </c>
      <c r="B66" s="434">
        <v>392</v>
      </c>
      <c r="C66" s="93"/>
      <c r="D66" s="430">
        <v>43493</v>
      </c>
      <c r="E66" s="428">
        <v>43495</v>
      </c>
      <c r="F66" s="428">
        <v>43580</v>
      </c>
      <c r="G66" s="433" t="s">
        <v>177</v>
      </c>
      <c r="H66" s="61" t="s">
        <v>177</v>
      </c>
      <c r="I66" s="426" t="s">
        <v>177</v>
      </c>
      <c r="J66" s="431">
        <v>625</v>
      </c>
      <c r="K66" s="3713"/>
      <c r="L66" s="3713"/>
    </row>
    <row r="67" spans="1:12" hidden="1">
      <c r="A67" s="437" t="s">
        <v>834</v>
      </c>
      <c r="B67" s="434">
        <v>450</v>
      </c>
      <c r="C67" s="93"/>
      <c r="D67" s="430">
        <v>43591</v>
      </c>
      <c r="E67" s="428">
        <v>43612</v>
      </c>
      <c r="F67" s="428" t="s">
        <v>177</v>
      </c>
      <c r="G67" s="433" t="s">
        <v>177</v>
      </c>
      <c r="H67" s="61" t="s">
        <v>177</v>
      </c>
      <c r="I67" s="426" t="s">
        <v>177</v>
      </c>
      <c r="J67" s="431">
        <v>60000</v>
      </c>
      <c r="K67" s="3713"/>
      <c r="L67" s="3713"/>
    </row>
    <row r="68" spans="1:12" hidden="1">
      <c r="A68" s="437" t="s">
        <v>188</v>
      </c>
      <c r="B68" s="434">
        <v>451</v>
      </c>
      <c r="C68" s="93"/>
      <c r="D68" s="430">
        <v>43683</v>
      </c>
      <c r="E68" s="428">
        <v>43685</v>
      </c>
      <c r="F68" s="428" t="s">
        <v>177</v>
      </c>
      <c r="G68" s="433" t="s">
        <v>177</v>
      </c>
      <c r="H68" s="61" t="s">
        <v>177</v>
      </c>
      <c r="I68" s="426" t="s">
        <v>177</v>
      </c>
      <c r="J68" s="431">
        <v>5000</v>
      </c>
      <c r="K68" s="3713"/>
      <c r="L68" s="3713"/>
    </row>
    <row r="69" spans="1:12" hidden="1">
      <c r="A69" s="437"/>
      <c r="B69" s="434"/>
      <c r="C69" s="93"/>
      <c r="D69" s="433"/>
      <c r="E69" s="433"/>
      <c r="F69" s="433"/>
      <c r="G69" s="433"/>
      <c r="H69" s="433"/>
      <c r="I69" s="432"/>
      <c r="J69" s="431"/>
      <c r="K69" s="3713"/>
      <c r="L69" s="3713"/>
    </row>
    <row r="70" spans="1:12" hidden="1">
      <c r="A70" s="450" t="s">
        <v>835</v>
      </c>
      <c r="B70" s="443">
        <v>340</v>
      </c>
      <c r="C70" s="3878"/>
      <c r="D70" s="442">
        <v>43781</v>
      </c>
      <c r="E70" s="442">
        <v>43797</v>
      </c>
      <c r="F70" s="442" t="s">
        <v>845</v>
      </c>
      <c r="G70" s="442">
        <v>44343</v>
      </c>
      <c r="H70" s="442">
        <v>44376</v>
      </c>
      <c r="I70" s="436">
        <v>44432</v>
      </c>
      <c r="J70" s="435">
        <v>32500</v>
      </c>
      <c r="K70" s="3713"/>
      <c r="L70" s="3713"/>
    </row>
    <row r="71" spans="1:12" hidden="1">
      <c r="A71" s="451" t="s">
        <v>835</v>
      </c>
      <c r="B71" s="434">
        <v>341</v>
      </c>
      <c r="C71" s="93"/>
      <c r="D71" s="433"/>
      <c r="E71" s="433"/>
      <c r="F71" s="433"/>
      <c r="G71" s="433"/>
      <c r="H71" s="433"/>
      <c r="I71" s="432"/>
      <c r="J71" s="431"/>
      <c r="K71" s="3713"/>
      <c r="L71" s="3713"/>
    </row>
    <row r="72" spans="1:12" hidden="1">
      <c r="A72" s="451" t="s">
        <v>836</v>
      </c>
      <c r="B72" s="434">
        <v>322</v>
      </c>
      <c r="C72" s="93"/>
      <c r="D72" s="433">
        <v>43745</v>
      </c>
      <c r="E72" s="433">
        <v>43752</v>
      </c>
      <c r="F72" s="433">
        <v>43839</v>
      </c>
      <c r="G72" s="433">
        <v>43885</v>
      </c>
      <c r="H72" s="433">
        <v>43978</v>
      </c>
      <c r="I72" s="432">
        <v>44377</v>
      </c>
      <c r="J72" s="431">
        <v>23129</v>
      </c>
      <c r="K72" s="3713"/>
      <c r="L72" s="3713"/>
    </row>
    <row r="73" spans="1:12" hidden="1">
      <c r="A73" s="451" t="s">
        <v>837</v>
      </c>
      <c r="B73" s="434">
        <v>323</v>
      </c>
      <c r="C73" s="93"/>
      <c r="D73" s="433"/>
      <c r="E73" s="433"/>
      <c r="F73" s="433"/>
      <c r="G73" s="433"/>
      <c r="H73" s="433"/>
      <c r="I73" s="432"/>
      <c r="J73" s="431"/>
      <c r="K73" s="3713"/>
      <c r="L73" s="3713"/>
    </row>
    <row r="74" spans="1:12" hidden="1">
      <c r="A74" s="451" t="s">
        <v>136</v>
      </c>
      <c r="B74" s="434">
        <v>305</v>
      </c>
      <c r="C74" s="93"/>
      <c r="D74" s="433">
        <v>43668</v>
      </c>
      <c r="E74" s="433">
        <v>43675</v>
      </c>
      <c r="F74" s="433">
        <v>43774</v>
      </c>
      <c r="G74" s="433">
        <v>43839</v>
      </c>
      <c r="H74" s="433">
        <v>43885</v>
      </c>
      <c r="I74" s="432">
        <v>44377</v>
      </c>
      <c r="J74" s="431">
        <v>14743.75</v>
      </c>
      <c r="K74" s="3713"/>
      <c r="L74" s="3713"/>
    </row>
    <row r="75" spans="1:12" hidden="1">
      <c r="A75" s="451" t="s">
        <v>846</v>
      </c>
      <c r="B75" s="434">
        <v>306</v>
      </c>
      <c r="C75" s="93"/>
      <c r="D75" s="433">
        <v>43493</v>
      </c>
      <c r="E75" s="433">
        <v>43495</v>
      </c>
      <c r="F75" s="433" t="s">
        <v>177</v>
      </c>
      <c r="G75" s="433" t="s">
        <v>177</v>
      </c>
      <c r="H75" s="433" t="s">
        <v>177</v>
      </c>
      <c r="I75" s="432" t="s">
        <v>177</v>
      </c>
      <c r="J75" s="431">
        <v>150</v>
      </c>
      <c r="K75" s="3713"/>
      <c r="L75" s="3713"/>
    </row>
    <row r="76" spans="1:12" hidden="1">
      <c r="A76" s="451" t="s">
        <v>838</v>
      </c>
      <c r="B76" s="434">
        <v>301</v>
      </c>
      <c r="C76" s="93"/>
      <c r="D76" s="433">
        <v>43627</v>
      </c>
      <c r="E76" s="433">
        <v>43654</v>
      </c>
      <c r="F76" s="433">
        <v>43732</v>
      </c>
      <c r="G76" s="433">
        <v>43774</v>
      </c>
      <c r="H76" s="433">
        <v>43850</v>
      </c>
      <c r="I76" s="432">
        <v>43885</v>
      </c>
      <c r="J76" s="431">
        <v>117180</v>
      </c>
      <c r="K76" s="3713"/>
      <c r="L76" s="3713"/>
    </row>
    <row r="77" spans="1:12" hidden="1">
      <c r="A77" s="451" t="s">
        <v>847</v>
      </c>
      <c r="B77" s="434">
        <v>309</v>
      </c>
      <c r="C77" s="93"/>
      <c r="D77" s="433">
        <v>43493</v>
      </c>
      <c r="E77" s="433">
        <v>43495</v>
      </c>
      <c r="F77" s="433" t="s">
        <v>177</v>
      </c>
      <c r="G77" s="433" t="s">
        <v>177</v>
      </c>
      <c r="H77" s="433" t="s">
        <v>177</v>
      </c>
      <c r="I77" s="432" t="s">
        <v>177</v>
      </c>
      <c r="J77" s="431">
        <v>5112</v>
      </c>
      <c r="K77" s="3713"/>
      <c r="L77" s="3713"/>
    </row>
    <row r="78" spans="1:12" hidden="1">
      <c r="A78" s="451" t="s">
        <v>840</v>
      </c>
      <c r="B78" s="434">
        <v>302</v>
      </c>
      <c r="C78" s="93"/>
      <c r="D78" s="433">
        <v>43654</v>
      </c>
      <c r="E78" s="433">
        <v>43675</v>
      </c>
      <c r="F78" s="433" t="s">
        <v>177</v>
      </c>
      <c r="G78" s="433" t="s">
        <v>177</v>
      </c>
      <c r="H78" s="433" t="s">
        <v>177</v>
      </c>
      <c r="I78" s="432" t="s">
        <v>177</v>
      </c>
      <c r="J78" s="431">
        <v>1736</v>
      </c>
      <c r="K78" s="3713"/>
      <c r="L78" s="3713"/>
    </row>
    <row r="79" spans="1:12" hidden="1">
      <c r="A79" s="451" t="s">
        <v>840</v>
      </c>
      <c r="B79" s="434"/>
      <c r="C79" s="93"/>
      <c r="D79" s="433"/>
      <c r="E79" s="433"/>
      <c r="F79" s="433"/>
      <c r="G79" s="433"/>
      <c r="H79" s="433"/>
      <c r="I79" s="432"/>
      <c r="J79" s="431"/>
      <c r="K79" s="3713"/>
      <c r="L79" s="3713"/>
    </row>
    <row r="80" spans="1:12" ht="15.75" hidden="1" thickBot="1">
      <c r="A80" s="452" t="s">
        <v>841</v>
      </c>
      <c r="B80" s="425"/>
      <c r="C80" s="3879"/>
      <c r="D80" s="424"/>
      <c r="E80" s="424"/>
      <c r="F80" s="424"/>
      <c r="G80" s="424"/>
      <c r="H80" s="424"/>
      <c r="I80" s="423"/>
      <c r="J80" s="422"/>
      <c r="K80" s="3713"/>
      <c r="L80" s="3713"/>
    </row>
    <row r="81" spans="1:12" ht="15.75" hidden="1" thickBot="1">
      <c r="A81" s="453"/>
      <c r="B81" s="420"/>
      <c r="C81" s="418"/>
      <c r="D81" s="419"/>
      <c r="E81" s="419"/>
      <c r="F81" s="419"/>
      <c r="G81" s="419"/>
      <c r="H81" s="419"/>
      <c r="I81" s="418"/>
      <c r="J81" s="422">
        <f>SUM(J45:J80)</f>
        <v>1324198.06</v>
      </c>
      <c r="K81" s="3713"/>
      <c r="L81" s="3713"/>
    </row>
    <row r="82" spans="1:12" hidden="1">
      <c r="A82" s="42"/>
      <c r="B82" s="42"/>
      <c r="C82" s="42"/>
      <c r="D82" s="42"/>
      <c r="E82" s="42"/>
      <c r="F82" s="42"/>
      <c r="G82" s="42"/>
      <c r="H82" s="42"/>
      <c r="I82" s="42"/>
      <c r="J82" s="42"/>
      <c r="K82" s="42"/>
      <c r="L82" s="42"/>
    </row>
    <row r="83" spans="1:12" ht="15.75" hidden="1">
      <c r="A83" s="441" t="s">
        <v>814</v>
      </c>
      <c r="B83" s="441">
        <v>2020</v>
      </c>
      <c r="C83" s="441"/>
      <c r="D83" s="42"/>
      <c r="E83" s="42"/>
      <c r="F83" s="42"/>
      <c r="G83" s="42"/>
      <c r="H83" s="42"/>
      <c r="I83" s="42"/>
      <c r="J83" s="42"/>
      <c r="K83" s="42"/>
      <c r="L83" s="42"/>
    </row>
    <row r="84" spans="1:12" ht="15.75" hidden="1" thickBot="1">
      <c r="A84" s="42"/>
      <c r="B84" s="42"/>
      <c r="C84" s="42"/>
      <c r="D84" s="42"/>
      <c r="E84" s="42"/>
      <c r="F84" s="42"/>
      <c r="G84" s="42"/>
      <c r="H84" s="42"/>
      <c r="I84" s="440"/>
      <c r="J84" s="227"/>
      <c r="K84" s="227"/>
      <c r="L84" s="227"/>
    </row>
    <row r="85" spans="1:12" ht="21" hidden="1" customHeight="1" thickTop="1" thickBot="1">
      <c r="A85" s="439"/>
      <c r="B85" s="444" t="s">
        <v>815</v>
      </c>
      <c r="C85" s="445"/>
      <c r="D85" s="445" t="s">
        <v>665</v>
      </c>
      <c r="E85" s="445" t="s">
        <v>816</v>
      </c>
      <c r="F85" s="445" t="s">
        <v>817</v>
      </c>
      <c r="G85" s="445" t="s">
        <v>818</v>
      </c>
      <c r="H85" s="445" t="s">
        <v>819</v>
      </c>
      <c r="I85" s="445" t="s">
        <v>820</v>
      </c>
      <c r="J85" s="446" t="s">
        <v>665</v>
      </c>
      <c r="K85" s="4884" t="s">
        <v>217</v>
      </c>
      <c r="L85" s="4885"/>
    </row>
    <row r="86" spans="1:12" hidden="1">
      <c r="A86" s="4005" t="s">
        <v>821</v>
      </c>
      <c r="B86" s="3990">
        <v>312</v>
      </c>
      <c r="C86" s="4018"/>
      <c r="D86" s="4019">
        <v>44319</v>
      </c>
      <c r="E86" s="4019">
        <v>44320</v>
      </c>
      <c r="F86" s="4019">
        <v>44433</v>
      </c>
      <c r="G86" s="4019">
        <v>44108</v>
      </c>
      <c r="H86" s="4019">
        <v>44587</v>
      </c>
      <c r="I86" s="4094">
        <v>44658</v>
      </c>
      <c r="J86" s="4095">
        <v>558699</v>
      </c>
      <c r="K86" s="4308"/>
      <c r="L86" s="4308"/>
    </row>
    <row r="87" spans="1:12" hidden="1">
      <c r="A87" s="4005" t="s">
        <v>823</v>
      </c>
      <c r="B87" s="3999">
        <v>313</v>
      </c>
      <c r="C87" s="3995"/>
      <c r="D87" s="4007">
        <v>44138</v>
      </c>
      <c r="E87" s="4007">
        <v>44139</v>
      </c>
      <c r="F87" s="4007" t="s">
        <v>177</v>
      </c>
      <c r="G87" s="4007" t="s">
        <v>177</v>
      </c>
      <c r="H87" s="4007" t="s">
        <v>177</v>
      </c>
      <c r="I87" s="4008" t="s">
        <v>177</v>
      </c>
      <c r="J87" s="4009">
        <v>1120</v>
      </c>
      <c r="K87" s="4308"/>
      <c r="L87" s="4308"/>
    </row>
    <row r="88" spans="1:12" hidden="1">
      <c r="A88" s="4005" t="s">
        <v>824</v>
      </c>
      <c r="B88" s="3999">
        <v>311</v>
      </c>
      <c r="C88" s="3995"/>
      <c r="D88" s="4007">
        <v>44249</v>
      </c>
      <c r="E88" s="4007">
        <v>44256</v>
      </c>
      <c r="F88" s="4007">
        <v>44344</v>
      </c>
      <c r="G88" s="4007">
        <v>44434</v>
      </c>
      <c r="H88" s="4007">
        <v>44592</v>
      </c>
      <c r="I88" s="4008">
        <v>44658</v>
      </c>
      <c r="J88" s="4009">
        <v>229280</v>
      </c>
      <c r="K88" s="4308"/>
      <c r="L88" s="4308"/>
    </row>
    <row r="89" spans="1:12" hidden="1">
      <c r="A89" s="4005" t="s">
        <v>142</v>
      </c>
      <c r="B89" s="3999">
        <v>333</v>
      </c>
      <c r="C89" s="3995"/>
      <c r="D89" s="4007">
        <v>43986</v>
      </c>
      <c r="E89" s="4007">
        <v>44004</v>
      </c>
      <c r="F89" s="4007" t="s">
        <v>177</v>
      </c>
      <c r="G89" s="4007" t="s">
        <v>177</v>
      </c>
      <c r="H89" s="4007" t="s">
        <v>177</v>
      </c>
      <c r="I89" s="4008" t="s">
        <v>177</v>
      </c>
      <c r="J89" s="4009">
        <v>39050</v>
      </c>
      <c r="K89" s="4308"/>
      <c r="L89" s="4308"/>
    </row>
    <row r="90" spans="1:12" hidden="1">
      <c r="A90" s="4314" t="s">
        <v>7076</v>
      </c>
      <c r="B90" s="3999">
        <v>370</v>
      </c>
      <c r="C90" s="3995"/>
      <c r="D90" s="4007">
        <v>43984</v>
      </c>
      <c r="E90" s="4007">
        <v>44130</v>
      </c>
      <c r="F90" s="4007">
        <v>44344</v>
      </c>
      <c r="G90" s="4007">
        <v>44390</v>
      </c>
      <c r="H90" s="4007">
        <v>44438</v>
      </c>
      <c r="I90" s="4303"/>
      <c r="J90" s="4304">
        <v>29225</v>
      </c>
      <c r="K90" s="4305" t="s">
        <v>7829</v>
      </c>
      <c r="L90" s="4309"/>
    </row>
    <row r="91" spans="1:12" hidden="1">
      <c r="A91" s="4314" t="s">
        <v>827</v>
      </c>
      <c r="B91" s="3999">
        <v>371</v>
      </c>
      <c r="C91" s="3995"/>
      <c r="D91" s="4007">
        <v>44151</v>
      </c>
      <c r="E91" s="4007">
        <v>44153</v>
      </c>
      <c r="F91" s="4007">
        <v>44344</v>
      </c>
      <c r="G91" s="4007">
        <v>44390</v>
      </c>
      <c r="H91" s="4007">
        <v>44438</v>
      </c>
      <c r="I91" s="4303"/>
      <c r="J91" s="4304">
        <v>22617.35</v>
      </c>
      <c r="K91" s="4305" t="s">
        <v>7829</v>
      </c>
      <c r="L91" s="4309"/>
    </row>
    <row r="92" spans="1:12" hidden="1">
      <c r="A92" s="4314" t="s">
        <v>828</v>
      </c>
      <c r="B92" s="3999">
        <v>372</v>
      </c>
      <c r="C92" s="3995"/>
      <c r="D92" s="4007">
        <v>44151</v>
      </c>
      <c r="E92" s="4007">
        <v>44153</v>
      </c>
      <c r="F92" s="4007">
        <v>44344</v>
      </c>
      <c r="G92" s="4007">
        <v>44390</v>
      </c>
      <c r="H92" s="4007">
        <v>44438</v>
      </c>
      <c r="I92" s="4303"/>
      <c r="J92" s="4304">
        <v>15508.3</v>
      </c>
      <c r="K92" s="4305" t="s">
        <v>7829</v>
      </c>
      <c r="L92" s="4309"/>
    </row>
    <row r="93" spans="1:12" hidden="1">
      <c r="A93" s="4314" t="s">
        <v>829</v>
      </c>
      <c r="B93" s="3999">
        <v>373</v>
      </c>
      <c r="C93" s="3995"/>
      <c r="D93" s="4007">
        <v>44256</v>
      </c>
      <c r="E93" s="4007">
        <v>44256</v>
      </c>
      <c r="F93" s="4007">
        <v>44344</v>
      </c>
      <c r="G93" s="4007">
        <v>44390</v>
      </c>
      <c r="H93" s="4007">
        <v>44438</v>
      </c>
      <c r="I93" s="4303"/>
      <c r="J93" s="4304">
        <v>19897.900000000001</v>
      </c>
      <c r="K93" s="4305" t="s">
        <v>7829</v>
      </c>
      <c r="L93" s="4309"/>
    </row>
    <row r="94" spans="1:12" hidden="1">
      <c r="A94" s="4314" t="s">
        <v>7204</v>
      </c>
      <c r="B94" s="3999">
        <v>374</v>
      </c>
      <c r="C94" s="3995"/>
      <c r="D94" s="4007">
        <v>44256</v>
      </c>
      <c r="E94" s="4007">
        <v>44256</v>
      </c>
      <c r="F94" s="4007">
        <v>44344</v>
      </c>
      <c r="G94" s="4007">
        <v>44390</v>
      </c>
      <c r="H94" s="4007">
        <v>44438</v>
      </c>
      <c r="I94" s="4303"/>
      <c r="J94" s="4304">
        <v>20268.55</v>
      </c>
      <c r="K94" s="4305" t="s">
        <v>7829</v>
      </c>
      <c r="L94" s="4309"/>
    </row>
    <row r="95" spans="1:12" hidden="1">
      <c r="A95" s="4005" t="s">
        <v>830</v>
      </c>
      <c r="B95" s="3999">
        <v>352</v>
      </c>
      <c r="C95" s="3995"/>
      <c r="D95" s="4007">
        <v>44295</v>
      </c>
      <c r="E95" s="4007">
        <v>44298</v>
      </c>
      <c r="F95" s="4007">
        <v>44390</v>
      </c>
      <c r="G95" s="4007" t="s">
        <v>177</v>
      </c>
      <c r="H95" s="4007" t="s">
        <v>177</v>
      </c>
      <c r="I95" s="4008" t="s">
        <v>177</v>
      </c>
      <c r="J95" s="4009">
        <v>12839.35</v>
      </c>
      <c r="K95" s="4308"/>
      <c r="L95" s="4308"/>
    </row>
    <row r="96" spans="1:12" hidden="1">
      <c r="A96" s="4005" t="s">
        <v>831</v>
      </c>
      <c r="B96" s="3999">
        <v>360</v>
      </c>
      <c r="C96" s="3995"/>
      <c r="D96" s="4007">
        <v>44295</v>
      </c>
      <c r="E96" s="4020">
        <v>44298</v>
      </c>
      <c r="F96" s="4007">
        <v>44390</v>
      </c>
      <c r="G96" s="4007">
        <v>44438</v>
      </c>
      <c r="H96" s="4007">
        <v>44473</v>
      </c>
      <c r="I96" s="4008"/>
      <c r="J96" s="4009">
        <v>36442.980000000003</v>
      </c>
      <c r="K96" s="4308"/>
      <c r="L96" s="4308"/>
    </row>
    <row r="97" spans="1:14" hidden="1">
      <c r="A97" s="4005" t="s">
        <v>831</v>
      </c>
      <c r="B97" s="3999">
        <v>362</v>
      </c>
      <c r="C97" s="3995"/>
      <c r="D97" s="4007">
        <v>44295</v>
      </c>
      <c r="E97" s="4020">
        <v>44298</v>
      </c>
      <c r="F97" s="4007">
        <v>44390</v>
      </c>
      <c r="G97" s="4007">
        <v>44607</v>
      </c>
      <c r="H97" s="4007"/>
      <c r="I97" s="4008"/>
      <c r="J97" s="4009">
        <v>580.35</v>
      </c>
      <c r="K97" s="4308"/>
      <c r="L97" s="4308"/>
    </row>
    <row r="98" spans="1:14" hidden="1">
      <c r="A98" s="4314" t="s">
        <v>152</v>
      </c>
      <c r="B98" s="3999">
        <v>390</v>
      </c>
      <c r="C98" s="3995"/>
      <c r="D98" s="4007">
        <v>44347</v>
      </c>
      <c r="E98" s="4007">
        <v>44350</v>
      </c>
      <c r="F98" s="4007">
        <v>44587</v>
      </c>
      <c r="G98" s="4007">
        <v>44621</v>
      </c>
      <c r="H98" s="4007">
        <v>44658</v>
      </c>
      <c r="I98" s="4008">
        <v>44837</v>
      </c>
      <c r="J98" s="4304">
        <v>96500.01</v>
      </c>
      <c r="K98" s="4305" t="s">
        <v>7768</v>
      </c>
      <c r="L98" s="4305" t="s">
        <v>7830</v>
      </c>
    </row>
    <row r="99" spans="1:14" hidden="1">
      <c r="A99" s="4005" t="s">
        <v>833</v>
      </c>
      <c r="B99" s="3999">
        <v>389</v>
      </c>
      <c r="C99" s="3995"/>
      <c r="D99" s="4010" t="s">
        <v>177</v>
      </c>
      <c r="E99" s="4011" t="s">
        <v>177</v>
      </c>
      <c r="F99" s="4015" t="s">
        <v>177</v>
      </c>
      <c r="G99" s="4007" t="s">
        <v>177</v>
      </c>
      <c r="H99" s="4016" t="s">
        <v>177</v>
      </c>
      <c r="I99" s="4017" t="s">
        <v>177</v>
      </c>
      <c r="J99" s="4009"/>
      <c r="K99" s="4308"/>
      <c r="L99" s="4308"/>
    </row>
    <row r="100" spans="1:14" hidden="1">
      <c r="A100" s="4005" t="s">
        <v>833</v>
      </c>
      <c r="B100" s="3999">
        <v>391</v>
      </c>
      <c r="C100" s="3995"/>
      <c r="D100" s="4010" t="s">
        <v>177</v>
      </c>
      <c r="E100" s="4011" t="s">
        <v>177</v>
      </c>
      <c r="F100" s="4015" t="s">
        <v>177</v>
      </c>
      <c r="G100" s="4007" t="s">
        <v>177</v>
      </c>
      <c r="H100" s="4016" t="s">
        <v>177</v>
      </c>
      <c r="I100" s="4017" t="s">
        <v>177</v>
      </c>
      <c r="J100" s="4009"/>
      <c r="K100" s="4308"/>
      <c r="L100" s="4308"/>
    </row>
    <row r="101" spans="1:14" hidden="1">
      <c r="A101" s="4005" t="s">
        <v>844</v>
      </c>
      <c r="B101" s="3999">
        <v>392</v>
      </c>
      <c r="C101" s="3995"/>
      <c r="D101" s="4010" t="s">
        <v>177</v>
      </c>
      <c r="E101" s="4011" t="s">
        <v>177</v>
      </c>
      <c r="F101" s="4015" t="s">
        <v>177</v>
      </c>
      <c r="G101" s="4007" t="s">
        <v>177</v>
      </c>
      <c r="H101" s="4016" t="s">
        <v>177</v>
      </c>
      <c r="I101" s="4017" t="s">
        <v>177</v>
      </c>
      <c r="J101" s="4009"/>
      <c r="K101" s="4308"/>
      <c r="L101" s="4308"/>
    </row>
    <row r="102" spans="1:14" hidden="1">
      <c r="A102" s="4005" t="s">
        <v>834</v>
      </c>
      <c r="B102" s="3999">
        <v>450</v>
      </c>
      <c r="C102" s="3995"/>
      <c r="D102" s="4010">
        <v>43986</v>
      </c>
      <c r="E102" s="4011">
        <v>54961</v>
      </c>
      <c r="F102" s="4015" t="s">
        <v>177</v>
      </c>
      <c r="G102" s="4007" t="s">
        <v>177</v>
      </c>
      <c r="H102" s="4016" t="s">
        <v>177</v>
      </c>
      <c r="I102" s="4017" t="s">
        <v>177</v>
      </c>
      <c r="J102" s="4009">
        <v>55000</v>
      </c>
      <c r="K102" s="4308"/>
      <c r="L102" s="4308"/>
    </row>
    <row r="103" spans="1:14" hidden="1">
      <c r="A103" s="4005"/>
      <c r="B103" s="3999"/>
      <c r="C103" s="3995"/>
      <c r="D103" s="4007">
        <v>43984</v>
      </c>
      <c r="E103" s="4007">
        <v>43993</v>
      </c>
      <c r="F103" s="4007" t="s">
        <v>177</v>
      </c>
      <c r="G103" s="4007" t="s">
        <v>177</v>
      </c>
      <c r="H103" s="4007" t="s">
        <v>177</v>
      </c>
      <c r="I103" s="4008" t="s">
        <v>177</v>
      </c>
      <c r="J103" s="4009">
        <v>564.75</v>
      </c>
      <c r="K103" s="4308"/>
      <c r="L103" s="4308"/>
    </row>
    <row r="104" spans="1:14" hidden="1">
      <c r="A104" s="4314" t="s">
        <v>835</v>
      </c>
      <c r="B104" s="3999">
        <v>340</v>
      </c>
      <c r="C104" s="3995"/>
      <c r="D104" s="4007">
        <v>44341</v>
      </c>
      <c r="E104" s="4007">
        <v>44343</v>
      </c>
      <c r="F104" s="4007">
        <v>44438</v>
      </c>
      <c r="G104" s="4007">
        <v>44587</v>
      </c>
      <c r="H104" s="4007">
        <v>44608</v>
      </c>
      <c r="I104" s="4008">
        <v>44643</v>
      </c>
      <c r="J104" s="4304">
        <v>36500</v>
      </c>
      <c r="K104" s="4305" t="s">
        <v>7769</v>
      </c>
      <c r="L104" s="4312" t="s">
        <v>8116</v>
      </c>
      <c r="N104" s="4295" t="s">
        <v>8105</v>
      </c>
    </row>
    <row r="105" spans="1:14" hidden="1">
      <c r="A105" s="4005" t="s">
        <v>7325</v>
      </c>
      <c r="B105" s="3999">
        <v>346</v>
      </c>
      <c r="C105" s="3995"/>
      <c r="D105" s="4007">
        <v>43976</v>
      </c>
      <c r="E105" s="4007">
        <v>44343</v>
      </c>
      <c r="F105" s="4007">
        <v>44438</v>
      </c>
      <c r="G105" s="4007">
        <v>44587</v>
      </c>
      <c r="H105" s="4007">
        <v>44608</v>
      </c>
      <c r="I105" s="4008">
        <v>44278</v>
      </c>
      <c r="J105" s="4009">
        <v>24100</v>
      </c>
      <c r="K105" s="4313" t="s">
        <v>7818</v>
      </c>
      <c r="L105" s="4308"/>
    </row>
    <row r="106" spans="1:14" hidden="1">
      <c r="A106" s="4005" t="s">
        <v>848</v>
      </c>
      <c r="B106" s="3999">
        <v>345</v>
      </c>
      <c r="C106" s="3995"/>
      <c r="D106" s="4007">
        <v>43871</v>
      </c>
      <c r="E106" s="4007">
        <v>43881</v>
      </c>
      <c r="F106" s="4007">
        <v>44390</v>
      </c>
      <c r="G106" s="4007" t="s">
        <v>7821</v>
      </c>
      <c r="H106" s="4007">
        <v>44739</v>
      </c>
      <c r="I106" s="4008">
        <v>44837</v>
      </c>
      <c r="J106" s="4009">
        <v>21500</v>
      </c>
      <c r="K106" s="4308"/>
      <c r="L106" s="4308"/>
    </row>
    <row r="107" spans="1:14" hidden="1">
      <c r="A107" s="4005" t="s">
        <v>836</v>
      </c>
      <c r="B107" s="3999">
        <v>322</v>
      </c>
      <c r="C107" s="3995"/>
      <c r="D107" s="4007" t="s">
        <v>7205</v>
      </c>
      <c r="E107" s="4007" t="s">
        <v>177</v>
      </c>
      <c r="F107" s="4007" t="s">
        <v>177</v>
      </c>
      <c r="G107" s="4007" t="s">
        <v>177</v>
      </c>
      <c r="H107" s="4007" t="s">
        <v>177</v>
      </c>
      <c r="I107" s="4008" t="s">
        <v>177</v>
      </c>
      <c r="J107" s="4009"/>
      <c r="K107" s="4308"/>
      <c r="L107" s="4308"/>
    </row>
    <row r="108" spans="1:14" hidden="1">
      <c r="A108" s="4005" t="s">
        <v>136</v>
      </c>
      <c r="B108" s="3999">
        <v>305</v>
      </c>
      <c r="C108" s="3995"/>
      <c r="D108" s="4007" t="s">
        <v>7205</v>
      </c>
      <c r="E108" s="4007" t="s">
        <v>177</v>
      </c>
      <c r="F108" s="4007" t="s">
        <v>177</v>
      </c>
      <c r="G108" s="4007" t="s">
        <v>177</v>
      </c>
      <c r="H108" s="4007" t="s">
        <v>177</v>
      </c>
      <c r="I108" s="4008" t="s">
        <v>177</v>
      </c>
      <c r="J108" s="4009"/>
      <c r="K108" s="4308"/>
      <c r="L108" s="4308"/>
    </row>
    <row r="109" spans="1:14" hidden="1">
      <c r="A109" s="4005" t="s">
        <v>846</v>
      </c>
      <c r="B109" s="3999">
        <v>306</v>
      </c>
      <c r="C109" s="3995"/>
      <c r="D109" s="4007">
        <v>43895</v>
      </c>
      <c r="E109" s="4007">
        <v>44004</v>
      </c>
      <c r="F109" s="4007" t="s">
        <v>177</v>
      </c>
      <c r="G109" s="4007" t="s">
        <v>177</v>
      </c>
      <c r="H109" s="4007" t="s">
        <v>177</v>
      </c>
      <c r="I109" s="4008" t="s">
        <v>177</v>
      </c>
      <c r="J109" s="4009">
        <v>868</v>
      </c>
      <c r="K109" s="4308"/>
      <c r="L109" s="4308"/>
    </row>
    <row r="110" spans="1:14" hidden="1">
      <c r="A110" s="4005" t="s">
        <v>838</v>
      </c>
      <c r="B110" s="3999">
        <v>301</v>
      </c>
      <c r="C110" s="3995"/>
      <c r="D110" s="4007">
        <v>43986</v>
      </c>
      <c r="E110" s="4007">
        <v>44004</v>
      </c>
      <c r="F110" s="4007">
        <v>44251</v>
      </c>
      <c r="G110" s="4007">
        <v>44390</v>
      </c>
      <c r="H110" s="4007">
        <v>44438</v>
      </c>
      <c r="I110" s="4008">
        <v>44227</v>
      </c>
      <c r="J110" s="4009">
        <v>111872</v>
      </c>
      <c r="K110" s="4308"/>
      <c r="L110" s="4308"/>
    </row>
    <row r="111" spans="1:14" hidden="1">
      <c r="A111" s="4005" t="s">
        <v>849</v>
      </c>
      <c r="B111" s="3999">
        <v>303</v>
      </c>
      <c r="C111" s="3995"/>
      <c r="D111" s="4007">
        <v>43878</v>
      </c>
      <c r="E111" s="4007">
        <v>43881</v>
      </c>
      <c r="F111" s="4007" t="s">
        <v>177</v>
      </c>
      <c r="G111" s="4007" t="s">
        <v>177</v>
      </c>
      <c r="H111" s="4007" t="s">
        <v>177</v>
      </c>
      <c r="I111" s="4008" t="s">
        <v>177</v>
      </c>
      <c r="J111" s="4009">
        <v>10416</v>
      </c>
      <c r="K111" s="4308"/>
      <c r="L111" s="4308"/>
    </row>
    <row r="112" spans="1:14" ht="15.75" hidden="1" thickBot="1">
      <c r="A112" s="4005" t="s">
        <v>150</v>
      </c>
      <c r="B112" s="3999">
        <v>304</v>
      </c>
      <c r="C112" s="3995"/>
      <c r="D112" s="4007">
        <v>43878</v>
      </c>
      <c r="E112" s="4007">
        <v>43881</v>
      </c>
      <c r="F112" s="4007" t="s">
        <v>177</v>
      </c>
      <c r="G112" s="4007" t="s">
        <v>177</v>
      </c>
      <c r="H112" s="4007" t="s">
        <v>177</v>
      </c>
      <c r="I112" s="4008" t="s">
        <v>177</v>
      </c>
      <c r="J112" s="4009">
        <v>867.98</v>
      </c>
      <c r="K112" s="4308"/>
      <c r="L112" s="4308"/>
    </row>
    <row r="113" spans="1:12" ht="16.5" hidden="1" thickTop="1" thickBot="1">
      <c r="A113" s="421"/>
      <c r="B113" s="420"/>
      <c r="C113" s="418"/>
      <c r="D113" s="1610"/>
      <c r="E113" s="1610"/>
      <c r="F113" s="1610"/>
      <c r="G113" s="1610"/>
      <c r="H113" s="1610"/>
      <c r="I113" s="1611"/>
      <c r="J113" s="1612">
        <f>SUM(J86:J112)</f>
        <v>1343717.52</v>
      </c>
      <c r="K113" s="4310"/>
      <c r="L113" s="4310"/>
    </row>
    <row r="114" spans="1:12" hidden="1"/>
    <row r="115" spans="1:12" ht="15.75" hidden="1">
      <c r="A115" s="441" t="s">
        <v>814</v>
      </c>
      <c r="B115" s="441">
        <v>2021</v>
      </c>
      <c r="C115" s="441"/>
      <c r="D115" s="42"/>
      <c r="E115" s="42"/>
      <c r="F115" s="42"/>
      <c r="G115" s="42"/>
      <c r="H115" s="42"/>
      <c r="I115" s="42"/>
      <c r="J115" s="42"/>
      <c r="K115" s="42"/>
      <c r="L115" s="42"/>
    </row>
    <row r="116" spans="1:12" ht="15.75" hidden="1" thickBot="1">
      <c r="A116" s="42"/>
      <c r="B116" s="42"/>
      <c r="C116" s="42"/>
      <c r="D116" s="42"/>
      <c r="E116" s="42"/>
      <c r="F116" s="42"/>
      <c r="G116" s="42"/>
      <c r="H116" s="42"/>
      <c r="I116" s="440"/>
      <c r="J116" s="227"/>
      <c r="K116" s="227"/>
      <c r="L116" s="227"/>
    </row>
    <row r="117" spans="1:12" ht="16.5" hidden="1" thickTop="1" thickBot="1">
      <c r="A117" s="439"/>
      <c r="B117" s="444" t="s">
        <v>815</v>
      </c>
      <c r="C117" s="445" t="s">
        <v>7540</v>
      </c>
      <c r="D117" s="445" t="s">
        <v>665</v>
      </c>
      <c r="E117" s="445" t="s">
        <v>816</v>
      </c>
      <c r="F117" s="445" t="s">
        <v>817</v>
      </c>
      <c r="G117" s="445" t="s">
        <v>818</v>
      </c>
      <c r="H117" s="445" t="s">
        <v>819</v>
      </c>
      <c r="I117" s="445" t="s">
        <v>820</v>
      </c>
      <c r="J117" s="446" t="s">
        <v>665</v>
      </c>
      <c r="K117" s="4307"/>
      <c r="L117" s="4307"/>
    </row>
    <row r="118" spans="1:12" hidden="1">
      <c r="A118" s="4005" t="s">
        <v>821</v>
      </c>
      <c r="B118" s="3990">
        <v>312</v>
      </c>
      <c r="C118" s="4022">
        <v>44470</v>
      </c>
      <c r="D118" s="4019">
        <v>44543</v>
      </c>
      <c r="E118" s="4019">
        <v>44545</v>
      </c>
      <c r="F118" s="4019">
        <v>44622</v>
      </c>
      <c r="G118" s="4019">
        <v>44662</v>
      </c>
      <c r="H118" s="4019">
        <v>44739</v>
      </c>
      <c r="I118" s="4094">
        <v>44837</v>
      </c>
      <c r="J118" s="4095">
        <v>590055.76</v>
      </c>
      <c r="K118" s="4308"/>
      <c r="L118" s="4308"/>
    </row>
    <row r="119" spans="1:12" hidden="1">
      <c r="A119" s="4005" t="s">
        <v>7408</v>
      </c>
      <c r="B119" s="3999">
        <v>315</v>
      </c>
      <c r="C119" s="4006">
        <v>44470</v>
      </c>
      <c r="D119" s="4007">
        <v>44375</v>
      </c>
      <c r="E119" s="4007">
        <v>44382</v>
      </c>
      <c r="F119" s="4007" t="s">
        <v>177</v>
      </c>
      <c r="G119" s="4007" t="s">
        <v>177</v>
      </c>
      <c r="H119" s="4007" t="s">
        <v>177</v>
      </c>
      <c r="I119" s="4008" t="s">
        <v>177</v>
      </c>
      <c r="J119" s="4009">
        <v>3542</v>
      </c>
      <c r="K119" s="4308"/>
      <c r="L119" s="4308"/>
    </row>
    <row r="120" spans="1:12" hidden="1">
      <c r="A120" s="4005" t="s">
        <v>823</v>
      </c>
      <c r="B120" s="3999">
        <v>313</v>
      </c>
      <c r="C120" s="4006">
        <v>44409</v>
      </c>
      <c r="D120" s="4007">
        <v>44445</v>
      </c>
      <c r="E120" s="4007">
        <v>44447</v>
      </c>
      <c r="F120" s="4007" t="s">
        <v>177</v>
      </c>
      <c r="G120" s="4007" t="s">
        <v>177</v>
      </c>
      <c r="H120" s="4007" t="s">
        <v>177</v>
      </c>
      <c r="I120" s="4008" t="s">
        <v>177</v>
      </c>
      <c r="J120" s="4009">
        <v>1200</v>
      </c>
      <c r="K120" s="4308"/>
      <c r="L120" s="4308"/>
    </row>
    <row r="121" spans="1:12" hidden="1">
      <c r="A121" s="4005" t="s">
        <v>824</v>
      </c>
      <c r="B121" s="3999">
        <v>311</v>
      </c>
      <c r="C121" s="4006">
        <v>44440</v>
      </c>
      <c r="D121" s="4007">
        <v>44480</v>
      </c>
      <c r="E121" s="4007">
        <v>44491</v>
      </c>
      <c r="F121" s="4007">
        <v>44593</v>
      </c>
      <c r="G121" s="4007">
        <v>44621</v>
      </c>
      <c r="H121" s="4007">
        <v>44297</v>
      </c>
      <c r="I121" s="4008">
        <v>44837</v>
      </c>
      <c r="J121" s="4009">
        <v>220360</v>
      </c>
      <c r="K121" s="4308"/>
      <c r="L121" s="4308"/>
    </row>
    <row r="122" spans="1:12" hidden="1">
      <c r="A122" s="4005" t="s">
        <v>142</v>
      </c>
      <c r="B122" s="3999">
        <v>333</v>
      </c>
      <c r="C122" s="4006">
        <v>44256</v>
      </c>
      <c r="D122" s="4007">
        <v>44277</v>
      </c>
      <c r="E122" s="4007">
        <v>44278</v>
      </c>
      <c r="F122" s="4007" t="s">
        <v>177</v>
      </c>
      <c r="G122" s="4007" t="s">
        <v>177</v>
      </c>
      <c r="H122" s="4007" t="s">
        <v>177</v>
      </c>
      <c r="I122" s="4008" t="s">
        <v>177</v>
      </c>
      <c r="J122" s="4009">
        <v>39264</v>
      </c>
      <c r="K122" s="4308"/>
      <c r="L122" s="4308"/>
    </row>
    <row r="123" spans="1:12" hidden="1">
      <c r="A123" s="4005" t="s">
        <v>7076</v>
      </c>
      <c r="B123" s="3999">
        <v>370</v>
      </c>
      <c r="C123" s="3995"/>
      <c r="D123" s="4007"/>
      <c r="E123" s="4007"/>
      <c r="F123" s="4007"/>
      <c r="G123" s="4007"/>
      <c r="H123" s="4007"/>
      <c r="I123" s="4008"/>
      <c r="J123" s="4009"/>
      <c r="K123" s="4308"/>
      <c r="L123" s="4308"/>
    </row>
    <row r="124" spans="1:12" hidden="1">
      <c r="A124" s="4005" t="s">
        <v>827</v>
      </c>
      <c r="B124" s="3999">
        <v>375</v>
      </c>
      <c r="C124" s="3995"/>
      <c r="D124" s="4007">
        <v>44368</v>
      </c>
      <c r="E124" s="4007">
        <v>44382</v>
      </c>
      <c r="F124" s="4007">
        <v>44607</v>
      </c>
      <c r="G124" s="4007">
        <v>44658</v>
      </c>
      <c r="H124" s="4007" t="s">
        <v>177</v>
      </c>
      <c r="I124" s="4008" t="s">
        <v>177</v>
      </c>
      <c r="J124" s="4009">
        <v>22935.01</v>
      </c>
      <c r="K124" s="4308"/>
      <c r="L124" s="4313" t="s">
        <v>8106</v>
      </c>
    </row>
    <row r="125" spans="1:12" hidden="1">
      <c r="A125" s="4005" t="s">
        <v>828</v>
      </c>
      <c r="B125" s="3999">
        <v>376</v>
      </c>
      <c r="C125" s="3995"/>
      <c r="D125" s="4007">
        <v>44445</v>
      </c>
      <c r="E125" s="4007">
        <v>44447</v>
      </c>
      <c r="F125" s="4007">
        <v>44607</v>
      </c>
      <c r="G125" s="4007">
        <v>44658</v>
      </c>
      <c r="H125" s="4007">
        <v>44739</v>
      </c>
      <c r="I125" s="4008" t="s">
        <v>177</v>
      </c>
      <c r="J125" s="4009">
        <v>21772.31</v>
      </c>
      <c r="K125" s="4308"/>
      <c r="L125" s="4313" t="s">
        <v>8106</v>
      </c>
    </row>
    <row r="126" spans="1:12" hidden="1">
      <c r="A126" s="4005" t="s">
        <v>829</v>
      </c>
      <c r="B126" s="3999">
        <v>377</v>
      </c>
      <c r="C126" s="3995"/>
      <c r="D126" s="4007">
        <v>44536</v>
      </c>
      <c r="E126" s="4007">
        <v>44545</v>
      </c>
      <c r="F126" s="4007">
        <v>44622</v>
      </c>
      <c r="G126" s="4007">
        <v>44658</v>
      </c>
      <c r="H126" s="4007" t="s">
        <v>177</v>
      </c>
      <c r="I126" s="4008" t="s">
        <v>177</v>
      </c>
      <c r="J126" s="4009">
        <v>18658.23</v>
      </c>
      <c r="K126" s="4313"/>
      <c r="L126" s="4313" t="s">
        <v>8106</v>
      </c>
    </row>
    <row r="127" spans="1:12" hidden="1">
      <c r="A127" s="4005" t="s">
        <v>7204</v>
      </c>
      <c r="B127" s="3999">
        <v>378</v>
      </c>
      <c r="C127" s="3995"/>
      <c r="D127" s="4007">
        <v>44620</v>
      </c>
      <c r="E127" s="4007">
        <v>44623</v>
      </c>
      <c r="F127" s="4007">
        <v>44740</v>
      </c>
      <c r="G127" s="4007">
        <v>44837</v>
      </c>
      <c r="H127" s="4007" t="s">
        <v>177</v>
      </c>
      <c r="I127" s="4008" t="s">
        <v>177</v>
      </c>
      <c r="J127" s="4009">
        <v>20207.330000000002</v>
      </c>
      <c r="K127" s="4308"/>
      <c r="L127" s="4313" t="s">
        <v>8106</v>
      </c>
    </row>
    <row r="128" spans="1:12" hidden="1">
      <c r="A128" s="4005" t="s">
        <v>830</v>
      </c>
      <c r="B128" s="3999">
        <v>365</v>
      </c>
      <c r="C128" s="4006">
        <v>44501</v>
      </c>
      <c r="D128" s="4007">
        <v>44550</v>
      </c>
      <c r="E128" s="4007">
        <v>44552</v>
      </c>
      <c r="F128" s="4007" t="s">
        <v>177</v>
      </c>
      <c r="G128" s="4007" t="s">
        <v>177</v>
      </c>
      <c r="H128" s="4007" t="s">
        <v>177</v>
      </c>
      <c r="I128" s="4008" t="s">
        <v>177</v>
      </c>
      <c r="J128" s="4009">
        <v>6052.05</v>
      </c>
      <c r="K128" s="4308"/>
      <c r="L128" s="4308"/>
    </row>
    <row r="129" spans="1:12" hidden="1">
      <c r="A129" s="4005" t="s">
        <v>7538</v>
      </c>
      <c r="B129" s="3999">
        <v>360</v>
      </c>
      <c r="C129" s="4006">
        <v>44531</v>
      </c>
      <c r="D129" s="4012">
        <v>44550</v>
      </c>
      <c r="E129" s="4012">
        <v>44552</v>
      </c>
      <c r="F129" s="4007">
        <v>44622</v>
      </c>
      <c r="G129" s="4007">
        <v>44658</v>
      </c>
      <c r="H129" s="4007">
        <v>44740</v>
      </c>
      <c r="I129" s="4008"/>
      <c r="J129" s="4021">
        <v>35587.25</v>
      </c>
      <c r="K129" s="4311"/>
      <c r="L129" s="4311"/>
    </row>
    <row r="130" spans="1:12" hidden="1">
      <c r="A130" s="4005" t="s">
        <v>7538</v>
      </c>
      <c r="B130" s="3999">
        <v>361</v>
      </c>
      <c r="C130" s="3995"/>
      <c r="D130" s="4012"/>
      <c r="E130" s="4012"/>
      <c r="F130" s="4007"/>
      <c r="G130" s="4007"/>
      <c r="H130" s="4007"/>
      <c r="I130" s="4008"/>
      <c r="J130" s="4021"/>
      <c r="K130" s="4311"/>
      <c r="L130" s="4311"/>
    </row>
    <row r="131" spans="1:12" hidden="1">
      <c r="A131" s="4005" t="s">
        <v>152</v>
      </c>
      <c r="B131" s="3999">
        <v>380</v>
      </c>
      <c r="C131" s="4006">
        <v>44531</v>
      </c>
      <c r="D131" s="4007">
        <v>44550</v>
      </c>
      <c r="E131" s="4007">
        <v>44552</v>
      </c>
      <c r="F131" s="4007">
        <v>44622</v>
      </c>
      <c r="G131" s="4007">
        <v>44658</v>
      </c>
      <c r="H131" s="4007">
        <v>44837</v>
      </c>
      <c r="I131" s="4008">
        <v>44887</v>
      </c>
      <c r="J131" s="4009"/>
      <c r="K131" s="4308"/>
      <c r="L131" s="4308"/>
    </row>
    <row r="132" spans="1:12" hidden="1">
      <c r="A132" s="4005" t="s">
        <v>833</v>
      </c>
      <c r="B132" s="3999">
        <v>389</v>
      </c>
      <c r="C132" s="3995"/>
      <c r="D132" s="4010"/>
      <c r="E132" s="4011"/>
      <c r="F132" s="4015"/>
      <c r="G132" s="4007"/>
      <c r="H132" s="4016"/>
      <c r="I132" s="4017"/>
      <c r="J132" s="4009"/>
      <c r="K132" s="4308"/>
      <c r="L132" s="4308"/>
    </row>
    <row r="133" spans="1:12" hidden="1">
      <c r="A133" s="4005" t="s">
        <v>833</v>
      </c>
      <c r="B133" s="3999">
        <v>391</v>
      </c>
      <c r="C133" s="3995"/>
      <c r="D133" s="4010"/>
      <c r="E133" s="4011"/>
      <c r="F133" s="4015"/>
      <c r="G133" s="4007"/>
      <c r="H133" s="4016"/>
      <c r="I133" s="4017"/>
      <c r="J133" s="4009"/>
      <c r="K133" s="4308"/>
      <c r="L133" s="4308"/>
    </row>
    <row r="134" spans="1:12" hidden="1">
      <c r="A134" s="4005" t="s">
        <v>833</v>
      </c>
      <c r="B134" s="3999">
        <v>392</v>
      </c>
      <c r="C134" s="3995"/>
      <c r="D134" s="4010"/>
      <c r="E134" s="4011"/>
      <c r="F134" s="4015"/>
      <c r="G134" s="4007"/>
      <c r="H134" s="4016"/>
      <c r="I134" s="4017"/>
      <c r="J134" s="4009"/>
      <c r="K134" s="4308"/>
      <c r="L134" s="4308"/>
    </row>
    <row r="135" spans="1:12" hidden="1">
      <c r="A135" s="4005" t="s">
        <v>834</v>
      </c>
      <c r="B135" s="3999">
        <v>450</v>
      </c>
      <c r="C135" s="4006">
        <v>44256</v>
      </c>
      <c r="D135" s="4010">
        <v>44277</v>
      </c>
      <c r="E135" s="4011">
        <v>44278</v>
      </c>
      <c r="F135" s="4012" t="s">
        <v>177</v>
      </c>
      <c r="G135" s="4007" t="s">
        <v>177</v>
      </c>
      <c r="H135" s="4013" t="s">
        <v>177</v>
      </c>
      <c r="I135" s="4014" t="s">
        <v>177</v>
      </c>
      <c r="J135" s="4009">
        <f>60000-2500</f>
        <v>57500</v>
      </c>
      <c r="K135" s="4308"/>
      <c r="L135" s="4308"/>
    </row>
    <row r="136" spans="1:12" hidden="1">
      <c r="A136" s="4005" t="s">
        <v>834</v>
      </c>
      <c r="B136" s="3999">
        <v>451</v>
      </c>
      <c r="C136" s="3995"/>
      <c r="D136" s="4010">
        <v>44277</v>
      </c>
      <c r="E136" s="4011">
        <v>44278</v>
      </c>
      <c r="F136" s="4012" t="s">
        <v>177</v>
      </c>
      <c r="G136" s="4007" t="s">
        <v>177</v>
      </c>
      <c r="H136" s="4013" t="s">
        <v>177</v>
      </c>
      <c r="I136" s="4014" t="s">
        <v>177</v>
      </c>
      <c r="J136" s="4009">
        <v>5000</v>
      </c>
      <c r="K136" s="4308"/>
      <c r="L136" s="4308"/>
    </row>
    <row r="137" spans="1:12" hidden="1">
      <c r="A137" s="4005" t="s">
        <v>835</v>
      </c>
      <c r="B137" s="3999">
        <v>500</v>
      </c>
      <c r="C137" s="4006">
        <v>44501</v>
      </c>
      <c r="D137" s="4007">
        <v>44550</v>
      </c>
      <c r="E137" s="4007">
        <v>44552</v>
      </c>
      <c r="F137" s="4007">
        <v>44622</v>
      </c>
      <c r="G137" s="4007">
        <v>44658</v>
      </c>
      <c r="H137" s="4007">
        <v>44740</v>
      </c>
      <c r="I137" s="4008">
        <v>44837</v>
      </c>
      <c r="J137" s="4009">
        <v>35500</v>
      </c>
      <c r="K137" s="4308"/>
      <c r="L137" s="4313"/>
    </row>
    <row r="138" spans="1:12" hidden="1">
      <c r="A138" s="4005" t="s">
        <v>835</v>
      </c>
      <c r="B138" s="3999">
        <v>550</v>
      </c>
      <c r="C138" s="3995"/>
      <c r="D138" s="4007">
        <v>44550</v>
      </c>
      <c r="E138" s="4007">
        <v>44552</v>
      </c>
      <c r="F138" s="4007">
        <v>44622</v>
      </c>
      <c r="G138" s="4007">
        <v>44658</v>
      </c>
      <c r="H138" s="4007">
        <v>44740</v>
      </c>
      <c r="I138" s="4008">
        <v>44837</v>
      </c>
      <c r="J138" s="4009">
        <v>9500</v>
      </c>
      <c r="K138" s="4308"/>
      <c r="L138" s="4308"/>
    </row>
    <row r="139" spans="1:12" hidden="1">
      <c r="A139" s="4005" t="s">
        <v>836</v>
      </c>
      <c r="B139" s="3999">
        <v>322</v>
      </c>
      <c r="C139" s="3995"/>
      <c r="D139" s="4007" t="s">
        <v>177</v>
      </c>
      <c r="E139" s="4007"/>
      <c r="F139" s="4007"/>
      <c r="G139" s="4007"/>
      <c r="H139" s="4007"/>
      <c r="I139" s="4008"/>
      <c r="J139" s="4009"/>
      <c r="K139" s="4308"/>
      <c r="L139" s="4308"/>
    </row>
    <row r="140" spans="1:12" hidden="1">
      <c r="A140" s="4005" t="s">
        <v>837</v>
      </c>
      <c r="B140" s="3999">
        <v>323</v>
      </c>
      <c r="C140" s="3995"/>
      <c r="D140" s="4007" t="s">
        <v>177</v>
      </c>
      <c r="E140" s="4007"/>
      <c r="F140" s="4007"/>
      <c r="G140" s="4007"/>
      <c r="H140" s="4007"/>
      <c r="I140" s="4008"/>
      <c r="J140" s="4009"/>
      <c r="K140" s="4308"/>
      <c r="L140" s="4308"/>
    </row>
    <row r="141" spans="1:12" hidden="1">
      <c r="A141" s="4005" t="s">
        <v>136</v>
      </c>
      <c r="B141" s="3999">
        <v>300</v>
      </c>
      <c r="C141" s="4006">
        <v>44409</v>
      </c>
      <c r="D141" s="4007">
        <v>44445</v>
      </c>
      <c r="E141" s="4007">
        <v>44447</v>
      </c>
      <c r="F141" s="4007">
        <v>44592</v>
      </c>
      <c r="G141" s="4007">
        <v>44622</v>
      </c>
      <c r="H141" s="4007" t="s">
        <v>177</v>
      </c>
      <c r="I141" s="4008" t="s">
        <v>177</v>
      </c>
      <c r="J141" s="4009">
        <v>16918.75</v>
      </c>
      <c r="K141" s="4308"/>
      <c r="L141" s="4308"/>
    </row>
    <row r="142" spans="1:12" hidden="1">
      <c r="A142" s="4005" t="s">
        <v>7539</v>
      </c>
      <c r="B142" s="3999">
        <v>350</v>
      </c>
      <c r="C142" s="3995"/>
      <c r="D142" s="4007">
        <v>44480</v>
      </c>
      <c r="E142" s="4007">
        <v>44482</v>
      </c>
      <c r="F142" s="4007" t="s">
        <v>177</v>
      </c>
      <c r="G142" s="4007" t="s">
        <v>177</v>
      </c>
      <c r="H142" s="4007" t="s">
        <v>177</v>
      </c>
      <c r="I142" s="4008" t="s">
        <v>177</v>
      </c>
      <c r="J142" s="4009">
        <v>225</v>
      </c>
      <c r="K142" s="4308"/>
      <c r="L142" s="4308"/>
    </row>
    <row r="143" spans="1:12" hidden="1">
      <c r="A143" s="4005" t="s">
        <v>838</v>
      </c>
      <c r="B143" s="3999">
        <v>301</v>
      </c>
      <c r="C143" s="4006">
        <v>44348</v>
      </c>
      <c r="D143" s="4007">
        <v>44375</v>
      </c>
      <c r="E143" s="4007">
        <v>44382</v>
      </c>
      <c r="F143" s="4007">
        <v>44592</v>
      </c>
      <c r="G143" s="4007">
        <v>44622</v>
      </c>
      <c r="H143" s="4007">
        <v>44910</v>
      </c>
      <c r="I143" s="4008">
        <v>44966</v>
      </c>
      <c r="J143" s="4009">
        <v>110000</v>
      </c>
      <c r="K143" s="4308" t="s">
        <v>8131</v>
      </c>
      <c r="L143" s="4308"/>
    </row>
    <row r="144" spans="1:12" hidden="1">
      <c r="A144" s="4005" t="s">
        <v>7407</v>
      </c>
      <c r="B144" s="3999">
        <v>305</v>
      </c>
      <c r="C144" s="3995"/>
      <c r="D144" s="4007">
        <v>44375</v>
      </c>
      <c r="E144" s="4007">
        <v>44382</v>
      </c>
      <c r="F144" s="4007" t="s">
        <v>177</v>
      </c>
      <c r="G144" s="4007" t="s">
        <v>177</v>
      </c>
      <c r="H144" s="4007" t="s">
        <v>177</v>
      </c>
      <c r="I144" s="4008" t="s">
        <v>177</v>
      </c>
      <c r="J144" s="4009">
        <v>1748</v>
      </c>
      <c r="K144" s="4308"/>
      <c r="L144" s="4308"/>
    </row>
    <row r="145" spans="1:12" hidden="1">
      <c r="A145" s="4005" t="s">
        <v>150</v>
      </c>
      <c r="B145" s="3999">
        <v>306</v>
      </c>
      <c r="C145" s="3995"/>
      <c r="D145" s="4007">
        <v>44480</v>
      </c>
      <c r="E145" s="4007">
        <v>44482</v>
      </c>
      <c r="F145" s="4007" t="s">
        <v>177</v>
      </c>
      <c r="G145" s="4007" t="s">
        <v>177</v>
      </c>
      <c r="H145" s="4007" t="s">
        <v>177</v>
      </c>
      <c r="I145" s="4008" t="s">
        <v>177</v>
      </c>
      <c r="J145" s="4009">
        <v>1760</v>
      </c>
      <c r="K145" s="4308"/>
      <c r="L145" s="4308"/>
    </row>
    <row r="146" spans="1:12" hidden="1">
      <c r="A146" s="4005" t="s">
        <v>7542</v>
      </c>
      <c r="B146" s="3999">
        <v>307</v>
      </c>
      <c r="C146" s="3995"/>
      <c r="D146" s="4007">
        <v>44431</v>
      </c>
      <c r="E146" s="4007">
        <v>44432</v>
      </c>
      <c r="F146" s="4007" t="s">
        <v>177</v>
      </c>
      <c r="G146" s="4007" t="s">
        <v>177</v>
      </c>
      <c r="H146" s="4007" t="s">
        <v>177</v>
      </c>
      <c r="I146" s="4008" t="s">
        <v>177</v>
      </c>
      <c r="J146" s="4009">
        <v>880</v>
      </c>
      <c r="K146" s="4308"/>
      <c r="L146" s="4308"/>
    </row>
    <row r="147" spans="1:12" hidden="1">
      <c r="A147" s="4005" t="s">
        <v>840</v>
      </c>
      <c r="B147" s="3999">
        <v>308</v>
      </c>
      <c r="C147" s="3995"/>
      <c r="D147" s="4007">
        <v>44445</v>
      </c>
      <c r="E147" s="4007">
        <v>44447</v>
      </c>
      <c r="F147" s="4007" t="s">
        <v>177</v>
      </c>
      <c r="G147" s="4007" t="s">
        <v>177</v>
      </c>
      <c r="H147" s="4007" t="s">
        <v>177</v>
      </c>
      <c r="I147" s="4008" t="s">
        <v>177</v>
      </c>
      <c r="J147" s="4009">
        <v>2640</v>
      </c>
      <c r="K147" s="4308"/>
      <c r="L147" s="4308"/>
    </row>
    <row r="148" spans="1:12" ht="15.75" hidden="1" thickBot="1">
      <c r="A148" s="4005" t="s">
        <v>841</v>
      </c>
      <c r="B148" s="4025">
        <v>30</v>
      </c>
      <c r="C148" s="4026"/>
      <c r="D148" s="4027"/>
      <c r="E148" s="4027"/>
      <c r="F148" s="4027"/>
      <c r="G148" s="4027"/>
      <c r="H148" s="4027"/>
      <c r="I148" s="4028"/>
      <c r="J148" s="4029"/>
      <c r="K148" s="4308"/>
      <c r="L148" s="4308"/>
    </row>
    <row r="149" spans="1:12" ht="16.5" hidden="1" thickTop="1" thickBot="1">
      <c r="A149" s="421"/>
      <c r="B149" s="420"/>
      <c r="C149" s="418"/>
      <c r="D149" s="1610"/>
      <c r="E149" s="1610"/>
      <c r="F149" s="1610"/>
      <c r="G149" s="1610"/>
      <c r="H149" s="1610"/>
      <c r="I149" s="1611"/>
      <c r="J149" s="1612">
        <f>SUM(J118:J147)</f>
        <v>1221305.69</v>
      </c>
      <c r="K149" s="4310"/>
      <c r="L149" s="4310"/>
    </row>
    <row r="150" spans="1:12" ht="15.75" hidden="1" thickTop="1"/>
    <row r="151" spans="1:12" ht="15.75">
      <c r="A151" s="441" t="s">
        <v>814</v>
      </c>
      <c r="B151" s="441">
        <v>2022</v>
      </c>
      <c r="C151" s="441"/>
      <c r="D151" s="42"/>
      <c r="E151" s="42"/>
      <c r="F151" s="42"/>
      <c r="G151" s="42"/>
      <c r="H151" s="42"/>
      <c r="I151" s="42"/>
      <c r="J151" s="42"/>
      <c r="K151" s="42"/>
      <c r="L151" s="42"/>
    </row>
    <row r="152" spans="1:12" ht="15.75" thickBot="1">
      <c r="A152" s="42"/>
      <c r="B152" s="42"/>
      <c r="C152" s="42"/>
      <c r="D152" s="42"/>
      <c r="E152" s="42"/>
      <c r="F152" s="42"/>
      <c r="G152" s="42"/>
      <c r="H152" s="42"/>
      <c r="I152" s="440"/>
      <c r="J152" s="227"/>
      <c r="K152" s="227"/>
      <c r="L152" s="227"/>
    </row>
    <row r="153" spans="1:12" ht="16.5" thickTop="1" thickBot="1">
      <c r="A153" s="439"/>
      <c r="B153" s="444" t="s">
        <v>815</v>
      </c>
      <c r="C153" s="445" t="s">
        <v>7540</v>
      </c>
      <c r="D153" s="445" t="s">
        <v>665</v>
      </c>
      <c r="E153" s="445" t="s">
        <v>816</v>
      </c>
      <c r="F153" s="445" t="s">
        <v>817</v>
      </c>
      <c r="G153" s="445" t="s">
        <v>818</v>
      </c>
      <c r="H153" s="445" t="s">
        <v>819</v>
      </c>
      <c r="I153" s="445" t="s">
        <v>820</v>
      </c>
      <c r="J153" s="446" t="s">
        <v>665</v>
      </c>
      <c r="K153" s="4886" t="s">
        <v>8302</v>
      </c>
      <c r="L153" s="4887"/>
    </row>
    <row r="154" spans="1:12" ht="26.25">
      <c r="A154" s="4005" t="s">
        <v>821</v>
      </c>
      <c r="B154" s="3990">
        <v>312</v>
      </c>
      <c r="C154" s="4022">
        <v>44713</v>
      </c>
      <c r="D154" s="4019">
        <v>44760</v>
      </c>
      <c r="E154" s="4019">
        <v>44791</v>
      </c>
      <c r="F154" s="4019">
        <v>44893</v>
      </c>
      <c r="G154" s="4019">
        <v>44972</v>
      </c>
      <c r="H154" s="4019">
        <v>45004</v>
      </c>
      <c r="I154" s="4652" t="s">
        <v>8414</v>
      </c>
      <c r="J154" s="4095">
        <v>651018.57999999996</v>
      </c>
      <c r="K154" s="4649"/>
      <c r="L154" s="4474" t="s">
        <v>8301</v>
      </c>
    </row>
    <row r="155" spans="1:12">
      <c r="A155" s="4005" t="s">
        <v>823</v>
      </c>
      <c r="B155" s="3999">
        <v>310</v>
      </c>
      <c r="C155" s="4006">
        <v>44682</v>
      </c>
      <c r="D155" s="4007">
        <v>44719</v>
      </c>
      <c r="E155" s="4007">
        <v>44729</v>
      </c>
      <c r="F155" s="4007" t="s">
        <v>177</v>
      </c>
      <c r="G155" s="4007" t="s">
        <v>177</v>
      </c>
      <c r="H155" s="4007" t="s">
        <v>177</v>
      </c>
      <c r="I155" s="4008" t="s">
        <v>177</v>
      </c>
      <c r="J155" s="4009">
        <v>1260</v>
      </c>
      <c r="K155" s="4475"/>
      <c r="L155" s="4476"/>
    </row>
    <row r="156" spans="1:12" ht="26.25">
      <c r="A156" s="4005" t="s">
        <v>824</v>
      </c>
      <c r="B156" s="3999">
        <v>311</v>
      </c>
      <c r="C156" s="4006">
        <v>44713</v>
      </c>
      <c r="D156" s="4007">
        <v>44725</v>
      </c>
      <c r="E156" s="4007">
        <v>44762</v>
      </c>
      <c r="F156" s="4007">
        <v>44893</v>
      </c>
      <c r="G156" s="4007">
        <v>44972</v>
      </c>
      <c r="H156" s="4007">
        <v>45004</v>
      </c>
      <c r="I156" s="4653" t="s">
        <v>8415</v>
      </c>
      <c r="J156" s="4009">
        <v>229030</v>
      </c>
      <c r="K156" s="4473" t="s">
        <v>8413</v>
      </c>
      <c r="L156" s="4651" t="s">
        <v>8304</v>
      </c>
    </row>
    <row r="157" spans="1:12">
      <c r="A157" s="4005" t="s">
        <v>142</v>
      </c>
      <c r="B157" s="3999">
        <v>330</v>
      </c>
      <c r="C157" s="4006">
        <v>44621</v>
      </c>
      <c r="D157" s="4007">
        <v>44670</v>
      </c>
      <c r="E157" s="4007">
        <v>44686</v>
      </c>
      <c r="F157" s="4007" t="s">
        <v>177</v>
      </c>
      <c r="G157" s="4007" t="s">
        <v>177</v>
      </c>
      <c r="H157" s="4007" t="s">
        <v>177</v>
      </c>
      <c r="I157" s="4008" t="s">
        <v>177</v>
      </c>
      <c r="J157" s="4009">
        <v>41990</v>
      </c>
      <c r="K157" s="4475"/>
      <c r="L157" s="4476"/>
    </row>
    <row r="158" spans="1:12">
      <c r="A158" s="4005" t="s">
        <v>8107</v>
      </c>
      <c r="B158" s="3999">
        <v>404</v>
      </c>
      <c r="C158" s="3995"/>
      <c r="D158" s="4007">
        <v>44739</v>
      </c>
      <c r="E158" s="4007">
        <v>44742</v>
      </c>
      <c r="F158" s="4007" t="s">
        <v>177</v>
      </c>
      <c r="G158" s="4007" t="s">
        <v>177</v>
      </c>
      <c r="H158" s="4007" t="s">
        <v>177</v>
      </c>
      <c r="I158" s="4008" t="s">
        <v>177</v>
      </c>
      <c r="J158" s="4009">
        <v>7888.85</v>
      </c>
      <c r="K158" s="4477" t="s">
        <v>8108</v>
      </c>
      <c r="L158" s="4476"/>
    </row>
    <row r="159" spans="1:12">
      <c r="A159" s="4005" t="s">
        <v>827</v>
      </c>
      <c r="B159" s="3999">
        <v>400</v>
      </c>
      <c r="C159" s="3995"/>
      <c r="D159" s="4007">
        <v>44689</v>
      </c>
      <c r="E159" s="4007">
        <v>44691</v>
      </c>
      <c r="F159" s="4007">
        <v>44819</v>
      </c>
      <c r="G159" s="4007">
        <v>44887</v>
      </c>
      <c r="H159" s="4007">
        <v>44910</v>
      </c>
      <c r="I159" s="4303"/>
      <c r="J159" s="4304">
        <v>18840.2</v>
      </c>
      <c r="K159" s="4473" t="s">
        <v>7829</v>
      </c>
      <c r="L159" s="4474"/>
    </row>
    <row r="160" spans="1:12">
      <c r="A160" s="4005" t="s">
        <v>828</v>
      </c>
      <c r="B160" s="3999">
        <v>401</v>
      </c>
      <c r="C160" s="3995"/>
      <c r="D160" s="4007">
        <v>44816</v>
      </c>
      <c r="E160" s="4007">
        <v>44820</v>
      </c>
      <c r="F160" s="4007">
        <v>44888</v>
      </c>
      <c r="G160" s="4007">
        <v>44579</v>
      </c>
      <c r="H160" s="4007">
        <v>44966</v>
      </c>
      <c r="I160" s="4303"/>
      <c r="J160" s="4304">
        <v>18983.13</v>
      </c>
      <c r="K160" s="4473" t="s">
        <v>7829</v>
      </c>
      <c r="L160" s="4474"/>
    </row>
    <row r="161" spans="1:12">
      <c r="A161" s="4005" t="s">
        <v>829</v>
      </c>
      <c r="B161" s="3999">
        <v>402</v>
      </c>
      <c r="C161" s="3995"/>
      <c r="D161" s="4007">
        <v>44886</v>
      </c>
      <c r="E161" s="4007">
        <v>44889</v>
      </c>
      <c r="F161" s="4007">
        <v>44966</v>
      </c>
      <c r="G161" s="4007">
        <v>44994</v>
      </c>
      <c r="H161" s="4007">
        <v>45015</v>
      </c>
      <c r="I161" s="4303"/>
      <c r="J161" s="4304">
        <v>18328.580000000002</v>
      </c>
      <c r="K161" s="4473" t="s">
        <v>7829</v>
      </c>
      <c r="L161" s="4474"/>
    </row>
    <row r="162" spans="1:12">
      <c r="A162" s="4005" t="s">
        <v>7204</v>
      </c>
      <c r="B162" s="3999">
        <v>403</v>
      </c>
      <c r="C162" s="3995"/>
      <c r="D162" s="4007">
        <v>44970</v>
      </c>
      <c r="E162" s="4007">
        <v>44973</v>
      </c>
      <c r="F162" s="4007">
        <v>45042</v>
      </c>
      <c r="G162" s="4007">
        <v>45082</v>
      </c>
      <c r="H162" s="1605"/>
      <c r="I162" s="1606"/>
      <c r="J162" s="4009">
        <v>25408.39</v>
      </c>
      <c r="K162" s="4478"/>
      <c r="L162" s="4479"/>
    </row>
    <row r="163" spans="1:12">
      <c r="A163" s="4005" t="s">
        <v>830</v>
      </c>
      <c r="B163" s="3999">
        <v>340</v>
      </c>
      <c r="C163" s="4006">
        <v>44866</v>
      </c>
      <c r="D163" s="4007">
        <v>44865</v>
      </c>
      <c r="E163" s="4007">
        <v>44879</v>
      </c>
      <c r="F163" s="4007"/>
      <c r="G163" s="4007" t="s">
        <v>177</v>
      </c>
      <c r="H163" s="4007" t="s">
        <v>177</v>
      </c>
      <c r="I163" s="4008" t="s">
        <v>177</v>
      </c>
      <c r="J163" s="4009">
        <v>52388.68</v>
      </c>
      <c r="K163" s="4475"/>
      <c r="L163" s="4476"/>
    </row>
    <row r="164" spans="1:12">
      <c r="A164" s="4005" t="s">
        <v>7538</v>
      </c>
      <c r="B164" s="3999">
        <v>350</v>
      </c>
      <c r="C164" s="4006">
        <v>44866</v>
      </c>
      <c r="D164" s="4012">
        <v>44865</v>
      </c>
      <c r="E164" s="4012">
        <v>44879</v>
      </c>
      <c r="F164" s="4007">
        <v>44966</v>
      </c>
      <c r="G164" s="4007">
        <v>44994</v>
      </c>
      <c r="H164" s="4007">
        <v>45015</v>
      </c>
      <c r="I164" s="4650">
        <v>45082</v>
      </c>
      <c r="J164" s="4021">
        <v>6946.13</v>
      </c>
      <c r="K164" s="4733" t="s">
        <v>8437</v>
      </c>
      <c r="L164" s="4480"/>
    </row>
    <row r="165" spans="1:12" s="4514" customFormat="1" ht="25.5">
      <c r="A165" s="4508" t="s">
        <v>152</v>
      </c>
      <c r="B165" s="4509">
        <v>380</v>
      </c>
      <c r="C165" s="4510">
        <v>44866</v>
      </c>
      <c r="D165" s="4511">
        <v>44914</v>
      </c>
      <c r="E165" s="4511">
        <v>44922</v>
      </c>
      <c r="F165" s="4511">
        <v>44994</v>
      </c>
      <c r="G165" s="4511">
        <v>45021</v>
      </c>
      <c r="H165" s="4655">
        <v>45042</v>
      </c>
      <c r="I165" s="4654">
        <v>45082</v>
      </c>
      <c r="J165" s="4512">
        <v>95250.02</v>
      </c>
      <c r="K165" s="4513" t="s">
        <v>8316</v>
      </c>
      <c r="L165" s="4516" t="s">
        <v>8262</v>
      </c>
    </row>
    <row r="166" spans="1:12">
      <c r="A166" s="4005" t="s">
        <v>834</v>
      </c>
      <c r="B166" s="3999">
        <v>450</v>
      </c>
      <c r="C166" s="4006">
        <v>44621</v>
      </c>
      <c r="D166" s="4010">
        <v>44670</v>
      </c>
      <c r="E166" s="4011">
        <v>44686</v>
      </c>
      <c r="F166" s="4015" t="s">
        <v>177</v>
      </c>
      <c r="G166" s="4007" t="s">
        <v>177</v>
      </c>
      <c r="H166" s="4016" t="s">
        <v>177</v>
      </c>
      <c r="I166" s="4017" t="s">
        <v>177</v>
      </c>
      <c r="J166" s="4009">
        <v>60000</v>
      </c>
      <c r="K166" s="4475"/>
      <c r="L166" s="4476"/>
    </row>
    <row r="167" spans="1:12">
      <c r="A167" s="4005" t="s">
        <v>835</v>
      </c>
      <c r="B167" s="3999">
        <v>370</v>
      </c>
      <c r="C167" s="4006">
        <v>44866</v>
      </c>
      <c r="D167" s="4007">
        <v>44886</v>
      </c>
      <c r="E167" s="4007">
        <v>44889</v>
      </c>
      <c r="F167" s="4007">
        <v>44966</v>
      </c>
      <c r="G167" s="4007">
        <v>44994</v>
      </c>
      <c r="H167" s="4007">
        <v>45015</v>
      </c>
      <c r="I167" s="4650">
        <v>45082</v>
      </c>
      <c r="J167" s="4009">
        <v>52500.01</v>
      </c>
      <c r="K167" s="4481" t="s">
        <v>8263</v>
      </c>
    </row>
    <row r="168" spans="1:12">
      <c r="A168" s="4005" t="s">
        <v>8125</v>
      </c>
      <c r="B168" s="3999">
        <v>390</v>
      </c>
      <c r="C168" s="3995"/>
      <c r="D168" s="4007">
        <v>44886</v>
      </c>
      <c r="E168" s="4007">
        <v>44889</v>
      </c>
      <c r="F168" s="4007">
        <v>44966</v>
      </c>
      <c r="G168" s="4007">
        <v>44994</v>
      </c>
      <c r="H168" s="4007">
        <v>45015</v>
      </c>
      <c r="I168" s="4008">
        <v>45082</v>
      </c>
      <c r="J168" s="4009">
        <v>24500</v>
      </c>
      <c r="K168" s="4485" t="s">
        <v>8256</v>
      </c>
      <c r="L168" s="4476" t="s">
        <v>8293</v>
      </c>
    </row>
    <row r="169" spans="1:12">
      <c r="A169" s="4005" t="s">
        <v>835</v>
      </c>
      <c r="B169" s="3999">
        <v>371</v>
      </c>
      <c r="C169" s="3995"/>
      <c r="D169" s="4007">
        <v>44704</v>
      </c>
      <c r="E169" s="4007">
        <v>44715</v>
      </c>
      <c r="F169" s="4007">
        <v>44910</v>
      </c>
      <c r="G169" s="4007">
        <v>44944</v>
      </c>
      <c r="H169" s="4656"/>
      <c r="I169" s="4657"/>
      <c r="J169" s="4304">
        <v>6000</v>
      </c>
      <c r="K169" s="4658" t="s">
        <v>8256</v>
      </c>
      <c r="L169" s="4482"/>
    </row>
    <row r="170" spans="1:12">
      <c r="A170" s="4005" t="s">
        <v>836</v>
      </c>
      <c r="B170" s="3999">
        <v>320</v>
      </c>
      <c r="C170" s="4006">
        <v>44682</v>
      </c>
      <c r="D170" s="4007">
        <v>44802</v>
      </c>
      <c r="E170" s="4007">
        <v>44806</v>
      </c>
      <c r="F170" s="4007">
        <v>44888</v>
      </c>
      <c r="G170" s="4007">
        <v>44944</v>
      </c>
      <c r="H170" s="4007">
        <v>44972</v>
      </c>
      <c r="I170" s="4008">
        <v>45015</v>
      </c>
      <c r="J170" s="4009">
        <v>31478.38</v>
      </c>
      <c r="K170" s="4475"/>
      <c r="L170" s="4476"/>
    </row>
    <row r="171" spans="1:12">
      <c r="A171" s="4005" t="s">
        <v>136</v>
      </c>
      <c r="B171" s="3999">
        <v>360</v>
      </c>
      <c r="C171" s="4006">
        <v>44652</v>
      </c>
      <c r="D171" s="4007">
        <v>44670</v>
      </c>
      <c r="E171" s="4007">
        <v>44686</v>
      </c>
      <c r="F171" s="4007">
        <v>44819</v>
      </c>
      <c r="G171" s="4007">
        <v>44910</v>
      </c>
      <c r="H171" s="4007">
        <v>44972</v>
      </c>
      <c r="I171" s="4008" t="s">
        <v>177</v>
      </c>
      <c r="J171" s="4009">
        <v>23800</v>
      </c>
      <c r="K171" s="4475"/>
      <c r="L171" s="4476"/>
    </row>
    <row r="172" spans="1:12">
      <c r="A172" s="4005" t="s">
        <v>838</v>
      </c>
      <c r="B172" s="3999">
        <v>300</v>
      </c>
      <c r="C172" s="4006">
        <v>44652</v>
      </c>
      <c r="D172" s="4007">
        <v>44697</v>
      </c>
      <c r="E172" s="4007">
        <v>44699</v>
      </c>
      <c r="F172" s="4007">
        <v>44819</v>
      </c>
      <c r="G172" s="4007">
        <v>44888</v>
      </c>
      <c r="H172" s="4007">
        <v>44910</v>
      </c>
      <c r="I172" s="4008" t="s">
        <v>177</v>
      </c>
      <c r="J172" s="4009">
        <v>120120</v>
      </c>
      <c r="K172" s="4475"/>
      <c r="L172" s="4476"/>
    </row>
    <row r="173" spans="1:12">
      <c r="A173" s="4005" t="s">
        <v>8126</v>
      </c>
      <c r="B173" s="3999">
        <v>301</v>
      </c>
      <c r="C173" s="3995"/>
      <c r="D173" s="4007">
        <v>44886</v>
      </c>
      <c r="E173" s="4007">
        <v>44889</v>
      </c>
      <c r="F173" s="4007">
        <v>44607</v>
      </c>
      <c r="G173" s="4007">
        <v>44994</v>
      </c>
      <c r="H173" s="4007" t="s">
        <v>177</v>
      </c>
      <c r="I173" s="4008" t="s">
        <v>177</v>
      </c>
      <c r="J173" s="4009">
        <v>5544</v>
      </c>
      <c r="K173" s="4475"/>
      <c r="L173" s="4476"/>
    </row>
    <row r="174" spans="1:12">
      <c r="A174" s="4005" t="s">
        <v>150</v>
      </c>
      <c r="B174" s="3999">
        <v>302</v>
      </c>
      <c r="C174" s="3995"/>
      <c r="D174" s="4321">
        <v>44613</v>
      </c>
      <c r="E174" s="4321">
        <v>44615</v>
      </c>
      <c r="F174" s="4007" t="s">
        <v>177</v>
      </c>
      <c r="G174" s="4007" t="s">
        <v>177</v>
      </c>
      <c r="H174" s="4007" t="s">
        <v>177</v>
      </c>
      <c r="I174" s="4008" t="s">
        <v>177</v>
      </c>
      <c r="J174" s="4009">
        <v>6160</v>
      </c>
      <c r="K174" s="4477" t="s">
        <v>7819</v>
      </c>
      <c r="L174" s="4476"/>
    </row>
    <row r="175" spans="1:12" ht="15.75" thickBot="1">
      <c r="A175" s="437"/>
      <c r="B175" s="425"/>
      <c r="C175" s="3879"/>
      <c r="D175" s="1607"/>
      <c r="E175" s="1607"/>
      <c r="F175" s="1607"/>
      <c r="G175" s="1607"/>
      <c r="H175" s="1607"/>
      <c r="I175" s="1608"/>
      <c r="J175" s="1609"/>
      <c r="K175" s="4478"/>
      <c r="L175" s="4479"/>
    </row>
    <row r="176" spans="1:12" ht="16.5" thickTop="1" thickBot="1">
      <c r="A176" s="421"/>
      <c r="B176" s="420"/>
      <c r="C176" s="418"/>
      <c r="D176" s="1610"/>
      <c r="E176" s="1610"/>
      <c r="F176" s="1610"/>
      <c r="G176" s="1610"/>
      <c r="H176" s="1610"/>
      <c r="I176" s="1611"/>
      <c r="J176" s="1612">
        <f>SUM(J154:J174)</f>
        <v>1497434.9499999997</v>
      </c>
      <c r="K176" s="4483"/>
      <c r="L176" s="4484"/>
    </row>
    <row r="177" spans="1:12" ht="15.75" thickTop="1"/>
    <row r="178" spans="1:12" ht="15.75">
      <c r="A178" s="441" t="s">
        <v>814</v>
      </c>
      <c r="B178" s="441">
        <v>2023</v>
      </c>
      <c r="C178" s="441"/>
      <c r="D178" s="42"/>
      <c r="E178" s="42"/>
      <c r="F178" s="42"/>
      <c r="G178" s="42"/>
      <c r="H178" s="42"/>
      <c r="I178" s="42"/>
      <c r="J178" s="42"/>
      <c r="K178" s="42"/>
      <c r="L178" s="42"/>
    </row>
    <row r="179" spans="1:12" ht="15.75" thickBot="1">
      <c r="A179" s="1148"/>
      <c r="B179" s="1148"/>
      <c r="C179" s="1148"/>
      <c r="D179" s="1148"/>
      <c r="E179" s="1148"/>
      <c r="F179" s="1148"/>
      <c r="G179" s="1148"/>
      <c r="H179" s="1148"/>
      <c r="I179" s="1780"/>
      <c r="J179" s="4347"/>
      <c r="K179" s="4347"/>
      <c r="L179" s="4347"/>
    </row>
    <row r="180" spans="1:12" ht="16.5" thickTop="1" thickBot="1">
      <c r="A180" s="439"/>
      <c r="B180" s="4659" t="s">
        <v>815</v>
      </c>
      <c r="C180" s="4660" t="s">
        <v>7540</v>
      </c>
      <c r="D180" s="4660" t="s">
        <v>665</v>
      </c>
      <c r="E180" s="4660" t="s">
        <v>816</v>
      </c>
      <c r="F180" s="4660" t="s">
        <v>817</v>
      </c>
      <c r="G180" s="4660" t="s">
        <v>818</v>
      </c>
      <c r="H180" s="4660" t="s">
        <v>819</v>
      </c>
      <c r="I180" s="4660" t="s">
        <v>820</v>
      </c>
      <c r="J180" s="4661" t="s">
        <v>665</v>
      </c>
      <c r="K180" s="4662" t="s">
        <v>8149</v>
      </c>
      <c r="L180" s="4663"/>
    </row>
    <row r="181" spans="1:12">
      <c r="A181" s="4348" t="s">
        <v>821</v>
      </c>
      <c r="B181" s="4082"/>
      <c r="C181" s="4349">
        <v>45078</v>
      </c>
      <c r="D181" s="4350"/>
      <c r="E181" s="4350"/>
      <c r="F181" s="4350"/>
      <c r="G181" s="4350"/>
      <c r="H181" s="4350"/>
      <c r="I181" s="4351"/>
      <c r="J181" s="4352"/>
      <c r="K181" s="4344"/>
      <c r="L181" s="4664"/>
    </row>
    <row r="182" spans="1:12">
      <c r="A182" s="4005" t="s">
        <v>8261</v>
      </c>
      <c r="B182" s="3999">
        <v>313</v>
      </c>
      <c r="C182" s="4006"/>
      <c r="D182" s="4007">
        <v>44991</v>
      </c>
      <c r="E182" s="4007">
        <v>44995</v>
      </c>
      <c r="F182" s="4007">
        <v>45063</v>
      </c>
      <c r="G182" s="4007">
        <v>45089</v>
      </c>
      <c r="H182" s="4341"/>
      <c r="I182" s="4342"/>
      <c r="J182" s="4009">
        <v>7321.61</v>
      </c>
      <c r="K182" s="4344"/>
      <c r="L182" s="4664"/>
    </row>
    <row r="183" spans="1:12">
      <c r="A183" s="4005" t="s">
        <v>823</v>
      </c>
      <c r="B183" s="3999" t="s">
        <v>8303</v>
      </c>
      <c r="C183" s="4006">
        <v>45017</v>
      </c>
      <c r="D183" s="4007">
        <v>45027</v>
      </c>
      <c r="E183" s="4007">
        <v>45044</v>
      </c>
      <c r="F183" s="4341"/>
      <c r="G183" s="4341"/>
      <c r="H183" s="4341"/>
      <c r="I183" s="4342"/>
      <c r="J183" s="4009">
        <v>1058</v>
      </c>
      <c r="K183" s="4344"/>
      <c r="L183" s="4664"/>
    </row>
    <row r="184" spans="1:12">
      <c r="A184" s="4005" t="s">
        <v>824</v>
      </c>
      <c r="B184" s="3999" t="s">
        <v>8407</v>
      </c>
      <c r="C184" s="4006">
        <v>45078</v>
      </c>
      <c r="D184" s="4007">
        <v>45076</v>
      </c>
      <c r="E184" s="4007">
        <v>45099</v>
      </c>
      <c r="F184" s="4341"/>
      <c r="G184" s="4341"/>
      <c r="H184" s="4341"/>
      <c r="I184" s="4342"/>
      <c r="J184" s="4009">
        <v>256411</v>
      </c>
      <c r="K184" s="4344"/>
      <c r="L184" s="4664"/>
    </row>
    <row r="185" spans="1:12">
      <c r="A185" s="4005" t="s">
        <v>142</v>
      </c>
      <c r="B185" s="3999" t="s">
        <v>8260</v>
      </c>
      <c r="C185" s="4006">
        <v>44986</v>
      </c>
      <c r="D185" s="4007">
        <v>44991</v>
      </c>
      <c r="E185" s="4007">
        <v>44999</v>
      </c>
      <c r="F185" s="4007" t="s">
        <v>177</v>
      </c>
      <c r="G185" s="4007" t="s">
        <v>177</v>
      </c>
      <c r="H185" s="4007" t="s">
        <v>177</v>
      </c>
      <c r="I185" s="4008" t="s">
        <v>177</v>
      </c>
      <c r="J185" s="4009">
        <v>45437</v>
      </c>
      <c r="K185" s="4344"/>
      <c r="L185" s="4664"/>
    </row>
    <row r="186" spans="1:12">
      <c r="A186" s="4348" t="s">
        <v>827</v>
      </c>
      <c r="B186" s="586"/>
      <c r="C186" s="4353">
        <v>45047</v>
      </c>
      <c r="D186" s="4341"/>
      <c r="E186" s="4341"/>
      <c r="F186" s="4341"/>
      <c r="G186" s="4341"/>
      <c r="H186" s="4341"/>
      <c r="I186" s="4342"/>
      <c r="J186" s="4343"/>
      <c r="K186" s="4344"/>
      <c r="L186" s="4664"/>
    </row>
    <row r="187" spans="1:12">
      <c r="A187" s="4348" t="s">
        <v>828</v>
      </c>
      <c r="B187" s="586"/>
      <c r="C187" s="4353">
        <v>45139</v>
      </c>
      <c r="D187" s="4341"/>
      <c r="E187" s="4341"/>
      <c r="F187" s="4341"/>
      <c r="G187" s="4341"/>
      <c r="H187" s="4341"/>
      <c r="I187" s="4342"/>
      <c r="J187" s="4343"/>
      <c r="K187" s="4344"/>
      <c r="L187" s="4664"/>
    </row>
    <row r="188" spans="1:12">
      <c r="A188" s="4348" t="s">
        <v>829</v>
      </c>
      <c r="B188" s="586"/>
      <c r="C188" s="4353">
        <v>45231</v>
      </c>
      <c r="D188" s="4341"/>
      <c r="E188" s="4341"/>
      <c r="F188" s="4341"/>
      <c r="G188" s="4341"/>
      <c r="H188" s="4341"/>
      <c r="I188" s="4342"/>
      <c r="J188" s="4343"/>
      <c r="K188" s="4344"/>
      <c r="L188" s="4664"/>
    </row>
    <row r="189" spans="1:12">
      <c r="A189" s="4348" t="s">
        <v>7204</v>
      </c>
      <c r="B189" s="586"/>
      <c r="C189" s="4353">
        <v>45323</v>
      </c>
      <c r="D189" s="4341"/>
      <c r="E189" s="4341"/>
      <c r="F189" s="4341"/>
      <c r="G189" s="4341"/>
      <c r="H189" s="4341"/>
      <c r="I189" s="4342"/>
      <c r="J189" s="4343"/>
      <c r="K189" s="4344"/>
      <c r="L189" s="4664"/>
    </row>
    <row r="190" spans="1:12">
      <c r="A190" s="4348" t="s">
        <v>830</v>
      </c>
      <c r="B190" s="586"/>
      <c r="C190" s="4353">
        <v>45108</v>
      </c>
      <c r="D190" s="4341"/>
      <c r="E190" s="4341"/>
      <c r="F190" s="4341"/>
      <c r="G190" s="4341"/>
      <c r="H190" s="4341"/>
      <c r="I190" s="4342"/>
      <c r="J190" s="4343"/>
      <c r="K190" s="4344"/>
      <c r="L190" s="4664"/>
    </row>
    <row r="191" spans="1:12">
      <c r="A191" s="4348" t="s">
        <v>7538</v>
      </c>
      <c r="B191" s="586"/>
      <c r="C191" s="4353">
        <v>45108</v>
      </c>
      <c r="D191" s="4354"/>
      <c r="E191" s="4354"/>
      <c r="F191" s="4341"/>
      <c r="G191" s="4341"/>
      <c r="H191" s="4341"/>
      <c r="I191" s="4342"/>
      <c r="J191" s="4355"/>
      <c r="K191" s="4356"/>
      <c r="L191" s="4665"/>
    </row>
    <row r="192" spans="1:12">
      <c r="A192" s="4348" t="s">
        <v>152</v>
      </c>
      <c r="B192" s="586"/>
      <c r="C192" s="4353">
        <v>45231</v>
      </c>
      <c r="D192" s="4341"/>
      <c r="E192" s="4341"/>
      <c r="F192" s="4341"/>
      <c r="G192" s="4341"/>
      <c r="H192" s="4341"/>
      <c r="I192" s="4342"/>
      <c r="J192" s="4343"/>
      <c r="K192" s="4344"/>
      <c r="L192" s="4664"/>
    </row>
    <row r="193" spans="1:12">
      <c r="A193" s="4348" t="s">
        <v>833</v>
      </c>
      <c r="B193" s="586"/>
      <c r="C193" s="584"/>
      <c r="D193" s="4357"/>
      <c r="E193" s="4358"/>
      <c r="F193" s="4359"/>
      <c r="G193" s="4341"/>
      <c r="H193" s="4360"/>
      <c r="I193" s="4361"/>
      <c r="J193" s="4343"/>
      <c r="K193" s="4344"/>
      <c r="L193" s="4664"/>
    </row>
    <row r="194" spans="1:12">
      <c r="A194" s="4348" t="s">
        <v>833</v>
      </c>
      <c r="B194" s="586"/>
      <c r="C194" s="584"/>
      <c r="D194" s="4357"/>
      <c r="E194" s="4358"/>
      <c r="F194" s="4359"/>
      <c r="G194" s="4341"/>
      <c r="H194" s="4360"/>
      <c r="I194" s="4361"/>
      <c r="J194" s="4343"/>
      <c r="K194" s="4344"/>
      <c r="L194" s="4664"/>
    </row>
    <row r="195" spans="1:12">
      <c r="A195" s="4348" t="s">
        <v>833</v>
      </c>
      <c r="B195" s="586"/>
      <c r="C195" s="584"/>
      <c r="D195" s="4357"/>
      <c r="E195" s="4358"/>
      <c r="F195" s="4359"/>
      <c r="G195" s="4341"/>
      <c r="H195" s="4360"/>
      <c r="I195" s="4361"/>
      <c r="J195" s="4343"/>
      <c r="K195" s="4344"/>
      <c r="L195" s="4664"/>
    </row>
    <row r="196" spans="1:12">
      <c r="A196" s="4005" t="s">
        <v>834</v>
      </c>
      <c r="B196" s="3999" t="s">
        <v>8265</v>
      </c>
      <c r="C196" s="4006">
        <v>44986</v>
      </c>
      <c r="D196" s="4010">
        <v>44998</v>
      </c>
      <c r="E196" s="4011">
        <v>45005</v>
      </c>
      <c r="F196" s="4015" t="s">
        <v>177</v>
      </c>
      <c r="G196" s="4007" t="s">
        <v>177</v>
      </c>
      <c r="H196" s="4016" t="s">
        <v>177</v>
      </c>
      <c r="I196" s="4017" t="s">
        <v>177</v>
      </c>
      <c r="J196" s="4009">
        <v>55000</v>
      </c>
      <c r="K196" s="4344"/>
      <c r="L196" s="4664"/>
    </row>
    <row r="197" spans="1:12">
      <c r="A197" s="4348" t="s">
        <v>835</v>
      </c>
      <c r="B197" s="586"/>
      <c r="C197" s="4353">
        <v>45231</v>
      </c>
      <c r="D197" s="4341"/>
      <c r="E197" s="4341"/>
      <c r="F197" s="4341"/>
      <c r="G197" s="4341"/>
      <c r="H197" s="4341"/>
      <c r="I197" s="4342"/>
      <c r="J197" s="4343"/>
      <c r="K197" s="4344"/>
      <c r="L197" s="4664"/>
    </row>
    <row r="198" spans="1:12">
      <c r="A198" s="4348" t="s">
        <v>836</v>
      </c>
      <c r="B198" s="586"/>
      <c r="C198" s="4353">
        <v>45078</v>
      </c>
      <c r="D198" s="4341"/>
      <c r="E198" s="4341"/>
      <c r="F198" s="4341"/>
      <c r="G198" s="4341"/>
      <c r="H198" s="4341"/>
      <c r="I198" s="4342"/>
      <c r="J198" s="4343"/>
      <c r="K198" s="4344"/>
      <c r="L198" s="4664"/>
    </row>
    <row r="199" spans="1:12">
      <c r="A199" s="4005" t="s">
        <v>136</v>
      </c>
      <c r="B199" s="3999" t="s">
        <v>8408</v>
      </c>
      <c r="C199" s="4006">
        <v>45017</v>
      </c>
      <c r="D199" s="4007">
        <v>45076</v>
      </c>
      <c r="E199" s="4007">
        <v>45086</v>
      </c>
      <c r="F199" s="4341"/>
      <c r="G199" s="4341"/>
      <c r="H199" s="4341"/>
      <c r="I199" s="4342"/>
      <c r="J199" s="4009">
        <v>17950</v>
      </c>
      <c r="K199" s="4344"/>
      <c r="L199" s="4664"/>
    </row>
    <row r="200" spans="1:12">
      <c r="A200" s="4005" t="s">
        <v>838</v>
      </c>
      <c r="B200" s="3999" t="s">
        <v>8266</v>
      </c>
      <c r="C200" s="4006">
        <v>44986</v>
      </c>
      <c r="D200" s="4007">
        <v>44998</v>
      </c>
      <c r="E200" s="4007">
        <v>45005</v>
      </c>
      <c r="F200" s="4007">
        <v>45089</v>
      </c>
      <c r="G200" s="4341"/>
      <c r="H200" s="4341"/>
      <c r="I200" s="4342"/>
      <c r="J200" s="4009">
        <v>131560</v>
      </c>
      <c r="K200" s="4344"/>
      <c r="L200" s="4664"/>
    </row>
    <row r="201" spans="1:12">
      <c r="A201" s="4005" t="s">
        <v>8126</v>
      </c>
      <c r="B201" s="3999">
        <v>302</v>
      </c>
      <c r="C201" s="3995"/>
      <c r="D201" s="4007">
        <v>44963</v>
      </c>
      <c r="E201" s="4007">
        <v>44967</v>
      </c>
      <c r="F201" s="4007" t="s">
        <v>177</v>
      </c>
      <c r="G201" s="4007" t="s">
        <v>177</v>
      </c>
      <c r="H201" s="4007" t="s">
        <v>177</v>
      </c>
      <c r="I201" s="4008" t="s">
        <v>177</v>
      </c>
      <c r="J201" s="4009">
        <v>3696</v>
      </c>
      <c r="K201" s="4344" t="s">
        <v>8148</v>
      </c>
      <c r="L201" s="4664"/>
    </row>
    <row r="202" spans="1:12">
      <c r="A202" s="4348" t="s">
        <v>840</v>
      </c>
      <c r="B202" s="586"/>
      <c r="C202" s="584"/>
      <c r="D202" s="4341"/>
      <c r="E202" s="4341"/>
      <c r="F202" s="4341"/>
      <c r="G202" s="4341"/>
      <c r="H202" s="4341"/>
      <c r="I202" s="4342"/>
      <c r="J202" s="4343"/>
      <c r="K202" s="4344"/>
      <c r="L202" s="4664"/>
    </row>
    <row r="203" spans="1:12" ht="15.75" thickBot="1">
      <c r="A203" s="4348"/>
      <c r="B203" s="588"/>
      <c r="C203" s="589"/>
      <c r="D203" s="4362"/>
      <c r="E203" s="4362"/>
      <c r="F203" s="4362"/>
      <c r="G203" s="4362"/>
      <c r="H203" s="4362"/>
      <c r="I203" s="4363"/>
      <c r="J203" s="4364"/>
      <c r="K203" s="4344"/>
      <c r="L203" s="4664"/>
    </row>
    <row r="204" spans="1:12" ht="16.5" thickTop="1" thickBot="1">
      <c r="A204" s="4365"/>
      <c r="B204" s="4666"/>
      <c r="C204" s="4667"/>
      <c r="D204" s="4668"/>
      <c r="E204" s="4668"/>
      <c r="F204" s="4668"/>
      <c r="G204" s="4668"/>
      <c r="H204" s="4668"/>
      <c r="I204" s="4669"/>
      <c r="J204" s="4670">
        <f>SUM(J181:J202)</f>
        <v>518433.61</v>
      </c>
      <c r="K204" s="4671"/>
      <c r="L204" s="4672"/>
    </row>
    <row r="205" spans="1:12" ht="15.75" thickTop="1"/>
  </sheetData>
  <mergeCells count="3">
    <mergeCell ref="A1:J1"/>
    <mergeCell ref="K85:L85"/>
    <mergeCell ref="K153:L153"/>
  </mergeCells>
  <hyperlinks>
    <hyperlink ref="A83" location="GLOBAAL!A1" display="Kohieren" xr:uid="{00000000-0004-0000-3300-000000000000}"/>
    <hyperlink ref="A1:J1" location="FINANCIËN!A1" display="KOHIEREN" xr:uid="{00000000-0004-0000-3300-000001000000}"/>
    <hyperlink ref="A115" location="GLOBAAL!A1" display="Kohieren" xr:uid="{00000000-0004-0000-3300-000002000000}"/>
    <hyperlink ref="A151" location="GLOBAAL!A1" display="Kohieren" xr:uid="{00000000-0004-0000-3300-000003000000}"/>
    <hyperlink ref="A178" location="GLOBAAL!A1" display="Kohieren" xr:uid="{8CE0CF16-85DE-447D-B658-E0105FAB433A}"/>
  </hyperlinks>
  <pageMargins left="0.7" right="0.7" top="0.75" bottom="0.75" header="0.3" footer="0.3"/>
  <pageSetup paperSize="9" scale="31" orientation="landscape"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E0C816"/>
  </sheetPr>
  <dimension ref="A1:U64"/>
  <sheetViews>
    <sheetView tabSelected="1" topLeftCell="A37" workbookViewId="0">
      <selection activeCell="F43" sqref="F43"/>
    </sheetView>
  </sheetViews>
  <sheetFormatPr defaultRowHeight="15"/>
  <cols>
    <col min="1" max="1" width="16.7109375" customWidth="1"/>
    <col min="2" max="2" width="9.28515625" bestFit="1" customWidth="1"/>
    <col min="3" max="13" width="10" bestFit="1" customWidth="1"/>
    <col min="14" max="14" width="9.28515625" bestFit="1" customWidth="1"/>
    <col min="15" max="18" width="10" bestFit="1" customWidth="1"/>
  </cols>
  <sheetData>
    <row r="1" spans="1:14" ht="21">
      <c r="A1" s="4881" t="s">
        <v>8295</v>
      </c>
      <c r="B1" s="4758"/>
      <c r="C1" s="4758"/>
      <c r="D1" s="4758"/>
      <c r="E1" s="4758"/>
      <c r="F1" s="4758"/>
      <c r="G1" s="4758"/>
      <c r="H1" s="4758"/>
      <c r="I1" s="4758"/>
      <c r="J1" s="4758"/>
      <c r="K1" s="4758"/>
      <c r="L1" s="4758"/>
      <c r="M1" s="520"/>
      <c r="N1" s="520"/>
    </row>
    <row r="3" spans="1:14">
      <c r="A3" s="523" t="s">
        <v>8297</v>
      </c>
      <c r="B3" s="520"/>
      <c r="C3" s="520"/>
      <c r="D3" s="520"/>
      <c r="E3" s="520"/>
      <c r="F3" s="520"/>
      <c r="G3" s="520"/>
      <c r="H3" s="520"/>
      <c r="I3" s="520"/>
      <c r="J3" s="520"/>
      <c r="K3" s="520"/>
      <c r="L3" s="520"/>
      <c r="M3" s="520"/>
      <c r="N3" s="520"/>
    </row>
    <row r="4" spans="1:14" ht="15.75" thickBot="1">
      <c r="A4" s="520"/>
      <c r="B4" s="520"/>
      <c r="C4" s="520"/>
      <c r="D4" s="520"/>
      <c r="E4" s="520"/>
      <c r="F4" s="520"/>
      <c r="G4" s="520"/>
      <c r="H4" s="520"/>
      <c r="I4" s="520"/>
      <c r="J4" s="520"/>
      <c r="K4" s="520"/>
      <c r="L4" s="520"/>
      <c r="M4" s="520"/>
      <c r="N4" s="520"/>
    </row>
    <row r="5" spans="1:14" ht="27" customHeight="1" thickBot="1">
      <c r="A5" s="551" t="s">
        <v>634</v>
      </c>
      <c r="B5" s="553" t="s">
        <v>964</v>
      </c>
      <c r="C5" s="553" t="s">
        <v>723</v>
      </c>
      <c r="D5" s="553" t="s">
        <v>722</v>
      </c>
      <c r="E5" s="553" t="s">
        <v>721</v>
      </c>
      <c r="F5" s="553" t="s">
        <v>720</v>
      </c>
      <c r="G5" s="553" t="s">
        <v>719</v>
      </c>
      <c r="H5" s="553" t="s">
        <v>718</v>
      </c>
      <c r="I5" s="553" t="s">
        <v>965</v>
      </c>
      <c r="J5" s="553" t="s">
        <v>966</v>
      </c>
      <c r="K5" s="553" t="s">
        <v>967</v>
      </c>
      <c r="L5" s="553" t="s">
        <v>968</v>
      </c>
      <c r="M5" s="553" t="s">
        <v>969</v>
      </c>
      <c r="N5" s="551" t="s">
        <v>8</v>
      </c>
    </row>
    <row r="6" spans="1:14">
      <c r="A6" s="381">
        <v>2004</v>
      </c>
      <c r="B6" s="579"/>
      <c r="C6" s="580"/>
      <c r="D6" s="580"/>
      <c r="E6" s="580"/>
      <c r="F6" s="580"/>
      <c r="G6" s="580"/>
      <c r="H6" s="580"/>
      <c r="I6" s="580"/>
      <c r="J6" s="580"/>
      <c r="K6" s="580"/>
      <c r="L6" s="580">
        <v>236</v>
      </c>
      <c r="M6" s="580">
        <v>915</v>
      </c>
      <c r="N6" s="3545">
        <f>SUM(B6:M6)</f>
        <v>1151</v>
      </c>
    </row>
    <row r="7" spans="1:14">
      <c r="A7" s="388">
        <v>2005</v>
      </c>
      <c r="B7" s="582">
        <v>915</v>
      </c>
      <c r="C7" s="583">
        <v>788</v>
      </c>
      <c r="D7" s="583">
        <v>712</v>
      </c>
      <c r="E7" s="583">
        <v>744</v>
      </c>
      <c r="F7" s="583">
        <v>724</v>
      </c>
      <c r="G7" s="583">
        <v>792</v>
      </c>
      <c r="H7" s="583">
        <v>622</v>
      </c>
      <c r="I7" s="583">
        <v>682</v>
      </c>
      <c r="J7" s="583">
        <v>639</v>
      </c>
      <c r="K7" s="583">
        <v>676</v>
      </c>
      <c r="L7" s="583">
        <v>692</v>
      </c>
      <c r="M7" s="583">
        <v>276</v>
      </c>
      <c r="N7" s="581">
        <f t="shared" ref="N7:N25" si="0">SUM(B7:M7)</f>
        <v>8262</v>
      </c>
    </row>
    <row r="8" spans="1:14">
      <c r="A8" s="388">
        <v>2006</v>
      </c>
      <c r="B8" s="582">
        <v>545</v>
      </c>
      <c r="C8" s="583">
        <v>752</v>
      </c>
      <c r="D8" s="583">
        <v>799</v>
      </c>
      <c r="E8" s="583">
        <v>703</v>
      </c>
      <c r="F8" s="583">
        <v>670</v>
      </c>
      <c r="G8" s="583">
        <v>529</v>
      </c>
      <c r="H8" s="583">
        <v>493</v>
      </c>
      <c r="I8" s="583">
        <v>570</v>
      </c>
      <c r="J8" s="583">
        <v>544</v>
      </c>
      <c r="K8" s="583">
        <v>515</v>
      </c>
      <c r="L8" s="583">
        <v>563</v>
      </c>
      <c r="M8" s="583">
        <v>490</v>
      </c>
      <c r="N8" s="581">
        <f t="shared" si="0"/>
        <v>7173</v>
      </c>
    </row>
    <row r="9" spans="1:14">
      <c r="A9" s="388">
        <v>2007</v>
      </c>
      <c r="B9" s="582">
        <v>421</v>
      </c>
      <c r="C9" s="583">
        <v>534</v>
      </c>
      <c r="D9" s="583">
        <v>552</v>
      </c>
      <c r="E9" s="583">
        <v>834</v>
      </c>
      <c r="F9" s="583">
        <v>632</v>
      </c>
      <c r="G9" s="583">
        <v>677</v>
      </c>
      <c r="H9" s="583">
        <v>345</v>
      </c>
      <c r="I9" s="583">
        <v>512</v>
      </c>
      <c r="J9" s="583">
        <v>518</v>
      </c>
      <c r="K9" s="583">
        <v>768</v>
      </c>
      <c r="L9" s="583">
        <v>524</v>
      </c>
      <c r="M9" s="583">
        <v>231</v>
      </c>
      <c r="N9" s="581">
        <f t="shared" si="0"/>
        <v>6548</v>
      </c>
    </row>
    <row r="10" spans="1:14">
      <c r="A10" s="388">
        <v>2008</v>
      </c>
      <c r="B10" s="582">
        <v>558</v>
      </c>
      <c r="C10" s="583">
        <v>534</v>
      </c>
      <c r="D10" s="583">
        <v>200</v>
      </c>
      <c r="E10" s="583">
        <v>542</v>
      </c>
      <c r="F10" s="584">
        <v>366</v>
      </c>
      <c r="G10" s="584">
        <v>319</v>
      </c>
      <c r="H10" s="583">
        <v>343</v>
      </c>
      <c r="I10" s="583">
        <v>265</v>
      </c>
      <c r="J10" s="583">
        <v>451</v>
      </c>
      <c r="K10" s="583">
        <v>583</v>
      </c>
      <c r="L10" s="583">
        <v>389</v>
      </c>
      <c r="M10" s="583">
        <v>295</v>
      </c>
      <c r="N10" s="581">
        <f t="shared" si="0"/>
        <v>4845</v>
      </c>
    </row>
    <row r="11" spans="1:14">
      <c r="A11" s="388">
        <v>2009</v>
      </c>
      <c r="B11" s="582">
        <v>440</v>
      </c>
      <c r="C11" s="583">
        <v>602</v>
      </c>
      <c r="D11" s="583">
        <v>794</v>
      </c>
      <c r="E11" s="583">
        <v>723</v>
      </c>
      <c r="F11" s="583">
        <v>636</v>
      </c>
      <c r="G11" s="583">
        <v>671</v>
      </c>
      <c r="H11" s="583">
        <v>659</v>
      </c>
      <c r="I11" s="583">
        <v>629</v>
      </c>
      <c r="J11" s="583">
        <v>566</v>
      </c>
      <c r="K11" s="583">
        <v>696</v>
      </c>
      <c r="L11" s="583">
        <v>454</v>
      </c>
      <c r="M11" s="583">
        <v>505</v>
      </c>
      <c r="N11" s="581">
        <f t="shared" si="0"/>
        <v>7375</v>
      </c>
    </row>
    <row r="12" spans="1:14">
      <c r="A12" s="388">
        <v>2010</v>
      </c>
      <c r="B12" s="582">
        <v>400</v>
      </c>
      <c r="C12" s="583">
        <v>534</v>
      </c>
      <c r="D12" s="583">
        <v>619</v>
      </c>
      <c r="E12" s="583">
        <v>530</v>
      </c>
      <c r="F12" s="583">
        <v>510</v>
      </c>
      <c r="G12" s="583">
        <v>550</v>
      </c>
      <c r="H12" s="583">
        <v>505</v>
      </c>
      <c r="I12" s="583">
        <v>571</v>
      </c>
      <c r="J12" s="583">
        <v>533</v>
      </c>
      <c r="K12" s="583">
        <v>664</v>
      </c>
      <c r="L12" s="583">
        <v>570</v>
      </c>
      <c r="M12" s="583">
        <v>574</v>
      </c>
      <c r="N12" s="581">
        <f t="shared" si="0"/>
        <v>6560</v>
      </c>
    </row>
    <row r="13" spans="1:14">
      <c r="A13" s="388">
        <v>2011</v>
      </c>
      <c r="B13" s="582">
        <v>665</v>
      </c>
      <c r="C13" s="583">
        <v>684</v>
      </c>
      <c r="D13" s="583">
        <v>699</v>
      </c>
      <c r="E13" s="583">
        <v>373</v>
      </c>
      <c r="F13" s="583">
        <v>290</v>
      </c>
      <c r="G13" s="583">
        <v>283</v>
      </c>
      <c r="H13" s="583">
        <v>278</v>
      </c>
      <c r="I13" s="583">
        <v>355</v>
      </c>
      <c r="J13" s="583">
        <v>581</v>
      </c>
      <c r="K13" s="583">
        <v>641</v>
      </c>
      <c r="L13" s="583">
        <v>527</v>
      </c>
      <c r="M13" s="583">
        <v>524</v>
      </c>
      <c r="N13" s="581">
        <f t="shared" si="0"/>
        <v>5900</v>
      </c>
    </row>
    <row r="14" spans="1:14">
      <c r="A14" s="388">
        <v>2012</v>
      </c>
      <c r="B14" s="582">
        <v>427</v>
      </c>
      <c r="C14" s="583">
        <v>547</v>
      </c>
      <c r="D14" s="583">
        <v>688</v>
      </c>
      <c r="E14" s="583">
        <v>567</v>
      </c>
      <c r="F14" s="583">
        <v>519</v>
      </c>
      <c r="G14" s="583">
        <v>446</v>
      </c>
      <c r="H14" s="583">
        <v>515</v>
      </c>
      <c r="I14" s="583">
        <v>629</v>
      </c>
      <c r="J14" s="583">
        <v>654</v>
      </c>
      <c r="K14" s="583">
        <v>633</v>
      </c>
      <c r="L14" s="583">
        <v>568</v>
      </c>
      <c r="M14" s="583">
        <v>351</v>
      </c>
      <c r="N14" s="581">
        <f t="shared" si="0"/>
        <v>6544</v>
      </c>
    </row>
    <row r="15" spans="1:14">
      <c r="A15" s="388">
        <v>2013</v>
      </c>
      <c r="B15" s="582">
        <v>591</v>
      </c>
      <c r="C15" s="583">
        <v>542</v>
      </c>
      <c r="D15" s="583">
        <v>620</v>
      </c>
      <c r="E15" s="583">
        <v>589</v>
      </c>
      <c r="F15" s="583">
        <v>494</v>
      </c>
      <c r="G15" s="583">
        <v>418</v>
      </c>
      <c r="H15" s="583">
        <v>538</v>
      </c>
      <c r="I15" s="583">
        <v>660</v>
      </c>
      <c r="J15" s="583">
        <v>631</v>
      </c>
      <c r="K15" s="583">
        <v>679</v>
      </c>
      <c r="L15" s="583">
        <v>518</v>
      </c>
      <c r="M15" s="583">
        <v>634</v>
      </c>
      <c r="N15" s="581">
        <f t="shared" si="0"/>
        <v>6914</v>
      </c>
    </row>
    <row r="16" spans="1:14">
      <c r="A16" s="388">
        <v>2014</v>
      </c>
      <c r="B16" s="582">
        <v>612</v>
      </c>
      <c r="C16" s="583">
        <v>584</v>
      </c>
      <c r="D16" s="583">
        <v>579</v>
      </c>
      <c r="E16" s="583">
        <v>669</v>
      </c>
      <c r="F16" s="583">
        <v>569</v>
      </c>
      <c r="G16" s="583">
        <v>506</v>
      </c>
      <c r="H16" s="583">
        <v>499</v>
      </c>
      <c r="I16" s="583">
        <v>531</v>
      </c>
      <c r="J16" s="583">
        <v>518</v>
      </c>
      <c r="K16" s="583">
        <v>558</v>
      </c>
      <c r="L16" s="583">
        <v>546</v>
      </c>
      <c r="M16" s="583">
        <v>532</v>
      </c>
      <c r="N16" s="581">
        <f t="shared" si="0"/>
        <v>6703</v>
      </c>
    </row>
    <row r="17" spans="1:21">
      <c r="A17" s="585">
        <v>2015</v>
      </c>
      <c r="B17" s="586">
        <v>418</v>
      </c>
      <c r="C17" s="584">
        <v>356</v>
      </c>
      <c r="D17" s="584">
        <v>497</v>
      </c>
      <c r="E17" s="583">
        <v>404</v>
      </c>
      <c r="F17" s="583">
        <v>397</v>
      </c>
      <c r="G17" s="583">
        <v>783</v>
      </c>
      <c r="H17" s="583">
        <v>370</v>
      </c>
      <c r="I17" s="583">
        <v>464</v>
      </c>
      <c r="J17" s="583">
        <v>466</v>
      </c>
      <c r="K17" s="583">
        <v>606</v>
      </c>
      <c r="L17" s="583">
        <v>402</v>
      </c>
      <c r="M17" s="583">
        <v>254</v>
      </c>
      <c r="N17" s="581">
        <f t="shared" si="0"/>
        <v>5417</v>
      </c>
      <c r="O17" s="520"/>
      <c r="P17" s="520"/>
      <c r="Q17" s="520"/>
      <c r="R17" s="520"/>
    </row>
    <row r="18" spans="1:21">
      <c r="A18" s="585">
        <v>2016</v>
      </c>
      <c r="B18" s="586">
        <v>180</v>
      </c>
      <c r="C18" s="584">
        <v>259</v>
      </c>
      <c r="D18" s="584">
        <v>287</v>
      </c>
      <c r="E18" s="583">
        <v>216</v>
      </c>
      <c r="F18" s="583">
        <v>250</v>
      </c>
      <c r="G18" s="583">
        <v>225</v>
      </c>
      <c r="H18" s="583">
        <v>233</v>
      </c>
      <c r="I18" s="583">
        <v>201</v>
      </c>
      <c r="J18" s="583">
        <v>287</v>
      </c>
      <c r="K18" s="583">
        <v>333</v>
      </c>
      <c r="L18" s="583">
        <v>397</v>
      </c>
      <c r="M18" s="583">
        <v>354</v>
      </c>
      <c r="N18" s="581">
        <f t="shared" si="0"/>
        <v>3222</v>
      </c>
      <c r="O18" s="520"/>
      <c r="P18" s="520"/>
      <c r="Q18" s="520"/>
      <c r="R18" s="520"/>
    </row>
    <row r="19" spans="1:21">
      <c r="A19" s="585">
        <v>2017</v>
      </c>
      <c r="B19" s="586">
        <v>375</v>
      </c>
      <c r="C19" s="584">
        <v>326</v>
      </c>
      <c r="D19" s="584">
        <v>431</v>
      </c>
      <c r="E19" s="583">
        <v>371</v>
      </c>
      <c r="F19" s="583">
        <v>475</v>
      </c>
      <c r="G19" s="583">
        <v>622</v>
      </c>
      <c r="H19" s="583">
        <v>359</v>
      </c>
      <c r="I19" s="583">
        <v>394</v>
      </c>
      <c r="J19" s="583">
        <v>568</v>
      </c>
      <c r="K19" s="583">
        <v>371</v>
      </c>
      <c r="L19" s="583">
        <v>363</v>
      </c>
      <c r="M19" s="583">
        <v>519</v>
      </c>
      <c r="N19" s="581">
        <f t="shared" si="0"/>
        <v>5174</v>
      </c>
      <c r="O19" s="520"/>
      <c r="P19" s="520"/>
      <c r="Q19" s="520"/>
      <c r="R19" s="520"/>
    </row>
    <row r="20" spans="1:21">
      <c r="A20" s="585">
        <v>2018</v>
      </c>
      <c r="B20" s="586">
        <v>580</v>
      </c>
      <c r="C20" s="584">
        <v>554</v>
      </c>
      <c r="D20" s="584">
        <v>581</v>
      </c>
      <c r="E20" s="583">
        <v>497</v>
      </c>
      <c r="F20" s="583">
        <v>563</v>
      </c>
      <c r="G20" s="583">
        <v>466</v>
      </c>
      <c r="H20" s="583">
        <v>324</v>
      </c>
      <c r="I20" s="583">
        <v>444</v>
      </c>
      <c r="J20" s="583">
        <v>303</v>
      </c>
      <c r="K20" s="583">
        <v>484</v>
      </c>
      <c r="L20" s="583">
        <v>574</v>
      </c>
      <c r="M20" s="583">
        <v>481</v>
      </c>
      <c r="N20" s="581">
        <f t="shared" si="0"/>
        <v>5851</v>
      </c>
      <c r="O20" s="520"/>
      <c r="P20" s="520"/>
      <c r="Q20" s="520"/>
      <c r="R20" s="520"/>
    </row>
    <row r="21" spans="1:21">
      <c r="A21" s="585">
        <v>2019</v>
      </c>
      <c r="B21" s="586">
        <v>529</v>
      </c>
      <c r="C21" s="584">
        <v>542</v>
      </c>
      <c r="D21" s="584">
        <v>502</v>
      </c>
      <c r="E21" s="583">
        <v>473</v>
      </c>
      <c r="F21" s="583">
        <v>531</v>
      </c>
      <c r="G21" s="583">
        <v>512</v>
      </c>
      <c r="H21" s="583">
        <v>373</v>
      </c>
      <c r="I21" s="583">
        <v>583</v>
      </c>
      <c r="J21" s="583">
        <v>530</v>
      </c>
      <c r="K21" s="583">
        <v>508</v>
      </c>
      <c r="L21" s="583">
        <v>395</v>
      </c>
      <c r="M21" s="583">
        <v>353</v>
      </c>
      <c r="N21" s="581">
        <f t="shared" si="0"/>
        <v>5831</v>
      </c>
      <c r="O21" s="520"/>
      <c r="P21" s="520"/>
      <c r="Q21" s="520"/>
      <c r="R21" s="520"/>
    </row>
    <row r="22" spans="1:21">
      <c r="A22" s="585">
        <v>2020</v>
      </c>
      <c r="B22" s="586">
        <v>377</v>
      </c>
      <c r="C22" s="584">
        <v>337</v>
      </c>
      <c r="D22" s="584">
        <v>267</v>
      </c>
      <c r="E22" s="583">
        <v>1</v>
      </c>
      <c r="F22" s="583">
        <v>368</v>
      </c>
      <c r="G22" s="583">
        <v>324</v>
      </c>
      <c r="H22" s="583">
        <v>424</v>
      </c>
      <c r="I22" s="583">
        <v>382</v>
      </c>
      <c r="J22" s="583">
        <v>385</v>
      </c>
      <c r="K22" s="583">
        <v>462</v>
      </c>
      <c r="L22" s="583">
        <v>441</v>
      </c>
      <c r="M22" s="583">
        <v>470</v>
      </c>
      <c r="N22" s="581">
        <f t="shared" si="0"/>
        <v>4238</v>
      </c>
      <c r="O22" s="520"/>
      <c r="P22" s="520"/>
      <c r="Q22" s="520"/>
      <c r="R22" s="520"/>
    </row>
    <row r="23" spans="1:21">
      <c r="A23" s="585">
        <v>2021</v>
      </c>
      <c r="B23" s="586">
        <v>291</v>
      </c>
      <c r="C23" s="584">
        <v>406</v>
      </c>
      <c r="D23" s="584">
        <v>463</v>
      </c>
      <c r="E23" s="584">
        <v>492</v>
      </c>
      <c r="F23" s="584">
        <v>443</v>
      </c>
      <c r="G23" s="584">
        <v>484</v>
      </c>
      <c r="H23" s="584">
        <v>391</v>
      </c>
      <c r="I23" s="584">
        <v>568</v>
      </c>
      <c r="J23" s="584">
        <v>367</v>
      </c>
      <c r="K23" s="584">
        <v>569</v>
      </c>
      <c r="L23" s="584">
        <v>433</v>
      </c>
      <c r="M23" s="4471">
        <v>478</v>
      </c>
      <c r="N23" s="581">
        <f t="shared" si="0"/>
        <v>5385</v>
      </c>
    </row>
    <row r="24" spans="1:21">
      <c r="A24" s="585">
        <v>2022</v>
      </c>
      <c r="B24" s="586">
        <v>476</v>
      </c>
      <c r="C24" s="584">
        <v>430</v>
      </c>
      <c r="D24" s="584">
        <v>150</v>
      </c>
      <c r="E24" s="584">
        <v>525</v>
      </c>
      <c r="F24" s="584">
        <v>511</v>
      </c>
      <c r="G24" s="584">
        <v>398</v>
      </c>
      <c r="H24" s="584">
        <v>219</v>
      </c>
      <c r="I24" s="584">
        <v>260</v>
      </c>
      <c r="J24" s="584">
        <v>337</v>
      </c>
      <c r="K24" s="584">
        <v>499</v>
      </c>
      <c r="L24" s="584">
        <v>230</v>
      </c>
      <c r="M24" s="4471">
        <v>435</v>
      </c>
      <c r="N24" s="581">
        <f t="shared" si="0"/>
        <v>4470</v>
      </c>
    </row>
    <row r="25" spans="1:21" ht="15.75" thickBot="1">
      <c r="A25" s="587">
        <v>2023</v>
      </c>
      <c r="B25" s="588">
        <v>415</v>
      </c>
      <c r="C25" s="589">
        <v>364</v>
      </c>
      <c r="D25" s="589"/>
      <c r="E25" s="589"/>
      <c r="F25" s="589"/>
      <c r="G25" s="589"/>
      <c r="H25" s="589"/>
      <c r="I25" s="589"/>
      <c r="J25" s="589"/>
      <c r="K25" s="589"/>
      <c r="L25" s="589"/>
      <c r="M25" s="1457"/>
      <c r="N25" s="3546">
        <f t="shared" si="0"/>
        <v>779</v>
      </c>
    </row>
    <row r="26" spans="1:21">
      <c r="A26" s="4229"/>
      <c r="B26" s="584"/>
      <c r="C26" s="584"/>
      <c r="D26" s="584"/>
      <c r="E26" s="584"/>
      <c r="F26" s="584"/>
      <c r="G26" s="584"/>
      <c r="H26" s="584"/>
      <c r="I26" s="584"/>
      <c r="J26" s="584"/>
      <c r="K26" s="584"/>
      <c r="L26" s="584"/>
      <c r="M26" s="4228"/>
      <c r="N26" s="4232"/>
    </row>
    <row r="27" spans="1:21">
      <c r="A27" s="523" t="s">
        <v>970</v>
      </c>
      <c r="B27" s="520"/>
      <c r="C27" s="520"/>
      <c r="D27" s="520"/>
      <c r="E27" s="520"/>
      <c r="F27" s="520"/>
      <c r="G27" s="520"/>
      <c r="H27" s="520"/>
      <c r="I27" s="520"/>
      <c r="J27" s="520"/>
      <c r="K27" s="520"/>
      <c r="L27" s="520"/>
      <c r="M27" s="520"/>
      <c r="N27" s="520"/>
      <c r="O27" s="520"/>
      <c r="P27" s="520"/>
      <c r="Q27" s="520"/>
      <c r="R27" s="520"/>
    </row>
    <row r="28" spans="1:21" ht="15.75" thickBot="1">
      <c r="A28" s="520"/>
      <c r="B28" s="520"/>
      <c r="C28" s="520"/>
      <c r="D28" s="520"/>
      <c r="E28" s="520"/>
      <c r="F28" s="520"/>
      <c r="G28" s="520"/>
      <c r="H28" s="520"/>
      <c r="I28" s="520"/>
      <c r="J28" s="520"/>
      <c r="K28" s="520"/>
      <c r="L28" s="520"/>
      <c r="M28" s="520"/>
      <c r="N28" s="520"/>
      <c r="O28" s="520"/>
      <c r="P28" s="520"/>
      <c r="Q28" s="520"/>
      <c r="R28" s="520"/>
    </row>
    <row r="29" spans="1:21" ht="27" customHeight="1" thickBot="1">
      <c r="A29" s="31" t="s">
        <v>726</v>
      </c>
      <c r="B29" s="410">
        <v>2004</v>
      </c>
      <c r="C29" s="553">
        <v>2005</v>
      </c>
      <c r="D29" s="553">
        <v>2006</v>
      </c>
      <c r="E29" s="553">
        <v>2007</v>
      </c>
      <c r="F29" s="553">
        <v>2008</v>
      </c>
      <c r="G29" s="553">
        <v>2009</v>
      </c>
      <c r="H29" s="553">
        <v>2010</v>
      </c>
      <c r="I29" s="553">
        <v>2011</v>
      </c>
      <c r="J29" s="553">
        <v>2012</v>
      </c>
      <c r="K29" s="553">
        <v>2013</v>
      </c>
      <c r="L29" s="553">
        <v>2014</v>
      </c>
      <c r="M29" s="553">
        <v>2015</v>
      </c>
      <c r="N29" s="553">
        <v>2016</v>
      </c>
      <c r="O29" s="553">
        <v>2017</v>
      </c>
      <c r="P29" s="553">
        <v>2018</v>
      </c>
      <c r="Q29" s="553">
        <v>2019</v>
      </c>
      <c r="R29" s="553">
        <v>2020</v>
      </c>
      <c r="S29" s="553">
        <v>2021</v>
      </c>
      <c r="T29" s="553">
        <v>2022</v>
      </c>
      <c r="U29" s="566">
        <v>2023</v>
      </c>
    </row>
    <row r="30" spans="1:21">
      <c r="A30" s="388" t="s">
        <v>783</v>
      </c>
      <c r="B30" s="381"/>
      <c r="C30" s="392">
        <v>52440</v>
      </c>
      <c r="D30" s="392">
        <v>47310</v>
      </c>
      <c r="E30" s="392">
        <v>37290</v>
      </c>
      <c r="F30" s="392">
        <v>31470</v>
      </c>
      <c r="G30" s="392">
        <v>38880</v>
      </c>
      <c r="H30" s="392">
        <v>39030</v>
      </c>
      <c r="I30" s="392">
        <v>50880</v>
      </c>
      <c r="J30" s="392">
        <v>34470</v>
      </c>
      <c r="K30" s="392">
        <v>41550</v>
      </c>
      <c r="L30" s="392">
        <v>44220</v>
      </c>
      <c r="M30" s="392">
        <v>33900</v>
      </c>
      <c r="N30" s="392">
        <v>17400</v>
      </c>
      <c r="O30" s="392">
        <v>30180</v>
      </c>
      <c r="P30" s="392">
        <v>41850</v>
      </c>
      <c r="Q30" s="392">
        <v>41400</v>
      </c>
      <c r="R30" s="392">
        <f>9000+9030+10020</f>
        <v>28050</v>
      </c>
      <c r="S30" s="4231">
        <f>9870+8250+13650</f>
        <v>31770</v>
      </c>
      <c r="T30" s="4231">
        <f>12630+11580+9600</f>
        <v>33810</v>
      </c>
      <c r="U30" s="4626">
        <f>12600+9990</f>
        <v>22590</v>
      </c>
    </row>
    <row r="31" spans="1:21">
      <c r="A31" s="388" t="s">
        <v>784</v>
      </c>
      <c r="B31" s="572"/>
      <c r="C31" s="396">
        <v>65760</v>
      </c>
      <c r="D31" s="396">
        <v>45420</v>
      </c>
      <c r="E31" s="396">
        <v>44730</v>
      </c>
      <c r="F31" s="396">
        <v>26610</v>
      </c>
      <c r="G31" s="396">
        <v>52560</v>
      </c>
      <c r="H31" s="396">
        <v>37200</v>
      </c>
      <c r="I31" s="396">
        <v>27990</v>
      </c>
      <c r="J31" s="396">
        <v>42660</v>
      </c>
      <c r="K31" s="396">
        <v>39540</v>
      </c>
      <c r="L31" s="396">
        <v>43710</v>
      </c>
      <c r="M31" s="396">
        <v>35370</v>
      </c>
      <c r="N31" s="396">
        <v>18330</v>
      </c>
      <c r="O31" s="396">
        <v>35910</v>
      </c>
      <c r="P31" s="396">
        <v>41580</v>
      </c>
      <c r="Q31" s="396">
        <v>39750</v>
      </c>
      <c r="R31" s="396">
        <f>3030+4710+10080</f>
        <v>17820</v>
      </c>
      <c r="S31" s="4230">
        <f>12300+10800+13980</f>
        <v>37080</v>
      </c>
      <c r="T31" s="4230">
        <f>7110+15120+10860</f>
        <v>33090</v>
      </c>
      <c r="U31" s="4627"/>
    </row>
    <row r="32" spans="1:21">
      <c r="A32" s="388" t="s">
        <v>785</v>
      </c>
      <c r="B32" s="388"/>
      <c r="C32" s="396">
        <v>46230</v>
      </c>
      <c r="D32" s="396">
        <v>33690</v>
      </c>
      <c r="E32" s="396">
        <v>27030</v>
      </c>
      <c r="F32" s="396">
        <v>26010</v>
      </c>
      <c r="G32" s="396">
        <v>47880</v>
      </c>
      <c r="H32" s="396">
        <v>37950</v>
      </c>
      <c r="I32" s="396">
        <v>23100</v>
      </c>
      <c r="J32" s="396">
        <v>38670</v>
      </c>
      <c r="K32" s="396">
        <v>36210</v>
      </c>
      <c r="L32" s="396">
        <v>35460</v>
      </c>
      <c r="M32" s="396">
        <v>36780</v>
      </c>
      <c r="N32" s="396">
        <v>10920</v>
      </c>
      <c r="O32" s="396">
        <v>35760</v>
      </c>
      <c r="P32" s="396">
        <v>34800</v>
      </c>
      <c r="Q32" s="396">
        <v>28500</v>
      </c>
      <c r="R32" s="396">
        <f>11340+9450+11370</f>
        <v>32160</v>
      </c>
      <c r="S32" s="4230">
        <f>11100+13140+11760</f>
        <v>36000</v>
      </c>
      <c r="T32" s="4230">
        <f>7740+6690+9090</f>
        <v>23520</v>
      </c>
      <c r="U32" s="4627"/>
    </row>
    <row r="33" spans="1:21" ht="15.75" thickBot="1">
      <c r="A33" s="574" t="s">
        <v>605</v>
      </c>
      <c r="B33" s="1079">
        <v>13410</v>
      </c>
      <c r="C33" s="1039">
        <v>43980</v>
      </c>
      <c r="D33" s="1039">
        <v>37320</v>
      </c>
      <c r="E33" s="1039">
        <v>44760</v>
      </c>
      <c r="F33" s="1039">
        <v>31950</v>
      </c>
      <c r="G33" s="1039">
        <v>41910</v>
      </c>
      <c r="H33" s="1039">
        <v>40770</v>
      </c>
      <c r="I33" s="1039">
        <v>39600</v>
      </c>
      <c r="J33" s="1039">
        <v>38670</v>
      </c>
      <c r="K33" s="1039">
        <v>47610</v>
      </c>
      <c r="L33" s="1039">
        <v>39240</v>
      </c>
      <c r="M33" s="1039">
        <v>36240</v>
      </c>
      <c r="N33" s="1038">
        <v>32340</v>
      </c>
      <c r="O33" s="1039">
        <v>35850</v>
      </c>
      <c r="P33" s="1039">
        <v>37410</v>
      </c>
      <c r="Q33" s="1039">
        <v>37080</v>
      </c>
      <c r="R33" s="1039">
        <f>11010+10650+13560</f>
        <v>35220</v>
      </c>
      <c r="S33" s="4628">
        <f>12240+13830+12030</f>
        <v>38100</v>
      </c>
      <c r="T33" s="4628">
        <f>9990+10740+6180</f>
        <v>26910</v>
      </c>
      <c r="U33" s="4629"/>
    </row>
    <row r="34" spans="1:21" ht="15.75" thickBot="1">
      <c r="A34" s="576" t="s">
        <v>8</v>
      </c>
      <c r="B34" s="3541">
        <f>SUM(B30:B33)</f>
        <v>13410</v>
      </c>
      <c r="C34" s="3542">
        <f t="shared" ref="C34:R34" si="1">SUM(C30:C33)</f>
        <v>208410</v>
      </c>
      <c r="D34" s="3542">
        <f t="shared" si="1"/>
        <v>163740</v>
      </c>
      <c r="E34" s="3542">
        <f t="shared" si="1"/>
        <v>153810</v>
      </c>
      <c r="F34" s="3542">
        <f t="shared" si="1"/>
        <v>116040</v>
      </c>
      <c r="G34" s="3542">
        <f t="shared" si="1"/>
        <v>181230</v>
      </c>
      <c r="H34" s="3542">
        <f t="shared" si="1"/>
        <v>154950</v>
      </c>
      <c r="I34" s="3542">
        <f t="shared" si="1"/>
        <v>141570</v>
      </c>
      <c r="J34" s="3542">
        <f t="shared" si="1"/>
        <v>154470</v>
      </c>
      <c r="K34" s="3542">
        <f t="shared" si="1"/>
        <v>164910</v>
      </c>
      <c r="L34" s="3542">
        <f t="shared" si="1"/>
        <v>162630</v>
      </c>
      <c r="M34" s="3542">
        <f t="shared" si="1"/>
        <v>142290</v>
      </c>
      <c r="N34" s="3542">
        <f t="shared" si="1"/>
        <v>78990</v>
      </c>
      <c r="O34" s="3542">
        <f t="shared" si="1"/>
        <v>137700</v>
      </c>
      <c r="P34" s="3542">
        <f t="shared" si="1"/>
        <v>155640</v>
      </c>
      <c r="Q34" s="3547">
        <f t="shared" si="1"/>
        <v>146730</v>
      </c>
      <c r="R34" s="3547">
        <f t="shared" si="1"/>
        <v>113250</v>
      </c>
      <c r="S34" s="3547">
        <f>SUM(S30:S33)</f>
        <v>142950</v>
      </c>
      <c r="T34" s="3547">
        <f>SUM(T30:T33)</f>
        <v>117330</v>
      </c>
      <c r="U34" s="3875">
        <f>SUM(U30:U33)</f>
        <v>22590</v>
      </c>
    </row>
    <row r="35" spans="1:21" ht="15.75" thickBot="1">
      <c r="A35" s="400" t="s">
        <v>971</v>
      </c>
      <c r="B35" s="3543">
        <f>B34*0.13</f>
        <v>1743.3</v>
      </c>
      <c r="C35" s="3544">
        <f t="shared" ref="C35:M35" si="2">C34*0.13</f>
        <v>27093.3</v>
      </c>
      <c r="D35" s="3544">
        <f t="shared" si="2"/>
        <v>21286.2</v>
      </c>
      <c r="E35" s="3544">
        <f t="shared" si="2"/>
        <v>19995.3</v>
      </c>
      <c r="F35" s="3544">
        <f t="shared" si="2"/>
        <v>15085.2</v>
      </c>
      <c r="G35" s="3544">
        <f t="shared" si="2"/>
        <v>23559.9</v>
      </c>
      <c r="H35" s="3544">
        <f t="shared" si="2"/>
        <v>20143.5</v>
      </c>
      <c r="I35" s="3544">
        <f t="shared" si="2"/>
        <v>18404.100000000002</v>
      </c>
      <c r="J35" s="3544">
        <f t="shared" si="2"/>
        <v>20081.100000000002</v>
      </c>
      <c r="K35" s="3544">
        <f t="shared" si="2"/>
        <v>21438.3</v>
      </c>
      <c r="L35" s="3544">
        <f t="shared" si="2"/>
        <v>21141.9</v>
      </c>
      <c r="M35" s="3544">
        <f t="shared" si="2"/>
        <v>18497.7</v>
      </c>
      <c r="N35" s="3544">
        <f>(N30+N31+N32)*0.13+N33*0.25</f>
        <v>14149.5</v>
      </c>
      <c r="O35" s="3544">
        <f t="shared" ref="O35:U35" si="3">(O30+O31+O32+O33)*0.25</f>
        <v>34425</v>
      </c>
      <c r="P35" s="3544">
        <f t="shared" si="3"/>
        <v>38910</v>
      </c>
      <c r="Q35" s="3548">
        <f t="shared" si="3"/>
        <v>36682.5</v>
      </c>
      <c r="R35" s="3548">
        <f t="shared" si="3"/>
        <v>28312.5</v>
      </c>
      <c r="S35" s="3548">
        <f t="shared" si="3"/>
        <v>35737.5</v>
      </c>
      <c r="T35" s="3548">
        <f t="shared" si="3"/>
        <v>29332.5</v>
      </c>
      <c r="U35" s="3876">
        <f t="shared" si="3"/>
        <v>5647.5</v>
      </c>
    </row>
    <row r="36" spans="1:21" ht="15.75" thickBot="1">
      <c r="A36" s="400" t="s">
        <v>600</v>
      </c>
      <c r="B36" s="577">
        <f t="shared" ref="B36:I36" si="4">B34-B35</f>
        <v>11666.7</v>
      </c>
      <c r="C36" s="578">
        <f t="shared" si="4"/>
        <v>181316.7</v>
      </c>
      <c r="D36" s="578">
        <f t="shared" si="4"/>
        <v>142453.79999999999</v>
      </c>
      <c r="E36" s="578">
        <f t="shared" si="4"/>
        <v>133814.70000000001</v>
      </c>
      <c r="F36" s="578">
        <f t="shared" si="4"/>
        <v>100954.8</v>
      </c>
      <c r="G36" s="578">
        <f t="shared" si="4"/>
        <v>157670.1</v>
      </c>
      <c r="H36" s="578">
        <f t="shared" si="4"/>
        <v>134806.5</v>
      </c>
      <c r="I36" s="578">
        <f t="shared" si="4"/>
        <v>123165.9</v>
      </c>
      <c r="J36" s="578">
        <f t="shared" ref="J36:Q36" si="5">J34-J35</f>
        <v>134388.9</v>
      </c>
      <c r="K36" s="578">
        <f t="shared" si="5"/>
        <v>143471.70000000001</v>
      </c>
      <c r="L36" s="578">
        <f t="shared" si="5"/>
        <v>141488.1</v>
      </c>
      <c r="M36" s="578">
        <f t="shared" si="5"/>
        <v>123792.3</v>
      </c>
      <c r="N36" s="578">
        <f t="shared" si="5"/>
        <v>64840.5</v>
      </c>
      <c r="O36" s="578">
        <f t="shared" si="5"/>
        <v>103275</v>
      </c>
      <c r="P36" s="578">
        <f t="shared" si="5"/>
        <v>116730</v>
      </c>
      <c r="Q36" s="3549">
        <f t="shared" si="5"/>
        <v>110047.5</v>
      </c>
      <c r="R36" s="3549">
        <f>R34-R35</f>
        <v>84937.5</v>
      </c>
      <c r="S36" s="3549">
        <f>S34-S35</f>
        <v>107212.5</v>
      </c>
      <c r="T36" s="3549">
        <f>T34-T35</f>
        <v>87997.5</v>
      </c>
      <c r="U36" s="3877">
        <f>U34-U35</f>
        <v>16942.5</v>
      </c>
    </row>
    <row r="39" spans="1:21" ht="15.75">
      <c r="A39" s="4618" t="s">
        <v>8300</v>
      </c>
    </row>
    <row r="40" spans="1:21" ht="15.75" thickBot="1"/>
    <row r="41" spans="1:21" ht="15.75" thickBot="1">
      <c r="A41" s="551">
        <v>2023</v>
      </c>
      <c r="B41" s="553" t="s">
        <v>964</v>
      </c>
      <c r="C41" s="553" t="s">
        <v>723</v>
      </c>
      <c r="D41" s="553" t="s">
        <v>722</v>
      </c>
      <c r="E41" s="553" t="s">
        <v>721</v>
      </c>
      <c r="F41" s="553" t="s">
        <v>720</v>
      </c>
      <c r="G41" s="553" t="s">
        <v>719</v>
      </c>
      <c r="H41" s="553" t="s">
        <v>718</v>
      </c>
      <c r="I41" s="553" t="s">
        <v>965</v>
      </c>
      <c r="J41" s="553" t="s">
        <v>966</v>
      </c>
      <c r="K41" s="553" t="s">
        <v>967</v>
      </c>
      <c r="L41" s="553" t="s">
        <v>968</v>
      </c>
      <c r="M41" s="553" t="s">
        <v>969</v>
      </c>
      <c r="N41" s="551" t="s">
        <v>8</v>
      </c>
    </row>
    <row r="42" spans="1:21">
      <c r="A42" s="4620" t="s">
        <v>8298</v>
      </c>
      <c r="B42" s="580">
        <v>5</v>
      </c>
      <c r="C42" s="580">
        <v>126</v>
      </c>
      <c r="D42" s="580">
        <v>60</v>
      </c>
      <c r="E42" s="580">
        <v>348</v>
      </c>
      <c r="F42" s="580">
        <v>53</v>
      </c>
      <c r="G42" s="580"/>
      <c r="H42" s="580"/>
      <c r="I42" s="580"/>
      <c r="J42" s="580"/>
      <c r="K42" s="580"/>
      <c r="L42" s="580"/>
      <c r="M42" s="580"/>
      <c r="N42" s="3545">
        <f>SUM(B42:M42)</f>
        <v>592</v>
      </c>
    </row>
    <row r="43" spans="1:21">
      <c r="A43" s="4989" t="s">
        <v>8299</v>
      </c>
      <c r="B43" s="583">
        <v>473</v>
      </c>
      <c r="C43" s="583">
        <v>399</v>
      </c>
      <c r="D43" s="583">
        <v>345</v>
      </c>
      <c r="E43" s="583"/>
      <c r="F43" s="583">
        <v>273</v>
      </c>
      <c r="G43" s="583"/>
      <c r="H43" s="583"/>
      <c r="I43" s="583"/>
      <c r="J43" s="583"/>
      <c r="K43" s="583"/>
      <c r="L43" s="583"/>
      <c r="M43" s="583"/>
      <c r="N43" s="581">
        <f t="shared" ref="N43:N44" si="6">SUM(B43:M43)</f>
        <v>1490</v>
      </c>
    </row>
    <row r="44" spans="1:21" ht="15.75" thickBot="1">
      <c r="A44" s="4989" t="s">
        <v>8409</v>
      </c>
      <c r="B44" s="583"/>
      <c r="C44" s="583"/>
      <c r="D44" s="583"/>
      <c r="E44" s="583"/>
      <c r="F44" s="583"/>
      <c r="G44" s="583"/>
      <c r="H44" s="583"/>
      <c r="I44" s="583"/>
      <c r="J44" s="583"/>
      <c r="K44" s="583"/>
      <c r="L44" s="583"/>
      <c r="M44" s="583"/>
      <c r="N44" s="581">
        <f t="shared" si="6"/>
        <v>0</v>
      </c>
    </row>
    <row r="45" spans="1:21" ht="15.75" thickBot="1">
      <c r="A45" s="4987" t="s">
        <v>8</v>
      </c>
      <c r="B45" s="4988">
        <f>SUM(B42:B43)</f>
        <v>478</v>
      </c>
      <c r="C45" s="4988">
        <f>SUM(C42:C43)</f>
        <v>525</v>
      </c>
      <c r="D45" s="4988">
        <f>SUM(D42:D43)</f>
        <v>405</v>
      </c>
      <c r="E45" s="4988">
        <f>SUM(E42:E43)</f>
        <v>348</v>
      </c>
      <c r="F45" s="4988">
        <f>SUM(F42:F44)</f>
        <v>326</v>
      </c>
      <c r="G45" s="4988">
        <f t="shared" ref="G45:M45" si="7">SUM(G42:G44)</f>
        <v>0</v>
      </c>
      <c r="H45" s="4988">
        <f t="shared" si="7"/>
        <v>0</v>
      </c>
      <c r="I45" s="4988">
        <f t="shared" si="7"/>
        <v>0</v>
      </c>
      <c r="J45" s="4988">
        <f t="shared" si="7"/>
        <v>0</v>
      </c>
      <c r="K45" s="4988">
        <f t="shared" si="7"/>
        <v>0</v>
      </c>
      <c r="L45" s="4988">
        <f t="shared" si="7"/>
        <v>0</v>
      </c>
      <c r="M45" s="4988">
        <f t="shared" si="7"/>
        <v>0</v>
      </c>
      <c r="N45" s="4622">
        <f>SUM(N42:N44)</f>
        <v>2082</v>
      </c>
    </row>
    <row r="46" spans="1:21" ht="15.75" thickBot="1">
      <c r="A46" s="4990" t="s">
        <v>8438</v>
      </c>
      <c r="B46" s="4991">
        <v>1174</v>
      </c>
      <c r="C46" s="4991">
        <v>804</v>
      </c>
      <c r="D46" s="4991">
        <v>741</v>
      </c>
      <c r="E46" s="4991">
        <v>605</v>
      </c>
      <c r="F46" s="4991">
        <v>521</v>
      </c>
      <c r="G46" s="4991">
        <v>135</v>
      </c>
      <c r="H46" s="4991"/>
      <c r="I46" s="4991"/>
      <c r="J46" s="4991"/>
      <c r="K46" s="4991"/>
      <c r="L46" s="4991"/>
      <c r="M46" s="4991"/>
      <c r="N46" s="4630">
        <f>SUM(B46:M46)</f>
        <v>3980</v>
      </c>
    </row>
    <row r="47" spans="1:21" ht="15.75" thickBot="1">
      <c r="A47" s="4621" t="s">
        <v>656</v>
      </c>
      <c r="B47" s="1614">
        <f>B46-B45</f>
        <v>696</v>
      </c>
      <c r="C47" s="1614">
        <f>C46-C45</f>
        <v>279</v>
      </c>
      <c r="D47" s="1614">
        <f>D46-D45</f>
        <v>336</v>
      </c>
      <c r="E47" s="1614">
        <f>E46-E45</f>
        <v>257</v>
      </c>
      <c r="F47" s="1614">
        <f>F46-F45</f>
        <v>195</v>
      </c>
      <c r="G47" s="1614"/>
      <c r="H47" s="1614"/>
      <c r="I47" s="1614"/>
      <c r="J47" s="1614"/>
      <c r="K47" s="1614"/>
      <c r="L47" s="1614"/>
      <c r="M47" s="1614"/>
      <c r="N47" s="4472">
        <f>N46-N45</f>
        <v>1898</v>
      </c>
    </row>
    <row r="48" spans="1:21">
      <c r="A48" s="387"/>
      <c r="B48" s="387"/>
      <c r="C48" s="387"/>
      <c r="D48" s="387"/>
      <c r="E48" s="387"/>
      <c r="F48" s="387"/>
      <c r="G48" s="387"/>
      <c r="H48" s="387"/>
      <c r="I48" s="387"/>
      <c r="J48" s="387"/>
      <c r="K48" s="387"/>
      <c r="L48" s="387"/>
      <c r="M48" s="387"/>
      <c r="N48" s="4619"/>
    </row>
    <row r="49" spans="1:14" ht="16.5" thickBot="1">
      <c r="A49" s="4738" t="s">
        <v>8433</v>
      </c>
    </row>
    <row r="50" spans="1:14">
      <c r="A50" s="4631">
        <v>0.95</v>
      </c>
      <c r="B50" s="4623">
        <f>B45*95%</f>
        <v>454.09999999999997</v>
      </c>
      <c r="C50" s="4623">
        <f>C45*95%</f>
        <v>498.75</v>
      </c>
      <c r="D50" s="4623">
        <f>D45*95%</f>
        <v>384.75</v>
      </c>
      <c r="E50" s="4623">
        <f>E45*95%</f>
        <v>330.59999999999997</v>
      </c>
      <c r="F50" s="4623">
        <f>F45*95%</f>
        <v>309.7</v>
      </c>
      <c r="G50" s="4623">
        <f>G45*95%</f>
        <v>0</v>
      </c>
      <c r="H50" s="4623">
        <f>H45*95%</f>
        <v>0</v>
      </c>
      <c r="I50" s="4623">
        <f>I45*95%</f>
        <v>0</v>
      </c>
      <c r="J50" s="4623">
        <f>J45*95%</f>
        <v>0</v>
      </c>
      <c r="K50" s="4623">
        <f>K45*95%</f>
        <v>0</v>
      </c>
      <c r="L50" s="4623">
        <f>L45*95%</f>
        <v>0</v>
      </c>
      <c r="M50" s="4623">
        <f>M45*95%</f>
        <v>0</v>
      </c>
      <c r="N50" s="3545">
        <f>SUM(B50:M50)</f>
        <v>1977.8999999999999</v>
      </c>
    </row>
    <row r="51" spans="1:14">
      <c r="A51" s="4632" t="s">
        <v>8410</v>
      </c>
      <c r="B51" s="4550">
        <f>B50*24</f>
        <v>10898.4</v>
      </c>
      <c r="C51" s="4550">
        <f t="shared" ref="C51:M51" si="8">C50*24</f>
        <v>11970</v>
      </c>
      <c r="D51" s="4550">
        <f t="shared" si="8"/>
        <v>9234</v>
      </c>
      <c r="E51" s="4550">
        <f t="shared" si="8"/>
        <v>7934.4</v>
      </c>
      <c r="F51" s="4550">
        <f t="shared" si="8"/>
        <v>7432.7999999999993</v>
      </c>
      <c r="G51" s="4550">
        <f t="shared" si="8"/>
        <v>0</v>
      </c>
      <c r="H51" s="4550">
        <f t="shared" si="8"/>
        <v>0</v>
      </c>
      <c r="I51" s="4550">
        <f t="shared" si="8"/>
        <v>0</v>
      </c>
      <c r="J51" s="4550">
        <f t="shared" si="8"/>
        <v>0</v>
      </c>
      <c r="K51" s="4550">
        <f t="shared" si="8"/>
        <v>0</v>
      </c>
      <c r="L51" s="4550">
        <f t="shared" si="8"/>
        <v>0</v>
      </c>
      <c r="M51" s="4550">
        <f t="shared" si="8"/>
        <v>0</v>
      </c>
      <c r="N51" s="581">
        <f>SUM(B51:M51)</f>
        <v>47469.600000000006</v>
      </c>
    </row>
    <row r="52" spans="1:14" ht="15.75" thickBot="1">
      <c r="A52" s="4632" t="s">
        <v>8411</v>
      </c>
      <c r="B52" s="570"/>
      <c r="C52" s="570"/>
      <c r="D52" s="4550">
        <f>SUM(B51:D51)</f>
        <v>32102.400000000001</v>
      </c>
      <c r="E52" s="4550">
        <f>E50*24</f>
        <v>7934.4</v>
      </c>
      <c r="F52" s="570">
        <v>7432.8</v>
      </c>
      <c r="G52" s="570"/>
      <c r="H52" s="570"/>
      <c r="I52" s="570"/>
      <c r="J52" s="570"/>
      <c r="K52" s="570"/>
      <c r="L52" s="570"/>
      <c r="M52" s="570"/>
      <c r="N52" s="581"/>
    </row>
    <row r="53" spans="1:14" ht="15.75" thickBot="1">
      <c r="A53" s="1774" t="s">
        <v>8412</v>
      </c>
      <c r="B53" s="4624"/>
      <c r="C53" s="4624"/>
      <c r="D53" s="4625">
        <f>D52*1.21</f>
        <v>38843.904000000002</v>
      </c>
      <c r="E53" s="4625">
        <f>E52*1.21</f>
        <v>9600.6239999999998</v>
      </c>
      <c r="F53" s="4625">
        <f>F52*1.21</f>
        <v>8993.6880000000001</v>
      </c>
      <c r="G53" s="4624"/>
      <c r="H53" s="4624"/>
      <c r="I53" s="4624"/>
      <c r="J53" s="4624"/>
      <c r="K53" s="4624"/>
      <c r="L53" s="4624"/>
      <c r="M53" s="4624"/>
      <c r="N53" s="4630">
        <f>SUM(B53:M53)</f>
        <v>57438.216000000008</v>
      </c>
    </row>
    <row r="54" spans="1:14" ht="15.75" thickBot="1"/>
    <row r="55" spans="1:14">
      <c r="A55" s="551">
        <v>2023</v>
      </c>
      <c r="B55" s="553" t="s">
        <v>964</v>
      </c>
      <c r="C55" s="553" t="s">
        <v>723</v>
      </c>
      <c r="D55" s="553" t="s">
        <v>722</v>
      </c>
      <c r="E55" s="553" t="s">
        <v>721</v>
      </c>
      <c r="F55" s="553" t="s">
        <v>720</v>
      </c>
      <c r="G55" s="553" t="s">
        <v>719</v>
      </c>
      <c r="H55" s="553" t="s">
        <v>718</v>
      </c>
      <c r="I55" s="553" t="s">
        <v>965</v>
      </c>
      <c r="J55" s="553" t="s">
        <v>966</v>
      </c>
      <c r="K55" s="553" t="s">
        <v>967</v>
      </c>
      <c r="L55" s="553" t="s">
        <v>968</v>
      </c>
      <c r="M55" s="553" t="s">
        <v>969</v>
      </c>
      <c r="N55" s="551" t="s">
        <v>8</v>
      </c>
    </row>
    <row r="56" spans="1:14" ht="15.75" thickBot="1">
      <c r="A56" s="388" t="s">
        <v>8430</v>
      </c>
      <c r="B56" s="582"/>
      <c r="C56" s="583"/>
      <c r="D56" s="583"/>
      <c r="E56" s="583"/>
      <c r="F56" s="583">
        <v>1455</v>
      </c>
      <c r="G56" s="583"/>
      <c r="H56" s="583"/>
      <c r="I56" s="583"/>
      <c r="J56" s="583"/>
      <c r="K56" s="583"/>
      <c r="L56" s="583"/>
      <c r="M56" s="583"/>
      <c r="N56" s="581"/>
    </row>
    <row r="57" spans="1:14">
      <c r="A57" s="4620" t="s">
        <v>8</v>
      </c>
      <c r="B57" s="382">
        <f t="shared" ref="B57:N57" si="9">SUM(B56:B56)</f>
        <v>0</v>
      </c>
      <c r="C57" s="382">
        <f t="shared" si="9"/>
        <v>0</v>
      </c>
      <c r="D57" s="382">
        <f t="shared" si="9"/>
        <v>0</v>
      </c>
      <c r="E57" s="382">
        <f t="shared" si="9"/>
        <v>0</v>
      </c>
      <c r="F57" s="382">
        <f t="shared" si="9"/>
        <v>1455</v>
      </c>
      <c r="G57" s="382">
        <f t="shared" si="9"/>
        <v>0</v>
      </c>
      <c r="H57" s="382">
        <f t="shared" si="9"/>
        <v>0</v>
      </c>
      <c r="I57" s="382">
        <f t="shared" si="9"/>
        <v>0</v>
      </c>
      <c r="J57" s="382">
        <f t="shared" si="9"/>
        <v>0</v>
      </c>
      <c r="K57" s="382">
        <f t="shared" si="9"/>
        <v>0</v>
      </c>
      <c r="L57" s="382">
        <f t="shared" si="9"/>
        <v>0</v>
      </c>
      <c r="M57" s="382">
        <f t="shared" si="9"/>
        <v>0</v>
      </c>
      <c r="N57" s="4622">
        <f t="shared" si="9"/>
        <v>0</v>
      </c>
    </row>
    <row r="58" spans="1:14" ht="15.75" thickBot="1">
      <c r="A58" s="4621"/>
      <c r="B58" s="1614"/>
      <c r="C58" s="1614"/>
      <c r="D58" s="1614"/>
      <c r="E58" s="1614"/>
      <c r="F58" s="1614"/>
      <c r="G58" s="1614"/>
      <c r="H58" s="1614"/>
      <c r="I58" s="1614"/>
      <c r="J58" s="1614"/>
      <c r="K58" s="1614"/>
      <c r="L58" s="1614"/>
      <c r="M58" s="1614"/>
      <c r="N58" s="4472"/>
    </row>
    <row r="60" spans="1:14" ht="16.5" thickBot="1">
      <c r="A60" s="4738" t="s">
        <v>8432</v>
      </c>
    </row>
    <row r="61" spans="1:14">
      <c r="A61" s="4631">
        <v>1</v>
      </c>
      <c r="B61" s="4623"/>
      <c r="C61" s="4623"/>
      <c r="D61" s="4623"/>
      <c r="E61" s="4623"/>
      <c r="F61" s="4623">
        <f>F57</f>
        <v>1455</v>
      </c>
      <c r="G61" s="4623"/>
      <c r="H61" s="4623"/>
      <c r="I61" s="4623"/>
      <c r="J61" s="4623"/>
      <c r="K61" s="4623"/>
      <c r="L61" s="4623"/>
      <c r="M61" s="4623"/>
      <c r="N61" s="3545">
        <f>SUM(B61:M61)</f>
        <v>1455</v>
      </c>
    </row>
    <row r="62" spans="1:14">
      <c r="A62" s="4632" t="s">
        <v>8431</v>
      </c>
      <c r="B62" s="4550"/>
      <c r="C62" s="4550"/>
      <c r="D62" s="4550"/>
      <c r="E62" s="4550"/>
      <c r="F62" s="4550">
        <f>F61*6</f>
        <v>8730</v>
      </c>
      <c r="G62" s="4550"/>
      <c r="H62" s="4550"/>
      <c r="I62" s="4550"/>
      <c r="J62" s="4550"/>
      <c r="K62" s="4550"/>
      <c r="L62" s="4550"/>
      <c r="M62" s="4550"/>
      <c r="N62" s="581">
        <f>SUM(B62:M62)</f>
        <v>8730</v>
      </c>
    </row>
    <row r="63" spans="1:14" ht="15.75" thickBot="1">
      <c r="A63" s="4632" t="s">
        <v>8411</v>
      </c>
      <c r="B63" s="4550"/>
      <c r="C63" s="4550"/>
      <c r="D63" s="4550"/>
      <c r="E63" s="4550"/>
      <c r="F63" s="4550">
        <v>8730</v>
      </c>
      <c r="G63" s="4550"/>
      <c r="H63" s="4550"/>
      <c r="I63" s="4550"/>
      <c r="J63" s="4550"/>
      <c r="K63" s="4550"/>
      <c r="L63" s="4550"/>
      <c r="M63" s="4550"/>
      <c r="N63" s="581">
        <f>SUM(B63:M63)</f>
        <v>8730</v>
      </c>
    </row>
    <row r="64" spans="1:14" ht="15.75" thickBot="1">
      <c r="A64" s="1774" t="s">
        <v>8412</v>
      </c>
      <c r="B64" s="4624"/>
      <c r="C64" s="4624"/>
      <c r="D64" s="4625"/>
      <c r="E64" s="4625"/>
      <c r="F64" s="4625">
        <f>F63*1.21</f>
        <v>10563.3</v>
      </c>
      <c r="G64" s="4624"/>
      <c r="H64" s="4624"/>
      <c r="I64" s="4624"/>
      <c r="J64" s="4624"/>
      <c r="K64" s="4624"/>
      <c r="L64" s="4624"/>
      <c r="M64" s="4624"/>
      <c r="N64" s="4630">
        <f>SUM(B64:M64)</f>
        <v>10563.3</v>
      </c>
    </row>
  </sheetData>
  <mergeCells count="1">
    <mergeCell ref="A1:L1"/>
  </mergeCells>
  <hyperlinks>
    <hyperlink ref="A1" location="GLOBAAL!A1" display="Retributies blauwe zone" xr:uid="{00000000-0004-0000-3400-000000000000}"/>
    <hyperlink ref="A1:L1" location="FINANCIËN!A1" display="Retributies blauwe zone" xr:uid="{00000000-0004-0000-3400-000001000000}"/>
  </hyperlinks>
  <pageMargins left="0.7" right="0.7" top="0.75" bottom="0.75" header="0.3" footer="0.3"/>
  <pageSetup paperSize="9" orientation="landscape"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rgb="FFE0C816"/>
  </sheetPr>
  <dimension ref="A1:M37"/>
  <sheetViews>
    <sheetView workbookViewId="0">
      <selection activeCell="A3" sqref="A3"/>
    </sheetView>
  </sheetViews>
  <sheetFormatPr defaultColWidth="9.140625" defaultRowHeight="12.75"/>
  <cols>
    <col min="1" max="1" width="9.42578125" style="39" bestFit="1" customWidth="1"/>
    <col min="2" max="2" width="13.28515625" style="39" bestFit="1" customWidth="1"/>
    <col min="3" max="3" width="9.42578125" style="39" bestFit="1" customWidth="1"/>
    <col min="4" max="4" width="13.28515625" style="39" bestFit="1" customWidth="1"/>
    <col min="5" max="5" width="9.42578125" style="39" bestFit="1" customWidth="1"/>
    <col min="6" max="6" width="10.42578125" style="39" bestFit="1" customWidth="1"/>
    <col min="7" max="7" width="9.42578125" style="39" bestFit="1" customWidth="1"/>
    <col min="8" max="16384" width="9.140625" style="39"/>
  </cols>
  <sheetData>
    <row r="1" spans="1:13" ht="21">
      <c r="A1" s="4829" t="s">
        <v>972</v>
      </c>
      <c r="B1" s="4830"/>
      <c r="C1" s="4830"/>
      <c r="D1" s="4830"/>
      <c r="E1" s="4830"/>
      <c r="F1" s="4830"/>
      <c r="G1" s="4830"/>
      <c r="H1" s="4830"/>
      <c r="I1" s="4830"/>
      <c r="J1" s="4830"/>
      <c r="K1" s="4830"/>
      <c r="L1" s="4830"/>
      <c r="M1" s="4830"/>
    </row>
    <row r="2" spans="1:13" ht="13.5" thickBot="1">
      <c r="A2" s="42"/>
      <c r="B2" s="42"/>
      <c r="C2" s="42"/>
      <c r="D2" s="42"/>
      <c r="E2" s="42"/>
      <c r="F2" s="42"/>
      <c r="G2" s="42"/>
      <c r="H2" s="42"/>
    </row>
    <row r="3" spans="1:13" ht="27" customHeight="1" thickBot="1">
      <c r="A3" s="551" t="s">
        <v>634</v>
      </c>
      <c r="B3" s="410" t="s">
        <v>973</v>
      </c>
      <c r="C3" s="552" t="s">
        <v>636</v>
      </c>
      <c r="D3" s="410" t="s">
        <v>974</v>
      </c>
      <c r="E3" s="552" t="s">
        <v>636</v>
      </c>
      <c r="F3" s="553" t="s">
        <v>975</v>
      </c>
      <c r="G3" s="554" t="s">
        <v>636</v>
      </c>
      <c r="H3" s="42"/>
    </row>
    <row r="4" spans="1:13">
      <c r="A4" s="496">
        <v>1995</v>
      </c>
      <c r="B4" s="542">
        <v>765890</v>
      </c>
      <c r="C4" s="543"/>
      <c r="D4" s="542"/>
      <c r="E4" s="548"/>
      <c r="F4" s="534"/>
      <c r="G4" s="497"/>
      <c r="H4" s="42"/>
    </row>
    <row r="5" spans="1:13">
      <c r="A5" s="498">
        <v>1996</v>
      </c>
      <c r="B5" s="544">
        <v>903590</v>
      </c>
      <c r="C5" s="545">
        <f>((B5-B4)/B4)</f>
        <v>0.1797908315815587</v>
      </c>
      <c r="D5" s="544"/>
      <c r="E5" s="549"/>
      <c r="F5" s="535"/>
      <c r="G5" s="426"/>
      <c r="H5" s="42"/>
    </row>
    <row r="6" spans="1:13">
      <c r="A6" s="498">
        <v>1997</v>
      </c>
      <c r="B6" s="544">
        <v>1059957</v>
      </c>
      <c r="C6" s="545">
        <f t="shared" ref="C6:C32" si="0">((B6-B5)/B5)</f>
        <v>0.17305083057581425</v>
      </c>
      <c r="D6" s="544"/>
      <c r="E6" s="549"/>
      <c r="F6" s="535"/>
      <c r="G6" s="426"/>
      <c r="H6" s="42"/>
    </row>
    <row r="7" spans="1:13">
      <c r="A7" s="498">
        <v>1998</v>
      </c>
      <c r="B7" s="544">
        <v>1181824</v>
      </c>
      <c r="C7" s="545">
        <f t="shared" si="0"/>
        <v>0.11497353194516381</v>
      </c>
      <c r="D7" s="544"/>
      <c r="E7" s="549"/>
      <c r="F7" s="535"/>
      <c r="G7" s="426"/>
      <c r="H7" s="42"/>
    </row>
    <row r="8" spans="1:13">
      <c r="A8" s="498">
        <v>1999</v>
      </c>
      <c r="B8" s="544">
        <v>1184371</v>
      </c>
      <c r="C8" s="545">
        <f t="shared" si="0"/>
        <v>2.1551432362179141E-3</v>
      </c>
      <c r="D8" s="544"/>
      <c r="E8" s="549"/>
      <c r="F8" s="535"/>
      <c r="G8" s="426"/>
      <c r="H8" s="42"/>
    </row>
    <row r="9" spans="1:13">
      <c r="A9" s="498">
        <v>2000</v>
      </c>
      <c r="B9" s="544">
        <v>1281372</v>
      </c>
      <c r="C9" s="545">
        <f t="shared" si="0"/>
        <v>8.1900857079411776E-2</v>
      </c>
      <c r="D9" s="544"/>
      <c r="E9" s="549"/>
      <c r="F9" s="535"/>
      <c r="G9" s="426"/>
      <c r="H9" s="42"/>
    </row>
    <row r="10" spans="1:13">
      <c r="A10" s="498">
        <v>2001</v>
      </c>
      <c r="B10" s="544">
        <v>1244897</v>
      </c>
      <c r="C10" s="545">
        <f t="shared" si="0"/>
        <v>-2.8465582204075007E-2</v>
      </c>
      <c r="D10" s="544"/>
      <c r="E10" s="549"/>
      <c r="F10" s="535"/>
      <c r="G10" s="426"/>
      <c r="H10" s="228"/>
    </row>
    <row r="11" spans="1:13">
      <c r="A11" s="498">
        <v>2002</v>
      </c>
      <c r="B11" s="544">
        <v>1349621</v>
      </c>
      <c r="C11" s="545">
        <f t="shared" si="0"/>
        <v>8.4122622192840044E-2</v>
      </c>
      <c r="D11" s="544">
        <v>951789</v>
      </c>
      <c r="E11" s="549"/>
      <c r="F11" s="535"/>
      <c r="G11" s="426"/>
      <c r="H11" s="42"/>
    </row>
    <row r="12" spans="1:13">
      <c r="A12" s="498">
        <v>2003</v>
      </c>
      <c r="B12" s="544">
        <v>1390964</v>
      </c>
      <c r="C12" s="545">
        <f t="shared" si="0"/>
        <v>3.0633044388017082E-2</v>
      </c>
      <c r="D12" s="544">
        <v>836878</v>
      </c>
      <c r="E12" s="536">
        <f>((D12-D11)/D11)</f>
        <v>-0.12073159072021215</v>
      </c>
      <c r="F12" s="535"/>
      <c r="G12" s="426"/>
      <c r="H12" s="42"/>
    </row>
    <row r="13" spans="1:13">
      <c r="A13" s="498">
        <v>2004</v>
      </c>
      <c r="B13" s="544">
        <v>1422274</v>
      </c>
      <c r="C13" s="545">
        <f t="shared" si="0"/>
        <v>2.2509568903292969E-2</v>
      </c>
      <c r="D13" s="544">
        <v>836878</v>
      </c>
      <c r="E13" s="536">
        <f t="shared" ref="E13:E32" si="1">((D13-D12)/D12)</f>
        <v>0</v>
      </c>
      <c r="F13" s="535"/>
      <c r="G13" s="426"/>
      <c r="H13" s="42"/>
    </row>
    <row r="14" spans="1:13">
      <c r="A14" s="498">
        <v>2005</v>
      </c>
      <c r="B14" s="544">
        <v>1479104</v>
      </c>
      <c r="C14" s="545">
        <f t="shared" si="0"/>
        <v>3.9957139060406086E-2</v>
      </c>
      <c r="D14" s="544">
        <v>889536</v>
      </c>
      <c r="E14" s="536">
        <f t="shared" si="1"/>
        <v>6.292195517148258E-2</v>
      </c>
      <c r="F14" s="535"/>
      <c r="G14" s="426"/>
      <c r="H14" s="42"/>
    </row>
    <row r="15" spans="1:13">
      <c r="A15" s="498">
        <v>2006</v>
      </c>
      <c r="B15" s="544">
        <v>1558269</v>
      </c>
      <c r="C15" s="545">
        <f t="shared" si="0"/>
        <v>5.352226753494007E-2</v>
      </c>
      <c r="D15" s="544">
        <v>888147</v>
      </c>
      <c r="E15" s="536">
        <f t="shared" si="1"/>
        <v>-1.5614882365637816E-3</v>
      </c>
      <c r="F15" s="535"/>
      <c r="G15" s="536"/>
      <c r="H15" s="42"/>
    </row>
    <row r="16" spans="1:13">
      <c r="A16" s="498">
        <v>2007</v>
      </c>
      <c r="B16" s="544">
        <v>1595742</v>
      </c>
      <c r="C16" s="545">
        <f t="shared" si="0"/>
        <v>2.4047837696828982E-2</v>
      </c>
      <c r="D16" s="544">
        <v>904862</v>
      </c>
      <c r="E16" s="536">
        <f t="shared" si="1"/>
        <v>1.8820082711533112E-2</v>
      </c>
      <c r="F16" s="91">
        <v>471778.53</v>
      </c>
      <c r="G16" s="536"/>
      <c r="H16" s="42"/>
    </row>
    <row r="17" spans="1:7">
      <c r="A17" s="498">
        <v>2008</v>
      </c>
      <c r="B17" s="544">
        <v>1643614</v>
      </c>
      <c r="C17" s="545">
        <f t="shared" si="0"/>
        <v>2.9999837066392938E-2</v>
      </c>
      <c r="D17" s="544">
        <v>887351</v>
      </c>
      <c r="E17" s="536">
        <f t="shared" si="1"/>
        <v>-1.9352122202059542E-2</v>
      </c>
      <c r="F17" s="91">
        <v>512840.44</v>
      </c>
      <c r="G17" s="536">
        <f>((F17-F16)/F16)</f>
        <v>8.7036410919335339E-2</v>
      </c>
    </row>
    <row r="18" spans="1:7">
      <c r="A18" s="498">
        <v>2009</v>
      </c>
      <c r="B18" s="544">
        <v>1692922</v>
      </c>
      <c r="C18" s="545">
        <f t="shared" si="0"/>
        <v>2.9999744465549698E-2</v>
      </c>
      <c r="D18" s="544">
        <v>887351</v>
      </c>
      <c r="E18" s="536">
        <f t="shared" si="1"/>
        <v>0</v>
      </c>
      <c r="F18" s="91">
        <v>636317</v>
      </c>
      <c r="G18" s="536">
        <f t="shared" ref="G18:G27" si="2">((F18-F17)/F17)</f>
        <v>0.24076993616182063</v>
      </c>
    </row>
    <row r="19" spans="1:7">
      <c r="A19" s="498">
        <v>2010</v>
      </c>
      <c r="B19" s="544">
        <v>1555047</v>
      </c>
      <c r="C19" s="545">
        <f t="shared" si="0"/>
        <v>-8.1442027453125426E-2</v>
      </c>
      <c r="D19" s="544">
        <v>887351</v>
      </c>
      <c r="E19" s="536">
        <f t="shared" si="1"/>
        <v>0</v>
      </c>
      <c r="F19" s="91">
        <v>672734</v>
      </c>
      <c r="G19" s="536">
        <f t="shared" si="2"/>
        <v>5.723090849372247E-2</v>
      </c>
    </row>
    <row r="20" spans="1:7">
      <c r="A20" s="498">
        <v>2011</v>
      </c>
      <c r="B20" s="544">
        <v>1734601</v>
      </c>
      <c r="C20" s="545">
        <f t="shared" si="0"/>
        <v>0.11546532034079998</v>
      </c>
      <c r="D20" s="544">
        <v>887351</v>
      </c>
      <c r="E20" s="536">
        <f t="shared" si="1"/>
        <v>0</v>
      </c>
      <c r="F20" s="91">
        <v>721097</v>
      </c>
      <c r="G20" s="536">
        <f t="shared" si="2"/>
        <v>7.1890227043675509E-2</v>
      </c>
    </row>
    <row r="21" spans="1:7">
      <c r="A21" s="498">
        <v>2012</v>
      </c>
      <c r="B21" s="544">
        <v>1850543</v>
      </c>
      <c r="C21" s="545">
        <f t="shared" si="0"/>
        <v>6.6840731672586376E-2</v>
      </c>
      <c r="D21" s="544">
        <v>887351</v>
      </c>
      <c r="E21" s="536">
        <f t="shared" si="1"/>
        <v>0</v>
      </c>
      <c r="F21" s="91">
        <v>647813</v>
      </c>
      <c r="G21" s="536">
        <f t="shared" si="2"/>
        <v>-0.10162849103518666</v>
      </c>
    </row>
    <row r="22" spans="1:7">
      <c r="A22" s="498">
        <v>2013</v>
      </c>
      <c r="B22" s="544">
        <v>1905400</v>
      </c>
      <c r="C22" s="545">
        <f t="shared" si="0"/>
        <v>2.9643731596617859E-2</v>
      </c>
      <c r="D22" s="544">
        <v>1031018</v>
      </c>
      <c r="E22" s="536">
        <f t="shared" si="1"/>
        <v>0.16190549173889476</v>
      </c>
      <c r="F22" s="91">
        <v>650330.86</v>
      </c>
      <c r="G22" s="536">
        <f t="shared" si="2"/>
        <v>3.8867080469209263E-3</v>
      </c>
    </row>
    <row r="23" spans="1:7">
      <c r="A23" s="498">
        <v>2014</v>
      </c>
      <c r="B23" s="544">
        <v>1943508</v>
      </c>
      <c r="C23" s="545">
        <f t="shared" si="0"/>
        <v>0.02</v>
      </c>
      <c r="D23" s="544">
        <v>1051638</v>
      </c>
      <c r="E23" s="536">
        <f t="shared" si="1"/>
        <v>1.9999650830538361E-2</v>
      </c>
      <c r="F23" s="91">
        <v>742511</v>
      </c>
      <c r="G23" s="536">
        <f t="shared" si="2"/>
        <v>0.1417434504030764</v>
      </c>
    </row>
    <row r="24" spans="1:7">
      <c r="A24" s="498">
        <v>2015</v>
      </c>
      <c r="B24" s="544">
        <v>1104289</v>
      </c>
      <c r="C24" s="545">
        <f t="shared" si="0"/>
        <v>-0.43180630077159443</v>
      </c>
      <c r="D24" s="544">
        <v>1072670</v>
      </c>
      <c r="E24" s="536">
        <f t="shared" si="1"/>
        <v>1.9999277317860328E-2</v>
      </c>
      <c r="F24" s="91">
        <v>900023</v>
      </c>
      <c r="G24" s="536">
        <f t="shared" si="2"/>
        <v>0.21213423100802548</v>
      </c>
    </row>
    <row r="25" spans="1:7">
      <c r="A25" s="498">
        <v>2016</v>
      </c>
      <c r="B25" s="544">
        <v>1250000</v>
      </c>
      <c r="C25" s="545">
        <f t="shared" si="0"/>
        <v>0.1319500601744652</v>
      </c>
      <c r="D25" s="544">
        <v>1094123.3999999999</v>
      </c>
      <c r="E25" s="536">
        <f t="shared" si="1"/>
        <v>1.9999999999999914E-2</v>
      </c>
      <c r="F25" s="91">
        <v>799102</v>
      </c>
      <c r="G25" s="536">
        <f t="shared" si="2"/>
        <v>-0.11213157885965136</v>
      </c>
    </row>
    <row r="26" spans="1:7">
      <c r="A26" s="498">
        <v>2017</v>
      </c>
      <c r="B26" s="544">
        <v>1500000</v>
      </c>
      <c r="C26" s="545">
        <f t="shared" si="0"/>
        <v>0.2</v>
      </c>
      <c r="D26" s="544">
        <v>1116005.868</v>
      </c>
      <c r="E26" s="536">
        <f t="shared" si="1"/>
        <v>2.0000000000000101E-2</v>
      </c>
      <c r="F26" s="91">
        <v>844661.52</v>
      </c>
      <c r="G26" s="536">
        <f t="shared" si="2"/>
        <v>5.7013397538737257E-2</v>
      </c>
    </row>
    <row r="27" spans="1:7">
      <c r="A27" s="498">
        <v>2018</v>
      </c>
      <c r="B27" s="544">
        <v>1650000</v>
      </c>
      <c r="C27" s="545">
        <f t="shared" si="0"/>
        <v>0.1</v>
      </c>
      <c r="D27" s="544">
        <v>1138325.98536</v>
      </c>
      <c r="E27" s="536">
        <f t="shared" si="1"/>
        <v>2.0000000000000028E-2</v>
      </c>
      <c r="F27" s="91">
        <v>810822</v>
      </c>
      <c r="G27" s="536">
        <f t="shared" si="2"/>
        <v>-4.0062817115191912E-2</v>
      </c>
    </row>
    <row r="28" spans="1:7">
      <c r="A28" s="541">
        <v>2019</v>
      </c>
      <c r="B28" s="546">
        <v>1650000</v>
      </c>
      <c r="C28" s="545">
        <f t="shared" si="0"/>
        <v>0</v>
      </c>
      <c r="D28" s="546">
        <v>1161092.5050672002</v>
      </c>
      <c r="E28" s="536">
        <f t="shared" si="1"/>
        <v>2.0000000000000101E-2</v>
      </c>
      <c r="F28" s="91">
        <v>786959</v>
      </c>
      <c r="G28" s="536"/>
    </row>
    <row r="29" spans="1:7">
      <c r="A29" s="541">
        <v>2020</v>
      </c>
      <c r="B29" s="546">
        <v>1887000</v>
      </c>
      <c r="C29" s="545">
        <f t="shared" si="0"/>
        <v>0.14363636363636365</v>
      </c>
      <c r="D29" s="546">
        <v>1184314.3551685442</v>
      </c>
      <c r="E29" s="536">
        <f t="shared" si="1"/>
        <v>2.0000000000000046E-2</v>
      </c>
      <c r="F29" s="91">
        <v>762275</v>
      </c>
      <c r="G29" s="536"/>
    </row>
    <row r="30" spans="1:7">
      <c r="A30" s="541">
        <v>2021</v>
      </c>
      <c r="B30" s="546">
        <v>1924740</v>
      </c>
      <c r="C30" s="545">
        <f t="shared" si="0"/>
        <v>0.02</v>
      </c>
      <c r="D30" s="546">
        <v>1208000.6422719152</v>
      </c>
      <c r="E30" s="536">
        <f t="shared" si="1"/>
        <v>2.0000000000000094E-2</v>
      </c>
      <c r="F30" s="91">
        <v>736753</v>
      </c>
      <c r="G30" s="536"/>
    </row>
    <row r="31" spans="1:7">
      <c r="A31" s="541">
        <v>2022</v>
      </c>
      <c r="B31" s="546">
        <v>1963234.8</v>
      </c>
      <c r="C31" s="545">
        <f t="shared" si="0"/>
        <v>2.0000000000000025E-2</v>
      </c>
      <c r="D31" s="546">
        <v>1232161</v>
      </c>
      <c r="E31" s="536">
        <f t="shared" si="1"/>
        <v>2.0000285498727739E-2</v>
      </c>
      <c r="F31" s="91">
        <v>710373</v>
      </c>
      <c r="G31" s="536"/>
    </row>
    <row r="32" spans="1:7">
      <c r="A32" s="541">
        <v>2023</v>
      </c>
      <c r="B32" s="546">
        <v>2002499.496</v>
      </c>
      <c r="C32" s="545">
        <f t="shared" si="0"/>
        <v>1.9999999999999997E-2</v>
      </c>
      <c r="D32" s="546">
        <v>1256804</v>
      </c>
      <c r="E32" s="536">
        <f t="shared" si="1"/>
        <v>1.9999821451904418E-2</v>
      </c>
      <c r="F32" s="91">
        <v>683114</v>
      </c>
      <c r="G32" s="536"/>
    </row>
    <row r="33" spans="1:7">
      <c r="A33" s="541"/>
      <c r="B33" s="546"/>
      <c r="C33" s="545"/>
      <c r="D33" s="546"/>
      <c r="E33" s="550"/>
      <c r="F33" s="91"/>
      <c r="G33" s="536"/>
    </row>
    <row r="34" spans="1:7" ht="13.5" thickBot="1">
      <c r="A34" s="488"/>
      <c r="B34" s="452"/>
      <c r="C34" s="547"/>
      <c r="D34" s="452"/>
      <c r="E34" s="547"/>
      <c r="F34" s="537"/>
      <c r="G34" s="499"/>
    </row>
    <row r="35" spans="1:7">
      <c r="A35" s="538" t="s">
        <v>976</v>
      </c>
      <c r="B35" s="61"/>
      <c r="C35" s="539">
        <v>-3.6674355465584993E-2</v>
      </c>
      <c r="D35" s="61"/>
      <c r="E35" s="535"/>
      <c r="F35" s="42"/>
      <c r="G35" s="42"/>
    </row>
    <row r="37" spans="1:7">
      <c r="A37" s="540" t="s">
        <v>977</v>
      </c>
      <c r="B37" s="42"/>
      <c r="C37" s="42"/>
      <c r="D37" s="42"/>
      <c r="E37" s="42"/>
      <c r="F37" s="42"/>
      <c r="G37" s="42"/>
    </row>
  </sheetData>
  <mergeCells count="1">
    <mergeCell ref="A1:M1"/>
  </mergeCells>
  <hyperlinks>
    <hyperlink ref="A1" location="GLOBAAL!A1" display="OCMW en Politiezone" xr:uid="{00000000-0004-0000-3500-000000000000}"/>
    <hyperlink ref="A1:M1" location="FINANCIËN!A1" display="OCMW, Politiezone Spoorkin en HVZ Westhoek" xr:uid="{00000000-0004-0000-3500-000001000000}"/>
  </hyperlink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tint="-0.14999847407452621"/>
  </sheetPr>
  <dimension ref="A1:J28"/>
  <sheetViews>
    <sheetView workbookViewId="0">
      <selection activeCell="D11" sqref="D11"/>
    </sheetView>
  </sheetViews>
  <sheetFormatPr defaultColWidth="9.140625" defaultRowHeight="15"/>
  <cols>
    <col min="1" max="3" width="9.140625" style="4033"/>
    <col min="4" max="4" width="24.140625" style="4033" customWidth="1"/>
    <col min="5" max="16384" width="9.140625" style="4033"/>
  </cols>
  <sheetData>
    <row r="1" spans="1:10">
      <c r="A1" s="4057"/>
    </row>
    <row r="2" spans="1:10" ht="36">
      <c r="C2" s="4750" t="s">
        <v>105</v>
      </c>
      <c r="D2" s="4750"/>
      <c r="E2" s="4750"/>
      <c r="F2" s="4750"/>
      <c r="G2" s="4036"/>
      <c r="H2" s="4036"/>
      <c r="I2" s="4036"/>
      <c r="J2" s="4036"/>
    </row>
    <row r="3" spans="1:10" s="4058" customFormat="1" ht="15" customHeight="1">
      <c r="C3" s="4747"/>
      <c r="D3" s="4747"/>
      <c r="E3" s="4747"/>
    </row>
    <row r="5" spans="1:10" ht="27" customHeight="1">
      <c r="D5" s="6" t="s">
        <v>101</v>
      </c>
    </row>
    <row r="8" spans="1:10" ht="27" customHeight="1">
      <c r="D8" s="6" t="s">
        <v>103</v>
      </c>
    </row>
    <row r="9" spans="1:10" ht="15" customHeight="1"/>
    <row r="10" spans="1:10" ht="15.75" customHeight="1">
      <c r="D10" s="4038"/>
    </row>
    <row r="11" spans="1:10" ht="27" customHeight="1">
      <c r="C11" s="4042"/>
      <c r="D11" s="6" t="s">
        <v>100</v>
      </c>
    </row>
    <row r="12" spans="1:10" ht="15" customHeight="1">
      <c r="C12" s="4042"/>
    </row>
    <row r="13" spans="1:10">
      <c r="D13" s="4038"/>
    </row>
    <row r="14" spans="1:10" ht="27" customHeight="1">
      <c r="D14" s="7" t="s">
        <v>7042</v>
      </c>
    </row>
    <row r="15" spans="1:10" ht="15" customHeight="1">
      <c r="D15" s="4038"/>
    </row>
    <row r="16" spans="1:10" ht="15" customHeight="1">
      <c r="D16" s="4038"/>
    </row>
    <row r="17" spans="1:4" ht="27" customHeight="1">
      <c r="D17" s="6" t="s">
        <v>76</v>
      </c>
    </row>
    <row r="18" spans="1:4">
      <c r="D18" s="4038"/>
    </row>
    <row r="19" spans="1:4">
      <c r="D19" s="4038"/>
    </row>
    <row r="20" spans="1:4" s="4039" customFormat="1" ht="18.75">
      <c r="A20" s="4043" t="s">
        <v>7146</v>
      </c>
      <c r="B20" s="4044"/>
    </row>
    <row r="21" spans="1:4" s="4039" customFormat="1" ht="10.5" customHeight="1">
      <c r="A21" s="4043"/>
      <c r="B21" s="4044"/>
    </row>
    <row r="22" spans="1:4" s="4039" customFormat="1" ht="18.75">
      <c r="A22" s="4040" t="s">
        <v>7147</v>
      </c>
      <c r="B22" s="4040"/>
    </row>
    <row r="28" spans="1:4" ht="18.75">
      <c r="B28" s="4059"/>
      <c r="C28" s="4059"/>
    </row>
  </sheetData>
  <mergeCells count="2">
    <mergeCell ref="C3:E3"/>
    <mergeCell ref="C2:F2"/>
  </mergeCells>
  <hyperlinks>
    <hyperlink ref="A28:C28" location="BOORDTABELLEN!A1" display="Terug naar homepage" xr:uid="{00000000-0004-0000-0300-000000000000}"/>
    <hyperlink ref="A20:B20" location="BOORDTABELLEN!A1" display="Terug naar overzicht" xr:uid="{00000000-0004-0000-0300-000001000000}"/>
    <hyperlink ref="A22:B22" location="INDELING!A1" display="&gt; &gt; Terug naar indeling" xr:uid="{00000000-0004-0000-0300-000002000000}"/>
    <hyperlink ref="D8" location="'B-milieu'!A1" display="MILIEU &amp; AFVAL" xr:uid="{00000000-0004-0000-0300-000003000000}"/>
    <hyperlink ref="D5" location="'B-Burgerzaken'!A1" display="BURGERZAKEN" xr:uid="{00000000-0004-0000-0300-000004000000}"/>
    <hyperlink ref="D11" location="'B-Mobiliteit'!A1" display="MOBILITEIT" xr:uid="{00000000-0004-0000-0300-000005000000}"/>
    <hyperlink ref="D14" location="'B-onderwijs&amp;opvang'!A1" display="ONDERWIJS&amp;OPVANG" xr:uid="{00000000-0004-0000-0300-000006000000}"/>
    <hyperlink ref="D17" location="'B-wonen'!A1" display="WONEN" xr:uid="{00000000-0004-0000-0300-000007000000}"/>
    <hyperlink ref="C2:F2" location="BOORDTABELLEN!A1" display="BOORDTABELLEN BURGER" xr:uid="{00000000-0004-0000-0300-000008000000}"/>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4ED8B-F93C-4E6E-B6B3-9C613EF31141}">
  <sheetPr>
    <tabColor rgb="FFE0C816"/>
  </sheetPr>
  <dimension ref="A1:Q76"/>
  <sheetViews>
    <sheetView workbookViewId="0">
      <selection sqref="A1:L1"/>
    </sheetView>
  </sheetViews>
  <sheetFormatPr defaultRowHeight="15"/>
  <cols>
    <col min="1" max="1" width="21.85546875" style="1352" bestFit="1" customWidth="1"/>
    <col min="2" max="2" width="11.85546875" bestFit="1" customWidth="1"/>
    <col min="3" max="3" width="11.85546875" style="4540" bestFit="1" customWidth="1"/>
    <col min="4" max="4" width="10.7109375" bestFit="1" customWidth="1"/>
    <col min="15" max="15" width="9.85546875" customWidth="1"/>
    <col min="16" max="16" width="10.140625" bestFit="1" customWidth="1"/>
    <col min="17" max="17" width="9.42578125" bestFit="1" customWidth="1"/>
  </cols>
  <sheetData>
    <row r="1" spans="1:17" ht="27.75" customHeight="1">
      <c r="A1" s="4829" t="s">
        <v>8328</v>
      </c>
      <c r="B1" s="4830"/>
      <c r="C1" s="4830"/>
      <c r="D1" s="4830"/>
      <c r="E1" s="4830"/>
      <c r="F1" s="4830"/>
      <c r="G1" s="4830"/>
      <c r="H1" s="4830"/>
      <c r="I1" s="4830"/>
      <c r="J1" s="4830"/>
      <c r="K1" s="4830"/>
      <c r="L1" s="4830"/>
    </row>
    <row r="3" spans="1:17">
      <c r="A3" s="3599" t="s">
        <v>8329</v>
      </c>
      <c r="M3" s="3599" t="s">
        <v>8330</v>
      </c>
    </row>
    <row r="5" spans="1:17">
      <c r="A5" s="4602" t="s">
        <v>8318</v>
      </c>
      <c r="B5" s="4600" t="s">
        <v>4743</v>
      </c>
      <c r="C5" s="4600" t="s">
        <v>973</v>
      </c>
      <c r="D5" s="4601" t="s">
        <v>154</v>
      </c>
      <c r="M5" s="4888" t="s">
        <v>8323</v>
      </c>
      <c r="N5" s="4889"/>
      <c r="O5" s="4600" t="s">
        <v>4743</v>
      </c>
      <c r="P5" s="4600" t="s">
        <v>973</v>
      </c>
      <c r="Q5" s="4601" t="s">
        <v>154</v>
      </c>
    </row>
    <row r="6" spans="1:17">
      <c r="A6" s="4603" t="s">
        <v>8319</v>
      </c>
      <c r="B6" s="4542">
        <v>5060880</v>
      </c>
      <c r="C6" s="4542">
        <v>3253663</v>
      </c>
      <c r="D6" s="4595">
        <v>462663</v>
      </c>
      <c r="M6" s="3598"/>
      <c r="N6" s="4608" t="s">
        <v>8324</v>
      </c>
      <c r="O6" s="4542">
        <v>883508</v>
      </c>
      <c r="P6" s="4542">
        <v>9814285</v>
      </c>
      <c r="Q6" s="4595">
        <v>183795</v>
      </c>
    </row>
    <row r="7" spans="1:17">
      <c r="A7" s="4603" t="s">
        <v>989</v>
      </c>
      <c r="B7" s="4542">
        <v>9847715</v>
      </c>
      <c r="C7" s="4542">
        <v>14034415</v>
      </c>
      <c r="D7" s="4596">
        <v>0</v>
      </c>
      <c r="M7" s="3598"/>
      <c r="N7" s="4608" t="s">
        <v>8325</v>
      </c>
      <c r="O7" s="4542">
        <v>12400585</v>
      </c>
      <c r="P7" s="4542">
        <v>0</v>
      </c>
      <c r="Q7" s="4596"/>
    </row>
    <row r="8" spans="1:17">
      <c r="A8" s="4603" t="s">
        <v>8320</v>
      </c>
      <c r="B8" s="4542">
        <v>0</v>
      </c>
      <c r="C8" s="4542">
        <v>955471</v>
      </c>
      <c r="D8" s="4596">
        <v>0</v>
      </c>
      <c r="M8" s="3598"/>
      <c r="N8" s="4608" t="s">
        <v>8321</v>
      </c>
      <c r="O8" s="4542">
        <v>10028242</v>
      </c>
      <c r="P8" s="4542">
        <v>7472188</v>
      </c>
      <c r="Q8" s="4596"/>
    </row>
    <row r="9" spans="1:17">
      <c r="A9" s="4603" t="s">
        <v>8321</v>
      </c>
      <c r="B9" s="4542">
        <v>2895770</v>
      </c>
      <c r="C9" s="4542">
        <v>61524</v>
      </c>
      <c r="D9" s="4596">
        <v>0</v>
      </c>
      <c r="M9" s="3598"/>
      <c r="N9" s="4608" t="s">
        <v>8326</v>
      </c>
      <c r="O9" s="4542"/>
      <c r="P9" s="4542">
        <v>52698</v>
      </c>
      <c r="Q9" s="4596"/>
    </row>
    <row r="10" spans="1:17">
      <c r="A10" s="4603" t="s">
        <v>5060</v>
      </c>
      <c r="B10" s="4542">
        <v>730791</v>
      </c>
      <c r="C10" s="4542">
        <v>99829</v>
      </c>
      <c r="D10" s="4595">
        <v>21352</v>
      </c>
      <c r="M10" s="3598"/>
      <c r="N10" s="4608" t="s">
        <v>8327</v>
      </c>
      <c r="O10" s="4542">
        <v>154729</v>
      </c>
      <c r="P10" s="4542">
        <v>377784</v>
      </c>
      <c r="Q10" s="4595">
        <v>1241</v>
      </c>
    </row>
    <row r="11" spans="1:17">
      <c r="A11" s="4604" t="s">
        <v>8322</v>
      </c>
      <c r="B11" s="4597">
        <v>290266</v>
      </c>
      <c r="C11" s="4598">
        <v>3234</v>
      </c>
      <c r="D11" s="4599">
        <v>656</v>
      </c>
      <c r="M11" s="4197"/>
      <c r="N11" s="4609" t="s">
        <v>8322</v>
      </c>
      <c r="O11" s="4597">
        <v>1496510</v>
      </c>
      <c r="P11" s="4598">
        <v>322539</v>
      </c>
      <c r="Q11" s="4599">
        <v>9565</v>
      </c>
    </row>
    <row r="12" spans="1:17">
      <c r="B12" s="4539"/>
      <c r="C12" s="4539"/>
      <c r="D12" s="4539"/>
    </row>
    <row r="13" spans="1:17">
      <c r="B13" s="4539"/>
      <c r="C13" s="4539"/>
      <c r="D13" s="4539"/>
    </row>
    <row r="14" spans="1:17">
      <c r="B14" s="4539"/>
      <c r="C14" s="4539"/>
      <c r="D14" s="4539"/>
    </row>
    <row r="15" spans="1:17">
      <c r="B15" s="4539"/>
      <c r="C15" s="4539"/>
      <c r="D15" s="4539"/>
    </row>
    <row r="16" spans="1:17">
      <c r="B16" s="4539"/>
      <c r="C16" s="4539"/>
      <c r="D16" s="4539"/>
    </row>
    <row r="17" spans="2:4">
      <c r="B17" s="4539"/>
      <c r="C17" s="4539"/>
      <c r="D17" s="4539"/>
    </row>
    <row r="18" spans="2:4">
      <c r="B18" s="4539"/>
      <c r="C18" s="4539"/>
      <c r="D18" s="4539"/>
    </row>
    <row r="19" spans="2:4">
      <c r="B19" s="1352"/>
      <c r="D19" s="1352"/>
    </row>
    <row r="27" spans="2:4">
      <c r="B27" s="1352"/>
      <c r="D27" s="1352"/>
    </row>
    <row r="28" spans="2:4">
      <c r="B28" s="1352"/>
      <c r="D28" s="1352"/>
    </row>
    <row r="29" spans="2:4">
      <c r="B29" s="1352"/>
      <c r="D29" s="1352"/>
    </row>
    <row r="31" spans="2:4">
      <c r="B31" s="4541"/>
    </row>
    <row r="34" spans="1:17">
      <c r="A34" s="3599" t="s">
        <v>8331</v>
      </c>
    </row>
    <row r="36" spans="1:17">
      <c r="A36" s="4602" t="s">
        <v>8318</v>
      </c>
      <c r="B36" s="4600" t="s">
        <v>4743</v>
      </c>
      <c r="C36" s="4600" t="s">
        <v>973</v>
      </c>
      <c r="D36" s="4601" t="s">
        <v>154</v>
      </c>
      <c r="M36" s="4606" t="s">
        <v>8323</v>
      </c>
      <c r="N36" s="4607"/>
      <c r="O36" s="4600" t="s">
        <v>4743</v>
      </c>
      <c r="P36" s="4600" t="s">
        <v>973</v>
      </c>
      <c r="Q36" s="4601" t="s">
        <v>154</v>
      </c>
    </row>
    <row r="37" spans="1:17">
      <c r="A37" s="4603" t="s">
        <v>8319</v>
      </c>
      <c r="B37" s="4542">
        <v>4432826</v>
      </c>
      <c r="C37" s="4542">
        <v>2684025</v>
      </c>
      <c r="D37" s="4595">
        <v>381198</v>
      </c>
      <c r="M37" s="2433"/>
      <c r="N37" s="4608" t="s">
        <v>8324</v>
      </c>
      <c r="O37" s="4542">
        <v>956544</v>
      </c>
      <c r="P37" s="4542">
        <v>8074781</v>
      </c>
      <c r="Q37" s="4595">
        <v>249275</v>
      </c>
    </row>
    <row r="38" spans="1:17">
      <c r="A38" s="4603" t="s">
        <v>989</v>
      </c>
      <c r="B38" s="4542">
        <v>9864429</v>
      </c>
      <c r="C38" s="4542">
        <v>12626010</v>
      </c>
      <c r="D38" s="4596">
        <v>0</v>
      </c>
      <c r="M38" s="2433"/>
      <c r="N38" s="4608" t="s">
        <v>8325</v>
      </c>
      <c r="O38" s="4542">
        <v>11829950</v>
      </c>
      <c r="P38" s="4524">
        <v>0</v>
      </c>
      <c r="Q38" s="3271"/>
    </row>
    <row r="39" spans="1:17">
      <c r="A39" s="4603" t="s">
        <v>8320</v>
      </c>
      <c r="B39" s="4542">
        <v>0</v>
      </c>
      <c r="C39" s="4542">
        <v>710711</v>
      </c>
      <c r="D39" s="4596">
        <v>0</v>
      </c>
      <c r="M39" s="2433"/>
      <c r="N39" s="4608" t="s">
        <v>8321</v>
      </c>
      <c r="O39" s="4542">
        <v>10359260</v>
      </c>
      <c r="P39" s="4542">
        <v>6883103</v>
      </c>
      <c r="Q39" s="4595">
        <v>1120</v>
      </c>
    </row>
    <row r="40" spans="1:17">
      <c r="A40" s="4603" t="s">
        <v>8321</v>
      </c>
      <c r="B40" s="4542">
        <v>2955806</v>
      </c>
      <c r="C40" s="4542">
        <v>26683</v>
      </c>
      <c r="D40" s="4596">
        <v>0</v>
      </c>
      <c r="M40" s="2433"/>
      <c r="N40" s="4608" t="s">
        <v>8326</v>
      </c>
      <c r="O40" s="4542"/>
      <c r="P40" s="4542">
        <v>38942</v>
      </c>
      <c r="Q40" s="4596">
        <v>0</v>
      </c>
    </row>
    <row r="41" spans="1:17">
      <c r="A41" s="4603" t="s">
        <v>5060</v>
      </c>
      <c r="B41" s="4542">
        <v>704690</v>
      </c>
      <c r="C41" s="4542">
        <v>79125</v>
      </c>
      <c r="D41" s="4595">
        <v>19048</v>
      </c>
      <c r="M41" s="2433"/>
      <c r="N41" s="4608" t="s">
        <v>8327</v>
      </c>
      <c r="O41" s="4542">
        <v>192771</v>
      </c>
      <c r="P41" s="4542">
        <v>379187</v>
      </c>
      <c r="Q41" s="4596">
        <v>531</v>
      </c>
    </row>
    <row r="42" spans="1:17">
      <c r="A42" s="4604" t="s">
        <v>8322</v>
      </c>
      <c r="B42" s="4597">
        <v>315072</v>
      </c>
      <c r="C42" s="4598">
        <v>1657</v>
      </c>
      <c r="D42" s="4599">
        <v>167</v>
      </c>
      <c r="M42" s="2456"/>
      <c r="N42" s="4609" t="s">
        <v>8322</v>
      </c>
      <c r="O42" s="4597">
        <v>960760</v>
      </c>
      <c r="P42" s="4598">
        <v>0</v>
      </c>
      <c r="Q42" s="4605">
        <v>0</v>
      </c>
    </row>
    <row r="67" spans="1:17">
      <c r="A67" s="3599" t="s">
        <v>8405</v>
      </c>
      <c r="M67" s="3599" t="s">
        <v>8406</v>
      </c>
    </row>
    <row r="69" spans="1:17">
      <c r="M69" s="4616"/>
      <c r="N69" s="4617" t="s">
        <v>8323</v>
      </c>
      <c r="O69" s="4525" t="s">
        <v>4743</v>
      </c>
      <c r="P69" s="4525" t="s">
        <v>973</v>
      </c>
      <c r="Q69" s="4526" t="s">
        <v>154</v>
      </c>
    </row>
    <row r="70" spans="1:17">
      <c r="A70" s="4594" t="s">
        <v>8318</v>
      </c>
      <c r="B70" s="2423" t="s">
        <v>4743</v>
      </c>
      <c r="C70" s="2423" t="s">
        <v>973</v>
      </c>
      <c r="D70" s="2424" t="s">
        <v>154</v>
      </c>
      <c r="M70" s="2433"/>
      <c r="N70" s="4608" t="s">
        <v>8324</v>
      </c>
      <c r="O70" s="4542">
        <v>590206</v>
      </c>
      <c r="P70" s="4542">
        <v>8783336</v>
      </c>
      <c r="Q70" s="4595">
        <v>49108</v>
      </c>
    </row>
    <row r="71" spans="1:17">
      <c r="A71" s="4603" t="s">
        <v>8319</v>
      </c>
      <c r="B71" s="4610">
        <v>3098900</v>
      </c>
      <c r="C71" s="4610">
        <v>2391767</v>
      </c>
      <c r="D71" s="4611">
        <v>263190</v>
      </c>
      <c r="M71" s="2433"/>
      <c r="N71" s="4608" t="s">
        <v>8325</v>
      </c>
      <c r="O71" s="4542">
        <v>11545053</v>
      </c>
      <c r="P71" s="4524">
        <v>0</v>
      </c>
      <c r="Q71" s="3271"/>
    </row>
    <row r="72" spans="1:17">
      <c r="A72" s="4603" t="s">
        <v>989</v>
      </c>
      <c r="B72" s="4610">
        <v>9328932</v>
      </c>
      <c r="C72" s="4610">
        <v>13025192</v>
      </c>
      <c r="D72" s="4612">
        <v>0</v>
      </c>
      <c r="M72" s="2433"/>
      <c r="N72" s="4608" t="s">
        <v>8321</v>
      </c>
      <c r="O72" s="4542">
        <v>8405483</v>
      </c>
      <c r="P72" s="4542">
        <v>6564151</v>
      </c>
      <c r="Q72" s="4595">
        <v>1443</v>
      </c>
    </row>
    <row r="73" spans="1:17">
      <c r="A73" s="4603" t="s">
        <v>8320</v>
      </c>
      <c r="B73" s="4610">
        <v>0</v>
      </c>
      <c r="C73" s="4610">
        <v>690788</v>
      </c>
      <c r="D73" s="4612">
        <v>0</v>
      </c>
      <c r="M73" s="2433"/>
      <c r="N73" s="4608" t="s">
        <v>8326</v>
      </c>
      <c r="O73" s="4542"/>
      <c r="P73" s="4542">
        <v>37405</v>
      </c>
      <c r="Q73" s="4596">
        <v>0</v>
      </c>
    </row>
    <row r="74" spans="1:17">
      <c r="A74" s="4603" t="s">
        <v>8321</v>
      </c>
      <c r="B74" s="4610">
        <v>2938873</v>
      </c>
      <c r="C74" s="4610">
        <v>34022</v>
      </c>
      <c r="D74" s="4612">
        <v>0</v>
      </c>
      <c r="M74" s="2433"/>
      <c r="N74" s="4608" t="s">
        <v>8327</v>
      </c>
      <c r="O74" s="4542">
        <v>138957</v>
      </c>
      <c r="P74" s="4542">
        <v>320421</v>
      </c>
      <c r="Q74" s="4596">
        <v>1135</v>
      </c>
    </row>
    <row r="75" spans="1:17">
      <c r="A75" s="4603" t="s">
        <v>5060</v>
      </c>
      <c r="B75" s="4610">
        <v>719193</v>
      </c>
      <c r="C75" s="4610">
        <v>73413</v>
      </c>
      <c r="D75" s="4611">
        <v>973</v>
      </c>
      <c r="M75" s="2456"/>
      <c r="N75" s="4609" t="s">
        <v>8322</v>
      </c>
      <c r="O75" s="4597">
        <v>952905</v>
      </c>
      <c r="P75" s="4598">
        <v>950</v>
      </c>
      <c r="Q75" s="4605">
        <v>413</v>
      </c>
    </row>
    <row r="76" spans="1:17">
      <c r="A76" s="4604" t="s">
        <v>8322</v>
      </c>
      <c r="B76" s="4613">
        <v>358126</v>
      </c>
      <c r="C76" s="4614">
        <v>994</v>
      </c>
      <c r="D76" s="4615">
        <v>59</v>
      </c>
    </row>
  </sheetData>
  <mergeCells count="2">
    <mergeCell ref="A1:L1"/>
    <mergeCell ref="M5:N5"/>
  </mergeCells>
  <hyperlinks>
    <hyperlink ref="A1:L1" location="FINANCIËN!A1" display="Jaarrekening - Taartjes" xr:uid="{9A0A3EC6-68EC-4120-A15D-0A7085A0E849}"/>
  </hyperlinks>
  <pageMargins left="0.7" right="0.7" top="0.75" bottom="0.75" header="0.3" footer="0.3"/>
  <pageSetup paperSize="9" orientation="landscape"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604E0-C63F-4DD8-8796-465FBFF3F808}">
  <sheetPr>
    <tabColor rgb="FFE0C816"/>
  </sheetPr>
  <dimension ref="A1:S131"/>
  <sheetViews>
    <sheetView zoomScaleNormal="100" workbookViewId="0">
      <selection sqref="A1:I1"/>
    </sheetView>
  </sheetViews>
  <sheetFormatPr defaultRowHeight="15"/>
  <cols>
    <col min="1" max="1" width="35.7109375" bestFit="1" customWidth="1"/>
    <col min="2" max="2" width="12.7109375" bestFit="1" customWidth="1"/>
    <col min="3" max="6" width="12.42578125" bestFit="1" customWidth="1"/>
    <col min="7" max="7" width="13.42578125" bestFit="1" customWidth="1"/>
    <col min="8" max="8" width="13.5703125" bestFit="1" customWidth="1"/>
    <col min="9" max="9" width="13.5703125" customWidth="1"/>
  </cols>
  <sheetData>
    <row r="1" spans="1:9" ht="18.75" customHeight="1">
      <c r="A1" s="4829" t="s">
        <v>8333</v>
      </c>
      <c r="B1" s="4830"/>
      <c r="C1" s="4830"/>
      <c r="D1" s="4830"/>
      <c r="E1" s="4830"/>
      <c r="F1" s="4830"/>
      <c r="G1" s="4830"/>
      <c r="H1" s="4830"/>
      <c r="I1" s="4830"/>
    </row>
    <row r="2" spans="1:9">
      <c r="A2" s="4543"/>
    </row>
    <row r="3" spans="1:9">
      <c r="A3" s="4543"/>
    </row>
    <row r="4" spans="1:9">
      <c r="A4" s="4544" t="s">
        <v>8334</v>
      </c>
    </row>
    <row r="5" spans="1:9">
      <c r="A5" s="4543"/>
    </row>
    <row r="6" spans="1:9">
      <c r="A6" s="4171"/>
      <c r="B6" s="4556">
        <v>2015</v>
      </c>
      <c r="C6" s="4557">
        <v>2016</v>
      </c>
      <c r="D6" s="4557">
        <v>2017</v>
      </c>
      <c r="E6" s="4557">
        <v>2018</v>
      </c>
      <c r="F6" s="4557">
        <v>2019</v>
      </c>
      <c r="G6" s="4557">
        <v>2020</v>
      </c>
      <c r="H6" s="4557">
        <v>2021</v>
      </c>
      <c r="I6" s="4558">
        <v>2022</v>
      </c>
    </row>
    <row r="7" spans="1:9">
      <c r="A7" s="4554" t="s">
        <v>8335</v>
      </c>
      <c r="B7" s="4550">
        <v>8522971</v>
      </c>
      <c r="C7" s="4550">
        <v>8530955</v>
      </c>
      <c r="D7" s="4550">
        <v>8564303</v>
      </c>
      <c r="E7" s="4550">
        <v>8893163</v>
      </c>
      <c r="F7" s="4550">
        <v>9400932</v>
      </c>
      <c r="G7" s="4550">
        <v>9328932</v>
      </c>
      <c r="H7" s="4551">
        <f>9994360-499723-169679</f>
        <v>9324958</v>
      </c>
      <c r="I7" s="4552">
        <f>10110633-185501-77417</f>
        <v>9847715</v>
      </c>
    </row>
    <row r="8" spans="1:9">
      <c r="A8" s="4554" t="s">
        <v>8336</v>
      </c>
      <c r="B8" s="4550">
        <v>3079919</v>
      </c>
      <c r="C8" s="4550">
        <v>3264310</v>
      </c>
      <c r="D8" s="4550">
        <v>2834224</v>
      </c>
      <c r="E8" s="4550">
        <v>3137477</v>
      </c>
      <c r="F8" s="4550">
        <v>3064018</v>
      </c>
      <c r="G8" s="4550">
        <v>3098900</v>
      </c>
      <c r="H8" s="4551">
        <f>4470361-646974</f>
        <v>3823387</v>
      </c>
      <c r="I8" s="4552">
        <f>5060880-321997</f>
        <v>4738883</v>
      </c>
    </row>
    <row r="9" spans="1:9">
      <c r="A9" s="4554" t="s">
        <v>8337</v>
      </c>
      <c r="B9" s="4550">
        <v>4357760</v>
      </c>
      <c r="C9" s="4550">
        <v>2647031</v>
      </c>
      <c r="D9" s="4550">
        <v>3913267</v>
      </c>
      <c r="E9" s="4550">
        <v>3317620</v>
      </c>
      <c r="F9" s="4550">
        <v>4380078</v>
      </c>
      <c r="G9" s="4550">
        <v>3000285</v>
      </c>
      <c r="H9" s="4550">
        <v>2903397</v>
      </c>
      <c r="I9" s="4553">
        <v>3768172</v>
      </c>
    </row>
    <row r="10" spans="1:9">
      <c r="A10" s="4554" t="s">
        <v>8338</v>
      </c>
      <c r="B10" s="4550">
        <v>4292627</v>
      </c>
      <c r="C10" s="4550">
        <v>4337367</v>
      </c>
      <c r="D10" s="4550">
        <v>1825476</v>
      </c>
      <c r="E10" s="4550">
        <v>4268498</v>
      </c>
      <c r="F10" s="4550">
        <v>4303808</v>
      </c>
      <c r="G10" s="4550">
        <v>2938873</v>
      </c>
      <c r="H10" s="4550">
        <v>2955806</v>
      </c>
      <c r="I10" s="4553">
        <v>2895770</v>
      </c>
    </row>
    <row r="11" spans="1:9">
      <c r="A11" s="4554" t="s">
        <v>8339</v>
      </c>
      <c r="B11" s="4550">
        <v>634295</v>
      </c>
      <c r="C11" s="4550">
        <v>492495</v>
      </c>
      <c r="D11" s="4550">
        <v>640580</v>
      </c>
      <c r="E11" s="4550">
        <v>694160</v>
      </c>
      <c r="F11" s="4550">
        <v>586369</v>
      </c>
      <c r="G11" s="4550">
        <v>719193</v>
      </c>
      <c r="H11" s="4550">
        <v>704690</v>
      </c>
      <c r="I11" s="4553">
        <v>578870</v>
      </c>
    </row>
    <row r="12" spans="1:9">
      <c r="A12" s="4554" t="s">
        <v>8340</v>
      </c>
      <c r="B12" s="4550">
        <v>649109</v>
      </c>
      <c r="C12" s="4550">
        <v>1156123</v>
      </c>
      <c r="D12" s="4550">
        <v>-7412688</v>
      </c>
      <c r="E12" s="4550">
        <v>145593</v>
      </c>
      <c r="F12" s="4550">
        <v>172133</v>
      </c>
      <c r="G12" s="4550">
        <v>81677</v>
      </c>
      <c r="H12" s="4550">
        <v>162417</v>
      </c>
      <c r="I12" s="4553">
        <v>151921</v>
      </c>
    </row>
    <row r="13" spans="1:9">
      <c r="A13" s="4554" t="s">
        <v>8341</v>
      </c>
      <c r="B13" s="4550">
        <v>582020</v>
      </c>
      <c r="C13" s="4550">
        <v>498573</v>
      </c>
      <c r="D13" s="4550">
        <v>424802</v>
      </c>
      <c r="E13" s="4550">
        <v>389196</v>
      </c>
      <c r="F13" s="4550">
        <v>1352994</v>
      </c>
      <c r="G13" s="4550">
        <v>358126</v>
      </c>
      <c r="H13" s="4550">
        <v>314509</v>
      </c>
      <c r="I13" s="4553">
        <v>290266</v>
      </c>
    </row>
    <row r="14" spans="1:9">
      <c r="A14" s="4555"/>
      <c r="B14" s="4559">
        <f>SUM(B6:B13)</f>
        <v>22120716</v>
      </c>
      <c r="C14" s="4560">
        <f t="shared" ref="C14:G14" si="0">SUM(C6:C13)</f>
        <v>20928870</v>
      </c>
      <c r="D14" s="4560">
        <f t="shared" si="0"/>
        <v>10791981</v>
      </c>
      <c r="E14" s="4560">
        <f t="shared" si="0"/>
        <v>20847725</v>
      </c>
      <c r="F14" s="4560">
        <f t="shared" si="0"/>
        <v>23262351</v>
      </c>
      <c r="G14" s="4560">
        <f t="shared" si="0"/>
        <v>19528006</v>
      </c>
      <c r="H14" s="4560">
        <f>SUM(H6:H13)</f>
        <v>20191185</v>
      </c>
      <c r="I14" s="4561">
        <f>SUM(I6:I13)</f>
        <v>22273619</v>
      </c>
    </row>
    <row r="15" spans="1:9">
      <c r="A15" s="1352"/>
      <c r="G15" s="4547">
        <f t="shared" ref="G15:I17" si="1">(G7-F7)/F7</f>
        <v>-7.6588151047151491E-3</v>
      </c>
      <c r="H15" s="4547">
        <f t="shared" si="1"/>
        <v>-4.2598659739399966E-4</v>
      </c>
      <c r="I15" s="4547">
        <f t="shared" si="1"/>
        <v>5.6059984398857343E-2</v>
      </c>
    </row>
    <row r="16" spans="1:9">
      <c r="A16" s="4543"/>
      <c r="G16" s="4547">
        <f t="shared" si="1"/>
        <v>1.138439787233626E-2</v>
      </c>
      <c r="H16" s="4547">
        <f t="shared" si="1"/>
        <v>0.23378844105973087</v>
      </c>
      <c r="I16" s="4547">
        <f>(I8-H8)/H8</f>
        <v>0.23944633383960348</v>
      </c>
    </row>
    <row r="17" spans="1:9">
      <c r="A17" s="4543"/>
      <c r="F17" s="4176"/>
      <c r="G17" s="4547">
        <f t="shared" si="1"/>
        <v>-0.31501562300945324</v>
      </c>
      <c r="H17" s="4547">
        <f t="shared" si="1"/>
        <v>-3.229293217144371E-2</v>
      </c>
      <c r="I17" s="4547">
        <f t="shared" si="1"/>
        <v>0.29784938125926286</v>
      </c>
    </row>
    <row r="18" spans="1:9">
      <c r="A18" s="4543"/>
    </row>
    <row r="19" spans="1:9">
      <c r="A19" s="4543"/>
    </row>
    <row r="20" spans="1:9">
      <c r="A20" s="4543"/>
    </row>
    <row r="21" spans="1:9">
      <c r="A21" s="4543"/>
    </row>
    <row r="22" spans="1:9">
      <c r="A22" s="4544" t="s">
        <v>8342</v>
      </c>
    </row>
    <row r="23" spans="1:9">
      <c r="A23" s="4543"/>
    </row>
    <row r="24" spans="1:9">
      <c r="A24" s="4171"/>
      <c r="B24" s="4556">
        <v>2015</v>
      </c>
      <c r="C24" s="4557">
        <v>2016</v>
      </c>
      <c r="D24" s="4557">
        <v>2017</v>
      </c>
      <c r="E24" s="4557">
        <v>2018</v>
      </c>
      <c r="F24" s="4557">
        <v>2019</v>
      </c>
      <c r="G24" s="4557">
        <v>2020</v>
      </c>
      <c r="H24" s="4557">
        <v>2021</v>
      </c>
      <c r="I24" s="4558">
        <v>2022</v>
      </c>
    </row>
    <row r="25" spans="1:9">
      <c r="A25" s="4554" t="s">
        <v>8343</v>
      </c>
      <c r="B25" s="4563">
        <v>10784308</v>
      </c>
      <c r="C25" s="4550">
        <v>11070639</v>
      </c>
      <c r="D25" s="4550">
        <v>11563039</v>
      </c>
      <c r="E25" s="4550">
        <v>11879791</v>
      </c>
      <c r="F25" s="4550">
        <v>12433617</v>
      </c>
      <c r="G25" s="4550">
        <v>13025192</v>
      </c>
      <c r="H25" s="4550">
        <v>12625970</v>
      </c>
      <c r="I25" s="4553">
        <v>14034415</v>
      </c>
    </row>
    <row r="26" spans="1:9">
      <c r="A26" s="4554" t="s">
        <v>8336</v>
      </c>
      <c r="B26" s="4563">
        <v>2608121</v>
      </c>
      <c r="C26" s="4550">
        <v>2727245</v>
      </c>
      <c r="D26" s="4550">
        <v>2597028</v>
      </c>
      <c r="E26" s="4550">
        <v>2682527</v>
      </c>
      <c r="F26" s="4550">
        <v>2626007</v>
      </c>
      <c r="G26" s="4550">
        <v>2382472</v>
      </c>
      <c r="H26" s="4550">
        <v>2673344</v>
      </c>
      <c r="I26" s="4553">
        <v>3253663</v>
      </c>
    </row>
    <row r="27" spans="1:9">
      <c r="A27" s="4554" t="s">
        <v>8337</v>
      </c>
      <c r="B27" s="4563">
        <v>1365267</v>
      </c>
      <c r="C27" s="4550">
        <v>1027518</v>
      </c>
      <c r="D27" s="4550">
        <v>1859692</v>
      </c>
      <c r="E27" s="4550">
        <v>1435285</v>
      </c>
      <c r="F27" s="4550">
        <v>3383335</v>
      </c>
      <c r="G27" s="4550">
        <v>1659843</v>
      </c>
      <c r="H27" s="4550">
        <v>2183048</v>
      </c>
      <c r="I27" s="4553">
        <v>1278716</v>
      </c>
    </row>
    <row r="28" spans="1:9">
      <c r="A28" s="4554" t="s">
        <v>8320</v>
      </c>
      <c r="B28" s="4563">
        <v>487316</v>
      </c>
      <c r="C28" s="4550">
        <v>537703</v>
      </c>
      <c r="D28" s="4550">
        <v>691298</v>
      </c>
      <c r="E28" s="4550">
        <v>725877</v>
      </c>
      <c r="F28" s="4550">
        <v>743313</v>
      </c>
      <c r="G28" s="4550">
        <v>690788</v>
      </c>
      <c r="H28" s="4550">
        <v>710711</v>
      </c>
      <c r="I28" s="4553">
        <v>955471</v>
      </c>
    </row>
    <row r="29" spans="1:9">
      <c r="A29" s="4554" t="s">
        <v>8344</v>
      </c>
      <c r="B29" s="4563">
        <v>22179</v>
      </c>
      <c r="C29" s="4550">
        <v>22680</v>
      </c>
      <c r="D29" s="4550">
        <v>22237</v>
      </c>
      <c r="E29" s="4550">
        <v>22311</v>
      </c>
      <c r="F29" s="4550">
        <v>21704</v>
      </c>
      <c r="G29" s="4550">
        <v>34022</v>
      </c>
      <c r="H29" s="4550">
        <v>26683</v>
      </c>
      <c r="I29" s="4553">
        <v>61524</v>
      </c>
    </row>
    <row r="30" spans="1:9">
      <c r="A30" s="4554" t="s">
        <v>8345</v>
      </c>
      <c r="B30" s="4563"/>
      <c r="C30" s="4550"/>
      <c r="D30" s="4550"/>
      <c r="E30" s="4550"/>
      <c r="F30" s="4550"/>
      <c r="G30" s="4550">
        <v>6626</v>
      </c>
      <c r="H30" s="4550">
        <v>80679</v>
      </c>
      <c r="I30" s="4553">
        <v>0</v>
      </c>
    </row>
    <row r="31" spans="1:9">
      <c r="A31" s="4554" t="s">
        <v>8346</v>
      </c>
      <c r="B31" s="4563">
        <v>56615</v>
      </c>
      <c r="C31" s="4550">
        <v>88877</v>
      </c>
      <c r="D31" s="4550">
        <v>62979</v>
      </c>
      <c r="E31" s="4550">
        <v>71613</v>
      </c>
      <c r="F31" s="4550">
        <v>72586</v>
      </c>
      <c r="G31" s="4550">
        <v>73413</v>
      </c>
      <c r="H31" s="4550">
        <v>79125</v>
      </c>
      <c r="I31" s="4553">
        <v>99829</v>
      </c>
    </row>
    <row r="32" spans="1:9">
      <c r="A32" s="4554" t="s">
        <v>8341</v>
      </c>
      <c r="B32" s="4563">
        <v>92346</v>
      </c>
      <c r="C32" s="4550">
        <v>80554</v>
      </c>
      <c r="D32" s="4550">
        <v>70538</v>
      </c>
      <c r="E32" s="4550">
        <v>39554</v>
      </c>
      <c r="F32" s="4550">
        <v>32081</v>
      </c>
      <c r="G32" s="4550">
        <v>994</v>
      </c>
      <c r="H32" s="4550">
        <v>1657</v>
      </c>
      <c r="I32" s="4553">
        <v>3234</v>
      </c>
    </row>
    <row r="33" spans="1:10" s="3599" customFormat="1">
      <c r="A33" s="4562"/>
      <c r="B33" s="4567">
        <f t="shared" ref="B33:F33" si="2">SUM(B25:B32)</f>
        <v>15416152</v>
      </c>
      <c r="C33" s="4568">
        <f t="shared" si="2"/>
        <v>15555216</v>
      </c>
      <c r="D33" s="4568">
        <f t="shared" si="2"/>
        <v>16866811</v>
      </c>
      <c r="E33" s="4568">
        <f t="shared" si="2"/>
        <v>16856958</v>
      </c>
      <c r="F33" s="4568">
        <f t="shared" si="2"/>
        <v>19312643</v>
      </c>
      <c r="G33" s="4568">
        <f>SUM(G25:G32)</f>
        <v>17873350</v>
      </c>
      <c r="H33" s="4568">
        <f>SUM(H25:H32)</f>
        <v>18381217</v>
      </c>
      <c r="I33" s="4569">
        <f>SUM(I25:I32)</f>
        <v>19686852</v>
      </c>
    </row>
    <row r="34" spans="1:10">
      <c r="A34" s="4543"/>
    </row>
    <row r="35" spans="1:10">
      <c r="A35" s="4543"/>
      <c r="G35" s="4547">
        <f t="shared" ref="G35:I38" si="3">(G25-F25)/F25</f>
        <v>4.7578673205069769E-2</v>
      </c>
      <c r="H35" s="4547">
        <f t="shared" si="3"/>
        <v>-3.0649989650824341E-2</v>
      </c>
      <c r="I35" s="4547">
        <f t="shared" si="3"/>
        <v>0.11155142931592582</v>
      </c>
    </row>
    <row r="36" spans="1:10">
      <c r="A36" s="4543"/>
      <c r="G36" s="4547">
        <f t="shared" si="3"/>
        <v>-9.2739661394657363E-2</v>
      </c>
      <c r="H36" s="4547">
        <f t="shared" si="3"/>
        <v>0.12208831835169522</v>
      </c>
      <c r="I36" s="4547">
        <f t="shared" si="3"/>
        <v>0.21707606652941036</v>
      </c>
    </row>
    <row r="37" spans="1:10">
      <c r="A37" s="4543"/>
      <c r="G37" s="4547">
        <f t="shared" si="3"/>
        <v>-0.50940625152401398</v>
      </c>
      <c r="H37" s="4547">
        <f t="shared" si="3"/>
        <v>0.31521354730537765</v>
      </c>
      <c r="I37" s="4547">
        <f t="shared" si="3"/>
        <v>-0.4142519999560248</v>
      </c>
    </row>
    <row r="38" spans="1:10">
      <c r="A38" s="4543"/>
      <c r="H38" s="4547">
        <f t="shared" si="3"/>
        <v>2.8840975813129353E-2</v>
      </c>
      <c r="I38" s="4547">
        <f t="shared" si="3"/>
        <v>0.34438752179155802</v>
      </c>
    </row>
    <row r="39" spans="1:10">
      <c r="A39" s="4543" t="s">
        <v>8347</v>
      </c>
      <c r="B39" s="4545">
        <f t="shared" ref="B39:I39" si="4">B7</f>
        <v>8522971</v>
      </c>
      <c r="C39" s="4545">
        <f t="shared" si="4"/>
        <v>8530955</v>
      </c>
      <c r="D39" s="4545">
        <f t="shared" si="4"/>
        <v>8564303</v>
      </c>
      <c r="E39" s="4545">
        <f t="shared" si="4"/>
        <v>8893163</v>
      </c>
      <c r="F39" s="4545">
        <f t="shared" si="4"/>
        <v>9400932</v>
      </c>
      <c r="G39" s="4545">
        <f t="shared" si="4"/>
        <v>9328932</v>
      </c>
      <c r="H39" s="4545">
        <f t="shared" si="4"/>
        <v>9324958</v>
      </c>
      <c r="I39" s="4545">
        <f t="shared" si="4"/>
        <v>9847715</v>
      </c>
    </row>
    <row r="40" spans="1:10">
      <c r="A40" s="4543" t="s">
        <v>8348</v>
      </c>
      <c r="B40" s="4545">
        <f>B25</f>
        <v>10784308</v>
      </c>
      <c r="C40" s="4545">
        <f t="shared" ref="C40:J40" si="5">C25</f>
        <v>11070639</v>
      </c>
      <c r="D40" s="4545">
        <f t="shared" si="5"/>
        <v>11563039</v>
      </c>
      <c r="E40" s="4545">
        <f t="shared" si="5"/>
        <v>11879791</v>
      </c>
      <c r="F40" s="4545">
        <f t="shared" si="5"/>
        <v>12433617</v>
      </c>
      <c r="G40" s="4545">
        <f t="shared" si="5"/>
        <v>13025192</v>
      </c>
      <c r="H40" s="4545">
        <f t="shared" si="5"/>
        <v>12625970</v>
      </c>
      <c r="I40" s="4545">
        <f t="shared" si="5"/>
        <v>14034415</v>
      </c>
      <c r="J40" s="4545">
        <f t="shared" si="5"/>
        <v>0</v>
      </c>
    </row>
    <row r="41" spans="1:10">
      <c r="A41" s="4543" t="s">
        <v>8349</v>
      </c>
      <c r="B41" s="4548">
        <f t="shared" ref="B41:I41" si="6">B25+B7</f>
        <v>19307279</v>
      </c>
      <c r="C41" s="4548">
        <f t="shared" si="6"/>
        <v>19601594</v>
      </c>
      <c r="D41" s="4548">
        <f t="shared" si="6"/>
        <v>20127342</v>
      </c>
      <c r="E41" s="4548">
        <f t="shared" si="6"/>
        <v>20772954</v>
      </c>
      <c r="F41" s="4548">
        <f t="shared" si="6"/>
        <v>21834549</v>
      </c>
      <c r="G41" s="4548">
        <f t="shared" si="6"/>
        <v>22354124</v>
      </c>
      <c r="H41" s="4548">
        <f t="shared" si="6"/>
        <v>21950928</v>
      </c>
      <c r="I41" s="4548">
        <f t="shared" si="6"/>
        <v>23882130</v>
      </c>
    </row>
    <row r="42" spans="1:10">
      <c r="A42" s="4543"/>
      <c r="B42" s="4548"/>
      <c r="C42" s="4549">
        <f t="shared" ref="C42:I44" si="7">(C39-B39)/B39</f>
        <v>9.3676254442259625E-4</v>
      </c>
      <c r="D42" s="4549">
        <f t="shared" si="7"/>
        <v>3.9090582472888439E-3</v>
      </c>
      <c r="E42" s="4549">
        <f t="shared" si="7"/>
        <v>3.8398921663560945E-2</v>
      </c>
      <c r="F42" s="4549">
        <f t="shared" si="7"/>
        <v>5.7096558333632252E-2</v>
      </c>
      <c r="G42" s="4549">
        <f t="shared" si="7"/>
        <v>-7.6588151047151491E-3</v>
      </c>
      <c r="H42" s="4549">
        <f>(H39-G39)/G39</f>
        <v>-4.2598659739399966E-4</v>
      </c>
      <c r="I42" s="4549">
        <f t="shared" si="7"/>
        <v>5.6059984398857343E-2</v>
      </c>
    </row>
    <row r="43" spans="1:10">
      <c r="A43" s="4543"/>
      <c r="B43" s="4548"/>
      <c r="C43" s="4549">
        <f t="shared" si="7"/>
        <v>2.6550706823284351E-2</v>
      </c>
      <c r="D43" s="4549">
        <f t="shared" si="7"/>
        <v>4.4478010709228258E-2</v>
      </c>
      <c r="E43" s="4549">
        <f t="shared" si="7"/>
        <v>2.7393490586687462E-2</v>
      </c>
      <c r="F43" s="4549">
        <f t="shared" si="7"/>
        <v>4.6619170320420622E-2</v>
      </c>
      <c r="G43" s="4549">
        <f t="shared" si="7"/>
        <v>4.7578673205069769E-2</v>
      </c>
      <c r="H43" s="4549">
        <f t="shared" si="7"/>
        <v>-3.0649989650824341E-2</v>
      </c>
      <c r="I43" s="4549">
        <f t="shared" si="7"/>
        <v>0.11155142931592582</v>
      </c>
    </row>
    <row r="44" spans="1:10">
      <c r="A44" s="4543"/>
      <c r="C44" s="4549">
        <f t="shared" si="7"/>
        <v>1.524373268755271E-2</v>
      </c>
      <c r="D44" s="4549">
        <f t="shared" si="7"/>
        <v>2.6821696235520439E-2</v>
      </c>
      <c r="E44" s="4549">
        <f t="shared" si="7"/>
        <v>3.2076366566434852E-2</v>
      </c>
      <c r="F44" s="4549">
        <f t="shared" si="7"/>
        <v>5.1104671969138329E-2</v>
      </c>
      <c r="G44" s="4549">
        <f t="shared" si="7"/>
        <v>2.3796003297343122E-2</v>
      </c>
      <c r="H44" s="4549">
        <f>(H41-G41)/G41</f>
        <v>-1.8036761360006769E-2</v>
      </c>
      <c r="I44" s="4549">
        <f t="shared" si="7"/>
        <v>8.797814834981009E-2</v>
      </c>
    </row>
    <row r="45" spans="1:10">
      <c r="A45" s="4543"/>
    </row>
    <row r="46" spans="1:10">
      <c r="A46" s="4543"/>
    </row>
    <row r="47" spans="1:10">
      <c r="A47" s="4544" t="s">
        <v>8350</v>
      </c>
    </row>
    <row r="48" spans="1:10" s="624" customFormat="1">
      <c r="A48" s="4570"/>
    </row>
    <row r="49" spans="1:9">
      <c r="A49" s="4171"/>
      <c r="B49" s="4556">
        <v>2015</v>
      </c>
      <c r="C49" s="4557">
        <v>2016</v>
      </c>
      <c r="D49" s="4557">
        <v>2017</v>
      </c>
      <c r="E49" s="4557">
        <v>2018</v>
      </c>
      <c r="F49" s="4557">
        <v>2019</v>
      </c>
      <c r="G49" s="4557">
        <v>2020</v>
      </c>
      <c r="H49" s="4557">
        <v>2021</v>
      </c>
      <c r="I49" s="4558">
        <v>2022</v>
      </c>
    </row>
    <row r="50" spans="1:9">
      <c r="A50" s="4554" t="s">
        <v>8351</v>
      </c>
      <c r="B50" s="4572">
        <v>0</v>
      </c>
      <c r="C50" s="4573">
        <v>0</v>
      </c>
      <c r="D50" s="4573">
        <v>0</v>
      </c>
      <c r="E50" s="4573">
        <v>0</v>
      </c>
      <c r="F50" s="4573">
        <v>0</v>
      </c>
      <c r="G50" s="4573">
        <v>0</v>
      </c>
      <c r="H50" s="570"/>
      <c r="I50" s="4192"/>
    </row>
    <row r="51" spans="1:9">
      <c r="A51" s="4554" t="s">
        <v>8336</v>
      </c>
      <c r="B51" s="4572">
        <v>376285</v>
      </c>
      <c r="C51" s="4573">
        <v>208878</v>
      </c>
      <c r="D51" s="4573">
        <v>220325</v>
      </c>
      <c r="E51" s="4573">
        <v>259176</v>
      </c>
      <c r="F51" s="4573">
        <v>261392</v>
      </c>
      <c r="G51" s="4573">
        <v>263190</v>
      </c>
      <c r="H51" s="4573">
        <v>381198</v>
      </c>
      <c r="I51" s="4574">
        <v>462663</v>
      </c>
    </row>
    <row r="52" spans="1:9">
      <c r="A52" s="4554" t="s">
        <v>8337</v>
      </c>
      <c r="B52" s="4572">
        <v>339703</v>
      </c>
      <c r="C52" s="4573">
        <v>355659</v>
      </c>
      <c r="D52" s="4573">
        <v>368508</v>
      </c>
      <c r="E52" s="4573">
        <v>523450</v>
      </c>
      <c r="F52" s="4573">
        <v>543715</v>
      </c>
      <c r="G52" s="4573">
        <v>542327</v>
      </c>
      <c r="H52" s="4573">
        <v>588529</v>
      </c>
      <c r="I52" s="4574">
        <v>581934</v>
      </c>
    </row>
    <row r="53" spans="1:9">
      <c r="A53" s="4554" t="s">
        <v>8344</v>
      </c>
      <c r="B53" s="4572">
        <v>0</v>
      </c>
      <c r="C53" s="4573">
        <v>0</v>
      </c>
      <c r="D53" s="4573">
        <v>0</v>
      </c>
      <c r="E53" s="4573">
        <v>0</v>
      </c>
      <c r="F53" s="4573">
        <v>0</v>
      </c>
      <c r="G53" s="4573">
        <v>0</v>
      </c>
      <c r="H53" s="4573">
        <v>0</v>
      </c>
      <c r="I53" s="4574">
        <v>0</v>
      </c>
    </row>
    <row r="54" spans="1:9">
      <c r="A54" s="4554" t="s">
        <v>8346</v>
      </c>
      <c r="B54" s="4572">
        <v>23448</v>
      </c>
      <c r="C54" s="4573">
        <v>2224</v>
      </c>
      <c r="D54" s="4573">
        <v>16125</v>
      </c>
      <c r="E54" s="4573">
        <v>34033</v>
      </c>
      <c r="F54" s="4573">
        <v>32086</v>
      </c>
      <c r="G54" s="4573">
        <v>973</v>
      </c>
      <c r="H54" s="4573">
        <v>19048</v>
      </c>
      <c r="I54" s="4574">
        <v>21352</v>
      </c>
    </row>
    <row r="55" spans="1:9">
      <c r="A55" s="4554" t="s">
        <v>8341</v>
      </c>
      <c r="B55" s="4572">
        <v>133703</v>
      </c>
      <c r="C55" s="4573">
        <v>127367</v>
      </c>
      <c r="D55" s="4573">
        <v>1299</v>
      </c>
      <c r="E55" s="4573">
        <v>78</v>
      </c>
      <c r="F55" s="4573">
        <v>198</v>
      </c>
      <c r="G55" s="4573">
        <v>59</v>
      </c>
      <c r="H55" s="4573">
        <v>167</v>
      </c>
      <c r="I55" s="4574">
        <v>656</v>
      </c>
    </row>
    <row r="56" spans="1:9" s="3599" customFormat="1">
      <c r="A56" s="4571"/>
      <c r="B56" s="4567">
        <f t="shared" ref="B56:F56" si="8">SUM(B50:B55)</f>
        <v>873139</v>
      </c>
      <c r="C56" s="4568">
        <f t="shared" si="8"/>
        <v>694128</v>
      </c>
      <c r="D56" s="4568">
        <f t="shared" si="8"/>
        <v>606257</v>
      </c>
      <c r="E56" s="4568">
        <f t="shared" si="8"/>
        <v>816737</v>
      </c>
      <c r="F56" s="4568">
        <f t="shared" si="8"/>
        <v>837391</v>
      </c>
      <c r="G56" s="4568">
        <f>SUM(G50:G55)</f>
        <v>806549</v>
      </c>
      <c r="H56" s="4568">
        <f>SUM(H50:H55)</f>
        <v>988942</v>
      </c>
      <c r="I56" s="4569">
        <f>SUM(I50:I55)</f>
        <v>1066605</v>
      </c>
    </row>
    <row r="57" spans="1:9">
      <c r="A57" s="4543"/>
      <c r="G57" s="4176"/>
    </row>
    <row r="58" spans="1:9">
      <c r="A58" s="4543"/>
      <c r="G58" s="4176"/>
    </row>
    <row r="59" spans="1:9">
      <c r="A59" s="4543"/>
      <c r="G59" s="4176"/>
    </row>
    <row r="60" spans="1:9">
      <c r="A60" s="4543"/>
      <c r="G60" s="4176"/>
    </row>
    <row r="61" spans="1:9">
      <c r="A61" s="4543"/>
      <c r="G61" s="4176"/>
    </row>
    <row r="62" spans="1:9">
      <c r="A62" s="4543"/>
      <c r="G62" s="4176"/>
    </row>
    <row r="63" spans="1:9">
      <c r="A63" s="4543"/>
      <c r="G63" s="4176"/>
    </row>
    <row r="64" spans="1:9">
      <c r="A64" s="4544" t="s">
        <v>8352</v>
      </c>
      <c r="G64" s="4176"/>
    </row>
    <row r="65" spans="1:9">
      <c r="A65" s="4543"/>
    </row>
    <row r="66" spans="1:9">
      <c r="A66" s="4171"/>
      <c r="B66" s="4556">
        <v>2015</v>
      </c>
      <c r="C66" s="4557">
        <v>2016</v>
      </c>
      <c r="D66" s="4557">
        <v>2017</v>
      </c>
      <c r="E66" s="4557">
        <v>2018</v>
      </c>
      <c r="F66" s="4557">
        <v>2019</v>
      </c>
      <c r="G66" s="4557">
        <v>2020</v>
      </c>
      <c r="H66" s="4557">
        <v>2021</v>
      </c>
      <c r="I66" s="4558">
        <v>2022</v>
      </c>
    </row>
    <row r="67" spans="1:9">
      <c r="A67" s="4196" t="s">
        <v>8353</v>
      </c>
      <c r="B67" s="4573">
        <v>26540661</v>
      </c>
      <c r="C67" s="4573">
        <v>21991349</v>
      </c>
      <c r="D67" s="4573">
        <v>21273384</v>
      </c>
      <c r="E67" s="4573">
        <v>22186289</v>
      </c>
      <c r="F67" s="4573">
        <v>23801734</v>
      </c>
      <c r="G67" s="4573">
        <v>22627148</v>
      </c>
      <c r="H67" s="4573">
        <f>H94</f>
        <v>24996222</v>
      </c>
      <c r="I67" s="4574">
        <f>I94</f>
        <v>24965915</v>
      </c>
    </row>
    <row r="68" spans="1:9">
      <c r="A68" s="4196" t="s">
        <v>8354</v>
      </c>
      <c r="B68" s="4573">
        <v>15307632</v>
      </c>
      <c r="C68" s="4573">
        <v>15965265</v>
      </c>
      <c r="D68" s="4573">
        <v>17541402</v>
      </c>
      <c r="E68" s="4573">
        <v>17327304</v>
      </c>
      <c r="F68" s="4573">
        <v>17319289</v>
      </c>
      <c r="G68" s="4573">
        <v>16442673</v>
      </c>
      <c r="H68" s="4573">
        <f>H111</f>
        <v>16256844</v>
      </c>
      <c r="I68" s="4574">
        <f>I111</f>
        <v>24308840</v>
      </c>
    </row>
    <row r="69" spans="1:9">
      <c r="A69" s="4196" t="s">
        <v>8355</v>
      </c>
      <c r="B69" s="4573">
        <v>189044</v>
      </c>
      <c r="C69" s="4573">
        <v>60058</v>
      </c>
      <c r="D69" s="4573">
        <v>60016</v>
      </c>
      <c r="E69" s="4573">
        <v>94043</v>
      </c>
      <c r="F69" s="4573">
        <v>1105732</v>
      </c>
      <c r="G69" s="4573">
        <v>52099</v>
      </c>
      <c r="H69" s="4573">
        <f>H129</f>
        <v>250926</v>
      </c>
      <c r="I69" s="4574">
        <f>I129</f>
        <v>194601</v>
      </c>
    </row>
    <row r="70" spans="1:9">
      <c r="A70" s="4196" t="s">
        <v>8356</v>
      </c>
      <c r="B70" s="4573">
        <f>SUM(B67:B69)</f>
        <v>42037337</v>
      </c>
      <c r="C70" s="4573">
        <f t="shared" ref="C70:I70" si="9">SUM(C67:C69)</f>
        <v>38016672</v>
      </c>
      <c r="D70" s="4573">
        <f t="shared" si="9"/>
        <v>38874802</v>
      </c>
      <c r="E70" s="4573">
        <f t="shared" si="9"/>
        <v>39607636</v>
      </c>
      <c r="F70" s="4573">
        <f t="shared" si="9"/>
        <v>42226755</v>
      </c>
      <c r="G70" s="4573">
        <f t="shared" si="9"/>
        <v>39121920</v>
      </c>
      <c r="H70" s="4573">
        <f t="shared" si="9"/>
        <v>41503992</v>
      </c>
      <c r="I70" s="4574">
        <f t="shared" si="9"/>
        <v>49469356</v>
      </c>
    </row>
    <row r="71" spans="1:9">
      <c r="A71" s="4196"/>
      <c r="B71" s="570"/>
      <c r="C71" s="570"/>
      <c r="D71" s="570"/>
      <c r="E71" s="570"/>
      <c r="F71" s="570"/>
      <c r="G71" s="570"/>
      <c r="H71" s="570"/>
      <c r="I71" s="4192"/>
    </row>
    <row r="72" spans="1:9">
      <c r="A72" s="4196" t="s">
        <v>8357</v>
      </c>
      <c r="B72" s="4573">
        <v>22119704</v>
      </c>
      <c r="C72" s="4573">
        <v>20926856</v>
      </c>
      <c r="D72" s="4573">
        <v>10789967</v>
      </c>
      <c r="E72" s="4573">
        <v>20845449</v>
      </c>
      <c r="F72" s="4573">
        <v>23260334</v>
      </c>
      <c r="G72" s="4573">
        <v>19525987</v>
      </c>
      <c r="H72" s="4573">
        <f>H14</f>
        <v>20191185</v>
      </c>
      <c r="I72" s="4574">
        <f>I14</f>
        <v>22273619</v>
      </c>
    </row>
    <row r="73" spans="1:9">
      <c r="A73" s="4196" t="s">
        <v>8358</v>
      </c>
      <c r="B73" s="4573">
        <v>15416151</v>
      </c>
      <c r="C73" s="4573">
        <v>15555216</v>
      </c>
      <c r="D73" s="4573">
        <v>16866811</v>
      </c>
      <c r="E73" s="4573">
        <v>16856969</v>
      </c>
      <c r="F73" s="4573">
        <v>19312647</v>
      </c>
      <c r="G73" s="4573">
        <v>17873349</v>
      </c>
      <c r="H73" s="4573">
        <f>H33</f>
        <v>18381217</v>
      </c>
      <c r="I73" s="4574">
        <f>I33</f>
        <v>19686852</v>
      </c>
    </row>
    <row r="74" spans="1:9">
      <c r="A74" s="4196" t="s">
        <v>8359</v>
      </c>
      <c r="B74" s="4573">
        <v>873140</v>
      </c>
      <c r="C74" s="4573">
        <v>694129</v>
      </c>
      <c r="D74" s="4573">
        <v>606258</v>
      </c>
      <c r="E74" s="4573">
        <v>816738</v>
      </c>
      <c r="F74" s="4573">
        <v>837393</v>
      </c>
      <c r="G74" s="4573">
        <v>806550</v>
      </c>
      <c r="H74" s="4573">
        <f>H56</f>
        <v>988942</v>
      </c>
      <c r="I74" s="4574">
        <f>I56</f>
        <v>1066605</v>
      </c>
    </row>
    <row r="75" spans="1:9">
      <c r="A75" s="4196" t="s">
        <v>8360</v>
      </c>
      <c r="B75" s="4573">
        <f t="shared" ref="B75:F75" si="10">SUM(B72:B74)</f>
        <v>38408995</v>
      </c>
      <c r="C75" s="4573">
        <f t="shared" si="10"/>
        <v>37176201</v>
      </c>
      <c r="D75" s="4573">
        <f t="shared" si="10"/>
        <v>28263036</v>
      </c>
      <c r="E75" s="4573">
        <f t="shared" si="10"/>
        <v>38519156</v>
      </c>
      <c r="F75" s="4573">
        <f t="shared" si="10"/>
        <v>43410374</v>
      </c>
      <c r="G75" s="4573">
        <f>SUM(G72:G74)</f>
        <v>38205886</v>
      </c>
      <c r="H75" s="4573">
        <f>SUM(H72:H74)</f>
        <v>39561344</v>
      </c>
      <c r="I75" s="4574">
        <f>SUM(I72:I74)</f>
        <v>43027076</v>
      </c>
    </row>
    <row r="76" spans="1:9">
      <c r="A76" s="4196"/>
      <c r="B76" s="570"/>
      <c r="C76" s="570"/>
      <c r="D76" s="570"/>
      <c r="E76" s="570"/>
      <c r="F76" s="570"/>
      <c r="G76" s="570"/>
      <c r="H76" s="570"/>
      <c r="I76" s="4192"/>
    </row>
    <row r="77" spans="1:9">
      <c r="A77" s="4196" t="s">
        <v>8361</v>
      </c>
      <c r="B77" s="4573">
        <f t="shared" ref="B77:F79" si="11">B67-B72</f>
        <v>4420957</v>
      </c>
      <c r="C77" s="4573">
        <f t="shared" si="11"/>
        <v>1064493</v>
      </c>
      <c r="D77" s="4573">
        <f t="shared" si="11"/>
        <v>10483417</v>
      </c>
      <c r="E77" s="4573">
        <f t="shared" si="11"/>
        <v>1340840</v>
      </c>
      <c r="F77" s="4573">
        <f t="shared" si="11"/>
        <v>541400</v>
      </c>
      <c r="G77" s="4573">
        <v>3101161</v>
      </c>
      <c r="H77" s="4573">
        <f t="shared" ref="H77:I80" si="12">H67-H72</f>
        <v>4805037</v>
      </c>
      <c r="I77" s="4574">
        <f t="shared" si="12"/>
        <v>2692296</v>
      </c>
    </row>
    <row r="78" spans="1:9">
      <c r="A78" s="4196" t="s">
        <v>8362</v>
      </c>
      <c r="B78" s="4573">
        <f t="shared" si="11"/>
        <v>-108519</v>
      </c>
      <c r="C78" s="4573">
        <f t="shared" si="11"/>
        <v>410049</v>
      </c>
      <c r="D78" s="4573">
        <f t="shared" si="11"/>
        <v>674591</v>
      </c>
      <c r="E78" s="4573">
        <f t="shared" si="11"/>
        <v>470335</v>
      </c>
      <c r="F78" s="4573">
        <f t="shared" si="11"/>
        <v>-1993358</v>
      </c>
      <c r="G78" s="4573">
        <v>-1430676</v>
      </c>
      <c r="H78" s="4573">
        <f t="shared" si="12"/>
        <v>-2124373</v>
      </c>
      <c r="I78" s="4574">
        <f t="shared" si="12"/>
        <v>4621988</v>
      </c>
    </row>
    <row r="79" spans="1:9">
      <c r="A79" s="4196" t="s">
        <v>8363</v>
      </c>
      <c r="B79" s="4573">
        <f t="shared" si="11"/>
        <v>-684096</v>
      </c>
      <c r="C79" s="4573">
        <f t="shared" si="11"/>
        <v>-634071</v>
      </c>
      <c r="D79" s="4573">
        <f t="shared" si="11"/>
        <v>-546242</v>
      </c>
      <c r="E79" s="4573">
        <f t="shared" si="11"/>
        <v>-722695</v>
      </c>
      <c r="F79" s="4573">
        <f t="shared" si="11"/>
        <v>268339</v>
      </c>
      <c r="G79" s="4573">
        <v>-754451</v>
      </c>
      <c r="H79" s="4573">
        <f t="shared" si="12"/>
        <v>-738016</v>
      </c>
      <c r="I79" s="4574">
        <f t="shared" si="12"/>
        <v>-872004</v>
      </c>
    </row>
    <row r="80" spans="1:9">
      <c r="A80" s="4173" t="s">
        <v>8364</v>
      </c>
      <c r="B80" s="4575">
        <f t="shared" ref="B80:F80" si="13">SUM(B77:B79)</f>
        <v>3628342</v>
      </c>
      <c r="C80" s="4575">
        <f t="shared" si="13"/>
        <v>840471</v>
      </c>
      <c r="D80" s="4575">
        <f t="shared" si="13"/>
        <v>10611766</v>
      </c>
      <c r="E80" s="4575">
        <f t="shared" si="13"/>
        <v>1088480</v>
      </c>
      <c r="F80" s="4575">
        <f t="shared" si="13"/>
        <v>-1183619</v>
      </c>
      <c r="G80" s="4575">
        <f>SUM(G77:G79)</f>
        <v>916034</v>
      </c>
      <c r="H80" s="4575">
        <f t="shared" si="12"/>
        <v>1942648</v>
      </c>
      <c r="I80" s="4576">
        <f t="shared" si="12"/>
        <v>6442280</v>
      </c>
    </row>
    <row r="85" spans="1:19">
      <c r="A85" s="4544" t="s">
        <v>8365</v>
      </c>
    </row>
    <row r="86" spans="1:19">
      <c r="A86" s="4570"/>
    </row>
    <row r="87" spans="1:19">
      <c r="A87" s="4171"/>
      <c r="B87" s="4556">
        <v>2015</v>
      </c>
      <c r="C87" s="4557">
        <v>2016</v>
      </c>
      <c r="D87" s="4557">
        <v>2017</v>
      </c>
      <c r="E87" s="4557">
        <v>2018</v>
      </c>
      <c r="F87" s="4557">
        <v>2019</v>
      </c>
      <c r="G87" s="4557">
        <v>2020</v>
      </c>
      <c r="H87" s="4557">
        <v>2021</v>
      </c>
      <c r="I87" s="4558">
        <v>2022</v>
      </c>
    </row>
    <row r="88" spans="1:19">
      <c r="A88" s="4196" t="s">
        <v>8366</v>
      </c>
      <c r="B88" s="4573">
        <v>1568505</v>
      </c>
      <c r="C88" s="4573">
        <v>1738492</v>
      </c>
      <c r="D88" s="4573">
        <v>952920</v>
      </c>
      <c r="E88" s="4573">
        <v>1505181</v>
      </c>
      <c r="F88" s="4573">
        <v>1463507</v>
      </c>
      <c r="G88" s="4573">
        <v>590206</v>
      </c>
      <c r="H88" s="4573">
        <v>802361</v>
      </c>
      <c r="I88" s="4574">
        <v>883508</v>
      </c>
      <c r="S88" s="4547">
        <f>(G88-F88)/F88</f>
        <v>-0.59671802048094069</v>
      </c>
    </row>
    <row r="89" spans="1:19">
      <c r="A89" s="4196" t="s">
        <v>5449</v>
      </c>
      <c r="B89" s="4573">
        <v>11119034</v>
      </c>
      <c r="C89" s="4573">
        <v>10790981</v>
      </c>
      <c r="D89" s="4573">
        <v>10616529</v>
      </c>
      <c r="E89" s="4573">
        <v>11199598</v>
      </c>
      <c r="F89" s="4573">
        <v>11556685</v>
      </c>
      <c r="G89" s="4573">
        <v>11545053</v>
      </c>
      <c r="H89" s="4573">
        <v>11993156</v>
      </c>
      <c r="I89" s="4574">
        <v>12400585</v>
      </c>
      <c r="S89" s="4547">
        <f t="shared" ref="S89:S94" si="14">(G89-F89)/F89</f>
        <v>-1.0065170072559736E-3</v>
      </c>
    </row>
    <row r="90" spans="1:19">
      <c r="A90" s="4196" t="s">
        <v>8321</v>
      </c>
      <c r="B90" s="4573">
        <v>6944273</v>
      </c>
      <c r="C90" s="4573">
        <v>7333654</v>
      </c>
      <c r="D90" s="4573">
        <v>7577422</v>
      </c>
      <c r="E90" s="4573">
        <v>7625244</v>
      </c>
      <c r="F90" s="4573">
        <v>8688032</v>
      </c>
      <c r="G90" s="4573">
        <v>8405483</v>
      </c>
      <c r="H90" s="4573">
        <v>10359260</v>
      </c>
      <c r="I90" s="4574">
        <v>10028242</v>
      </c>
      <c r="S90" s="4547">
        <f t="shared" si="14"/>
        <v>-3.2521634358621147E-2</v>
      </c>
    </row>
    <row r="91" spans="1:19">
      <c r="A91" s="4196" t="s">
        <v>8367</v>
      </c>
      <c r="B91" s="4573">
        <v>89792</v>
      </c>
      <c r="C91" s="4573">
        <v>285699</v>
      </c>
      <c r="D91" s="4573">
        <v>29415</v>
      </c>
      <c r="E91" s="4573">
        <v>4750</v>
      </c>
      <c r="F91" s="4573">
        <v>178222</v>
      </c>
      <c r="G91" s="4573">
        <v>316511</v>
      </c>
      <c r="H91" s="4573">
        <v>0</v>
      </c>
      <c r="I91" s="4574">
        <v>2341</v>
      </c>
      <c r="S91" s="4547">
        <f t="shared" si="14"/>
        <v>0.77593675303834542</v>
      </c>
    </row>
    <row r="92" spans="1:19">
      <c r="A92" s="4196" t="s">
        <v>8368</v>
      </c>
      <c r="B92" s="4573">
        <v>60243</v>
      </c>
      <c r="C92" s="4573">
        <v>61376</v>
      </c>
      <c r="D92" s="4573">
        <v>58129</v>
      </c>
      <c r="E92" s="4573">
        <v>58129</v>
      </c>
      <c r="F92" s="4573">
        <v>63238</v>
      </c>
      <c r="G92" s="4573">
        <v>139957</v>
      </c>
      <c r="H92" s="4573">
        <v>192771</v>
      </c>
      <c r="I92" s="4574">
        <v>154729</v>
      </c>
      <c r="S92" s="4547">
        <f t="shared" si="14"/>
        <v>1.2131787849078086</v>
      </c>
    </row>
    <row r="93" spans="1:19">
      <c r="A93" s="4554" t="s">
        <v>8369</v>
      </c>
      <c r="B93" s="4577">
        <v>6758810</v>
      </c>
      <c r="C93" s="4577">
        <v>1781144</v>
      </c>
      <c r="D93" s="4577">
        <v>2038959</v>
      </c>
      <c r="E93" s="4577">
        <v>1793385</v>
      </c>
      <c r="F93" s="4577">
        <v>1852047</v>
      </c>
      <c r="G93" s="4577">
        <v>1630937</v>
      </c>
      <c r="H93" s="4573">
        <v>1648674</v>
      </c>
      <c r="I93" s="4574">
        <v>1496510</v>
      </c>
      <c r="S93" s="4547">
        <f t="shared" si="14"/>
        <v>-0.11938681901701199</v>
      </c>
    </row>
    <row r="94" spans="1:19">
      <c r="A94" s="4581" t="s">
        <v>8370</v>
      </c>
      <c r="B94" s="4582">
        <f>SUM(B88:B93)</f>
        <v>26540657</v>
      </c>
      <c r="C94" s="4582">
        <f t="shared" ref="C94:I94" si="15">SUM(C88:C93)</f>
        <v>21991346</v>
      </c>
      <c r="D94" s="4582">
        <f t="shared" si="15"/>
        <v>21273374</v>
      </c>
      <c r="E94" s="4582">
        <f t="shared" si="15"/>
        <v>22186287</v>
      </c>
      <c r="F94" s="4582">
        <f t="shared" si="15"/>
        <v>23801731</v>
      </c>
      <c r="G94" s="4582">
        <f t="shared" si="15"/>
        <v>22628147</v>
      </c>
      <c r="H94" s="4582">
        <f t="shared" si="15"/>
        <v>24996222</v>
      </c>
      <c r="I94" s="4583">
        <f t="shared" si="15"/>
        <v>24965915</v>
      </c>
      <c r="S94" s="4547">
        <f t="shared" si="14"/>
        <v>-4.9306665973159684E-2</v>
      </c>
    </row>
    <row r="95" spans="1:19">
      <c r="A95" s="4580" t="s">
        <v>8371</v>
      </c>
      <c r="B95" s="4578">
        <f t="shared" ref="B95:I95" si="16">SUM(B7:B13)</f>
        <v>22118701</v>
      </c>
      <c r="C95" s="4578">
        <f t="shared" si="16"/>
        <v>20926854</v>
      </c>
      <c r="D95" s="4578">
        <f t="shared" si="16"/>
        <v>10789964</v>
      </c>
      <c r="E95" s="4578">
        <f t="shared" si="16"/>
        <v>20845707</v>
      </c>
      <c r="F95" s="4578">
        <f t="shared" si="16"/>
        <v>23260332</v>
      </c>
      <c r="G95" s="4578">
        <f t="shared" si="16"/>
        <v>19525986</v>
      </c>
      <c r="H95" s="4578">
        <f t="shared" si="16"/>
        <v>20189164</v>
      </c>
      <c r="I95" s="4579">
        <f t="shared" si="16"/>
        <v>22271597</v>
      </c>
    </row>
    <row r="96" spans="1:19" s="3599" customFormat="1">
      <c r="A96" s="4571" t="s">
        <v>8372</v>
      </c>
      <c r="B96" s="4565">
        <f>B94-B95</f>
        <v>4421956</v>
      </c>
      <c r="C96" s="4565">
        <f t="shared" ref="C96:I96" si="17">C94-C95</f>
        <v>1064492</v>
      </c>
      <c r="D96" s="4565">
        <f t="shared" si="17"/>
        <v>10483410</v>
      </c>
      <c r="E96" s="4565">
        <f t="shared" si="17"/>
        <v>1340580</v>
      </c>
      <c r="F96" s="4565">
        <f t="shared" si="17"/>
        <v>541399</v>
      </c>
      <c r="G96" s="4565">
        <f t="shared" si="17"/>
        <v>3102161</v>
      </c>
      <c r="H96" s="4565">
        <f t="shared" si="17"/>
        <v>4807058</v>
      </c>
      <c r="I96" s="4566">
        <f t="shared" si="17"/>
        <v>2694318</v>
      </c>
    </row>
    <row r="97" spans="1:9">
      <c r="G97" s="4176"/>
      <c r="H97" s="4176">
        <f>SUM(H88-G88)/G88*100</f>
        <v>35.945923965530682</v>
      </c>
      <c r="I97" s="4176">
        <f>SUM(I88-H88)/H88*100</f>
        <v>10.11352745210697</v>
      </c>
    </row>
    <row r="98" spans="1:9">
      <c r="G98" s="4176"/>
      <c r="H98" s="4176">
        <f t="shared" ref="H98:I99" si="18">SUM(H89-G89)/G89*100</f>
        <v>3.8813420778579362</v>
      </c>
      <c r="I98" s="4176">
        <f t="shared" si="18"/>
        <v>3.3971791911987141</v>
      </c>
    </row>
    <row r="99" spans="1:9">
      <c r="G99" s="4176"/>
      <c r="H99" s="4176">
        <f t="shared" si="18"/>
        <v>23.244077704993277</v>
      </c>
      <c r="I99" s="4176">
        <f t="shared" si="18"/>
        <v>-3.195382681774567</v>
      </c>
    </row>
    <row r="101" spans="1:9">
      <c r="A101" s="4544" t="s">
        <v>8373</v>
      </c>
    </row>
    <row r="102" spans="1:9" s="624" customFormat="1">
      <c r="A102" s="4570"/>
    </row>
    <row r="103" spans="1:9">
      <c r="A103" s="4171"/>
      <c r="B103" s="4556">
        <v>2015</v>
      </c>
      <c r="C103" s="4557">
        <v>2016</v>
      </c>
      <c r="D103" s="4557">
        <v>2017</v>
      </c>
      <c r="E103" s="4557">
        <v>2018</v>
      </c>
      <c r="F103" s="4557">
        <v>2019</v>
      </c>
      <c r="G103" s="4557">
        <v>2020</v>
      </c>
      <c r="H103" s="4557">
        <v>2021</v>
      </c>
      <c r="I103" s="4558">
        <v>2022</v>
      </c>
    </row>
    <row r="104" spans="1:9">
      <c r="A104" s="4196" t="s">
        <v>8366</v>
      </c>
      <c r="B104" s="4572">
        <v>7993026</v>
      </c>
      <c r="C104" s="4573">
        <v>8227445</v>
      </c>
      <c r="D104" s="4573">
        <v>8223387</v>
      </c>
      <c r="E104" s="4573">
        <v>8523210</v>
      </c>
      <c r="F104" s="4573">
        <v>8836808</v>
      </c>
      <c r="G104" s="4573">
        <v>8783336</v>
      </c>
      <c r="H104" s="4573">
        <v>8074381</v>
      </c>
      <c r="I104" s="4574">
        <v>9814285</v>
      </c>
    </row>
    <row r="105" spans="1:9">
      <c r="A105" s="4196" t="s">
        <v>8374</v>
      </c>
      <c r="B105" s="4572">
        <v>2108946</v>
      </c>
      <c r="C105" s="4573">
        <v>2387874</v>
      </c>
      <c r="D105" s="4573">
        <v>2582515</v>
      </c>
      <c r="E105" s="4573">
        <v>2748847</v>
      </c>
      <c r="F105" s="4573">
        <v>2760051</v>
      </c>
      <c r="G105" s="4573">
        <v>1001452</v>
      </c>
      <c r="H105" s="4573">
        <v>977730</v>
      </c>
      <c r="I105" s="4574">
        <v>1167601</v>
      </c>
    </row>
    <row r="106" spans="1:9">
      <c r="A106" s="4196" t="s">
        <v>8375</v>
      </c>
      <c r="B106" s="4572">
        <v>4440923</v>
      </c>
      <c r="C106" s="4573">
        <v>4574175</v>
      </c>
      <c r="D106" s="4573">
        <v>4678956</v>
      </c>
      <c r="E106" s="4573">
        <v>4835723</v>
      </c>
      <c r="F106" s="4573">
        <v>4733320</v>
      </c>
      <c r="G106" s="4573">
        <v>5564449</v>
      </c>
      <c r="H106" s="4573">
        <v>5905373</v>
      </c>
      <c r="I106" s="4574">
        <v>6304587</v>
      </c>
    </row>
    <row r="107" spans="1:9">
      <c r="A107" s="4196" t="s">
        <v>8376</v>
      </c>
      <c r="B107" s="4572">
        <v>80035</v>
      </c>
      <c r="C107" s="4573">
        <v>72562</v>
      </c>
      <c r="D107" s="4573">
        <v>102891</v>
      </c>
      <c r="E107" s="4573">
        <v>91690</v>
      </c>
      <c r="F107" s="4573">
        <v>58166</v>
      </c>
      <c r="G107" s="4573">
        <v>37405</v>
      </c>
      <c r="H107" s="4573">
        <v>38942</v>
      </c>
      <c r="I107" s="4574">
        <v>52698</v>
      </c>
    </row>
    <row r="108" spans="1:9">
      <c r="A108" s="4196" t="s">
        <v>8377</v>
      </c>
      <c r="B108" s="4572">
        <v>222544</v>
      </c>
      <c r="C108" s="4573">
        <v>200953</v>
      </c>
      <c r="D108" s="4573">
        <v>320282</v>
      </c>
      <c r="E108" s="4573">
        <v>250973</v>
      </c>
      <c r="F108" s="4573">
        <v>349207</v>
      </c>
      <c r="G108" s="4573">
        <v>320421</v>
      </c>
      <c r="H108" s="4573">
        <v>379187</v>
      </c>
      <c r="I108" s="4574">
        <v>377784</v>
      </c>
    </row>
    <row r="109" spans="1:9">
      <c r="A109" s="4196" t="s">
        <v>8378</v>
      </c>
      <c r="B109" s="4572">
        <v>0</v>
      </c>
      <c r="C109" s="4573">
        <v>0</v>
      </c>
      <c r="D109" s="4573">
        <v>1174521</v>
      </c>
      <c r="E109" s="4573">
        <v>418625</v>
      </c>
      <c r="F109" s="4573">
        <v>123772</v>
      </c>
      <c r="G109" s="4573">
        <v>307268</v>
      </c>
      <c r="H109" s="4573">
        <v>458999</v>
      </c>
      <c r="I109" s="4574">
        <v>6269346</v>
      </c>
    </row>
    <row r="110" spans="1:9">
      <c r="A110" s="4196" t="s">
        <v>8379</v>
      </c>
      <c r="B110" s="4572">
        <v>462158</v>
      </c>
      <c r="C110" s="4573">
        <v>460228</v>
      </c>
      <c r="D110" s="4573">
        <v>458951</v>
      </c>
      <c r="E110" s="4573">
        <v>458236</v>
      </c>
      <c r="F110" s="4573">
        <v>457962</v>
      </c>
      <c r="G110" s="4573">
        <v>428343</v>
      </c>
      <c r="H110" s="4573">
        <v>422232</v>
      </c>
      <c r="I110" s="4574">
        <v>322539</v>
      </c>
    </row>
    <row r="111" spans="1:9">
      <c r="A111" s="4581" t="s">
        <v>8370</v>
      </c>
      <c r="B111" s="4584">
        <f>SUM(B104:B110)</f>
        <v>15307632</v>
      </c>
      <c r="C111" s="4582">
        <f t="shared" ref="C111:F111" si="19">SUM(C104:C110)</f>
        <v>15923237</v>
      </c>
      <c r="D111" s="4582">
        <f t="shared" si="19"/>
        <v>17541503</v>
      </c>
      <c r="E111" s="4582">
        <f t="shared" si="19"/>
        <v>17327304</v>
      </c>
      <c r="F111" s="4582">
        <f t="shared" si="19"/>
        <v>17319286</v>
      </c>
      <c r="G111" s="4582">
        <f>SUM(G104:G110)</f>
        <v>16442674</v>
      </c>
      <c r="H111" s="4582">
        <f>SUM(H104:H110)</f>
        <v>16256844</v>
      </c>
      <c r="I111" s="4583">
        <f>SUM(I104:I110)</f>
        <v>24308840</v>
      </c>
    </row>
    <row r="112" spans="1:9">
      <c r="A112" s="4580" t="s">
        <v>8380</v>
      </c>
      <c r="B112" s="4585">
        <f t="shared" ref="B112:I112" si="20">SUM(B25:B32)</f>
        <v>15416152</v>
      </c>
      <c r="C112" s="4578">
        <f t="shared" si="20"/>
        <v>15555216</v>
      </c>
      <c r="D112" s="4578">
        <f t="shared" si="20"/>
        <v>16866811</v>
      </c>
      <c r="E112" s="4578">
        <f t="shared" si="20"/>
        <v>16856958</v>
      </c>
      <c r="F112" s="4578">
        <f t="shared" si="20"/>
        <v>19312643</v>
      </c>
      <c r="G112" s="4578">
        <f t="shared" si="20"/>
        <v>17873350</v>
      </c>
      <c r="H112" s="4578">
        <f t="shared" si="20"/>
        <v>18381217</v>
      </c>
      <c r="I112" s="4579">
        <f t="shared" si="20"/>
        <v>19686852</v>
      </c>
    </row>
    <row r="113" spans="1:9">
      <c r="A113" s="4571" t="s">
        <v>8372</v>
      </c>
      <c r="B113" s="4564">
        <f>B111-B112</f>
        <v>-108520</v>
      </c>
      <c r="C113" s="4565">
        <f t="shared" ref="C113:I113" si="21">C111-C112</f>
        <v>368021</v>
      </c>
      <c r="D113" s="4565">
        <f t="shared" si="21"/>
        <v>674692</v>
      </c>
      <c r="E113" s="4565">
        <f t="shared" si="21"/>
        <v>470346</v>
      </c>
      <c r="F113" s="4565">
        <f t="shared" si="21"/>
        <v>-1993357</v>
      </c>
      <c r="G113" s="4565">
        <f t="shared" si="21"/>
        <v>-1430676</v>
      </c>
      <c r="H113" s="4565">
        <f t="shared" si="21"/>
        <v>-2124373</v>
      </c>
      <c r="I113" s="4566">
        <f t="shared" si="21"/>
        <v>4621988</v>
      </c>
    </row>
    <row r="122" spans="1:9">
      <c r="A122" s="4544" t="s">
        <v>8381</v>
      </c>
    </row>
    <row r="123" spans="1:9">
      <c r="A123" s="4570"/>
    </row>
    <row r="124" spans="1:9">
      <c r="A124" s="4171"/>
      <c r="B124" s="4556">
        <v>2015</v>
      </c>
      <c r="C124" s="4557">
        <v>2016</v>
      </c>
      <c r="D124" s="4557">
        <v>2017</v>
      </c>
      <c r="E124" s="4557">
        <v>2018</v>
      </c>
      <c r="F124" s="4557">
        <v>2019</v>
      </c>
      <c r="G124" s="4557">
        <v>2020</v>
      </c>
      <c r="H124" s="4557">
        <v>2021</v>
      </c>
      <c r="I124" s="4558">
        <v>2022</v>
      </c>
    </row>
    <row r="125" spans="1:9">
      <c r="A125" s="4196" t="s">
        <v>8366</v>
      </c>
      <c r="B125" s="4573">
        <v>178303</v>
      </c>
      <c r="C125" s="4573">
        <v>48896</v>
      </c>
      <c r="D125" s="4573">
        <v>57429</v>
      </c>
      <c r="E125" s="4573">
        <v>92002</v>
      </c>
      <c r="F125" s="4573">
        <v>87581</v>
      </c>
      <c r="G125" s="4573">
        <v>49108</v>
      </c>
      <c r="H125" s="4573">
        <v>249275</v>
      </c>
      <c r="I125" s="4574">
        <v>183795</v>
      </c>
    </row>
    <row r="126" spans="1:9">
      <c r="A126" s="4196" t="s">
        <v>8321</v>
      </c>
      <c r="B126" s="4573">
        <v>2670</v>
      </c>
      <c r="C126" s="4573">
        <v>3146</v>
      </c>
      <c r="D126" s="4573">
        <v>2580</v>
      </c>
      <c r="E126" s="4573">
        <v>2040</v>
      </c>
      <c r="F126" s="4573">
        <v>1798</v>
      </c>
      <c r="G126" s="4573">
        <v>1443</v>
      </c>
      <c r="H126" s="4573">
        <v>1120</v>
      </c>
      <c r="I126" s="4574">
        <v>0</v>
      </c>
    </row>
    <row r="127" spans="1:9">
      <c r="A127" s="4196" t="s">
        <v>8368</v>
      </c>
      <c r="B127" s="4573">
        <v>0</v>
      </c>
      <c r="C127" s="4573">
        <v>0</v>
      </c>
      <c r="D127" s="4573">
        <v>0</v>
      </c>
      <c r="E127" s="4573">
        <v>0</v>
      </c>
      <c r="F127" s="4573">
        <v>0</v>
      </c>
      <c r="G127" s="4573">
        <v>1135</v>
      </c>
      <c r="H127" s="4573">
        <v>531</v>
      </c>
      <c r="I127" s="4574">
        <v>1241</v>
      </c>
    </row>
    <row r="128" spans="1:9">
      <c r="A128" s="4196" t="s">
        <v>8369</v>
      </c>
      <c r="B128" s="4573">
        <v>8070</v>
      </c>
      <c r="C128" s="4573">
        <v>8015</v>
      </c>
      <c r="D128" s="4573">
        <v>8006</v>
      </c>
      <c r="E128" s="4573">
        <v>0</v>
      </c>
      <c r="F128" s="4573">
        <v>1016353</v>
      </c>
      <c r="G128" s="4573">
        <v>413</v>
      </c>
      <c r="H128" s="4573">
        <v>0</v>
      </c>
      <c r="I128" s="4574">
        <v>9565</v>
      </c>
    </row>
    <row r="129" spans="1:9">
      <c r="A129" s="4581" t="s">
        <v>8370</v>
      </c>
      <c r="B129" s="4582">
        <f>SUM(B125:B128)</f>
        <v>189043</v>
      </c>
      <c r="C129" s="4582">
        <f t="shared" ref="C129:I129" si="22">SUM(C125:C128)</f>
        <v>60057</v>
      </c>
      <c r="D129" s="4582">
        <f t="shared" si="22"/>
        <v>68015</v>
      </c>
      <c r="E129" s="4582">
        <f t="shared" si="22"/>
        <v>94042</v>
      </c>
      <c r="F129" s="4582">
        <f t="shared" si="22"/>
        <v>1105732</v>
      </c>
      <c r="G129" s="4582">
        <f t="shared" si="22"/>
        <v>52099</v>
      </c>
      <c r="H129" s="4582">
        <f t="shared" si="22"/>
        <v>250926</v>
      </c>
      <c r="I129" s="4583">
        <f t="shared" si="22"/>
        <v>194601</v>
      </c>
    </row>
    <row r="130" spans="1:9">
      <c r="A130" s="4580" t="s">
        <v>8380</v>
      </c>
      <c r="B130" s="4578">
        <f t="shared" ref="B130:I130" si="23">SUM(B50:B55)</f>
        <v>873139</v>
      </c>
      <c r="C130" s="4578">
        <f t="shared" si="23"/>
        <v>694128</v>
      </c>
      <c r="D130" s="4578">
        <f t="shared" si="23"/>
        <v>606257</v>
      </c>
      <c r="E130" s="4578">
        <f t="shared" si="23"/>
        <v>816737</v>
      </c>
      <c r="F130" s="4578">
        <f t="shared" si="23"/>
        <v>837391</v>
      </c>
      <c r="G130" s="4578">
        <f t="shared" si="23"/>
        <v>806549</v>
      </c>
      <c r="H130" s="4578">
        <f t="shared" si="23"/>
        <v>988942</v>
      </c>
      <c r="I130" s="4579">
        <f t="shared" si="23"/>
        <v>1066605</v>
      </c>
    </row>
    <row r="131" spans="1:9">
      <c r="A131" s="4571" t="s">
        <v>8372</v>
      </c>
      <c r="B131" s="4565">
        <f>B129-B130</f>
        <v>-684096</v>
      </c>
      <c r="C131" s="4565">
        <f t="shared" ref="C131:I131" si="24">C129-C130</f>
        <v>-634071</v>
      </c>
      <c r="D131" s="4565">
        <f t="shared" si="24"/>
        <v>-538242</v>
      </c>
      <c r="E131" s="4565">
        <f t="shared" si="24"/>
        <v>-722695</v>
      </c>
      <c r="F131" s="4565">
        <f t="shared" si="24"/>
        <v>268341</v>
      </c>
      <c r="G131" s="4565">
        <f t="shared" si="24"/>
        <v>-754450</v>
      </c>
      <c r="H131" s="4565">
        <f t="shared" si="24"/>
        <v>-738016</v>
      </c>
      <c r="I131" s="4566">
        <f t="shared" si="24"/>
        <v>-872004</v>
      </c>
    </row>
  </sheetData>
  <mergeCells count="1">
    <mergeCell ref="A1:I1"/>
  </mergeCells>
  <hyperlinks>
    <hyperlink ref="A1:I1" location="FINANCIËN!A1" display="STAAT VAN OPBRENGSTEN EN KOSTEN" xr:uid="{15B62B4F-5332-4B62-B196-044A80972055}"/>
  </hyperlinks>
  <pageMargins left="0.7" right="0.7" top="0.75" bottom="0.75"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0E07E-E883-47FC-B22F-678AA66091BC}">
  <sheetPr>
    <tabColor rgb="FFE0C816"/>
  </sheetPr>
  <dimension ref="A1:K34"/>
  <sheetViews>
    <sheetView workbookViewId="0">
      <selection sqref="A1:I1"/>
    </sheetView>
  </sheetViews>
  <sheetFormatPr defaultRowHeight="15"/>
  <cols>
    <col min="1" max="1" width="31.7109375" customWidth="1"/>
    <col min="2" max="3" width="11.42578125" bestFit="1" customWidth="1"/>
    <col min="4" max="4" width="12.7109375" bestFit="1" customWidth="1"/>
    <col min="5" max="5" width="11.42578125" bestFit="1" customWidth="1"/>
    <col min="6" max="6" width="12.7109375" bestFit="1" customWidth="1"/>
    <col min="7" max="7" width="12.5703125" bestFit="1" customWidth="1"/>
    <col min="8" max="8" width="13.42578125" bestFit="1" customWidth="1"/>
    <col min="9" max="9" width="12.7109375" bestFit="1" customWidth="1"/>
    <col min="11" max="11" width="13.5703125" bestFit="1" customWidth="1"/>
  </cols>
  <sheetData>
    <row r="1" spans="1:11" ht="20.25" customHeight="1">
      <c r="A1" s="4829" t="s">
        <v>8383</v>
      </c>
      <c r="B1" s="4830"/>
      <c r="C1" s="4830"/>
      <c r="D1" s="4830"/>
      <c r="E1" s="4830"/>
      <c r="F1" s="4830"/>
      <c r="G1" s="4830"/>
      <c r="H1" s="4830"/>
      <c r="I1" s="4830"/>
    </row>
    <row r="3" spans="1:11">
      <c r="A3" s="4589"/>
      <c r="B3" s="4586">
        <v>2015</v>
      </c>
      <c r="C3" s="4586">
        <v>2016</v>
      </c>
      <c r="D3" s="4586">
        <v>2017</v>
      </c>
      <c r="E3" s="4586">
        <v>2018</v>
      </c>
      <c r="F3" s="4586">
        <v>2019</v>
      </c>
      <c r="G3" s="4586">
        <v>2020</v>
      </c>
      <c r="H3" s="4586">
        <v>2021</v>
      </c>
      <c r="I3" s="4587">
        <v>2022</v>
      </c>
      <c r="K3" s="3599" t="s">
        <v>8384</v>
      </c>
    </row>
    <row r="4" spans="1:11">
      <c r="A4" s="4171" t="s">
        <v>8385</v>
      </c>
      <c r="B4" s="4194"/>
      <c r="C4" s="4194"/>
      <c r="D4" s="4194"/>
      <c r="E4" s="4194"/>
      <c r="F4" s="4194"/>
      <c r="G4" s="4588">
        <v>-2475322</v>
      </c>
      <c r="H4" s="4194"/>
      <c r="I4" s="4195"/>
      <c r="K4" s="4176">
        <v>-1600813</v>
      </c>
    </row>
    <row r="5" spans="1:11">
      <c r="A5" s="4196" t="s">
        <v>8386</v>
      </c>
      <c r="B5" s="570"/>
      <c r="C5" s="570"/>
      <c r="D5" s="570"/>
      <c r="E5" s="570"/>
      <c r="F5" s="570"/>
      <c r="G5" s="4573">
        <v>-82430</v>
      </c>
      <c r="H5" s="570"/>
      <c r="I5" s="4192"/>
      <c r="K5" s="4176">
        <v>-8729734</v>
      </c>
    </row>
    <row r="6" spans="1:11">
      <c r="A6" s="4196" t="s">
        <v>8387</v>
      </c>
      <c r="B6" s="570"/>
      <c r="C6" s="570"/>
      <c r="D6" s="570"/>
      <c r="E6" s="570"/>
      <c r="F6" s="570"/>
      <c r="G6" s="4573">
        <v>69088</v>
      </c>
      <c r="H6" s="570"/>
      <c r="I6" s="4192"/>
      <c r="K6" s="4176">
        <v>-632354</v>
      </c>
    </row>
    <row r="7" spans="1:11">
      <c r="A7" s="3922"/>
      <c r="B7" s="4593"/>
      <c r="C7" s="4593"/>
      <c r="D7" s="4593"/>
      <c r="E7" s="4593"/>
      <c r="F7" s="4593"/>
      <c r="G7" s="4568">
        <f>SUM(G4:G6)</f>
        <v>-2488664</v>
      </c>
      <c r="H7" s="4593"/>
      <c r="I7" s="3926"/>
      <c r="K7" s="4548">
        <f>SUM(K4:K6)</f>
        <v>-10962901</v>
      </c>
    </row>
    <row r="8" spans="1:11">
      <c r="A8" s="4171" t="s">
        <v>8388</v>
      </c>
      <c r="B8" s="4194"/>
      <c r="C8" s="4194"/>
      <c r="D8" s="4194"/>
      <c r="E8" s="4194"/>
      <c r="F8" s="4194"/>
      <c r="G8" s="4588">
        <v>6442049</v>
      </c>
      <c r="H8" s="4194"/>
      <c r="I8" s="4195"/>
      <c r="K8" s="4176">
        <v>6442049</v>
      </c>
    </row>
    <row r="9" spans="1:11">
      <c r="A9" s="4196" t="s">
        <v>8389</v>
      </c>
      <c r="B9" s="570"/>
      <c r="C9" s="570"/>
      <c r="D9" s="570"/>
      <c r="E9" s="570"/>
      <c r="F9" s="570"/>
      <c r="G9" s="4573">
        <v>5542692</v>
      </c>
      <c r="H9" s="570"/>
      <c r="I9" s="4192"/>
      <c r="K9" s="4176">
        <v>5542692</v>
      </c>
    </row>
    <row r="10" spans="1:11">
      <c r="A10" s="4196" t="s">
        <v>8390</v>
      </c>
      <c r="B10" s="570"/>
      <c r="C10" s="570"/>
      <c r="D10" s="570"/>
      <c r="E10" s="570"/>
      <c r="F10" s="570"/>
      <c r="G10" s="4573">
        <v>1063494</v>
      </c>
      <c r="H10" s="570"/>
      <c r="I10" s="4192"/>
      <c r="K10" s="4176">
        <v>1063494</v>
      </c>
    </row>
    <row r="11" spans="1:11">
      <c r="A11" s="3922"/>
      <c r="B11" s="4593"/>
      <c r="C11" s="4593"/>
      <c r="D11" s="4593"/>
      <c r="E11" s="4593"/>
      <c r="F11" s="4593"/>
      <c r="G11" s="4568">
        <f>SUM(G8:G10)</f>
        <v>13048235</v>
      </c>
      <c r="H11" s="4593"/>
      <c r="I11" s="3926"/>
      <c r="K11" s="4548">
        <f>SUM(K8:K10)</f>
        <v>13048235</v>
      </c>
    </row>
    <row r="12" spans="1:11">
      <c r="A12" s="4171" t="s">
        <v>8391</v>
      </c>
      <c r="B12" s="4194"/>
      <c r="C12" s="4194"/>
      <c r="D12" s="4194"/>
      <c r="E12" s="4194"/>
      <c r="F12" s="4194"/>
      <c r="G12" s="4588">
        <v>3966727</v>
      </c>
      <c r="H12" s="4194"/>
      <c r="I12" s="4195"/>
      <c r="K12" s="4176">
        <v>4841236</v>
      </c>
    </row>
    <row r="13" spans="1:11">
      <c r="A13" s="4196" t="s">
        <v>8392</v>
      </c>
      <c r="B13" s="570"/>
      <c r="C13" s="570"/>
      <c r="D13" s="570"/>
      <c r="E13" s="570"/>
      <c r="F13" s="570"/>
      <c r="G13" s="4573">
        <v>5460262</v>
      </c>
      <c r="H13" s="570"/>
      <c r="I13" s="4192"/>
      <c r="K13" s="4176">
        <v>-3187042</v>
      </c>
    </row>
    <row r="14" spans="1:11">
      <c r="A14" s="4196" t="s">
        <v>8393</v>
      </c>
      <c r="B14" s="570"/>
      <c r="C14" s="570"/>
      <c r="D14" s="570"/>
      <c r="E14" s="570"/>
      <c r="F14" s="570"/>
      <c r="G14" s="4573">
        <v>1132582</v>
      </c>
      <c r="H14" s="570"/>
      <c r="I14" s="4192"/>
      <c r="K14" s="4176">
        <v>756568</v>
      </c>
    </row>
    <row r="15" spans="1:11">
      <c r="A15" s="3922"/>
      <c r="B15" s="4593"/>
      <c r="C15" s="4593"/>
      <c r="D15" s="4593"/>
      <c r="E15" s="4593"/>
      <c r="F15" s="4593"/>
      <c r="G15" s="4568">
        <f>SUM(G12:G14)</f>
        <v>10559571</v>
      </c>
      <c r="H15" s="4593"/>
      <c r="I15" s="3926"/>
      <c r="K15" s="4548">
        <f>SUM(K12:K14)</f>
        <v>2410762</v>
      </c>
    </row>
    <row r="16" spans="1:11">
      <c r="A16" s="4193"/>
    </row>
    <row r="17" spans="1:11">
      <c r="A17" s="4197"/>
    </row>
    <row r="18" spans="1:11">
      <c r="A18" s="2465"/>
      <c r="B18" s="4590"/>
      <c r="C18" s="4590"/>
      <c r="D18" s="4586">
        <v>2017</v>
      </c>
      <c r="E18" s="4586">
        <v>2018</v>
      </c>
      <c r="F18" s="4586">
        <v>2019</v>
      </c>
      <c r="G18" s="4586">
        <v>2020</v>
      </c>
      <c r="H18" s="4586">
        <v>2021</v>
      </c>
      <c r="I18" s="4587">
        <v>2022</v>
      </c>
    </row>
    <row r="19" spans="1:11">
      <c r="A19" s="4171" t="s">
        <v>8394</v>
      </c>
      <c r="B19" s="4194"/>
      <c r="C19" s="4194"/>
      <c r="D19" s="4591">
        <v>6687966</v>
      </c>
      <c r="E19" s="4591">
        <v>-169733</v>
      </c>
      <c r="F19" s="4591">
        <v>4571688</v>
      </c>
      <c r="G19" s="4591">
        <v>5188581</v>
      </c>
      <c r="H19" s="4591">
        <v>5868580</v>
      </c>
      <c r="I19" s="4592">
        <v>5299737</v>
      </c>
      <c r="K19" s="4176">
        <v>5096408</v>
      </c>
    </row>
    <row r="20" spans="1:11">
      <c r="A20" s="4196" t="s">
        <v>8395</v>
      </c>
      <c r="B20" s="570"/>
      <c r="C20" s="570"/>
      <c r="D20" s="4550">
        <v>1010113</v>
      </c>
      <c r="E20" s="4550">
        <v>-169733</v>
      </c>
      <c r="F20" s="4550">
        <v>864994</v>
      </c>
      <c r="G20" s="4550">
        <v>-509873</v>
      </c>
      <c r="H20" s="4550">
        <v>-752199</v>
      </c>
      <c r="I20" s="4553">
        <v>-700160</v>
      </c>
      <c r="K20" s="4176">
        <v>-1048288</v>
      </c>
    </row>
    <row r="21" spans="1:11">
      <c r="A21" s="4196" t="s">
        <v>8396</v>
      </c>
      <c r="B21" s="570"/>
      <c r="C21" s="570"/>
      <c r="D21" s="4550">
        <v>-169733</v>
      </c>
      <c r="E21" s="4550">
        <v>-169733</v>
      </c>
      <c r="F21" s="4550">
        <v>812055</v>
      </c>
      <c r="G21" s="4550">
        <v>-212123</v>
      </c>
      <c r="H21" s="4550">
        <v>-149487</v>
      </c>
      <c r="I21" s="4553">
        <v>-299635</v>
      </c>
      <c r="K21" s="4176">
        <v>-270679</v>
      </c>
    </row>
    <row r="22" spans="1:11">
      <c r="A22" s="3922" t="s">
        <v>8397</v>
      </c>
      <c r="B22" s="4593"/>
      <c r="C22" s="4593"/>
      <c r="D22" s="4568">
        <f t="shared" ref="D22:F22" si="0">SUM(D19:D21)</f>
        <v>7528346</v>
      </c>
      <c r="E22" s="4568">
        <f t="shared" si="0"/>
        <v>-509199</v>
      </c>
      <c r="F22" s="4568">
        <f t="shared" si="0"/>
        <v>6248737</v>
      </c>
      <c r="G22" s="4568">
        <f>SUM(G19:G21)</f>
        <v>4466585</v>
      </c>
      <c r="H22" s="4568">
        <f>SUM(H19:H21)</f>
        <v>4966894</v>
      </c>
      <c r="I22" s="4569">
        <f t="shared" ref="I22" si="1">SUM(I19:I21)</f>
        <v>4299942</v>
      </c>
      <c r="K22" s="4548">
        <f>SUM(K19:K21)</f>
        <v>3777441</v>
      </c>
    </row>
    <row r="23" spans="1:11">
      <c r="A23" s="4171" t="s">
        <v>8398</v>
      </c>
      <c r="B23" s="4194"/>
      <c r="C23" s="4194"/>
      <c r="D23" s="4194"/>
      <c r="E23" s="4194"/>
      <c r="F23" s="4194"/>
      <c r="G23" s="4588">
        <v>2110776</v>
      </c>
      <c r="H23" s="4194"/>
      <c r="I23" s="4195"/>
      <c r="K23" s="4176">
        <v>2772045</v>
      </c>
    </row>
    <row r="24" spans="1:11">
      <c r="A24" s="4196" t="s">
        <v>8399</v>
      </c>
      <c r="B24" s="570"/>
      <c r="C24" s="570"/>
      <c r="D24" s="570"/>
      <c r="E24" s="570"/>
      <c r="F24" s="570"/>
      <c r="G24" s="4573">
        <v>-334245</v>
      </c>
      <c r="H24" s="570"/>
      <c r="I24" s="4192"/>
      <c r="K24" s="4176">
        <v>-33424</v>
      </c>
    </row>
    <row r="25" spans="1:11">
      <c r="A25" s="4196" t="s">
        <v>8400</v>
      </c>
      <c r="B25" s="570"/>
      <c r="C25" s="570"/>
      <c r="D25" s="570"/>
      <c r="E25" s="570"/>
      <c r="F25" s="570"/>
      <c r="G25" s="4573">
        <v>0</v>
      </c>
      <c r="H25" s="570"/>
      <c r="I25" s="4192"/>
    </row>
    <row r="26" spans="1:11">
      <c r="A26" s="3922"/>
      <c r="B26" s="4593"/>
      <c r="C26" s="4593"/>
      <c r="D26" s="4593"/>
      <c r="E26" s="4593"/>
      <c r="F26" s="4593"/>
      <c r="G26" s="4568">
        <f>SUM(G23:G25)</f>
        <v>1776531</v>
      </c>
      <c r="H26" s="4593"/>
      <c r="I26" s="3926"/>
      <c r="K26" s="4548">
        <f>SUM(K23:K25)</f>
        <v>2738621</v>
      </c>
    </row>
    <row r="27" spans="1:11">
      <c r="A27" s="4196"/>
      <c r="B27" s="570"/>
      <c r="C27" s="570"/>
      <c r="D27" s="570"/>
      <c r="E27" s="570"/>
      <c r="F27" s="570"/>
      <c r="G27" s="4578"/>
      <c r="H27" s="570"/>
      <c r="I27" s="570"/>
      <c r="K27" s="4548"/>
    </row>
    <row r="28" spans="1:11">
      <c r="A28" s="4196"/>
      <c r="G28" s="4548"/>
      <c r="H28" s="4548"/>
    </row>
    <row r="29" spans="1:11">
      <c r="A29" s="2465"/>
      <c r="B29" s="4586">
        <v>2015</v>
      </c>
      <c r="C29" s="4586">
        <v>2016</v>
      </c>
      <c r="D29" s="4586">
        <v>2017</v>
      </c>
      <c r="E29" s="4586">
        <v>2018</v>
      </c>
      <c r="F29" s="4586">
        <v>2019</v>
      </c>
      <c r="G29" s="4586">
        <v>2020</v>
      </c>
      <c r="H29" s="4586">
        <v>2021</v>
      </c>
      <c r="I29" s="4587">
        <v>2022</v>
      </c>
      <c r="K29" s="4546" t="s">
        <v>8384</v>
      </c>
    </row>
    <row r="30" spans="1:11">
      <c r="A30" s="4171" t="s">
        <v>8401</v>
      </c>
      <c r="B30" s="4591">
        <v>7408380</v>
      </c>
      <c r="C30" s="4591">
        <v>2461839</v>
      </c>
      <c r="D30" s="4591">
        <v>4723109</v>
      </c>
      <c r="E30" s="4591">
        <v>2435648</v>
      </c>
      <c r="F30" s="4591">
        <v>2518823</v>
      </c>
      <c r="G30" s="4591">
        <v>3077805</v>
      </c>
      <c r="H30" s="4591">
        <v>3979816</v>
      </c>
      <c r="I30" s="4592">
        <v>3390708</v>
      </c>
      <c r="K30" s="4545">
        <v>2324363</v>
      </c>
    </row>
    <row r="31" spans="1:11">
      <c r="A31" s="4196" t="s">
        <v>8402</v>
      </c>
      <c r="B31" s="4550">
        <v>643067</v>
      </c>
      <c r="C31" s="4550">
        <v>838084</v>
      </c>
      <c r="D31" s="4550">
        <v>797226</v>
      </c>
      <c r="E31" s="4550">
        <v>845140</v>
      </c>
      <c r="F31" s="4550">
        <v>639706</v>
      </c>
      <c r="G31" s="4550">
        <v>-175628</v>
      </c>
      <c r="H31" s="4550">
        <v>-476641</v>
      </c>
      <c r="I31" s="4553">
        <v>-421622</v>
      </c>
      <c r="K31" s="4545">
        <v>-714044</v>
      </c>
    </row>
    <row r="32" spans="1:11">
      <c r="A32" s="4196" t="s">
        <v>8403</v>
      </c>
      <c r="B32" s="4550">
        <v>-524887</v>
      </c>
      <c r="C32" s="4550">
        <v>-465112</v>
      </c>
      <c r="D32" s="4550">
        <v>-169733</v>
      </c>
      <c r="E32" s="4550">
        <v>-199245</v>
      </c>
      <c r="F32" s="4550">
        <v>812055</v>
      </c>
      <c r="G32" s="4550">
        <v>-212123</v>
      </c>
      <c r="H32" s="4550">
        <v>-149487</v>
      </c>
      <c r="I32" s="4553">
        <v>-299635</v>
      </c>
      <c r="K32" s="4545">
        <v>-270679</v>
      </c>
    </row>
    <row r="33" spans="1:11">
      <c r="K33" s="4546">
        <f>SUM(K30:K32)</f>
        <v>1339640</v>
      </c>
    </row>
    <row r="34" spans="1:11">
      <c r="A34" s="3922" t="s">
        <v>8404</v>
      </c>
      <c r="B34" s="4560">
        <f t="shared" ref="B34:I34" si="2">SUM(B30:B32)</f>
        <v>7526560</v>
      </c>
      <c r="C34" s="4560">
        <f t="shared" si="2"/>
        <v>2834811</v>
      </c>
      <c r="D34" s="4560">
        <f t="shared" si="2"/>
        <v>5350602</v>
      </c>
      <c r="E34" s="4560">
        <f t="shared" si="2"/>
        <v>3081543</v>
      </c>
      <c r="F34" s="4560">
        <f t="shared" si="2"/>
        <v>3970584</v>
      </c>
      <c r="G34" s="4560">
        <f t="shared" si="2"/>
        <v>2690054</v>
      </c>
      <c r="H34" s="4560">
        <f t="shared" si="2"/>
        <v>3353688</v>
      </c>
      <c r="I34" s="4561">
        <f t="shared" si="2"/>
        <v>2669451</v>
      </c>
    </row>
  </sheetData>
  <mergeCells count="1">
    <mergeCell ref="A1:I1"/>
  </mergeCells>
  <hyperlinks>
    <hyperlink ref="A1:I1" location="FINANCIËN!A1" display="Financieel evenwicht" xr:uid="{6A784A6E-7616-46AC-87D5-4EA040282A4F}"/>
  </hyperlinks>
  <pageMargins left="0.7" right="0.7" top="0.75" bottom="0.75" header="0.3" footer="0.3"/>
  <pageSetup paperSize="9"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rgb="FFE0C816"/>
  </sheetPr>
  <dimension ref="A1:Y14"/>
  <sheetViews>
    <sheetView workbookViewId="0">
      <selection activeCell="D6" sqref="D6"/>
    </sheetView>
  </sheetViews>
  <sheetFormatPr defaultColWidth="9.140625" defaultRowHeight="12.75"/>
  <cols>
    <col min="1" max="1" width="23.5703125" style="520" customWidth="1"/>
    <col min="2" max="2" width="13.85546875" style="595" customWidth="1"/>
    <col min="3" max="3" width="14.28515625" style="595" customWidth="1"/>
    <col min="4" max="4" width="8.140625" style="595" customWidth="1"/>
    <col min="5" max="5" width="6.85546875" style="595" customWidth="1"/>
    <col min="6" max="6" width="6.5703125" style="595" customWidth="1"/>
    <col min="7" max="8" width="8.140625" style="595" customWidth="1"/>
    <col min="9" max="9" width="10" style="595" customWidth="1"/>
    <col min="10" max="10" width="12.85546875" style="595" customWidth="1"/>
    <col min="11" max="11" width="10.7109375" style="595" bestFit="1" customWidth="1"/>
    <col min="12" max="12" width="13.140625" style="595" customWidth="1"/>
    <col min="13" max="14" width="9.140625" style="595"/>
    <col min="15" max="15" width="10.85546875" style="595" customWidth="1"/>
    <col min="16" max="16" width="8" style="595" customWidth="1"/>
    <col min="17" max="17" width="9.7109375" style="595" bestFit="1" customWidth="1"/>
    <col min="18" max="18" width="11.42578125" style="595" bestFit="1" customWidth="1"/>
    <col min="19" max="19" width="10.7109375" style="595" bestFit="1" customWidth="1"/>
    <col min="20" max="20" width="11.5703125" style="595" customWidth="1"/>
    <col min="21" max="22" width="10" style="595" customWidth="1"/>
    <col min="23" max="25" width="9.140625" style="595"/>
    <col min="26" max="16384" width="9.140625" style="520"/>
  </cols>
  <sheetData>
    <row r="1" spans="1:25" ht="21">
      <c r="A1" s="4881" t="s">
        <v>1235</v>
      </c>
      <c r="B1" s="4758"/>
      <c r="C1" s="4758"/>
      <c r="D1" s="4758"/>
      <c r="E1" s="4758"/>
      <c r="F1" s="4758"/>
      <c r="G1" s="4758"/>
      <c r="H1" s="4758"/>
      <c r="I1" s="4758"/>
      <c r="J1" s="4758"/>
      <c r="K1" s="4758"/>
      <c r="L1" s="4758"/>
      <c r="M1" s="4758"/>
      <c r="N1" s="4758"/>
    </row>
    <row r="2" spans="1:25" ht="13.5" thickBot="1"/>
    <row r="3" spans="1:25" s="596" customFormat="1" ht="13.5" thickBot="1">
      <c r="A3" s="591"/>
      <c r="B3" s="16" t="s">
        <v>1236</v>
      </c>
      <c r="C3" s="16" t="s">
        <v>1237</v>
      </c>
      <c r="D3" s="16" t="s">
        <v>1238</v>
      </c>
      <c r="E3" s="16" t="s">
        <v>1239</v>
      </c>
      <c r="F3" s="16" t="s">
        <v>1240</v>
      </c>
      <c r="G3" s="16" t="s">
        <v>1241</v>
      </c>
      <c r="H3" s="16" t="s">
        <v>1242</v>
      </c>
      <c r="I3" s="16" t="s">
        <v>1243</v>
      </c>
      <c r="J3" s="16" t="s">
        <v>1244</v>
      </c>
      <c r="K3" s="16" t="s">
        <v>989</v>
      </c>
      <c r="L3" s="16" t="s">
        <v>1245</v>
      </c>
      <c r="M3" s="16" t="s">
        <v>1246</v>
      </c>
      <c r="N3" s="16" t="s">
        <v>1247</v>
      </c>
      <c r="O3" s="16" t="s">
        <v>1248</v>
      </c>
      <c r="P3" s="16" t="s">
        <v>1249</v>
      </c>
      <c r="Q3" s="16" t="s">
        <v>1250</v>
      </c>
      <c r="R3" s="16" t="s">
        <v>1251</v>
      </c>
      <c r="S3" s="16" t="s">
        <v>1252</v>
      </c>
      <c r="T3" s="16" t="s">
        <v>1253</v>
      </c>
      <c r="U3" s="16" t="s">
        <v>1254</v>
      </c>
      <c r="V3" s="16" t="s">
        <v>1255</v>
      </c>
      <c r="W3" s="562" t="s">
        <v>1256</v>
      </c>
      <c r="X3" s="597"/>
      <c r="Y3" s="597"/>
    </row>
    <row r="4" spans="1:25">
      <c r="A4" s="526">
        <v>2008</v>
      </c>
      <c r="B4" s="602">
        <f>1327.45+916.77+831.47+2714.96+1317.33+1402.62+2264.59+1827.9+1628.98+1062.23+1373.97+1392.03</f>
        <v>18060.3</v>
      </c>
      <c r="C4" s="602">
        <f>19600+19600+6000+6000+5000+5000+5000+10000+5000+18111.41+4137.75+2925.44+3663.38+4096.13+7474.36+2676.57+144.12+144.12</f>
        <v>124573.28000000001</v>
      </c>
      <c r="D4" s="602">
        <v>2617.44</v>
      </c>
      <c r="E4" s="602"/>
      <c r="F4" s="602">
        <f>1241.31+857.78+761.18+1267.64+1320.35+1308.63+1506.25+1119.8+1238.38+1099.32+954.4+1197.39+344.52</f>
        <v>14216.949999999999</v>
      </c>
      <c r="G4" s="602">
        <f>2660.19+2669.17+2669.17+2613.52</f>
        <v>10612.050000000001</v>
      </c>
      <c r="H4" s="602"/>
      <c r="I4" s="602">
        <f>19455.27+20262.21+21435.89+26855.59+20747.67+20781.02+27425.28+22869.43+26939.7+21496.37+19171.54+20487.49</f>
        <v>267927.46000000002</v>
      </c>
      <c r="J4" s="602">
        <f t="shared" ref="J4:J11" si="0">SUM(B4:I4)</f>
        <v>438007.48000000004</v>
      </c>
      <c r="K4" s="602">
        <v>48500</v>
      </c>
      <c r="L4" s="602">
        <v>9621</v>
      </c>
      <c r="M4" s="602">
        <f>4483.05+4483.05+4483.05+7480.83+9395.65+9159.7+11213.38+9159.7+11213.68+4483.05+4483.05+4670.6</f>
        <v>84708.790000000008</v>
      </c>
      <c r="N4" s="602">
        <f>5739.39+3865.71+3865.71+3905.15+3944.6+3905.15+5838.01+3905.15+3944.6+3865.71+3865.71+5798.56</f>
        <v>52443.45</v>
      </c>
      <c r="O4" s="602">
        <f>911.57+440.25+440.25+378.1+378.1+452.36+324.34+388.35+452.36+324.34+420.35</f>
        <v>4910.3700000000008</v>
      </c>
      <c r="P4" s="602"/>
      <c r="Q4" s="602">
        <v>36023</v>
      </c>
      <c r="R4" s="602">
        <f>SUM(B4:Q4)</f>
        <v>1112221.5700000003</v>
      </c>
      <c r="S4" s="602">
        <v>165036</v>
      </c>
      <c r="T4" s="602">
        <v>8092</v>
      </c>
      <c r="U4" s="602">
        <v>6822</v>
      </c>
      <c r="V4" s="602"/>
      <c r="W4" s="603">
        <f t="shared" ref="W4:W11" si="1">SUM(U4:V4)</f>
        <v>6822</v>
      </c>
    </row>
    <row r="5" spans="1:25">
      <c r="A5" s="526">
        <v>2009</v>
      </c>
      <c r="B5" s="602">
        <f>799.3+1064.14+1390.28+1572.89+1231.75+2661.49+2136.26+1585.51+1844.42+1370.63+1094.1+1315.65</f>
        <v>18066.420000000002</v>
      </c>
      <c r="C5" s="602">
        <f>27000+27000+21000+25500+2989.24+3308.88+8635.27+4597.48+7593.16+3436.59+7340.64+2065.96+6211.05+1110.02+15583.4</f>
        <v>163371.68999999997</v>
      </c>
      <c r="D5" s="602">
        <f>1887.34</f>
        <v>1887.34</v>
      </c>
      <c r="E5" s="602"/>
      <c r="F5" s="602">
        <f>916.34+825.59+1052.26+1299.85+1296.92+2056.64+1005.63+1080.29+1001.24+1716.15+1070.04+1231.05+497.64</f>
        <v>15049.64</v>
      </c>
      <c r="G5" s="602">
        <f>2613.52+2629.68+2645.83+2629.68</f>
        <v>10518.71</v>
      </c>
      <c r="H5" s="602"/>
      <c r="I5" s="602">
        <f>22475.29+20295.7+30230.95+24530.39+22393.06+26775.11+27493.02+25517.23+27507.96+22336.9+23679.56+22987.01</f>
        <v>296222.18</v>
      </c>
      <c r="J5" s="602">
        <f t="shared" si="0"/>
        <v>505115.98</v>
      </c>
      <c r="K5" s="602">
        <v>51780</v>
      </c>
      <c r="L5" s="602">
        <v>6867</v>
      </c>
      <c r="M5" s="602">
        <f>5159.74+5159.74+7521.84+6248.75+10537.29+12627.11+10537.29+10809.54+12899.36+5159.74+5159.74+5377.54</f>
        <v>97197.680000000008</v>
      </c>
      <c r="N5" s="602">
        <f>4467.04+4414.66+4398.02+4443.8+4506.1+6776.83+4418.65+4417.26+4432.47+4501.79+4489.97+6711.42</f>
        <v>57978.010000000009</v>
      </c>
      <c r="O5" s="602">
        <f>443.44+443.44+409.51+477.37+863.26+409.51+477.37-453.75+375.58+341.66+409.52+375.58+33.93+511.3</f>
        <v>5117.72</v>
      </c>
      <c r="P5" s="602"/>
      <c r="Q5" s="602">
        <v>20240</v>
      </c>
      <c r="R5" s="602">
        <f t="shared" ref="R5:R11" si="2">SUM(B5:Q5)</f>
        <v>1249412.3699999999</v>
      </c>
      <c r="S5" s="602">
        <v>176667</v>
      </c>
      <c r="T5" s="602">
        <v>8682</v>
      </c>
      <c r="U5" s="602">
        <v>6491</v>
      </c>
      <c r="V5" s="602"/>
      <c r="W5" s="603">
        <f t="shared" si="1"/>
        <v>6491</v>
      </c>
    </row>
    <row r="6" spans="1:25">
      <c r="A6" s="526">
        <v>2010</v>
      </c>
      <c r="B6" s="602">
        <f>1231.57+1075.77+1048.38+2028.21+825.65+2317.29+1318.66+2040.78+1972.4+900.25+1207.77+2113.77</f>
        <v>18080.5</v>
      </c>
      <c r="C6" s="602">
        <f>24000+15000+22525.87+21000+3962.37+21000+6778.15-7033.17+4053.53+22340.27+140.92+4349.06+4697.74+4226.26+4524.31</f>
        <v>151565.31</v>
      </c>
      <c r="D6" s="602">
        <f>2353.82+26.18</f>
        <v>2380</v>
      </c>
      <c r="E6" s="602"/>
      <c r="F6" s="602">
        <f>821.2+796.31+1020.27+1243.25+1203.24+4532.5+1122.74+1209.1+1796.39+2765.81+1431.61+829.98</f>
        <v>18772.400000000001</v>
      </c>
      <c r="G6" s="602">
        <f>2636.86+2672.76+2701.48+2712.24</f>
        <v>10723.34</v>
      </c>
      <c r="H6" s="602"/>
      <c r="I6" s="602">
        <f>26923.85+23673.98+34153.3+26157.21+23849.07+29261.31+28378.13+31634.52+26856.81+25442.76+27598.21+22017.34</f>
        <v>325946.49000000005</v>
      </c>
      <c r="J6" s="602">
        <f t="shared" si="0"/>
        <v>527468.04</v>
      </c>
      <c r="K6" s="602">
        <v>73200</v>
      </c>
      <c r="L6" s="602">
        <v>6652</v>
      </c>
      <c r="M6" s="602">
        <f>5127.74+5127.74+7475.14+6209.96+10742.38+12819.22+10742.38+12819.22+10471.82+5127.74+5344.21+5127.74</f>
        <v>97135.290000000023</v>
      </c>
      <c r="N6" s="602">
        <f>4446.44+4509.59+4456.19+4555.11+4594.66+7437.82+4588.55+4568.66+4529.39+5087.26+6842.17+4537.62</f>
        <v>60153.460000000006</v>
      </c>
      <c r="O6" s="602">
        <f>477.37+477.37+375.58+579.15+402.21+409.51+498.74+375.58+341.66+375.58+537.93+266.5</f>
        <v>5117.1799999999994</v>
      </c>
      <c r="P6" s="602">
        <f>18194.5</f>
        <v>18194.5</v>
      </c>
      <c r="Q6" s="602">
        <v>32337</v>
      </c>
      <c r="R6" s="602">
        <f t="shared" si="2"/>
        <v>1347725.51</v>
      </c>
      <c r="S6" s="602">
        <v>172276</v>
      </c>
      <c r="T6" s="602">
        <v>8602</v>
      </c>
      <c r="U6" s="602">
        <v>9263</v>
      </c>
      <c r="V6" s="602"/>
      <c r="W6" s="603">
        <f t="shared" si="1"/>
        <v>9263</v>
      </c>
    </row>
    <row r="7" spans="1:25">
      <c r="A7" s="526">
        <v>2011</v>
      </c>
      <c r="B7" s="602">
        <f>894.01+2095.9+3304.31+918.64+583.14+1158.51+939.5+920.64+1055.14+857.64+595.39+592.64</f>
        <v>13915.459999999997</v>
      </c>
      <c r="C7" s="602">
        <f>21000+9000+10463.42+70.43+2999.15+6000+3960.12+9000+6830.88+1334.96+3569.76+12060.27+2877.23</f>
        <v>89166.22</v>
      </c>
      <c r="D7" s="602">
        <f>2882.18</f>
        <v>2882.18</v>
      </c>
      <c r="E7" s="602"/>
      <c r="F7" s="602">
        <f>916.75+898.73+1216.38+1539.42+2133.57+1492.9+1369.86+1717.95+1776.48+1596.43+1777.98+877.73</f>
        <v>17314.18</v>
      </c>
      <c r="G7" s="602">
        <f>2742.76+2814.56+2830.72+2857.64+22500</f>
        <v>33745.68</v>
      </c>
      <c r="H7" s="602"/>
      <c r="I7" s="602">
        <f>25297.85+24346.3+39833.63+19524.22+24532.22+20861.52+25117.08+26539.25+22735.15+19321.29+21566.05+21973.51</f>
        <v>291648.07</v>
      </c>
      <c r="J7" s="602">
        <f t="shared" si="0"/>
        <v>448671.79</v>
      </c>
      <c r="K7" s="602">
        <v>83000</v>
      </c>
      <c r="L7" s="602">
        <v>5433</v>
      </c>
      <c r="M7" s="602">
        <f>5240.53+5240.53+7639.58+6623.14+13101.3+10702.26+10702.26+13101.3+10702.26+5240.53+5461.76+5240.53</f>
        <v>98995.98</v>
      </c>
      <c r="N7" s="602">
        <f>4649.57+4617.46+4617.86+5655.03+7123.88+5223.32+5203.5+4727.89+4774.79+4738.23+6990.01+4736.96</f>
        <v>63058.5</v>
      </c>
      <c r="O7" s="602">
        <f>453.6+384.05+488.38+349.28+384.05+349.28+349.28+354.18+318.86+318.86+424.82+318.86</f>
        <v>4493.5</v>
      </c>
      <c r="P7" s="602"/>
      <c r="Q7" s="602">
        <v>27588</v>
      </c>
      <c r="R7" s="602">
        <f t="shared" si="2"/>
        <v>1179912.56</v>
      </c>
      <c r="S7" s="602">
        <v>198030</v>
      </c>
      <c r="T7" s="602">
        <v>9724</v>
      </c>
      <c r="U7" s="602">
        <f>1314.28+17.35+1742.62+1391.79+490.48+772.49+275+776.49+225+1925+388.58</f>
        <v>9319.08</v>
      </c>
      <c r="V7" s="602">
        <f>2848.92+1789+2541.41+2452.61+2149.85+1477.72+2249.11</f>
        <v>15508.62</v>
      </c>
      <c r="W7" s="603">
        <f t="shared" si="1"/>
        <v>24827.7</v>
      </c>
    </row>
    <row r="8" spans="1:25">
      <c r="A8" s="526">
        <v>2012</v>
      </c>
      <c r="B8" s="602">
        <f>598.7+659.52+955.49+621.9+1450.27+566.52+1288.89+958.65+1050.1+1436.27+714.27</f>
        <v>10300.58</v>
      </c>
      <c r="C8" s="602">
        <f>4500+6278.7+280.05+6786.07+6000+3420.58+899.19+3519.54+3221.54+11221.18+21634.15</f>
        <v>67761</v>
      </c>
      <c r="D8" s="602">
        <f>2786.98</f>
        <v>2786.98</v>
      </c>
      <c r="E8" s="602"/>
      <c r="F8" s="602">
        <f>1026.14+802.07+1315.13+1778.75+2364.46+1948.75+1876.13+1874.57+1636.57+1951.84+1281.14+638.25</f>
        <v>18493.8</v>
      </c>
      <c r="G8" s="602">
        <f>2961.85+3015.5+3072.85+30000</f>
        <v>39050.199999999997</v>
      </c>
      <c r="H8" s="602">
        <v>2737.88</v>
      </c>
      <c r="I8" s="602">
        <f>30269.61+19515.89+21823.37+20634.45+25327.29+22514.95+28409.72+25335.69+22411.28+22916.44+22068.77+20765.66</f>
        <v>281993.12</v>
      </c>
      <c r="J8" s="602">
        <f t="shared" si="0"/>
        <v>423123.56</v>
      </c>
      <c r="K8" s="602">
        <v>105000</v>
      </c>
      <c r="L8" s="602">
        <f>8239+614.2+469.95</f>
        <v>9323.1500000000015</v>
      </c>
      <c r="M8" s="602">
        <f>7917.96+5431.47+5431.47+6577.71+13578.68+11378.74+13292.12+11092.19+11378.74+5660.72+5431.47+5431.47</f>
        <v>102602.74</v>
      </c>
      <c r="N8" s="602">
        <f>4687.02+4696.37+4722.03+7116.98+4862.84+4860+4818.32+4817.64+4758.45+7137.67+4765.16+4714.26</f>
        <v>61956.74</v>
      </c>
      <c r="O8" s="602">
        <f>325.15+397.36+397.36+433.47+469.57+325.15+325.15+397.36+361.26+469.58</f>
        <v>3901.41</v>
      </c>
      <c r="P8" s="602"/>
      <c r="Q8" s="602">
        <v>37198</v>
      </c>
      <c r="R8" s="602">
        <f t="shared" si="2"/>
        <v>1166229.1599999999</v>
      </c>
      <c r="S8" s="602">
        <v>188274</v>
      </c>
      <c r="T8" s="602">
        <v>9301</v>
      </c>
      <c r="U8" s="602">
        <f>700.76+709.88+1026.32+476.82+752.84+1848.24+1132.04+1556.72+1083.13+1012.87+930.21+861.13</f>
        <v>12090.960000000001</v>
      </c>
      <c r="V8" s="602">
        <f>902.72+768.91+1560.65+1530.83+1665.82+2383.82+2450.73+5038.91+2790.04+3641.36+1788.68+1795.82</f>
        <v>26318.29</v>
      </c>
      <c r="W8" s="603">
        <f t="shared" si="1"/>
        <v>38409.25</v>
      </c>
    </row>
    <row r="9" spans="1:25" s="601" customFormat="1">
      <c r="A9" s="526">
        <v>2013</v>
      </c>
      <c r="B9" s="602">
        <f>607.52+515.41+14.52+36.27+44.76+534.03+527.51+552.27+462.96</f>
        <v>3295.2499999999995</v>
      </c>
      <c r="C9" s="602">
        <f>30000+821.42+220.03+460.85+10558.96+10430.98</f>
        <v>52492.239999999991</v>
      </c>
      <c r="D9" s="602">
        <v>1450.9</v>
      </c>
      <c r="E9" s="602"/>
      <c r="F9" s="602">
        <f>1049.4+987.39+1003.29+2386.13+2101.98+694.83+2195.79+1039.86+1723.56+1477.11+4466.89+1308.57+987.39</f>
        <v>21422.190000000002</v>
      </c>
      <c r="G9" s="602">
        <f>31804+3106.78+3165.76+3222.84</f>
        <v>41299.380000000005</v>
      </c>
      <c r="H9" s="602"/>
      <c r="I9" s="602">
        <f>29820.6+19941.31+21910.4+21757.11+25143.98+21672.52+27576.77+23628.02+22958.03+21718.4+21228.24+28476.92</f>
        <v>285832.29999999993</v>
      </c>
      <c r="J9" s="602">
        <f t="shared" si="0"/>
        <v>405792.25999999989</v>
      </c>
      <c r="K9" s="602">
        <f>28033.55*4</f>
        <v>112134.2</v>
      </c>
      <c r="L9" s="602">
        <f>599.18+434.83+1748.7+178.52+507.29+194.97+3253.28+185.59+502.89</f>
        <v>7605.2500000000009</v>
      </c>
      <c r="M9" s="602">
        <f>5504.57+5504.57+5504.57+6898.66+11241.48+11531.92+13761.41+11531.92+11241.48+5736.91+5504.57+8024.51</f>
        <v>101986.56999999999</v>
      </c>
      <c r="N9" s="602">
        <f>4710.09+4751.05+4748.78+7241.18+4872.52+4808.26+4753.88+4815.96+4769.72+7232.46+4755.28+4687.75</f>
        <v>62146.929999999993</v>
      </c>
      <c r="O9" s="602">
        <f>334.35+446.11+371.6+520.63+334.34+408.86+483.37+334.35+297.09+483.37+399.02+557.88</f>
        <v>4970.97</v>
      </c>
      <c r="P9" s="602"/>
      <c r="Q9" s="602">
        <v>29938.43</v>
      </c>
      <c r="R9" s="602">
        <f t="shared" si="2"/>
        <v>1130366.8699999996</v>
      </c>
      <c r="S9" s="602">
        <v>194822</v>
      </c>
      <c r="T9" s="602">
        <v>9946.2199999999993</v>
      </c>
      <c r="U9" s="602">
        <f>385.97+299.79+535.72+50+79.7+2700+1200-382.04+176.29+1025+984.74+971.27</f>
        <v>8026.4400000000005</v>
      </c>
      <c r="V9" s="602">
        <f>1695.06+974.8+685.83+682.79+79.7+20+7379.03+1157.91+491.88+946.21+3184.82+7467.83</f>
        <v>24765.86</v>
      </c>
      <c r="W9" s="603">
        <f>SUM(U9:V9)</f>
        <v>32792.300000000003</v>
      </c>
      <c r="X9" s="600"/>
      <c r="Y9" s="600"/>
    </row>
    <row r="10" spans="1:25">
      <c r="A10" s="526">
        <v>2014</v>
      </c>
      <c r="B10" s="521">
        <f>836.27+73.77+306.63+421.66+90.7+549.77+737.01+226.01-227.75+297.98+624.37+489.36-617.83</f>
        <v>3807.9500000000007</v>
      </c>
      <c r="C10" s="521">
        <f>1067+366.1+5208.7+1493.16+3859.74+19233.23+48000+3693.39+4046.29+764.97+12804.37-24391-5194.53-84.33-5006.62-4727.05-4553.64</f>
        <v>56579.779999999984</v>
      </c>
      <c r="D10" s="521">
        <f>1212.4</f>
        <v>1212.4000000000001</v>
      </c>
      <c r="E10" s="521">
        <f>8282.01+2682.93</f>
        <v>10964.94</v>
      </c>
      <c r="F10" s="521">
        <f>1100.28+1030.32+1585.01+2895.39+1968.42+2113.11+1752.18+2129.01+3288.12+1714.02+1477.11+1017.6</f>
        <v>22070.57</v>
      </c>
      <c r="G10" s="521">
        <f>321.97+3393.47+3430.19+3457.24+8077.5+8077.5+8077.5+8077.5</f>
        <v>42912.869999999995</v>
      </c>
      <c r="H10" s="521">
        <v>1179.69</v>
      </c>
      <c r="I10" s="521">
        <f>22953.49+21089.82+22205.74+22523.36+25536.52+21754.65+27377.65+22883.58+26863.11+21654.14+29410.42+18097.42</f>
        <v>282349.89999999997</v>
      </c>
      <c r="J10" s="602">
        <f t="shared" si="0"/>
        <v>421078.1</v>
      </c>
      <c r="K10" s="521">
        <f>29335*4</f>
        <v>117340</v>
      </c>
      <c r="L10" s="521">
        <f>502.44+490.48+345.8+2093.3</f>
        <v>3432.0200000000004</v>
      </c>
      <c r="M10" s="521">
        <f>5948.46+5948.46+5948.46+7400.46+12441.41+12138.91+14871.14+12441.41+14871.14+11412.91+5948.46+8680.69</f>
        <v>118051.91000000002</v>
      </c>
      <c r="N10" s="521">
        <f>4825.67+4705.63+5195.29+7651.11+5188.1+5185.82+4943.54+5199.26+7933.16+4963.42+4832.79+4695.78</f>
        <v>65319.57</v>
      </c>
      <c r="O10" s="521">
        <f>378.14+340.16+492.08+378.14+340.16+416.12+454.1+264.19+340.16+340.16+302.17+416.12</f>
        <v>4461.7</v>
      </c>
      <c r="P10" s="521"/>
      <c r="Q10" s="521">
        <v>35534.97</v>
      </c>
      <c r="R10" s="602">
        <f t="shared" si="2"/>
        <v>1186296.3699999999</v>
      </c>
      <c r="S10" s="521">
        <v>194111.59</v>
      </c>
      <c r="T10" s="521"/>
      <c r="U10" s="521">
        <v>50541.59</v>
      </c>
      <c r="V10" s="521"/>
      <c r="W10" s="603">
        <f>SUM(U10:V10)</f>
        <v>50541.59</v>
      </c>
    </row>
    <row r="11" spans="1:25" ht="13.5" thickBot="1">
      <c r="A11" s="604">
        <v>2015</v>
      </c>
      <c r="B11" s="605">
        <f>491.81+510.15+1202.1+750.41+1383.43+631.52+660.27+1679.77+1735.4+418.27+303.24-197.99</f>
        <v>9568.380000000001</v>
      </c>
      <c r="C11" s="605">
        <f>36000+19184.48+7549.49+1502.16+5747.66-6178+1027.34+4038.6+17486.19+4077.81-490.39-5868.13-298.66-79.33-4592.06-5992.74-4830.75-16445</f>
        <v>51838.669999999984</v>
      </c>
      <c r="D11" s="605"/>
      <c r="E11" s="605">
        <f>5954.63+1516.86+4147.22</f>
        <v>11618.71</v>
      </c>
      <c r="F11" s="605">
        <f>1098.69+1063.71+2106.75+2065.41+2221.23+3396.24+1276.77+2191.02+3410.55+1896.87+5722.91+1027.35-4147.22-1516.86</f>
        <v>21813.419999999995</v>
      </c>
      <c r="G11" s="605">
        <f>3482.36+3522.95+3561.13+3597.94+8099.75+8099.75+8099.75+8099.75</f>
        <v>46563.38</v>
      </c>
      <c r="H11" s="605">
        <v>1082.48</v>
      </c>
      <c r="I11" s="605">
        <f>22977.12+20855.57+21876.66+22579.04+25250.81+26438.27+24278.44+24452.95+28099.27+18733.25+22694.93+29412.39</f>
        <v>287648.7</v>
      </c>
      <c r="J11" s="606">
        <f t="shared" si="0"/>
        <v>430133.74</v>
      </c>
      <c r="K11" s="605">
        <f>(25002.11*4)-3019.28</f>
        <v>96989.16</v>
      </c>
      <c r="L11" s="605">
        <f>500.91+357.12+517.13+510.52+376.56+341.28+439.64+323.28</f>
        <v>3366.4399999999996</v>
      </c>
      <c r="M11" s="605">
        <v>110030.12</v>
      </c>
      <c r="N11" s="605">
        <v>64606.06</v>
      </c>
      <c r="O11" s="605">
        <v>4264.47</v>
      </c>
      <c r="P11" s="605"/>
      <c r="Q11" s="605">
        <v>47743.91</v>
      </c>
      <c r="R11" s="606">
        <f t="shared" si="2"/>
        <v>1187267.6399999999</v>
      </c>
      <c r="S11" s="605">
        <v>222449.44</v>
      </c>
      <c r="T11" s="605"/>
      <c r="U11" s="605">
        <v>44559.95</v>
      </c>
      <c r="V11" s="605"/>
      <c r="W11" s="607">
        <f t="shared" si="1"/>
        <v>44559.95</v>
      </c>
    </row>
    <row r="12" spans="1:25">
      <c r="W12" s="599"/>
    </row>
    <row r="14" spans="1:25" ht="180">
      <c r="A14" s="3777" t="s">
        <v>7333</v>
      </c>
      <c r="B14" s="3776" t="s">
        <v>7331</v>
      </c>
    </row>
  </sheetData>
  <mergeCells count="1">
    <mergeCell ref="A1:N1"/>
  </mergeCells>
  <hyperlinks>
    <hyperlink ref="A1:N1" location="FINANCIËN!A1" display="Afval" xr:uid="{00000000-0004-0000-3600-000000000000}"/>
    <hyperlink ref="B14" r:id="rId1" xr:uid="{00000000-0004-0000-3600-000001000000}"/>
  </hyperlinks>
  <pageMargins left="0.7" right="0.7" top="0.75" bottom="0.75" header="0.3" footer="0.3"/>
  <pageSetup paperSize="9" orientation="landscape"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E0C816"/>
  </sheetPr>
  <dimension ref="A1:AK212"/>
  <sheetViews>
    <sheetView topLeftCell="A142" workbookViewId="0">
      <selection activeCell="O16" sqref="O16"/>
    </sheetView>
  </sheetViews>
  <sheetFormatPr defaultColWidth="9.140625" defaultRowHeight="12.75"/>
  <cols>
    <col min="1" max="2" width="16.28515625" style="614" customWidth="1"/>
    <col min="3" max="3" width="12.85546875" style="616" customWidth="1"/>
    <col min="4" max="4" width="8.7109375" style="616" bestFit="1" customWidth="1"/>
    <col min="5" max="5" width="12" style="616" customWidth="1"/>
    <col min="6" max="6" width="10" style="616" customWidth="1"/>
    <col min="7" max="7" width="10.5703125" style="616" customWidth="1"/>
    <col min="8" max="8" width="11.85546875" style="616" bestFit="1" customWidth="1"/>
    <col min="9" max="9" width="13.5703125" style="616" bestFit="1" customWidth="1"/>
    <col min="10" max="18" width="10.42578125" style="616" bestFit="1" customWidth="1"/>
    <col min="19" max="23" width="13.5703125" style="616" bestFit="1" customWidth="1"/>
    <col min="24" max="25" width="12.140625" style="616" bestFit="1" customWidth="1"/>
    <col min="26" max="26" width="10.85546875" style="616" bestFit="1" customWidth="1"/>
    <col min="27" max="27" width="9.42578125" style="616" bestFit="1" customWidth="1"/>
    <col min="28" max="37" width="9.140625" style="616"/>
    <col min="38" max="16384" width="9.140625" style="614"/>
  </cols>
  <sheetData>
    <row r="1" spans="1:37" ht="21">
      <c r="A1" s="4881" t="s">
        <v>996</v>
      </c>
      <c r="B1" s="4758"/>
      <c r="C1" s="4758"/>
      <c r="D1" s="4758"/>
      <c r="E1" s="4758"/>
      <c r="F1" s="4758"/>
      <c r="G1" s="4758"/>
      <c r="H1" s="4758"/>
      <c r="I1" s="4758"/>
      <c r="J1" s="4758"/>
      <c r="K1" s="4758"/>
      <c r="L1" s="4758"/>
      <c r="M1" s="4758"/>
    </row>
    <row r="2" spans="1:37" ht="13.5" thickBot="1">
      <c r="A2" s="609"/>
      <c r="B2" s="609"/>
    </row>
    <row r="3" spans="1:37" s="395" customFormat="1" ht="18" customHeight="1" thickBot="1">
      <c r="A3" s="3026"/>
      <c r="B3" s="1967">
        <v>2007</v>
      </c>
      <c r="C3" s="1967">
        <v>2008</v>
      </c>
      <c r="D3" s="1967">
        <v>2009</v>
      </c>
      <c r="E3" s="1967">
        <v>2010</v>
      </c>
      <c r="F3" s="1967">
        <v>2011</v>
      </c>
      <c r="G3" s="1967">
        <v>2012</v>
      </c>
      <c r="H3" s="1967">
        <v>2013</v>
      </c>
      <c r="I3" s="1967">
        <v>2014</v>
      </c>
      <c r="J3" s="1967">
        <v>2015</v>
      </c>
      <c r="K3" s="1967">
        <v>2016</v>
      </c>
      <c r="L3" s="1967">
        <v>2017</v>
      </c>
      <c r="M3" s="1967">
        <v>2018</v>
      </c>
      <c r="N3" s="1967">
        <v>2019</v>
      </c>
      <c r="O3" s="1967">
        <v>2020</v>
      </c>
      <c r="P3" s="1967">
        <v>2021</v>
      </c>
      <c r="U3" s="1965"/>
      <c r="V3" s="1965"/>
      <c r="W3" s="1965"/>
      <c r="X3" s="1965"/>
      <c r="Y3" s="1965"/>
      <c r="Z3" s="1965"/>
      <c r="AA3" s="1965"/>
      <c r="AB3" s="1965"/>
      <c r="AC3" s="1965"/>
      <c r="AD3" s="1965"/>
      <c r="AE3" s="1965"/>
      <c r="AF3" s="1965"/>
      <c r="AG3" s="1965"/>
      <c r="AH3" s="1965"/>
      <c r="AI3" s="1965"/>
      <c r="AJ3" s="1965"/>
      <c r="AK3" s="1965"/>
    </row>
    <row r="4" spans="1:37" s="395" customFormat="1">
      <c r="A4" s="1205" t="s">
        <v>986</v>
      </c>
      <c r="B4" s="1969">
        <f t="shared" ref="B4:M4" si="0">H114</f>
        <v>413134.67000000004</v>
      </c>
      <c r="C4" s="1969">
        <f t="shared" si="0"/>
        <v>556803.10550000006</v>
      </c>
      <c r="D4" s="1969">
        <f t="shared" si="0"/>
        <v>620014.65599999996</v>
      </c>
      <c r="E4" s="1969">
        <f t="shared" si="0"/>
        <v>614414.07600000012</v>
      </c>
      <c r="F4" s="1969">
        <f t="shared" si="0"/>
        <v>661279.93599999999</v>
      </c>
      <c r="G4" s="1969">
        <f t="shared" si="0"/>
        <v>679910.44600000011</v>
      </c>
      <c r="H4" s="1969">
        <f t="shared" si="0"/>
        <v>708707.52600000007</v>
      </c>
      <c r="I4" s="1969">
        <f t="shared" si="0"/>
        <v>630370.81000000006</v>
      </c>
      <c r="J4" s="1969">
        <f t="shared" si="0"/>
        <v>611527.26</v>
      </c>
      <c r="K4" s="1969">
        <f t="shared" si="0"/>
        <v>612595.69000000006</v>
      </c>
      <c r="L4" s="1969">
        <f t="shared" si="0"/>
        <v>606964.21799999999</v>
      </c>
      <c r="M4" s="2609">
        <f t="shared" si="0"/>
        <v>627073.89999999991</v>
      </c>
      <c r="N4" s="2609">
        <f>T114</f>
        <v>655336.1</v>
      </c>
      <c r="O4" s="2609">
        <f>U114</f>
        <v>643913.33550000004</v>
      </c>
      <c r="P4" s="2609">
        <f>V114</f>
        <v>645493.33550000004</v>
      </c>
      <c r="U4" s="1965"/>
      <c r="V4" s="1965"/>
      <c r="W4" s="1965"/>
      <c r="X4" s="1965"/>
      <c r="Y4" s="1965"/>
      <c r="Z4" s="1965"/>
      <c r="AA4" s="1965"/>
      <c r="AB4" s="1965"/>
      <c r="AC4" s="1965"/>
      <c r="AD4" s="1965"/>
      <c r="AE4" s="1965"/>
      <c r="AF4" s="1965"/>
      <c r="AG4" s="1965"/>
      <c r="AH4" s="1965"/>
      <c r="AI4" s="1965"/>
      <c r="AJ4" s="1965"/>
      <c r="AK4" s="1965"/>
    </row>
    <row r="5" spans="1:37" s="395" customFormat="1">
      <c r="A5" s="1205" t="s">
        <v>987</v>
      </c>
      <c r="B5" s="1969">
        <f t="shared" ref="B5:M5" si="1">H184</f>
        <v>193782.47</v>
      </c>
      <c r="C5" s="1969">
        <f t="shared" si="1"/>
        <v>180222.05</v>
      </c>
      <c r="D5" s="1969">
        <f t="shared" si="1"/>
        <v>171901.63</v>
      </c>
      <c r="E5" s="1969">
        <f t="shared" si="1"/>
        <v>175681.97999999998</v>
      </c>
      <c r="F5" s="1969">
        <f t="shared" si="1"/>
        <v>178216.05</v>
      </c>
      <c r="G5" s="1969">
        <f t="shared" si="1"/>
        <v>177710.06999999998</v>
      </c>
      <c r="H5" s="1969">
        <f t="shared" si="1"/>
        <v>154921.5</v>
      </c>
      <c r="I5" s="1969">
        <f t="shared" si="1"/>
        <v>197026.31</v>
      </c>
      <c r="J5" s="1969">
        <f t="shared" si="1"/>
        <v>176477.51</v>
      </c>
      <c r="K5" s="1969">
        <f t="shared" si="1"/>
        <v>102091.31</v>
      </c>
      <c r="L5" s="1969">
        <f t="shared" si="1"/>
        <v>61634.679999999993</v>
      </c>
      <c r="M5" s="1969">
        <f t="shared" si="1"/>
        <v>54028.02</v>
      </c>
      <c r="N5" s="1969">
        <f>T184</f>
        <v>34342.550000000003</v>
      </c>
      <c r="O5" s="1969">
        <f>U184</f>
        <v>22997.200000000001</v>
      </c>
      <c r="P5" s="1969">
        <f>V184</f>
        <v>25619.620000000003</v>
      </c>
      <c r="U5" s="1965"/>
      <c r="V5" s="1965"/>
      <c r="W5" s="1965"/>
      <c r="X5" s="1965"/>
      <c r="Y5" s="1965"/>
      <c r="Z5" s="1965"/>
      <c r="AA5" s="1965"/>
      <c r="AB5" s="1965"/>
      <c r="AC5" s="1965"/>
      <c r="AD5" s="1965"/>
      <c r="AE5" s="1965"/>
      <c r="AF5" s="1965"/>
      <c r="AG5" s="1965"/>
      <c r="AH5" s="1965"/>
      <c r="AI5" s="1965"/>
      <c r="AJ5" s="1965"/>
      <c r="AK5" s="1965"/>
    </row>
    <row r="6" spans="1:37" s="395" customFormat="1">
      <c r="A6" s="1205" t="s">
        <v>988</v>
      </c>
      <c r="B6" s="1969">
        <f>B5-B4</f>
        <v>-219352.20000000004</v>
      </c>
      <c r="C6" s="1969">
        <f>C5-C4</f>
        <v>-376581.05550000007</v>
      </c>
      <c r="D6" s="1969">
        <f>D5-D4</f>
        <v>-448113.02599999995</v>
      </c>
      <c r="E6" s="1969">
        <f t="shared" ref="E6:M6" si="2">E5-E4</f>
        <v>-438732.09600000014</v>
      </c>
      <c r="F6" s="1969">
        <f t="shared" si="2"/>
        <v>-483063.886</v>
      </c>
      <c r="G6" s="1969">
        <f t="shared" si="2"/>
        <v>-502200.37600000016</v>
      </c>
      <c r="H6" s="1969">
        <f t="shared" si="2"/>
        <v>-553786.02600000007</v>
      </c>
      <c r="I6" s="1969">
        <f t="shared" si="2"/>
        <v>-433344.50000000006</v>
      </c>
      <c r="J6" s="1969">
        <f t="shared" si="2"/>
        <v>-435049.75</v>
      </c>
      <c r="K6" s="1969">
        <f t="shared" si="2"/>
        <v>-510504.38000000006</v>
      </c>
      <c r="L6" s="1969">
        <f t="shared" si="2"/>
        <v>-545329.53799999994</v>
      </c>
      <c r="M6" s="1969">
        <f t="shared" si="2"/>
        <v>-573045.87999999989</v>
      </c>
      <c r="N6" s="1969">
        <f>N5-N4</f>
        <v>-620993.54999999993</v>
      </c>
      <c r="O6" s="1969">
        <f>O5-O4</f>
        <v>-620916.13550000009</v>
      </c>
      <c r="P6" s="1969">
        <f>P5-P4</f>
        <v>-619873.71550000005</v>
      </c>
      <c r="U6" s="1965"/>
      <c r="V6" s="1965"/>
      <c r="W6" s="1965"/>
      <c r="X6" s="1965"/>
      <c r="Y6" s="1965"/>
      <c r="Z6" s="1965"/>
      <c r="AA6" s="1965"/>
      <c r="AB6" s="1965"/>
      <c r="AC6" s="1965"/>
      <c r="AD6" s="1965"/>
      <c r="AE6" s="1965"/>
      <c r="AF6" s="1965"/>
      <c r="AG6" s="1965"/>
      <c r="AH6" s="1965"/>
      <c r="AI6" s="1965"/>
      <c r="AJ6" s="1965"/>
      <c r="AK6" s="1965"/>
    </row>
    <row r="7" spans="1:37" s="395" customFormat="1">
      <c r="A7" s="1205"/>
      <c r="B7" s="1969"/>
      <c r="C7" s="1969"/>
      <c r="D7" s="1969"/>
      <c r="E7" s="1969"/>
      <c r="F7" s="1969"/>
      <c r="G7" s="1969"/>
      <c r="H7" s="1969"/>
      <c r="I7" s="1969"/>
      <c r="J7" s="1969"/>
      <c r="K7" s="1969"/>
      <c r="L7" s="1969"/>
      <c r="M7" s="1969"/>
      <c r="N7" s="1969"/>
      <c r="O7" s="1969"/>
      <c r="P7" s="1969"/>
      <c r="U7" s="1965"/>
      <c r="V7" s="1965"/>
      <c r="W7" s="1965"/>
      <c r="X7" s="1965"/>
      <c r="Y7" s="1965"/>
      <c r="Z7" s="1965"/>
      <c r="AA7" s="1965"/>
      <c r="AB7" s="1965"/>
      <c r="AC7" s="1965"/>
      <c r="AD7" s="1965"/>
      <c r="AE7" s="1965"/>
      <c r="AF7" s="1965"/>
      <c r="AG7" s="1965"/>
      <c r="AH7" s="1965"/>
      <c r="AI7" s="1965"/>
      <c r="AJ7" s="1965"/>
      <c r="AK7" s="1965"/>
    </row>
    <row r="8" spans="1:37" s="395" customFormat="1">
      <c r="A8" s="1205" t="s">
        <v>989</v>
      </c>
      <c r="B8" s="1969">
        <f t="shared" ref="B8:M8" si="3">H65</f>
        <v>306418.17</v>
      </c>
      <c r="C8" s="1969">
        <f t="shared" si="3"/>
        <v>313077.7</v>
      </c>
      <c r="D8" s="1969">
        <f t="shared" si="3"/>
        <v>329337.40999999997</v>
      </c>
      <c r="E8" s="1969">
        <f t="shared" si="3"/>
        <v>316616.26000000007</v>
      </c>
      <c r="F8" s="1969">
        <f t="shared" si="3"/>
        <v>361503.62</v>
      </c>
      <c r="G8" s="1969">
        <f t="shared" si="3"/>
        <v>377920.87000000005</v>
      </c>
      <c r="H8" s="1969">
        <f t="shared" si="3"/>
        <v>392539.06000000006</v>
      </c>
      <c r="I8" s="1969">
        <f t="shared" si="3"/>
        <v>364834.92000000004</v>
      </c>
      <c r="J8" s="1969">
        <f t="shared" si="3"/>
        <v>338931.37000000005</v>
      </c>
      <c r="K8" s="1969">
        <f t="shared" si="3"/>
        <v>341643.15</v>
      </c>
      <c r="L8" s="1969">
        <f t="shared" si="3"/>
        <v>339115.25</v>
      </c>
      <c r="M8" s="1969">
        <f t="shared" si="3"/>
        <v>360877.18999999989</v>
      </c>
      <c r="N8" s="1969">
        <f>T65</f>
        <v>380185.62</v>
      </c>
      <c r="O8" s="1969">
        <f>U65</f>
        <v>375915.06</v>
      </c>
      <c r="P8" s="1969">
        <f>V65</f>
        <v>367176.99000000005</v>
      </c>
      <c r="U8" s="1965"/>
      <c r="V8" s="1965"/>
      <c r="W8" s="1965"/>
      <c r="X8" s="1965"/>
      <c r="Y8" s="1965"/>
      <c r="Z8" s="1965"/>
      <c r="AA8" s="1965"/>
      <c r="AB8" s="1965"/>
      <c r="AC8" s="1965"/>
      <c r="AD8" s="1965"/>
      <c r="AE8" s="1965"/>
      <c r="AF8" s="1965"/>
      <c r="AG8" s="1965"/>
      <c r="AH8" s="1965"/>
      <c r="AI8" s="1965"/>
      <c r="AJ8" s="1965"/>
      <c r="AK8" s="1965"/>
    </row>
    <row r="9" spans="1:37" s="395" customFormat="1">
      <c r="A9" s="1205" t="s">
        <v>990</v>
      </c>
      <c r="B9" s="1969">
        <f t="shared" ref="B9:M9" si="4">H103</f>
        <v>106344.10000000003</v>
      </c>
      <c r="C9" s="1969">
        <f t="shared" si="4"/>
        <v>121277.85000000003</v>
      </c>
      <c r="D9" s="1969">
        <f t="shared" si="4"/>
        <v>131136.21000000002</v>
      </c>
      <c r="E9" s="1969">
        <f t="shared" si="4"/>
        <v>138352.45000000001</v>
      </c>
      <c r="F9" s="3027">
        <f t="shared" si="4"/>
        <v>139066.9</v>
      </c>
      <c r="G9" s="1969">
        <f t="shared" si="4"/>
        <v>141326.71</v>
      </c>
      <c r="H9" s="1969">
        <f t="shared" si="4"/>
        <v>155651.74000000005</v>
      </c>
      <c r="I9" s="1969">
        <f t="shared" si="4"/>
        <v>130218.89000000003</v>
      </c>
      <c r="J9" s="1969">
        <f t="shared" si="4"/>
        <v>137333.53</v>
      </c>
      <c r="K9" s="1969">
        <f t="shared" si="4"/>
        <v>132409.03000000003</v>
      </c>
      <c r="L9" s="1969">
        <f t="shared" si="4"/>
        <v>125827.21</v>
      </c>
      <c r="M9" s="1969">
        <f t="shared" si="4"/>
        <v>122413.50000000004</v>
      </c>
      <c r="N9" s="1969">
        <f>T103</f>
        <v>130289.62000000002</v>
      </c>
      <c r="O9" s="1969">
        <f>U103</f>
        <v>122512.85000000002</v>
      </c>
      <c r="P9" s="1969">
        <f>V103</f>
        <v>135073.19999999998</v>
      </c>
      <c r="U9" s="1965"/>
      <c r="V9" s="1965"/>
      <c r="W9" s="1965"/>
      <c r="X9" s="1965"/>
      <c r="Y9" s="1965"/>
      <c r="Z9" s="1965"/>
      <c r="AA9" s="1965"/>
      <c r="AB9" s="1965"/>
      <c r="AC9" s="1965"/>
      <c r="AD9" s="1965"/>
      <c r="AE9" s="1965"/>
      <c r="AF9" s="1965"/>
      <c r="AG9" s="1965"/>
      <c r="AH9" s="1965"/>
      <c r="AI9" s="1965"/>
      <c r="AJ9" s="1965"/>
      <c r="AK9" s="1965"/>
    </row>
    <row r="10" spans="1:37" s="395" customFormat="1">
      <c r="A10" s="1205" t="s">
        <v>991</v>
      </c>
      <c r="B10" s="1969">
        <f t="shared" ref="B10:M10" si="5">H108</f>
        <v>372.4</v>
      </c>
      <c r="C10" s="1969">
        <f t="shared" si="5"/>
        <v>372.4</v>
      </c>
      <c r="D10" s="1969">
        <f t="shared" si="5"/>
        <v>638.46</v>
      </c>
      <c r="E10" s="1969">
        <f t="shared" si="5"/>
        <v>418.95</v>
      </c>
      <c r="F10" s="1969">
        <f t="shared" si="5"/>
        <v>465.5</v>
      </c>
      <c r="G10" s="1969">
        <f t="shared" si="5"/>
        <v>418.95</v>
      </c>
      <c r="H10" s="1969">
        <f t="shared" si="5"/>
        <v>435.38</v>
      </c>
      <c r="I10" s="1969">
        <f t="shared" si="5"/>
        <v>332.61</v>
      </c>
      <c r="J10" s="1969">
        <f t="shared" si="5"/>
        <v>401.81</v>
      </c>
      <c r="K10" s="1969">
        <f t="shared" si="5"/>
        <v>315.29000000000002</v>
      </c>
      <c r="L10" s="1969">
        <f t="shared" si="5"/>
        <v>304.82</v>
      </c>
      <c r="M10" s="1969">
        <f t="shared" si="5"/>
        <v>351.03</v>
      </c>
      <c r="N10" s="1969">
        <f>T108</f>
        <v>305.13</v>
      </c>
      <c r="O10" s="1969">
        <f>U108</f>
        <v>381.27</v>
      </c>
      <c r="P10" s="1969">
        <f>V108</f>
        <v>380.76</v>
      </c>
      <c r="U10" s="1965"/>
      <c r="V10" s="1965"/>
      <c r="W10" s="1965"/>
      <c r="X10" s="1965"/>
      <c r="Y10" s="1965"/>
      <c r="Z10" s="1965"/>
      <c r="AA10" s="1965"/>
      <c r="AB10" s="1965"/>
      <c r="AC10" s="1965"/>
      <c r="AD10" s="1965"/>
      <c r="AE10" s="1965"/>
      <c r="AF10" s="1965"/>
      <c r="AG10" s="1965"/>
      <c r="AH10" s="1965"/>
      <c r="AI10" s="1965"/>
      <c r="AJ10" s="1965"/>
      <c r="AK10" s="1965"/>
    </row>
    <row r="11" spans="1:37" s="395" customFormat="1" ht="13.5" thickBot="1">
      <c r="A11" s="1205" t="s">
        <v>992</v>
      </c>
      <c r="B11" s="1969">
        <f t="shared" ref="B11:M11" si="6">H113</f>
        <v>0</v>
      </c>
      <c r="C11" s="1969">
        <f t="shared" si="6"/>
        <v>122075.15550000001</v>
      </c>
      <c r="D11" s="1969">
        <f t="shared" si="6"/>
        <v>158902.576</v>
      </c>
      <c r="E11" s="1969">
        <f t="shared" si="6"/>
        <v>159026.416</v>
      </c>
      <c r="F11" s="1969">
        <f t="shared" si="6"/>
        <v>160243.916</v>
      </c>
      <c r="G11" s="1969">
        <f t="shared" si="6"/>
        <v>160243.916</v>
      </c>
      <c r="H11" s="1969">
        <f t="shared" si="6"/>
        <v>160081.34599999999</v>
      </c>
      <c r="I11" s="1969">
        <f t="shared" si="6"/>
        <v>134984.39000000001</v>
      </c>
      <c r="J11" s="1969">
        <f t="shared" si="6"/>
        <v>134860.54999999999</v>
      </c>
      <c r="K11" s="1969">
        <f t="shared" si="6"/>
        <v>138228.22</v>
      </c>
      <c r="L11" s="1969">
        <f t="shared" si="6"/>
        <v>141716.93799999999</v>
      </c>
      <c r="M11" s="1969">
        <f t="shared" si="6"/>
        <v>143432.18</v>
      </c>
      <c r="N11" s="1969">
        <f>T113</f>
        <v>144555.73000000001</v>
      </c>
      <c r="O11" s="1969">
        <f>U113</f>
        <v>145104.15549999999</v>
      </c>
      <c r="P11" s="1969">
        <f>V113</f>
        <v>142862.3855</v>
      </c>
      <c r="U11" s="1965"/>
      <c r="V11" s="1965"/>
      <c r="W11" s="1965"/>
      <c r="X11" s="1965"/>
      <c r="Y11" s="1965"/>
      <c r="Z11" s="1965"/>
      <c r="AA11" s="1965"/>
      <c r="AB11" s="1965"/>
      <c r="AC11" s="1965"/>
      <c r="AD11" s="1965"/>
      <c r="AE11" s="1965"/>
      <c r="AF11" s="1965"/>
      <c r="AG11" s="1965"/>
      <c r="AH11" s="1965"/>
      <c r="AI11" s="1965"/>
      <c r="AJ11" s="1965"/>
      <c r="AK11" s="1965"/>
    </row>
    <row r="12" spans="1:37" s="395" customFormat="1" ht="18" customHeight="1" thickBot="1">
      <c r="A12" s="3028" t="s">
        <v>8</v>
      </c>
      <c r="B12" s="1970">
        <f>SUM(B8:B11)</f>
        <v>413134.67000000004</v>
      </c>
      <c r="C12" s="1970">
        <f>SUM(C8:C11)</f>
        <v>556803.10550000006</v>
      </c>
      <c r="D12" s="1970">
        <f>SUM(D8:D11)</f>
        <v>620014.65599999996</v>
      </c>
      <c r="E12" s="1970">
        <f t="shared" ref="E12:M12" si="7">SUM(E8:E11)</f>
        <v>614414.07600000012</v>
      </c>
      <c r="F12" s="1970">
        <f t="shared" si="7"/>
        <v>661279.93599999999</v>
      </c>
      <c r="G12" s="1970">
        <f t="shared" si="7"/>
        <v>679910.44600000011</v>
      </c>
      <c r="H12" s="1970">
        <f t="shared" si="7"/>
        <v>708707.52600000007</v>
      </c>
      <c r="I12" s="1970">
        <f t="shared" si="7"/>
        <v>630370.81000000006</v>
      </c>
      <c r="J12" s="1970">
        <f t="shared" si="7"/>
        <v>611527.26</v>
      </c>
      <c r="K12" s="1970">
        <f t="shared" si="7"/>
        <v>612595.69000000006</v>
      </c>
      <c r="L12" s="1970">
        <f t="shared" si="7"/>
        <v>606964.21799999999</v>
      </c>
      <c r="M12" s="1970">
        <f t="shared" si="7"/>
        <v>627073.89999999991</v>
      </c>
      <c r="N12" s="1970">
        <f>SUM(N8:N11)</f>
        <v>655336.1</v>
      </c>
      <c r="O12" s="1970">
        <f>SUM(O8:O11)</f>
        <v>643913.33550000004</v>
      </c>
      <c r="P12" s="1970">
        <f>SUM(P8:P11)</f>
        <v>645493.33550000004</v>
      </c>
      <c r="U12" s="1965"/>
      <c r="V12" s="1965"/>
      <c r="W12" s="1965"/>
      <c r="X12" s="1965"/>
      <c r="Y12" s="1965"/>
      <c r="Z12" s="1965"/>
      <c r="AA12" s="1965"/>
      <c r="AB12" s="1965"/>
      <c r="AC12" s="1965"/>
      <c r="AD12" s="1965"/>
      <c r="AE12" s="1965"/>
      <c r="AF12" s="1965"/>
      <c r="AG12" s="1965"/>
      <c r="AH12" s="1965"/>
      <c r="AI12" s="1965"/>
      <c r="AJ12" s="1965"/>
      <c r="AK12" s="1965"/>
    </row>
    <row r="13" spans="1:37" s="395" customFormat="1">
      <c r="C13" s="1965"/>
      <c r="D13" s="1965"/>
      <c r="E13" s="1965"/>
      <c r="F13" s="1965"/>
      <c r="G13" s="1965"/>
      <c r="H13" s="1965"/>
      <c r="I13" s="1965"/>
      <c r="J13" s="1965"/>
      <c r="K13" s="1965"/>
      <c r="L13" s="1965"/>
      <c r="M13" s="1965"/>
      <c r="N13" s="1965"/>
      <c r="O13" s="1965"/>
      <c r="P13" s="1965"/>
      <c r="U13" s="1965"/>
      <c r="V13" s="1965"/>
      <c r="W13" s="1965"/>
      <c r="X13" s="1965"/>
      <c r="Y13" s="1965"/>
      <c r="Z13" s="1965"/>
      <c r="AA13" s="1965"/>
      <c r="AB13" s="1965"/>
      <c r="AC13" s="1965"/>
      <c r="AD13" s="1965"/>
      <c r="AE13" s="1965"/>
      <c r="AF13" s="1965"/>
      <c r="AG13" s="1965"/>
      <c r="AH13" s="1965"/>
      <c r="AI13" s="1965"/>
      <c r="AJ13" s="1965"/>
      <c r="AK13" s="1965"/>
    </row>
    <row r="14" spans="1:37" s="395" customFormat="1">
      <c r="A14" s="395" t="s">
        <v>993</v>
      </c>
      <c r="C14" s="1965">
        <f t="shared" ref="C14:M14" si="8">(C8/B8)*100-100</f>
        <v>2.1733469656841891</v>
      </c>
      <c r="D14" s="1965">
        <f t="shared" si="8"/>
        <v>5.1935062765569029</v>
      </c>
      <c r="E14" s="1965">
        <f t="shared" si="8"/>
        <v>-3.8626495544493196</v>
      </c>
      <c r="F14" s="1965">
        <f t="shared" si="8"/>
        <v>14.177212503236532</v>
      </c>
      <c r="G14" s="1965">
        <f t="shared" si="8"/>
        <v>4.5413791430359822</v>
      </c>
      <c r="H14" s="1965">
        <f t="shared" si="8"/>
        <v>3.8680557652187844</v>
      </c>
      <c r="I14" s="1965">
        <f t="shared" si="8"/>
        <v>-7.0576772665629761</v>
      </c>
      <c r="J14" s="1965">
        <f t="shared" si="8"/>
        <v>-7.1000741924594308</v>
      </c>
      <c r="K14" s="1965">
        <f t="shared" si="8"/>
        <v>0.80009708160091009</v>
      </c>
      <c r="L14" s="1965">
        <f t="shared" si="8"/>
        <v>-0.7399240991660605</v>
      </c>
      <c r="M14" s="1965">
        <f t="shared" si="8"/>
        <v>6.4172696450542617</v>
      </c>
      <c r="N14" s="1965">
        <f t="shared" ref="N14:P15" si="9">(N8/M8)*100-100</f>
        <v>5.3504157466976778</v>
      </c>
      <c r="O14" s="1965">
        <f t="shared" si="9"/>
        <v>-1.1232828848182095</v>
      </c>
      <c r="P14" s="1965">
        <f t="shared" si="9"/>
        <v>-2.3244798971341964</v>
      </c>
      <c r="U14" s="1965"/>
      <c r="V14" s="1965"/>
      <c r="W14" s="1965"/>
      <c r="X14" s="1965"/>
      <c r="Y14" s="1965"/>
      <c r="Z14" s="1965"/>
      <c r="AA14" s="1965"/>
      <c r="AB14" s="1965"/>
      <c r="AC14" s="1965"/>
      <c r="AD14" s="1965"/>
      <c r="AE14" s="1965"/>
      <c r="AF14" s="1965"/>
      <c r="AG14" s="1965"/>
      <c r="AH14" s="1965"/>
      <c r="AI14" s="1965"/>
      <c r="AJ14" s="1965"/>
      <c r="AK14" s="1965"/>
    </row>
    <row r="15" spans="1:37" s="395" customFormat="1">
      <c r="A15" s="395" t="s">
        <v>994</v>
      </c>
      <c r="C15" s="1965">
        <f t="shared" ref="C15:M15" si="10">(C9/B9)*100-100</f>
        <v>14.042857102556709</v>
      </c>
      <c r="D15" s="1965">
        <f t="shared" si="10"/>
        <v>8.1287390896194012</v>
      </c>
      <c r="E15" s="1965">
        <f t="shared" si="10"/>
        <v>5.5028584400906482</v>
      </c>
      <c r="F15" s="1965">
        <f t="shared" si="10"/>
        <v>0.51639851697602523</v>
      </c>
      <c r="G15" s="1965">
        <f t="shared" si="10"/>
        <v>1.6249804949991784</v>
      </c>
      <c r="H15" s="1965">
        <f t="shared" si="10"/>
        <v>10.136109444562933</v>
      </c>
      <c r="I15" s="1965">
        <f t="shared" si="10"/>
        <v>-16.339586052812521</v>
      </c>
      <c r="J15" s="1965">
        <f t="shared" si="10"/>
        <v>5.4636005574920716</v>
      </c>
      <c r="K15" s="1965">
        <f t="shared" si="10"/>
        <v>-3.585795835874876</v>
      </c>
      <c r="L15" s="1965">
        <f t="shared" si="10"/>
        <v>-4.9708241197749317</v>
      </c>
      <c r="M15" s="1965">
        <f t="shared" si="10"/>
        <v>-2.713014140582132</v>
      </c>
      <c r="N15" s="1965">
        <f t="shared" si="9"/>
        <v>6.4340289265481232</v>
      </c>
      <c r="O15" s="1965">
        <f t="shared" si="9"/>
        <v>-5.968833127305146</v>
      </c>
      <c r="P15" s="1965">
        <f t="shared" si="9"/>
        <v>10.252271496418501</v>
      </c>
      <c r="U15" s="1965"/>
      <c r="V15" s="1965"/>
      <c r="W15" s="1965"/>
      <c r="X15" s="1965"/>
      <c r="Y15" s="1965"/>
      <c r="Z15" s="1965"/>
      <c r="AA15" s="1965"/>
      <c r="AB15" s="1965"/>
      <c r="AC15" s="1965"/>
      <c r="AD15" s="1965"/>
      <c r="AE15" s="1965"/>
      <c r="AF15" s="1965"/>
      <c r="AG15" s="1965"/>
      <c r="AH15" s="1965"/>
      <c r="AI15" s="1965"/>
      <c r="AJ15" s="1965"/>
      <c r="AK15" s="1965"/>
    </row>
    <row r="16" spans="1:37" s="395" customFormat="1">
      <c r="A16" s="395" t="s">
        <v>995</v>
      </c>
      <c r="C16" s="1965" t="e">
        <f t="shared" ref="C16:M16" si="11">(C11/B11)*100-100</f>
        <v>#DIV/0!</v>
      </c>
      <c r="D16" s="1965">
        <f t="shared" si="11"/>
        <v>30.167825999615445</v>
      </c>
      <c r="E16" s="1965">
        <f t="shared" si="11"/>
        <v>7.7934545252418275E-2</v>
      </c>
      <c r="F16" s="1965">
        <f t="shared" si="11"/>
        <v>0.76559607556016829</v>
      </c>
      <c r="G16" s="1965">
        <f t="shared" si="11"/>
        <v>0</v>
      </c>
      <c r="H16" s="1965">
        <f t="shared" si="11"/>
        <v>-0.10145158958796685</v>
      </c>
      <c r="I16" s="1965">
        <f t="shared" si="11"/>
        <v>-15.677626798565257</v>
      </c>
      <c r="J16" s="1965">
        <f t="shared" si="11"/>
        <v>-9.1743941651344585E-2</v>
      </c>
      <c r="K16" s="1965">
        <f t="shared" si="11"/>
        <v>2.4971498336615099</v>
      </c>
      <c r="L16" s="1965">
        <f t="shared" si="11"/>
        <v>2.5238826051583487</v>
      </c>
      <c r="M16" s="1965">
        <f t="shared" si="11"/>
        <v>1.2103295655456492</v>
      </c>
      <c r="N16" s="1965">
        <f>(N11/M11)*100-100</f>
        <v>0.78333188549460431</v>
      </c>
      <c r="O16" s="1965">
        <f>(O11/N11)*100-100</f>
        <v>0.37938689804961712</v>
      </c>
      <c r="P16" s="1965">
        <f>(P11/O11)*100-100</f>
        <v>-1.5449385252099006</v>
      </c>
      <c r="U16" s="1965"/>
      <c r="V16" s="1965"/>
      <c r="W16" s="1965"/>
      <c r="X16" s="1965"/>
      <c r="Y16" s="1965"/>
      <c r="Z16" s="1965"/>
      <c r="AA16" s="1965"/>
      <c r="AB16" s="1965"/>
      <c r="AC16" s="1965"/>
      <c r="AD16" s="1965"/>
      <c r="AE16" s="1965"/>
      <c r="AF16" s="1965"/>
      <c r="AG16" s="1965"/>
      <c r="AH16" s="1965"/>
      <c r="AI16" s="1965"/>
      <c r="AJ16" s="1965"/>
      <c r="AK16" s="1965"/>
    </row>
    <row r="17" spans="1:37" s="395" customFormat="1">
      <c r="C17" s="1965"/>
      <c r="D17" s="1965"/>
      <c r="E17" s="1965"/>
      <c r="F17" s="1965"/>
      <c r="G17" s="1965"/>
      <c r="H17" s="1965"/>
      <c r="I17" s="1965"/>
      <c r="J17" s="1965"/>
      <c r="K17" s="1965"/>
      <c r="L17" s="1965"/>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c r="AK17" s="1965"/>
    </row>
    <row r="18" spans="1:37" s="395" customFormat="1">
      <c r="C18" s="1965"/>
      <c r="D18" s="1965"/>
      <c r="E18" s="1965"/>
      <c r="F18" s="1965"/>
      <c r="G18" s="1965"/>
      <c r="H18" s="1965"/>
      <c r="I18" s="1965"/>
      <c r="J18" s="1965"/>
      <c r="K18" s="1965"/>
      <c r="L18" s="1965"/>
      <c r="M18" s="1965"/>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c r="AK18" s="1965"/>
    </row>
    <row r="19" spans="1:37" s="395" customFormat="1">
      <c r="C19" s="1965"/>
      <c r="D19" s="1965"/>
      <c r="E19" s="1965"/>
      <c r="F19" s="1965"/>
      <c r="G19" s="1965"/>
      <c r="H19" s="1965"/>
      <c r="I19" s="1965"/>
      <c r="J19" s="1965"/>
      <c r="K19" s="1965"/>
      <c r="L19" s="1965"/>
      <c r="M19" s="1965"/>
      <c r="N19" s="1965"/>
      <c r="O19" s="1965"/>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c r="AK19" s="1965"/>
    </row>
    <row r="20" spans="1:37" s="395" customFormat="1">
      <c r="C20" s="1965"/>
      <c r="D20" s="1965"/>
      <c r="E20" s="1965"/>
      <c r="F20" s="1965"/>
      <c r="G20" s="1965"/>
      <c r="H20" s="1965"/>
      <c r="I20" s="1965"/>
      <c r="J20" s="1965"/>
      <c r="K20" s="1965"/>
      <c r="L20" s="1965"/>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c r="AK20" s="1965"/>
    </row>
    <row r="21" spans="1:37" s="395" customFormat="1">
      <c r="C21" s="1965"/>
      <c r="D21" s="1965"/>
      <c r="E21" s="1965"/>
      <c r="F21" s="1965"/>
      <c r="G21" s="1965"/>
      <c r="H21" s="1965"/>
      <c r="I21" s="1965"/>
      <c r="J21" s="1965"/>
      <c r="K21" s="1965"/>
      <c r="L21" s="1965"/>
      <c r="M21" s="1965"/>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c r="AK21" s="1965"/>
    </row>
    <row r="22" spans="1:37" s="395" customFormat="1">
      <c r="A22" s="3013" t="s">
        <v>7066</v>
      </c>
      <c r="B22" s="3013"/>
      <c r="H22" s="1965"/>
      <c r="I22" s="1965"/>
      <c r="J22" s="1965"/>
      <c r="K22" s="1965"/>
      <c r="L22" s="1965"/>
      <c r="M22" s="1965"/>
      <c r="N22" s="1965"/>
      <c r="R22" s="1965"/>
      <c r="S22" s="1965"/>
      <c r="T22" s="1965"/>
      <c r="U22" s="1965"/>
      <c r="V22" s="1965"/>
      <c r="W22" s="1965"/>
      <c r="AD22" s="1965"/>
      <c r="AE22" s="1965"/>
      <c r="AF22" s="1965"/>
      <c r="AG22" s="1965"/>
      <c r="AH22" s="1965"/>
      <c r="AI22" s="1965"/>
      <c r="AJ22" s="1965"/>
      <c r="AK22" s="1965"/>
    </row>
    <row r="23" spans="1:37" s="395" customFormat="1">
      <c r="A23" s="1633"/>
      <c r="B23" s="1633"/>
      <c r="H23" s="1965"/>
      <c r="I23" s="1965"/>
      <c r="J23" s="1965"/>
      <c r="K23" s="1965"/>
      <c r="L23" s="1965"/>
      <c r="M23" s="1965"/>
      <c r="N23" s="1965"/>
      <c r="R23" s="1965"/>
      <c r="S23" s="1965"/>
      <c r="T23" s="1965"/>
      <c r="U23" s="1965"/>
      <c r="V23" s="1965"/>
      <c r="W23" s="1965"/>
      <c r="AD23" s="1965"/>
      <c r="AE23" s="1965"/>
      <c r="AF23" s="1965"/>
      <c r="AG23" s="1965"/>
      <c r="AH23" s="1965"/>
      <c r="AI23" s="1965"/>
      <c r="AJ23" s="1965"/>
      <c r="AK23" s="1965"/>
    </row>
    <row r="24" spans="1:37" s="395" customFormat="1">
      <c r="A24" s="3029" t="s">
        <v>623</v>
      </c>
      <c r="B24" s="3029"/>
      <c r="C24" s="3029" t="s">
        <v>1002</v>
      </c>
      <c r="D24" s="3030"/>
      <c r="E24" s="3030"/>
      <c r="F24" s="3030"/>
      <c r="G24" s="3031"/>
      <c r="H24" s="2057">
        <v>2007</v>
      </c>
      <c r="I24" s="2057">
        <v>2008</v>
      </c>
      <c r="J24" s="2057">
        <v>2009</v>
      </c>
      <c r="K24" s="2057">
        <v>2010</v>
      </c>
      <c r="L24" s="2057">
        <v>2011</v>
      </c>
      <c r="M24" s="2057">
        <v>2012</v>
      </c>
      <c r="N24" s="2057">
        <v>2013</v>
      </c>
      <c r="O24" s="2057">
        <v>2014</v>
      </c>
      <c r="P24" s="2057">
        <v>2015</v>
      </c>
      <c r="Q24" s="2057">
        <v>2016</v>
      </c>
      <c r="R24" s="2057">
        <v>2017</v>
      </c>
      <c r="S24" s="2057">
        <v>2018</v>
      </c>
      <c r="T24" s="2057">
        <v>2019</v>
      </c>
      <c r="U24" s="2057">
        <v>2020</v>
      </c>
      <c r="V24" s="2057">
        <v>2021</v>
      </c>
      <c r="W24" s="2058">
        <v>2022</v>
      </c>
      <c r="X24" s="1633"/>
      <c r="Y24" s="1633"/>
      <c r="Z24" s="1633"/>
      <c r="AA24" s="1633"/>
      <c r="AB24" s="1633"/>
      <c r="AC24" s="1633"/>
      <c r="AD24" s="1965"/>
      <c r="AE24" s="1965"/>
      <c r="AF24" s="1965"/>
      <c r="AG24" s="1965"/>
      <c r="AH24" s="1965"/>
      <c r="AI24" s="1965"/>
      <c r="AJ24" s="1965"/>
      <c r="AK24" s="1965"/>
    </row>
    <row r="25" spans="1:37" s="395" customFormat="1">
      <c r="A25" s="1984" t="s">
        <v>1003</v>
      </c>
      <c r="B25" s="1985"/>
      <c r="C25" s="1986"/>
      <c r="D25" s="1986"/>
      <c r="E25" s="1986"/>
      <c r="F25" s="1986"/>
      <c r="G25" s="3015"/>
      <c r="H25" s="1987"/>
      <c r="I25" s="1987"/>
      <c r="J25" s="1987"/>
      <c r="K25" s="1987"/>
      <c r="L25" s="1987"/>
      <c r="M25" s="1987"/>
      <c r="N25" s="1987"/>
      <c r="O25" s="1986"/>
      <c r="P25" s="1986"/>
      <c r="Q25" s="1986"/>
      <c r="R25" s="1987"/>
      <c r="S25" s="1987"/>
      <c r="T25" s="1987"/>
      <c r="U25" s="1987"/>
      <c r="V25" s="1987"/>
      <c r="W25" s="1988"/>
      <c r="AD25" s="1965"/>
      <c r="AE25" s="1965"/>
      <c r="AF25" s="1965"/>
      <c r="AG25" s="1965"/>
      <c r="AH25" s="1965"/>
      <c r="AI25" s="1965"/>
      <c r="AJ25" s="1965"/>
      <c r="AK25" s="1965"/>
    </row>
    <row r="26" spans="1:37" s="395" customFormat="1">
      <c r="A26" s="2048" t="s">
        <v>1004</v>
      </c>
      <c r="B26" s="2048"/>
      <c r="C26" s="2148"/>
      <c r="D26" s="397"/>
      <c r="E26" s="397"/>
      <c r="F26" s="397"/>
      <c r="G26" s="1998"/>
      <c r="H26" s="1487"/>
      <c r="I26" s="1487"/>
      <c r="J26" s="1487"/>
      <c r="K26" s="1487"/>
      <c r="L26" s="1487"/>
      <c r="M26" s="1487"/>
      <c r="N26" s="1487"/>
      <c r="O26" s="397"/>
      <c r="P26" s="397"/>
      <c r="Q26" s="397"/>
      <c r="R26" s="1487"/>
      <c r="S26" s="1487"/>
      <c r="T26" s="1487"/>
      <c r="U26" s="1487"/>
      <c r="V26" s="1487"/>
      <c r="W26" s="1489"/>
      <c r="AD26" s="1965"/>
      <c r="AE26" s="1965"/>
      <c r="AF26" s="1965"/>
      <c r="AG26" s="1965"/>
      <c r="AH26" s="1965"/>
      <c r="AI26" s="1965"/>
      <c r="AJ26" s="1965"/>
      <c r="AK26" s="1965"/>
    </row>
    <row r="27" spans="1:37" s="395" customFormat="1">
      <c r="A27" s="1997" t="s">
        <v>1257</v>
      </c>
      <c r="B27" s="1997">
        <v>620100</v>
      </c>
      <c r="C27" s="2148" t="s">
        <v>1258</v>
      </c>
      <c r="D27" s="397"/>
      <c r="E27" s="397"/>
      <c r="F27" s="397"/>
      <c r="G27" s="1998"/>
      <c r="H27" s="1487"/>
      <c r="I27" s="1487"/>
      <c r="J27" s="1487"/>
      <c r="K27" s="1487"/>
      <c r="L27" s="1487"/>
      <c r="M27" s="1487"/>
      <c r="N27" s="1487"/>
      <c r="O27" s="1487">
        <v>126540.83</v>
      </c>
      <c r="P27" s="1487">
        <v>139689.48000000001</v>
      </c>
      <c r="Q27" s="1487">
        <v>141087.84</v>
      </c>
      <c r="R27" s="1487">
        <v>140849.53</v>
      </c>
      <c r="S27" s="1487">
        <v>156197.78</v>
      </c>
      <c r="T27" s="1487">
        <v>155970.25</v>
      </c>
      <c r="U27" s="1487">
        <v>162143.94</v>
      </c>
      <c r="V27" s="1487">
        <v>144033.54999999999</v>
      </c>
      <c r="W27" s="1489"/>
      <c r="AD27" s="1965"/>
      <c r="AE27" s="1965"/>
      <c r="AF27" s="1965"/>
      <c r="AG27" s="1965"/>
      <c r="AH27" s="1965"/>
      <c r="AI27" s="1965"/>
      <c r="AJ27" s="1965"/>
      <c r="AK27" s="1965"/>
    </row>
    <row r="28" spans="1:37" s="395" customFormat="1">
      <c r="A28" s="1997" t="s">
        <v>1259</v>
      </c>
      <c r="B28" s="1997"/>
      <c r="C28" s="2148" t="s">
        <v>1008</v>
      </c>
      <c r="D28" s="397"/>
      <c r="E28" s="397"/>
      <c r="F28" s="397"/>
      <c r="G28" s="1998"/>
      <c r="H28" s="1487"/>
      <c r="I28" s="1487"/>
      <c r="J28" s="1487"/>
      <c r="K28" s="1487"/>
      <c r="L28" s="1487"/>
      <c r="M28" s="1487"/>
      <c r="N28" s="1487"/>
      <c r="O28" s="1487">
        <f>10555.4+3273.9</f>
        <v>13829.3</v>
      </c>
      <c r="P28" s="1487">
        <v>10709.54</v>
      </c>
      <c r="Q28" s="1487">
        <v>10709.54</v>
      </c>
      <c r="R28" s="1487">
        <v>10923.94</v>
      </c>
      <c r="S28" s="1487">
        <v>10907.75</v>
      </c>
      <c r="T28" s="1487">
        <v>11885.11</v>
      </c>
      <c r="U28" s="1487"/>
      <c r="V28" s="1487"/>
      <c r="W28" s="1489"/>
      <c r="AD28" s="1965"/>
      <c r="AE28" s="1965"/>
      <c r="AF28" s="1965"/>
      <c r="AG28" s="1965"/>
      <c r="AH28" s="1965"/>
      <c r="AI28" s="1965"/>
      <c r="AJ28" s="1965"/>
      <c r="AK28" s="1965"/>
    </row>
    <row r="29" spans="1:37" s="395" customFormat="1">
      <c r="A29" s="1997" t="s">
        <v>1260</v>
      </c>
      <c r="B29" s="1997"/>
      <c r="C29" s="2148" t="s">
        <v>1010</v>
      </c>
      <c r="D29" s="397"/>
      <c r="E29" s="397"/>
      <c r="F29" s="397"/>
      <c r="G29" s="1998"/>
      <c r="H29" s="1487"/>
      <c r="I29" s="1487"/>
      <c r="J29" s="1487"/>
      <c r="K29" s="1487"/>
      <c r="L29" s="1487"/>
      <c r="M29" s="1487"/>
      <c r="N29" s="1487"/>
      <c r="O29" s="1487">
        <v>7224.58</v>
      </c>
      <c r="P29" s="1487">
        <v>7279.52</v>
      </c>
      <c r="Q29" s="1487">
        <v>7361.57</v>
      </c>
      <c r="R29" s="1487">
        <v>7354.7</v>
      </c>
      <c r="S29" s="1487">
        <v>7497.05</v>
      </c>
      <c r="T29" s="1487">
        <v>7710.88</v>
      </c>
      <c r="U29" s="1487"/>
      <c r="V29" s="1487"/>
      <c r="W29" s="1489"/>
      <c r="AD29" s="1965"/>
      <c r="AE29" s="1965"/>
      <c r="AF29" s="1965"/>
      <c r="AG29" s="1965"/>
      <c r="AH29" s="1965"/>
      <c r="AI29" s="1965"/>
      <c r="AJ29" s="1965"/>
      <c r="AK29" s="1965"/>
    </row>
    <row r="30" spans="1:37" s="395" customFormat="1">
      <c r="A30" s="1997" t="s">
        <v>1261</v>
      </c>
      <c r="B30" s="1997"/>
      <c r="C30" s="2148" t="s">
        <v>1262</v>
      </c>
      <c r="D30" s="397"/>
      <c r="E30" s="397"/>
      <c r="F30" s="397"/>
      <c r="G30" s="1998"/>
      <c r="H30" s="1487"/>
      <c r="I30" s="1487"/>
      <c r="J30" s="1487"/>
      <c r="K30" s="1487"/>
      <c r="L30" s="1487"/>
      <c r="M30" s="1487"/>
      <c r="N30" s="1487"/>
      <c r="O30" s="1487"/>
      <c r="P30" s="1487"/>
      <c r="Q30" s="1487"/>
      <c r="R30" s="1487"/>
      <c r="S30" s="1487">
        <v>879.49</v>
      </c>
      <c r="T30" s="1487"/>
      <c r="U30" s="1487"/>
      <c r="V30" s="1487"/>
      <c r="W30" s="1489"/>
      <c r="AD30" s="1965"/>
      <c r="AE30" s="1965"/>
      <c r="AF30" s="1965"/>
      <c r="AG30" s="1965"/>
      <c r="AH30" s="1965"/>
      <c r="AI30" s="1965"/>
      <c r="AJ30" s="1965"/>
      <c r="AK30" s="1965"/>
    </row>
    <row r="31" spans="1:37" s="395" customFormat="1">
      <c r="A31" s="1997" t="s">
        <v>1263</v>
      </c>
      <c r="B31" s="1997"/>
      <c r="C31" s="2148" t="s">
        <v>1012</v>
      </c>
      <c r="D31" s="397"/>
      <c r="E31" s="397"/>
      <c r="F31" s="397"/>
      <c r="G31" s="1998"/>
      <c r="H31" s="1487"/>
      <c r="I31" s="1487"/>
      <c r="J31" s="1487"/>
      <c r="K31" s="1487"/>
      <c r="L31" s="1487"/>
      <c r="M31" s="1487"/>
      <c r="N31" s="1487"/>
      <c r="O31" s="1487">
        <v>69917.67</v>
      </c>
      <c r="P31" s="1487">
        <v>70719.03</v>
      </c>
      <c r="Q31" s="1487"/>
      <c r="R31" s="1487"/>
      <c r="S31" s="1487"/>
      <c r="T31" s="1487"/>
      <c r="U31" s="1487"/>
      <c r="V31" s="1487"/>
      <c r="W31" s="1489"/>
      <c r="AD31" s="1965"/>
      <c r="AE31" s="1965"/>
      <c r="AF31" s="1965"/>
      <c r="AG31" s="1965"/>
      <c r="AH31" s="1965"/>
      <c r="AI31" s="1965"/>
      <c r="AJ31" s="1965"/>
      <c r="AK31" s="1965"/>
    </row>
    <row r="32" spans="1:37" s="395" customFormat="1">
      <c r="A32" s="1997" t="s">
        <v>1264</v>
      </c>
      <c r="B32" s="1997"/>
      <c r="C32" s="2148" t="s">
        <v>1265</v>
      </c>
      <c r="D32" s="397"/>
      <c r="E32" s="397"/>
      <c r="F32" s="397"/>
      <c r="G32" s="1998"/>
      <c r="H32" s="1487"/>
      <c r="I32" s="1487"/>
      <c r="J32" s="1487"/>
      <c r="K32" s="1487"/>
      <c r="L32" s="1487"/>
      <c r="M32" s="1487"/>
      <c r="N32" s="1487"/>
      <c r="O32" s="1487">
        <v>5354.99</v>
      </c>
      <c r="P32" s="1487">
        <v>5459.4</v>
      </c>
      <c r="Q32" s="1487"/>
      <c r="R32" s="1487"/>
      <c r="S32" s="1487"/>
      <c r="T32" s="1487"/>
      <c r="U32" s="1487"/>
      <c r="V32" s="1487"/>
      <c r="W32" s="1489"/>
      <c r="AD32" s="1965"/>
      <c r="AE32" s="1965"/>
      <c r="AF32" s="1965"/>
      <c r="AG32" s="1965"/>
      <c r="AH32" s="1965"/>
      <c r="AI32" s="1965"/>
      <c r="AJ32" s="1965"/>
      <c r="AK32" s="1965"/>
    </row>
    <row r="33" spans="1:37" s="395" customFormat="1">
      <c r="A33" s="1997" t="s">
        <v>1266</v>
      </c>
      <c r="B33" s="1997"/>
      <c r="C33" s="2148" t="s">
        <v>1016</v>
      </c>
      <c r="D33" s="397"/>
      <c r="E33" s="397"/>
      <c r="F33" s="397"/>
      <c r="G33" s="1998"/>
      <c r="H33" s="1487"/>
      <c r="I33" s="1487"/>
      <c r="J33" s="1487"/>
      <c r="K33" s="1487"/>
      <c r="L33" s="1487"/>
      <c r="M33" s="1487"/>
      <c r="N33" s="1487"/>
      <c r="O33" s="1487">
        <v>6373.15</v>
      </c>
      <c r="P33" s="1487">
        <v>6281.19</v>
      </c>
      <c r="Q33" s="1487"/>
      <c r="R33" s="1487"/>
      <c r="S33" s="1487"/>
      <c r="T33" s="1487"/>
      <c r="U33" s="1487"/>
      <c r="V33" s="1487"/>
      <c r="W33" s="1489"/>
      <c r="AD33" s="1965"/>
      <c r="AE33" s="1965"/>
      <c r="AF33" s="1965"/>
      <c r="AG33" s="1965"/>
      <c r="AH33" s="1965"/>
      <c r="AI33" s="1965"/>
      <c r="AJ33" s="1965"/>
      <c r="AK33" s="1965"/>
    </row>
    <row r="34" spans="1:37" s="395" customFormat="1">
      <c r="A34" s="1997" t="s">
        <v>1267</v>
      </c>
      <c r="B34" s="1997">
        <v>620200</v>
      </c>
      <c r="C34" s="2148" t="s">
        <v>1268</v>
      </c>
      <c r="D34" s="397"/>
      <c r="E34" s="397"/>
      <c r="F34" s="397"/>
      <c r="G34" s="1998"/>
      <c r="H34" s="1487"/>
      <c r="I34" s="1487"/>
      <c r="J34" s="1487"/>
      <c r="K34" s="1487"/>
      <c r="L34" s="1487"/>
      <c r="M34" s="1487"/>
      <c r="N34" s="1487"/>
      <c r="O34" s="1487"/>
      <c r="P34" s="1487"/>
      <c r="Q34" s="1487">
        <v>70119.960000000006</v>
      </c>
      <c r="R34" s="1487">
        <v>68514.740000000005</v>
      </c>
      <c r="S34" s="1487">
        <v>70282.820000000007</v>
      </c>
      <c r="T34" s="1487">
        <v>78492.22</v>
      </c>
      <c r="U34" s="1487">
        <v>103533.63</v>
      </c>
      <c r="V34" s="1487">
        <v>115351.79</v>
      </c>
      <c r="W34" s="1489"/>
      <c r="AD34" s="1965"/>
      <c r="AE34" s="1965"/>
      <c r="AF34" s="1965"/>
      <c r="AG34" s="1965"/>
      <c r="AH34" s="1965"/>
      <c r="AI34" s="1965"/>
      <c r="AJ34" s="1965"/>
      <c r="AK34" s="1965"/>
    </row>
    <row r="35" spans="1:37" s="395" customFormat="1">
      <c r="A35" s="1997" t="s">
        <v>1269</v>
      </c>
      <c r="B35" s="1997"/>
      <c r="C35" s="2148" t="s">
        <v>1020</v>
      </c>
      <c r="D35" s="397"/>
      <c r="E35" s="397"/>
      <c r="F35" s="397"/>
      <c r="G35" s="1998"/>
      <c r="H35" s="1487"/>
      <c r="I35" s="1487"/>
      <c r="J35" s="1487"/>
      <c r="K35" s="1487"/>
      <c r="L35" s="1487"/>
      <c r="M35" s="1487"/>
      <c r="N35" s="1487"/>
      <c r="O35" s="1487"/>
      <c r="P35" s="1487"/>
      <c r="Q35" s="1487">
        <v>5462.68</v>
      </c>
      <c r="R35" s="1487">
        <v>5430.72</v>
      </c>
      <c r="S35" s="1487">
        <v>5323.34</v>
      </c>
      <c r="T35" s="1487">
        <v>7424.11</v>
      </c>
      <c r="U35" s="1487"/>
      <c r="V35" s="1487"/>
      <c r="W35" s="1489"/>
      <c r="AD35" s="1965"/>
      <c r="AE35" s="1965"/>
      <c r="AF35" s="1965"/>
      <c r="AG35" s="1965"/>
      <c r="AH35" s="1965"/>
      <c r="AI35" s="1965"/>
      <c r="AJ35" s="1965"/>
      <c r="AK35" s="1965"/>
    </row>
    <row r="36" spans="1:37" s="395" customFormat="1">
      <c r="A36" s="1997" t="s">
        <v>1270</v>
      </c>
      <c r="B36" s="1997"/>
      <c r="C36" s="2148" t="s">
        <v>1022</v>
      </c>
      <c r="D36" s="397"/>
      <c r="E36" s="397"/>
      <c r="F36" s="397"/>
      <c r="G36" s="1998"/>
      <c r="H36" s="1487"/>
      <c r="I36" s="1487"/>
      <c r="J36" s="1487"/>
      <c r="K36" s="1487"/>
      <c r="L36" s="1487"/>
      <c r="M36" s="1487"/>
      <c r="N36" s="1487"/>
      <c r="O36" s="1487"/>
      <c r="P36" s="1487"/>
      <c r="Q36" s="1487">
        <v>6309.86</v>
      </c>
      <c r="R36" s="1487">
        <v>6035.08</v>
      </c>
      <c r="S36" s="1487">
        <v>6117.75</v>
      </c>
      <c r="T36" s="1487">
        <v>6434.33</v>
      </c>
      <c r="U36" s="1487"/>
      <c r="V36" s="1487"/>
      <c r="W36" s="1489"/>
      <c r="AD36" s="1965"/>
      <c r="AE36" s="1965"/>
      <c r="AF36" s="1965"/>
      <c r="AG36" s="1965"/>
      <c r="AH36" s="1965"/>
      <c r="AI36" s="1965"/>
      <c r="AJ36" s="1965"/>
      <c r="AK36" s="1965"/>
    </row>
    <row r="37" spans="1:37" s="395" customFormat="1">
      <c r="A37" s="1997" t="s">
        <v>1271</v>
      </c>
      <c r="B37" s="1997">
        <v>621100</v>
      </c>
      <c r="C37" s="2148" t="s">
        <v>1272</v>
      </c>
      <c r="D37" s="397"/>
      <c r="E37" s="397"/>
      <c r="F37" s="397"/>
      <c r="G37" s="1998"/>
      <c r="H37" s="1487"/>
      <c r="I37" s="1487"/>
      <c r="J37" s="1487"/>
      <c r="K37" s="1487"/>
      <c r="L37" s="1487"/>
      <c r="M37" s="1487"/>
      <c r="N37" s="1487"/>
      <c r="O37" s="1487">
        <v>42193.93</v>
      </c>
      <c r="P37" s="1487">
        <f>3.91+22258.05</f>
        <v>22261.96</v>
      </c>
      <c r="Q37" s="1487">
        <v>22474.76</v>
      </c>
      <c r="R37" s="1487">
        <v>22439.3</v>
      </c>
      <c r="S37" s="1487">
        <v>23262.39</v>
      </c>
      <c r="T37" s="1487">
        <v>24820.240000000002</v>
      </c>
      <c r="U37" s="1487">
        <v>67177.240000000005</v>
      </c>
      <c r="V37" s="1487">
        <v>58735.58</v>
      </c>
      <c r="W37" s="1489"/>
      <c r="AD37" s="1965"/>
      <c r="AE37" s="1965"/>
      <c r="AF37" s="1965"/>
      <c r="AG37" s="1965"/>
      <c r="AH37" s="1965"/>
      <c r="AI37" s="1965"/>
      <c r="AJ37" s="1965"/>
      <c r="AK37" s="1965"/>
    </row>
    <row r="38" spans="1:37" s="395" customFormat="1">
      <c r="A38" s="1997" t="s">
        <v>1273</v>
      </c>
      <c r="B38" s="1997"/>
      <c r="C38" s="2148" t="s">
        <v>1274</v>
      </c>
      <c r="D38" s="397"/>
      <c r="E38" s="397"/>
      <c r="F38" s="397"/>
      <c r="G38" s="1998"/>
      <c r="H38" s="1487"/>
      <c r="I38" s="1487"/>
      <c r="J38" s="1487"/>
      <c r="K38" s="1487"/>
      <c r="L38" s="1487"/>
      <c r="M38" s="1487"/>
      <c r="N38" s="1487"/>
      <c r="O38" s="1487">
        <v>75398.13</v>
      </c>
      <c r="P38" s="1487">
        <v>42605.279999999999</v>
      </c>
      <c r="Q38" s="1487">
        <v>43031.76</v>
      </c>
      <c r="R38" s="1487">
        <v>42959.09</v>
      </c>
      <c r="S38" s="1487">
        <v>45164.42</v>
      </c>
      <c r="T38" s="1487">
        <v>47715.1</v>
      </c>
      <c r="U38" s="1487"/>
      <c r="V38" s="1487"/>
      <c r="W38" s="1489"/>
      <c r="AD38" s="1965"/>
      <c r="AE38" s="1965"/>
      <c r="AF38" s="1965"/>
      <c r="AG38" s="1965"/>
      <c r="AH38" s="1965"/>
      <c r="AI38" s="1965"/>
      <c r="AJ38" s="1965"/>
      <c r="AK38" s="1965"/>
    </row>
    <row r="39" spans="1:37" s="395" customFormat="1">
      <c r="A39" s="1997" t="s">
        <v>1275</v>
      </c>
      <c r="B39" s="1997"/>
      <c r="C39" s="2148" t="s">
        <v>1276</v>
      </c>
      <c r="D39" s="397"/>
      <c r="E39" s="397"/>
      <c r="F39" s="397"/>
      <c r="G39" s="1998"/>
      <c r="H39" s="1487"/>
      <c r="I39" s="1487"/>
      <c r="J39" s="1487"/>
      <c r="K39" s="1487"/>
      <c r="L39" s="1487"/>
      <c r="M39" s="1487"/>
      <c r="N39" s="1487"/>
      <c r="O39" s="1487">
        <v>4960.6899999999996</v>
      </c>
      <c r="P39" s="1487">
        <v>23701.27</v>
      </c>
      <c r="Q39" s="1487"/>
      <c r="R39" s="1487"/>
      <c r="S39" s="1487"/>
      <c r="T39" s="1487"/>
      <c r="U39" s="1487"/>
      <c r="V39" s="1487"/>
      <c r="W39" s="1489"/>
      <c r="AD39" s="1965"/>
      <c r="AE39" s="1965"/>
      <c r="AF39" s="1965"/>
      <c r="AG39" s="1965"/>
      <c r="AH39" s="1965"/>
      <c r="AI39" s="1965"/>
      <c r="AJ39" s="1965"/>
      <c r="AK39" s="1965"/>
    </row>
    <row r="40" spans="1:37" s="395" customFormat="1">
      <c r="A40" s="1997" t="s">
        <v>1277</v>
      </c>
      <c r="B40" s="1997">
        <v>621200</v>
      </c>
      <c r="C40" s="2148" t="s">
        <v>1278</v>
      </c>
      <c r="D40" s="397"/>
      <c r="E40" s="397"/>
      <c r="F40" s="397"/>
      <c r="G40" s="1998"/>
      <c r="H40" s="1487"/>
      <c r="I40" s="1487"/>
      <c r="J40" s="1487"/>
      <c r="K40" s="1487"/>
      <c r="L40" s="1487"/>
      <c r="M40" s="1487"/>
      <c r="N40" s="1487"/>
      <c r="O40" s="1487"/>
      <c r="P40" s="1487"/>
      <c r="Q40" s="1487">
        <v>23769.57</v>
      </c>
      <c r="R40" s="1487">
        <v>23181.33</v>
      </c>
      <c r="S40" s="1487">
        <v>23756.6</v>
      </c>
      <c r="T40" s="1487">
        <v>26994.99</v>
      </c>
      <c r="U40" s="1487">
        <v>30124.61</v>
      </c>
      <c r="V40" s="1487">
        <v>33665.449999999997</v>
      </c>
      <c r="W40" s="1489"/>
      <c r="AD40" s="1965"/>
      <c r="AE40" s="1965"/>
      <c r="AF40" s="1965"/>
      <c r="AG40" s="1965"/>
      <c r="AH40" s="1965"/>
      <c r="AI40" s="1965"/>
      <c r="AJ40" s="1965"/>
      <c r="AK40" s="1965"/>
    </row>
    <row r="41" spans="1:37" s="395" customFormat="1">
      <c r="A41" s="1997" t="s">
        <v>1279</v>
      </c>
      <c r="B41" s="1997">
        <v>622600</v>
      </c>
      <c r="C41" s="2148" t="s">
        <v>1280</v>
      </c>
      <c r="D41" s="397"/>
      <c r="E41" s="397"/>
      <c r="F41" s="397"/>
      <c r="G41" s="1998"/>
      <c r="H41" s="1487"/>
      <c r="I41" s="1487"/>
      <c r="J41" s="1487"/>
      <c r="K41" s="1487"/>
      <c r="L41" s="1487"/>
      <c r="M41" s="1487"/>
      <c r="N41" s="1487"/>
      <c r="O41" s="1487">
        <v>605</v>
      </c>
      <c r="P41" s="1487">
        <v>605</v>
      </c>
      <c r="Q41" s="1487">
        <v>605</v>
      </c>
      <c r="R41" s="1487">
        <v>605</v>
      </c>
      <c r="S41" s="1487">
        <v>549.98</v>
      </c>
      <c r="T41" s="1487">
        <v>643.65</v>
      </c>
      <c r="U41" s="1487">
        <v>792.15</v>
      </c>
      <c r="V41" s="1487">
        <v>935.95</v>
      </c>
      <c r="W41" s="1489"/>
      <c r="AD41" s="1965"/>
      <c r="AE41" s="1965"/>
      <c r="AF41" s="1965"/>
      <c r="AG41" s="1965"/>
      <c r="AH41" s="1965"/>
      <c r="AI41" s="1965"/>
      <c r="AJ41" s="1965"/>
      <c r="AK41" s="1965"/>
    </row>
    <row r="42" spans="1:37" s="395" customFormat="1">
      <c r="A42" s="1997" t="s">
        <v>1281</v>
      </c>
      <c r="B42" s="1997"/>
      <c r="C42" s="2148" t="s">
        <v>1282</v>
      </c>
      <c r="D42" s="397"/>
      <c r="E42" s="397"/>
      <c r="F42" s="397"/>
      <c r="G42" s="1998"/>
      <c r="H42" s="1487"/>
      <c r="I42" s="1487"/>
      <c r="J42" s="1487"/>
      <c r="K42" s="1487"/>
      <c r="L42" s="1487"/>
      <c r="M42" s="1487"/>
      <c r="N42" s="1487"/>
      <c r="O42" s="1487">
        <v>3354.21</v>
      </c>
      <c r="P42" s="1487">
        <v>871.07</v>
      </c>
      <c r="Q42" s="1487"/>
      <c r="R42" s="1487"/>
      <c r="S42" s="1487"/>
      <c r="T42" s="1487"/>
      <c r="U42" s="1487"/>
      <c r="V42" s="1487"/>
      <c r="W42" s="1489"/>
      <c r="AD42" s="1965"/>
      <c r="AE42" s="1965"/>
      <c r="AF42" s="1965"/>
      <c r="AG42" s="1965"/>
      <c r="AH42" s="1965"/>
      <c r="AI42" s="1965"/>
      <c r="AJ42" s="1965"/>
      <c r="AK42" s="1965"/>
    </row>
    <row r="43" spans="1:37" s="395" customFormat="1">
      <c r="A43" s="1997" t="s">
        <v>1283</v>
      </c>
      <c r="B43" s="1997">
        <v>622200</v>
      </c>
      <c r="C43" s="2148" t="s">
        <v>1284</v>
      </c>
      <c r="D43" s="397"/>
      <c r="E43" s="397"/>
      <c r="F43" s="397"/>
      <c r="G43" s="1998"/>
      <c r="H43" s="1487"/>
      <c r="I43" s="1487"/>
      <c r="J43" s="1487"/>
      <c r="K43" s="1487"/>
      <c r="L43" s="1487"/>
      <c r="M43" s="1487"/>
      <c r="N43" s="1487"/>
      <c r="O43" s="1487"/>
      <c r="P43" s="1487"/>
      <c r="Q43" s="1487">
        <v>1501.19</v>
      </c>
      <c r="R43" s="1487">
        <v>1463.5</v>
      </c>
      <c r="S43" s="1487">
        <v>1500.22</v>
      </c>
      <c r="T43" s="1487">
        <v>3265.2</v>
      </c>
      <c r="U43" s="1487">
        <v>2070.66</v>
      </c>
      <c r="V43" s="1487">
        <v>4614.07</v>
      </c>
      <c r="W43" s="1489"/>
      <c r="AD43" s="1965"/>
      <c r="AE43" s="1965"/>
      <c r="AF43" s="1965"/>
      <c r="AG43" s="1965"/>
      <c r="AH43" s="1965"/>
      <c r="AI43" s="1965"/>
      <c r="AJ43" s="1965"/>
      <c r="AK43" s="1965"/>
    </row>
    <row r="44" spans="1:37" s="395" customFormat="1">
      <c r="A44" s="1997" t="s">
        <v>1285</v>
      </c>
      <c r="B44" s="1997"/>
      <c r="C44" s="2148" t="s">
        <v>1286</v>
      </c>
      <c r="D44" s="397"/>
      <c r="E44" s="397"/>
      <c r="F44" s="397"/>
      <c r="G44" s="1998"/>
      <c r="H44" s="1487"/>
      <c r="I44" s="1487"/>
      <c r="J44" s="1487"/>
      <c r="K44" s="1487"/>
      <c r="L44" s="1487"/>
      <c r="M44" s="1487"/>
      <c r="N44" s="1487"/>
      <c r="O44" s="1487">
        <v>198</v>
      </c>
      <c r="P44" s="1487">
        <v>198</v>
      </c>
      <c r="Q44" s="1487">
        <v>198</v>
      </c>
      <c r="R44" s="1487">
        <v>198</v>
      </c>
      <c r="S44" s="1487">
        <v>212.66</v>
      </c>
      <c r="T44" s="1487">
        <v>239.32</v>
      </c>
      <c r="U44" s="1487"/>
      <c r="V44" s="1487"/>
      <c r="W44" s="1489"/>
      <c r="AD44" s="1965"/>
      <c r="AE44" s="1965"/>
      <c r="AF44" s="1965"/>
      <c r="AG44" s="1965"/>
      <c r="AH44" s="1965"/>
      <c r="AI44" s="1965"/>
      <c r="AJ44" s="1965"/>
      <c r="AK44" s="1965"/>
    </row>
    <row r="45" spans="1:37" s="395" customFormat="1">
      <c r="A45" s="1997" t="s">
        <v>1287</v>
      </c>
      <c r="B45" s="1997">
        <v>623200</v>
      </c>
      <c r="C45" s="2148" t="s">
        <v>1045</v>
      </c>
      <c r="D45" s="397"/>
      <c r="E45" s="397"/>
      <c r="F45" s="397"/>
      <c r="G45" s="1998"/>
      <c r="H45" s="1487"/>
      <c r="I45" s="1487"/>
      <c r="J45" s="1487"/>
      <c r="K45" s="1487"/>
      <c r="L45" s="1487"/>
      <c r="M45" s="1487"/>
      <c r="N45" s="1487"/>
      <c r="O45" s="1487">
        <v>514.02</v>
      </c>
      <c r="P45" s="1487">
        <v>420.85</v>
      </c>
      <c r="Q45" s="1487">
        <v>331.92</v>
      </c>
      <c r="R45" s="1487">
        <v>1345.32</v>
      </c>
      <c r="S45" s="1487">
        <v>1457.94</v>
      </c>
      <c r="T45" s="1487">
        <v>1106.82</v>
      </c>
      <c r="U45" s="1487">
        <v>287.20999999999998</v>
      </c>
      <c r="V45" s="1487">
        <v>830.7</v>
      </c>
      <c r="W45" s="1489"/>
      <c r="AD45" s="1965"/>
      <c r="AE45" s="1965"/>
      <c r="AF45" s="1965"/>
      <c r="AG45" s="1965"/>
      <c r="AH45" s="1965"/>
      <c r="AI45" s="1965"/>
      <c r="AJ45" s="1965"/>
      <c r="AK45" s="1965"/>
    </row>
    <row r="46" spans="1:37" s="395" customFormat="1">
      <c r="A46" s="1997" t="s">
        <v>1288</v>
      </c>
      <c r="B46" s="1997">
        <v>623100</v>
      </c>
      <c r="C46" s="2148" t="s">
        <v>1289</v>
      </c>
      <c r="D46" s="397"/>
      <c r="E46" s="397"/>
      <c r="F46" s="397"/>
      <c r="G46" s="1998"/>
      <c r="H46" s="1487"/>
      <c r="I46" s="1487"/>
      <c r="J46" s="1487"/>
      <c r="K46" s="1487"/>
      <c r="L46" s="1487"/>
      <c r="M46" s="1487"/>
      <c r="N46" s="1487"/>
      <c r="O46" s="1487">
        <v>6408</v>
      </c>
      <c r="P46" s="1487">
        <v>6358</v>
      </c>
      <c r="Q46" s="1487">
        <v>6978.5</v>
      </c>
      <c r="R46" s="1487">
        <v>6660</v>
      </c>
      <c r="S46" s="1487">
        <v>6654</v>
      </c>
      <c r="T46" s="1487">
        <v>6162</v>
      </c>
      <c r="U46" s="1487">
        <v>8433.92</v>
      </c>
      <c r="V46" s="1487">
        <v>7553.56</v>
      </c>
      <c r="W46" s="1489"/>
      <c r="AD46" s="1965"/>
      <c r="AE46" s="1965"/>
      <c r="AF46" s="1965"/>
      <c r="AG46" s="1965"/>
      <c r="AH46" s="1965"/>
      <c r="AI46" s="1965"/>
      <c r="AJ46" s="1965"/>
      <c r="AK46" s="1965"/>
    </row>
    <row r="47" spans="1:37" s="395" customFormat="1">
      <c r="A47" s="1997" t="s">
        <v>1290</v>
      </c>
      <c r="B47" s="1997">
        <v>623000</v>
      </c>
      <c r="C47" s="2148" t="s">
        <v>1067</v>
      </c>
      <c r="D47" s="397"/>
      <c r="E47" s="397"/>
      <c r="F47" s="397"/>
      <c r="G47" s="1998"/>
      <c r="H47" s="1487"/>
      <c r="I47" s="1487"/>
      <c r="J47" s="1487"/>
      <c r="K47" s="1487"/>
      <c r="L47" s="1487"/>
      <c r="M47" s="1487"/>
      <c r="N47" s="1487"/>
      <c r="O47" s="1487">
        <v>1962.42</v>
      </c>
      <c r="P47" s="1487">
        <v>1771.78</v>
      </c>
      <c r="Q47" s="1487">
        <v>1701</v>
      </c>
      <c r="R47" s="1487">
        <v>1155</v>
      </c>
      <c r="S47" s="1487">
        <v>1113</v>
      </c>
      <c r="T47" s="1487">
        <v>1321.4</v>
      </c>
      <c r="U47" s="1487">
        <v>1351.7</v>
      </c>
      <c r="V47" s="1487">
        <v>1456.34</v>
      </c>
      <c r="W47" s="1489"/>
      <c r="AD47" s="1965"/>
      <c r="AE47" s="1965"/>
      <c r="AF47" s="1965"/>
      <c r="AG47" s="1965"/>
      <c r="AH47" s="1965"/>
      <c r="AI47" s="1965"/>
      <c r="AJ47" s="1965"/>
      <c r="AK47" s="1965"/>
    </row>
    <row r="48" spans="1:37" s="395" customFormat="1">
      <c r="A48" s="1997" t="s">
        <v>1291</v>
      </c>
      <c r="B48" s="1997"/>
      <c r="C48" s="2148" t="s">
        <v>1292</v>
      </c>
      <c r="D48" s="397"/>
      <c r="E48" s="397"/>
      <c r="F48" s="397"/>
      <c r="G48" s="1998"/>
      <c r="H48" s="1487">
        <v>150074.20000000001</v>
      </c>
      <c r="I48" s="1487">
        <v>164573.85</v>
      </c>
      <c r="J48" s="1487">
        <v>162879.12</v>
      </c>
      <c r="K48" s="1487">
        <v>145756.07999999999</v>
      </c>
      <c r="L48" s="1487">
        <v>171653.77</v>
      </c>
      <c r="M48" s="1487">
        <v>183727.39</v>
      </c>
      <c r="N48" s="1487">
        <v>187928.81</v>
      </c>
      <c r="O48" s="1487"/>
      <c r="P48" s="1487"/>
      <c r="Q48" s="1487"/>
      <c r="R48" s="1487"/>
      <c r="S48" s="1487"/>
      <c r="T48" s="1487"/>
      <c r="U48" s="1487"/>
      <c r="V48" s="1487"/>
      <c r="W48" s="1489"/>
      <c r="AD48" s="1965"/>
      <c r="AE48" s="1965"/>
      <c r="AF48" s="1965"/>
      <c r="AG48" s="1965"/>
      <c r="AH48" s="1965"/>
      <c r="AI48" s="1965"/>
      <c r="AJ48" s="1965"/>
      <c r="AK48" s="1965"/>
    </row>
    <row r="49" spans="1:37" s="395" customFormat="1">
      <c r="A49" s="1997" t="s">
        <v>1293</v>
      </c>
      <c r="B49" s="1997"/>
      <c r="C49" s="2148" t="s">
        <v>1012</v>
      </c>
      <c r="D49" s="397"/>
      <c r="E49" s="397"/>
      <c r="F49" s="397"/>
      <c r="G49" s="1998"/>
      <c r="H49" s="1487">
        <v>62699.8</v>
      </c>
      <c r="I49" s="1487">
        <v>59757.85</v>
      </c>
      <c r="J49" s="1487">
        <v>64428.83</v>
      </c>
      <c r="K49" s="1487">
        <v>65848.13</v>
      </c>
      <c r="L49" s="1487">
        <v>69995.649999999994</v>
      </c>
      <c r="M49" s="1487">
        <v>73852.52</v>
      </c>
      <c r="N49" s="1487">
        <v>75889.39</v>
      </c>
      <c r="O49" s="1487"/>
      <c r="P49" s="1487"/>
      <c r="Q49" s="1487"/>
      <c r="R49" s="1487"/>
      <c r="S49" s="1487"/>
      <c r="T49" s="1487"/>
      <c r="U49" s="1487"/>
      <c r="V49" s="1487"/>
      <c r="W49" s="1489"/>
      <c r="AD49" s="1965"/>
      <c r="AE49" s="1965"/>
      <c r="AF49" s="1965"/>
      <c r="AG49" s="1965"/>
      <c r="AH49" s="1965"/>
      <c r="AI49" s="1965"/>
      <c r="AJ49" s="1965"/>
      <c r="AK49" s="1965"/>
    </row>
    <row r="50" spans="1:37" s="395" customFormat="1">
      <c r="A50" s="1997" t="s">
        <v>1294</v>
      </c>
      <c r="B50" s="1997"/>
      <c r="C50" s="2148" t="s">
        <v>1012</v>
      </c>
      <c r="D50" s="397"/>
      <c r="E50" s="397"/>
      <c r="F50" s="397"/>
      <c r="G50" s="1998"/>
      <c r="H50" s="1487">
        <v>10797.68</v>
      </c>
      <c r="I50" s="1487">
        <v>6417.8</v>
      </c>
      <c r="J50" s="1487">
        <v>16051.02</v>
      </c>
      <c r="K50" s="1487">
        <v>17718.59</v>
      </c>
      <c r="L50" s="1487">
        <v>17113.68</v>
      </c>
      <c r="M50" s="1487">
        <v>16282.94</v>
      </c>
      <c r="N50" s="1487">
        <v>16407.52</v>
      </c>
      <c r="O50" s="1487"/>
      <c r="P50" s="1487"/>
      <c r="Q50" s="1487"/>
      <c r="R50" s="1487"/>
      <c r="S50" s="1487"/>
      <c r="T50" s="1487"/>
      <c r="U50" s="1487"/>
      <c r="V50" s="1487"/>
      <c r="W50" s="1489"/>
      <c r="AD50" s="1965"/>
      <c r="AE50" s="1965"/>
      <c r="AF50" s="1965"/>
      <c r="AG50" s="1965"/>
      <c r="AH50" s="1965"/>
      <c r="AI50" s="1965"/>
      <c r="AJ50" s="1965"/>
      <c r="AK50" s="1965"/>
    </row>
    <row r="51" spans="1:37" s="395" customFormat="1">
      <c r="A51" s="1997" t="s">
        <v>1295</v>
      </c>
      <c r="B51" s="1997"/>
      <c r="C51" s="2148" t="s">
        <v>1296</v>
      </c>
      <c r="D51" s="397"/>
      <c r="E51" s="397"/>
      <c r="F51" s="397"/>
      <c r="G51" s="1998"/>
      <c r="H51" s="1487">
        <v>11040.82</v>
      </c>
      <c r="I51" s="1487">
        <v>11354.66</v>
      </c>
      <c r="J51" s="1487">
        <v>11853.27</v>
      </c>
      <c r="K51" s="1487">
        <v>15198.07</v>
      </c>
      <c r="L51" s="1487">
        <v>11146.85</v>
      </c>
      <c r="M51" s="1487">
        <v>13407.33</v>
      </c>
      <c r="N51" s="1487">
        <v>13829.3</v>
      </c>
      <c r="O51" s="1487"/>
      <c r="P51" s="1487"/>
      <c r="Q51" s="1487"/>
      <c r="R51" s="1487"/>
      <c r="S51" s="1487"/>
      <c r="T51" s="1487"/>
      <c r="U51" s="1487"/>
      <c r="V51" s="1487"/>
      <c r="W51" s="1489"/>
      <c r="AD51" s="1965"/>
      <c r="AE51" s="1965"/>
      <c r="AF51" s="1965"/>
      <c r="AG51" s="1965"/>
      <c r="AH51" s="1965"/>
      <c r="AI51" s="1965"/>
      <c r="AJ51" s="1965"/>
      <c r="AK51" s="1965"/>
    </row>
    <row r="52" spans="1:37" s="395" customFormat="1">
      <c r="A52" s="1997" t="s">
        <v>1297</v>
      </c>
      <c r="B52" s="1997"/>
      <c r="C52" s="2148" t="s">
        <v>1265</v>
      </c>
      <c r="D52" s="397"/>
      <c r="E52" s="397"/>
      <c r="F52" s="397"/>
      <c r="G52" s="1998"/>
      <c r="H52" s="1487">
        <v>5811.07</v>
      </c>
      <c r="I52" s="1487">
        <v>4189.2700000000004</v>
      </c>
      <c r="J52" s="1487">
        <v>4498.07</v>
      </c>
      <c r="K52" s="1487">
        <v>4634.6400000000003</v>
      </c>
      <c r="L52" s="1487">
        <v>4857.8900000000003</v>
      </c>
      <c r="M52" s="1487">
        <v>5150.76</v>
      </c>
      <c r="N52" s="1487">
        <v>5278.31</v>
      </c>
      <c r="O52" s="1487"/>
      <c r="P52" s="1487"/>
      <c r="Q52" s="1487"/>
      <c r="R52" s="1487"/>
      <c r="S52" s="1487"/>
      <c r="T52" s="1487"/>
      <c r="U52" s="1487"/>
      <c r="V52" s="1487"/>
      <c r="W52" s="1489"/>
      <c r="AD52" s="1965"/>
      <c r="AE52" s="1965"/>
      <c r="AF52" s="1965"/>
      <c r="AG52" s="1965"/>
      <c r="AH52" s="1965"/>
      <c r="AI52" s="1965"/>
      <c r="AJ52" s="1965"/>
      <c r="AK52" s="1965"/>
    </row>
    <row r="53" spans="1:37" s="395" customFormat="1">
      <c r="A53" s="1997" t="s">
        <v>1298</v>
      </c>
      <c r="B53" s="1997"/>
      <c r="C53" s="2148" t="s">
        <v>1265</v>
      </c>
      <c r="D53" s="397"/>
      <c r="E53" s="397"/>
      <c r="F53" s="397"/>
      <c r="G53" s="1998"/>
      <c r="H53" s="1487">
        <v>821.83</v>
      </c>
      <c r="I53" s="1487">
        <v>930.29</v>
      </c>
      <c r="J53" s="1487">
        <v>1034.4100000000001</v>
      </c>
      <c r="K53" s="1487">
        <v>0</v>
      </c>
      <c r="L53" s="1487">
        <v>1216.1300000000001</v>
      </c>
      <c r="M53" s="1487">
        <v>1265.25</v>
      </c>
      <c r="N53" s="1487">
        <v>1302.19</v>
      </c>
      <c r="O53" s="1487"/>
      <c r="P53" s="1487"/>
      <c r="Q53" s="1487"/>
      <c r="R53" s="1487"/>
      <c r="S53" s="1487"/>
      <c r="T53" s="1487"/>
      <c r="U53" s="1487"/>
      <c r="V53" s="1487"/>
      <c r="W53" s="1489"/>
      <c r="AD53" s="1965"/>
      <c r="AE53" s="1965"/>
      <c r="AF53" s="1965"/>
      <c r="AG53" s="1965"/>
      <c r="AH53" s="1965"/>
      <c r="AI53" s="1965"/>
      <c r="AJ53" s="1965"/>
      <c r="AK53" s="1965"/>
    </row>
    <row r="54" spans="1:37" s="395" customFormat="1">
      <c r="A54" s="1997" t="s">
        <v>1299</v>
      </c>
      <c r="B54" s="1997"/>
      <c r="C54" s="2148" t="s">
        <v>1289</v>
      </c>
      <c r="D54" s="397"/>
      <c r="E54" s="397"/>
      <c r="F54" s="397"/>
      <c r="G54" s="1998"/>
      <c r="H54" s="1487">
        <v>5935.2</v>
      </c>
      <c r="I54" s="1487">
        <v>5475.6</v>
      </c>
      <c r="J54" s="1487">
        <v>7593.2</v>
      </c>
      <c r="K54" s="1487">
        <v>6855</v>
      </c>
      <c r="L54" s="1487">
        <v>5850</v>
      </c>
      <c r="M54" s="1487">
        <v>7531</v>
      </c>
      <c r="N54" s="1487">
        <v>7298.5</v>
      </c>
      <c r="O54" s="1487"/>
      <c r="P54" s="1487"/>
      <c r="Q54" s="1487"/>
      <c r="R54" s="1487"/>
      <c r="S54" s="1487"/>
      <c r="T54" s="1487"/>
      <c r="U54" s="1487"/>
      <c r="V54" s="1487"/>
      <c r="W54" s="1489"/>
      <c r="AD54" s="1965"/>
      <c r="AE54" s="1965"/>
      <c r="AF54" s="1965"/>
      <c r="AG54" s="1965"/>
      <c r="AH54" s="1965"/>
      <c r="AI54" s="1965"/>
      <c r="AJ54" s="1965"/>
      <c r="AK54" s="1965"/>
    </row>
    <row r="55" spans="1:37" s="395" customFormat="1">
      <c r="A55" s="1997" t="s">
        <v>1300</v>
      </c>
      <c r="B55" s="1997"/>
      <c r="C55" s="2148" t="s">
        <v>1301</v>
      </c>
      <c r="D55" s="397"/>
      <c r="E55" s="397"/>
      <c r="F55" s="397"/>
      <c r="G55" s="1998"/>
      <c r="H55" s="1487">
        <v>22974.57</v>
      </c>
      <c r="I55" s="1487">
        <v>24006.09</v>
      </c>
      <c r="J55" s="1487">
        <v>24374.36</v>
      </c>
      <c r="K55" s="1487">
        <v>21738.45</v>
      </c>
      <c r="L55" s="1487">
        <v>26774.63</v>
      </c>
      <c r="M55" s="1487">
        <v>25157.95</v>
      </c>
      <c r="N55" s="1487">
        <v>28183.03</v>
      </c>
      <c r="O55" s="1487"/>
      <c r="P55" s="1487"/>
      <c r="Q55" s="1487"/>
      <c r="R55" s="1487"/>
      <c r="S55" s="1487"/>
      <c r="T55" s="1487"/>
      <c r="U55" s="1487"/>
      <c r="V55" s="1487"/>
      <c r="W55" s="1489"/>
      <c r="AD55" s="1965"/>
      <c r="AE55" s="1965"/>
      <c r="AF55" s="1965"/>
      <c r="AG55" s="1965"/>
      <c r="AH55" s="1965"/>
      <c r="AI55" s="1965"/>
      <c r="AJ55" s="1965"/>
      <c r="AK55" s="1965"/>
    </row>
    <row r="56" spans="1:37" s="395" customFormat="1">
      <c r="A56" s="1997" t="s">
        <v>1302</v>
      </c>
      <c r="B56" s="1997"/>
      <c r="C56" s="2148" t="s">
        <v>1303</v>
      </c>
      <c r="D56" s="397"/>
      <c r="E56" s="397"/>
      <c r="F56" s="397"/>
      <c r="G56" s="1998"/>
      <c r="H56" s="1487">
        <v>4408.7700000000004</v>
      </c>
      <c r="I56" s="1487">
        <v>3792.66</v>
      </c>
      <c r="J56" s="1487">
        <v>2188.7199999999998</v>
      </c>
      <c r="K56" s="1487">
        <v>3967.22</v>
      </c>
      <c r="L56" s="1487">
        <v>918.32</v>
      </c>
      <c r="M56" s="1487">
        <v>2383.23</v>
      </c>
      <c r="N56" s="1487">
        <v>6764.26</v>
      </c>
      <c r="O56" s="1487"/>
      <c r="P56" s="1487"/>
      <c r="Q56" s="1487"/>
      <c r="R56" s="1487"/>
      <c r="S56" s="1487"/>
      <c r="T56" s="1487"/>
      <c r="U56" s="1487"/>
      <c r="V56" s="1487"/>
      <c r="W56" s="1489"/>
      <c r="AD56" s="1965"/>
      <c r="AE56" s="1965"/>
      <c r="AF56" s="1965"/>
      <c r="AG56" s="1965"/>
      <c r="AH56" s="1965"/>
      <c r="AI56" s="1965"/>
      <c r="AJ56" s="1965"/>
      <c r="AK56" s="1965"/>
    </row>
    <row r="57" spans="1:37" s="395" customFormat="1">
      <c r="A57" s="1997" t="s">
        <v>1304</v>
      </c>
      <c r="B57" s="1997"/>
      <c r="C57" s="2148" t="s">
        <v>1303</v>
      </c>
      <c r="D57" s="397"/>
      <c r="E57" s="397"/>
      <c r="F57" s="397"/>
      <c r="G57" s="1998"/>
      <c r="H57" s="1487">
        <v>0</v>
      </c>
      <c r="I57" s="1487">
        <v>0</v>
      </c>
      <c r="J57" s="1487">
        <v>714.32</v>
      </c>
      <c r="K57" s="1487">
        <v>946.77</v>
      </c>
      <c r="L57" s="1487">
        <v>4738.6499999999996</v>
      </c>
      <c r="M57" s="1487">
        <v>1173.01</v>
      </c>
      <c r="N57" s="1487">
        <v>0</v>
      </c>
      <c r="O57" s="1487"/>
      <c r="P57" s="1487"/>
      <c r="Q57" s="1487"/>
      <c r="R57" s="1487"/>
      <c r="S57" s="1487"/>
      <c r="T57" s="1487"/>
      <c r="U57" s="1487"/>
      <c r="V57" s="1487"/>
      <c r="W57" s="1489"/>
      <c r="AD57" s="1965"/>
      <c r="AE57" s="1965"/>
      <c r="AF57" s="1965"/>
      <c r="AG57" s="1965"/>
      <c r="AH57" s="1965"/>
      <c r="AI57" s="1965"/>
      <c r="AJ57" s="1965"/>
      <c r="AK57" s="1965"/>
    </row>
    <row r="58" spans="1:37" s="395" customFormat="1">
      <c r="A58" s="1997" t="s">
        <v>1305</v>
      </c>
      <c r="B58" s="1997"/>
      <c r="C58" s="2148" t="s">
        <v>1306</v>
      </c>
      <c r="D58" s="397"/>
      <c r="E58" s="397"/>
      <c r="F58" s="397"/>
      <c r="G58" s="1998"/>
      <c r="H58" s="1487">
        <v>29470.55</v>
      </c>
      <c r="I58" s="1487">
        <v>30146.13</v>
      </c>
      <c r="J58" s="1487">
        <v>31076.46</v>
      </c>
      <c r="K58" s="1487">
        <v>31193.96</v>
      </c>
      <c r="L58" s="1487">
        <v>40868.99</v>
      </c>
      <c r="M58" s="1487">
        <v>43628.34</v>
      </c>
      <c r="N58" s="1487">
        <v>47311.01</v>
      </c>
      <c r="O58" s="1487"/>
      <c r="P58" s="1487"/>
      <c r="Q58" s="1487"/>
      <c r="R58" s="1487"/>
      <c r="S58" s="1487"/>
      <c r="T58" s="1487"/>
      <c r="U58" s="1487"/>
      <c r="V58" s="1487"/>
      <c r="W58" s="1489"/>
      <c r="AD58" s="1965"/>
      <c r="AE58" s="1965"/>
      <c r="AF58" s="1965"/>
      <c r="AG58" s="1965"/>
      <c r="AH58" s="1965"/>
      <c r="AI58" s="1965"/>
      <c r="AJ58" s="1965"/>
      <c r="AK58" s="1965"/>
    </row>
    <row r="59" spans="1:37" s="395" customFormat="1">
      <c r="A59" s="1997" t="s">
        <v>1307</v>
      </c>
      <c r="B59" s="1997"/>
      <c r="C59" s="2148" t="s">
        <v>1308</v>
      </c>
      <c r="D59" s="397"/>
      <c r="E59" s="397"/>
      <c r="F59" s="397"/>
      <c r="G59" s="1998"/>
      <c r="H59" s="1487"/>
      <c r="I59" s="1487"/>
      <c r="J59" s="1487"/>
      <c r="K59" s="1487"/>
      <c r="L59" s="1487">
        <v>3311.57</v>
      </c>
      <c r="M59" s="1487">
        <v>1725.25</v>
      </c>
      <c r="N59" s="1487">
        <v>0</v>
      </c>
      <c r="O59" s="1487"/>
      <c r="P59" s="1487"/>
      <c r="Q59" s="1487"/>
      <c r="R59" s="1487"/>
      <c r="S59" s="1487"/>
      <c r="T59" s="1487"/>
      <c r="U59" s="1487"/>
      <c r="V59" s="1487"/>
      <c r="W59" s="1489"/>
      <c r="AD59" s="1965"/>
      <c r="AE59" s="1965"/>
      <c r="AF59" s="1965"/>
      <c r="AG59" s="1965"/>
      <c r="AH59" s="1965"/>
      <c r="AI59" s="1965"/>
      <c r="AJ59" s="1965"/>
      <c r="AK59" s="1965"/>
    </row>
    <row r="60" spans="1:37" s="395" customFormat="1">
      <c r="A60" s="1997" t="s">
        <v>1309</v>
      </c>
      <c r="B60" s="1997"/>
      <c r="C60" s="2148" t="s">
        <v>1310</v>
      </c>
      <c r="D60" s="397"/>
      <c r="E60" s="397"/>
      <c r="F60" s="397"/>
      <c r="G60" s="1998"/>
      <c r="H60" s="1487">
        <v>0</v>
      </c>
      <c r="I60" s="1487">
        <v>0</v>
      </c>
      <c r="J60" s="1487">
        <v>115.38</v>
      </c>
      <c r="K60" s="1487">
        <v>218.53</v>
      </c>
      <c r="L60" s="1487">
        <v>314</v>
      </c>
      <c r="M60" s="1487">
        <v>233.72</v>
      </c>
      <c r="N60" s="1487">
        <v>351.89</v>
      </c>
      <c r="O60" s="1487"/>
      <c r="P60" s="1487"/>
      <c r="Q60" s="1487"/>
      <c r="R60" s="1487"/>
      <c r="S60" s="1487"/>
      <c r="T60" s="1487"/>
      <c r="U60" s="1487"/>
      <c r="V60" s="1487"/>
      <c r="W60" s="1489"/>
      <c r="AD60" s="1965"/>
      <c r="AE60" s="1965"/>
      <c r="AF60" s="1965"/>
      <c r="AG60" s="1965"/>
      <c r="AH60" s="1965"/>
      <c r="AI60" s="1965"/>
      <c r="AJ60" s="1965"/>
      <c r="AK60" s="1965"/>
    </row>
    <row r="61" spans="1:37" s="395" customFormat="1">
      <c r="A61" s="1997" t="s">
        <v>1311</v>
      </c>
      <c r="B61" s="1997"/>
      <c r="C61" s="2148" t="s">
        <v>1310</v>
      </c>
      <c r="D61" s="397"/>
      <c r="E61" s="397"/>
      <c r="F61" s="397"/>
      <c r="G61" s="1998"/>
      <c r="H61" s="1487">
        <v>0</v>
      </c>
      <c r="I61" s="1487">
        <v>0</v>
      </c>
      <c r="J61" s="1487">
        <v>92.61</v>
      </c>
      <c r="K61" s="1487">
        <v>235.54</v>
      </c>
      <c r="L61" s="1487">
        <v>260.25</v>
      </c>
      <c r="M61" s="1487">
        <v>255.21</v>
      </c>
      <c r="N61" s="1487">
        <v>228.29</v>
      </c>
      <c r="O61" s="1487"/>
      <c r="P61" s="1487"/>
      <c r="Q61" s="1487"/>
      <c r="R61" s="1487"/>
      <c r="S61" s="1487"/>
      <c r="T61" s="1487"/>
      <c r="U61" s="1487"/>
      <c r="V61" s="1487"/>
      <c r="W61" s="1489"/>
      <c r="AD61" s="1965"/>
      <c r="AE61" s="1965"/>
      <c r="AF61" s="1965"/>
      <c r="AG61" s="1965"/>
      <c r="AH61" s="1965"/>
      <c r="AI61" s="1965"/>
      <c r="AJ61" s="1965"/>
      <c r="AK61" s="1965"/>
    </row>
    <row r="62" spans="1:37" s="395" customFormat="1">
      <c r="A62" s="1997" t="s">
        <v>1312</v>
      </c>
      <c r="B62" s="1997"/>
      <c r="C62" s="2148" t="s">
        <v>1067</v>
      </c>
      <c r="D62" s="397"/>
      <c r="E62" s="397"/>
      <c r="F62" s="397"/>
      <c r="G62" s="1998"/>
      <c r="H62" s="1487">
        <v>1781</v>
      </c>
      <c r="I62" s="1487">
        <v>1848</v>
      </c>
      <c r="J62" s="1487">
        <v>1938</v>
      </c>
      <c r="K62" s="1487">
        <v>1969.5</v>
      </c>
      <c r="L62" s="1487">
        <v>1886.74</v>
      </c>
      <c r="M62" s="1487">
        <v>1560</v>
      </c>
      <c r="N62" s="1487">
        <v>1365</v>
      </c>
      <c r="O62" s="1487"/>
      <c r="P62" s="1487"/>
      <c r="Q62" s="1487"/>
      <c r="R62" s="1487"/>
      <c r="S62" s="1487"/>
      <c r="T62" s="1487"/>
      <c r="U62" s="1487"/>
      <c r="V62" s="1487"/>
      <c r="W62" s="1489"/>
      <c r="AD62" s="1965"/>
      <c r="AE62" s="1965"/>
      <c r="AF62" s="1965"/>
      <c r="AG62" s="1965"/>
      <c r="AH62" s="1965"/>
      <c r="AI62" s="1965"/>
      <c r="AJ62" s="1965"/>
      <c r="AK62" s="1965"/>
    </row>
    <row r="63" spans="1:37" s="395" customFormat="1">
      <c r="A63" s="1997" t="s">
        <v>1313</v>
      </c>
      <c r="B63" s="1997"/>
      <c r="C63" s="2148" t="s">
        <v>1067</v>
      </c>
      <c r="D63" s="397"/>
      <c r="E63" s="397"/>
      <c r="F63" s="397"/>
      <c r="G63" s="1998"/>
      <c r="H63" s="1487">
        <v>273</v>
      </c>
      <c r="I63" s="1487">
        <v>150</v>
      </c>
      <c r="J63" s="1487">
        <v>150</v>
      </c>
      <c r="K63" s="1487">
        <v>0</v>
      </c>
      <c r="L63" s="1487">
        <v>200</v>
      </c>
      <c r="M63" s="1487">
        <v>200</v>
      </c>
      <c r="N63" s="1487">
        <v>0</v>
      </c>
      <c r="O63" s="1487"/>
      <c r="P63" s="1487"/>
      <c r="Q63" s="1487"/>
      <c r="R63" s="1487"/>
      <c r="S63" s="1487"/>
      <c r="T63" s="1487"/>
      <c r="U63" s="1487"/>
      <c r="V63" s="1487"/>
      <c r="W63" s="1489"/>
      <c r="AD63" s="1965"/>
      <c r="AE63" s="1965"/>
      <c r="AF63" s="1965"/>
      <c r="AG63" s="1965"/>
      <c r="AH63" s="1965"/>
      <c r="AI63" s="1965"/>
      <c r="AJ63" s="1965"/>
      <c r="AK63" s="1965"/>
    </row>
    <row r="64" spans="1:37" s="395" customFormat="1">
      <c r="A64" s="1997" t="s">
        <v>1314</v>
      </c>
      <c r="B64" s="1997"/>
      <c r="C64" s="2148" t="s">
        <v>1069</v>
      </c>
      <c r="D64" s="397"/>
      <c r="E64" s="397"/>
      <c r="F64" s="397"/>
      <c r="G64" s="1998"/>
      <c r="H64" s="1487">
        <v>329.68</v>
      </c>
      <c r="I64" s="1487">
        <v>435.5</v>
      </c>
      <c r="J64" s="1487">
        <v>349.64</v>
      </c>
      <c r="K64" s="1487">
        <v>335.78</v>
      </c>
      <c r="L64" s="1487">
        <v>396.5</v>
      </c>
      <c r="M64" s="1487">
        <v>386.97</v>
      </c>
      <c r="N64" s="1487">
        <v>401.56</v>
      </c>
      <c r="O64" s="1487"/>
      <c r="P64" s="1487"/>
      <c r="Q64" s="1487"/>
      <c r="R64" s="1487"/>
      <c r="S64" s="1487"/>
      <c r="T64" s="1487"/>
      <c r="U64" s="1487"/>
      <c r="V64" s="1487"/>
      <c r="W64" s="1489"/>
      <c r="AD64" s="1965"/>
      <c r="AE64" s="1965"/>
      <c r="AF64" s="1965"/>
      <c r="AG64" s="1965"/>
      <c r="AH64" s="1965"/>
      <c r="AI64" s="1965"/>
      <c r="AJ64" s="1965"/>
      <c r="AK64" s="1965"/>
    </row>
    <row r="65" spans="1:37" s="395" customFormat="1">
      <c r="A65" s="2046"/>
      <c r="B65" s="2046"/>
      <c r="C65" s="2004" t="s">
        <v>1083</v>
      </c>
      <c r="D65" s="2047"/>
      <c r="E65" s="2047"/>
      <c r="F65" s="2047"/>
      <c r="G65" s="3017"/>
      <c r="H65" s="2005">
        <f t="shared" ref="H65:V65" si="12">SUM(H27:H64)</f>
        <v>306418.17</v>
      </c>
      <c r="I65" s="2005">
        <f t="shared" si="12"/>
        <v>313077.7</v>
      </c>
      <c r="J65" s="2005">
        <f t="shared" si="12"/>
        <v>329337.40999999997</v>
      </c>
      <c r="K65" s="2005">
        <f t="shared" si="12"/>
        <v>316616.26000000007</v>
      </c>
      <c r="L65" s="2005">
        <f t="shared" si="12"/>
        <v>361503.62</v>
      </c>
      <c r="M65" s="2005">
        <f t="shared" si="12"/>
        <v>377920.87000000005</v>
      </c>
      <c r="N65" s="2005">
        <f t="shared" si="12"/>
        <v>392539.06000000006</v>
      </c>
      <c r="O65" s="2005">
        <f t="shared" si="12"/>
        <v>364834.92000000004</v>
      </c>
      <c r="P65" s="2005">
        <f t="shared" si="12"/>
        <v>338931.37000000005</v>
      </c>
      <c r="Q65" s="2005">
        <f t="shared" si="12"/>
        <v>341643.15</v>
      </c>
      <c r="R65" s="2005">
        <f t="shared" si="12"/>
        <v>339115.25</v>
      </c>
      <c r="S65" s="2005">
        <f t="shared" si="12"/>
        <v>360877.18999999989</v>
      </c>
      <c r="T65" s="2005">
        <f t="shared" si="12"/>
        <v>380185.62</v>
      </c>
      <c r="U65" s="2005">
        <f t="shared" si="12"/>
        <v>375915.06</v>
      </c>
      <c r="V65" s="2005">
        <f t="shared" si="12"/>
        <v>367176.99000000005</v>
      </c>
      <c r="W65" s="2007"/>
      <c r="AD65" s="1965"/>
      <c r="AE65" s="1965"/>
      <c r="AF65" s="1965"/>
      <c r="AG65" s="1965"/>
      <c r="AH65" s="1965"/>
      <c r="AI65" s="1965"/>
      <c r="AJ65" s="1965"/>
      <c r="AK65" s="1965"/>
    </row>
    <row r="66" spans="1:37" s="395" customFormat="1">
      <c r="A66" s="2048" t="s">
        <v>990</v>
      </c>
      <c r="B66" s="2048"/>
      <c r="C66" s="2148"/>
      <c r="D66" s="397"/>
      <c r="E66" s="397"/>
      <c r="F66" s="397"/>
      <c r="G66" s="1998"/>
      <c r="H66" s="1487"/>
      <c r="I66" s="1487"/>
      <c r="J66" s="1487"/>
      <c r="K66" s="1487"/>
      <c r="L66" s="1487"/>
      <c r="M66" s="1487"/>
      <c r="N66" s="1487"/>
      <c r="O66" s="397"/>
      <c r="P66" s="397"/>
      <c r="Q66" s="397"/>
      <c r="R66" s="1487"/>
      <c r="S66" s="1487"/>
      <c r="T66" s="1487"/>
      <c r="U66" s="1487"/>
      <c r="V66" s="1487"/>
      <c r="W66" s="1489"/>
      <c r="AD66" s="1965"/>
      <c r="AE66" s="1965"/>
      <c r="AF66" s="1965"/>
      <c r="AG66" s="1965"/>
      <c r="AH66" s="1965"/>
      <c r="AI66" s="1965"/>
      <c r="AJ66" s="1965"/>
      <c r="AK66" s="1965"/>
    </row>
    <row r="67" spans="1:37" s="395" customFormat="1">
      <c r="A67" s="1997" t="s">
        <v>1315</v>
      </c>
      <c r="B67" s="1997">
        <v>602000</v>
      </c>
      <c r="C67" s="2148" t="s">
        <v>1316</v>
      </c>
      <c r="D67" s="397"/>
      <c r="E67" s="397"/>
      <c r="F67" s="397"/>
      <c r="G67" s="1998"/>
      <c r="H67" s="1487">
        <v>60000</v>
      </c>
      <c r="I67" s="1487">
        <f>45000+21856.08+81</f>
        <v>66937.08</v>
      </c>
      <c r="J67" s="1487">
        <f>58649.34+6.5+247.3</f>
        <v>58903.14</v>
      </c>
      <c r="K67" s="1487">
        <f>61542.65+219</f>
        <v>61761.65</v>
      </c>
      <c r="L67" s="1487">
        <f>54255.28+153.57</f>
        <v>54408.85</v>
      </c>
      <c r="M67" s="1487">
        <v>62870.77</v>
      </c>
      <c r="N67" s="1487">
        <f>24959.7+6804.41+28767.1+4.95</f>
        <v>60536.159999999996</v>
      </c>
      <c r="O67" s="1487">
        <v>64307.37</v>
      </c>
      <c r="P67" s="1487">
        <v>67398.05</v>
      </c>
      <c r="Q67" s="1487">
        <v>66707.929999999993</v>
      </c>
      <c r="R67" s="1487">
        <v>63555.02</v>
      </c>
      <c r="S67" s="1487">
        <v>62219.51</v>
      </c>
      <c r="T67" s="1487">
        <v>64481.3</v>
      </c>
      <c r="U67" s="1487">
        <v>58238.26</v>
      </c>
      <c r="V67" s="1487">
        <v>60875.46</v>
      </c>
      <c r="W67" s="1489"/>
      <c r="AD67" s="1965"/>
      <c r="AE67" s="1965"/>
      <c r="AF67" s="1965"/>
      <c r="AG67" s="1965"/>
      <c r="AH67" s="1965"/>
      <c r="AI67" s="1965"/>
      <c r="AJ67" s="1965"/>
      <c r="AK67" s="1965"/>
    </row>
    <row r="68" spans="1:37" s="395" customFormat="1">
      <c r="A68" s="1997" t="s">
        <v>1317</v>
      </c>
      <c r="B68" s="1997">
        <v>610300</v>
      </c>
      <c r="C68" s="2148" t="s">
        <v>1318</v>
      </c>
      <c r="D68" s="397"/>
      <c r="E68" s="397"/>
      <c r="F68" s="397"/>
      <c r="G68" s="1998"/>
      <c r="H68" s="1487">
        <v>1116.1199999999999</v>
      </c>
      <c r="I68" s="1487">
        <v>968.37</v>
      </c>
      <c r="J68" s="1487">
        <f>3931.25+41.32</f>
        <v>3972.57</v>
      </c>
      <c r="K68" s="1487">
        <f>54.23+3317.49</f>
        <v>3371.72</v>
      </c>
      <c r="L68" s="1487">
        <v>4291.03</v>
      </c>
      <c r="M68" s="1487">
        <v>6942.94</v>
      </c>
      <c r="N68" s="1487">
        <f>38.95+35.09+147.04+203+29.6+314.13+61.88+55.37</f>
        <v>885.06</v>
      </c>
      <c r="O68" s="1487">
        <v>2197.7800000000002</v>
      </c>
      <c r="P68" s="1487">
        <v>710.05</v>
      </c>
      <c r="Q68" s="1487">
        <v>685.42</v>
      </c>
      <c r="R68" s="1487">
        <v>634.05999999999995</v>
      </c>
      <c r="S68" s="1487">
        <v>1246.98</v>
      </c>
      <c r="T68" s="1487">
        <v>1760.93</v>
      </c>
      <c r="U68" s="1487">
        <v>4582.7299999999996</v>
      </c>
      <c r="V68" s="1487">
        <v>4249.8500000000004</v>
      </c>
      <c r="W68" s="1489"/>
      <c r="AD68" s="1965"/>
      <c r="AE68" s="1965"/>
      <c r="AF68" s="1965"/>
      <c r="AG68" s="1965"/>
      <c r="AH68" s="1965"/>
      <c r="AI68" s="1965"/>
      <c r="AJ68" s="1965"/>
      <c r="AK68" s="1965"/>
    </row>
    <row r="69" spans="1:37" s="395" customFormat="1">
      <c r="A69" s="1997" t="s">
        <v>1319</v>
      </c>
      <c r="B69" s="1997"/>
      <c r="C69" s="2148" t="s">
        <v>1320</v>
      </c>
      <c r="D69" s="397"/>
      <c r="E69" s="397"/>
      <c r="F69" s="397"/>
      <c r="G69" s="1998"/>
      <c r="H69" s="1487">
        <v>229.22</v>
      </c>
      <c r="I69" s="1487">
        <v>0</v>
      </c>
      <c r="J69" s="1487"/>
      <c r="K69" s="1487"/>
      <c r="L69" s="1487"/>
      <c r="M69" s="1487"/>
      <c r="N69" s="1487"/>
      <c r="O69" s="1487">
        <v>4415.38</v>
      </c>
      <c r="P69" s="1487">
        <v>4033.66</v>
      </c>
      <c r="Q69" s="1487">
        <v>3108.28</v>
      </c>
      <c r="R69" s="1487">
        <v>3653.8</v>
      </c>
      <c r="S69" s="1487">
        <v>3476.41</v>
      </c>
      <c r="T69" s="1487">
        <v>7825.76</v>
      </c>
      <c r="U69" s="1487"/>
      <c r="V69" s="1487"/>
      <c r="W69" s="1489"/>
      <c r="AD69" s="1965"/>
      <c r="AE69" s="1965"/>
      <c r="AF69" s="1965"/>
      <c r="AG69" s="1965"/>
      <c r="AH69" s="1965"/>
      <c r="AI69" s="1965"/>
      <c r="AJ69" s="1965"/>
      <c r="AK69" s="1965"/>
    </row>
    <row r="70" spans="1:37" s="395" customFormat="1">
      <c r="A70" s="1997" t="s">
        <v>1321</v>
      </c>
      <c r="B70" s="1997">
        <v>611000</v>
      </c>
      <c r="C70" s="2148" t="s">
        <v>1322</v>
      </c>
      <c r="D70" s="397"/>
      <c r="E70" s="397"/>
      <c r="F70" s="397"/>
      <c r="G70" s="1998"/>
      <c r="H70" s="1487">
        <v>5862.59</v>
      </c>
      <c r="I70" s="1487">
        <f>4971.87+5560.43</f>
        <v>10532.3</v>
      </c>
      <c r="J70" s="1487">
        <v>20666.77</v>
      </c>
      <c r="K70" s="1487">
        <v>20251.48</v>
      </c>
      <c r="L70" s="1487">
        <v>22423.439999999999</v>
      </c>
      <c r="M70" s="1487">
        <v>19839.61</v>
      </c>
      <c r="N70" s="1487">
        <v>20485.080000000002</v>
      </c>
      <c r="O70" s="1487">
        <v>21283.35</v>
      </c>
      <c r="P70" s="1487">
        <v>22668.38</v>
      </c>
      <c r="Q70" s="1487">
        <v>20142.28</v>
      </c>
      <c r="R70" s="1487">
        <v>16650.689999999999</v>
      </c>
      <c r="S70" s="1487">
        <v>19319.89</v>
      </c>
      <c r="T70" s="1487">
        <v>19159.54</v>
      </c>
      <c r="U70" s="1487">
        <v>19816.990000000002</v>
      </c>
      <c r="V70" s="1487">
        <v>29057.05</v>
      </c>
      <c r="W70" s="1489"/>
      <c r="AD70" s="1965"/>
      <c r="AE70" s="1965"/>
      <c r="AF70" s="1965"/>
      <c r="AG70" s="1965"/>
      <c r="AH70" s="1965"/>
      <c r="AI70" s="1965"/>
      <c r="AJ70" s="1965"/>
      <c r="AK70" s="1965"/>
    </row>
    <row r="71" spans="1:37" s="395" customFormat="1">
      <c r="A71" s="1997" t="s">
        <v>1323</v>
      </c>
      <c r="B71" s="1997">
        <v>611100</v>
      </c>
      <c r="C71" s="2148" t="s">
        <v>1324</v>
      </c>
      <c r="D71" s="397"/>
      <c r="E71" s="397"/>
      <c r="F71" s="397"/>
      <c r="G71" s="1998"/>
      <c r="H71" s="1487">
        <v>2382.9499999999998</v>
      </c>
      <c r="I71" s="1487">
        <f>3434.45+1156.71</f>
        <v>4591.16</v>
      </c>
      <c r="J71" s="1487">
        <v>5759.77</v>
      </c>
      <c r="K71" s="1487">
        <v>6445.71</v>
      </c>
      <c r="L71" s="1487">
        <v>3355.64</v>
      </c>
      <c r="M71" s="1487">
        <v>5689.46</v>
      </c>
      <c r="N71" s="1487">
        <v>6827.74</v>
      </c>
      <c r="O71" s="1487">
        <v>5398.12</v>
      </c>
      <c r="P71" s="1487">
        <v>6072.15</v>
      </c>
      <c r="Q71" s="1487">
        <v>5629.16</v>
      </c>
      <c r="R71" s="1487">
        <v>5068.04</v>
      </c>
      <c r="S71" s="1487">
        <v>5278.32</v>
      </c>
      <c r="T71" s="1487">
        <v>3513.86</v>
      </c>
      <c r="U71" s="1487">
        <v>4215.1000000000004</v>
      </c>
      <c r="V71" s="1487">
        <v>6797.2</v>
      </c>
      <c r="W71" s="1489"/>
      <c r="AD71" s="1965"/>
      <c r="AE71" s="1965"/>
      <c r="AF71" s="1965"/>
      <c r="AG71" s="1965"/>
      <c r="AH71" s="1965"/>
      <c r="AI71" s="1965"/>
      <c r="AJ71" s="1965"/>
      <c r="AK71" s="1965"/>
    </row>
    <row r="72" spans="1:37" s="395" customFormat="1">
      <c r="A72" s="1997" t="s">
        <v>1325</v>
      </c>
      <c r="B72" s="1997">
        <v>612000</v>
      </c>
      <c r="C72" s="2148" t="s">
        <v>1326</v>
      </c>
      <c r="D72" s="397"/>
      <c r="E72" s="397"/>
      <c r="F72" s="397"/>
      <c r="G72" s="1998"/>
      <c r="H72" s="1487">
        <v>866.99</v>
      </c>
      <c r="I72" s="1487">
        <f>727.16+889.72</f>
        <v>1616.88</v>
      </c>
      <c r="J72" s="1487">
        <f>2613.37</f>
        <v>2613.37</v>
      </c>
      <c r="K72" s="1487">
        <v>3143.54</v>
      </c>
      <c r="L72" s="1487">
        <v>2594.5700000000002</v>
      </c>
      <c r="M72" s="1487">
        <v>2650.98</v>
      </c>
      <c r="N72" s="1487">
        <v>2741.24</v>
      </c>
      <c r="O72" s="1487">
        <v>2963.78</v>
      </c>
      <c r="P72" s="1487">
        <v>2801.28</v>
      </c>
      <c r="Q72" s="1487">
        <v>2797.66</v>
      </c>
      <c r="R72" s="1487">
        <v>2835.21</v>
      </c>
      <c r="S72" s="1487">
        <v>2331.4299999999998</v>
      </c>
      <c r="T72" s="1487">
        <v>2433.75</v>
      </c>
      <c r="U72" s="1487">
        <v>2505.8000000000002</v>
      </c>
      <c r="V72" s="1487">
        <v>2580.98</v>
      </c>
      <c r="W72" s="1489"/>
      <c r="AD72" s="1965"/>
      <c r="AE72" s="1965"/>
      <c r="AF72" s="1965"/>
      <c r="AG72" s="1965"/>
      <c r="AH72" s="1965"/>
      <c r="AI72" s="1965"/>
      <c r="AJ72" s="1965"/>
      <c r="AK72" s="1965"/>
    </row>
    <row r="73" spans="1:37" s="395" customFormat="1">
      <c r="A73" s="1997" t="s">
        <v>1327</v>
      </c>
      <c r="B73" s="1997">
        <v>612200</v>
      </c>
      <c r="C73" s="2148" t="s">
        <v>1328</v>
      </c>
      <c r="D73" s="397"/>
      <c r="E73" s="397"/>
      <c r="F73" s="397"/>
      <c r="G73" s="1998"/>
      <c r="H73" s="1487"/>
      <c r="I73" s="1487"/>
      <c r="J73" s="1487"/>
      <c r="K73" s="1487"/>
      <c r="L73" s="1487"/>
      <c r="M73" s="1487"/>
      <c r="N73" s="1487"/>
      <c r="O73" s="1487">
        <v>316.88</v>
      </c>
      <c r="P73" s="1487">
        <v>316.88</v>
      </c>
      <c r="Q73" s="1487">
        <v>316.88</v>
      </c>
      <c r="R73" s="1487">
        <v>293.75</v>
      </c>
      <c r="S73" s="1487">
        <v>293.75</v>
      </c>
      <c r="T73" s="1487">
        <v>293.75</v>
      </c>
      <c r="U73" s="1487">
        <v>293.75</v>
      </c>
      <c r="V73" s="1487">
        <v>317.25</v>
      </c>
      <c r="W73" s="1489"/>
      <c r="AD73" s="1965"/>
      <c r="AE73" s="1965"/>
      <c r="AF73" s="1965"/>
      <c r="AG73" s="1965"/>
      <c r="AH73" s="1965"/>
      <c r="AI73" s="1965"/>
      <c r="AJ73" s="1965"/>
      <c r="AK73" s="1965"/>
    </row>
    <row r="74" spans="1:37" s="395" customFormat="1">
      <c r="A74" s="1997" t="s">
        <v>1329</v>
      </c>
      <c r="B74" s="1633">
        <v>616200</v>
      </c>
      <c r="C74" s="395" t="s">
        <v>7347</v>
      </c>
      <c r="D74" s="397"/>
      <c r="E74" s="397"/>
      <c r="F74" s="397"/>
      <c r="G74" s="1998"/>
      <c r="H74" s="1487">
        <v>5916.19</v>
      </c>
      <c r="I74" s="1487">
        <v>2705.57</v>
      </c>
      <c r="J74" s="1487">
        <f>1974.1+258.4</f>
        <v>2232.5</v>
      </c>
      <c r="K74" s="1487">
        <f>2751.25+256.54</f>
        <v>3007.79</v>
      </c>
      <c r="L74" s="1487">
        <f>2315.4+262.12+745</f>
        <v>3322.52</v>
      </c>
      <c r="M74" s="1487">
        <f>13841.79-600-9945-400+271.41</f>
        <v>3168.2000000000007</v>
      </c>
      <c r="N74" s="1487">
        <f>566.04+61+50.83+100+4000+8000+1000+125+4000+375+200+290+550+300+276.99</f>
        <v>19894.86</v>
      </c>
      <c r="O74" s="1487">
        <v>4457.3900000000003</v>
      </c>
      <c r="P74" s="1487">
        <v>3169.33</v>
      </c>
      <c r="Q74" s="1487">
        <v>3834.66</v>
      </c>
      <c r="R74" s="1487">
        <v>3160.76</v>
      </c>
      <c r="S74" s="1487">
        <v>4517.13</v>
      </c>
      <c r="T74" s="1487">
        <v>4510.67</v>
      </c>
      <c r="U74" s="1487">
        <v>1689.7</v>
      </c>
      <c r="V74" s="1487">
        <v>738.22</v>
      </c>
      <c r="W74" s="1489"/>
      <c r="AD74" s="1965"/>
      <c r="AE74" s="1965"/>
      <c r="AF74" s="1965"/>
      <c r="AG74" s="1965"/>
      <c r="AH74" s="1965"/>
      <c r="AI74" s="1965"/>
      <c r="AJ74" s="1965"/>
      <c r="AK74" s="1965"/>
    </row>
    <row r="75" spans="1:37" s="395" customFormat="1">
      <c r="A75" s="1997"/>
      <c r="B75" s="1997">
        <v>616900</v>
      </c>
      <c r="C75" s="2148" t="s">
        <v>7348</v>
      </c>
      <c r="D75" s="397"/>
      <c r="E75" s="397"/>
      <c r="F75" s="397"/>
      <c r="G75" s="1998"/>
      <c r="H75" s="1487"/>
      <c r="I75" s="1487"/>
      <c r="J75" s="1487"/>
      <c r="K75" s="1487"/>
      <c r="L75" s="1487"/>
      <c r="M75" s="1487"/>
      <c r="N75" s="1487"/>
      <c r="O75" s="1487"/>
      <c r="P75" s="1487"/>
      <c r="Q75" s="1487"/>
      <c r="R75" s="1487"/>
      <c r="S75" s="1487"/>
      <c r="T75" s="1487"/>
      <c r="U75" s="1487">
        <v>2260</v>
      </c>
      <c r="V75" s="1487">
        <v>2212.25</v>
      </c>
      <c r="W75" s="1489"/>
      <c r="AD75" s="1965"/>
      <c r="AE75" s="1965"/>
      <c r="AF75" s="1965"/>
      <c r="AG75" s="1965"/>
      <c r="AH75" s="1965"/>
      <c r="AI75" s="1965"/>
      <c r="AJ75" s="1965"/>
      <c r="AK75" s="1965"/>
    </row>
    <row r="76" spans="1:37" s="395" customFormat="1">
      <c r="A76" s="1997" t="s">
        <v>1330</v>
      </c>
      <c r="B76" s="1997">
        <v>615000</v>
      </c>
      <c r="C76" s="2148" t="s">
        <v>1331</v>
      </c>
      <c r="D76" s="397"/>
      <c r="E76" s="397"/>
      <c r="F76" s="397"/>
      <c r="G76" s="1998"/>
      <c r="H76" s="1487">
        <v>3054.02</v>
      </c>
      <c r="I76" s="1487">
        <f>1711.16+3281.3</f>
        <v>4992.46</v>
      </c>
      <c r="J76" s="1487">
        <f>3318.84+855.97</f>
        <v>4174.8100000000004</v>
      </c>
      <c r="K76" s="1487">
        <f>1468.64</f>
        <v>1468.64</v>
      </c>
      <c r="L76" s="1487">
        <f>38.84+1633.12</f>
        <v>1671.9599999999998</v>
      </c>
      <c r="M76" s="1487">
        <f>8176.88-1055-1626.41-3279</f>
        <v>2216.4700000000003</v>
      </c>
      <c r="N76" s="1487">
        <f>49.17+110.16+1188.53+218.49+18.25+7.15+46.91+330.44+144.16+28.96+126.77+13.95+4.64+437.23+12+17.22+270+29.42+130+148.78+2.95+106.14+20.7+248.95+5.69</f>
        <v>3716.6599999999994</v>
      </c>
      <c r="O76" s="1487">
        <v>5578.43</v>
      </c>
      <c r="P76" s="1487">
        <v>9539.31</v>
      </c>
      <c r="Q76" s="1487">
        <v>8073.02</v>
      </c>
      <c r="R76" s="1487">
        <v>8350.2999999999993</v>
      </c>
      <c r="S76" s="1487">
        <v>5678.99</v>
      </c>
      <c r="T76" s="1487">
        <v>5370.49</v>
      </c>
      <c r="U76" s="1487">
        <v>5953.33</v>
      </c>
      <c r="V76" s="1487">
        <v>7831.71</v>
      </c>
      <c r="W76" s="1489"/>
      <c r="AD76" s="1965"/>
      <c r="AE76" s="1965"/>
      <c r="AF76" s="1965"/>
      <c r="AG76" s="1965"/>
      <c r="AH76" s="1965"/>
      <c r="AI76" s="1965"/>
      <c r="AJ76" s="1965"/>
      <c r="AK76" s="1965"/>
    </row>
    <row r="77" spans="1:37" s="395" customFormat="1">
      <c r="A77" s="1997" t="s">
        <v>1332</v>
      </c>
      <c r="B77" s="1997">
        <v>615200</v>
      </c>
      <c r="C77" s="2148" t="s">
        <v>1333</v>
      </c>
      <c r="D77" s="397"/>
      <c r="E77" s="397"/>
      <c r="F77" s="397"/>
      <c r="G77" s="1998"/>
      <c r="H77" s="1487">
        <v>3485.23</v>
      </c>
      <c r="I77" s="1487">
        <f>330.4+3145.67</f>
        <v>3476.07</v>
      </c>
      <c r="J77" s="1487">
        <v>5184.1000000000004</v>
      </c>
      <c r="K77" s="1487">
        <v>5962.71</v>
      </c>
      <c r="L77" s="1487">
        <v>5485.67</v>
      </c>
      <c r="M77" s="1487">
        <f>440.09+3818.96</f>
        <v>4259.05</v>
      </c>
      <c r="N77" s="1487">
        <f>408.93+353.68+299.96+421.11+397.07+316.05+329.07+409.41+630.2+459.31+398.67+609.65</f>
        <v>5033.1099999999988</v>
      </c>
      <c r="O77" s="1487">
        <v>3720.14</v>
      </c>
      <c r="P77" s="1487">
        <v>3605.78</v>
      </c>
      <c r="Q77" s="1487">
        <v>3071.18</v>
      </c>
      <c r="R77" s="1487">
        <v>2043.6</v>
      </c>
      <c r="S77" s="1487">
        <v>2974.61</v>
      </c>
      <c r="T77" s="1487">
        <v>4591.3999999999996</v>
      </c>
      <c r="U77" s="1487">
        <v>3114.28</v>
      </c>
      <c r="V77" s="1487">
        <v>4676.07</v>
      </c>
      <c r="W77" s="1489"/>
      <c r="AD77" s="1965"/>
      <c r="AE77" s="1965"/>
      <c r="AF77" s="1965"/>
      <c r="AG77" s="1965"/>
      <c r="AH77" s="1965"/>
      <c r="AI77" s="1965"/>
      <c r="AJ77" s="1965"/>
      <c r="AK77" s="1965"/>
    </row>
    <row r="78" spans="1:37" s="395" customFormat="1">
      <c r="A78" s="1997" t="s">
        <v>1334</v>
      </c>
      <c r="B78" s="1997">
        <v>615100</v>
      </c>
      <c r="C78" s="2148" t="s">
        <v>1335</v>
      </c>
      <c r="D78" s="397"/>
      <c r="E78" s="397"/>
      <c r="F78" s="397"/>
      <c r="G78" s="1998"/>
      <c r="H78" s="1487">
        <v>2421.5700000000002</v>
      </c>
      <c r="I78" s="1487">
        <f>331.73+1895.51</f>
        <v>2227.2399999999998</v>
      </c>
      <c r="J78" s="1487">
        <v>1869.31</v>
      </c>
      <c r="K78" s="1487">
        <v>1627.16</v>
      </c>
      <c r="L78" s="1487">
        <v>1820.65</v>
      </c>
      <c r="M78" s="1487">
        <v>1220.04</v>
      </c>
      <c r="N78" s="1487">
        <f>1.52+8.64+0.46+0.76+0.66+0.57+0.12+194.41+191.48+191.48+191.48+284.04+204.71+203.77</f>
        <v>1474.1000000000001</v>
      </c>
      <c r="O78" s="1487">
        <v>2292.69</v>
      </c>
      <c r="P78" s="1487">
        <v>2168.0100000000002</v>
      </c>
      <c r="Q78" s="1487">
        <v>1499.98</v>
      </c>
      <c r="R78" s="1487">
        <v>1248.6099999999999</v>
      </c>
      <c r="S78" s="1487">
        <v>1253.07</v>
      </c>
      <c r="T78" s="1487">
        <v>1384.46</v>
      </c>
      <c r="U78" s="1487">
        <v>1251.83</v>
      </c>
      <c r="V78" s="1487">
        <v>447.26</v>
      </c>
      <c r="W78" s="1489"/>
      <c r="AD78" s="1965"/>
      <c r="AE78" s="1965"/>
      <c r="AF78" s="1965"/>
      <c r="AG78" s="1965"/>
      <c r="AH78" s="1965"/>
      <c r="AI78" s="1965"/>
      <c r="AJ78" s="1965"/>
      <c r="AK78" s="1965"/>
    </row>
    <row r="79" spans="1:37" s="395" customFormat="1">
      <c r="A79" s="1997" t="s">
        <v>1336</v>
      </c>
      <c r="B79" s="1997">
        <v>613010</v>
      </c>
      <c r="C79" s="2148" t="s">
        <v>7349</v>
      </c>
      <c r="D79" s="397"/>
      <c r="E79" s="397"/>
      <c r="F79" s="397"/>
      <c r="G79" s="1998"/>
      <c r="H79" s="1487"/>
      <c r="I79" s="1487"/>
      <c r="J79" s="1487"/>
      <c r="K79" s="1487"/>
      <c r="L79" s="1487"/>
      <c r="M79" s="1487"/>
      <c r="N79" s="1487"/>
      <c r="O79" s="1487">
        <v>439</v>
      </c>
      <c r="P79" s="1487">
        <v>114</v>
      </c>
      <c r="Q79" s="1487"/>
      <c r="R79" s="1487">
        <v>352.02</v>
      </c>
      <c r="S79" s="1487"/>
      <c r="T79" s="1487">
        <v>196.14</v>
      </c>
      <c r="U79" s="1487">
        <v>285.77999999999997</v>
      </c>
      <c r="V79" s="1487"/>
      <c r="W79" s="1489"/>
      <c r="AD79" s="1965"/>
      <c r="AE79" s="1965"/>
      <c r="AF79" s="1965"/>
      <c r="AG79" s="1965"/>
      <c r="AH79" s="1965"/>
      <c r="AI79" s="1965"/>
      <c r="AJ79" s="1965"/>
      <c r="AK79" s="1965"/>
    </row>
    <row r="80" spans="1:37" s="395" customFormat="1">
      <c r="A80" s="1997" t="s">
        <v>1337</v>
      </c>
      <c r="B80" s="1997">
        <v>613000</v>
      </c>
      <c r="C80" s="2148" t="s">
        <v>7350</v>
      </c>
      <c r="D80" s="397"/>
      <c r="E80" s="397"/>
      <c r="F80" s="397"/>
      <c r="G80" s="1998"/>
      <c r="H80" s="1487"/>
      <c r="I80" s="1487"/>
      <c r="J80" s="1487"/>
      <c r="K80" s="1487"/>
      <c r="L80" s="1487"/>
      <c r="M80" s="1487"/>
      <c r="N80" s="1487"/>
      <c r="O80" s="1487">
        <v>1770.83</v>
      </c>
      <c r="P80" s="1487">
        <v>1809.49</v>
      </c>
      <c r="Q80" s="1487">
        <v>1576.31</v>
      </c>
      <c r="R80" s="1487">
        <v>1467.9</v>
      </c>
      <c r="S80" s="1487">
        <v>518.61</v>
      </c>
      <c r="T80" s="1487">
        <v>553.78</v>
      </c>
      <c r="U80" s="1487">
        <v>1468.73</v>
      </c>
      <c r="V80" s="1487">
        <v>1400.54</v>
      </c>
      <c r="W80" s="1489"/>
      <c r="AD80" s="1965"/>
      <c r="AE80" s="1965"/>
      <c r="AF80" s="1965"/>
      <c r="AG80" s="1965"/>
      <c r="AH80" s="1965"/>
      <c r="AI80" s="1965"/>
      <c r="AJ80" s="1965"/>
      <c r="AK80" s="1965"/>
    </row>
    <row r="81" spans="1:37" s="395" customFormat="1">
      <c r="A81" s="1997" t="s">
        <v>1338</v>
      </c>
      <c r="B81" s="1997">
        <v>613100</v>
      </c>
      <c r="C81" s="2148" t="s">
        <v>7351</v>
      </c>
      <c r="D81" s="397"/>
      <c r="E81" s="397"/>
      <c r="F81" s="397"/>
      <c r="G81" s="1998"/>
      <c r="H81" s="1487">
        <v>10183.41</v>
      </c>
      <c r="I81" s="1487">
        <f>2948.79+5014.57</f>
        <v>7963.36</v>
      </c>
      <c r="J81" s="1487">
        <f>7811.24</f>
        <v>7811.24</v>
      </c>
      <c r="K81" s="1487">
        <v>9439.8799999999992</v>
      </c>
      <c r="L81" s="1487">
        <v>20247.490000000002</v>
      </c>
      <c r="M81" s="1487">
        <f>16989.31-587.36</f>
        <v>16401.95</v>
      </c>
      <c r="N81" s="1487">
        <f>632.5+992+2066.4+1266.06+3279+250+108.15+108.15+135+108.15+4851.02+108.15+6.26+6.02+108.15+108.15+135+1205.29+108.15+18.77+108.15+18.05+331.25+135+108.15+108.15+713.88+18.77+18.05+108.15+135+108.15</f>
        <v>17511.12</v>
      </c>
      <c r="O81" s="1487">
        <f>12115.93-4773.22</f>
        <v>7342.71</v>
      </c>
      <c r="P81" s="1487">
        <v>10130.94</v>
      </c>
      <c r="Q81" s="1487">
        <v>12048.24</v>
      </c>
      <c r="R81" s="1487">
        <v>13700.38</v>
      </c>
      <c r="S81" s="1487">
        <v>10832.45</v>
      </c>
      <c r="T81" s="1487">
        <v>11272.63</v>
      </c>
      <c r="U81" s="1487">
        <v>2648.18</v>
      </c>
      <c r="V81" s="1487">
        <v>5105.9799999999996</v>
      </c>
      <c r="W81" s="1489"/>
      <c r="AD81" s="1965"/>
      <c r="AE81" s="1965"/>
      <c r="AF81" s="1965"/>
      <c r="AG81" s="1965"/>
      <c r="AH81" s="1965"/>
      <c r="AI81" s="1965"/>
      <c r="AJ81" s="1965"/>
      <c r="AK81" s="1965"/>
    </row>
    <row r="82" spans="1:37" s="395" customFormat="1">
      <c r="A82" s="1997"/>
      <c r="B82" s="1997">
        <v>613110</v>
      </c>
      <c r="C82" s="2148" t="s">
        <v>7352</v>
      </c>
      <c r="D82" s="397"/>
      <c r="E82" s="397"/>
      <c r="F82" s="397"/>
      <c r="G82" s="1998"/>
      <c r="H82" s="1487"/>
      <c r="I82" s="1487"/>
      <c r="J82" s="1487"/>
      <c r="K82" s="1487"/>
      <c r="L82" s="1487"/>
      <c r="M82" s="1487"/>
      <c r="N82" s="1487"/>
      <c r="O82" s="1487"/>
      <c r="P82" s="1487"/>
      <c r="Q82" s="1487"/>
      <c r="R82" s="1487"/>
      <c r="S82" s="1487"/>
      <c r="T82" s="1487"/>
      <c r="U82" s="1487">
        <v>11858.85</v>
      </c>
      <c r="V82" s="1487">
        <v>5713.9</v>
      </c>
      <c r="W82" s="1489"/>
      <c r="AD82" s="1965"/>
      <c r="AE82" s="1965"/>
      <c r="AF82" s="1965"/>
      <c r="AG82" s="1965"/>
      <c r="AH82" s="1965"/>
      <c r="AI82" s="1965"/>
      <c r="AJ82" s="1965"/>
      <c r="AK82" s="1965"/>
    </row>
    <row r="83" spans="1:37" s="395" customFormat="1">
      <c r="A83" s="1997" t="s">
        <v>1340</v>
      </c>
      <c r="B83" s="1997">
        <v>615700</v>
      </c>
      <c r="C83" s="2148" t="s">
        <v>1341</v>
      </c>
      <c r="D83" s="397"/>
      <c r="E83" s="397"/>
      <c r="F83" s="397"/>
      <c r="G83" s="1998"/>
      <c r="H83" s="1487">
        <v>320.44</v>
      </c>
      <c r="I83" s="1487">
        <f>200.59+140</f>
        <v>340.59000000000003</v>
      </c>
      <c r="J83" s="1487">
        <f>86.6+65+28.3+188.68</f>
        <v>368.58000000000004</v>
      </c>
      <c r="K83" s="1487">
        <f>688.46+80.83+559.98+188.68</f>
        <v>1517.95</v>
      </c>
      <c r="L83" s="1487">
        <f>323.23+130.64+1004.89</f>
        <v>1458.76</v>
      </c>
      <c r="M83" s="1487">
        <f>188.57+195.44+392.4</f>
        <v>776.41</v>
      </c>
      <c r="N83" s="1487">
        <f>40.8-1.65-3.35+128-6.94-9.43+163.1-8.35-12.32+40.09+36.15+600+45.76+3.37+61.32+61.32+61.32+61.32</f>
        <v>1260.5099999999998</v>
      </c>
      <c r="O83" s="1487">
        <v>289.77</v>
      </c>
      <c r="P83" s="1487">
        <v>714.92</v>
      </c>
      <c r="Q83" s="1487">
        <v>306</v>
      </c>
      <c r="R83" s="1487">
        <v>306.85000000000002</v>
      </c>
      <c r="S83" s="1487">
        <v>11.07</v>
      </c>
      <c r="T83" s="1487">
        <v>315.97000000000003</v>
      </c>
      <c r="U83" s="1487">
        <v>1075.08</v>
      </c>
      <c r="V83" s="1487">
        <v>1658.24</v>
      </c>
      <c r="W83" s="1489"/>
      <c r="AD83" s="1965"/>
      <c r="AE83" s="1965"/>
      <c r="AF83" s="1965"/>
      <c r="AG83" s="1965"/>
      <c r="AH83" s="1965"/>
      <c r="AI83" s="1965"/>
      <c r="AJ83" s="1965"/>
      <c r="AK83" s="1965"/>
    </row>
    <row r="84" spans="1:37" s="395" customFormat="1">
      <c r="A84" s="1997" t="s">
        <v>1342</v>
      </c>
      <c r="B84" s="1997"/>
      <c r="C84" s="2148" t="s">
        <v>1343</v>
      </c>
      <c r="D84" s="397"/>
      <c r="E84" s="397"/>
      <c r="F84" s="397"/>
      <c r="G84" s="1998"/>
      <c r="H84" s="1487"/>
      <c r="I84" s="1487"/>
      <c r="J84" s="1487"/>
      <c r="K84" s="1487"/>
      <c r="L84" s="1487"/>
      <c r="M84" s="1487"/>
      <c r="N84" s="1487"/>
      <c r="O84" s="1487">
        <v>490.02</v>
      </c>
      <c r="P84" s="1487">
        <v>450.7</v>
      </c>
      <c r="Q84" s="1487">
        <v>1203.27</v>
      </c>
      <c r="R84" s="1487">
        <v>1676.99</v>
      </c>
      <c r="S84" s="1487">
        <v>861.6</v>
      </c>
      <c r="T84" s="1487">
        <v>1417.56</v>
      </c>
      <c r="U84" s="1487"/>
      <c r="V84" s="1487"/>
      <c r="W84" s="1489"/>
      <c r="AD84" s="1965"/>
      <c r="AE84" s="1965"/>
      <c r="AF84" s="1965"/>
      <c r="AG84" s="1965"/>
      <c r="AH84" s="1965"/>
      <c r="AI84" s="1965"/>
      <c r="AJ84" s="1965"/>
      <c r="AK84" s="1965"/>
    </row>
    <row r="85" spans="1:37" s="395" customFormat="1">
      <c r="A85" s="1997" t="s">
        <v>1344</v>
      </c>
      <c r="B85" s="1997"/>
      <c r="C85" s="2148" t="s">
        <v>1345</v>
      </c>
      <c r="D85" s="397"/>
      <c r="E85" s="397"/>
      <c r="F85" s="397"/>
      <c r="G85" s="1998"/>
      <c r="H85" s="1487"/>
      <c r="I85" s="1487"/>
      <c r="J85" s="1487"/>
      <c r="K85" s="1487"/>
      <c r="L85" s="1487"/>
      <c r="M85" s="1487"/>
      <c r="N85" s="1487"/>
      <c r="O85" s="1487">
        <v>362.99</v>
      </c>
      <c r="P85" s="1487">
        <v>252.21</v>
      </c>
      <c r="Q85" s="1487">
        <v>309.02</v>
      </c>
      <c r="R85" s="1487">
        <v>339.98</v>
      </c>
      <c r="S85" s="1487">
        <v>434.45</v>
      </c>
      <c r="T85" s="1487">
        <v>295.49</v>
      </c>
      <c r="U85" s="1487"/>
      <c r="V85" s="1487"/>
      <c r="W85" s="1489"/>
      <c r="AD85" s="1965"/>
      <c r="AE85" s="1965"/>
      <c r="AF85" s="1965"/>
      <c r="AG85" s="1965"/>
      <c r="AH85" s="1965"/>
      <c r="AI85" s="1965"/>
      <c r="AJ85" s="1965"/>
      <c r="AK85" s="1965"/>
    </row>
    <row r="86" spans="1:37" s="395" customFormat="1">
      <c r="A86" s="1997" t="s">
        <v>1346</v>
      </c>
      <c r="B86" s="1997">
        <v>615610</v>
      </c>
      <c r="C86" s="2148" t="s">
        <v>1111</v>
      </c>
      <c r="D86" s="397"/>
      <c r="E86" s="397"/>
      <c r="F86" s="397"/>
      <c r="G86" s="1998"/>
      <c r="H86" s="1487">
        <v>425.73</v>
      </c>
      <c r="I86" s="1487">
        <f>96.41+426.94</f>
        <v>523.35</v>
      </c>
      <c r="J86" s="1487">
        <v>756.09</v>
      </c>
      <c r="K86" s="1487">
        <v>624.75</v>
      </c>
      <c r="L86" s="1487">
        <v>1265.25</v>
      </c>
      <c r="M86" s="1487">
        <v>1146.33</v>
      </c>
      <c r="N86" s="1487">
        <f>145+20+90+84.7+316.88+50.84+33.89+148.32+101.68+183+66.31+114.54+72.2+34.83+101.5</f>
        <v>1563.6899999999998</v>
      </c>
      <c r="O86" s="1487">
        <v>586.04</v>
      </c>
      <c r="P86" s="1487">
        <v>271.87</v>
      </c>
      <c r="Q86" s="1487">
        <v>529.97</v>
      </c>
      <c r="R86" s="1487">
        <v>189.66</v>
      </c>
      <c r="S86" s="1487">
        <v>121.32</v>
      </c>
      <c r="T86" s="1487">
        <v>78.38</v>
      </c>
      <c r="U86" s="1487">
        <v>25.99</v>
      </c>
      <c r="V86" s="1487">
        <v>84.25</v>
      </c>
      <c r="W86" s="1489"/>
      <c r="AD86" s="1965"/>
      <c r="AE86" s="1965"/>
      <c r="AF86" s="1965"/>
      <c r="AG86" s="1965"/>
      <c r="AH86" s="1965"/>
      <c r="AI86" s="1965"/>
      <c r="AJ86" s="1965"/>
      <c r="AK86" s="1965"/>
    </row>
    <row r="87" spans="1:37" s="395" customFormat="1">
      <c r="A87" s="1997" t="s">
        <v>1347</v>
      </c>
      <c r="B87" s="1997">
        <v>614600</v>
      </c>
      <c r="C87" s="2148" t="s">
        <v>1348</v>
      </c>
      <c r="D87" s="397"/>
      <c r="E87" s="397"/>
      <c r="F87" s="397"/>
      <c r="G87" s="1998"/>
      <c r="H87" s="1487"/>
      <c r="I87" s="1487"/>
      <c r="J87" s="1487"/>
      <c r="K87" s="1487"/>
      <c r="L87" s="1487"/>
      <c r="M87" s="1487"/>
      <c r="N87" s="1487"/>
      <c r="O87" s="1487">
        <v>957.51</v>
      </c>
      <c r="P87" s="1487">
        <v>659</v>
      </c>
      <c r="Q87" s="1487">
        <v>155.6</v>
      </c>
      <c r="R87" s="1487"/>
      <c r="S87" s="1487"/>
      <c r="T87" s="1487"/>
      <c r="U87" s="1487"/>
      <c r="V87" s="1487"/>
      <c r="W87" s="1489"/>
      <c r="AD87" s="1965"/>
      <c r="AE87" s="1965"/>
      <c r="AF87" s="1965"/>
      <c r="AG87" s="1965"/>
      <c r="AH87" s="1965"/>
      <c r="AI87" s="1965"/>
      <c r="AJ87" s="1965"/>
      <c r="AK87" s="1965"/>
    </row>
    <row r="88" spans="1:37" s="395" customFormat="1">
      <c r="A88" s="1997" t="s">
        <v>1349</v>
      </c>
      <c r="B88" s="1997">
        <v>615300</v>
      </c>
      <c r="C88" s="2148" t="s">
        <v>1113</v>
      </c>
      <c r="D88" s="397"/>
      <c r="E88" s="397"/>
      <c r="F88" s="397"/>
      <c r="G88" s="1998"/>
      <c r="H88" s="1487"/>
      <c r="I88" s="1487"/>
      <c r="J88" s="1487"/>
      <c r="K88" s="1487"/>
      <c r="L88" s="1487"/>
      <c r="M88" s="1487"/>
      <c r="N88" s="1487"/>
      <c r="O88" s="1487">
        <v>53</v>
      </c>
      <c r="P88" s="1487"/>
      <c r="Q88" s="1487"/>
      <c r="R88" s="1487"/>
      <c r="S88" s="1487"/>
      <c r="T88" s="1487"/>
      <c r="U88" s="1487">
        <v>15</v>
      </c>
      <c r="V88" s="1487">
        <v>365</v>
      </c>
      <c r="W88" s="1489"/>
      <c r="AD88" s="1965"/>
      <c r="AE88" s="1965"/>
      <c r="AF88" s="1965"/>
      <c r="AG88" s="1965"/>
      <c r="AH88" s="1965"/>
      <c r="AI88" s="1965"/>
      <c r="AJ88" s="1965"/>
      <c r="AK88" s="1965"/>
    </row>
    <row r="89" spans="1:37" s="395" customFormat="1">
      <c r="A89" s="1997" t="s">
        <v>1350</v>
      </c>
      <c r="B89" s="1997">
        <v>615620</v>
      </c>
      <c r="C89" s="2148" t="s">
        <v>1351</v>
      </c>
      <c r="D89" s="397"/>
      <c r="E89" s="397"/>
      <c r="F89" s="397"/>
      <c r="G89" s="1998"/>
      <c r="H89" s="1487">
        <v>10</v>
      </c>
      <c r="I89" s="1487">
        <v>383.93</v>
      </c>
      <c r="J89" s="1487">
        <v>71.64</v>
      </c>
      <c r="K89" s="1487"/>
      <c r="L89" s="1487">
        <v>2836.18</v>
      </c>
      <c r="M89" s="1487"/>
      <c r="N89" s="1487">
        <f>432.98</f>
        <v>432.98</v>
      </c>
      <c r="O89" s="1487">
        <v>170</v>
      </c>
      <c r="P89" s="1487">
        <v>210</v>
      </c>
      <c r="Q89" s="1487"/>
      <c r="R89" s="1487">
        <v>260.66000000000003</v>
      </c>
      <c r="S89" s="1487">
        <v>130.66</v>
      </c>
      <c r="T89" s="1487">
        <v>150</v>
      </c>
      <c r="U89" s="1487"/>
      <c r="V89" s="1487">
        <v>165.29</v>
      </c>
      <c r="W89" s="1489"/>
      <c r="AD89" s="1965"/>
      <c r="AE89" s="1965"/>
      <c r="AF89" s="1965"/>
      <c r="AG89" s="1965"/>
      <c r="AH89" s="1965"/>
      <c r="AI89" s="1965"/>
      <c r="AJ89" s="1965"/>
      <c r="AK89" s="1965"/>
    </row>
    <row r="90" spans="1:37" s="395" customFormat="1">
      <c r="A90" s="1997" t="s">
        <v>1352</v>
      </c>
      <c r="B90" s="1997">
        <v>615400</v>
      </c>
      <c r="C90" s="2148" t="s">
        <v>1353</v>
      </c>
      <c r="D90" s="397"/>
      <c r="E90" s="397"/>
      <c r="F90" s="397"/>
      <c r="G90" s="1998"/>
      <c r="H90" s="1487"/>
      <c r="I90" s="1487"/>
      <c r="J90" s="1487"/>
      <c r="K90" s="1487"/>
      <c r="L90" s="1487"/>
      <c r="M90" s="1487"/>
      <c r="N90" s="1487"/>
      <c r="O90" s="1487">
        <v>545</v>
      </c>
      <c r="P90" s="1487"/>
      <c r="Q90" s="1487">
        <v>173.5</v>
      </c>
      <c r="R90" s="1487">
        <v>38.93</v>
      </c>
      <c r="S90" s="1487"/>
      <c r="T90" s="1487">
        <v>384.6</v>
      </c>
      <c r="U90" s="1487">
        <v>1162.53</v>
      </c>
      <c r="V90" s="1487">
        <v>417.72</v>
      </c>
      <c r="W90" s="1489"/>
      <c r="AD90" s="1965"/>
      <c r="AE90" s="1965"/>
      <c r="AF90" s="1965"/>
      <c r="AG90" s="1965"/>
      <c r="AH90" s="1965"/>
      <c r="AI90" s="1965"/>
      <c r="AJ90" s="1965"/>
      <c r="AK90" s="1965"/>
    </row>
    <row r="91" spans="1:37" s="395" customFormat="1">
      <c r="A91" s="1997" t="s">
        <v>1354</v>
      </c>
      <c r="B91" s="1997"/>
      <c r="C91" s="3032" t="s">
        <v>1355</v>
      </c>
      <c r="D91" s="1487"/>
      <c r="E91" s="1487"/>
      <c r="F91" s="1487"/>
      <c r="G91" s="1489"/>
      <c r="H91" s="1487"/>
      <c r="I91" s="1487"/>
      <c r="J91" s="1487"/>
      <c r="K91" s="1487"/>
      <c r="L91" s="1487"/>
      <c r="M91" s="1487"/>
      <c r="N91" s="1487"/>
      <c r="O91" s="1487"/>
      <c r="P91" s="1487"/>
      <c r="Q91" s="1487"/>
      <c r="R91" s="1487"/>
      <c r="S91" s="1487">
        <v>200.25</v>
      </c>
      <c r="T91" s="1487"/>
      <c r="U91" s="1487"/>
      <c r="V91" s="1487"/>
      <c r="W91" s="1489"/>
      <c r="AD91" s="1965"/>
      <c r="AE91" s="1965"/>
      <c r="AF91" s="1965"/>
      <c r="AG91" s="1965"/>
      <c r="AH91" s="1965"/>
      <c r="AI91" s="1965"/>
      <c r="AJ91" s="1965"/>
      <c r="AK91" s="1965"/>
    </row>
    <row r="92" spans="1:37" s="395" customFormat="1">
      <c r="A92" s="1997" t="s">
        <v>1356</v>
      </c>
      <c r="B92" s="1997">
        <v>640900</v>
      </c>
      <c r="C92" s="2148" t="s">
        <v>1357</v>
      </c>
      <c r="D92" s="397"/>
      <c r="E92" s="397"/>
      <c r="F92" s="397"/>
      <c r="G92" s="1998"/>
      <c r="H92" s="1487"/>
      <c r="I92" s="1487"/>
      <c r="J92" s="1487"/>
      <c r="K92" s="1487"/>
      <c r="L92" s="1487"/>
      <c r="M92" s="1487"/>
      <c r="N92" s="1487"/>
      <c r="O92" s="1487">
        <v>280.70999999999998</v>
      </c>
      <c r="P92" s="1487">
        <v>237.52</v>
      </c>
      <c r="Q92" s="1487">
        <v>240.67</v>
      </c>
      <c r="R92" s="1487"/>
      <c r="S92" s="1487">
        <v>713</v>
      </c>
      <c r="T92" s="1487">
        <v>299.16000000000003</v>
      </c>
      <c r="U92" s="1487"/>
      <c r="V92" s="1487">
        <v>306.14999999999998</v>
      </c>
      <c r="W92" s="1489"/>
      <c r="AD92" s="1965"/>
      <c r="AE92" s="1965"/>
      <c r="AF92" s="1965"/>
      <c r="AG92" s="1965"/>
      <c r="AH92" s="1965"/>
      <c r="AI92" s="1965"/>
      <c r="AJ92" s="1965"/>
      <c r="AK92" s="1965"/>
    </row>
    <row r="93" spans="1:37" s="395" customFormat="1">
      <c r="A93" s="1997"/>
      <c r="B93" s="1997">
        <v>659000</v>
      </c>
      <c r="C93" s="2148" t="s">
        <v>7353</v>
      </c>
      <c r="D93" s="397"/>
      <c r="E93" s="397"/>
      <c r="F93" s="397"/>
      <c r="G93" s="1998"/>
      <c r="H93" s="1487"/>
      <c r="I93" s="1487"/>
      <c r="J93" s="1487"/>
      <c r="K93" s="1487"/>
      <c r="L93" s="1487"/>
      <c r="M93" s="1487"/>
      <c r="N93" s="1487"/>
      <c r="O93" s="1487"/>
      <c r="P93" s="1487"/>
      <c r="Q93" s="1487"/>
      <c r="R93" s="1487"/>
      <c r="S93" s="1487"/>
      <c r="T93" s="1487"/>
      <c r="U93" s="1487">
        <v>50.94</v>
      </c>
      <c r="V93" s="1487">
        <v>72.83</v>
      </c>
      <c r="W93" s="1489"/>
      <c r="AD93" s="1965"/>
      <c r="AE93" s="1965"/>
      <c r="AF93" s="1965"/>
      <c r="AG93" s="1965"/>
      <c r="AH93" s="1965"/>
      <c r="AI93" s="1965"/>
      <c r="AJ93" s="1965"/>
      <c r="AK93" s="1965"/>
    </row>
    <row r="94" spans="1:37" s="395" customFormat="1">
      <c r="A94" s="1997" t="s">
        <v>1358</v>
      </c>
      <c r="B94" s="1997"/>
      <c r="C94" s="2148" t="s">
        <v>1359</v>
      </c>
      <c r="D94" s="397"/>
      <c r="E94" s="397"/>
      <c r="F94" s="397"/>
      <c r="G94" s="1998"/>
      <c r="H94" s="1487">
        <v>150.44</v>
      </c>
      <c r="I94" s="1487">
        <f>27.3</f>
        <v>27.3</v>
      </c>
      <c r="J94" s="1487"/>
      <c r="K94" s="1487">
        <v>600</v>
      </c>
      <c r="L94" s="1487"/>
      <c r="M94" s="1487"/>
      <c r="N94" s="1487"/>
      <c r="O94" s="1487"/>
      <c r="P94" s="1487"/>
      <c r="Q94" s="1487"/>
      <c r="R94" s="1487"/>
      <c r="S94" s="1487"/>
      <c r="T94" s="1487"/>
      <c r="U94" s="1487"/>
      <c r="V94" s="1487"/>
      <c r="W94" s="1489"/>
      <c r="AD94" s="1965"/>
      <c r="AE94" s="1965"/>
      <c r="AF94" s="1965"/>
      <c r="AG94" s="1965"/>
      <c r="AH94" s="1965"/>
      <c r="AI94" s="1965"/>
      <c r="AJ94" s="1965"/>
      <c r="AK94" s="1965"/>
    </row>
    <row r="95" spans="1:37" s="395" customFormat="1">
      <c r="A95" s="1997" t="s">
        <v>1360</v>
      </c>
      <c r="B95" s="1997"/>
      <c r="C95" s="2148" t="s">
        <v>1361</v>
      </c>
      <c r="D95" s="397"/>
      <c r="E95" s="397"/>
      <c r="F95" s="397"/>
      <c r="G95" s="1998"/>
      <c r="H95" s="1487">
        <v>2066.71</v>
      </c>
      <c r="I95" s="1487">
        <f>1192.47+1881+1587.77</f>
        <v>4661.24</v>
      </c>
      <c r="J95" s="1487">
        <f>4856.72</f>
        <v>4856.72</v>
      </c>
      <c r="K95" s="1487">
        <f>8912.13</f>
        <v>8912.1299999999992</v>
      </c>
      <c r="L95" s="1487">
        <f>794.37+1613.22+2802.55</f>
        <v>5210.1400000000003</v>
      </c>
      <c r="M95" s="1487">
        <f>3569.19+3279</f>
        <v>6848.1900000000005</v>
      </c>
      <c r="N95" s="1487">
        <f>503.5+1200+1011.99+40+842.25+823.86+262.86+262.86+250</f>
        <v>5197.3199999999988</v>
      </c>
      <c r="O95" s="1487"/>
      <c r="P95" s="1487"/>
      <c r="Q95" s="1487"/>
      <c r="R95" s="1487"/>
      <c r="S95" s="1487"/>
      <c r="T95" s="1487"/>
      <c r="U95" s="1487"/>
      <c r="V95" s="1487"/>
      <c r="W95" s="1489"/>
      <c r="AD95" s="1965"/>
      <c r="AE95" s="1965"/>
      <c r="AF95" s="1965"/>
      <c r="AG95" s="1965"/>
      <c r="AH95" s="1965"/>
      <c r="AI95" s="1965"/>
      <c r="AJ95" s="1965"/>
      <c r="AK95" s="1965"/>
    </row>
    <row r="96" spans="1:37" s="395" customFormat="1">
      <c r="A96" s="1997" t="s">
        <v>1362</v>
      </c>
      <c r="B96" s="1997"/>
      <c r="C96" s="2148" t="s">
        <v>1363</v>
      </c>
      <c r="D96" s="397"/>
      <c r="E96" s="397"/>
      <c r="F96" s="397"/>
      <c r="G96" s="1998"/>
      <c r="H96" s="1487">
        <v>44</v>
      </c>
      <c r="I96" s="1487">
        <f>169.52+48</f>
        <v>217.52</v>
      </c>
      <c r="J96" s="1487">
        <v>46</v>
      </c>
      <c r="K96" s="1487">
        <v>46</v>
      </c>
      <c r="L96" s="1487">
        <f>4+25</f>
        <v>29</v>
      </c>
      <c r="M96" s="1487">
        <f>160.86+50</f>
        <v>210.86</v>
      </c>
      <c r="N96" s="1487">
        <f>29.74+100+66.72+60+35.36</f>
        <v>291.82000000000005</v>
      </c>
      <c r="O96" s="1487"/>
      <c r="P96" s="1487"/>
      <c r="Q96" s="1487"/>
      <c r="R96" s="1487"/>
      <c r="S96" s="1487"/>
      <c r="T96" s="1487"/>
      <c r="U96" s="1487"/>
      <c r="V96" s="1487"/>
      <c r="W96" s="1489"/>
      <c r="AD96" s="1965"/>
      <c r="AE96" s="1965"/>
      <c r="AF96" s="1965"/>
      <c r="AG96" s="1965"/>
      <c r="AH96" s="1965"/>
      <c r="AI96" s="1965"/>
      <c r="AJ96" s="1965"/>
      <c r="AK96" s="1965"/>
    </row>
    <row r="97" spans="1:37" s="395" customFormat="1">
      <c r="A97" s="1997" t="s">
        <v>1364</v>
      </c>
      <c r="B97" s="1997"/>
      <c r="C97" s="2148" t="s">
        <v>1365</v>
      </c>
      <c r="D97" s="397"/>
      <c r="E97" s="397"/>
      <c r="F97" s="397"/>
      <c r="G97" s="1998"/>
      <c r="H97" s="1487">
        <v>1122.0899999999999</v>
      </c>
      <c r="I97" s="1487">
        <v>74.36</v>
      </c>
      <c r="J97" s="1487">
        <v>2219.0700000000002</v>
      </c>
      <c r="K97" s="1487">
        <f>316.88+1485.49</f>
        <v>1802.37</v>
      </c>
      <c r="L97" s="1487">
        <f>624.15+65.42+316.88+316.88+480+785+146.13+480+785</f>
        <v>3999.46</v>
      </c>
      <c r="M97" s="1487">
        <v>1411.13</v>
      </c>
      <c r="N97" s="1487">
        <f>624.15+80.52</f>
        <v>704.67</v>
      </c>
      <c r="O97" s="1487"/>
      <c r="P97" s="1487"/>
      <c r="Q97" s="1487"/>
      <c r="R97" s="1487"/>
      <c r="S97" s="1487"/>
      <c r="T97" s="1487"/>
      <c r="U97" s="1487"/>
      <c r="V97" s="1487"/>
      <c r="W97" s="1489"/>
      <c r="AD97" s="1965"/>
      <c r="AE97" s="1965"/>
      <c r="AF97" s="1965"/>
      <c r="AG97" s="1965"/>
      <c r="AH97" s="1965"/>
      <c r="AI97" s="1965"/>
      <c r="AJ97" s="1965"/>
      <c r="AK97" s="1965"/>
    </row>
    <row r="98" spans="1:37" s="395" customFormat="1">
      <c r="A98" s="1997" t="s">
        <v>1366</v>
      </c>
      <c r="B98" s="1997"/>
      <c r="C98" s="2148" t="s">
        <v>1367</v>
      </c>
      <c r="D98" s="397"/>
      <c r="E98" s="397"/>
      <c r="F98" s="397"/>
      <c r="G98" s="1998"/>
      <c r="H98" s="1487">
        <v>0</v>
      </c>
      <c r="I98" s="1487">
        <v>1075.21</v>
      </c>
      <c r="J98" s="1487"/>
      <c r="K98" s="1487"/>
      <c r="L98" s="1487"/>
      <c r="M98" s="1487"/>
      <c r="N98" s="1487"/>
      <c r="O98" s="1487"/>
      <c r="P98" s="1487"/>
      <c r="Q98" s="1487"/>
      <c r="R98" s="1487"/>
      <c r="S98" s="1487"/>
      <c r="T98" s="1487"/>
      <c r="U98" s="1487"/>
      <c r="V98" s="1487"/>
      <c r="W98" s="1489"/>
      <c r="AD98" s="1965"/>
      <c r="AE98" s="1965"/>
      <c r="AF98" s="1965"/>
      <c r="AG98" s="1965"/>
      <c r="AH98" s="1965"/>
      <c r="AI98" s="1965"/>
      <c r="AJ98" s="1965"/>
      <c r="AK98" s="1965"/>
    </row>
    <row r="99" spans="1:37" s="395" customFormat="1">
      <c r="A99" s="1997" t="s">
        <v>1368</v>
      </c>
      <c r="B99" s="1997"/>
      <c r="C99" s="2148" t="s">
        <v>1369</v>
      </c>
      <c r="D99" s="397"/>
      <c r="E99" s="397"/>
      <c r="F99" s="397"/>
      <c r="G99" s="1998"/>
      <c r="H99" s="1487">
        <v>6459.71</v>
      </c>
      <c r="I99" s="1487">
        <f>5955.76+1310.02</f>
        <v>7265.7800000000007</v>
      </c>
      <c r="J99" s="1487">
        <f>9463.08</f>
        <v>9463.08</v>
      </c>
      <c r="K99" s="1487">
        <f>8349.13+19.84</f>
        <v>8368.9699999999993</v>
      </c>
      <c r="L99" s="1487">
        <v>4646.29</v>
      </c>
      <c r="M99" s="1487">
        <f>4036.91+1626.41+11</f>
        <v>5674.32</v>
      </c>
      <c r="N99" s="1487">
        <f>306.2+8+100.7+931.82+405+953+4390.9</f>
        <v>7095.62</v>
      </c>
      <c r="O99" s="397"/>
      <c r="P99" s="397"/>
      <c r="Q99" s="397"/>
      <c r="R99" s="1487"/>
      <c r="S99" s="1487"/>
      <c r="T99" s="1487"/>
      <c r="U99" s="1487"/>
      <c r="V99" s="1487"/>
      <c r="W99" s="1489"/>
      <c r="AD99" s="1965"/>
      <c r="AE99" s="1965"/>
      <c r="AF99" s="1965"/>
      <c r="AG99" s="1965"/>
      <c r="AH99" s="1965"/>
      <c r="AI99" s="1965"/>
      <c r="AJ99" s="1965"/>
      <c r="AK99" s="1965"/>
    </row>
    <row r="100" spans="1:37" s="395" customFormat="1">
      <c r="A100" s="1997" t="s">
        <v>1370</v>
      </c>
      <c r="B100" s="1997"/>
      <c r="C100" s="2148" t="s">
        <v>1371</v>
      </c>
      <c r="D100" s="397"/>
      <c r="E100" s="397"/>
      <c r="F100" s="397"/>
      <c r="G100" s="1998"/>
      <c r="H100" s="1487">
        <v>0</v>
      </c>
      <c r="I100" s="1487">
        <v>649.29</v>
      </c>
      <c r="J100" s="1487">
        <v>167.45</v>
      </c>
      <c r="K100" s="1487"/>
      <c r="L100" s="1487"/>
      <c r="M100" s="1487"/>
      <c r="N100" s="1487"/>
      <c r="O100" s="1487"/>
      <c r="P100" s="1487"/>
      <c r="Q100" s="1487"/>
      <c r="R100" s="1487"/>
      <c r="S100" s="1487"/>
      <c r="T100" s="1487"/>
      <c r="U100" s="1487"/>
      <c r="V100" s="1487"/>
      <c r="W100" s="1489"/>
      <c r="AD100" s="1965"/>
      <c r="AE100" s="1965"/>
      <c r="AF100" s="1965"/>
      <c r="AG100" s="1965"/>
      <c r="AH100" s="1965"/>
      <c r="AI100" s="1965"/>
      <c r="AJ100" s="1965"/>
      <c r="AK100" s="1965"/>
    </row>
    <row r="101" spans="1:37" s="395" customFormat="1">
      <c r="A101" s="1997" t="s">
        <v>1372</v>
      </c>
      <c r="B101" s="1997"/>
      <c r="C101" s="2148" t="s">
        <v>1373</v>
      </c>
      <c r="D101" s="397"/>
      <c r="E101" s="397"/>
      <c r="F101" s="397"/>
      <c r="G101" s="1998"/>
      <c r="H101" s="1487">
        <v>0</v>
      </c>
      <c r="I101" s="1487">
        <v>0</v>
      </c>
      <c r="J101" s="1487"/>
      <c r="K101" s="1487"/>
      <c r="L101" s="1487"/>
      <c r="M101" s="1487"/>
      <c r="N101" s="1487"/>
      <c r="O101" s="1487"/>
      <c r="P101" s="1487"/>
      <c r="Q101" s="1487"/>
      <c r="R101" s="1487"/>
      <c r="S101" s="1487"/>
      <c r="T101" s="1487"/>
      <c r="U101" s="1487"/>
      <c r="V101" s="1487"/>
      <c r="W101" s="1489"/>
      <c r="AD101" s="1965"/>
      <c r="AE101" s="1965"/>
      <c r="AF101" s="1965"/>
      <c r="AG101" s="1965"/>
      <c r="AH101" s="1965"/>
      <c r="AI101" s="1965"/>
      <c r="AJ101" s="1965"/>
      <c r="AK101" s="1965"/>
    </row>
    <row r="102" spans="1:37" s="395" customFormat="1">
      <c r="A102" s="1997" t="s">
        <v>1374</v>
      </c>
      <c r="B102" s="1997"/>
      <c r="C102" s="2148" t="s">
        <v>1375</v>
      </c>
      <c r="D102" s="397"/>
      <c r="E102" s="397"/>
      <c r="F102" s="397"/>
      <c r="G102" s="1998"/>
      <c r="H102" s="1487">
        <v>226.69</v>
      </c>
      <c r="I102" s="1487">
        <v>48.79</v>
      </c>
      <c r="J102" s="1487"/>
      <c r="K102" s="1487"/>
      <c r="L102" s="1487"/>
      <c r="M102" s="1487"/>
      <c r="N102" s="1487"/>
      <c r="O102" s="1487"/>
      <c r="P102" s="1487"/>
      <c r="Q102" s="1487"/>
      <c r="R102" s="1487"/>
      <c r="S102" s="1487"/>
      <c r="T102" s="1487"/>
      <c r="U102" s="1487"/>
      <c r="V102" s="1487"/>
      <c r="W102" s="1489"/>
      <c r="AD102" s="1965"/>
      <c r="AE102" s="1965"/>
      <c r="AF102" s="1965"/>
      <c r="AG102" s="1965"/>
      <c r="AH102" s="1965"/>
      <c r="AI102" s="1965"/>
      <c r="AJ102" s="1965"/>
      <c r="AK102" s="1965"/>
    </row>
    <row r="103" spans="1:37" s="395" customFormat="1">
      <c r="A103" s="2046"/>
      <c r="B103" s="2046"/>
      <c r="C103" s="2004" t="s">
        <v>1162</v>
      </c>
      <c r="D103" s="2047"/>
      <c r="E103" s="2047"/>
      <c r="F103" s="2047"/>
      <c r="G103" s="3017"/>
      <c r="H103" s="2005">
        <f t="shared" ref="H103:V103" si="13">SUM(H67:H102)</f>
        <v>106344.10000000003</v>
      </c>
      <c r="I103" s="2005">
        <f t="shared" si="13"/>
        <v>121277.85000000003</v>
      </c>
      <c r="J103" s="2005">
        <f t="shared" si="13"/>
        <v>131136.21000000002</v>
      </c>
      <c r="K103" s="2005">
        <f t="shared" si="13"/>
        <v>138352.45000000001</v>
      </c>
      <c r="L103" s="2005">
        <f t="shared" si="13"/>
        <v>139066.9</v>
      </c>
      <c r="M103" s="2005">
        <f t="shared" si="13"/>
        <v>141326.71</v>
      </c>
      <c r="N103" s="2005">
        <f t="shared" si="13"/>
        <v>155651.74000000005</v>
      </c>
      <c r="O103" s="2005">
        <f t="shared" si="13"/>
        <v>130218.89000000003</v>
      </c>
      <c r="P103" s="2005">
        <f t="shared" si="13"/>
        <v>137333.53</v>
      </c>
      <c r="Q103" s="2005">
        <f t="shared" si="13"/>
        <v>132409.03000000003</v>
      </c>
      <c r="R103" s="2005">
        <f t="shared" si="13"/>
        <v>125827.21</v>
      </c>
      <c r="S103" s="2005">
        <f t="shared" si="13"/>
        <v>122413.50000000004</v>
      </c>
      <c r="T103" s="2005">
        <f>SUM(T67:T102)</f>
        <v>130289.62000000002</v>
      </c>
      <c r="U103" s="2005">
        <f t="shared" si="13"/>
        <v>122512.85000000002</v>
      </c>
      <c r="V103" s="2005">
        <f t="shared" si="13"/>
        <v>135073.19999999998</v>
      </c>
      <c r="W103" s="2007"/>
      <c r="AD103" s="1965"/>
      <c r="AE103" s="1965"/>
      <c r="AF103" s="1965"/>
      <c r="AG103" s="1965"/>
      <c r="AH103" s="1965"/>
      <c r="AI103" s="1965"/>
      <c r="AJ103" s="1965"/>
      <c r="AK103" s="1965"/>
    </row>
    <row r="104" spans="1:37" s="395" customFormat="1">
      <c r="A104" s="2048" t="s">
        <v>1163</v>
      </c>
      <c r="B104" s="2048"/>
      <c r="C104" s="2148"/>
      <c r="D104" s="397"/>
      <c r="E104" s="397"/>
      <c r="F104" s="397"/>
      <c r="G104" s="1998"/>
      <c r="H104" s="1487"/>
      <c r="I104" s="1487"/>
      <c r="J104" s="1487"/>
      <c r="K104" s="1487"/>
      <c r="L104" s="1487"/>
      <c r="M104" s="1487"/>
      <c r="N104" s="1487"/>
      <c r="O104" s="397"/>
      <c r="P104" s="397"/>
      <c r="Q104" s="397"/>
      <c r="R104" s="1487"/>
      <c r="S104" s="1487"/>
      <c r="T104" s="1487"/>
      <c r="U104" s="1487"/>
      <c r="V104" s="1487"/>
      <c r="W104" s="1489"/>
      <c r="AD104" s="1965"/>
      <c r="AE104" s="1965"/>
      <c r="AF104" s="1965"/>
      <c r="AG104" s="1965"/>
      <c r="AH104" s="1965"/>
      <c r="AI104" s="1965"/>
      <c r="AJ104" s="1965"/>
      <c r="AK104" s="1965"/>
    </row>
    <row r="105" spans="1:37" s="395" customFormat="1">
      <c r="A105" s="1997"/>
      <c r="B105" s="1997"/>
      <c r="C105" s="2148"/>
      <c r="D105" s="397"/>
      <c r="E105" s="397"/>
      <c r="F105" s="397"/>
      <c r="G105" s="1998"/>
      <c r="H105" s="1487"/>
      <c r="I105" s="1487"/>
      <c r="J105" s="1487"/>
      <c r="K105" s="1487"/>
      <c r="L105" s="1487"/>
      <c r="M105" s="1487"/>
      <c r="N105" s="1487"/>
      <c r="O105" s="397"/>
      <c r="P105" s="397"/>
      <c r="Q105" s="397"/>
      <c r="R105" s="1487"/>
      <c r="S105" s="1487"/>
      <c r="T105" s="1487"/>
      <c r="U105" s="1487"/>
      <c r="V105" s="1487"/>
      <c r="W105" s="1489"/>
      <c r="AD105" s="1965"/>
      <c r="AE105" s="1965"/>
      <c r="AF105" s="1965"/>
      <c r="AG105" s="1965"/>
      <c r="AH105" s="1965"/>
      <c r="AI105" s="1965"/>
      <c r="AJ105" s="1965"/>
      <c r="AK105" s="1965"/>
    </row>
    <row r="106" spans="1:37" s="395" customFormat="1">
      <c r="A106" s="1997" t="s">
        <v>1376</v>
      </c>
      <c r="B106" s="1997"/>
      <c r="C106" s="2148" t="s">
        <v>1377</v>
      </c>
      <c r="D106" s="397"/>
      <c r="E106" s="397"/>
      <c r="F106" s="397"/>
      <c r="G106" s="1998"/>
      <c r="H106" s="1487"/>
      <c r="I106" s="1487"/>
      <c r="J106" s="1487">
        <v>219.51</v>
      </c>
      <c r="K106" s="1487"/>
      <c r="L106" s="1487"/>
      <c r="M106" s="1487"/>
      <c r="N106" s="1487">
        <v>0</v>
      </c>
      <c r="O106" s="1487"/>
      <c r="P106" s="1487"/>
      <c r="Q106" s="1487"/>
      <c r="R106" s="1487"/>
      <c r="S106" s="1487"/>
      <c r="T106" s="1487"/>
      <c r="U106" s="1487"/>
      <c r="V106" s="1487"/>
      <c r="W106" s="1489"/>
      <c r="AD106" s="1965"/>
      <c r="AE106" s="1965"/>
      <c r="AF106" s="1965"/>
      <c r="AG106" s="1965"/>
      <c r="AH106" s="1965"/>
      <c r="AI106" s="1965"/>
      <c r="AJ106" s="1965"/>
      <c r="AK106" s="1965"/>
    </row>
    <row r="107" spans="1:37" s="395" customFormat="1">
      <c r="A107" s="1997" t="s">
        <v>1378</v>
      </c>
      <c r="B107" s="1997">
        <v>623400</v>
      </c>
      <c r="C107" s="2148" t="s">
        <v>1178</v>
      </c>
      <c r="D107" s="397"/>
      <c r="E107" s="397"/>
      <c r="F107" s="397"/>
      <c r="G107" s="1998"/>
      <c r="H107" s="1487">
        <v>372.4</v>
      </c>
      <c r="I107" s="1487">
        <v>372.4</v>
      </c>
      <c r="J107" s="1487">
        <v>418.95</v>
      </c>
      <c r="K107" s="1487">
        <v>418.95</v>
      </c>
      <c r="L107" s="1487">
        <v>465.5</v>
      </c>
      <c r="M107" s="1487">
        <v>418.95</v>
      </c>
      <c r="N107" s="1487">
        <v>435.38</v>
      </c>
      <c r="O107" s="1487">
        <v>332.61</v>
      </c>
      <c r="P107" s="1487">
        <v>401.81</v>
      </c>
      <c r="Q107" s="1487">
        <v>315.29000000000002</v>
      </c>
      <c r="R107" s="1487">
        <v>304.82</v>
      </c>
      <c r="S107" s="1487">
        <v>351.03</v>
      </c>
      <c r="T107" s="1487">
        <v>305.13</v>
      </c>
      <c r="U107" s="1487">
        <v>381.27</v>
      </c>
      <c r="V107" s="1487">
        <v>380.76</v>
      </c>
      <c r="W107" s="1489"/>
      <c r="AD107" s="1965"/>
      <c r="AE107" s="1965"/>
      <c r="AF107" s="1965"/>
      <c r="AG107" s="1965"/>
      <c r="AH107" s="1965"/>
      <c r="AI107" s="1965"/>
      <c r="AJ107" s="1965"/>
      <c r="AK107" s="1965"/>
    </row>
    <row r="108" spans="1:37" s="395" customFormat="1">
      <c r="A108" s="2046"/>
      <c r="B108" s="2046"/>
      <c r="C108" s="2004" t="s">
        <v>1181</v>
      </c>
      <c r="D108" s="2047"/>
      <c r="E108" s="2047"/>
      <c r="F108" s="2047"/>
      <c r="G108" s="3017"/>
      <c r="H108" s="2005">
        <f>SUM(H107)</f>
        <v>372.4</v>
      </c>
      <c r="I108" s="2005">
        <f>SUM(I107)</f>
        <v>372.4</v>
      </c>
      <c r="J108" s="2005">
        <f>SUM(J106:J107)</f>
        <v>638.46</v>
      </c>
      <c r="K108" s="2005">
        <f t="shared" ref="K108:V108" si="14">SUM(K107)</f>
        <v>418.95</v>
      </c>
      <c r="L108" s="2005">
        <f t="shared" si="14"/>
        <v>465.5</v>
      </c>
      <c r="M108" s="2005">
        <f t="shared" si="14"/>
        <v>418.95</v>
      </c>
      <c r="N108" s="2005">
        <f t="shared" si="14"/>
        <v>435.38</v>
      </c>
      <c r="O108" s="2005">
        <f t="shared" si="14"/>
        <v>332.61</v>
      </c>
      <c r="P108" s="2005">
        <f t="shared" si="14"/>
        <v>401.81</v>
      </c>
      <c r="Q108" s="2005">
        <f t="shared" si="14"/>
        <v>315.29000000000002</v>
      </c>
      <c r="R108" s="2005">
        <f t="shared" si="14"/>
        <v>304.82</v>
      </c>
      <c r="S108" s="2005">
        <f t="shared" si="14"/>
        <v>351.03</v>
      </c>
      <c r="T108" s="2005">
        <f t="shared" si="14"/>
        <v>305.13</v>
      </c>
      <c r="U108" s="2005">
        <f t="shared" si="14"/>
        <v>381.27</v>
      </c>
      <c r="V108" s="2005">
        <f t="shared" si="14"/>
        <v>380.76</v>
      </c>
      <c r="W108" s="2007"/>
      <c r="AD108" s="1965"/>
      <c r="AE108" s="1965"/>
      <c r="AF108" s="1965"/>
      <c r="AG108" s="1965"/>
      <c r="AH108" s="1965"/>
      <c r="AI108" s="1965"/>
      <c r="AJ108" s="1965"/>
      <c r="AK108" s="1965"/>
    </row>
    <row r="109" spans="1:37" s="395" customFormat="1">
      <c r="A109" s="2048" t="s">
        <v>47</v>
      </c>
      <c r="B109" s="2048"/>
      <c r="C109" s="2148"/>
      <c r="D109" s="397"/>
      <c r="E109" s="397"/>
      <c r="F109" s="397"/>
      <c r="G109" s="1998"/>
      <c r="H109" s="3021"/>
      <c r="I109" s="3021"/>
      <c r="J109" s="3021"/>
      <c r="K109" s="3021"/>
      <c r="L109" s="3021"/>
      <c r="M109" s="3021"/>
      <c r="N109" s="3021"/>
      <c r="O109" s="3021"/>
      <c r="P109" s="3021"/>
      <c r="Q109" s="3021"/>
      <c r="R109" s="3021"/>
      <c r="S109" s="3021"/>
      <c r="T109" s="3021"/>
      <c r="U109" s="3021"/>
      <c r="V109" s="3021"/>
      <c r="W109" s="3033"/>
      <c r="AD109" s="1965"/>
      <c r="AE109" s="1965"/>
      <c r="AF109" s="1965"/>
      <c r="AG109" s="1965"/>
      <c r="AH109" s="1965"/>
      <c r="AI109" s="1965"/>
      <c r="AJ109" s="1965"/>
      <c r="AK109" s="1965"/>
    </row>
    <row r="110" spans="1:37" s="395" customFormat="1">
      <c r="A110" s="1997"/>
      <c r="B110" s="1997"/>
      <c r="C110" s="2148" t="s">
        <v>1182</v>
      </c>
      <c r="D110" s="397"/>
      <c r="E110" s="397"/>
      <c r="F110" s="397"/>
      <c r="G110" s="1998"/>
      <c r="H110" s="1487"/>
      <c r="I110" s="1487"/>
      <c r="J110" s="1487"/>
      <c r="K110" s="1487"/>
      <c r="L110" s="1487"/>
      <c r="M110" s="1487"/>
      <c r="N110" s="1487"/>
      <c r="O110" s="1487"/>
      <c r="P110" s="1487"/>
      <c r="Q110" s="397"/>
      <c r="R110" s="1487"/>
      <c r="S110" s="1487"/>
      <c r="T110" s="1487"/>
      <c r="U110" s="1487"/>
      <c r="V110" s="1487"/>
      <c r="W110" s="1489"/>
      <c r="AD110" s="1965"/>
      <c r="AE110" s="1965"/>
      <c r="AF110" s="1965"/>
      <c r="AG110" s="1965"/>
      <c r="AH110" s="1965"/>
      <c r="AI110" s="1965"/>
      <c r="AJ110" s="1965"/>
      <c r="AK110" s="1965"/>
    </row>
    <row r="111" spans="1:37" s="395" customFormat="1">
      <c r="A111" s="1997"/>
      <c r="B111" s="1997"/>
      <c r="C111" s="2148" t="s">
        <v>1183</v>
      </c>
      <c r="D111" s="397"/>
      <c r="E111" s="397"/>
      <c r="F111" s="397"/>
      <c r="G111" s="1998"/>
      <c r="H111" s="1487"/>
      <c r="I111" s="1487"/>
      <c r="J111" s="1487"/>
      <c r="K111" s="1487"/>
      <c r="L111" s="1487"/>
      <c r="M111" s="1487"/>
      <c r="N111" s="1487"/>
      <c r="O111" s="1487"/>
      <c r="P111" s="1487"/>
      <c r="Q111" s="397"/>
      <c r="R111" s="1487"/>
      <c r="S111" s="1487"/>
      <c r="T111" s="1487"/>
      <c r="U111" s="1487"/>
      <c r="V111" s="1487"/>
      <c r="W111" s="1489"/>
      <c r="AD111" s="1965"/>
      <c r="AE111" s="1965"/>
      <c r="AF111" s="1965"/>
      <c r="AG111" s="1965"/>
      <c r="AH111" s="1965"/>
      <c r="AI111" s="1965"/>
      <c r="AJ111" s="1965"/>
      <c r="AK111" s="1965"/>
    </row>
    <row r="112" spans="1:37" s="395" customFormat="1">
      <c r="A112" s="1997"/>
      <c r="B112" s="1997"/>
      <c r="C112" s="2148" t="s">
        <v>1184</v>
      </c>
      <c r="D112" s="397"/>
      <c r="E112" s="397"/>
      <c r="F112" s="397"/>
      <c r="G112" s="1998"/>
      <c r="H112" s="1487">
        <f t="shared" ref="H112:S112" si="15">H149</f>
        <v>0</v>
      </c>
      <c r="I112" s="1487">
        <f t="shared" si="15"/>
        <v>122075.15550000001</v>
      </c>
      <c r="J112" s="1487">
        <f t="shared" si="15"/>
        <v>158902.576</v>
      </c>
      <c r="K112" s="1487">
        <f t="shared" si="15"/>
        <v>159026.416</v>
      </c>
      <c r="L112" s="1487">
        <f t="shared" si="15"/>
        <v>160243.916</v>
      </c>
      <c r="M112" s="1487">
        <f t="shared" si="15"/>
        <v>160243.916</v>
      </c>
      <c r="N112" s="1487">
        <f t="shared" si="15"/>
        <v>160081.34599999999</v>
      </c>
      <c r="O112" s="1487">
        <f t="shared" si="15"/>
        <v>134984.39000000001</v>
      </c>
      <c r="P112" s="1487">
        <f t="shared" si="15"/>
        <v>134860.54999999999</v>
      </c>
      <c r="Q112" s="1487">
        <f t="shared" si="15"/>
        <v>138228.22</v>
      </c>
      <c r="R112" s="1487">
        <f t="shared" si="15"/>
        <v>141716.93799999999</v>
      </c>
      <c r="S112" s="1487">
        <f t="shared" si="15"/>
        <v>143432.18</v>
      </c>
      <c r="T112" s="1487">
        <f>T149</f>
        <v>144555.73000000001</v>
      </c>
      <c r="U112" s="1487">
        <f>U149</f>
        <v>145104.15549999999</v>
      </c>
      <c r="V112" s="1487">
        <f>V149</f>
        <v>142862.3855</v>
      </c>
      <c r="W112" s="1489"/>
      <c r="AD112" s="1965"/>
      <c r="AE112" s="1965"/>
      <c r="AF112" s="1965"/>
      <c r="AG112" s="1965"/>
      <c r="AH112" s="1965"/>
      <c r="AI112" s="1965"/>
      <c r="AJ112" s="1965"/>
      <c r="AK112" s="1965"/>
    </row>
    <row r="113" spans="1:37" s="395" customFormat="1">
      <c r="A113" s="2046"/>
      <c r="B113" s="2046"/>
      <c r="C113" s="2004" t="s">
        <v>1185</v>
      </c>
      <c r="D113" s="2047"/>
      <c r="E113" s="2047"/>
      <c r="F113" s="2047"/>
      <c r="G113" s="3017"/>
      <c r="H113" s="2005">
        <f t="shared" ref="H113:P113" si="16">SUM(H110:H112)</f>
        <v>0</v>
      </c>
      <c r="I113" s="2005">
        <f>SUM(I110:I112)</f>
        <v>122075.15550000001</v>
      </c>
      <c r="J113" s="2005">
        <f t="shared" si="16"/>
        <v>158902.576</v>
      </c>
      <c r="K113" s="2005">
        <f t="shared" si="16"/>
        <v>159026.416</v>
      </c>
      <c r="L113" s="2005">
        <f t="shared" si="16"/>
        <v>160243.916</v>
      </c>
      <c r="M113" s="2005">
        <f t="shared" si="16"/>
        <v>160243.916</v>
      </c>
      <c r="N113" s="2005">
        <f t="shared" si="16"/>
        <v>160081.34599999999</v>
      </c>
      <c r="O113" s="2005">
        <f t="shared" si="16"/>
        <v>134984.39000000001</v>
      </c>
      <c r="P113" s="2005">
        <f t="shared" si="16"/>
        <v>134860.54999999999</v>
      </c>
      <c r="Q113" s="2005">
        <f t="shared" ref="Q113:V113" si="17">SUM(Q110:Q112)</f>
        <v>138228.22</v>
      </c>
      <c r="R113" s="2005">
        <f t="shared" si="17"/>
        <v>141716.93799999999</v>
      </c>
      <c r="S113" s="2005">
        <f t="shared" si="17"/>
        <v>143432.18</v>
      </c>
      <c r="T113" s="2005">
        <f t="shared" si="17"/>
        <v>144555.73000000001</v>
      </c>
      <c r="U113" s="2005">
        <f t="shared" si="17"/>
        <v>145104.15549999999</v>
      </c>
      <c r="V113" s="2005">
        <f t="shared" si="17"/>
        <v>142862.3855</v>
      </c>
      <c r="W113" s="2007"/>
      <c r="AD113" s="1965"/>
      <c r="AE113" s="1965"/>
      <c r="AF113" s="1965"/>
      <c r="AG113" s="1965"/>
      <c r="AH113" s="1965"/>
      <c r="AI113" s="1965"/>
      <c r="AJ113" s="1965"/>
      <c r="AK113" s="1965"/>
    </row>
    <row r="114" spans="1:37" s="395" customFormat="1">
      <c r="A114" s="2021"/>
      <c r="B114" s="2021"/>
      <c r="C114" s="2008" t="s">
        <v>1186</v>
      </c>
      <c r="D114" s="2022"/>
      <c r="E114" s="2022"/>
      <c r="F114" s="2022"/>
      <c r="G114" s="2172"/>
      <c r="H114" s="2009">
        <f t="shared" ref="H114:S114" si="18">H65+H103+H108+H113</f>
        <v>413134.67000000004</v>
      </c>
      <c r="I114" s="2009">
        <f t="shared" si="18"/>
        <v>556803.10550000006</v>
      </c>
      <c r="J114" s="2009">
        <f t="shared" si="18"/>
        <v>620014.65599999996</v>
      </c>
      <c r="K114" s="2009">
        <f t="shared" si="18"/>
        <v>614414.07600000012</v>
      </c>
      <c r="L114" s="2009">
        <f t="shared" si="18"/>
        <v>661279.93599999999</v>
      </c>
      <c r="M114" s="2009">
        <f t="shared" si="18"/>
        <v>679910.44600000011</v>
      </c>
      <c r="N114" s="2009">
        <f t="shared" si="18"/>
        <v>708707.52600000007</v>
      </c>
      <c r="O114" s="2009">
        <f t="shared" si="18"/>
        <v>630370.81000000006</v>
      </c>
      <c r="P114" s="2009">
        <f t="shared" si="18"/>
        <v>611527.26</v>
      </c>
      <c r="Q114" s="2009">
        <f t="shared" si="18"/>
        <v>612595.69000000006</v>
      </c>
      <c r="R114" s="2009">
        <f t="shared" si="18"/>
        <v>606964.21799999999</v>
      </c>
      <c r="S114" s="2009">
        <f t="shared" si="18"/>
        <v>627073.89999999991</v>
      </c>
      <c r="T114" s="2009">
        <f>T65+T103+T108+T113</f>
        <v>655336.1</v>
      </c>
      <c r="U114" s="2009">
        <f>U65+U103+U108+U113</f>
        <v>643913.33550000004</v>
      </c>
      <c r="V114" s="2009">
        <f>V65+V103+V108+V113</f>
        <v>645493.33550000004</v>
      </c>
      <c r="W114" s="2011"/>
      <c r="AD114" s="1965"/>
      <c r="AE114" s="1965"/>
      <c r="AF114" s="1965"/>
      <c r="AG114" s="1965"/>
      <c r="AH114" s="1965"/>
      <c r="AI114" s="1965"/>
      <c r="AJ114" s="1965"/>
      <c r="AK114" s="1965"/>
    </row>
    <row r="115" spans="1:37" s="395" customFormat="1">
      <c r="A115" s="1633"/>
      <c r="B115" s="1633"/>
      <c r="C115" s="3034"/>
      <c r="D115" s="397"/>
      <c r="E115" s="397"/>
      <c r="F115" s="397"/>
      <c r="G115" s="3034"/>
      <c r="H115" s="1965"/>
      <c r="I115" s="1965"/>
      <c r="J115" s="1965"/>
      <c r="K115" s="1965"/>
      <c r="L115" s="1965"/>
      <c r="M115" s="1965"/>
      <c r="N115" s="1965"/>
      <c r="O115" s="1965"/>
      <c r="R115" s="1965"/>
      <c r="S115" s="1965"/>
      <c r="T115" s="1965"/>
      <c r="U115" s="1965"/>
      <c r="V115" s="1965"/>
      <c r="W115" s="1965"/>
      <c r="AD115" s="1965"/>
      <c r="AE115" s="1965"/>
      <c r="AF115" s="1965"/>
      <c r="AG115" s="1965"/>
      <c r="AH115" s="1965"/>
      <c r="AI115" s="1965"/>
      <c r="AJ115" s="1965"/>
      <c r="AK115" s="1965"/>
    </row>
    <row r="116" spans="1:37" s="395" customFormat="1">
      <c r="A116" s="3035"/>
      <c r="B116" s="3036"/>
      <c r="C116" s="3036"/>
      <c r="D116" s="3036"/>
      <c r="E116" s="3036"/>
      <c r="F116" s="3036"/>
      <c r="G116" s="3036"/>
      <c r="H116" s="1990">
        <v>2007</v>
      </c>
      <c r="I116" s="1990">
        <v>2008</v>
      </c>
      <c r="J116" s="1990">
        <v>2009</v>
      </c>
      <c r="K116" s="1990">
        <v>2010</v>
      </c>
      <c r="L116" s="1990">
        <v>2011</v>
      </c>
      <c r="M116" s="1990">
        <v>2012</v>
      </c>
      <c r="N116" s="1990">
        <v>2013</v>
      </c>
      <c r="O116" s="1990">
        <v>2014</v>
      </c>
      <c r="P116" s="1990">
        <v>2015</v>
      </c>
      <c r="Q116" s="1990">
        <v>2016</v>
      </c>
      <c r="R116" s="1990">
        <v>2017</v>
      </c>
      <c r="S116" s="1990">
        <v>2018</v>
      </c>
      <c r="T116" s="1990">
        <v>2019</v>
      </c>
      <c r="U116" s="1990">
        <v>2020</v>
      </c>
      <c r="V116" s="1990">
        <v>2021</v>
      </c>
      <c r="W116" s="2050">
        <v>2022</v>
      </c>
      <c r="AD116" s="1965"/>
      <c r="AE116" s="1965"/>
      <c r="AF116" s="1965"/>
      <c r="AG116" s="1965"/>
      <c r="AH116" s="1965"/>
      <c r="AI116" s="1965"/>
      <c r="AJ116" s="1965"/>
      <c r="AK116" s="1965"/>
    </row>
    <row r="117" spans="1:37" s="395" customFormat="1">
      <c r="A117" s="1984" t="s">
        <v>1187</v>
      </c>
      <c r="B117" s="1984"/>
      <c r="C117" s="3037"/>
      <c r="D117" s="1986"/>
      <c r="E117" s="1986"/>
      <c r="F117" s="1986"/>
      <c r="G117" s="1986"/>
      <c r="H117" s="1987"/>
      <c r="I117" s="1987"/>
      <c r="J117" s="1987"/>
      <c r="K117" s="1987"/>
      <c r="L117" s="1987"/>
      <c r="M117" s="1987"/>
      <c r="N117" s="1987"/>
      <c r="O117" s="1987"/>
      <c r="P117" s="1986"/>
      <c r="Q117" s="1986"/>
      <c r="R117" s="1987"/>
      <c r="S117" s="1987"/>
      <c r="T117" s="1987"/>
      <c r="U117" s="1987"/>
      <c r="V117" s="1987"/>
      <c r="W117" s="1988"/>
      <c r="AD117" s="1965"/>
      <c r="AE117" s="1965"/>
      <c r="AF117" s="1965"/>
      <c r="AG117" s="1965"/>
      <c r="AH117" s="1965"/>
      <c r="AI117" s="1965"/>
      <c r="AJ117" s="1965"/>
      <c r="AK117" s="1965"/>
    </row>
    <row r="118" spans="1:37" s="395" customFormat="1">
      <c r="A118" s="1997"/>
      <c r="B118" s="1997"/>
      <c r="C118" s="2148"/>
      <c r="D118" s="397"/>
      <c r="E118" s="397"/>
      <c r="F118" s="397"/>
      <c r="G118" s="1998"/>
      <c r="H118" s="1487"/>
      <c r="I118" s="1487"/>
      <c r="J118" s="1487"/>
      <c r="K118" s="1487"/>
      <c r="L118" s="1487"/>
      <c r="M118" s="1487"/>
      <c r="N118" s="1487"/>
      <c r="O118" s="1487"/>
      <c r="P118" s="1487"/>
      <c r="Q118" s="1487"/>
      <c r="R118" s="1487"/>
      <c r="S118" s="1487"/>
      <c r="T118" s="1487"/>
      <c r="U118" s="1487"/>
      <c r="V118" s="1487"/>
      <c r="W118" s="1489"/>
      <c r="AD118" s="1965"/>
      <c r="AE118" s="1965"/>
      <c r="AF118" s="1965"/>
      <c r="AG118" s="1965"/>
      <c r="AH118" s="1965"/>
      <c r="AI118" s="1965"/>
      <c r="AJ118" s="1965"/>
      <c r="AK118" s="1965"/>
    </row>
    <row r="119" spans="1:37" s="395" customFormat="1">
      <c r="A119" s="1997"/>
      <c r="B119" s="1997"/>
      <c r="C119" s="2148" t="s">
        <v>1379</v>
      </c>
      <c r="D119" s="397"/>
      <c r="E119" s="397"/>
      <c r="F119" s="397"/>
      <c r="G119" s="1998"/>
      <c r="H119" s="1487">
        <v>812.85</v>
      </c>
      <c r="I119" s="1487">
        <v>126309.78</v>
      </c>
      <c r="J119" s="1487">
        <v>619.19000000000005</v>
      </c>
      <c r="K119" s="1487">
        <v>6087.48</v>
      </c>
      <c r="L119" s="1487"/>
      <c r="M119" s="1487"/>
      <c r="N119" s="1487"/>
      <c r="O119" s="1487">
        <v>828</v>
      </c>
      <c r="P119" s="1487"/>
      <c r="Q119" s="1487">
        <v>16278.84</v>
      </c>
      <c r="R119" s="1487">
        <f>E134</f>
        <v>8016.69</v>
      </c>
      <c r="S119" s="1487">
        <f>E132</f>
        <v>3130</v>
      </c>
      <c r="T119" s="1487">
        <v>2750</v>
      </c>
      <c r="U119" s="1487">
        <v>1713.66</v>
      </c>
      <c r="V119" s="1487">
        <v>5072</v>
      </c>
      <c r="W119" s="1489"/>
      <c r="AD119" s="1965"/>
      <c r="AE119" s="1965"/>
      <c r="AF119" s="1965"/>
      <c r="AG119" s="1965"/>
      <c r="AH119" s="1965"/>
      <c r="AI119" s="1965"/>
      <c r="AJ119" s="1965"/>
      <c r="AK119" s="1965"/>
    </row>
    <row r="120" spans="1:37" s="395" customFormat="1">
      <c r="A120" s="1997"/>
      <c r="B120" s="1997"/>
      <c r="C120" s="2148" t="s">
        <v>1380</v>
      </c>
      <c r="D120" s="397"/>
      <c r="E120" s="397"/>
      <c r="F120" s="397"/>
      <c r="G120" s="1998"/>
      <c r="H120" s="1487">
        <v>2116224.41</v>
      </c>
      <c r="I120" s="1487"/>
      <c r="J120" s="1487"/>
      <c r="K120" s="1487"/>
      <c r="L120" s="1487"/>
      <c r="M120" s="1487"/>
      <c r="N120" s="1487"/>
      <c r="O120" s="397"/>
      <c r="P120" s="397"/>
      <c r="Q120" s="397"/>
      <c r="R120" s="1487"/>
      <c r="S120" s="1487"/>
      <c r="T120" s="1487"/>
      <c r="U120" s="1487"/>
      <c r="V120" s="1487"/>
      <c r="W120" s="1489"/>
      <c r="AD120" s="1965"/>
      <c r="AE120" s="1965"/>
      <c r="AF120" s="1965"/>
      <c r="AG120" s="1965"/>
      <c r="AH120" s="1965"/>
      <c r="AI120" s="1965"/>
      <c r="AJ120" s="1965"/>
      <c r="AK120" s="1965"/>
    </row>
    <row r="121" spans="1:37" s="395" customFormat="1">
      <c r="A121" s="1997"/>
      <c r="B121" s="1997"/>
      <c r="C121" s="2148" t="s">
        <v>1381</v>
      </c>
      <c r="D121" s="397"/>
      <c r="E121" s="397"/>
      <c r="F121" s="397"/>
      <c r="G121" s="1998"/>
      <c r="H121" s="1487">
        <v>322027.3</v>
      </c>
      <c r="I121" s="1487">
        <v>231309.29</v>
      </c>
      <c r="J121" s="1487"/>
      <c r="K121" s="1487"/>
      <c r="L121" s="1487"/>
      <c r="M121" s="1487"/>
      <c r="N121" s="1487"/>
      <c r="O121" s="397"/>
      <c r="P121" s="397"/>
      <c r="Q121" s="1487">
        <v>13294</v>
      </c>
      <c r="R121" s="1487">
        <f>E133</f>
        <v>9426.9</v>
      </c>
      <c r="S121" s="1487">
        <f>E131</f>
        <v>5446.18</v>
      </c>
      <c r="T121" s="1487">
        <v>738.55</v>
      </c>
      <c r="U121" s="1487">
        <v>1028.5</v>
      </c>
      <c r="V121" s="1487"/>
      <c r="W121" s="1489"/>
      <c r="AD121" s="1965"/>
      <c r="AE121" s="1965"/>
      <c r="AF121" s="1965"/>
      <c r="AG121" s="1965"/>
      <c r="AH121" s="1965"/>
      <c r="AI121" s="1965"/>
      <c r="AJ121" s="1965"/>
      <c r="AK121" s="1965"/>
    </row>
    <row r="122" spans="1:37" s="395" customFormat="1">
      <c r="A122" s="2021"/>
      <c r="B122" s="2021"/>
      <c r="C122" s="2008" t="s">
        <v>1192</v>
      </c>
      <c r="D122" s="2022"/>
      <c r="E122" s="2022"/>
      <c r="F122" s="2022"/>
      <c r="G122" s="2172"/>
      <c r="H122" s="2009">
        <f t="shared" ref="H122:V122" si="19">SUM(H118:H121)</f>
        <v>2439064.56</v>
      </c>
      <c r="I122" s="2009">
        <f t="shared" si="19"/>
        <v>357619.07</v>
      </c>
      <c r="J122" s="2009">
        <f t="shared" si="19"/>
        <v>619.19000000000005</v>
      </c>
      <c r="K122" s="2009">
        <f t="shared" si="19"/>
        <v>6087.48</v>
      </c>
      <c r="L122" s="2009">
        <f t="shared" si="19"/>
        <v>0</v>
      </c>
      <c r="M122" s="2009">
        <f t="shared" si="19"/>
        <v>0</v>
      </c>
      <c r="N122" s="2009">
        <f t="shared" si="19"/>
        <v>0</v>
      </c>
      <c r="O122" s="2009">
        <f t="shared" si="19"/>
        <v>828</v>
      </c>
      <c r="P122" s="2009">
        <f t="shared" si="19"/>
        <v>0</v>
      </c>
      <c r="Q122" s="2009">
        <f t="shared" si="19"/>
        <v>29572.84</v>
      </c>
      <c r="R122" s="2009">
        <f t="shared" si="19"/>
        <v>17443.59</v>
      </c>
      <c r="S122" s="2009">
        <f t="shared" si="19"/>
        <v>8576.18</v>
      </c>
      <c r="T122" s="2009">
        <f t="shared" si="19"/>
        <v>3488.55</v>
      </c>
      <c r="U122" s="2009">
        <f t="shared" si="19"/>
        <v>2742.16</v>
      </c>
      <c r="V122" s="2009">
        <f t="shared" si="19"/>
        <v>5072</v>
      </c>
      <c r="W122" s="2011"/>
      <c r="AD122" s="1965"/>
      <c r="AE122" s="1965"/>
      <c r="AF122" s="1965"/>
      <c r="AG122" s="1965"/>
      <c r="AH122" s="1965"/>
      <c r="AI122" s="1965"/>
      <c r="AJ122" s="1965"/>
      <c r="AK122" s="1965"/>
    </row>
    <row r="123" spans="1:37" s="395" customFormat="1">
      <c r="A123" s="2066"/>
      <c r="B123" s="387"/>
      <c r="C123" s="397"/>
      <c r="D123" s="397"/>
      <c r="E123" s="1591"/>
      <c r="F123" s="1591"/>
      <c r="G123" s="1591"/>
      <c r="H123" s="3038"/>
      <c r="I123" s="1487"/>
      <c r="J123" s="1487"/>
      <c r="K123" s="1487"/>
      <c r="L123" s="1487"/>
      <c r="M123" s="1487"/>
      <c r="N123" s="1487"/>
      <c r="O123" s="397"/>
      <c r="P123" s="397"/>
      <c r="Q123" s="397"/>
      <c r="R123" s="1487"/>
      <c r="S123" s="1487"/>
      <c r="T123" s="1487"/>
      <c r="U123" s="1487"/>
      <c r="V123" s="1487"/>
      <c r="W123" s="1487"/>
      <c r="X123" s="397"/>
      <c r="AD123" s="1965"/>
      <c r="AE123" s="1965"/>
      <c r="AF123" s="1965"/>
      <c r="AG123" s="1965"/>
      <c r="AH123" s="1965"/>
      <c r="AI123" s="1965"/>
      <c r="AJ123" s="1965"/>
      <c r="AK123" s="1965"/>
    </row>
    <row r="124" spans="1:37" s="395" customFormat="1">
      <c r="A124" s="2051"/>
      <c r="B124" s="2051"/>
      <c r="C124" s="3039"/>
      <c r="D124" s="2054"/>
      <c r="E124" s="2055"/>
      <c r="F124" s="2055" t="s">
        <v>1194</v>
      </c>
      <c r="G124" s="2056" t="s">
        <v>1195</v>
      </c>
      <c r="H124" s="2057">
        <v>2007</v>
      </c>
      <c r="I124" s="2057">
        <v>2008</v>
      </c>
      <c r="J124" s="2057">
        <v>2009</v>
      </c>
      <c r="K124" s="2057">
        <v>2010</v>
      </c>
      <c r="L124" s="2057">
        <v>2011</v>
      </c>
      <c r="M124" s="2057">
        <v>2012</v>
      </c>
      <c r="N124" s="2057">
        <v>2013</v>
      </c>
      <c r="O124" s="2057">
        <v>2014</v>
      </c>
      <c r="P124" s="2057">
        <v>2015</v>
      </c>
      <c r="Q124" s="2057">
        <v>2016</v>
      </c>
      <c r="R124" s="2057">
        <v>2017</v>
      </c>
      <c r="S124" s="2057">
        <v>2018</v>
      </c>
      <c r="T124" s="2057">
        <v>2019</v>
      </c>
      <c r="U124" s="2057">
        <v>2020</v>
      </c>
      <c r="V124" s="2057">
        <v>2021</v>
      </c>
      <c r="W124" s="3031">
        <v>2022</v>
      </c>
      <c r="AD124" s="1965"/>
      <c r="AE124" s="1965"/>
      <c r="AF124" s="1965"/>
      <c r="AG124" s="1965"/>
      <c r="AH124" s="1965"/>
      <c r="AI124" s="1965"/>
      <c r="AJ124" s="1965"/>
      <c r="AK124" s="1965"/>
    </row>
    <row r="125" spans="1:37" s="395" customFormat="1">
      <c r="A125" s="3020"/>
      <c r="B125" s="3020"/>
      <c r="C125" s="2259" t="s">
        <v>1382</v>
      </c>
      <c r="D125" s="2278"/>
      <c r="E125" s="2016"/>
      <c r="F125" s="2581"/>
      <c r="G125" s="3040"/>
      <c r="H125" s="3021"/>
      <c r="I125" s="3021"/>
      <c r="J125" s="3021"/>
      <c r="K125" s="3021"/>
      <c r="L125" s="3021"/>
      <c r="M125" s="3021"/>
      <c r="N125" s="3021"/>
      <c r="O125" s="2076"/>
      <c r="P125" s="2076"/>
      <c r="Q125" s="2039"/>
      <c r="R125" s="2039"/>
      <c r="S125" s="2039"/>
      <c r="T125" s="2039"/>
      <c r="U125" s="397"/>
      <c r="V125" s="397"/>
      <c r="W125" s="1998"/>
      <c r="AD125" s="1965"/>
      <c r="AE125" s="1965"/>
      <c r="AF125" s="1965"/>
      <c r="AG125" s="1965"/>
      <c r="AH125" s="1965"/>
      <c r="AI125" s="1965"/>
      <c r="AJ125" s="1965"/>
      <c r="AK125" s="1965"/>
    </row>
    <row r="126" spans="1:37" s="395" customFormat="1">
      <c r="A126" s="3020">
        <v>2021</v>
      </c>
      <c r="B126" s="3020"/>
      <c r="C126" s="2063" t="s">
        <v>1383</v>
      </c>
      <c r="D126" s="1591"/>
      <c r="E126" s="1487">
        <v>5072</v>
      </c>
      <c r="F126" s="2039" t="s">
        <v>1197</v>
      </c>
      <c r="G126" s="1489">
        <f t="shared" ref="G126:G134" si="20">E126/5</f>
        <v>1014.4</v>
      </c>
      <c r="H126" s="3021"/>
      <c r="I126" s="3021"/>
      <c r="J126" s="3021"/>
      <c r="K126" s="3021"/>
      <c r="L126" s="3021"/>
      <c r="M126" s="3021"/>
      <c r="N126" s="3021"/>
      <c r="O126" s="2076"/>
      <c r="P126" s="2076"/>
      <c r="Q126" s="2039"/>
      <c r="R126" s="2039"/>
      <c r="S126" s="2039"/>
      <c r="T126" s="2039"/>
      <c r="U126" s="397"/>
      <c r="V126" s="2039">
        <v>1014.4</v>
      </c>
      <c r="W126" s="2039">
        <v>1014.4</v>
      </c>
      <c r="AD126" s="1965"/>
      <c r="AE126" s="1965"/>
      <c r="AF126" s="1965"/>
      <c r="AG126" s="1965"/>
      <c r="AH126" s="1965"/>
      <c r="AI126" s="1965"/>
      <c r="AJ126" s="1965"/>
      <c r="AK126" s="1965"/>
    </row>
    <row r="127" spans="1:37" s="395" customFormat="1">
      <c r="A127" s="3020">
        <v>2020</v>
      </c>
      <c r="B127" s="3020"/>
      <c r="C127" s="2148" t="s">
        <v>1381</v>
      </c>
      <c r="D127" s="1591"/>
      <c r="E127" s="1487">
        <v>1028.5</v>
      </c>
      <c r="F127" s="2039" t="s">
        <v>1197</v>
      </c>
      <c r="G127" s="1489">
        <f t="shared" si="20"/>
        <v>205.7</v>
      </c>
      <c r="H127" s="3021"/>
      <c r="I127" s="3021"/>
      <c r="J127" s="3021"/>
      <c r="K127" s="3021"/>
      <c r="L127" s="3021"/>
      <c r="M127" s="3021"/>
      <c r="N127" s="3021"/>
      <c r="O127" s="2076"/>
      <c r="P127" s="2076"/>
      <c r="Q127" s="2039"/>
      <c r="R127" s="2039"/>
      <c r="S127" s="2039"/>
      <c r="T127" s="2039"/>
      <c r="U127" s="2039">
        <v>205.7</v>
      </c>
      <c r="V127" s="2039">
        <v>205.7</v>
      </c>
      <c r="W127" s="3022">
        <v>205.7</v>
      </c>
      <c r="AD127" s="1965"/>
      <c r="AE127" s="1965"/>
      <c r="AF127" s="1965"/>
      <c r="AG127" s="1965"/>
      <c r="AH127" s="1965"/>
      <c r="AI127" s="1965"/>
      <c r="AJ127" s="1965"/>
      <c r="AK127" s="1965"/>
    </row>
    <row r="128" spans="1:37" s="395" customFormat="1">
      <c r="A128" s="3020"/>
      <c r="B128" s="3020"/>
      <c r="C128" s="2148" t="s">
        <v>1383</v>
      </c>
      <c r="D128" s="1591"/>
      <c r="E128" s="1487">
        <v>1713.66</v>
      </c>
      <c r="F128" s="2039" t="s">
        <v>1197</v>
      </c>
      <c r="G128" s="1489">
        <f t="shared" si="20"/>
        <v>342.73200000000003</v>
      </c>
      <c r="H128" s="3021"/>
      <c r="I128" s="3021"/>
      <c r="J128" s="3021"/>
      <c r="K128" s="3021"/>
      <c r="L128" s="3021"/>
      <c r="M128" s="3021"/>
      <c r="N128" s="3021"/>
      <c r="O128" s="2076"/>
      <c r="P128" s="2076"/>
      <c r="Q128" s="2039"/>
      <c r="R128" s="2039"/>
      <c r="S128" s="2039"/>
      <c r="T128" s="2039"/>
      <c r="U128" s="2039">
        <v>342.73</v>
      </c>
      <c r="V128" s="2039">
        <v>342.73</v>
      </c>
      <c r="W128" s="3022">
        <v>342.73</v>
      </c>
      <c r="AD128" s="1965"/>
      <c r="AE128" s="1965"/>
      <c r="AF128" s="1965"/>
      <c r="AG128" s="1965"/>
      <c r="AH128" s="1965"/>
      <c r="AI128" s="1965"/>
      <c r="AJ128" s="1965"/>
      <c r="AK128" s="1965"/>
    </row>
    <row r="129" spans="1:37" s="395" customFormat="1">
      <c r="A129" s="3020">
        <v>2019</v>
      </c>
      <c r="B129" s="3020"/>
      <c r="C129" s="2148" t="s">
        <v>1381</v>
      </c>
      <c r="D129" s="1591"/>
      <c r="E129" s="1487">
        <v>738.55</v>
      </c>
      <c r="F129" s="2039" t="s">
        <v>1197</v>
      </c>
      <c r="G129" s="1489">
        <f t="shared" si="20"/>
        <v>147.70999999999998</v>
      </c>
      <c r="H129" s="3021"/>
      <c r="I129" s="3021"/>
      <c r="J129" s="3021"/>
      <c r="K129" s="3021"/>
      <c r="L129" s="3021"/>
      <c r="M129" s="3021"/>
      <c r="N129" s="3021"/>
      <c r="O129" s="2076"/>
      <c r="P129" s="2076"/>
      <c r="Q129" s="2039"/>
      <c r="R129" s="2039"/>
      <c r="S129" s="2039"/>
      <c r="T129" s="2039">
        <v>738.55</v>
      </c>
      <c r="U129" s="2039">
        <v>738.55</v>
      </c>
      <c r="V129" s="2039">
        <v>738.55</v>
      </c>
      <c r="W129" s="3022">
        <v>738.55</v>
      </c>
      <c r="AD129" s="1965"/>
      <c r="AE129" s="1965"/>
      <c r="AF129" s="1965"/>
      <c r="AG129" s="1965"/>
      <c r="AH129" s="1965"/>
      <c r="AI129" s="1965"/>
      <c r="AJ129" s="1965"/>
      <c r="AK129" s="1965"/>
    </row>
    <row r="130" spans="1:37" s="395" customFormat="1">
      <c r="A130" s="3020"/>
      <c r="B130" s="3020"/>
      <c r="C130" s="2148" t="s">
        <v>1383</v>
      </c>
      <c r="D130" s="1591"/>
      <c r="E130" s="1487">
        <v>2750</v>
      </c>
      <c r="F130" s="2039" t="s">
        <v>1197</v>
      </c>
      <c r="G130" s="1489">
        <f t="shared" si="20"/>
        <v>550</v>
      </c>
      <c r="H130" s="3021"/>
      <c r="I130" s="3021"/>
      <c r="J130" s="3021"/>
      <c r="K130" s="3021"/>
      <c r="L130" s="3021"/>
      <c r="M130" s="3021"/>
      <c r="N130" s="3021"/>
      <c r="O130" s="2076"/>
      <c r="P130" s="2076"/>
      <c r="Q130" s="2039"/>
      <c r="R130" s="2039"/>
      <c r="S130" s="2039"/>
      <c r="T130" s="2039">
        <v>550</v>
      </c>
      <c r="U130" s="2039">
        <v>550</v>
      </c>
      <c r="V130" s="2039">
        <v>550</v>
      </c>
      <c r="W130" s="3022">
        <v>550</v>
      </c>
      <c r="AD130" s="1965"/>
      <c r="AE130" s="1965"/>
      <c r="AF130" s="1965"/>
      <c r="AG130" s="1965"/>
      <c r="AH130" s="1965"/>
      <c r="AI130" s="1965"/>
      <c r="AJ130" s="1965"/>
      <c r="AK130" s="1965"/>
    </row>
    <row r="131" spans="1:37" s="395" customFormat="1">
      <c r="A131" s="3020">
        <v>2018</v>
      </c>
      <c r="B131" s="3020"/>
      <c r="C131" s="2148" t="s">
        <v>1381</v>
      </c>
      <c r="D131" s="397"/>
      <c r="E131" s="1487">
        <v>5446.18</v>
      </c>
      <c r="F131" s="2039" t="s">
        <v>1197</v>
      </c>
      <c r="G131" s="1489">
        <f t="shared" si="20"/>
        <v>1089.2360000000001</v>
      </c>
      <c r="H131" s="3021"/>
      <c r="I131" s="3021"/>
      <c r="J131" s="3021"/>
      <c r="K131" s="3021"/>
      <c r="L131" s="3021"/>
      <c r="M131" s="3021"/>
      <c r="N131" s="3021"/>
      <c r="O131" s="2076"/>
      <c r="P131" s="2076"/>
      <c r="Q131" s="2039"/>
      <c r="R131" s="2039"/>
      <c r="S131" s="2039">
        <v>1089.24</v>
      </c>
      <c r="T131" s="2039">
        <v>1089.24</v>
      </c>
      <c r="U131" s="2039">
        <v>1089.24</v>
      </c>
      <c r="V131" s="2039">
        <v>1089.24</v>
      </c>
      <c r="W131" s="3022">
        <v>1089.24</v>
      </c>
      <c r="AD131" s="1965"/>
      <c r="AE131" s="1965"/>
      <c r="AF131" s="1965"/>
      <c r="AG131" s="1965"/>
      <c r="AH131" s="1965"/>
      <c r="AI131" s="1965"/>
      <c r="AJ131" s="1965"/>
      <c r="AK131" s="1965"/>
    </row>
    <row r="132" spans="1:37" s="395" customFormat="1">
      <c r="A132" s="3020"/>
      <c r="B132" s="3020"/>
      <c r="C132" s="2148" t="s">
        <v>1383</v>
      </c>
      <c r="D132" s="397"/>
      <c r="E132" s="1487">
        <v>3130</v>
      </c>
      <c r="F132" s="2039" t="s">
        <v>1197</v>
      </c>
      <c r="G132" s="1489">
        <f t="shared" si="20"/>
        <v>626</v>
      </c>
      <c r="H132" s="3021"/>
      <c r="I132" s="3021"/>
      <c r="J132" s="3021"/>
      <c r="K132" s="3021"/>
      <c r="L132" s="3021"/>
      <c r="M132" s="3021"/>
      <c r="N132" s="3021"/>
      <c r="O132" s="2076"/>
      <c r="P132" s="2076"/>
      <c r="Q132" s="2039"/>
      <c r="R132" s="2039"/>
      <c r="S132" s="2039">
        <v>626</v>
      </c>
      <c r="T132" s="2039">
        <v>626</v>
      </c>
      <c r="U132" s="397">
        <v>626</v>
      </c>
      <c r="V132" s="2039">
        <v>626</v>
      </c>
      <c r="W132" s="3022">
        <v>626</v>
      </c>
      <c r="AD132" s="1965"/>
      <c r="AE132" s="1965"/>
      <c r="AF132" s="1965"/>
      <c r="AG132" s="1965"/>
      <c r="AH132" s="1965"/>
      <c r="AI132" s="1965"/>
      <c r="AJ132" s="1965"/>
      <c r="AK132" s="1965"/>
    </row>
    <row r="133" spans="1:37" s="395" customFormat="1">
      <c r="A133" s="3020">
        <v>2017</v>
      </c>
      <c r="B133" s="3020"/>
      <c r="C133" s="2148" t="s">
        <v>1381</v>
      </c>
      <c r="D133" s="397"/>
      <c r="E133" s="1487">
        <v>9426.9</v>
      </c>
      <c r="F133" s="2039" t="s">
        <v>1197</v>
      </c>
      <c r="G133" s="1489">
        <f t="shared" si="20"/>
        <v>1885.3799999999999</v>
      </c>
      <c r="H133" s="3021"/>
      <c r="I133" s="3021"/>
      <c r="J133" s="3021"/>
      <c r="K133" s="3021"/>
      <c r="L133" s="3021"/>
      <c r="M133" s="3021"/>
      <c r="N133" s="3021"/>
      <c r="O133" s="2076"/>
      <c r="P133" s="2076"/>
      <c r="Q133" s="2039"/>
      <c r="R133" s="2039">
        <f>G133</f>
        <v>1885.3799999999999</v>
      </c>
      <c r="S133" s="2039">
        <v>1885.38</v>
      </c>
      <c r="T133" s="2039">
        <v>1885.38</v>
      </c>
      <c r="U133" s="2039">
        <v>1885.38</v>
      </c>
      <c r="V133" s="2039">
        <v>1885.38</v>
      </c>
      <c r="W133" s="3022"/>
      <c r="AD133" s="1965"/>
      <c r="AE133" s="1965"/>
      <c r="AF133" s="1965"/>
      <c r="AG133" s="1965"/>
      <c r="AH133" s="1965"/>
      <c r="AI133" s="1965"/>
      <c r="AJ133" s="1965"/>
      <c r="AK133" s="1965"/>
    </row>
    <row r="134" spans="1:37" s="395" customFormat="1">
      <c r="A134" s="3020"/>
      <c r="B134" s="3020"/>
      <c r="C134" s="2148" t="s">
        <v>1383</v>
      </c>
      <c r="D134" s="397"/>
      <c r="E134" s="1487">
        <v>8016.69</v>
      </c>
      <c r="F134" s="2039" t="s">
        <v>1197</v>
      </c>
      <c r="G134" s="1489">
        <f t="shared" si="20"/>
        <v>1603.338</v>
      </c>
      <c r="H134" s="3021"/>
      <c r="I134" s="3021"/>
      <c r="J134" s="3021"/>
      <c r="K134" s="3021"/>
      <c r="L134" s="3021"/>
      <c r="M134" s="3021"/>
      <c r="N134" s="3021"/>
      <c r="O134" s="2076"/>
      <c r="P134" s="2076"/>
      <c r="Q134" s="2039"/>
      <c r="R134" s="2039">
        <f>G134</f>
        <v>1603.338</v>
      </c>
      <c r="S134" s="2039">
        <v>1603.34</v>
      </c>
      <c r="T134" s="2039">
        <v>1603.34</v>
      </c>
      <c r="U134" s="2039">
        <v>1603.34</v>
      </c>
      <c r="V134" s="2039">
        <v>1603.34</v>
      </c>
      <c r="W134" s="3022"/>
      <c r="AD134" s="1965"/>
      <c r="AE134" s="1965"/>
      <c r="AF134" s="1965"/>
      <c r="AG134" s="1965"/>
      <c r="AH134" s="1965"/>
      <c r="AI134" s="1965"/>
      <c r="AJ134" s="1965"/>
      <c r="AK134" s="1965"/>
    </row>
    <row r="135" spans="1:37" s="395" customFormat="1">
      <c r="A135" s="3020"/>
      <c r="B135" s="3020"/>
      <c r="C135" s="2148"/>
      <c r="D135" s="397"/>
      <c r="E135" s="2042">
        <f>SUM(E133:E134)</f>
        <v>17443.59</v>
      </c>
      <c r="F135" s="1487"/>
      <c r="G135" s="3022"/>
      <c r="H135" s="3021"/>
      <c r="I135" s="3021"/>
      <c r="J135" s="3021"/>
      <c r="K135" s="3021"/>
      <c r="L135" s="3021"/>
      <c r="M135" s="3021"/>
      <c r="N135" s="3021"/>
      <c r="O135" s="2076"/>
      <c r="P135" s="2076"/>
      <c r="Q135" s="2039"/>
      <c r="R135" s="2039"/>
      <c r="S135" s="2039"/>
      <c r="T135" s="2039"/>
      <c r="U135" s="397"/>
      <c r="V135" s="397"/>
      <c r="W135" s="1998"/>
      <c r="AD135" s="1965"/>
      <c r="AE135" s="1965"/>
      <c r="AF135" s="1965"/>
      <c r="AG135" s="1965"/>
      <c r="AH135" s="1965"/>
      <c r="AI135" s="1965"/>
      <c r="AJ135" s="1965"/>
      <c r="AK135" s="1965"/>
    </row>
    <row r="136" spans="1:37" s="395" customFormat="1">
      <c r="A136" s="3020">
        <v>2016</v>
      </c>
      <c r="B136" s="3020"/>
      <c r="C136" s="2148" t="s">
        <v>1383</v>
      </c>
      <c r="D136" s="397"/>
      <c r="E136" s="1487">
        <v>16278.84</v>
      </c>
      <c r="F136" s="2039" t="s">
        <v>1197</v>
      </c>
      <c r="G136" s="2059">
        <f>E136/5</f>
        <v>3255.768</v>
      </c>
      <c r="H136" s="3021"/>
      <c r="I136" s="3021"/>
      <c r="J136" s="3021"/>
      <c r="K136" s="3021"/>
      <c r="L136" s="3021"/>
      <c r="M136" s="3021"/>
      <c r="N136" s="3021"/>
      <c r="O136" s="2076"/>
      <c r="P136" s="2076"/>
      <c r="Q136" s="2039">
        <v>3255.77</v>
      </c>
      <c r="R136" s="2039">
        <v>3255.77</v>
      </c>
      <c r="S136" s="2039">
        <v>3255.77</v>
      </c>
      <c r="T136" s="2039">
        <v>3255.77</v>
      </c>
      <c r="U136" s="2039">
        <v>3255.77</v>
      </c>
      <c r="V136" s="2039"/>
      <c r="W136" s="3022"/>
      <c r="AD136" s="1965"/>
      <c r="AE136" s="1965"/>
      <c r="AF136" s="1965"/>
      <c r="AG136" s="1965"/>
      <c r="AH136" s="1965"/>
      <c r="AI136" s="1965"/>
      <c r="AJ136" s="1965"/>
      <c r="AK136" s="1965"/>
    </row>
    <row r="137" spans="1:37" s="395" customFormat="1">
      <c r="A137" s="3020"/>
      <c r="B137" s="3020"/>
      <c r="C137" s="2148" t="s">
        <v>1381</v>
      </c>
      <c r="D137" s="397"/>
      <c r="E137" s="1487">
        <v>13294</v>
      </c>
      <c r="F137" s="2039" t="s">
        <v>1198</v>
      </c>
      <c r="G137" s="2059">
        <f>E137/10</f>
        <v>1329.4</v>
      </c>
      <c r="H137" s="3021"/>
      <c r="I137" s="3021"/>
      <c r="J137" s="3021"/>
      <c r="K137" s="3021"/>
      <c r="L137" s="3021"/>
      <c r="M137" s="3021"/>
      <c r="N137" s="3021"/>
      <c r="O137" s="2076"/>
      <c r="P137" s="2076"/>
      <c r="Q137" s="2039">
        <v>1329.4</v>
      </c>
      <c r="R137" s="2039">
        <v>1329.4</v>
      </c>
      <c r="S137" s="2039">
        <v>1329.4</v>
      </c>
      <c r="T137" s="2039">
        <v>1329.4</v>
      </c>
      <c r="U137" s="2039">
        <v>1329.4</v>
      </c>
      <c r="V137" s="2039">
        <v>1329</v>
      </c>
      <c r="W137" s="3022">
        <v>1329</v>
      </c>
      <c r="AD137" s="1965"/>
      <c r="AE137" s="1965"/>
      <c r="AF137" s="1965"/>
      <c r="AG137" s="1965"/>
      <c r="AH137" s="1965"/>
      <c r="AI137" s="1965"/>
      <c r="AJ137" s="1965"/>
      <c r="AK137" s="1965"/>
    </row>
    <row r="138" spans="1:37" s="395" customFormat="1">
      <c r="A138" s="3020"/>
      <c r="B138" s="3020"/>
      <c r="C138" s="2148"/>
      <c r="D138" s="397"/>
      <c r="E138" s="2042">
        <f>SUM(E136:E137)</f>
        <v>29572.84</v>
      </c>
      <c r="F138" s="1487"/>
      <c r="G138" s="3022"/>
      <c r="H138" s="3021"/>
      <c r="I138" s="3021"/>
      <c r="J138" s="3021"/>
      <c r="K138" s="3021"/>
      <c r="L138" s="3021"/>
      <c r="M138" s="3021"/>
      <c r="N138" s="3021"/>
      <c r="O138" s="2076"/>
      <c r="P138" s="2076"/>
      <c r="Q138" s="2039"/>
      <c r="R138" s="2039"/>
      <c r="S138" s="2039"/>
      <c r="T138" s="2039"/>
      <c r="U138" s="2039"/>
      <c r="V138" s="2039"/>
      <c r="W138" s="3022"/>
      <c r="AD138" s="1965"/>
      <c r="AE138" s="1965"/>
      <c r="AF138" s="1965"/>
      <c r="AG138" s="1965"/>
      <c r="AH138" s="1965"/>
      <c r="AI138" s="1965"/>
      <c r="AJ138" s="1965"/>
      <c r="AK138" s="1965"/>
    </row>
    <row r="139" spans="1:37" s="395" customFormat="1">
      <c r="A139" s="3020">
        <v>2014</v>
      </c>
      <c r="B139" s="3020"/>
      <c r="C139" s="2148" t="s">
        <v>1383</v>
      </c>
      <c r="D139" s="397"/>
      <c r="E139" s="1487">
        <v>828</v>
      </c>
      <c r="F139" s="2039" t="s">
        <v>1197</v>
      </c>
      <c r="G139" s="2059">
        <f>E139/5</f>
        <v>165.6</v>
      </c>
      <c r="H139" s="3021"/>
      <c r="I139" s="3021"/>
      <c r="J139" s="3021"/>
      <c r="K139" s="3021"/>
      <c r="L139" s="3021"/>
      <c r="M139" s="3021"/>
      <c r="N139" s="3021"/>
      <c r="O139" s="2039">
        <v>165</v>
      </c>
      <c r="P139" s="2039">
        <v>165</v>
      </c>
      <c r="Q139" s="2039">
        <v>165</v>
      </c>
      <c r="R139" s="2039">
        <v>165</v>
      </c>
      <c r="S139" s="2039">
        <v>165</v>
      </c>
      <c r="T139" s="2039"/>
      <c r="U139" s="2039"/>
      <c r="V139" s="2039"/>
      <c r="W139" s="3022"/>
      <c r="AD139" s="1965"/>
      <c r="AE139" s="1965"/>
      <c r="AF139" s="1965"/>
      <c r="AG139" s="1965"/>
      <c r="AH139" s="1965"/>
      <c r="AI139" s="1965"/>
      <c r="AJ139" s="1965"/>
      <c r="AK139" s="1965"/>
    </row>
    <row r="140" spans="1:37" s="395" customFormat="1">
      <c r="A140" s="3020">
        <v>2010</v>
      </c>
      <c r="B140" s="3020"/>
      <c r="C140" s="2148" t="s">
        <v>1383</v>
      </c>
      <c r="D140" s="397"/>
      <c r="E140" s="1487">
        <v>6087.48</v>
      </c>
      <c r="F140" s="2039" t="s">
        <v>1197</v>
      </c>
      <c r="G140" s="1489">
        <f>E140/5</f>
        <v>1217.4959999999999</v>
      </c>
      <c r="H140" s="2039"/>
      <c r="I140" s="2039"/>
      <c r="J140" s="2039"/>
      <c r="K140" s="1487">
        <v>0</v>
      </c>
      <c r="L140" s="1487">
        <v>1217.5</v>
      </c>
      <c r="M140" s="1487">
        <v>1217.5</v>
      </c>
      <c r="N140" s="1487">
        <v>1217.5</v>
      </c>
      <c r="O140" s="1487">
        <v>1217.5</v>
      </c>
      <c r="P140" s="1487">
        <v>1217.5</v>
      </c>
      <c r="Q140" s="2039"/>
      <c r="R140" s="2039"/>
      <c r="S140" s="2039"/>
      <c r="T140" s="2039"/>
      <c r="U140" s="2039"/>
      <c r="V140" s="2039"/>
      <c r="W140" s="3022"/>
      <c r="AA140" s="1965"/>
      <c r="AB140" s="1965"/>
      <c r="AC140" s="1965"/>
      <c r="AD140" s="1965"/>
      <c r="AE140" s="1965"/>
      <c r="AF140" s="1965"/>
      <c r="AG140" s="1965"/>
      <c r="AH140" s="1965"/>
      <c r="AI140" s="1965"/>
      <c r="AJ140" s="1965"/>
      <c r="AK140" s="1965"/>
    </row>
    <row r="141" spans="1:37" s="395" customFormat="1">
      <c r="A141" s="3020">
        <v>2009</v>
      </c>
      <c r="B141" s="3020"/>
      <c r="C141" s="2148" t="s">
        <v>1383</v>
      </c>
      <c r="D141" s="397"/>
      <c r="E141" s="1487">
        <v>619.19000000000005</v>
      </c>
      <c r="F141" s="2039" t="s">
        <v>1197</v>
      </c>
      <c r="G141" s="1489">
        <f>E141/5</f>
        <v>123.83800000000001</v>
      </c>
      <c r="H141" s="1487"/>
      <c r="I141" s="1487"/>
      <c r="J141" s="1487">
        <v>0</v>
      </c>
      <c r="K141" s="1487">
        <v>123.84</v>
      </c>
      <c r="L141" s="1487">
        <v>123.84</v>
      </c>
      <c r="M141" s="397">
        <v>123.84</v>
      </c>
      <c r="N141" s="1487">
        <v>123.84</v>
      </c>
      <c r="O141" s="1487">
        <v>123.84</v>
      </c>
      <c r="P141" s="1487"/>
      <c r="Q141" s="2039"/>
      <c r="R141" s="2039"/>
      <c r="S141" s="2039"/>
      <c r="T141" s="2039"/>
      <c r="U141" s="2039"/>
      <c r="V141" s="2039"/>
      <c r="W141" s="3022"/>
      <c r="AD141" s="1965"/>
      <c r="AE141" s="1965"/>
      <c r="AF141" s="1965"/>
      <c r="AG141" s="1965"/>
      <c r="AH141" s="1965"/>
      <c r="AI141" s="1965"/>
      <c r="AJ141" s="1965"/>
      <c r="AK141" s="1965"/>
    </row>
    <row r="142" spans="1:37" s="395" customFormat="1">
      <c r="A142" s="3020">
        <v>2008</v>
      </c>
      <c r="B142" s="3020"/>
      <c r="C142" s="2148" t="s">
        <v>1383</v>
      </c>
      <c r="D142" s="397"/>
      <c r="E142" s="1487">
        <f>142309.78-16000</f>
        <v>126309.78</v>
      </c>
      <c r="F142" s="2039" t="s">
        <v>1197</v>
      </c>
      <c r="G142" s="1489">
        <f>(E142)/5</f>
        <v>25261.955999999998</v>
      </c>
      <c r="H142" s="1487">
        <v>0</v>
      </c>
      <c r="I142" s="1487">
        <v>0</v>
      </c>
      <c r="J142" s="1487">
        <f>G142+G143</f>
        <v>36827.4205</v>
      </c>
      <c r="K142" s="1487">
        <f>G143+G142</f>
        <v>36827.4205</v>
      </c>
      <c r="L142" s="1487">
        <f>G143+G142</f>
        <v>36827.4205</v>
      </c>
      <c r="M142" s="1487">
        <f>G143+G142</f>
        <v>36827.4205</v>
      </c>
      <c r="N142" s="1487">
        <f>G143+G142</f>
        <v>36827.4205</v>
      </c>
      <c r="O142" s="1487">
        <f t="shared" ref="O142:T142" si="21">$G$143</f>
        <v>11565.4645</v>
      </c>
      <c r="P142" s="1487">
        <f t="shared" si="21"/>
        <v>11565.4645</v>
      </c>
      <c r="Q142" s="2039">
        <f t="shared" si="21"/>
        <v>11565.4645</v>
      </c>
      <c r="R142" s="2039">
        <f t="shared" si="21"/>
        <v>11565.4645</v>
      </c>
      <c r="S142" s="2039">
        <f t="shared" si="21"/>
        <v>11565.4645</v>
      </c>
      <c r="T142" s="2039">
        <f t="shared" si="21"/>
        <v>11565.4645</v>
      </c>
      <c r="U142" s="2039">
        <v>11565.46</v>
      </c>
      <c r="V142" s="2039">
        <v>11565.46</v>
      </c>
      <c r="W142" s="3022">
        <v>11565.46</v>
      </c>
      <c r="AD142" s="1965"/>
      <c r="AE142" s="1965"/>
      <c r="AF142" s="1965"/>
      <c r="AG142" s="1965"/>
      <c r="AH142" s="1965"/>
      <c r="AI142" s="1965"/>
      <c r="AJ142" s="1965"/>
      <c r="AK142" s="1965"/>
    </row>
    <row r="143" spans="1:37" s="395" customFormat="1">
      <c r="A143" s="3020"/>
      <c r="B143" s="3020"/>
      <c r="C143" s="2148" t="s">
        <v>1384</v>
      </c>
      <c r="D143" s="397"/>
      <c r="E143" s="1487">
        <v>231309.29</v>
      </c>
      <c r="F143" s="2039" t="s">
        <v>1385</v>
      </c>
      <c r="G143" s="1489">
        <f>E143/20</f>
        <v>11565.4645</v>
      </c>
      <c r="H143" s="397"/>
      <c r="I143" s="397"/>
      <c r="J143" s="397"/>
      <c r="K143" s="1487"/>
      <c r="L143" s="1487"/>
      <c r="M143" s="1487"/>
      <c r="N143" s="1487"/>
      <c r="O143" s="1487"/>
      <c r="P143" s="1487"/>
      <c r="Q143" s="2039"/>
      <c r="R143" s="2039"/>
      <c r="S143" s="2039"/>
      <c r="T143" s="2039"/>
      <c r="U143" s="2039"/>
      <c r="V143" s="2039"/>
      <c r="W143" s="3022"/>
      <c r="AD143" s="1965"/>
      <c r="AE143" s="1965"/>
      <c r="AF143" s="1965"/>
      <c r="AG143" s="1965"/>
      <c r="AH143" s="1965"/>
      <c r="AI143" s="1965"/>
      <c r="AJ143" s="1965"/>
      <c r="AK143" s="1965"/>
    </row>
    <row r="144" spans="1:37" s="395" customFormat="1">
      <c r="A144" s="3020"/>
      <c r="B144" s="3020"/>
      <c r="C144" s="2148"/>
      <c r="D144" s="397"/>
      <c r="E144" s="2042">
        <f>SUM(E142:E143)</f>
        <v>357619.07</v>
      </c>
      <c r="F144" s="1487"/>
      <c r="G144" s="1489"/>
      <c r="H144" s="397"/>
      <c r="I144" s="397"/>
      <c r="J144" s="397"/>
      <c r="K144" s="1487"/>
      <c r="L144" s="1487"/>
      <c r="M144" s="1487"/>
      <c r="N144" s="1487"/>
      <c r="O144" s="397"/>
      <c r="P144" s="397"/>
      <c r="Q144" s="2039"/>
      <c r="R144" s="2039"/>
      <c r="S144" s="2039"/>
      <c r="T144" s="2039"/>
      <c r="U144" s="2039"/>
      <c r="V144" s="2039"/>
      <c r="W144" s="3022"/>
      <c r="AD144" s="1965"/>
      <c r="AE144" s="1965"/>
      <c r="AF144" s="1965"/>
      <c r="AG144" s="1965"/>
      <c r="AH144" s="1965"/>
      <c r="AI144" s="1965"/>
      <c r="AJ144" s="1965"/>
      <c r="AK144" s="1965"/>
    </row>
    <row r="145" spans="1:37" s="395" customFormat="1">
      <c r="A145" s="3020">
        <v>2007</v>
      </c>
      <c r="B145" s="3020"/>
      <c r="C145" s="2148" t="s">
        <v>1383</v>
      </c>
      <c r="D145" s="397"/>
      <c r="E145" s="1487">
        <v>812.85</v>
      </c>
      <c r="F145" s="2039" t="s">
        <v>1197</v>
      </c>
      <c r="G145" s="1489">
        <f>E145/5</f>
        <v>162.57</v>
      </c>
      <c r="H145" s="1487">
        <v>0</v>
      </c>
      <c r="I145" s="1487">
        <f>G145+G146</f>
        <v>122075.15550000001</v>
      </c>
      <c r="J145" s="1487">
        <f>G145+G146</f>
        <v>122075.15550000001</v>
      </c>
      <c r="K145" s="1487">
        <f>G145+G146</f>
        <v>122075.15550000001</v>
      </c>
      <c r="L145" s="1487">
        <f>G145+G146</f>
        <v>122075.15550000001</v>
      </c>
      <c r="M145" s="1487">
        <f>G145+G146</f>
        <v>122075.15550000001</v>
      </c>
      <c r="N145" s="1487">
        <f>G146</f>
        <v>121912.5855</v>
      </c>
      <c r="O145" s="1487">
        <f t="shared" ref="O145:W145" si="22">$G$146</f>
        <v>121912.5855</v>
      </c>
      <c r="P145" s="1487">
        <f t="shared" si="22"/>
        <v>121912.5855</v>
      </c>
      <c r="Q145" s="2039">
        <f t="shared" si="22"/>
        <v>121912.5855</v>
      </c>
      <c r="R145" s="2039">
        <f t="shared" si="22"/>
        <v>121912.5855</v>
      </c>
      <c r="S145" s="2039">
        <f t="shared" si="22"/>
        <v>121912.5855</v>
      </c>
      <c r="T145" s="2039">
        <f t="shared" si="22"/>
        <v>121912.5855</v>
      </c>
      <c r="U145" s="2039">
        <f t="shared" si="22"/>
        <v>121912.5855</v>
      </c>
      <c r="V145" s="2039">
        <f t="shared" si="22"/>
        <v>121912.5855</v>
      </c>
      <c r="W145" s="3022">
        <f t="shared" si="22"/>
        <v>121912.5855</v>
      </c>
      <c r="AD145" s="1965"/>
      <c r="AE145" s="1965"/>
      <c r="AF145" s="1965"/>
      <c r="AG145" s="1965"/>
      <c r="AH145" s="1965"/>
      <c r="AI145" s="1965"/>
      <c r="AJ145" s="1965"/>
      <c r="AK145" s="1965"/>
    </row>
    <row r="146" spans="1:37" s="395" customFormat="1">
      <c r="A146" s="3020"/>
      <c r="B146" s="3020"/>
      <c r="C146" s="2148" t="s">
        <v>1386</v>
      </c>
      <c r="D146" s="397"/>
      <c r="E146" s="1487">
        <v>2116224.41</v>
      </c>
      <c r="F146" s="2039" t="s">
        <v>1385</v>
      </c>
      <c r="G146" s="1489">
        <f>(E146+E147)/20</f>
        <v>121912.5855</v>
      </c>
      <c r="H146" s="1487"/>
      <c r="I146" s="1487"/>
      <c r="J146" s="1487"/>
      <c r="K146" s="1487"/>
      <c r="L146" s="1487"/>
      <c r="M146" s="1487"/>
      <c r="N146" s="1487"/>
      <c r="O146" s="1487"/>
      <c r="P146" s="1487"/>
      <c r="Q146" s="1487"/>
      <c r="R146" s="1487"/>
      <c r="S146" s="1487"/>
      <c r="T146" s="1487"/>
      <c r="U146" s="397"/>
      <c r="V146" s="397"/>
      <c r="W146" s="1998"/>
      <c r="AD146" s="1965"/>
      <c r="AE146" s="1965"/>
      <c r="AF146" s="1965"/>
      <c r="AG146" s="1965"/>
      <c r="AH146" s="1965"/>
      <c r="AI146" s="1965"/>
      <c r="AJ146" s="1965"/>
      <c r="AK146" s="1965"/>
    </row>
    <row r="147" spans="1:37" s="395" customFormat="1">
      <c r="A147" s="3020"/>
      <c r="B147" s="3020"/>
      <c r="C147" s="2148" t="s">
        <v>1387</v>
      </c>
      <c r="D147" s="397"/>
      <c r="E147" s="1487">
        <v>322027.3</v>
      </c>
      <c r="F147" s="2039"/>
      <c r="G147" s="1489"/>
      <c r="H147" s="1487"/>
      <c r="I147" s="1487"/>
      <c r="J147" s="1487"/>
      <c r="K147" s="1487"/>
      <c r="L147" s="1487"/>
      <c r="M147" s="1487"/>
      <c r="N147" s="1487"/>
      <c r="O147" s="1487"/>
      <c r="P147" s="1487"/>
      <c r="Q147" s="1487"/>
      <c r="R147" s="1487"/>
      <c r="S147" s="1487"/>
      <c r="T147" s="1487"/>
      <c r="U147" s="397"/>
      <c r="V147" s="397"/>
      <c r="W147" s="1998"/>
      <c r="AD147" s="1965"/>
      <c r="AE147" s="1965"/>
      <c r="AF147" s="1965"/>
      <c r="AG147" s="1965"/>
      <c r="AH147" s="1965"/>
      <c r="AI147" s="1965"/>
      <c r="AJ147" s="1965"/>
      <c r="AK147" s="1965"/>
    </row>
    <row r="148" spans="1:37" s="395" customFormat="1">
      <c r="A148" s="3020"/>
      <c r="B148" s="3020"/>
      <c r="C148" s="2148"/>
      <c r="D148" s="397"/>
      <c r="E148" s="2042">
        <f>SUM(E145:E147)</f>
        <v>2439064.56</v>
      </c>
      <c r="F148" s="1487"/>
      <c r="G148" s="1489"/>
      <c r="H148" s="1487"/>
      <c r="I148" s="1487"/>
      <c r="J148" s="1487"/>
      <c r="K148" s="1487"/>
      <c r="L148" s="397"/>
      <c r="M148" s="397"/>
      <c r="N148" s="397"/>
      <c r="O148" s="1487"/>
      <c r="P148" s="1487"/>
      <c r="Q148" s="1487"/>
      <c r="R148" s="1487"/>
      <c r="S148" s="1487"/>
      <c r="T148" s="1487"/>
      <c r="U148" s="397"/>
      <c r="V148" s="397"/>
      <c r="W148" s="1998"/>
      <c r="AD148" s="1965"/>
      <c r="AE148" s="1965"/>
      <c r="AF148" s="1965"/>
      <c r="AG148" s="1965"/>
      <c r="AH148" s="1965"/>
      <c r="AI148" s="1965"/>
      <c r="AJ148" s="1965"/>
      <c r="AK148" s="1965"/>
    </row>
    <row r="149" spans="1:37" s="395" customFormat="1">
      <c r="A149" s="2021"/>
      <c r="B149" s="2021"/>
      <c r="C149" s="2008" t="s">
        <v>1201</v>
      </c>
      <c r="D149" s="2022"/>
      <c r="E149" s="2022"/>
      <c r="F149" s="2022"/>
      <c r="G149" s="2022"/>
      <c r="H149" s="2009">
        <f t="shared" ref="H149:V149" si="23">SUM(H125:H148)</f>
        <v>0</v>
      </c>
      <c r="I149" s="2009">
        <f t="shared" si="23"/>
        <v>122075.15550000001</v>
      </c>
      <c r="J149" s="2009">
        <f t="shared" si="23"/>
        <v>158902.576</v>
      </c>
      <c r="K149" s="2009">
        <f t="shared" si="23"/>
        <v>159026.416</v>
      </c>
      <c r="L149" s="2009">
        <f t="shared" si="23"/>
        <v>160243.916</v>
      </c>
      <c r="M149" s="2009">
        <f t="shared" si="23"/>
        <v>160243.916</v>
      </c>
      <c r="N149" s="2009">
        <f t="shared" si="23"/>
        <v>160081.34599999999</v>
      </c>
      <c r="O149" s="2009">
        <f t="shared" si="23"/>
        <v>134984.39000000001</v>
      </c>
      <c r="P149" s="2009">
        <f t="shared" si="23"/>
        <v>134860.54999999999</v>
      </c>
      <c r="Q149" s="2009">
        <f t="shared" si="23"/>
        <v>138228.22</v>
      </c>
      <c r="R149" s="2009">
        <f t="shared" si="23"/>
        <v>141716.93799999999</v>
      </c>
      <c r="S149" s="2009">
        <f t="shared" si="23"/>
        <v>143432.18</v>
      </c>
      <c r="T149" s="2009">
        <f t="shared" si="23"/>
        <v>144555.73000000001</v>
      </c>
      <c r="U149" s="2009">
        <f t="shared" si="23"/>
        <v>145104.15549999999</v>
      </c>
      <c r="V149" s="2009">
        <f t="shared" si="23"/>
        <v>142862.3855</v>
      </c>
      <c r="W149" s="2070">
        <f>SUM(W125:W148)</f>
        <v>139373.6655</v>
      </c>
      <c r="X149" s="3041"/>
      <c r="Y149" s="3041"/>
      <c r="Z149" s="3041"/>
      <c r="AA149" s="3041"/>
      <c r="AD149" s="1965"/>
      <c r="AE149" s="1965"/>
      <c r="AF149" s="1965"/>
      <c r="AG149" s="1965"/>
      <c r="AH149" s="1965"/>
      <c r="AI149" s="1965"/>
      <c r="AJ149" s="1965"/>
      <c r="AK149" s="1965"/>
    </row>
    <row r="150" spans="1:37" s="395" customFormat="1">
      <c r="A150" s="1633"/>
      <c r="B150" s="1633"/>
      <c r="C150" s="397"/>
      <c r="D150" s="397"/>
      <c r="E150" s="397"/>
      <c r="F150" s="397"/>
      <c r="G150" s="397"/>
      <c r="H150" s="1965"/>
      <c r="I150" s="1965"/>
      <c r="J150" s="1965"/>
      <c r="K150" s="1965"/>
      <c r="L150" s="1965"/>
      <c r="M150" s="1965"/>
      <c r="N150" s="1965"/>
      <c r="R150" s="1965"/>
      <c r="S150" s="1965"/>
      <c r="T150" s="1965"/>
      <c r="U150" s="1965"/>
      <c r="V150" s="1965"/>
      <c r="W150" s="1965"/>
      <c r="AD150" s="1965"/>
      <c r="AE150" s="1965"/>
      <c r="AF150" s="1965"/>
      <c r="AG150" s="1965"/>
      <c r="AH150" s="1965"/>
      <c r="AI150" s="1965"/>
      <c r="AJ150" s="1965"/>
      <c r="AK150" s="1965"/>
    </row>
    <row r="151" spans="1:37" s="395" customFormat="1">
      <c r="A151" s="1633"/>
      <c r="B151" s="1633"/>
      <c r="C151" s="397"/>
      <c r="D151" s="397"/>
      <c r="E151" s="397"/>
      <c r="F151" s="397"/>
      <c r="G151" s="397"/>
      <c r="H151" s="1965"/>
      <c r="I151" s="1965"/>
      <c r="J151" s="1965"/>
      <c r="K151" s="1965"/>
      <c r="L151" s="1965"/>
      <c r="M151" s="1965"/>
      <c r="N151" s="1965"/>
      <c r="R151" s="1965"/>
      <c r="S151" s="1965"/>
      <c r="T151" s="1965"/>
      <c r="U151" s="1965"/>
      <c r="V151" s="1965"/>
      <c r="W151" s="1965"/>
      <c r="AD151" s="1965"/>
      <c r="AE151" s="1965"/>
      <c r="AF151" s="1965"/>
      <c r="AG151" s="1965"/>
      <c r="AH151" s="1965"/>
      <c r="AI151" s="1965"/>
      <c r="AJ151" s="1965"/>
      <c r="AK151" s="1965"/>
    </row>
    <row r="152" spans="1:37" s="395" customFormat="1">
      <c r="A152" s="3013" t="s">
        <v>7067</v>
      </c>
      <c r="B152" s="3013"/>
      <c r="D152" s="397"/>
      <c r="E152" s="397"/>
      <c r="F152" s="397"/>
      <c r="G152" s="397"/>
      <c r="H152" s="1487"/>
      <c r="I152" s="1965"/>
      <c r="J152" s="1965"/>
      <c r="K152" s="1965"/>
      <c r="L152" s="1965"/>
      <c r="M152" s="1965"/>
      <c r="N152" s="1965"/>
      <c r="R152" s="1965"/>
      <c r="S152" s="1965"/>
      <c r="T152" s="1965"/>
      <c r="U152" s="1965"/>
      <c r="V152" s="1965"/>
      <c r="W152" s="1965"/>
      <c r="AB152" s="1965"/>
      <c r="AC152" s="1965"/>
      <c r="AD152" s="1965"/>
      <c r="AE152" s="1965"/>
      <c r="AF152" s="1965"/>
      <c r="AG152" s="1965"/>
      <c r="AH152" s="1965"/>
      <c r="AI152" s="1965"/>
      <c r="AJ152" s="1965"/>
      <c r="AK152" s="1965"/>
    </row>
    <row r="153" spans="1:37" s="395" customFormat="1" ht="13.5" thickBot="1">
      <c r="A153" s="590"/>
      <c r="B153" s="583"/>
      <c r="C153" s="397"/>
      <c r="D153" s="397"/>
      <c r="E153" s="397"/>
      <c r="F153" s="397"/>
      <c r="G153" s="397"/>
      <c r="H153" s="1505"/>
      <c r="I153" s="1965"/>
      <c r="J153" s="1965"/>
      <c r="K153" s="1965"/>
      <c r="L153" s="1965"/>
      <c r="M153" s="1965"/>
      <c r="N153" s="1965"/>
      <c r="R153" s="1965"/>
      <c r="S153" s="1965"/>
      <c r="T153" s="1965"/>
      <c r="U153" s="1965"/>
      <c r="V153" s="1965"/>
      <c r="W153" s="1965"/>
      <c r="AB153" s="1965"/>
      <c r="AC153" s="1965"/>
      <c r="AD153" s="1965"/>
      <c r="AE153" s="1965"/>
      <c r="AF153" s="1965"/>
      <c r="AG153" s="1965"/>
      <c r="AH153" s="1965"/>
      <c r="AI153" s="1965"/>
      <c r="AJ153" s="1965"/>
      <c r="AK153" s="1965"/>
    </row>
    <row r="154" spans="1:37" s="395" customFormat="1">
      <c r="A154" s="3042" t="s">
        <v>623</v>
      </c>
      <c r="B154" s="3044"/>
      <c r="C154" s="3043" t="s">
        <v>1002</v>
      </c>
      <c r="D154" s="3044"/>
      <c r="E154" s="3044"/>
      <c r="F154" s="3044"/>
      <c r="G154" s="3045"/>
      <c r="H154" s="3046">
        <v>2007</v>
      </c>
      <c r="I154" s="3046">
        <v>2008</v>
      </c>
      <c r="J154" s="3046">
        <v>2009</v>
      </c>
      <c r="K154" s="3046">
        <v>2010</v>
      </c>
      <c r="L154" s="3046">
        <v>2011</v>
      </c>
      <c r="M154" s="3046">
        <v>2012</v>
      </c>
      <c r="N154" s="3046">
        <v>2013</v>
      </c>
      <c r="O154" s="3046">
        <v>2014</v>
      </c>
      <c r="P154" s="3046">
        <v>2015</v>
      </c>
      <c r="Q154" s="3046">
        <v>2016</v>
      </c>
      <c r="R154" s="3046">
        <v>2017</v>
      </c>
      <c r="S154" s="3046">
        <v>2018</v>
      </c>
      <c r="T154" s="3046">
        <v>2019</v>
      </c>
      <c r="U154" s="3046">
        <v>2020</v>
      </c>
      <c r="V154" s="3046">
        <v>2021</v>
      </c>
      <c r="W154" s="3047">
        <v>2022</v>
      </c>
      <c r="X154" s="1633"/>
      <c r="Y154" s="1633"/>
      <c r="Z154" s="1633"/>
      <c r="AA154" s="1633"/>
      <c r="AB154" s="1965"/>
      <c r="AC154" s="1965"/>
      <c r="AD154" s="1965"/>
      <c r="AE154" s="1965"/>
      <c r="AF154" s="1965"/>
      <c r="AG154" s="1965"/>
      <c r="AH154" s="1965"/>
      <c r="AI154" s="1965"/>
      <c r="AJ154" s="1965"/>
      <c r="AK154" s="1965"/>
    </row>
    <row r="155" spans="1:37" s="395" customFormat="1">
      <c r="A155" s="1984" t="s">
        <v>1003</v>
      </c>
      <c r="B155" s="1984"/>
      <c r="C155" s="3037"/>
      <c r="D155" s="1986"/>
      <c r="E155" s="1986"/>
      <c r="F155" s="1986"/>
      <c r="G155" s="3015"/>
      <c r="H155" s="1987"/>
      <c r="I155" s="1987"/>
      <c r="J155" s="1987"/>
      <c r="K155" s="1987"/>
      <c r="L155" s="1987"/>
      <c r="M155" s="1987"/>
      <c r="N155" s="1987"/>
      <c r="O155" s="1986"/>
      <c r="P155" s="1986"/>
      <c r="Q155" s="1986"/>
      <c r="R155" s="1987"/>
      <c r="S155" s="1987"/>
      <c r="T155" s="1987"/>
      <c r="U155" s="1987"/>
      <c r="V155" s="1987"/>
      <c r="W155" s="1988"/>
      <c r="AB155" s="1965"/>
      <c r="AC155" s="1965"/>
      <c r="AD155" s="1965"/>
      <c r="AE155" s="1965"/>
      <c r="AF155" s="1965"/>
      <c r="AG155" s="1965"/>
      <c r="AH155" s="1965"/>
      <c r="AI155" s="1965"/>
      <c r="AJ155" s="1965"/>
      <c r="AK155" s="1965"/>
    </row>
    <row r="156" spans="1:37" s="395" customFormat="1">
      <c r="A156" s="3048" t="s">
        <v>1202</v>
      </c>
      <c r="B156" s="1999"/>
      <c r="C156" s="2148"/>
      <c r="D156" s="397"/>
      <c r="E156" s="397"/>
      <c r="F156" s="397"/>
      <c r="G156" s="1998"/>
      <c r="H156" s="1487"/>
      <c r="I156" s="1487"/>
      <c r="J156" s="1487"/>
      <c r="K156" s="1487"/>
      <c r="L156" s="1487"/>
      <c r="M156" s="1487"/>
      <c r="N156" s="1487"/>
      <c r="O156" s="397"/>
      <c r="P156" s="397"/>
      <c r="Q156" s="397"/>
      <c r="R156" s="1487"/>
      <c r="S156" s="1487"/>
      <c r="T156" s="1487"/>
      <c r="U156" s="1487"/>
      <c r="V156" s="1487"/>
      <c r="W156" s="2017"/>
      <c r="AB156" s="1965"/>
      <c r="AC156" s="1965"/>
      <c r="AD156" s="1965"/>
      <c r="AE156" s="1965"/>
      <c r="AF156" s="1965"/>
      <c r="AG156" s="1965"/>
      <c r="AH156" s="1965"/>
      <c r="AI156" s="1965"/>
      <c r="AJ156" s="1965"/>
      <c r="AK156" s="1965"/>
    </row>
    <row r="157" spans="1:37" s="395" customFormat="1">
      <c r="A157" s="582" t="s">
        <v>1388</v>
      </c>
      <c r="B157" s="583">
        <v>700100</v>
      </c>
      <c r="C157" s="2148" t="s">
        <v>1389</v>
      </c>
      <c r="D157" s="397"/>
      <c r="E157" s="397"/>
      <c r="F157" s="397"/>
      <c r="G157" s="1998"/>
      <c r="H157" s="1487">
        <v>2114</v>
      </c>
      <c r="I157" s="1487">
        <v>0</v>
      </c>
      <c r="J157" s="1487"/>
      <c r="K157" s="1487"/>
      <c r="L157" s="1487">
        <v>809.92</v>
      </c>
      <c r="M157" s="1487"/>
      <c r="N157" s="1487"/>
      <c r="O157" s="1487"/>
      <c r="P157" s="1487">
        <v>1613.6</v>
      </c>
      <c r="Q157" s="1487">
        <v>1209.8800000000001</v>
      </c>
      <c r="R157" s="1487"/>
      <c r="S157" s="1487">
        <v>1462.81</v>
      </c>
      <c r="T157" s="1487">
        <v>1185.96</v>
      </c>
      <c r="U157" s="1487">
        <v>42.15</v>
      </c>
      <c r="V157" s="1487">
        <v>1524.79</v>
      </c>
      <c r="W157" s="1489"/>
      <c r="AB157" s="1965"/>
      <c r="AC157" s="1965"/>
      <c r="AD157" s="1965"/>
      <c r="AE157" s="1965"/>
      <c r="AF157" s="1965"/>
      <c r="AG157" s="1965"/>
      <c r="AH157" s="1965"/>
      <c r="AI157" s="1965"/>
      <c r="AJ157" s="1965"/>
      <c r="AK157" s="1965"/>
    </row>
    <row r="158" spans="1:37" s="395" customFormat="1">
      <c r="A158" s="582" t="s">
        <v>1390</v>
      </c>
      <c r="B158" s="583"/>
      <c r="C158" s="2148" t="s">
        <v>1391</v>
      </c>
      <c r="D158" s="397"/>
      <c r="E158" s="397"/>
      <c r="F158" s="397"/>
      <c r="G158" s="1998"/>
      <c r="H158" s="1487"/>
      <c r="I158" s="1487"/>
      <c r="J158" s="1487"/>
      <c r="K158" s="1487"/>
      <c r="L158" s="1487"/>
      <c r="M158" s="1487"/>
      <c r="N158" s="1487"/>
      <c r="O158" s="1487">
        <v>729.87</v>
      </c>
      <c r="P158" s="1487"/>
      <c r="Q158" s="1487"/>
      <c r="R158" s="1487"/>
      <c r="S158" s="1487">
        <v>43.34</v>
      </c>
      <c r="T158" s="1487"/>
      <c r="U158" s="1487"/>
      <c r="V158" s="1487"/>
      <c r="W158" s="1489"/>
      <c r="AB158" s="1965"/>
      <c r="AC158" s="1965"/>
      <c r="AD158" s="1965"/>
      <c r="AE158" s="1965"/>
      <c r="AF158" s="1965"/>
      <c r="AG158" s="1965"/>
      <c r="AH158" s="1965"/>
      <c r="AI158" s="1965"/>
      <c r="AJ158" s="1965"/>
      <c r="AK158" s="1965"/>
    </row>
    <row r="159" spans="1:37" s="395" customFormat="1">
      <c r="A159" s="582" t="s">
        <v>1392</v>
      </c>
      <c r="B159" s="583">
        <v>701000</v>
      </c>
      <c r="C159" s="2148" t="s">
        <v>1206</v>
      </c>
      <c r="D159" s="397"/>
      <c r="E159" s="397"/>
      <c r="F159" s="397"/>
      <c r="G159" s="1998"/>
      <c r="H159" s="1487">
        <v>2375</v>
      </c>
      <c r="I159" s="1487">
        <v>883</v>
      </c>
      <c r="J159" s="1487"/>
      <c r="K159" s="1487">
        <v>1130.92</v>
      </c>
      <c r="L159" s="1487"/>
      <c r="M159" s="1487">
        <v>929.13</v>
      </c>
      <c r="N159" s="1487"/>
      <c r="O159" s="1487">
        <v>1553.52</v>
      </c>
      <c r="P159" s="1487">
        <v>1489.37</v>
      </c>
      <c r="Q159" s="1487">
        <v>1343.71</v>
      </c>
      <c r="R159" s="1487">
        <v>870.31</v>
      </c>
      <c r="S159" s="1487">
        <v>1160.17</v>
      </c>
      <c r="T159" s="1487">
        <v>1031.43</v>
      </c>
      <c r="U159" s="1487">
        <v>466.12</v>
      </c>
      <c r="V159" s="1487">
        <v>38.020000000000003</v>
      </c>
      <c r="W159" s="1489"/>
      <c r="AB159" s="1965"/>
      <c r="AC159" s="1965"/>
      <c r="AD159" s="1965"/>
      <c r="AE159" s="1965"/>
      <c r="AF159" s="1965"/>
      <c r="AG159" s="1965"/>
      <c r="AH159" s="1965"/>
      <c r="AI159" s="1965"/>
      <c r="AJ159" s="1965"/>
      <c r="AK159" s="1965"/>
    </row>
    <row r="160" spans="1:37" s="395" customFormat="1">
      <c r="A160" s="582" t="s">
        <v>1393</v>
      </c>
      <c r="B160" s="583">
        <v>700000</v>
      </c>
      <c r="C160" s="2148" t="s">
        <v>1211</v>
      </c>
      <c r="D160" s="397"/>
      <c r="E160" s="397"/>
      <c r="F160" s="397"/>
      <c r="G160" s="1998"/>
      <c r="H160" s="1487"/>
      <c r="I160" s="1487"/>
      <c r="J160" s="1487"/>
      <c r="K160" s="1487"/>
      <c r="L160" s="1487"/>
      <c r="M160" s="1487"/>
      <c r="N160" s="1487"/>
      <c r="O160" s="1487">
        <v>18400.150000000001</v>
      </c>
      <c r="P160" s="1487">
        <v>16385.89</v>
      </c>
      <c r="Q160" s="1487">
        <v>15146.27</v>
      </c>
      <c r="R160" s="1487">
        <v>15746.58</v>
      </c>
      <c r="S160" s="1487">
        <v>14986.35</v>
      </c>
      <c r="T160" s="1487">
        <v>13416.4</v>
      </c>
      <c r="U160" s="1487">
        <v>11891.55</v>
      </c>
      <c r="V160" s="1487">
        <v>13847.36</v>
      </c>
      <c r="W160" s="1489"/>
      <c r="AB160" s="1965"/>
      <c r="AC160" s="1965"/>
      <c r="AD160" s="1965"/>
      <c r="AE160" s="1965"/>
      <c r="AF160" s="1965"/>
      <c r="AG160" s="1965"/>
      <c r="AH160" s="1965"/>
      <c r="AI160" s="1965"/>
      <c r="AJ160" s="1965"/>
      <c r="AK160" s="1965"/>
    </row>
    <row r="161" spans="1:37" s="395" customFormat="1">
      <c r="A161" s="582" t="s">
        <v>1394</v>
      </c>
      <c r="B161" s="583">
        <v>745900</v>
      </c>
      <c r="C161" s="2148" t="s">
        <v>1395</v>
      </c>
      <c r="D161" s="397"/>
      <c r="E161" s="397"/>
      <c r="F161" s="397"/>
      <c r="G161" s="1998"/>
      <c r="H161" s="1487"/>
      <c r="I161" s="1487"/>
      <c r="J161" s="1487"/>
      <c r="K161" s="1487"/>
      <c r="L161" s="1487"/>
      <c r="M161" s="1487"/>
      <c r="N161" s="1487"/>
      <c r="O161" s="397"/>
      <c r="P161" s="397"/>
      <c r="Q161" s="397">
        <v>13.37</v>
      </c>
      <c r="R161" s="1487">
        <v>13.35</v>
      </c>
      <c r="S161" s="1487"/>
      <c r="T161" s="1487">
        <v>59.62</v>
      </c>
      <c r="U161" s="1487">
        <v>592.70000000000005</v>
      </c>
      <c r="V161" s="1487">
        <v>10</v>
      </c>
      <c r="W161" s="1489"/>
      <c r="AB161" s="1965"/>
      <c r="AC161" s="1965"/>
      <c r="AD161" s="1965"/>
      <c r="AE161" s="1965"/>
      <c r="AF161" s="1965"/>
      <c r="AG161" s="1965"/>
      <c r="AH161" s="1965"/>
      <c r="AI161" s="1965"/>
      <c r="AJ161" s="1965"/>
      <c r="AK161" s="1965"/>
    </row>
    <row r="162" spans="1:37" s="395" customFormat="1">
      <c r="A162" s="582" t="s">
        <v>1396</v>
      </c>
      <c r="B162" s="583">
        <v>745000</v>
      </c>
      <c r="C162" s="2148" t="s">
        <v>1209</v>
      </c>
      <c r="D162" s="397"/>
      <c r="E162" s="397"/>
      <c r="F162" s="397"/>
      <c r="G162" s="1998"/>
      <c r="H162" s="1487"/>
      <c r="I162" s="1487"/>
      <c r="J162" s="1487"/>
      <c r="K162" s="1487"/>
      <c r="L162" s="1487"/>
      <c r="M162" s="1487"/>
      <c r="N162" s="1487"/>
      <c r="O162" s="1487">
        <v>1807.38</v>
      </c>
      <c r="P162" s="1487">
        <v>1677.65</v>
      </c>
      <c r="Q162" s="1487">
        <v>1703.75</v>
      </c>
      <c r="R162" s="1487">
        <v>1696.5</v>
      </c>
      <c r="S162" s="1487">
        <v>1613.85</v>
      </c>
      <c r="T162" s="1487">
        <v>1709.55</v>
      </c>
      <c r="U162" s="1487">
        <v>1438.4</v>
      </c>
      <c r="V162" s="1487">
        <v>1597.9</v>
      </c>
      <c r="W162" s="1489"/>
      <c r="AB162" s="1965"/>
      <c r="AC162" s="1965"/>
      <c r="AD162" s="1965"/>
      <c r="AE162" s="1965"/>
      <c r="AF162" s="1965"/>
      <c r="AG162" s="1965"/>
      <c r="AH162" s="1965"/>
      <c r="AI162" s="1965"/>
      <c r="AJ162" s="1965"/>
      <c r="AK162" s="1965"/>
    </row>
    <row r="163" spans="1:37" s="395" customFormat="1">
      <c r="A163" s="582" t="s">
        <v>1397</v>
      </c>
      <c r="B163" s="583"/>
      <c r="C163" s="2148" t="s">
        <v>1398</v>
      </c>
      <c r="D163" s="397"/>
      <c r="E163" s="397"/>
      <c r="F163" s="397"/>
      <c r="G163" s="1998"/>
      <c r="H163" s="1487"/>
      <c r="I163" s="1487"/>
      <c r="J163" s="1487"/>
      <c r="K163" s="1487"/>
      <c r="L163" s="1487"/>
      <c r="M163" s="1487"/>
      <c r="N163" s="1487"/>
      <c r="O163" s="1487">
        <v>7779.65</v>
      </c>
      <c r="P163" s="1487">
        <v>8066.6</v>
      </c>
      <c r="Q163" s="1487">
        <v>8015.78</v>
      </c>
      <c r="R163" s="1487">
        <v>8006.94</v>
      </c>
      <c r="S163" s="1487"/>
      <c r="T163" s="1487">
        <v>15141.59</v>
      </c>
      <c r="U163" s="1487"/>
      <c r="V163" s="1487"/>
      <c r="W163" s="1489"/>
      <c r="AB163" s="1965"/>
      <c r="AC163" s="1965"/>
      <c r="AD163" s="1965"/>
      <c r="AE163" s="1965"/>
      <c r="AF163" s="1965"/>
      <c r="AG163" s="1965"/>
      <c r="AH163" s="1965"/>
      <c r="AI163" s="1965"/>
      <c r="AJ163" s="1965"/>
      <c r="AK163" s="1965"/>
    </row>
    <row r="164" spans="1:37" s="395" customFormat="1">
      <c r="A164" s="582"/>
      <c r="B164" s="583">
        <v>707000</v>
      </c>
      <c r="C164" s="2148" t="s">
        <v>7354</v>
      </c>
      <c r="D164" s="397"/>
      <c r="E164" s="397"/>
      <c r="F164" s="397"/>
      <c r="G164" s="1998"/>
      <c r="H164" s="1487"/>
      <c r="I164" s="1487"/>
      <c r="J164" s="1487"/>
      <c r="K164" s="1487"/>
      <c r="L164" s="1487"/>
      <c r="M164" s="1487"/>
      <c r="N164" s="1487"/>
      <c r="O164" s="1487"/>
      <c r="P164" s="1487"/>
      <c r="Q164" s="1487"/>
      <c r="R164" s="1487"/>
      <c r="S164" s="1487"/>
      <c r="T164" s="1487"/>
      <c r="U164" s="1487">
        <v>7123.17</v>
      </c>
      <c r="V164" s="1487">
        <v>7481.47</v>
      </c>
      <c r="W164" s="1489"/>
      <c r="AB164" s="1965"/>
      <c r="AC164" s="1965"/>
      <c r="AD164" s="1965"/>
      <c r="AE164" s="1965"/>
      <c r="AF164" s="1965"/>
      <c r="AG164" s="1965"/>
      <c r="AH164" s="1965"/>
      <c r="AI164" s="1965"/>
      <c r="AJ164" s="1965"/>
      <c r="AK164" s="1965"/>
    </row>
    <row r="165" spans="1:37" s="395" customFormat="1">
      <c r="A165" s="582" t="s">
        <v>1399</v>
      </c>
      <c r="B165" s="583"/>
      <c r="C165" s="2148" t="s">
        <v>1204</v>
      </c>
      <c r="D165" s="397"/>
      <c r="E165" s="397"/>
      <c r="F165" s="397"/>
      <c r="G165" s="1998"/>
      <c r="H165" s="1487"/>
      <c r="I165" s="1487">
        <v>302.35000000000002</v>
      </c>
      <c r="J165" s="1487"/>
      <c r="K165" s="1487"/>
      <c r="L165" s="1487"/>
      <c r="M165" s="1487">
        <v>13.28</v>
      </c>
      <c r="N165" s="1487"/>
      <c r="O165" s="1487"/>
      <c r="P165" s="1487"/>
      <c r="Q165" s="1487"/>
      <c r="R165" s="1487"/>
      <c r="S165" s="1487"/>
      <c r="T165" s="1487"/>
      <c r="U165" s="1487"/>
      <c r="V165" s="1487"/>
      <c r="W165" s="1489"/>
      <c r="AB165" s="1965"/>
      <c r="AC165" s="1965"/>
      <c r="AD165" s="1965"/>
      <c r="AE165" s="1965"/>
      <c r="AF165" s="1965"/>
      <c r="AG165" s="1965"/>
      <c r="AH165" s="1965"/>
      <c r="AI165" s="1965"/>
      <c r="AJ165" s="1965"/>
      <c r="AK165" s="1965"/>
    </row>
    <row r="166" spans="1:37" s="395" customFormat="1">
      <c r="A166" s="582" t="s">
        <v>1400</v>
      </c>
      <c r="B166" s="583"/>
      <c r="C166" s="2148" t="s">
        <v>1219</v>
      </c>
      <c r="D166" s="397"/>
      <c r="E166" s="397"/>
      <c r="F166" s="397"/>
      <c r="G166" s="1998"/>
      <c r="H166" s="1487">
        <v>24309.14</v>
      </c>
      <c r="I166" s="1487">
        <f>14496.78+1071.16</f>
        <v>15567.94</v>
      </c>
      <c r="J166" s="1487">
        <v>19142.43</v>
      </c>
      <c r="K166" s="1487">
        <v>21469.84</v>
      </c>
      <c r="L166" s="1487">
        <v>22667.1</v>
      </c>
      <c r="M166" s="1487">
        <v>21664.65</v>
      </c>
      <c r="N166" s="1487"/>
      <c r="O166" s="1487"/>
      <c r="P166" s="1487"/>
      <c r="Q166" s="1487"/>
      <c r="R166" s="1487"/>
      <c r="S166" s="1487"/>
      <c r="T166" s="1487"/>
      <c r="U166" s="1487"/>
      <c r="V166" s="1487"/>
      <c r="W166" s="1489"/>
      <c r="AB166" s="1965"/>
      <c r="AC166" s="1965"/>
      <c r="AD166" s="1965"/>
      <c r="AE166" s="1965"/>
      <c r="AF166" s="1965"/>
      <c r="AG166" s="1965"/>
      <c r="AH166" s="1965"/>
      <c r="AI166" s="1965"/>
      <c r="AJ166" s="1965"/>
      <c r="AK166" s="1965"/>
    </row>
    <row r="167" spans="1:37" s="395" customFormat="1">
      <c r="A167" s="582" t="s">
        <v>1401</v>
      </c>
      <c r="B167" s="583"/>
      <c r="C167" s="2148" t="s">
        <v>1213</v>
      </c>
      <c r="D167" s="397"/>
      <c r="E167" s="397"/>
      <c r="F167" s="397"/>
      <c r="G167" s="1998"/>
      <c r="H167" s="1487">
        <v>1718.2</v>
      </c>
      <c r="I167" s="1487">
        <v>1838.4</v>
      </c>
      <c r="J167" s="1487">
        <v>2098.5</v>
      </c>
      <c r="K167" s="1487">
        <v>2012.6</v>
      </c>
      <c r="L167" s="1487">
        <v>1950.91</v>
      </c>
      <c r="M167" s="1487">
        <v>1609.5</v>
      </c>
      <c r="N167" s="1487">
        <v>1876.3</v>
      </c>
      <c r="O167" s="1487"/>
      <c r="P167" s="1487"/>
      <c r="Q167" s="1487"/>
      <c r="R167" s="1487"/>
      <c r="S167" s="1487"/>
      <c r="T167" s="1487"/>
      <c r="U167" s="1487"/>
      <c r="V167" s="1487"/>
      <c r="W167" s="1489"/>
      <c r="AB167" s="1965"/>
      <c r="AC167" s="1965"/>
      <c r="AD167" s="1965"/>
      <c r="AE167" s="1965"/>
      <c r="AF167" s="1965"/>
      <c r="AG167" s="1965"/>
      <c r="AH167" s="1965"/>
      <c r="AI167" s="1965"/>
      <c r="AJ167" s="1965"/>
      <c r="AK167" s="1965"/>
    </row>
    <row r="168" spans="1:37" s="395" customFormat="1">
      <c r="A168" s="582" t="s">
        <v>1402</v>
      </c>
      <c r="B168" s="583"/>
      <c r="C168" s="2148" t="s">
        <v>1213</v>
      </c>
      <c r="D168" s="397"/>
      <c r="E168" s="397"/>
      <c r="F168" s="397"/>
      <c r="G168" s="1998"/>
      <c r="H168" s="1487">
        <v>115.2</v>
      </c>
      <c r="I168" s="1487">
        <v>22.8</v>
      </c>
      <c r="J168" s="1487"/>
      <c r="K168" s="1487"/>
      <c r="L168" s="1487">
        <v>195.75</v>
      </c>
      <c r="M168" s="1487">
        <v>191.4</v>
      </c>
      <c r="N168" s="1487">
        <v>131.94999999999999</v>
      </c>
      <c r="O168" s="1487"/>
      <c r="P168" s="1487"/>
      <c r="Q168" s="1487"/>
      <c r="R168" s="1487"/>
      <c r="S168" s="1487"/>
      <c r="T168" s="1487"/>
      <c r="U168" s="1487"/>
      <c r="V168" s="1487"/>
      <c r="W168" s="1489"/>
      <c r="AB168" s="1965"/>
      <c r="AC168" s="1965"/>
      <c r="AD168" s="1965"/>
      <c r="AE168" s="1965"/>
      <c r="AF168" s="1965"/>
      <c r="AG168" s="1965"/>
      <c r="AH168" s="1965"/>
      <c r="AI168" s="1965"/>
      <c r="AJ168" s="1965"/>
      <c r="AK168" s="1965"/>
    </row>
    <row r="169" spans="1:37" s="395" customFormat="1">
      <c r="A169" s="582"/>
      <c r="B169" s="583"/>
      <c r="C169" s="2148"/>
      <c r="D169" s="397"/>
      <c r="E169" s="397"/>
      <c r="F169" s="397"/>
      <c r="G169" s="1998"/>
      <c r="H169" s="1487"/>
      <c r="I169" s="1487"/>
      <c r="J169" s="1487"/>
      <c r="K169" s="1487"/>
      <c r="L169" s="1487"/>
      <c r="M169" s="1487"/>
      <c r="N169" s="1487"/>
      <c r="O169" s="397"/>
      <c r="P169" s="397"/>
      <c r="Q169" s="397"/>
      <c r="R169" s="1487"/>
      <c r="S169" s="1487"/>
      <c r="T169" s="1487"/>
      <c r="U169" s="1487"/>
      <c r="V169" s="1487"/>
      <c r="W169" s="1520"/>
      <c r="AB169" s="1965"/>
      <c r="AC169" s="1965"/>
      <c r="AD169" s="1965"/>
      <c r="AE169" s="1965"/>
      <c r="AF169" s="1965"/>
      <c r="AG169" s="1965"/>
      <c r="AH169" s="1965"/>
      <c r="AI169" s="1965"/>
      <c r="AJ169" s="1965"/>
      <c r="AK169" s="1965"/>
    </row>
    <row r="170" spans="1:37" s="395" customFormat="1">
      <c r="A170" s="3049"/>
      <c r="B170" s="3049"/>
      <c r="C170" s="3050" t="s">
        <v>1221</v>
      </c>
      <c r="D170" s="3051"/>
      <c r="E170" s="3051"/>
      <c r="F170" s="3051"/>
      <c r="G170" s="3052"/>
      <c r="H170" s="3053">
        <f t="shared" ref="H170:V170" si="24">SUM(H157:H169)</f>
        <v>30631.54</v>
      </c>
      <c r="I170" s="3053">
        <f t="shared" si="24"/>
        <v>18614.490000000002</v>
      </c>
      <c r="J170" s="3053">
        <f t="shared" si="24"/>
        <v>21240.93</v>
      </c>
      <c r="K170" s="3053">
        <f t="shared" si="24"/>
        <v>24613.360000000001</v>
      </c>
      <c r="L170" s="3053">
        <f t="shared" si="24"/>
        <v>25623.679999999997</v>
      </c>
      <c r="M170" s="3053">
        <f t="shared" si="24"/>
        <v>24407.960000000003</v>
      </c>
      <c r="N170" s="3053">
        <f t="shared" si="24"/>
        <v>2008.25</v>
      </c>
      <c r="O170" s="3053">
        <f t="shared" si="24"/>
        <v>30270.57</v>
      </c>
      <c r="P170" s="3053">
        <f t="shared" si="24"/>
        <v>29233.11</v>
      </c>
      <c r="Q170" s="3053">
        <f t="shared" si="24"/>
        <v>27432.76</v>
      </c>
      <c r="R170" s="3053">
        <f t="shared" si="24"/>
        <v>26333.679999999997</v>
      </c>
      <c r="S170" s="3053">
        <f t="shared" si="24"/>
        <v>19266.519999999997</v>
      </c>
      <c r="T170" s="3053">
        <f t="shared" si="24"/>
        <v>32544.550000000003</v>
      </c>
      <c r="U170" s="3053">
        <f t="shared" si="24"/>
        <v>21554.09</v>
      </c>
      <c r="V170" s="3053">
        <f t="shared" si="24"/>
        <v>24499.54</v>
      </c>
      <c r="W170" s="3054"/>
      <c r="AB170" s="1965"/>
      <c r="AC170" s="1965"/>
      <c r="AD170" s="1965"/>
      <c r="AE170" s="1965"/>
      <c r="AF170" s="1965"/>
      <c r="AG170" s="1965"/>
      <c r="AH170" s="1965"/>
      <c r="AI170" s="1965"/>
      <c r="AJ170" s="1965"/>
      <c r="AK170" s="1965"/>
    </row>
    <row r="171" spans="1:37" s="395" customFormat="1">
      <c r="A171" s="3048" t="s">
        <v>1163</v>
      </c>
      <c r="B171" s="1999"/>
      <c r="C171" s="2148"/>
      <c r="D171" s="397"/>
      <c r="E171" s="397"/>
      <c r="F171" s="397"/>
      <c r="G171" s="1998"/>
      <c r="H171" s="1487"/>
      <c r="I171" s="1487"/>
      <c r="J171" s="1487"/>
      <c r="K171" s="1487"/>
      <c r="L171" s="1487"/>
      <c r="M171" s="1487"/>
      <c r="N171" s="1487"/>
      <c r="O171" s="397"/>
      <c r="P171" s="397"/>
      <c r="Q171" s="397"/>
      <c r="R171" s="1487"/>
      <c r="S171" s="1487"/>
      <c r="T171" s="1487"/>
      <c r="U171" s="1487"/>
      <c r="V171" s="1487"/>
      <c r="W171" s="2017"/>
      <c r="AB171" s="1965"/>
      <c r="AC171" s="1965"/>
      <c r="AD171" s="1965"/>
      <c r="AE171" s="1965"/>
      <c r="AF171" s="1965"/>
      <c r="AG171" s="1965"/>
      <c r="AH171" s="1965"/>
      <c r="AI171" s="1965"/>
      <c r="AJ171" s="1965"/>
      <c r="AK171" s="1965"/>
    </row>
    <row r="172" spans="1:37" s="395" customFormat="1">
      <c r="A172" s="582" t="s">
        <v>1403</v>
      </c>
      <c r="B172" s="583"/>
      <c r="C172" s="2148" t="s">
        <v>1404</v>
      </c>
      <c r="D172" s="397"/>
      <c r="E172" s="397"/>
      <c r="F172" s="397"/>
      <c r="G172" s="1998"/>
      <c r="H172" s="1487"/>
      <c r="I172" s="1487"/>
      <c r="J172" s="1487"/>
      <c r="K172" s="1487"/>
      <c r="L172" s="1487"/>
      <c r="M172" s="1487">
        <v>388.61</v>
      </c>
      <c r="N172" s="1487"/>
      <c r="O172" s="397"/>
      <c r="P172" s="397"/>
      <c r="Q172" s="397"/>
      <c r="R172" s="1487"/>
      <c r="S172" s="1487"/>
      <c r="T172" s="1487"/>
      <c r="U172" s="1487"/>
      <c r="V172" s="1487"/>
      <c r="W172" s="1489"/>
      <c r="AB172" s="1965"/>
      <c r="AC172" s="1965"/>
      <c r="AD172" s="1965"/>
      <c r="AE172" s="1965"/>
      <c r="AF172" s="1965"/>
      <c r="AG172" s="1965"/>
      <c r="AH172" s="1965"/>
      <c r="AI172" s="1965"/>
      <c r="AJ172" s="1965"/>
      <c r="AK172" s="1965"/>
    </row>
    <row r="173" spans="1:37" s="395" customFormat="1">
      <c r="A173" s="582" t="s">
        <v>1405</v>
      </c>
      <c r="B173" s="583"/>
      <c r="C173" s="2148" t="s">
        <v>1225</v>
      </c>
      <c r="D173" s="397"/>
      <c r="E173" s="397"/>
      <c r="F173" s="397"/>
      <c r="G173" s="1998"/>
      <c r="H173" s="1487">
        <v>128719.93</v>
      </c>
      <c r="I173" s="1487">
        <v>125365.05</v>
      </c>
      <c r="J173" s="1487">
        <v>111892.7</v>
      </c>
      <c r="K173" s="1487">
        <v>114629.62</v>
      </c>
      <c r="L173" s="1487">
        <v>118435.37</v>
      </c>
      <c r="M173" s="1487">
        <v>118756.5</v>
      </c>
      <c r="N173" s="1487">
        <v>118756.25</v>
      </c>
      <c r="O173" s="1487"/>
      <c r="P173" s="1487"/>
      <c r="Q173" s="1487"/>
      <c r="R173" s="1487"/>
      <c r="S173" s="1487"/>
      <c r="T173" s="1487"/>
      <c r="U173" s="1487"/>
      <c r="V173" s="1487"/>
      <c r="W173" s="1489"/>
      <c r="AB173" s="1965"/>
      <c r="AC173" s="1965"/>
      <c r="AD173" s="1965"/>
      <c r="AE173" s="1965"/>
      <c r="AF173" s="1965"/>
      <c r="AG173" s="1965"/>
      <c r="AH173" s="1965"/>
      <c r="AI173" s="1965"/>
      <c r="AJ173" s="1965"/>
      <c r="AK173" s="1965"/>
    </row>
    <row r="174" spans="1:37" s="395" customFormat="1">
      <c r="A174" s="582" t="s">
        <v>1406</v>
      </c>
      <c r="B174" s="583"/>
      <c r="C174" s="2148" t="s">
        <v>1407</v>
      </c>
      <c r="D174" s="397"/>
      <c r="E174" s="397"/>
      <c r="F174" s="397"/>
      <c r="G174" s="1998"/>
      <c r="H174" s="1487">
        <v>27269</v>
      </c>
      <c r="I174" s="1487">
        <v>27269</v>
      </c>
      <c r="J174" s="1487">
        <v>27268</v>
      </c>
      <c r="K174" s="1487">
        <v>27268</v>
      </c>
      <c r="L174" s="1487">
        <v>27268</v>
      </c>
      <c r="M174" s="1487">
        <v>27268</v>
      </c>
      <c r="N174" s="1487">
        <v>27268</v>
      </c>
      <c r="O174" s="1487">
        <f>10907*3</f>
        <v>32721</v>
      </c>
      <c r="P174" s="1487">
        <v>32721</v>
      </c>
      <c r="Q174" s="1487">
        <v>32721</v>
      </c>
      <c r="R174" s="1487">
        <v>32721</v>
      </c>
      <c r="S174" s="1487">
        <v>32721</v>
      </c>
      <c r="T174" s="1487"/>
      <c r="U174" s="1487"/>
      <c r="V174" s="1487"/>
      <c r="W174" s="1489"/>
      <c r="AB174" s="1965"/>
      <c r="AC174" s="1965"/>
      <c r="AD174" s="1965"/>
      <c r="AE174" s="1965"/>
      <c r="AF174" s="1965"/>
      <c r="AG174" s="1965"/>
      <c r="AH174" s="1965"/>
      <c r="AI174" s="1965"/>
      <c r="AJ174" s="1965"/>
      <c r="AK174" s="1965"/>
    </row>
    <row r="175" spans="1:37" s="395" customFormat="1">
      <c r="A175" s="582" t="s">
        <v>1408</v>
      </c>
      <c r="B175" s="583"/>
      <c r="C175" s="2148" t="s">
        <v>1407</v>
      </c>
      <c r="D175" s="397"/>
      <c r="E175" s="397"/>
      <c r="F175" s="397"/>
      <c r="G175" s="1998"/>
      <c r="H175" s="1487">
        <v>5454</v>
      </c>
      <c r="I175" s="1487">
        <v>5454</v>
      </c>
      <c r="J175" s="1487">
        <v>8180</v>
      </c>
      <c r="K175" s="1487">
        <v>6889</v>
      </c>
      <c r="L175" s="1487">
        <v>6889</v>
      </c>
      <c r="M175" s="1487">
        <v>6889</v>
      </c>
      <c r="N175" s="1487">
        <v>6889</v>
      </c>
      <c r="O175" s="1487"/>
      <c r="P175" s="1487"/>
      <c r="Q175" s="1487"/>
      <c r="R175" s="1487"/>
      <c r="S175" s="1487"/>
      <c r="T175" s="1487"/>
      <c r="U175" s="1487"/>
      <c r="V175" s="1487"/>
      <c r="W175" s="1489"/>
      <c r="AB175" s="1965"/>
      <c r="AC175" s="1965"/>
      <c r="AD175" s="1965"/>
      <c r="AE175" s="1965"/>
      <c r="AF175" s="1965"/>
      <c r="AG175" s="1965"/>
      <c r="AH175" s="1965"/>
      <c r="AI175" s="1965"/>
      <c r="AJ175" s="1965"/>
      <c r="AK175" s="1965"/>
    </row>
    <row r="176" spans="1:37" s="395" customFormat="1">
      <c r="A176" s="582" t="s">
        <v>1409</v>
      </c>
      <c r="B176" s="583"/>
      <c r="C176" s="2148" t="s">
        <v>1223</v>
      </c>
      <c r="D176" s="397"/>
      <c r="E176" s="397"/>
      <c r="F176" s="397"/>
      <c r="G176" s="1998"/>
      <c r="H176" s="1487">
        <v>1708</v>
      </c>
      <c r="I176" s="1487">
        <v>3519.51</v>
      </c>
      <c r="J176" s="1487">
        <v>3320</v>
      </c>
      <c r="K176" s="1487">
        <v>2282</v>
      </c>
      <c r="L176" s="1487"/>
      <c r="M176" s="1487"/>
      <c r="N176" s="1487"/>
      <c r="O176" s="397"/>
      <c r="P176" s="397"/>
      <c r="Q176" s="397"/>
      <c r="R176" s="1487"/>
      <c r="S176" s="1487"/>
      <c r="T176" s="1487"/>
      <c r="U176" s="1487"/>
      <c r="V176" s="1487"/>
      <c r="W176" s="1489"/>
      <c r="AB176" s="1965"/>
      <c r="AC176" s="1965"/>
      <c r="AD176" s="1965"/>
      <c r="AE176" s="1965"/>
      <c r="AF176" s="1965"/>
      <c r="AG176" s="1965"/>
      <c r="AH176" s="1965"/>
      <c r="AI176" s="1965"/>
      <c r="AJ176" s="1965"/>
      <c r="AK176" s="1965"/>
    </row>
    <row r="177" spans="1:37" s="395" customFormat="1">
      <c r="A177" s="582" t="s">
        <v>1410</v>
      </c>
      <c r="B177" s="583"/>
      <c r="C177" s="2148" t="s">
        <v>1411</v>
      </c>
      <c r="D177" s="397"/>
      <c r="E177" s="397"/>
      <c r="F177" s="397"/>
      <c r="G177" s="1998"/>
      <c r="H177" s="1487"/>
      <c r="I177" s="1487"/>
      <c r="J177" s="1487"/>
      <c r="K177" s="1487"/>
      <c r="L177" s="1487"/>
      <c r="M177" s="1487"/>
      <c r="N177" s="1487"/>
      <c r="O177" s="1487">
        <f>2668+131366.74</f>
        <v>134034.74</v>
      </c>
      <c r="P177" s="1487">
        <f>2670+111853.4</f>
        <v>114523.4</v>
      </c>
      <c r="Q177" s="1487">
        <v>38791.550000000003</v>
      </c>
      <c r="R177" s="3055"/>
      <c r="S177" s="1487"/>
      <c r="T177" s="1487"/>
      <c r="U177" s="1487"/>
      <c r="V177" s="1487"/>
      <c r="W177" s="1489"/>
      <c r="AB177" s="1965"/>
      <c r="AC177" s="1965"/>
      <c r="AD177" s="1965"/>
      <c r="AE177" s="1965"/>
      <c r="AF177" s="1965"/>
      <c r="AG177" s="1965"/>
      <c r="AH177" s="1965"/>
      <c r="AI177" s="1965"/>
      <c r="AJ177" s="1965"/>
      <c r="AK177" s="1965"/>
    </row>
    <row r="178" spans="1:37" s="395" customFormat="1">
      <c r="A178" s="582" t="s">
        <v>1412</v>
      </c>
      <c r="B178" s="583">
        <v>740900</v>
      </c>
      <c r="C178" s="2148" t="s">
        <v>1413</v>
      </c>
      <c r="D178" s="397"/>
      <c r="E178" s="397"/>
      <c r="F178" s="397"/>
      <c r="G178" s="1998"/>
      <c r="H178" s="1487"/>
      <c r="I178" s="1487"/>
      <c r="J178" s="1487"/>
      <c r="K178" s="1487"/>
      <c r="L178" s="1487"/>
      <c r="M178" s="1487"/>
      <c r="N178" s="1487"/>
      <c r="O178" s="397"/>
      <c r="P178" s="397"/>
      <c r="Q178" s="1487">
        <v>3146</v>
      </c>
      <c r="R178" s="1487">
        <v>2580</v>
      </c>
      <c r="S178" s="1487">
        <v>2040.5</v>
      </c>
      <c r="T178" s="1487">
        <v>1798</v>
      </c>
      <c r="U178" s="1487">
        <v>1443.11</v>
      </c>
      <c r="V178" s="1487">
        <v>1120.08</v>
      </c>
      <c r="W178" s="1489"/>
      <c r="AB178" s="1965"/>
      <c r="AC178" s="1965"/>
      <c r="AD178" s="1965"/>
      <c r="AE178" s="1965"/>
      <c r="AF178" s="1965"/>
      <c r="AG178" s="1965"/>
      <c r="AH178" s="1965"/>
      <c r="AI178" s="1965"/>
      <c r="AJ178" s="1965"/>
      <c r="AK178" s="1965"/>
    </row>
    <row r="179" spans="1:37" s="395" customFormat="1">
      <c r="A179" s="3049"/>
      <c r="B179" s="3049"/>
      <c r="C179" s="3050" t="s">
        <v>1181</v>
      </c>
      <c r="D179" s="3051"/>
      <c r="E179" s="3051"/>
      <c r="F179" s="3051"/>
      <c r="G179" s="3052"/>
      <c r="H179" s="3053">
        <f>SUM(H173:H178)</f>
        <v>163150.93</v>
      </c>
      <c r="I179" s="3053">
        <f>SUM(I173:I178)</f>
        <v>161607.56</v>
      </c>
      <c r="J179" s="3053">
        <f>SUM(J173:J178)</f>
        <v>150660.70000000001</v>
      </c>
      <c r="K179" s="3053">
        <f>SUM(K173:K178)</f>
        <v>151068.62</v>
      </c>
      <c r="L179" s="3053">
        <f>SUM(L173:L178)</f>
        <v>152592.37</v>
      </c>
      <c r="M179" s="3053">
        <f t="shared" ref="M179:V179" si="25">SUM(M172:M178)</f>
        <v>153302.10999999999</v>
      </c>
      <c r="N179" s="3053">
        <f t="shared" si="25"/>
        <v>152913.25</v>
      </c>
      <c r="O179" s="3053">
        <f t="shared" si="25"/>
        <v>166755.74</v>
      </c>
      <c r="P179" s="3053">
        <f t="shared" si="25"/>
        <v>147244.4</v>
      </c>
      <c r="Q179" s="3053">
        <f t="shared" si="25"/>
        <v>74658.55</v>
      </c>
      <c r="R179" s="3053">
        <f t="shared" si="25"/>
        <v>35301</v>
      </c>
      <c r="S179" s="3053">
        <f t="shared" si="25"/>
        <v>34761.5</v>
      </c>
      <c r="T179" s="3053">
        <f t="shared" si="25"/>
        <v>1798</v>
      </c>
      <c r="U179" s="3053">
        <f t="shared" si="25"/>
        <v>1443.11</v>
      </c>
      <c r="V179" s="3053">
        <f t="shared" si="25"/>
        <v>1120.08</v>
      </c>
      <c r="W179" s="3054"/>
      <c r="AB179" s="1965"/>
      <c r="AC179" s="1965"/>
      <c r="AD179" s="1965"/>
      <c r="AE179" s="1965"/>
      <c r="AF179" s="1965"/>
      <c r="AG179" s="1965"/>
      <c r="AH179" s="1965"/>
      <c r="AI179" s="1965"/>
      <c r="AJ179" s="1965"/>
      <c r="AK179" s="1965"/>
    </row>
    <row r="180" spans="1:37" s="395" customFormat="1">
      <c r="A180" s="3048" t="s">
        <v>47</v>
      </c>
      <c r="B180" s="1999"/>
      <c r="C180" s="2148"/>
      <c r="D180" s="397"/>
      <c r="E180" s="397"/>
      <c r="F180" s="397"/>
      <c r="G180" s="1998"/>
      <c r="H180" s="1487"/>
      <c r="I180" s="1487"/>
      <c r="J180" s="1487"/>
      <c r="K180" s="1487"/>
      <c r="L180" s="1487"/>
      <c r="M180" s="1487"/>
      <c r="N180" s="1487"/>
      <c r="O180" s="397"/>
      <c r="P180" s="397"/>
      <c r="Q180" s="397"/>
      <c r="R180" s="1487"/>
      <c r="S180" s="1487"/>
      <c r="T180" s="1487"/>
      <c r="U180" s="1487"/>
      <c r="V180" s="1487"/>
      <c r="W180" s="1489"/>
      <c r="AB180" s="1965"/>
      <c r="AC180" s="1965"/>
      <c r="AD180" s="1965"/>
      <c r="AE180" s="1965"/>
      <c r="AF180" s="1965"/>
      <c r="AG180" s="1965"/>
      <c r="AH180" s="1965"/>
      <c r="AI180" s="1965"/>
      <c r="AJ180" s="1965"/>
      <c r="AK180" s="1965"/>
    </row>
    <row r="181" spans="1:37" s="395" customFormat="1">
      <c r="A181" s="582"/>
      <c r="B181" s="583"/>
      <c r="C181" s="2148"/>
      <c r="D181" s="397"/>
      <c r="E181" s="397"/>
      <c r="F181" s="397"/>
      <c r="G181" s="1998"/>
      <c r="H181" s="1487"/>
      <c r="I181" s="1487"/>
      <c r="J181" s="1487"/>
      <c r="K181" s="1487"/>
      <c r="L181" s="1487"/>
      <c r="M181" s="1487"/>
      <c r="N181" s="1487"/>
      <c r="O181" s="397"/>
      <c r="P181" s="397"/>
      <c r="Q181" s="397"/>
      <c r="R181" s="1487"/>
      <c r="S181" s="1487"/>
      <c r="T181" s="1487"/>
      <c r="U181" s="1487"/>
      <c r="V181" s="1487"/>
      <c r="W181" s="1489"/>
      <c r="AB181" s="1965"/>
      <c r="AC181" s="1965"/>
      <c r="AD181" s="1965"/>
      <c r="AE181" s="1965"/>
      <c r="AF181" s="1965"/>
      <c r="AG181" s="1965"/>
      <c r="AH181" s="1965"/>
      <c r="AI181" s="1965"/>
      <c r="AJ181" s="1965"/>
      <c r="AK181" s="1965"/>
    </row>
    <row r="182" spans="1:37" s="395" customFormat="1">
      <c r="A182" s="3049"/>
      <c r="B182" s="3049"/>
      <c r="C182" s="3050" t="s">
        <v>1185</v>
      </c>
      <c r="D182" s="3051"/>
      <c r="E182" s="3051"/>
      <c r="F182" s="3051"/>
      <c r="G182" s="3052"/>
      <c r="H182" s="3053">
        <f t="shared" ref="H182:S182" si="26">SUM(H181)</f>
        <v>0</v>
      </c>
      <c r="I182" s="3053">
        <f t="shared" si="26"/>
        <v>0</v>
      </c>
      <c r="J182" s="3053">
        <f t="shared" si="26"/>
        <v>0</v>
      </c>
      <c r="K182" s="3053">
        <f t="shared" si="26"/>
        <v>0</v>
      </c>
      <c r="L182" s="3053">
        <f t="shared" si="26"/>
        <v>0</v>
      </c>
      <c r="M182" s="3053">
        <f t="shared" si="26"/>
        <v>0</v>
      </c>
      <c r="N182" s="3053">
        <f t="shared" si="26"/>
        <v>0</v>
      </c>
      <c r="O182" s="3053">
        <f t="shared" si="26"/>
        <v>0</v>
      </c>
      <c r="P182" s="3053">
        <f t="shared" si="26"/>
        <v>0</v>
      </c>
      <c r="Q182" s="3053">
        <f t="shared" si="26"/>
        <v>0</v>
      </c>
      <c r="R182" s="3053">
        <f t="shared" si="26"/>
        <v>0</v>
      </c>
      <c r="S182" s="3053">
        <f t="shared" si="26"/>
        <v>0</v>
      </c>
      <c r="T182" s="3053">
        <f>SUM(T181)</f>
        <v>0</v>
      </c>
      <c r="U182" s="3053">
        <f>SUM(U181)</f>
        <v>0</v>
      </c>
      <c r="V182" s="3053">
        <f>SUM(V181)</f>
        <v>0</v>
      </c>
      <c r="W182" s="3054"/>
      <c r="AB182" s="1965"/>
      <c r="AC182" s="1965"/>
      <c r="AD182" s="1965"/>
      <c r="AE182" s="1965"/>
      <c r="AF182" s="1965"/>
      <c r="AG182" s="1965"/>
      <c r="AH182" s="1965"/>
      <c r="AI182" s="1965"/>
      <c r="AJ182" s="1965"/>
      <c r="AK182" s="1965"/>
    </row>
    <row r="183" spans="1:37" s="395" customFormat="1" ht="13.5" thickBot="1">
      <c r="A183" s="582"/>
      <c r="B183" s="583"/>
      <c r="C183" s="2148"/>
      <c r="D183" s="397"/>
      <c r="E183" s="397"/>
      <c r="F183" s="397"/>
      <c r="G183" s="1998"/>
      <c r="H183" s="1487"/>
      <c r="I183" s="1487"/>
      <c r="J183" s="1487"/>
      <c r="K183" s="1487"/>
      <c r="L183" s="1487"/>
      <c r="M183" s="1487"/>
      <c r="N183" s="1487"/>
      <c r="O183" s="1487"/>
      <c r="P183" s="1487"/>
      <c r="Q183" s="1487"/>
      <c r="R183" s="1487"/>
      <c r="S183" s="1487"/>
      <c r="T183" s="1487"/>
      <c r="U183" s="1487"/>
      <c r="V183" s="1487"/>
      <c r="W183" s="1489"/>
      <c r="AB183" s="1965"/>
      <c r="AC183" s="1965"/>
      <c r="AD183" s="1965"/>
      <c r="AE183" s="1965"/>
      <c r="AF183" s="1965"/>
      <c r="AG183" s="1965"/>
      <c r="AH183" s="1965"/>
      <c r="AI183" s="1965"/>
      <c r="AJ183" s="1965"/>
      <c r="AK183" s="1965"/>
    </row>
    <row r="184" spans="1:37" s="395" customFormat="1" ht="13.5" thickBot="1">
      <c r="A184" s="3056"/>
      <c r="B184" s="3738"/>
      <c r="C184" s="3057" t="s">
        <v>1234</v>
      </c>
      <c r="D184" s="1979"/>
      <c r="E184" s="1979"/>
      <c r="F184" s="1979"/>
      <c r="G184" s="3058"/>
      <c r="H184" s="3059">
        <f t="shared" ref="H184:S184" si="27">H170+H179+H182</f>
        <v>193782.47</v>
      </c>
      <c r="I184" s="3059">
        <f t="shared" si="27"/>
        <v>180222.05</v>
      </c>
      <c r="J184" s="3059">
        <f t="shared" si="27"/>
        <v>171901.63</v>
      </c>
      <c r="K184" s="3059">
        <f t="shared" si="27"/>
        <v>175681.97999999998</v>
      </c>
      <c r="L184" s="3059">
        <f t="shared" si="27"/>
        <v>178216.05</v>
      </c>
      <c r="M184" s="3059">
        <f t="shared" si="27"/>
        <v>177710.06999999998</v>
      </c>
      <c r="N184" s="3059">
        <f t="shared" si="27"/>
        <v>154921.5</v>
      </c>
      <c r="O184" s="3059">
        <f t="shared" si="27"/>
        <v>197026.31</v>
      </c>
      <c r="P184" s="3059">
        <f t="shared" si="27"/>
        <v>176477.51</v>
      </c>
      <c r="Q184" s="3059">
        <f t="shared" si="27"/>
        <v>102091.31</v>
      </c>
      <c r="R184" s="3059">
        <f t="shared" si="27"/>
        <v>61634.679999999993</v>
      </c>
      <c r="S184" s="3059">
        <f t="shared" si="27"/>
        <v>54028.02</v>
      </c>
      <c r="T184" s="3059">
        <f>T170+T179+T182</f>
        <v>34342.550000000003</v>
      </c>
      <c r="U184" s="3059">
        <f>U170+U179+U182</f>
        <v>22997.200000000001</v>
      </c>
      <c r="V184" s="3059">
        <f>V170+V179+V182</f>
        <v>25619.620000000003</v>
      </c>
      <c r="W184" s="3845"/>
      <c r="AB184" s="1965"/>
      <c r="AC184" s="1965"/>
      <c r="AD184" s="1965"/>
      <c r="AE184" s="1965"/>
      <c r="AF184" s="1965"/>
      <c r="AG184" s="1965"/>
      <c r="AH184" s="1965"/>
      <c r="AI184" s="1965"/>
      <c r="AJ184" s="1965"/>
      <c r="AK184" s="1965"/>
    </row>
    <row r="185" spans="1:37" s="395" customFormat="1">
      <c r="A185" s="1633"/>
      <c r="B185" s="1633"/>
      <c r="H185" s="1965"/>
      <c r="I185" s="1965"/>
      <c r="J185" s="1965"/>
      <c r="K185" s="1965"/>
      <c r="L185" s="1965"/>
      <c r="M185" s="1965"/>
      <c r="N185" s="1965"/>
      <c r="R185" s="1965"/>
      <c r="S185" s="1965"/>
      <c r="T185" s="1965"/>
      <c r="U185" s="1965"/>
      <c r="V185" s="1965"/>
      <c r="W185" s="1965"/>
      <c r="AB185" s="1965"/>
      <c r="AC185" s="1965"/>
      <c r="AD185" s="1965"/>
      <c r="AE185" s="1965"/>
      <c r="AF185" s="1965"/>
      <c r="AG185" s="1965"/>
      <c r="AH185" s="1965"/>
      <c r="AI185" s="1965"/>
      <c r="AJ185" s="1965"/>
      <c r="AK185" s="1965"/>
    </row>
    <row r="186" spans="1:37" s="395" customFormat="1">
      <c r="A186" s="1633"/>
      <c r="B186" s="1633"/>
      <c r="H186" s="1965"/>
      <c r="I186" s="1965"/>
      <c r="J186" s="1965"/>
      <c r="K186" s="1965"/>
      <c r="L186" s="1965"/>
      <c r="M186" s="1965"/>
      <c r="N186" s="1965"/>
      <c r="R186" s="1965"/>
      <c r="S186" s="1965"/>
      <c r="T186" s="1965"/>
      <c r="U186" s="1965"/>
      <c r="V186" s="1965"/>
      <c r="W186" s="1965"/>
      <c r="AB186" s="1965"/>
      <c r="AC186" s="1965"/>
      <c r="AD186" s="1965"/>
      <c r="AE186" s="1965"/>
      <c r="AF186" s="1965"/>
      <c r="AG186" s="1965"/>
      <c r="AH186" s="1965"/>
      <c r="AI186" s="1965"/>
      <c r="AJ186" s="1965"/>
      <c r="AK186" s="1965"/>
    </row>
    <row r="187" spans="1:37" s="395" customFormat="1">
      <c r="A187" s="1633"/>
      <c r="B187" s="1633"/>
      <c r="H187" s="1965"/>
      <c r="I187" s="1965"/>
      <c r="J187" s="1965"/>
      <c r="K187" s="1965"/>
      <c r="L187" s="1965"/>
      <c r="M187" s="1965"/>
      <c r="N187" s="1965"/>
      <c r="R187" s="1965"/>
      <c r="S187" s="1965"/>
      <c r="T187" s="1965"/>
      <c r="U187" s="1965"/>
      <c r="V187" s="1965"/>
      <c r="W187" s="1965"/>
      <c r="AB187" s="1965"/>
      <c r="AC187" s="1965"/>
      <c r="AD187" s="1965"/>
      <c r="AE187" s="1965"/>
      <c r="AF187" s="1965"/>
      <c r="AG187" s="1965"/>
      <c r="AH187" s="1965"/>
      <c r="AI187" s="1965"/>
      <c r="AJ187" s="1965"/>
      <c r="AK187" s="1965"/>
    </row>
    <row r="188" spans="1:37" s="395" customFormat="1">
      <c r="C188" s="1965"/>
      <c r="D188" s="1965"/>
      <c r="E188" s="1965"/>
      <c r="F188" s="1965"/>
      <c r="G188" s="1965"/>
      <c r="H188" s="1965"/>
      <c r="I188" s="1965"/>
      <c r="J188" s="1965"/>
      <c r="K188" s="1965"/>
      <c r="L188" s="1965"/>
      <c r="M188" s="1965"/>
      <c r="N188" s="1965"/>
      <c r="O188" s="1965"/>
      <c r="P188" s="1965"/>
      <c r="Q188" s="1965"/>
      <c r="R188" s="1965"/>
      <c r="S188" s="1965"/>
      <c r="T188" s="1965"/>
      <c r="U188" s="1965"/>
      <c r="V188" s="1965"/>
      <c r="W188" s="1965"/>
      <c r="X188" s="1965"/>
      <c r="Y188" s="1965"/>
      <c r="Z188" s="1965"/>
      <c r="AA188" s="1965"/>
      <c r="AB188" s="1965"/>
      <c r="AC188" s="1965"/>
      <c r="AD188" s="1965"/>
      <c r="AE188" s="1965"/>
      <c r="AF188" s="1965"/>
      <c r="AG188" s="1965"/>
      <c r="AH188" s="1965"/>
      <c r="AI188" s="1965"/>
      <c r="AJ188" s="1965"/>
      <c r="AK188" s="1965"/>
    </row>
    <row r="189" spans="1:37" s="395" customFormat="1">
      <c r="C189" s="1965"/>
      <c r="D189" s="1965"/>
      <c r="E189" s="1965"/>
      <c r="F189" s="1965"/>
      <c r="G189" s="1965"/>
      <c r="H189" s="1965"/>
      <c r="I189" s="1965"/>
      <c r="J189" s="1965"/>
      <c r="K189" s="1965"/>
      <c r="L189" s="1965"/>
      <c r="M189" s="1965"/>
      <c r="N189" s="1965"/>
      <c r="O189" s="1965"/>
      <c r="P189" s="1965"/>
      <c r="Q189" s="1965"/>
      <c r="R189" s="1965"/>
      <c r="S189" s="1965"/>
      <c r="T189" s="1965"/>
      <c r="U189" s="1965"/>
      <c r="V189" s="1965"/>
      <c r="W189" s="1965"/>
      <c r="X189" s="1965"/>
      <c r="Y189" s="1965"/>
      <c r="Z189" s="1965"/>
      <c r="AA189" s="1965"/>
      <c r="AB189" s="1965"/>
      <c r="AC189" s="1965"/>
      <c r="AD189" s="1965"/>
      <c r="AE189" s="1965"/>
      <c r="AF189" s="1965"/>
      <c r="AG189" s="1965"/>
      <c r="AH189" s="1965"/>
      <c r="AI189" s="1965"/>
      <c r="AJ189" s="1965"/>
      <c r="AK189" s="1965"/>
    </row>
    <row r="190" spans="1:37" s="395" customFormat="1">
      <c r="C190" s="1965"/>
      <c r="D190" s="1965"/>
      <c r="E190" s="1965"/>
      <c r="F190" s="1965"/>
      <c r="G190" s="1965"/>
      <c r="H190" s="1965"/>
      <c r="I190" s="1965"/>
      <c r="J190" s="1965"/>
      <c r="K190" s="1965"/>
      <c r="L190" s="1965"/>
      <c r="M190" s="1965"/>
      <c r="N190" s="1965"/>
      <c r="O190" s="1965"/>
      <c r="P190" s="1965"/>
      <c r="Q190" s="1965"/>
      <c r="R190" s="1965"/>
      <c r="S190" s="1965"/>
      <c r="T190" s="1965"/>
      <c r="U190" s="1965"/>
      <c r="V190" s="1965"/>
      <c r="W190" s="1965"/>
      <c r="X190" s="1965"/>
      <c r="Y190" s="1965"/>
      <c r="Z190" s="1965"/>
      <c r="AA190" s="1965"/>
      <c r="AB190" s="1965"/>
      <c r="AC190" s="1965"/>
      <c r="AD190" s="1965"/>
      <c r="AE190" s="1965"/>
      <c r="AF190" s="1965"/>
      <c r="AG190" s="1965"/>
      <c r="AH190" s="1965"/>
      <c r="AI190" s="1965"/>
      <c r="AJ190" s="1965"/>
      <c r="AK190" s="1965"/>
    </row>
    <row r="191" spans="1:37" s="395" customFormat="1">
      <c r="C191" s="1965"/>
      <c r="D191" s="1965"/>
      <c r="E191" s="1965"/>
      <c r="F191" s="1965"/>
      <c r="G191" s="1965"/>
      <c r="H191" s="1965"/>
      <c r="I191" s="1965"/>
      <c r="J191" s="1965"/>
      <c r="K191" s="1965"/>
      <c r="L191" s="1965"/>
      <c r="M191" s="1965"/>
      <c r="N191" s="1965"/>
      <c r="O191" s="1965"/>
      <c r="P191" s="1965"/>
      <c r="Q191" s="1965"/>
      <c r="R191" s="1965"/>
      <c r="S191" s="1965"/>
      <c r="T191" s="1965"/>
      <c r="U191" s="1965"/>
      <c r="V191" s="1965"/>
      <c r="W191" s="1965"/>
      <c r="X191" s="1965"/>
      <c r="Y191" s="1965"/>
      <c r="Z191" s="1965"/>
      <c r="AA191" s="1965"/>
      <c r="AB191" s="1965"/>
      <c r="AC191" s="1965"/>
      <c r="AD191" s="1965"/>
      <c r="AE191" s="1965"/>
      <c r="AF191" s="1965"/>
      <c r="AG191" s="1965"/>
      <c r="AH191" s="1965"/>
      <c r="AI191" s="1965"/>
      <c r="AJ191" s="1965"/>
      <c r="AK191" s="1965"/>
    </row>
    <row r="192" spans="1:37" s="395" customFormat="1">
      <c r="C192" s="1965"/>
      <c r="D192" s="1965"/>
      <c r="E192" s="1965"/>
      <c r="F192" s="1965"/>
      <c r="G192" s="1965"/>
      <c r="H192" s="1965"/>
      <c r="I192" s="1965"/>
      <c r="J192" s="1965"/>
      <c r="K192" s="1965"/>
      <c r="L192" s="1965"/>
      <c r="M192" s="1965"/>
      <c r="N192" s="1965"/>
      <c r="O192" s="1965"/>
      <c r="P192" s="1965"/>
      <c r="Q192" s="1965"/>
      <c r="R192" s="1965"/>
      <c r="S192" s="1965"/>
      <c r="T192" s="1965"/>
      <c r="U192" s="1965"/>
      <c r="V192" s="1965"/>
      <c r="W192" s="1965"/>
      <c r="X192" s="1965"/>
      <c r="Y192" s="1965"/>
      <c r="Z192" s="1965"/>
      <c r="AA192" s="1965"/>
      <c r="AB192" s="1965"/>
      <c r="AC192" s="1965"/>
      <c r="AD192" s="1965"/>
      <c r="AE192" s="1965"/>
      <c r="AF192" s="1965"/>
      <c r="AG192" s="1965"/>
      <c r="AH192" s="1965"/>
      <c r="AI192" s="1965"/>
      <c r="AJ192" s="1965"/>
      <c r="AK192" s="1965"/>
    </row>
    <row r="193" spans="3:37" s="395" customFormat="1">
      <c r="C193" s="1965"/>
      <c r="D193" s="1965"/>
      <c r="E193" s="1965"/>
      <c r="F193" s="1965"/>
      <c r="G193" s="1965"/>
      <c r="H193" s="1965"/>
      <c r="I193" s="1965"/>
      <c r="J193" s="1965"/>
      <c r="K193" s="1965"/>
      <c r="L193" s="1965"/>
      <c r="M193" s="1965"/>
      <c r="N193" s="1965"/>
      <c r="O193" s="1965"/>
      <c r="P193" s="1965"/>
      <c r="Q193" s="1965"/>
      <c r="R193" s="1965"/>
      <c r="S193" s="1965"/>
      <c r="T193" s="1965"/>
      <c r="U193" s="1965"/>
      <c r="V193" s="1965"/>
      <c r="W193" s="1965"/>
      <c r="X193" s="1965"/>
      <c r="Y193" s="1965"/>
      <c r="Z193" s="1965"/>
      <c r="AA193" s="1965"/>
      <c r="AB193" s="1965"/>
      <c r="AC193" s="1965"/>
      <c r="AD193" s="1965"/>
      <c r="AE193" s="1965"/>
      <c r="AF193" s="1965"/>
      <c r="AG193" s="1965"/>
      <c r="AH193" s="1965"/>
      <c r="AI193" s="1965"/>
      <c r="AJ193" s="1965"/>
      <c r="AK193" s="1965"/>
    </row>
    <row r="194" spans="3:37" s="395" customFormat="1">
      <c r="C194" s="1965"/>
      <c r="D194" s="1965"/>
      <c r="E194" s="1965"/>
      <c r="F194" s="1965"/>
      <c r="G194" s="1965"/>
      <c r="H194" s="1965"/>
      <c r="I194" s="1965"/>
      <c r="J194" s="1965"/>
      <c r="K194" s="1965"/>
      <c r="L194" s="1965"/>
      <c r="M194" s="1965"/>
      <c r="N194" s="1965"/>
      <c r="O194" s="1965"/>
      <c r="P194" s="1965"/>
      <c r="Q194" s="1965"/>
      <c r="R194" s="1965"/>
      <c r="S194" s="1965"/>
      <c r="T194" s="1965"/>
      <c r="U194" s="1965"/>
      <c r="V194" s="1965"/>
      <c r="W194" s="1965"/>
      <c r="X194" s="1965"/>
      <c r="Y194" s="1965"/>
      <c r="Z194" s="1965"/>
      <c r="AA194" s="1965"/>
      <c r="AB194" s="1965"/>
      <c r="AC194" s="1965"/>
      <c r="AD194" s="1965"/>
      <c r="AE194" s="1965"/>
      <c r="AF194" s="1965"/>
      <c r="AG194" s="1965"/>
      <c r="AH194" s="1965"/>
      <c r="AI194" s="1965"/>
      <c r="AJ194" s="1965"/>
      <c r="AK194" s="1965"/>
    </row>
    <row r="195" spans="3:37" s="395" customFormat="1">
      <c r="C195" s="1965"/>
      <c r="D195" s="1965"/>
      <c r="E195" s="1965"/>
      <c r="F195" s="1965"/>
      <c r="G195" s="1965"/>
      <c r="H195" s="1965"/>
      <c r="I195" s="1965"/>
      <c r="J195" s="1965"/>
      <c r="K195" s="1965"/>
      <c r="L195" s="1965"/>
      <c r="M195" s="1965"/>
      <c r="N195" s="1965"/>
      <c r="O195" s="1965"/>
      <c r="P195" s="1965"/>
      <c r="Q195" s="1965"/>
      <c r="R195" s="1965"/>
      <c r="S195" s="1965"/>
      <c r="T195" s="1965"/>
      <c r="U195" s="1965"/>
      <c r="V195" s="1965"/>
      <c r="W195" s="1965"/>
      <c r="X195" s="1965"/>
      <c r="Y195" s="1965"/>
      <c r="Z195" s="1965"/>
      <c r="AA195" s="1965"/>
      <c r="AB195" s="1965"/>
      <c r="AC195" s="1965"/>
      <c r="AD195" s="1965"/>
      <c r="AE195" s="1965"/>
      <c r="AF195" s="1965"/>
      <c r="AG195" s="1965"/>
      <c r="AH195" s="1965"/>
      <c r="AI195" s="1965"/>
      <c r="AJ195" s="1965"/>
      <c r="AK195" s="1965"/>
    </row>
    <row r="196" spans="3:37" s="395" customFormat="1">
      <c r="C196" s="1965"/>
      <c r="D196" s="1965"/>
      <c r="E196" s="1965"/>
      <c r="F196" s="1965"/>
      <c r="G196" s="1965"/>
      <c r="H196" s="1965"/>
      <c r="I196" s="1965"/>
      <c r="J196" s="1965"/>
      <c r="K196" s="1965"/>
      <c r="L196" s="1965"/>
      <c r="M196" s="1965"/>
      <c r="N196" s="1965"/>
      <c r="O196" s="1965"/>
      <c r="P196" s="1965"/>
      <c r="Q196" s="1965"/>
      <c r="R196" s="1965"/>
      <c r="S196" s="1965"/>
      <c r="T196" s="1965"/>
      <c r="U196" s="1965"/>
      <c r="V196" s="1965"/>
      <c r="W196" s="1965"/>
      <c r="X196" s="1965"/>
      <c r="Y196" s="1965"/>
      <c r="Z196" s="1965"/>
      <c r="AA196" s="1965"/>
      <c r="AB196" s="1965"/>
      <c r="AC196" s="1965"/>
      <c r="AD196" s="1965"/>
      <c r="AE196" s="1965"/>
      <c r="AF196" s="1965"/>
      <c r="AG196" s="1965"/>
      <c r="AH196" s="1965"/>
      <c r="AI196" s="1965"/>
      <c r="AJ196" s="1965"/>
      <c r="AK196" s="1965"/>
    </row>
    <row r="197" spans="3:37" s="395" customFormat="1">
      <c r="C197" s="1965"/>
      <c r="D197" s="1965"/>
      <c r="E197" s="1965"/>
      <c r="F197" s="1965"/>
      <c r="G197" s="1965"/>
      <c r="H197" s="1965"/>
      <c r="I197" s="1965"/>
      <c r="J197" s="1965"/>
      <c r="K197" s="1965"/>
      <c r="L197" s="1965"/>
      <c r="M197" s="1965"/>
      <c r="N197" s="1965"/>
      <c r="O197" s="1965"/>
      <c r="P197" s="1965"/>
      <c r="Q197" s="1965"/>
      <c r="R197" s="1965"/>
      <c r="S197" s="1965"/>
      <c r="T197" s="1965"/>
      <c r="U197" s="1965"/>
      <c r="V197" s="1965"/>
      <c r="W197" s="1965"/>
      <c r="X197" s="1965"/>
      <c r="Y197" s="1965"/>
      <c r="Z197" s="1965"/>
      <c r="AA197" s="1965"/>
      <c r="AB197" s="1965"/>
      <c r="AC197" s="1965"/>
      <c r="AD197" s="1965"/>
      <c r="AE197" s="1965"/>
      <c r="AF197" s="1965"/>
      <c r="AG197" s="1965"/>
      <c r="AH197" s="1965"/>
      <c r="AI197" s="1965"/>
      <c r="AJ197" s="1965"/>
      <c r="AK197" s="1965"/>
    </row>
    <row r="198" spans="3:37" s="395" customFormat="1">
      <c r="C198" s="1965"/>
      <c r="D198" s="1965"/>
      <c r="E198" s="1965"/>
      <c r="F198" s="1965"/>
      <c r="G198" s="1965"/>
      <c r="H198" s="1965"/>
      <c r="I198" s="1965"/>
      <c r="J198" s="1965"/>
      <c r="K198" s="1965"/>
      <c r="L198" s="1965"/>
      <c r="M198" s="1965"/>
      <c r="N198" s="1965"/>
      <c r="O198" s="1965"/>
      <c r="P198" s="1965"/>
      <c r="Q198" s="1965"/>
      <c r="R198" s="1965"/>
      <c r="S198" s="1965"/>
      <c r="T198" s="1965"/>
      <c r="U198" s="1965"/>
      <c r="V198" s="1965"/>
      <c r="W198" s="1965"/>
      <c r="X198" s="1965"/>
      <c r="Y198" s="1965"/>
      <c r="Z198" s="1965"/>
      <c r="AA198" s="1965"/>
      <c r="AB198" s="1965"/>
      <c r="AC198" s="1965"/>
      <c r="AD198" s="1965"/>
      <c r="AE198" s="1965"/>
      <c r="AF198" s="1965"/>
      <c r="AG198" s="1965"/>
      <c r="AH198" s="1965"/>
      <c r="AI198" s="1965"/>
      <c r="AJ198" s="1965"/>
      <c r="AK198" s="1965"/>
    </row>
    <row r="199" spans="3:37" s="395" customFormat="1">
      <c r="C199" s="1965"/>
      <c r="D199" s="1965"/>
      <c r="E199" s="1965"/>
      <c r="F199" s="1965"/>
      <c r="G199" s="1965"/>
      <c r="H199" s="1965"/>
      <c r="I199" s="1965"/>
      <c r="J199" s="1965"/>
      <c r="K199" s="1965"/>
      <c r="L199" s="1965"/>
      <c r="M199" s="1965"/>
      <c r="N199" s="1965"/>
      <c r="O199" s="1965"/>
      <c r="P199" s="1965"/>
      <c r="Q199" s="1965"/>
      <c r="R199" s="1965"/>
      <c r="S199" s="1965"/>
      <c r="T199" s="1965"/>
      <c r="U199" s="1965"/>
      <c r="V199" s="1965"/>
      <c r="W199" s="1965"/>
      <c r="X199" s="1965"/>
      <c r="Y199" s="1965"/>
      <c r="Z199" s="1965"/>
      <c r="AA199" s="1965"/>
      <c r="AB199" s="1965"/>
      <c r="AC199" s="1965"/>
      <c r="AD199" s="1965"/>
      <c r="AE199" s="1965"/>
      <c r="AF199" s="1965"/>
      <c r="AG199" s="1965"/>
      <c r="AH199" s="1965"/>
      <c r="AI199" s="1965"/>
      <c r="AJ199" s="1965"/>
      <c r="AK199" s="1965"/>
    </row>
    <row r="200" spans="3:37" s="395" customFormat="1">
      <c r="C200" s="1965"/>
      <c r="D200" s="1965"/>
      <c r="E200" s="1965"/>
      <c r="F200" s="1965"/>
      <c r="G200" s="1965"/>
      <c r="H200" s="1965"/>
      <c r="I200" s="1965"/>
      <c r="J200" s="1965"/>
      <c r="K200" s="1965"/>
      <c r="L200" s="1965"/>
      <c r="M200" s="1965"/>
      <c r="N200" s="1965"/>
      <c r="O200" s="1965"/>
      <c r="P200" s="1965"/>
      <c r="Q200" s="1965"/>
      <c r="R200" s="1965"/>
      <c r="S200" s="1965"/>
      <c r="T200" s="1965"/>
      <c r="U200" s="1965"/>
      <c r="V200" s="1965"/>
      <c r="W200" s="1965"/>
      <c r="X200" s="1965"/>
      <c r="Y200" s="1965"/>
      <c r="Z200" s="1965"/>
      <c r="AA200" s="1965"/>
      <c r="AB200" s="1965"/>
      <c r="AC200" s="1965"/>
      <c r="AD200" s="1965"/>
      <c r="AE200" s="1965"/>
      <c r="AF200" s="1965"/>
      <c r="AG200" s="1965"/>
      <c r="AH200" s="1965"/>
      <c r="AI200" s="1965"/>
      <c r="AJ200" s="1965"/>
      <c r="AK200" s="1965"/>
    </row>
    <row r="201" spans="3:37" s="395" customFormat="1">
      <c r="C201" s="1965"/>
      <c r="D201" s="1965"/>
      <c r="E201" s="1965"/>
      <c r="F201" s="1965"/>
      <c r="G201" s="1965"/>
      <c r="H201" s="1965"/>
      <c r="I201" s="1965"/>
      <c r="J201" s="1965"/>
      <c r="K201" s="1965"/>
      <c r="L201" s="1965"/>
      <c r="M201" s="1965"/>
      <c r="N201" s="1965"/>
      <c r="O201" s="1965"/>
      <c r="P201" s="1965"/>
      <c r="Q201" s="1965"/>
      <c r="R201" s="1965"/>
      <c r="S201" s="1965"/>
      <c r="T201" s="1965"/>
      <c r="U201" s="1965"/>
      <c r="V201" s="1965"/>
      <c r="W201" s="1965"/>
      <c r="X201" s="1965"/>
      <c r="Y201" s="1965"/>
      <c r="Z201" s="1965"/>
      <c r="AA201" s="1965"/>
      <c r="AB201" s="1965"/>
      <c r="AC201" s="1965"/>
      <c r="AD201" s="1965"/>
      <c r="AE201" s="1965"/>
      <c r="AF201" s="1965"/>
      <c r="AG201" s="1965"/>
      <c r="AH201" s="1965"/>
      <c r="AI201" s="1965"/>
      <c r="AJ201" s="1965"/>
      <c r="AK201" s="1965"/>
    </row>
    <row r="202" spans="3:37" s="395" customFormat="1">
      <c r="C202" s="1965"/>
      <c r="D202" s="1965"/>
      <c r="E202" s="1965"/>
      <c r="F202" s="1965"/>
      <c r="G202" s="1965"/>
      <c r="H202" s="1965"/>
      <c r="I202" s="1965"/>
      <c r="J202" s="1965"/>
      <c r="K202" s="1965"/>
      <c r="L202" s="1965"/>
      <c r="M202" s="1965"/>
      <c r="N202" s="1965"/>
      <c r="O202" s="1965"/>
      <c r="P202" s="1965"/>
      <c r="Q202" s="1965"/>
      <c r="R202" s="1965"/>
      <c r="S202" s="1965"/>
      <c r="T202" s="1965"/>
      <c r="U202" s="1965"/>
      <c r="V202" s="1965"/>
      <c r="W202" s="1965"/>
      <c r="X202" s="1965"/>
      <c r="Y202" s="1965"/>
      <c r="Z202" s="1965"/>
      <c r="AA202" s="1965"/>
      <c r="AB202" s="1965"/>
      <c r="AC202" s="1965"/>
      <c r="AD202" s="1965"/>
      <c r="AE202" s="1965"/>
      <c r="AF202" s="1965"/>
      <c r="AG202" s="1965"/>
      <c r="AH202" s="1965"/>
      <c r="AI202" s="1965"/>
      <c r="AJ202" s="1965"/>
      <c r="AK202" s="1965"/>
    </row>
    <row r="203" spans="3:37" s="395" customFormat="1">
      <c r="C203" s="1965"/>
      <c r="D203" s="1965"/>
      <c r="E203" s="1965"/>
      <c r="F203" s="1965"/>
      <c r="G203" s="1965"/>
      <c r="H203" s="1965"/>
      <c r="I203" s="1965"/>
      <c r="J203" s="1965"/>
      <c r="K203" s="1965"/>
      <c r="L203" s="1965"/>
      <c r="M203" s="1965"/>
      <c r="N203" s="1965"/>
      <c r="O203" s="1965"/>
      <c r="P203" s="1965"/>
      <c r="Q203" s="1965"/>
      <c r="R203" s="1965"/>
      <c r="S203" s="1965"/>
      <c r="T203" s="1965"/>
      <c r="U203" s="1965"/>
      <c r="V203" s="1965"/>
      <c r="W203" s="1965"/>
      <c r="X203" s="1965"/>
      <c r="Y203" s="1965"/>
      <c r="Z203" s="1965"/>
      <c r="AA203" s="1965"/>
      <c r="AB203" s="1965"/>
      <c r="AC203" s="1965"/>
      <c r="AD203" s="1965"/>
      <c r="AE203" s="1965"/>
      <c r="AF203" s="1965"/>
      <c r="AG203" s="1965"/>
      <c r="AH203" s="1965"/>
      <c r="AI203" s="1965"/>
      <c r="AJ203" s="1965"/>
      <c r="AK203" s="1965"/>
    </row>
    <row r="204" spans="3:37" s="395" customFormat="1">
      <c r="C204" s="1965"/>
      <c r="D204" s="1965"/>
      <c r="E204" s="1965"/>
      <c r="F204" s="1965"/>
      <c r="G204" s="1965"/>
      <c r="H204" s="1965"/>
      <c r="I204" s="1965"/>
      <c r="J204" s="1965"/>
      <c r="K204" s="1965"/>
      <c r="L204" s="1965"/>
      <c r="M204" s="1965"/>
      <c r="N204" s="1965"/>
      <c r="O204" s="1965"/>
      <c r="P204" s="1965"/>
      <c r="Q204" s="1965"/>
      <c r="R204" s="1965"/>
      <c r="S204" s="1965"/>
      <c r="T204" s="1965"/>
      <c r="U204" s="1965"/>
      <c r="V204" s="1965"/>
      <c r="W204" s="1965"/>
      <c r="X204" s="1965"/>
      <c r="Y204" s="1965"/>
      <c r="Z204" s="1965"/>
      <c r="AA204" s="1965"/>
      <c r="AB204" s="1965"/>
      <c r="AC204" s="1965"/>
      <c r="AD204" s="1965"/>
      <c r="AE204" s="1965"/>
      <c r="AF204" s="1965"/>
      <c r="AG204" s="1965"/>
      <c r="AH204" s="1965"/>
      <c r="AI204" s="1965"/>
      <c r="AJ204" s="1965"/>
      <c r="AK204" s="1965"/>
    </row>
    <row r="205" spans="3:37" s="395" customFormat="1">
      <c r="C205" s="1965"/>
      <c r="D205" s="1965"/>
      <c r="E205" s="1965"/>
      <c r="F205" s="1965"/>
      <c r="G205" s="1965"/>
      <c r="H205" s="1965"/>
      <c r="I205" s="1965"/>
      <c r="J205" s="1965"/>
      <c r="K205" s="1965"/>
      <c r="L205" s="1965"/>
      <c r="M205" s="1965"/>
      <c r="N205" s="1965"/>
      <c r="O205" s="1965"/>
      <c r="P205" s="1965"/>
      <c r="Q205" s="1965"/>
      <c r="R205" s="1965"/>
      <c r="S205" s="1965"/>
      <c r="T205" s="1965"/>
      <c r="U205" s="1965"/>
      <c r="V205" s="1965"/>
      <c r="W205" s="1965"/>
      <c r="X205" s="1965"/>
      <c r="Y205" s="1965"/>
      <c r="Z205" s="1965"/>
      <c r="AA205" s="1965"/>
      <c r="AB205" s="1965"/>
      <c r="AC205" s="1965"/>
      <c r="AD205" s="1965"/>
      <c r="AE205" s="1965"/>
      <c r="AF205" s="1965"/>
      <c r="AG205" s="1965"/>
      <c r="AH205" s="1965"/>
      <c r="AI205" s="1965"/>
      <c r="AJ205" s="1965"/>
      <c r="AK205" s="1965"/>
    </row>
    <row r="206" spans="3:37" s="395" customFormat="1">
      <c r="C206" s="1965"/>
      <c r="D206" s="1965"/>
      <c r="E206" s="1965"/>
      <c r="F206" s="1965"/>
      <c r="G206" s="1965"/>
      <c r="H206" s="1965"/>
      <c r="I206" s="1965"/>
      <c r="J206" s="1965"/>
      <c r="K206" s="1965"/>
      <c r="L206" s="1965"/>
      <c r="M206" s="1965"/>
      <c r="N206" s="1965"/>
      <c r="O206" s="1965"/>
      <c r="P206" s="1965"/>
      <c r="Q206" s="1965"/>
      <c r="R206" s="1965"/>
      <c r="S206" s="1965"/>
      <c r="T206" s="1965"/>
      <c r="U206" s="1965"/>
      <c r="V206" s="1965"/>
      <c r="W206" s="1965"/>
      <c r="X206" s="1965"/>
      <c r="Y206" s="1965"/>
      <c r="Z206" s="1965"/>
      <c r="AA206" s="1965"/>
      <c r="AB206" s="1965"/>
      <c r="AC206" s="1965"/>
      <c r="AD206" s="1965"/>
      <c r="AE206" s="1965"/>
      <c r="AF206" s="1965"/>
      <c r="AG206" s="1965"/>
      <c r="AH206" s="1965"/>
      <c r="AI206" s="1965"/>
      <c r="AJ206" s="1965"/>
      <c r="AK206" s="1965"/>
    </row>
    <row r="207" spans="3:37" s="395" customFormat="1">
      <c r="C207" s="1965"/>
      <c r="D207" s="1965"/>
      <c r="E207" s="1965"/>
      <c r="F207" s="1965"/>
      <c r="G207" s="1965"/>
      <c r="H207" s="1965"/>
      <c r="I207" s="1965"/>
      <c r="J207" s="1965"/>
      <c r="K207" s="1965"/>
      <c r="L207" s="1965"/>
      <c r="M207" s="1965"/>
      <c r="N207" s="1965"/>
      <c r="O207" s="1965"/>
      <c r="P207" s="1965"/>
      <c r="Q207" s="1965"/>
      <c r="R207" s="1965"/>
      <c r="S207" s="1965"/>
      <c r="T207" s="1965"/>
      <c r="U207" s="1965"/>
      <c r="V207" s="1965"/>
      <c r="W207" s="1965"/>
      <c r="X207" s="1965"/>
      <c r="Y207" s="1965"/>
      <c r="Z207" s="1965"/>
      <c r="AA207" s="1965"/>
      <c r="AB207" s="1965"/>
      <c r="AC207" s="1965"/>
      <c r="AD207" s="1965"/>
      <c r="AE207" s="1965"/>
      <c r="AF207" s="1965"/>
      <c r="AG207" s="1965"/>
      <c r="AH207" s="1965"/>
      <c r="AI207" s="1965"/>
      <c r="AJ207" s="1965"/>
      <c r="AK207" s="1965"/>
    </row>
    <row r="208" spans="3:37" s="395" customFormat="1">
      <c r="C208" s="1965"/>
      <c r="D208" s="1965"/>
      <c r="E208" s="1965"/>
      <c r="F208" s="1965"/>
      <c r="G208" s="1965"/>
      <c r="H208" s="1965"/>
      <c r="I208" s="1965"/>
      <c r="J208" s="1965"/>
      <c r="K208" s="1965"/>
      <c r="L208" s="1965"/>
      <c r="M208" s="1965"/>
      <c r="N208" s="1965"/>
      <c r="O208" s="1965"/>
      <c r="P208" s="1965"/>
      <c r="Q208" s="1965"/>
      <c r="R208" s="1965"/>
      <c r="S208" s="1965"/>
      <c r="T208" s="1965"/>
      <c r="U208" s="1965"/>
      <c r="V208" s="1965"/>
      <c r="W208" s="1965"/>
      <c r="X208" s="1965"/>
      <c r="Y208" s="1965"/>
      <c r="Z208" s="1965"/>
      <c r="AA208" s="1965"/>
      <c r="AB208" s="1965"/>
      <c r="AC208" s="1965"/>
      <c r="AD208" s="1965"/>
      <c r="AE208" s="1965"/>
      <c r="AF208" s="1965"/>
      <c r="AG208" s="1965"/>
      <c r="AH208" s="1965"/>
      <c r="AI208" s="1965"/>
      <c r="AJ208" s="1965"/>
      <c r="AK208" s="1965"/>
    </row>
    <row r="209" spans="3:37" s="395" customFormat="1">
      <c r="C209" s="1965"/>
      <c r="D209" s="1965"/>
      <c r="E209" s="1965"/>
      <c r="F209" s="1965"/>
      <c r="G209" s="1965"/>
      <c r="H209" s="1965"/>
      <c r="I209" s="1965"/>
      <c r="J209" s="1965"/>
      <c r="K209" s="1965"/>
      <c r="L209" s="1965"/>
      <c r="M209" s="1965"/>
      <c r="N209" s="1965"/>
      <c r="O209" s="1965"/>
      <c r="P209" s="1965"/>
      <c r="Q209" s="1965"/>
      <c r="R209" s="1965"/>
      <c r="S209" s="1965"/>
      <c r="T209" s="1965"/>
      <c r="U209" s="1965"/>
      <c r="V209" s="1965"/>
      <c r="W209" s="1965"/>
      <c r="X209" s="1965"/>
      <c r="Y209" s="1965"/>
      <c r="Z209" s="1965"/>
      <c r="AA209" s="1965"/>
      <c r="AB209" s="1965"/>
      <c r="AC209" s="1965"/>
      <c r="AD209" s="1965"/>
      <c r="AE209" s="1965"/>
      <c r="AF209" s="1965"/>
      <c r="AG209" s="1965"/>
      <c r="AH209" s="1965"/>
      <c r="AI209" s="1965"/>
      <c r="AJ209" s="1965"/>
      <c r="AK209" s="1965"/>
    </row>
    <row r="210" spans="3:37" s="395" customFormat="1">
      <c r="C210" s="1965"/>
      <c r="D210" s="1965"/>
      <c r="E210" s="1965"/>
      <c r="F210" s="1965"/>
      <c r="G210" s="1965"/>
      <c r="H210" s="1965"/>
      <c r="I210" s="1965"/>
      <c r="J210" s="1965"/>
      <c r="K210" s="1965"/>
      <c r="L210" s="1965"/>
      <c r="M210" s="1965"/>
      <c r="N210" s="1965"/>
      <c r="O210" s="1965"/>
      <c r="P210" s="1965"/>
      <c r="Q210" s="1965"/>
      <c r="R210" s="1965"/>
      <c r="S210" s="1965"/>
      <c r="T210" s="1965"/>
      <c r="U210" s="1965"/>
      <c r="V210" s="1965"/>
      <c r="W210" s="1965"/>
      <c r="X210" s="1965"/>
      <c r="Y210" s="1965"/>
      <c r="Z210" s="1965"/>
      <c r="AA210" s="1965"/>
      <c r="AB210" s="1965"/>
      <c r="AC210" s="1965"/>
      <c r="AD210" s="1965"/>
      <c r="AE210" s="1965"/>
      <c r="AF210" s="1965"/>
      <c r="AG210" s="1965"/>
      <c r="AH210" s="1965"/>
      <c r="AI210" s="1965"/>
      <c r="AJ210" s="1965"/>
      <c r="AK210" s="1965"/>
    </row>
    <row r="211" spans="3:37" s="395" customFormat="1">
      <c r="C211" s="1965"/>
      <c r="D211" s="1965"/>
      <c r="E211" s="1965"/>
      <c r="F211" s="1965"/>
      <c r="G211" s="1965"/>
      <c r="H211" s="1965"/>
      <c r="I211" s="1965"/>
      <c r="J211" s="1965"/>
      <c r="K211" s="1965"/>
      <c r="L211" s="1965"/>
      <c r="M211" s="1965"/>
      <c r="N211" s="1965"/>
      <c r="O211" s="1965"/>
      <c r="P211" s="1965"/>
      <c r="Q211" s="1965"/>
      <c r="R211" s="1965"/>
      <c r="S211" s="1965"/>
      <c r="T211" s="1965"/>
      <c r="U211" s="1965"/>
      <c r="V211" s="1965"/>
      <c r="W211" s="1965"/>
      <c r="X211" s="1965"/>
      <c r="Y211" s="1965"/>
      <c r="Z211" s="1965"/>
      <c r="AA211" s="1965"/>
      <c r="AB211" s="1965"/>
      <c r="AC211" s="1965"/>
      <c r="AD211" s="1965"/>
      <c r="AE211" s="1965"/>
      <c r="AF211" s="1965"/>
      <c r="AG211" s="1965"/>
      <c r="AH211" s="1965"/>
      <c r="AI211" s="1965"/>
      <c r="AJ211" s="1965"/>
      <c r="AK211" s="1965"/>
    </row>
    <row r="212" spans="3:37" s="395" customFormat="1">
      <c r="C212" s="1965"/>
      <c r="D212" s="1965"/>
      <c r="E212" s="1965"/>
      <c r="F212" s="1965"/>
      <c r="G212" s="1965"/>
      <c r="H212" s="1965"/>
      <c r="I212" s="1965"/>
      <c r="J212" s="1965"/>
      <c r="K212" s="1965"/>
      <c r="L212" s="1965"/>
      <c r="M212" s="1965"/>
      <c r="N212" s="1965"/>
      <c r="O212" s="1965"/>
      <c r="P212" s="1965"/>
      <c r="Q212" s="1965"/>
      <c r="R212" s="1965"/>
      <c r="S212" s="1965"/>
      <c r="T212" s="1965"/>
      <c r="U212" s="1965"/>
      <c r="V212" s="1965"/>
      <c r="W212" s="1965"/>
      <c r="X212" s="1965"/>
      <c r="Y212" s="1965"/>
      <c r="Z212" s="1965"/>
      <c r="AA212" s="1965"/>
      <c r="AB212" s="1965"/>
      <c r="AC212" s="1965"/>
      <c r="AD212" s="1965"/>
      <c r="AE212" s="1965"/>
      <c r="AF212" s="1965"/>
      <c r="AG212" s="1965"/>
      <c r="AH212" s="1965"/>
      <c r="AI212" s="1965"/>
      <c r="AJ212" s="1965"/>
      <c r="AK212" s="1965"/>
    </row>
  </sheetData>
  <mergeCells count="1">
    <mergeCell ref="A1:M1"/>
  </mergeCells>
  <hyperlinks>
    <hyperlink ref="A1:M1" location="FINANCIËN!A1" display="Bibliotheek" xr:uid="{00000000-0004-0000-3700-000000000000}"/>
  </hyperlinks>
  <pageMargins left="0.7" right="0.7" top="0.75" bottom="0.75" header="0.3" footer="0.3"/>
  <pageSetup paperSize="9" orientation="landscape"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0C816"/>
  </sheetPr>
  <dimension ref="A1:AJ222"/>
  <sheetViews>
    <sheetView workbookViewId="0">
      <pane xSplit="6" ySplit="1" topLeftCell="G2" activePane="bottomRight" state="frozen"/>
      <selection pane="topRight" activeCell="G1" sqref="G1"/>
      <selection pane="bottomLeft" activeCell="A2" sqref="A2"/>
      <selection pane="bottomRight" activeCell="Q10" sqref="Q10"/>
    </sheetView>
  </sheetViews>
  <sheetFormatPr defaultColWidth="9.140625" defaultRowHeight="12.75"/>
  <cols>
    <col min="1" max="2" width="16.28515625" style="614" customWidth="1"/>
    <col min="3" max="3" width="13.85546875" style="616" customWidth="1"/>
    <col min="4" max="4" width="10.7109375" style="616" bestFit="1" customWidth="1"/>
    <col min="5" max="5" width="12" style="616" bestFit="1" customWidth="1"/>
    <col min="6" max="6" width="10.7109375" style="616" bestFit="1" customWidth="1"/>
    <col min="7" max="12" width="13.7109375" style="616" customWidth="1"/>
    <col min="13" max="13" width="10.7109375" style="616" bestFit="1" customWidth="1"/>
    <col min="14" max="14" width="12.28515625" style="616" bestFit="1" customWidth="1"/>
    <col min="15" max="15" width="10.7109375" style="616" bestFit="1" customWidth="1"/>
    <col min="16" max="16" width="10.85546875" style="616" bestFit="1" customWidth="1"/>
    <col min="17" max="17" width="12.28515625" style="616" bestFit="1" customWidth="1"/>
    <col min="18" max="18" width="10.7109375" style="616" bestFit="1" customWidth="1"/>
    <col min="19" max="20" width="10.28515625" style="616" bestFit="1" customWidth="1"/>
    <col min="21" max="21" width="10.85546875" style="616" customWidth="1"/>
    <col min="22" max="24" width="9.7109375" style="616" bestFit="1" customWidth="1"/>
    <col min="25" max="36" width="9.140625" style="616"/>
    <col min="37" max="16384" width="9.140625" style="614"/>
  </cols>
  <sheetData>
    <row r="1" spans="1:36" ht="21">
      <c r="A1" s="4881" t="s">
        <v>198</v>
      </c>
      <c r="B1" s="4758"/>
      <c r="C1" s="4758"/>
      <c r="D1" s="4758"/>
      <c r="E1" s="4758"/>
      <c r="F1" s="4758"/>
      <c r="G1" s="4758"/>
      <c r="H1" s="4758"/>
      <c r="I1" s="4758"/>
      <c r="J1" s="4758"/>
      <c r="K1" s="4758"/>
      <c r="L1" s="4758"/>
    </row>
    <row r="2" spans="1:36" s="395" customFormat="1" ht="13.5" thickBot="1">
      <c r="A2" s="1966"/>
      <c r="B2" s="1966"/>
      <c r="C2" s="1965"/>
      <c r="D2" s="1965"/>
      <c r="E2" s="1965"/>
      <c r="F2" s="1965"/>
      <c r="G2" s="1965"/>
      <c r="H2" s="1965"/>
      <c r="I2" s="1965"/>
      <c r="J2" s="1965"/>
      <c r="K2" s="1965"/>
      <c r="L2" s="1965"/>
      <c r="M2" s="1965"/>
      <c r="N2" s="1965"/>
      <c r="O2" s="1965"/>
      <c r="P2" s="1965"/>
      <c r="Q2" s="1965"/>
      <c r="R2" s="1965"/>
      <c r="S2" s="1965"/>
      <c r="T2" s="1965"/>
      <c r="U2" s="1965"/>
      <c r="V2" s="1965"/>
      <c r="W2" s="1965"/>
      <c r="X2" s="1965"/>
      <c r="Y2" s="1965"/>
      <c r="Z2" s="1965"/>
      <c r="AA2" s="1965"/>
      <c r="AB2" s="1965"/>
      <c r="AC2" s="1965"/>
      <c r="AD2" s="1965"/>
      <c r="AE2" s="1965"/>
      <c r="AF2" s="1965"/>
      <c r="AG2" s="1965"/>
      <c r="AH2" s="1965"/>
      <c r="AI2" s="1965"/>
      <c r="AJ2" s="1965"/>
    </row>
    <row r="3" spans="1:36" s="395" customFormat="1" ht="18" customHeight="1" thickBot="1">
      <c r="A3" s="1886"/>
      <c r="B3" s="1887"/>
      <c r="C3" s="1967">
        <v>2007</v>
      </c>
      <c r="D3" s="1967">
        <v>2008</v>
      </c>
      <c r="E3" s="1967">
        <v>2009</v>
      </c>
      <c r="F3" s="1967">
        <v>2010</v>
      </c>
      <c r="G3" s="1967">
        <v>2011</v>
      </c>
      <c r="H3" s="1967">
        <v>2012</v>
      </c>
      <c r="I3" s="1967">
        <v>2013</v>
      </c>
      <c r="J3" s="1967">
        <v>2014</v>
      </c>
      <c r="K3" s="1967">
        <v>2015</v>
      </c>
      <c r="L3" s="1967">
        <v>2016</v>
      </c>
      <c r="M3" s="1967">
        <v>2017</v>
      </c>
      <c r="N3" s="1967">
        <v>2018</v>
      </c>
      <c r="O3" s="1967">
        <v>2019</v>
      </c>
      <c r="P3" s="1967">
        <v>2020</v>
      </c>
      <c r="Q3" s="1967">
        <v>2021</v>
      </c>
      <c r="R3" s="1965"/>
      <c r="S3" s="1965"/>
      <c r="T3" s="1965"/>
      <c r="U3" s="1965"/>
      <c r="V3" s="1965"/>
      <c r="W3" s="1965"/>
      <c r="X3" s="1965"/>
      <c r="Y3" s="1965"/>
      <c r="Z3" s="1965"/>
      <c r="AA3" s="1965"/>
      <c r="AB3" s="1965"/>
      <c r="AC3" s="1965"/>
      <c r="AD3" s="1965"/>
      <c r="AE3" s="1965"/>
      <c r="AF3" s="1965"/>
      <c r="AG3" s="1965"/>
      <c r="AH3" s="1965"/>
      <c r="AI3" s="1965"/>
      <c r="AJ3" s="1965"/>
    </row>
    <row r="4" spans="1:36" s="395" customFormat="1">
      <c r="A4" s="1205" t="s">
        <v>986</v>
      </c>
      <c r="B4" s="397"/>
      <c r="C4" s="1969">
        <f t="shared" ref="C4:N4" si="0">G105</f>
        <v>393553.23000000004</v>
      </c>
      <c r="D4" s="1969">
        <f t="shared" si="0"/>
        <v>451992.35999999987</v>
      </c>
      <c r="E4" s="1969">
        <f t="shared" si="0"/>
        <v>553298.34</v>
      </c>
      <c r="F4" s="1969">
        <f t="shared" si="0"/>
        <v>557384.59000000008</v>
      </c>
      <c r="G4" s="1969">
        <f t="shared" si="0"/>
        <v>598156.29999999993</v>
      </c>
      <c r="H4" s="1969">
        <f t="shared" si="0"/>
        <v>591866.58799999999</v>
      </c>
      <c r="I4" s="1969">
        <f t="shared" si="0"/>
        <v>652203.79800000018</v>
      </c>
      <c r="J4" s="1969">
        <f t="shared" si="0"/>
        <v>668242.03</v>
      </c>
      <c r="K4" s="1969">
        <f t="shared" si="0"/>
        <v>808527.63399999996</v>
      </c>
      <c r="L4" s="1969">
        <f t="shared" si="0"/>
        <v>833798.78399999987</v>
      </c>
      <c r="M4" s="1969">
        <f t="shared" si="0"/>
        <v>804349.73866666667</v>
      </c>
      <c r="N4" s="1969">
        <f t="shared" si="0"/>
        <v>877155.34733333346</v>
      </c>
      <c r="O4" s="1969">
        <f>S105</f>
        <v>893228.54533333331</v>
      </c>
      <c r="P4" s="1969">
        <f>T105</f>
        <v>863661.15133333346</v>
      </c>
      <c r="Q4" s="1969">
        <f>U105</f>
        <v>896759.47133333317</v>
      </c>
      <c r="R4" s="1965"/>
      <c r="S4" s="1965"/>
      <c r="T4" s="1965"/>
      <c r="U4" s="1965"/>
      <c r="V4" s="1965"/>
      <c r="W4" s="1965"/>
      <c r="X4" s="1965"/>
      <c r="Y4" s="1965"/>
      <c r="Z4" s="1965"/>
      <c r="AA4" s="1965"/>
      <c r="AB4" s="1965"/>
      <c r="AC4" s="1965"/>
      <c r="AD4" s="1965"/>
      <c r="AE4" s="1965"/>
      <c r="AF4" s="1965"/>
      <c r="AG4" s="1965"/>
      <c r="AH4" s="1965"/>
      <c r="AI4" s="1965"/>
      <c r="AJ4" s="1965"/>
    </row>
    <row r="5" spans="1:36" s="395" customFormat="1">
      <c r="A5" s="1205" t="s">
        <v>987</v>
      </c>
      <c r="B5" s="397"/>
      <c r="C5" s="1969">
        <f t="shared" ref="C5:N5" si="1">G191</f>
        <v>268503.31</v>
      </c>
      <c r="D5" s="1969">
        <f t="shared" si="1"/>
        <v>253196.92000000004</v>
      </c>
      <c r="E5" s="1969">
        <f t="shared" si="1"/>
        <v>255907.54</v>
      </c>
      <c r="F5" s="1969">
        <f t="shared" si="1"/>
        <v>239552.85</v>
      </c>
      <c r="G5" s="1969">
        <f t="shared" si="1"/>
        <v>248071.81</v>
      </c>
      <c r="H5" s="1969">
        <f t="shared" si="1"/>
        <v>249886.77</v>
      </c>
      <c r="I5" s="1969">
        <f t="shared" si="1"/>
        <v>251476.40999999997</v>
      </c>
      <c r="J5" s="1969">
        <f t="shared" si="1"/>
        <v>315099.52999999997</v>
      </c>
      <c r="K5" s="1969">
        <f t="shared" si="1"/>
        <v>257368.31</v>
      </c>
      <c r="L5" s="1969">
        <f t="shared" si="1"/>
        <v>296798.58</v>
      </c>
      <c r="M5" s="1969">
        <f t="shared" si="1"/>
        <v>337040.81</v>
      </c>
      <c r="N5" s="1969">
        <f t="shared" si="1"/>
        <v>346658.29</v>
      </c>
      <c r="O5" s="1969">
        <f>S191</f>
        <v>361975.91</v>
      </c>
      <c r="P5" s="1969">
        <f>T191</f>
        <v>435464.45</v>
      </c>
      <c r="Q5" s="1969">
        <f>U191</f>
        <v>406558.97000000003</v>
      </c>
      <c r="R5" s="1965"/>
      <c r="S5" s="1965"/>
      <c r="T5" s="1965"/>
      <c r="U5" s="1965"/>
      <c r="V5" s="1965"/>
      <c r="W5" s="1965"/>
      <c r="X5" s="1965"/>
      <c r="Y5" s="1965"/>
      <c r="Z5" s="1965"/>
      <c r="AA5" s="1965"/>
      <c r="AB5" s="1965"/>
      <c r="AC5" s="1965"/>
      <c r="AD5" s="1965"/>
      <c r="AE5" s="1965"/>
      <c r="AF5" s="1965"/>
      <c r="AG5" s="1965"/>
      <c r="AH5" s="1965"/>
      <c r="AI5" s="1965"/>
      <c r="AJ5" s="1965"/>
    </row>
    <row r="6" spans="1:36" s="395" customFormat="1">
      <c r="A6" s="1205" t="s">
        <v>988</v>
      </c>
      <c r="B6" s="397"/>
      <c r="C6" s="1969">
        <f>C5-C4</f>
        <v>-125049.92000000004</v>
      </c>
      <c r="D6" s="1969">
        <f t="shared" ref="D6:I6" si="2">D5-D4</f>
        <v>-198795.43999999983</v>
      </c>
      <c r="E6" s="1969">
        <f t="shared" si="2"/>
        <v>-297390.79999999993</v>
      </c>
      <c r="F6" s="1969">
        <f t="shared" si="2"/>
        <v>-317831.74000000011</v>
      </c>
      <c r="G6" s="1969">
        <f t="shared" si="2"/>
        <v>-350084.48999999993</v>
      </c>
      <c r="H6" s="1969">
        <f t="shared" si="2"/>
        <v>-341979.81799999997</v>
      </c>
      <c r="I6" s="1969">
        <f t="shared" si="2"/>
        <v>-400727.38800000021</v>
      </c>
      <c r="J6" s="1969">
        <f t="shared" ref="J6:P6" si="3">J5-J4</f>
        <v>-353142.50000000006</v>
      </c>
      <c r="K6" s="1969">
        <f t="shared" si="3"/>
        <v>-551159.32400000002</v>
      </c>
      <c r="L6" s="1969">
        <f t="shared" si="3"/>
        <v>-537000.20399999991</v>
      </c>
      <c r="M6" s="1969">
        <f t="shared" si="3"/>
        <v>-467308.92866666667</v>
      </c>
      <c r="N6" s="1969">
        <f t="shared" si="3"/>
        <v>-530497.05733333342</v>
      </c>
      <c r="O6" s="1969">
        <f t="shared" si="3"/>
        <v>-531252.6353333334</v>
      </c>
      <c r="P6" s="1969">
        <f t="shared" si="3"/>
        <v>-428196.70133333345</v>
      </c>
      <c r="Q6" s="1969">
        <f t="shared" ref="Q6" si="4">Q5-Q4</f>
        <v>-490200.50133333314</v>
      </c>
      <c r="R6" s="1965"/>
      <c r="S6" s="1965"/>
      <c r="T6" s="1965"/>
      <c r="U6" s="1965"/>
      <c r="V6" s="1965"/>
      <c r="W6" s="1965"/>
      <c r="X6" s="1965"/>
      <c r="Y6" s="1965"/>
      <c r="Z6" s="1965"/>
      <c r="AA6" s="1965"/>
      <c r="AB6" s="1965"/>
      <c r="AC6" s="1965"/>
      <c r="AD6" s="1965"/>
      <c r="AE6" s="1965"/>
      <c r="AF6" s="1965"/>
      <c r="AG6" s="1965"/>
      <c r="AH6" s="1965"/>
      <c r="AI6" s="1965"/>
      <c r="AJ6" s="1965"/>
    </row>
    <row r="7" spans="1:36" s="395" customFormat="1">
      <c r="A7" s="1205"/>
      <c r="B7" s="397"/>
      <c r="C7" s="1969"/>
      <c r="D7" s="1969"/>
      <c r="E7" s="1969"/>
      <c r="F7" s="1969"/>
      <c r="G7" s="1969"/>
      <c r="H7" s="1969"/>
      <c r="I7" s="1969"/>
      <c r="J7" s="1969"/>
      <c r="K7" s="1969"/>
      <c r="L7" s="1969"/>
      <c r="M7" s="1969"/>
      <c r="N7" s="1969"/>
      <c r="O7" s="1969"/>
      <c r="P7" s="1969"/>
      <c r="Q7" s="1969"/>
      <c r="R7" s="1965"/>
      <c r="S7" s="1965"/>
      <c r="T7" s="1965"/>
      <c r="U7" s="1965"/>
      <c r="V7" s="1965"/>
      <c r="W7" s="1965"/>
      <c r="X7" s="1965"/>
      <c r="Y7" s="1965"/>
      <c r="Z7" s="1965"/>
      <c r="AA7" s="1965"/>
      <c r="AB7" s="1965"/>
      <c r="AC7" s="1965"/>
      <c r="AD7" s="1965"/>
      <c r="AE7" s="1965"/>
      <c r="AF7" s="1965"/>
      <c r="AG7" s="1965"/>
      <c r="AH7" s="1965"/>
      <c r="AI7" s="1965"/>
      <c r="AJ7" s="1965"/>
    </row>
    <row r="8" spans="1:36" s="395" customFormat="1">
      <c r="A8" s="1205" t="s">
        <v>989</v>
      </c>
      <c r="B8" s="397"/>
      <c r="C8" s="1969">
        <f t="shared" ref="C8:N8" si="5">G58</f>
        <v>349717.61000000004</v>
      </c>
      <c r="D8" s="1969">
        <f t="shared" si="5"/>
        <v>403586.5799999999</v>
      </c>
      <c r="E8" s="1969">
        <f t="shared" si="5"/>
        <v>494409.43000000005</v>
      </c>
      <c r="F8" s="1969">
        <f t="shared" si="5"/>
        <v>480373.50000000006</v>
      </c>
      <c r="G8" s="1969">
        <f t="shared" si="5"/>
        <v>500470.31999999995</v>
      </c>
      <c r="H8" s="1969">
        <f t="shared" si="5"/>
        <v>499111.5</v>
      </c>
      <c r="I8" s="1969">
        <f t="shared" si="5"/>
        <v>542553.66000000015</v>
      </c>
      <c r="J8" s="1969">
        <f t="shared" si="5"/>
        <v>551588.94000000006</v>
      </c>
      <c r="K8" s="1969">
        <f t="shared" si="5"/>
        <v>671383.1</v>
      </c>
      <c r="L8" s="1969">
        <f t="shared" si="5"/>
        <v>703490.45999999985</v>
      </c>
      <c r="M8" s="1969">
        <f t="shared" si="5"/>
        <v>679330.9</v>
      </c>
      <c r="N8" s="1969">
        <f t="shared" si="5"/>
        <v>713594.83000000007</v>
      </c>
      <c r="O8" s="1969">
        <f>S58</f>
        <v>727916.92999999993</v>
      </c>
      <c r="P8" s="1969">
        <f>T58</f>
        <v>699448.8600000001</v>
      </c>
      <c r="Q8" s="1969">
        <f>U58</f>
        <v>718100.15999999992</v>
      </c>
      <c r="R8" s="1965"/>
      <c r="S8" s="1965"/>
      <c r="T8" s="1965"/>
      <c r="U8" s="1965"/>
      <c r="V8" s="1965"/>
      <c r="W8" s="1965"/>
      <c r="X8" s="1965"/>
      <c r="Y8" s="1965"/>
      <c r="Z8" s="1965"/>
      <c r="AA8" s="1965"/>
      <c r="AB8" s="1965"/>
      <c r="AC8" s="1965"/>
      <c r="AD8" s="1965"/>
      <c r="AE8" s="1965"/>
      <c r="AF8" s="1965"/>
      <c r="AG8" s="1965"/>
      <c r="AH8" s="1965"/>
      <c r="AI8" s="1965"/>
      <c r="AJ8" s="1965"/>
    </row>
    <row r="9" spans="1:36" s="395" customFormat="1">
      <c r="A9" s="1205" t="s">
        <v>990</v>
      </c>
      <c r="B9" s="397"/>
      <c r="C9" s="1969">
        <f t="shared" ref="C9:N9" si="6">G94</f>
        <v>41974.82</v>
      </c>
      <c r="D9" s="1969">
        <f t="shared" si="6"/>
        <v>45983.38</v>
      </c>
      <c r="E9" s="1969">
        <f t="shared" si="6"/>
        <v>55310.71</v>
      </c>
      <c r="F9" s="1969">
        <f t="shared" si="6"/>
        <v>71241.069999999992</v>
      </c>
      <c r="G9" s="1969">
        <f t="shared" si="6"/>
        <v>87909.12000000001</v>
      </c>
      <c r="H9" s="1969">
        <f t="shared" si="6"/>
        <v>78710.37000000001</v>
      </c>
      <c r="I9" s="1969">
        <f t="shared" si="6"/>
        <v>85053.87</v>
      </c>
      <c r="J9" s="1969">
        <f t="shared" si="6"/>
        <v>87996.889999999985</v>
      </c>
      <c r="K9" s="1969">
        <f t="shared" si="6"/>
        <v>107256.45000000001</v>
      </c>
      <c r="L9" s="1969">
        <f t="shared" si="6"/>
        <v>103991.38</v>
      </c>
      <c r="M9" s="1969">
        <f t="shared" si="6"/>
        <v>85836.12</v>
      </c>
      <c r="N9" s="1969">
        <f t="shared" si="6"/>
        <v>101386.93</v>
      </c>
      <c r="O9" s="1969">
        <f>S94</f>
        <v>101097.33000000002</v>
      </c>
      <c r="P9" s="1969">
        <f>T94</f>
        <v>98507.83</v>
      </c>
      <c r="Q9" s="1969">
        <f>U94</f>
        <v>113138.21999999999</v>
      </c>
      <c r="R9" s="1965"/>
      <c r="S9" s="1965"/>
      <c r="T9" s="1965"/>
      <c r="U9" s="1965"/>
      <c r="V9" s="1965"/>
      <c r="W9" s="1965"/>
      <c r="X9" s="1965"/>
      <c r="Y9" s="1965"/>
      <c r="Z9" s="1965"/>
      <c r="AA9" s="1965"/>
      <c r="AB9" s="1965"/>
      <c r="AC9" s="1965"/>
      <c r="AD9" s="1965"/>
      <c r="AE9" s="1965"/>
      <c r="AF9" s="1965"/>
      <c r="AG9" s="1965"/>
      <c r="AH9" s="1965"/>
      <c r="AI9" s="1965"/>
      <c r="AJ9" s="1965"/>
    </row>
    <row r="10" spans="1:36" s="395" customFormat="1">
      <c r="A10" s="1205" t="s">
        <v>991</v>
      </c>
      <c r="B10" s="397"/>
      <c r="C10" s="1969">
        <f t="shared" ref="C10:N10" si="7">G98</f>
        <v>1860.8</v>
      </c>
      <c r="D10" s="1969">
        <f t="shared" si="7"/>
        <v>1860.8</v>
      </c>
      <c r="E10" s="1969">
        <f t="shared" si="7"/>
        <v>2047</v>
      </c>
      <c r="F10" s="1969">
        <f t="shared" si="7"/>
        <v>2047</v>
      </c>
      <c r="G10" s="1969">
        <f t="shared" si="7"/>
        <v>1953.9</v>
      </c>
      <c r="H10" s="1969">
        <f t="shared" si="7"/>
        <v>1953.9</v>
      </c>
      <c r="I10" s="1969">
        <f t="shared" si="7"/>
        <v>2035.1399999999999</v>
      </c>
      <c r="J10" s="1969">
        <f t="shared" si="7"/>
        <v>2065.89</v>
      </c>
      <c r="K10" s="1969">
        <f t="shared" si="7"/>
        <v>2678.58</v>
      </c>
      <c r="L10" s="1969">
        <f t="shared" si="7"/>
        <v>2602.38</v>
      </c>
      <c r="M10" s="1969">
        <f t="shared" si="7"/>
        <v>2552.9300000000003</v>
      </c>
      <c r="N10" s="1969">
        <f t="shared" si="7"/>
        <v>2620.4300000000003</v>
      </c>
      <c r="O10" s="1969">
        <f>S98</f>
        <v>2641.66</v>
      </c>
      <c r="P10" s="1969">
        <f>T98</f>
        <v>3235.55</v>
      </c>
      <c r="Q10" s="1969">
        <f>U98</f>
        <v>2238.9899999999998</v>
      </c>
      <c r="R10" s="1965"/>
      <c r="S10" s="1965"/>
      <c r="T10" s="1965"/>
      <c r="U10" s="1965"/>
      <c r="V10" s="1965"/>
      <c r="W10" s="1965"/>
      <c r="X10" s="1965"/>
      <c r="Y10" s="1965"/>
      <c r="Z10" s="1965"/>
      <c r="AA10" s="1965"/>
      <c r="AB10" s="1965"/>
      <c r="AC10" s="1965"/>
      <c r="AD10" s="1965"/>
      <c r="AE10" s="1965"/>
      <c r="AF10" s="1965"/>
      <c r="AG10" s="1965"/>
      <c r="AH10" s="1965"/>
      <c r="AI10" s="1965"/>
      <c r="AJ10" s="1965"/>
    </row>
    <row r="11" spans="1:36" s="395" customFormat="1" ht="13.5" thickBot="1">
      <c r="A11" s="1205" t="s">
        <v>47</v>
      </c>
      <c r="B11" s="397"/>
      <c r="C11" s="1969">
        <f t="shared" ref="C11:N11" si="8">G103</f>
        <v>0</v>
      </c>
      <c r="D11" s="1969">
        <f t="shared" si="8"/>
        <v>561.6</v>
      </c>
      <c r="E11" s="1969">
        <f t="shared" si="8"/>
        <v>1531.2</v>
      </c>
      <c r="F11" s="1969">
        <f t="shared" si="8"/>
        <v>3723.02</v>
      </c>
      <c r="G11" s="1969">
        <f t="shared" si="8"/>
        <v>7822.9600000000009</v>
      </c>
      <c r="H11" s="1969">
        <f t="shared" si="8"/>
        <v>12090.817999999999</v>
      </c>
      <c r="I11" s="1969">
        <f t="shared" si="8"/>
        <v>22561.127999999997</v>
      </c>
      <c r="J11" s="1969">
        <f t="shared" si="8"/>
        <v>26590.309999999998</v>
      </c>
      <c r="K11" s="1969">
        <f t="shared" si="8"/>
        <v>27209.503999999997</v>
      </c>
      <c r="L11" s="1969">
        <f t="shared" si="8"/>
        <v>23714.563999999998</v>
      </c>
      <c r="M11" s="1969">
        <f t="shared" si="8"/>
        <v>36629.78866666666</v>
      </c>
      <c r="N11" s="2610">
        <f t="shared" si="8"/>
        <v>59553.157333333336</v>
      </c>
      <c r="O11" s="2610">
        <f>S103</f>
        <v>61572.625333333322</v>
      </c>
      <c r="P11" s="2610">
        <f>T103</f>
        <v>62468.911333333323</v>
      </c>
      <c r="Q11" s="2610">
        <f>U103</f>
        <v>63282.101333333325</v>
      </c>
      <c r="R11" s="1965"/>
      <c r="S11" s="1965"/>
      <c r="T11" s="1965"/>
      <c r="U11" s="1965"/>
      <c r="V11" s="1965"/>
      <c r="W11" s="1965"/>
      <c r="X11" s="1965"/>
      <c r="Y11" s="1965"/>
      <c r="Z11" s="1965"/>
      <c r="AA11" s="1965"/>
      <c r="AB11" s="1965"/>
      <c r="AC11" s="1965"/>
      <c r="AD11" s="1965"/>
      <c r="AE11" s="1965"/>
      <c r="AF11" s="1965"/>
      <c r="AG11" s="1965"/>
      <c r="AH11" s="1965"/>
      <c r="AI11" s="1965"/>
      <c r="AJ11" s="1965"/>
    </row>
    <row r="12" spans="1:36" s="395" customFormat="1" ht="18" customHeight="1" thickBot="1">
      <c r="A12" s="1891" t="s">
        <v>8</v>
      </c>
      <c r="B12" s="1979"/>
      <c r="C12" s="1970">
        <f>SUM(C8:C11)</f>
        <v>393553.23000000004</v>
      </c>
      <c r="D12" s="1970">
        <f t="shared" ref="D12:I12" si="9">SUM(D8:D11)</f>
        <v>451992.35999999987</v>
      </c>
      <c r="E12" s="1970">
        <f t="shared" si="9"/>
        <v>553298.34</v>
      </c>
      <c r="F12" s="1970">
        <f t="shared" si="9"/>
        <v>557384.59000000008</v>
      </c>
      <c r="G12" s="1970">
        <f t="shared" si="9"/>
        <v>598156.29999999993</v>
      </c>
      <c r="H12" s="1970">
        <f t="shared" si="9"/>
        <v>591866.58799999999</v>
      </c>
      <c r="I12" s="1970">
        <f t="shared" si="9"/>
        <v>652203.79800000018</v>
      </c>
      <c r="J12" s="1970">
        <f t="shared" ref="J12:P12" si="10">SUM(J8:J11)</f>
        <v>668242.03</v>
      </c>
      <c r="K12" s="1970">
        <f t="shared" si="10"/>
        <v>808527.63399999996</v>
      </c>
      <c r="L12" s="1970">
        <f t="shared" si="10"/>
        <v>833798.78399999987</v>
      </c>
      <c r="M12" s="1970">
        <f t="shared" si="10"/>
        <v>804349.73866666667</v>
      </c>
      <c r="N12" s="1970">
        <f t="shared" si="10"/>
        <v>877155.34733333346</v>
      </c>
      <c r="O12" s="1970">
        <f t="shared" si="10"/>
        <v>893228.54533333331</v>
      </c>
      <c r="P12" s="1970">
        <f t="shared" si="10"/>
        <v>863661.15133333346</v>
      </c>
      <c r="Q12" s="1970">
        <f>SUM(Q8:Q11)</f>
        <v>896759.47133333317</v>
      </c>
      <c r="R12" s="1965"/>
      <c r="S12" s="1965"/>
      <c r="T12" s="1965"/>
      <c r="U12" s="1965"/>
      <c r="V12" s="1965"/>
      <c r="W12" s="1965"/>
      <c r="X12" s="1965"/>
      <c r="Y12" s="1965"/>
      <c r="Z12" s="1965"/>
      <c r="AA12" s="1965"/>
      <c r="AB12" s="1965"/>
      <c r="AC12" s="1965"/>
      <c r="AD12" s="1965"/>
      <c r="AE12" s="1965"/>
      <c r="AF12" s="1965"/>
      <c r="AG12" s="1965"/>
      <c r="AH12" s="1965"/>
      <c r="AI12" s="1965"/>
      <c r="AJ12" s="1965"/>
    </row>
    <row r="13" spans="1:36" s="395" customFormat="1">
      <c r="C13" s="1965"/>
      <c r="D13" s="1965"/>
      <c r="E13" s="1965"/>
      <c r="F13" s="1965"/>
      <c r="G13" s="1965"/>
      <c r="H13" s="1965"/>
      <c r="I13" s="1965"/>
      <c r="J13" s="1965"/>
      <c r="K13" s="1965"/>
      <c r="L13" s="1965"/>
      <c r="M13" s="1965"/>
      <c r="N13" s="1965"/>
      <c r="O13" s="1965"/>
      <c r="P13" s="1965"/>
      <c r="Q13" s="1965"/>
      <c r="R13" s="1965"/>
      <c r="S13" s="1965"/>
      <c r="T13" s="1965"/>
      <c r="U13" s="1965"/>
      <c r="V13" s="1965"/>
      <c r="W13" s="1965"/>
      <c r="X13" s="1965"/>
      <c r="Y13" s="1965"/>
      <c r="Z13" s="1965"/>
      <c r="AA13" s="1965"/>
      <c r="AB13" s="1965"/>
      <c r="AC13" s="1965"/>
      <c r="AD13" s="1965"/>
      <c r="AE13" s="1965"/>
      <c r="AF13" s="1965"/>
      <c r="AG13" s="1965"/>
      <c r="AH13" s="1965"/>
      <c r="AI13" s="1965"/>
      <c r="AJ13" s="1965"/>
    </row>
    <row r="14" spans="1:36" s="395" customFormat="1">
      <c r="A14" s="395" t="s">
        <v>993</v>
      </c>
      <c r="C14" s="1965"/>
      <c r="D14" s="1965">
        <f>(D8/C8)*100-100</f>
        <v>15.403562319895727</v>
      </c>
      <c r="E14" s="1965">
        <f t="shared" ref="E14:N15" si="11">(E8/D8)*100-100</f>
        <v>22.503932117861837</v>
      </c>
      <c r="F14" s="1965">
        <f t="shared" si="11"/>
        <v>-2.8389284565223534</v>
      </c>
      <c r="G14" s="1965">
        <f t="shared" si="11"/>
        <v>4.183582150139415</v>
      </c>
      <c r="H14" s="1965">
        <f t="shared" si="11"/>
        <v>-0.27150860814282396</v>
      </c>
      <c r="I14" s="1965">
        <f t="shared" si="11"/>
        <v>8.7038988282177883</v>
      </c>
      <c r="J14" s="1965">
        <f t="shared" si="11"/>
        <v>1.6653246795901993</v>
      </c>
      <c r="K14" s="1965">
        <f t="shared" si="11"/>
        <v>21.718013417745439</v>
      </c>
      <c r="L14" s="1965">
        <f t="shared" si="11"/>
        <v>4.7822711057218896</v>
      </c>
      <c r="M14" s="1965">
        <f t="shared" si="11"/>
        <v>-3.4342413115310535</v>
      </c>
      <c r="N14" s="1965">
        <f t="shared" si="11"/>
        <v>5.0437761626918416</v>
      </c>
      <c r="O14" s="1965">
        <f t="shared" ref="O14:Q15" si="12">(O8/N8)*100-100</f>
        <v>2.0070352807908876</v>
      </c>
      <c r="P14" s="1965">
        <f t="shared" si="12"/>
        <v>-3.9108954369284703</v>
      </c>
      <c r="Q14" s="1965">
        <f t="shared" si="12"/>
        <v>2.6665709341494619</v>
      </c>
      <c r="R14" s="1965"/>
      <c r="S14" s="1965"/>
      <c r="T14" s="1965"/>
      <c r="U14" s="1965"/>
      <c r="V14" s="1965"/>
      <c r="W14" s="1965"/>
      <c r="X14" s="1965"/>
      <c r="Y14" s="1965"/>
      <c r="Z14" s="1965"/>
      <c r="AA14" s="1965"/>
      <c r="AB14" s="1965"/>
      <c r="AC14" s="1965"/>
      <c r="AD14" s="1965"/>
      <c r="AE14" s="1965"/>
      <c r="AF14" s="1965"/>
      <c r="AG14" s="1965"/>
      <c r="AH14" s="1965"/>
      <c r="AI14" s="1965"/>
      <c r="AJ14" s="1965"/>
    </row>
    <row r="15" spans="1:36" s="395" customFormat="1">
      <c r="A15" s="395" t="s">
        <v>994</v>
      </c>
      <c r="C15" s="1965"/>
      <c r="D15" s="1965">
        <f>(D9/C9)*100-100</f>
        <v>9.5499158781383642</v>
      </c>
      <c r="E15" s="1965">
        <f>(E9/D9)*100-100</f>
        <v>20.28413309330459</v>
      </c>
      <c r="F15" s="1965">
        <f>(F9/E9)*100-100</f>
        <v>28.80158291224248</v>
      </c>
      <c r="G15" s="1965">
        <f>(G9/F9)*100-100</f>
        <v>23.396686770706879</v>
      </c>
      <c r="H15" s="1965">
        <f>(H9/G9)*100-100</f>
        <v>-10.463931387323626</v>
      </c>
      <c r="I15" s="1965">
        <f>(I9/H9)*100-100</f>
        <v>8.0592938389185491</v>
      </c>
      <c r="J15" s="1965">
        <f t="shared" si="11"/>
        <v>3.460183528392065</v>
      </c>
      <c r="K15" s="1965">
        <f t="shared" si="11"/>
        <v>21.886637130016794</v>
      </c>
      <c r="L15" s="1965">
        <f t="shared" si="11"/>
        <v>-3.0441712363219295</v>
      </c>
      <c r="M15" s="1965">
        <f t="shared" si="11"/>
        <v>-17.458427804304549</v>
      </c>
      <c r="N15" s="1965">
        <f t="shared" si="11"/>
        <v>18.116860361349055</v>
      </c>
      <c r="O15" s="1965">
        <f t="shared" si="12"/>
        <v>-0.28563839540261426</v>
      </c>
      <c r="P15" s="1965">
        <f t="shared" si="12"/>
        <v>-2.5613930654746326</v>
      </c>
      <c r="Q15" s="1965">
        <f t="shared" si="12"/>
        <v>14.852007195773155</v>
      </c>
      <c r="R15" s="1965"/>
      <c r="S15" s="1965"/>
      <c r="T15" s="1965"/>
      <c r="U15" s="1965"/>
      <c r="V15" s="1965"/>
      <c r="W15" s="1965"/>
      <c r="X15" s="1965"/>
      <c r="Y15" s="1965"/>
      <c r="Z15" s="1965"/>
      <c r="AA15" s="1965"/>
      <c r="AB15" s="1965"/>
      <c r="AC15" s="1965"/>
      <c r="AD15" s="1965"/>
      <c r="AE15" s="1965"/>
      <c r="AF15" s="1965"/>
      <c r="AG15" s="1965"/>
      <c r="AH15" s="1965"/>
      <c r="AI15" s="1965"/>
      <c r="AJ15" s="1965"/>
    </row>
    <row r="16" spans="1:36" s="395" customFormat="1">
      <c r="A16" s="395" t="s">
        <v>995</v>
      </c>
      <c r="C16" s="1965"/>
      <c r="D16" s="1965" t="e">
        <f>(D11/C11)*100-100</f>
        <v>#DIV/0!</v>
      </c>
      <c r="E16" s="1965">
        <f t="shared" ref="E16:N16" si="13">(E11/D11)*100-100</f>
        <v>172.64957264957263</v>
      </c>
      <c r="F16" s="1965">
        <f t="shared" si="13"/>
        <v>143.14393939393938</v>
      </c>
      <c r="G16" s="1965">
        <f t="shared" si="13"/>
        <v>110.12403908654807</v>
      </c>
      <c r="H16" s="1965">
        <f>(H11/G11)*100-100</f>
        <v>54.555539079836763</v>
      </c>
      <c r="I16" s="1965">
        <f t="shared" si="13"/>
        <v>86.597201281170555</v>
      </c>
      <c r="J16" s="1965">
        <f t="shared" si="13"/>
        <v>17.858956342962998</v>
      </c>
      <c r="K16" s="1965">
        <f t="shared" si="13"/>
        <v>2.3286452846920582</v>
      </c>
      <c r="L16" s="1965">
        <f t="shared" si="13"/>
        <v>-12.84455607864075</v>
      </c>
      <c r="M16" s="1965">
        <f t="shared" si="13"/>
        <v>54.461151664718187</v>
      </c>
      <c r="N16" s="1965">
        <f t="shared" si="13"/>
        <v>62.581220097311387</v>
      </c>
      <c r="O16" s="1965">
        <f>(O11/N11)*100-100</f>
        <v>3.3910343135906942</v>
      </c>
      <c r="P16" s="1965">
        <f>(P11/O11)*100-100</f>
        <v>1.4556566252418293</v>
      </c>
      <c r="Q16" s="1965">
        <f>(Q11/P11)*100-100</f>
        <v>1.3017515155031845</v>
      </c>
      <c r="R16" s="1965"/>
      <c r="S16" s="1965"/>
      <c r="T16" s="1965"/>
      <c r="U16" s="1965"/>
      <c r="V16" s="1965"/>
      <c r="W16" s="1965"/>
      <c r="X16" s="1965"/>
      <c r="Y16" s="1965"/>
      <c r="Z16" s="1965"/>
      <c r="AA16" s="1965"/>
      <c r="AB16" s="1965"/>
      <c r="AC16" s="1965"/>
      <c r="AD16" s="1965"/>
      <c r="AE16" s="1965"/>
      <c r="AF16" s="1965"/>
      <c r="AG16" s="1965"/>
      <c r="AH16" s="1965"/>
      <c r="AI16" s="1965"/>
      <c r="AJ16" s="1965"/>
    </row>
    <row r="17" spans="1:36" s="395" customFormat="1">
      <c r="C17" s="1965"/>
      <c r="D17" s="1965"/>
      <c r="E17" s="1965"/>
      <c r="F17" s="1965"/>
      <c r="G17" s="1965"/>
      <c r="H17" s="1965"/>
      <c r="I17" s="1965"/>
      <c r="J17" s="1965"/>
      <c r="K17" s="1965"/>
      <c r="L17" s="1965"/>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row>
    <row r="18" spans="1:36" s="395" customFormat="1">
      <c r="C18" s="1965"/>
      <c r="D18" s="1965"/>
      <c r="E18" s="1965"/>
      <c r="F18" s="1965"/>
      <c r="G18" s="1965"/>
      <c r="H18" s="1965"/>
      <c r="I18" s="1965"/>
      <c r="J18" s="1965"/>
      <c r="K18" s="1965"/>
      <c r="L18" s="1965"/>
      <c r="M18" s="1965"/>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row>
    <row r="19" spans="1:36" s="395" customFormat="1">
      <c r="C19" s="1965"/>
      <c r="D19" s="1965"/>
      <c r="E19" s="1965"/>
      <c r="F19" s="1965"/>
      <c r="G19" s="1965"/>
      <c r="H19" s="1965"/>
      <c r="I19" s="1965"/>
      <c r="J19" s="1965"/>
      <c r="K19" s="1965"/>
      <c r="L19" s="1965"/>
      <c r="M19" s="1965"/>
      <c r="N19" s="1965"/>
      <c r="O19" s="1965"/>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row>
    <row r="20" spans="1:36" s="395" customFormat="1">
      <c r="C20" s="1965"/>
      <c r="D20" s="1965"/>
      <c r="E20" s="1965"/>
      <c r="F20" s="1965"/>
      <c r="G20" s="1965"/>
      <c r="H20" s="1965"/>
      <c r="I20" s="1965"/>
      <c r="J20" s="1965"/>
      <c r="K20" s="1965"/>
      <c r="L20" s="1965"/>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row>
    <row r="21" spans="1:36" s="395" customFormat="1">
      <c r="C21" s="1965"/>
      <c r="D21" s="1965"/>
      <c r="E21" s="1965"/>
      <c r="F21" s="1965"/>
      <c r="G21" s="1965"/>
      <c r="H21" s="1965"/>
      <c r="I21" s="1965"/>
      <c r="J21" s="1965"/>
      <c r="K21" s="1965"/>
      <c r="L21" s="1965"/>
      <c r="M21" s="1965"/>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row>
    <row r="22" spans="1:36" s="395" customFormat="1">
      <c r="C22" s="1965"/>
      <c r="D22" s="1965"/>
      <c r="E22" s="1965"/>
      <c r="F22" s="1965"/>
      <c r="G22" s="1965"/>
      <c r="H22" s="1965"/>
      <c r="I22" s="1965"/>
      <c r="J22" s="1965"/>
      <c r="K22" s="1965"/>
      <c r="L22" s="1965"/>
      <c r="M22" s="1965"/>
      <c r="N22" s="1965"/>
      <c r="O22" s="1965"/>
      <c r="P22" s="1965"/>
      <c r="Q22" s="1965"/>
      <c r="R22" s="1965"/>
      <c r="S22" s="1965"/>
      <c r="T22" s="1965"/>
      <c r="U22" s="1965"/>
      <c r="V22" s="1965"/>
      <c r="W22" s="1965"/>
      <c r="X22" s="1965"/>
      <c r="Y22" s="1965"/>
      <c r="Z22" s="1965"/>
      <c r="AA22" s="1965"/>
      <c r="AB22" s="1965"/>
      <c r="AC22" s="1965"/>
      <c r="AD22" s="1965"/>
      <c r="AE22" s="1965"/>
      <c r="AF22" s="1965"/>
      <c r="AG22" s="1965"/>
      <c r="AH22" s="1965"/>
      <c r="AI22" s="1965"/>
      <c r="AJ22" s="1965"/>
    </row>
    <row r="23" spans="1:36" s="395" customFormat="1">
      <c r="A23" s="3013" t="s">
        <v>7069</v>
      </c>
      <c r="B23" s="3013"/>
      <c r="G23" s="1965"/>
      <c r="H23" s="1965"/>
      <c r="I23" s="1965"/>
      <c r="J23" s="1965"/>
      <c r="K23" s="1965"/>
      <c r="L23" s="1965"/>
      <c r="M23" s="1965"/>
      <c r="Q23" s="1965"/>
      <c r="AC23" s="1965"/>
      <c r="AD23" s="1965"/>
      <c r="AE23" s="1965"/>
      <c r="AF23" s="1965"/>
      <c r="AG23" s="1965"/>
      <c r="AH23" s="1965"/>
      <c r="AI23" s="1965"/>
      <c r="AJ23" s="1965"/>
    </row>
    <row r="24" spans="1:36" s="395" customFormat="1">
      <c r="A24" s="1633"/>
      <c r="B24" s="1633"/>
      <c r="G24" s="1965"/>
      <c r="H24" s="1965"/>
      <c r="I24" s="1965"/>
      <c r="J24" s="1965"/>
      <c r="K24" s="1965"/>
      <c r="L24" s="1965"/>
      <c r="M24" s="1965"/>
      <c r="Q24" s="1965"/>
      <c r="AC24" s="1965"/>
      <c r="AD24" s="1965"/>
      <c r="AE24" s="1965"/>
      <c r="AF24" s="1965"/>
      <c r="AG24" s="1965"/>
      <c r="AH24" s="1965"/>
      <c r="AI24" s="1965"/>
      <c r="AJ24" s="1965"/>
    </row>
    <row r="25" spans="1:36" s="395" customFormat="1">
      <c r="A25" s="2067" t="s">
        <v>623</v>
      </c>
      <c r="B25" s="2068"/>
      <c r="C25" s="2068" t="s">
        <v>1002</v>
      </c>
      <c r="D25" s="2068"/>
      <c r="E25" s="2068"/>
      <c r="F25" s="2068"/>
      <c r="G25" s="3014">
        <v>2007</v>
      </c>
      <c r="H25" s="3014">
        <v>2008</v>
      </c>
      <c r="I25" s="3014">
        <v>2009</v>
      </c>
      <c r="J25" s="3014">
        <v>2010</v>
      </c>
      <c r="K25" s="3014">
        <v>2011</v>
      </c>
      <c r="L25" s="3014">
        <v>2012</v>
      </c>
      <c r="M25" s="3014">
        <v>2013</v>
      </c>
      <c r="N25" s="3014">
        <v>2014</v>
      </c>
      <c r="O25" s="3014">
        <v>2015</v>
      </c>
      <c r="P25" s="3014">
        <v>2016</v>
      </c>
      <c r="Q25" s="3014">
        <v>2017</v>
      </c>
      <c r="R25" s="2068">
        <v>2018</v>
      </c>
      <c r="S25" s="2068">
        <v>2019</v>
      </c>
      <c r="T25" s="2068">
        <v>2020</v>
      </c>
      <c r="U25" s="2068">
        <v>2021</v>
      </c>
      <c r="V25" s="1633"/>
      <c r="W25" s="1633"/>
      <c r="X25" s="1633"/>
      <c r="Y25" s="1633"/>
      <c r="Z25" s="1633"/>
      <c r="AA25" s="1633"/>
      <c r="AB25" s="1633"/>
      <c r="AC25" s="1965"/>
      <c r="AD25" s="1965"/>
      <c r="AE25" s="1965"/>
      <c r="AF25" s="1965"/>
      <c r="AG25" s="1965"/>
      <c r="AH25" s="1965"/>
      <c r="AI25" s="1965"/>
      <c r="AJ25" s="1965"/>
    </row>
    <row r="26" spans="1:36" s="395" customFormat="1">
      <c r="A26" s="1984" t="s">
        <v>1003</v>
      </c>
      <c r="B26" s="1985"/>
      <c r="C26" s="1986"/>
      <c r="D26" s="1986"/>
      <c r="E26" s="1986"/>
      <c r="F26" s="1986"/>
      <c r="G26" s="1987"/>
      <c r="H26" s="1987"/>
      <c r="I26" s="1987"/>
      <c r="J26" s="1987"/>
      <c r="K26" s="1987"/>
      <c r="L26" s="1987"/>
      <c r="M26" s="1987"/>
      <c r="N26" s="1986"/>
      <c r="O26" s="1986"/>
      <c r="P26" s="1986"/>
      <c r="Q26" s="1987"/>
      <c r="R26" s="1986"/>
      <c r="S26" s="1986"/>
      <c r="T26" s="1986"/>
      <c r="U26" s="1986"/>
      <c r="AC26" s="1965"/>
      <c r="AD26" s="1965"/>
      <c r="AE26" s="1965"/>
      <c r="AF26" s="1965"/>
      <c r="AG26" s="1965"/>
      <c r="AH26" s="1965"/>
      <c r="AI26" s="1965"/>
      <c r="AJ26" s="1965"/>
    </row>
    <row r="27" spans="1:36" s="395" customFormat="1">
      <c r="A27" s="1993" t="s">
        <v>1004</v>
      </c>
      <c r="B27" s="1994"/>
      <c r="C27" s="1995"/>
      <c r="D27" s="1995"/>
      <c r="E27" s="1995"/>
      <c r="F27" s="1996"/>
      <c r="G27" s="1487"/>
      <c r="H27" s="1487"/>
      <c r="I27" s="1487"/>
      <c r="J27" s="1487"/>
      <c r="K27" s="1487"/>
      <c r="L27" s="1487"/>
      <c r="M27" s="1487"/>
      <c r="N27" s="397"/>
      <c r="O27" s="397"/>
      <c r="P27" s="397"/>
      <c r="Q27" s="1487"/>
      <c r="R27" s="397"/>
      <c r="S27" s="397"/>
      <c r="T27" s="397"/>
      <c r="U27" s="1487"/>
      <c r="AC27" s="1965"/>
      <c r="AD27" s="1965"/>
      <c r="AE27" s="1965"/>
      <c r="AF27" s="1965"/>
      <c r="AG27" s="1965"/>
      <c r="AH27" s="1965"/>
      <c r="AI27" s="1965"/>
      <c r="AJ27" s="1965"/>
    </row>
    <row r="28" spans="1:36" s="395" customFormat="1">
      <c r="A28" s="1997" t="s">
        <v>2340</v>
      </c>
      <c r="B28" s="583"/>
      <c r="C28" s="397" t="s">
        <v>1515</v>
      </c>
      <c r="D28" s="397"/>
      <c r="E28" s="397"/>
      <c r="F28" s="1998"/>
      <c r="G28" s="1487">
        <v>242405.72</v>
      </c>
      <c r="H28" s="1487">
        <v>279078.81</v>
      </c>
      <c r="I28" s="1487">
        <v>338450.72</v>
      </c>
      <c r="J28" s="1487">
        <v>333106.19</v>
      </c>
      <c r="K28" s="1487">
        <v>351853.62</v>
      </c>
      <c r="L28" s="1487">
        <v>349251.72</v>
      </c>
      <c r="M28" s="1487">
        <v>386221.04</v>
      </c>
      <c r="N28" s="1487">
        <v>376864.1</v>
      </c>
      <c r="O28" s="1487">
        <v>388482.63</v>
      </c>
      <c r="P28" s="1487">
        <v>3495.14</v>
      </c>
      <c r="Q28" s="1487"/>
      <c r="R28" s="397"/>
      <c r="S28" s="397"/>
      <c r="T28" s="397"/>
      <c r="U28" s="1487"/>
      <c r="AC28" s="1965"/>
      <c r="AD28" s="1965"/>
      <c r="AE28" s="1965"/>
      <c r="AF28" s="1965"/>
      <c r="AG28" s="1965"/>
      <c r="AH28" s="1965"/>
      <c r="AI28" s="1965"/>
      <c r="AJ28" s="1965"/>
    </row>
    <row r="29" spans="1:36" s="395" customFormat="1">
      <c r="A29" s="1997" t="s">
        <v>2341</v>
      </c>
      <c r="B29" s="583">
        <v>620200</v>
      </c>
      <c r="C29" s="397" t="s">
        <v>1051</v>
      </c>
      <c r="D29" s="397"/>
      <c r="E29" s="397"/>
      <c r="F29" s="1998"/>
      <c r="G29" s="1487">
        <v>36294.74</v>
      </c>
      <c r="H29" s="1487">
        <v>46502.93</v>
      </c>
      <c r="I29" s="1487">
        <v>57312.41</v>
      </c>
      <c r="J29" s="1487">
        <v>48594.82</v>
      </c>
      <c r="K29" s="1487">
        <v>39754.269999999997</v>
      </c>
      <c r="L29" s="1487">
        <v>40996.03</v>
      </c>
      <c r="M29" s="1487">
        <v>40656.35</v>
      </c>
      <c r="N29" s="1487">
        <v>40621.68</v>
      </c>
      <c r="O29" s="1487">
        <v>37689.440000000002</v>
      </c>
      <c r="P29" s="1487">
        <v>459717.8</v>
      </c>
      <c r="Q29" s="1487">
        <v>411107.32</v>
      </c>
      <c r="R29" s="1487">
        <v>446613.32</v>
      </c>
      <c r="S29" s="1487">
        <v>450434.29</v>
      </c>
      <c r="T29" s="1487">
        <v>508467.6</v>
      </c>
      <c r="U29" s="1487">
        <v>504975.97</v>
      </c>
      <c r="AC29" s="1965"/>
      <c r="AD29" s="1965"/>
      <c r="AE29" s="1965"/>
      <c r="AF29" s="1965"/>
      <c r="AG29" s="1965"/>
      <c r="AH29" s="1965"/>
      <c r="AI29" s="1965"/>
      <c r="AJ29" s="1965"/>
    </row>
    <row r="30" spans="1:36" s="395" customFormat="1">
      <c r="A30" s="1997" t="s">
        <v>2342</v>
      </c>
      <c r="B30" s="583"/>
      <c r="C30" s="397" t="s">
        <v>2343</v>
      </c>
      <c r="D30" s="397"/>
      <c r="E30" s="397"/>
      <c r="F30" s="1998"/>
      <c r="G30" s="1487">
        <v>3639.15</v>
      </c>
      <c r="H30" s="1487">
        <v>2002.22</v>
      </c>
      <c r="I30" s="1487">
        <v>4926.75</v>
      </c>
      <c r="J30" s="1487">
        <v>3318.89</v>
      </c>
      <c r="K30" s="1487">
        <v>3422.29</v>
      </c>
      <c r="L30" s="1487">
        <v>2520.8200000000002</v>
      </c>
      <c r="M30" s="1487">
        <v>2675.83</v>
      </c>
      <c r="N30" s="1487">
        <v>2690.63</v>
      </c>
      <c r="O30" s="1487">
        <v>2749.82</v>
      </c>
      <c r="P30" s="1487">
        <v>24963.93</v>
      </c>
      <c r="Q30" s="1487">
        <v>52085.7</v>
      </c>
      <c r="R30" s="1487">
        <v>44440.34</v>
      </c>
      <c r="S30" s="1487">
        <v>39513.379999999997</v>
      </c>
      <c r="T30" s="1487"/>
      <c r="U30" s="1487"/>
      <c r="AC30" s="1965"/>
      <c r="AD30" s="1965"/>
      <c r="AE30" s="1965"/>
      <c r="AF30" s="1965"/>
      <c r="AG30" s="1965"/>
      <c r="AH30" s="1965"/>
      <c r="AI30" s="1965"/>
      <c r="AJ30" s="1965"/>
    </row>
    <row r="31" spans="1:36" s="395" customFormat="1">
      <c r="A31" s="1997" t="s">
        <v>2344</v>
      </c>
      <c r="B31" s="583"/>
      <c r="C31" s="397" t="s">
        <v>2345</v>
      </c>
      <c r="D31" s="397"/>
      <c r="E31" s="397"/>
      <c r="F31" s="1998"/>
      <c r="G31" s="1487"/>
      <c r="H31" s="1487"/>
      <c r="I31" s="1487"/>
      <c r="J31" s="1487"/>
      <c r="K31" s="1487"/>
      <c r="L31" s="1487"/>
      <c r="M31" s="1487"/>
      <c r="N31" s="1487">
        <v>2157.56</v>
      </c>
      <c r="O31" s="1487">
        <v>2164.35</v>
      </c>
      <c r="P31" s="1487">
        <v>3539.5</v>
      </c>
      <c r="Q31" s="1487">
        <v>31582.33</v>
      </c>
      <c r="R31" s="1487">
        <v>32728.63</v>
      </c>
      <c r="S31" s="1487">
        <v>34036.080000000002</v>
      </c>
      <c r="T31" s="1487"/>
      <c r="U31" s="1487"/>
      <c r="AC31" s="1965"/>
      <c r="AD31" s="1965"/>
      <c r="AE31" s="1965"/>
      <c r="AF31" s="1965"/>
      <c r="AG31" s="1965"/>
      <c r="AH31" s="1965"/>
      <c r="AI31" s="1965"/>
      <c r="AJ31" s="1965"/>
    </row>
    <row r="32" spans="1:36" s="395" customFormat="1">
      <c r="A32" s="1997" t="s">
        <v>2346</v>
      </c>
      <c r="B32" s="583">
        <v>620300</v>
      </c>
      <c r="C32" s="397" t="s">
        <v>7355</v>
      </c>
      <c r="D32" s="397"/>
      <c r="E32" s="397"/>
      <c r="F32" s="1998"/>
      <c r="G32" s="1487"/>
      <c r="H32" s="1487"/>
      <c r="I32" s="1487"/>
      <c r="J32" s="1487"/>
      <c r="K32" s="1487"/>
      <c r="L32" s="1487"/>
      <c r="M32" s="1487"/>
      <c r="N32" s="1487"/>
      <c r="O32" s="1487"/>
      <c r="P32" s="1487">
        <v>2890.35</v>
      </c>
      <c r="Q32" s="1487">
        <v>899.11</v>
      </c>
      <c r="R32" s="1487">
        <v>568.42999999999995</v>
      </c>
      <c r="S32" s="1487"/>
      <c r="T32" s="1487">
        <v>7470.06</v>
      </c>
      <c r="U32" s="1487">
        <v>24271.71</v>
      </c>
      <c r="AC32" s="1965"/>
      <c r="AD32" s="1965"/>
      <c r="AE32" s="1965"/>
      <c r="AF32" s="1965"/>
      <c r="AG32" s="1965"/>
      <c r="AH32" s="1965"/>
      <c r="AI32" s="1965"/>
      <c r="AJ32" s="1965"/>
    </row>
    <row r="33" spans="1:36" s="395" customFormat="1">
      <c r="A33" s="1997" t="s">
        <v>2347</v>
      </c>
      <c r="B33" s="583"/>
      <c r="C33" s="397" t="s">
        <v>1771</v>
      </c>
      <c r="D33" s="397"/>
      <c r="E33" s="397"/>
      <c r="F33" s="1998"/>
      <c r="G33" s="1487"/>
      <c r="H33" s="1487"/>
      <c r="I33" s="1487"/>
      <c r="J33" s="1487"/>
      <c r="K33" s="1487"/>
      <c r="L33" s="1487"/>
      <c r="M33" s="1487"/>
      <c r="N33" s="1487"/>
      <c r="O33" s="1487">
        <v>9551.84</v>
      </c>
      <c r="P33" s="1487">
        <v>4824.55</v>
      </c>
      <c r="Q33" s="1487">
        <v>15169.71</v>
      </c>
      <c r="R33" s="1487">
        <v>8777.75</v>
      </c>
      <c r="S33" s="1487"/>
      <c r="T33" s="1487"/>
      <c r="U33" s="1487"/>
      <c r="AC33" s="1965"/>
      <c r="AD33" s="1965"/>
      <c r="AE33" s="1965"/>
      <c r="AF33" s="1965"/>
      <c r="AG33" s="1965"/>
      <c r="AH33" s="1965"/>
      <c r="AI33" s="1965"/>
      <c r="AJ33" s="1965"/>
    </row>
    <row r="34" spans="1:36" s="395" customFormat="1">
      <c r="A34" s="1997" t="s">
        <v>2349</v>
      </c>
      <c r="B34" s="583"/>
      <c r="C34" s="397" t="s">
        <v>2348</v>
      </c>
      <c r="D34" s="397"/>
      <c r="E34" s="397"/>
      <c r="F34" s="1998"/>
      <c r="G34" s="1487">
        <v>18979.5</v>
      </c>
      <c r="H34" s="1487">
        <v>21826.47</v>
      </c>
      <c r="I34" s="1487">
        <v>24784.05</v>
      </c>
      <c r="J34" s="1487">
        <v>27043.78</v>
      </c>
      <c r="K34" s="1487">
        <v>23164.9</v>
      </c>
      <c r="L34" s="1487">
        <v>29903.759999999998</v>
      </c>
      <c r="M34" s="1487">
        <v>29955.57</v>
      </c>
      <c r="N34" s="1487">
        <v>26692.560000000001</v>
      </c>
      <c r="O34" s="1487">
        <v>36048.65</v>
      </c>
      <c r="P34" s="1487">
        <v>20069.96</v>
      </c>
      <c r="Q34" s="1487"/>
      <c r="R34" s="1487"/>
      <c r="S34" s="1487">
        <v>11764.46</v>
      </c>
      <c r="T34" s="1487"/>
      <c r="U34" s="1487"/>
      <c r="AC34" s="1965"/>
      <c r="AD34" s="1965"/>
      <c r="AE34" s="1965"/>
      <c r="AF34" s="1965"/>
      <c r="AG34" s="1965"/>
      <c r="AH34" s="1965"/>
      <c r="AI34" s="1965"/>
      <c r="AJ34" s="1965"/>
    </row>
    <row r="35" spans="1:36" s="395" customFormat="1">
      <c r="A35" s="1997" t="s">
        <v>2350</v>
      </c>
      <c r="B35" s="583"/>
      <c r="C35" s="397" t="s">
        <v>1265</v>
      </c>
      <c r="D35" s="397"/>
      <c r="E35" s="397"/>
      <c r="F35" s="1998"/>
      <c r="G35" s="1487"/>
      <c r="H35" s="1487"/>
      <c r="I35" s="1487"/>
      <c r="J35" s="1487"/>
      <c r="K35" s="1487"/>
      <c r="L35" s="1487"/>
      <c r="M35" s="1487"/>
      <c r="N35" s="1487">
        <v>27988.65</v>
      </c>
      <c r="O35" s="1487">
        <v>32018.79</v>
      </c>
      <c r="P35" s="1487">
        <v>55.55</v>
      </c>
      <c r="Q35" s="1487"/>
      <c r="R35" s="1487"/>
      <c r="S35" s="1487"/>
      <c r="T35" s="1487"/>
      <c r="U35" s="1487"/>
      <c r="AC35" s="1965"/>
      <c r="AD35" s="1965"/>
      <c r="AE35" s="1965"/>
      <c r="AF35" s="1965"/>
      <c r="AG35" s="1965"/>
      <c r="AH35" s="1965"/>
      <c r="AI35" s="1965"/>
      <c r="AJ35" s="1965"/>
    </row>
    <row r="36" spans="1:36" s="395" customFormat="1">
      <c r="A36" s="1997"/>
      <c r="B36" s="583"/>
      <c r="C36" s="397" t="s">
        <v>1016</v>
      </c>
      <c r="D36" s="397"/>
      <c r="E36" s="397"/>
      <c r="F36" s="1998"/>
      <c r="G36" s="1487"/>
      <c r="H36" s="1487"/>
      <c r="I36" s="1487"/>
      <c r="J36" s="1487"/>
      <c r="K36" s="1487"/>
      <c r="L36" s="1487"/>
      <c r="M36" s="1487"/>
      <c r="N36" s="1487"/>
      <c r="O36" s="1487"/>
      <c r="P36" s="1487"/>
      <c r="Q36" s="1487"/>
      <c r="R36" s="1487"/>
      <c r="S36" s="1487"/>
      <c r="T36" s="1487"/>
      <c r="U36" s="1487"/>
      <c r="AC36" s="1965"/>
      <c r="AD36" s="1965"/>
      <c r="AE36" s="1965"/>
      <c r="AF36" s="1965"/>
      <c r="AG36" s="1965"/>
      <c r="AH36" s="1965"/>
      <c r="AI36" s="1965"/>
      <c r="AJ36" s="1965"/>
    </row>
    <row r="37" spans="1:36" s="395" customFormat="1">
      <c r="A37" s="1997" t="s">
        <v>2351</v>
      </c>
      <c r="B37" s="583"/>
      <c r="C37" s="397" t="s">
        <v>2352</v>
      </c>
      <c r="D37" s="397"/>
      <c r="E37" s="397"/>
      <c r="F37" s="1998"/>
      <c r="G37" s="1487">
        <v>13816.59</v>
      </c>
      <c r="H37" s="1487">
        <v>15415.31</v>
      </c>
      <c r="I37" s="1487">
        <v>18612.009999999998</v>
      </c>
      <c r="J37" s="1487">
        <v>17908.37</v>
      </c>
      <c r="K37" s="1487">
        <v>19019.599999999999</v>
      </c>
      <c r="L37" s="1487">
        <v>18723.41</v>
      </c>
      <c r="M37" s="1487">
        <v>31265.21</v>
      </c>
      <c r="N37" s="3016">
        <v>24798.27</v>
      </c>
      <c r="O37" s="3016">
        <v>122347.18</v>
      </c>
      <c r="P37" s="1487">
        <v>522.05999999999995</v>
      </c>
      <c r="Q37" s="1487"/>
      <c r="R37" s="1487"/>
      <c r="S37" s="1487"/>
      <c r="T37" s="1487"/>
      <c r="U37" s="1487"/>
      <c r="AC37" s="1965"/>
      <c r="AD37" s="1965"/>
      <c r="AE37" s="1965"/>
      <c r="AF37" s="1965"/>
      <c r="AG37" s="1965"/>
      <c r="AH37" s="1965"/>
      <c r="AI37" s="1965"/>
      <c r="AJ37" s="1965"/>
    </row>
    <row r="38" spans="1:36" s="395" customFormat="1">
      <c r="A38" s="1997" t="s">
        <v>2353</v>
      </c>
      <c r="B38" s="583">
        <v>621200</v>
      </c>
      <c r="C38" s="397" t="s">
        <v>2354</v>
      </c>
      <c r="D38" s="397"/>
      <c r="E38" s="397"/>
      <c r="F38" s="1998"/>
      <c r="G38" s="1487">
        <v>12256.06</v>
      </c>
      <c r="H38" s="1487">
        <v>12918.57</v>
      </c>
      <c r="I38" s="1487">
        <v>12395.63</v>
      </c>
      <c r="J38" s="1487">
        <v>14321.71</v>
      </c>
      <c r="K38" s="1487">
        <v>12430.16</v>
      </c>
      <c r="L38" s="1487">
        <v>9680.14</v>
      </c>
      <c r="M38" s="1487">
        <v>12500.56</v>
      </c>
      <c r="N38" s="1487">
        <v>12050.72</v>
      </c>
      <c r="O38" s="1487">
        <v>12517.88</v>
      </c>
      <c r="P38" s="1487">
        <v>154106.9</v>
      </c>
      <c r="Q38" s="1487">
        <v>139387.73000000001</v>
      </c>
      <c r="R38" s="1487">
        <v>149126.71</v>
      </c>
      <c r="S38" s="1487">
        <v>147875.62</v>
      </c>
      <c r="T38" s="1487">
        <v>145846.39000000001</v>
      </c>
      <c r="U38" s="1487">
        <v>143059.72</v>
      </c>
      <c r="AC38" s="1965"/>
      <c r="AD38" s="1965"/>
      <c r="AE38" s="1965"/>
      <c r="AF38" s="1965"/>
      <c r="AG38" s="1965"/>
      <c r="AH38" s="1965"/>
      <c r="AI38" s="1965"/>
      <c r="AJ38" s="1965"/>
    </row>
    <row r="39" spans="1:36" s="395" customFormat="1">
      <c r="A39" s="1997"/>
      <c r="B39" s="583">
        <v>621300</v>
      </c>
      <c r="C39" s="397" t="s">
        <v>7356</v>
      </c>
      <c r="D39" s="397"/>
      <c r="E39" s="397"/>
      <c r="F39" s="1998"/>
      <c r="G39" s="1487"/>
      <c r="H39" s="1487"/>
      <c r="I39" s="1487"/>
      <c r="J39" s="1487"/>
      <c r="K39" s="1487"/>
      <c r="L39" s="1487"/>
      <c r="M39" s="1487"/>
      <c r="N39" s="1487"/>
      <c r="O39" s="1487"/>
      <c r="P39" s="1487"/>
      <c r="Q39" s="1487"/>
      <c r="R39" s="1487"/>
      <c r="S39" s="1487"/>
      <c r="T39" s="1487">
        <v>404.9</v>
      </c>
      <c r="U39" s="1487">
        <v>1315.59</v>
      </c>
      <c r="AC39" s="1965"/>
      <c r="AD39" s="1965"/>
      <c r="AE39" s="1965"/>
      <c r="AF39" s="1965"/>
      <c r="AG39" s="1965"/>
      <c r="AH39" s="1965"/>
      <c r="AI39" s="1965"/>
      <c r="AJ39" s="1965"/>
    </row>
    <row r="40" spans="1:36" s="395" customFormat="1">
      <c r="A40" s="1997" t="s">
        <v>2355</v>
      </c>
      <c r="B40" s="583"/>
      <c r="C40" s="397" t="s">
        <v>2356</v>
      </c>
      <c r="D40" s="397"/>
      <c r="E40" s="397"/>
      <c r="F40" s="1998"/>
      <c r="G40" s="1487"/>
      <c r="H40" s="1487"/>
      <c r="I40" s="1487"/>
      <c r="J40" s="1487"/>
      <c r="K40" s="1487"/>
      <c r="L40" s="1487"/>
      <c r="M40" s="1487"/>
      <c r="N40" s="1487"/>
      <c r="O40" s="1487"/>
      <c r="P40" s="1487">
        <v>154.69</v>
      </c>
      <c r="Q40" s="1487">
        <v>822.99</v>
      </c>
      <c r="R40" s="1487">
        <v>476.63</v>
      </c>
      <c r="S40" s="1487">
        <v>637.64</v>
      </c>
      <c r="T40" s="1487"/>
      <c r="U40" s="1487"/>
      <c r="AC40" s="1965"/>
      <c r="AD40" s="1965"/>
      <c r="AE40" s="1965"/>
      <c r="AF40" s="1965"/>
      <c r="AG40" s="1965"/>
      <c r="AH40" s="1965"/>
      <c r="AI40" s="1965"/>
      <c r="AJ40" s="1965"/>
    </row>
    <row r="41" spans="1:36" s="395" customFormat="1">
      <c r="A41" s="1997" t="s">
        <v>2357</v>
      </c>
      <c r="B41" s="583"/>
      <c r="C41" s="397" t="s">
        <v>1438</v>
      </c>
      <c r="D41" s="397"/>
      <c r="E41" s="397"/>
      <c r="F41" s="1998"/>
      <c r="G41" s="1487"/>
      <c r="H41" s="1487"/>
      <c r="I41" s="1487"/>
      <c r="J41" s="1487"/>
      <c r="K41" s="1487"/>
      <c r="L41" s="1487"/>
      <c r="M41" s="1487"/>
      <c r="N41" s="1487">
        <v>17098.71</v>
      </c>
      <c r="O41" s="1487">
        <v>6899.75</v>
      </c>
      <c r="P41" s="1487">
        <v>132.21</v>
      </c>
      <c r="Q41" s="1487"/>
      <c r="R41" s="1487"/>
      <c r="S41" s="1487"/>
      <c r="T41" s="1487"/>
      <c r="U41" s="1487"/>
      <c r="AC41" s="1965"/>
      <c r="AD41" s="1965"/>
      <c r="AE41" s="1965"/>
      <c r="AF41" s="1965"/>
      <c r="AG41" s="1965"/>
      <c r="AH41" s="1965"/>
      <c r="AI41" s="1965"/>
      <c r="AJ41" s="1965"/>
    </row>
    <row r="42" spans="1:36" s="395" customFormat="1">
      <c r="A42" s="1997" t="s">
        <v>2358</v>
      </c>
      <c r="B42" s="583"/>
      <c r="C42" s="397" t="s">
        <v>1440</v>
      </c>
      <c r="D42" s="397"/>
      <c r="E42" s="397"/>
      <c r="F42" s="1998"/>
      <c r="G42" s="1487"/>
      <c r="H42" s="1487"/>
      <c r="I42" s="1487"/>
      <c r="J42" s="1487"/>
      <c r="K42" s="1487"/>
      <c r="L42" s="1487"/>
      <c r="M42" s="1487"/>
      <c r="N42" s="1487">
        <v>563.75</v>
      </c>
      <c r="O42" s="1487">
        <v>717.75</v>
      </c>
      <c r="P42" s="1487"/>
      <c r="Q42" s="1487"/>
      <c r="R42" s="1487"/>
      <c r="S42" s="1487"/>
      <c r="T42" s="1487"/>
      <c r="U42" s="1487"/>
      <c r="AC42" s="1965"/>
      <c r="AD42" s="1965"/>
      <c r="AE42" s="1965"/>
      <c r="AF42" s="1965"/>
      <c r="AG42" s="1965"/>
      <c r="AH42" s="1965"/>
      <c r="AI42" s="1965"/>
      <c r="AJ42" s="1965"/>
    </row>
    <row r="43" spans="1:36" s="395" customFormat="1">
      <c r="A43" s="1997" t="s">
        <v>2359</v>
      </c>
      <c r="B43" s="583">
        <v>622200</v>
      </c>
      <c r="C43" s="397" t="s">
        <v>1442</v>
      </c>
      <c r="D43" s="397"/>
      <c r="E43" s="397"/>
      <c r="F43" s="1998"/>
      <c r="G43" s="1487"/>
      <c r="H43" s="1487"/>
      <c r="I43" s="1487"/>
      <c r="J43" s="1487"/>
      <c r="K43" s="1487"/>
      <c r="L43" s="1487"/>
      <c r="M43" s="1487"/>
      <c r="N43" s="1487">
        <v>1668.27</v>
      </c>
      <c r="O43" s="1487">
        <v>782.58</v>
      </c>
      <c r="P43" s="1487">
        <v>7053.38</v>
      </c>
      <c r="Q43" s="1487">
        <v>7688.26</v>
      </c>
      <c r="R43" s="1487">
        <v>8237.85</v>
      </c>
      <c r="S43" s="1487">
        <v>19731.37</v>
      </c>
      <c r="T43" s="1487">
        <v>10169.34</v>
      </c>
      <c r="U43" s="1487">
        <v>20199.04</v>
      </c>
      <c r="AC43" s="1965"/>
      <c r="AD43" s="1965"/>
      <c r="AE43" s="1965"/>
      <c r="AF43" s="1965"/>
      <c r="AG43" s="1965"/>
      <c r="AH43" s="1965"/>
      <c r="AI43" s="1965"/>
      <c r="AJ43" s="1965"/>
    </row>
    <row r="44" spans="1:36" s="395" customFormat="1">
      <c r="A44" s="1997" t="s">
        <v>2360</v>
      </c>
      <c r="B44" s="583">
        <v>622600</v>
      </c>
      <c r="C44" s="397" t="s">
        <v>1444</v>
      </c>
      <c r="D44" s="397"/>
      <c r="E44" s="397"/>
      <c r="F44" s="1998"/>
      <c r="G44" s="1487"/>
      <c r="H44" s="1487"/>
      <c r="I44" s="1487"/>
      <c r="J44" s="1487"/>
      <c r="K44" s="1487"/>
      <c r="L44" s="1487"/>
      <c r="M44" s="1487"/>
      <c r="N44" s="1487">
        <v>77</v>
      </c>
      <c r="O44" s="1487">
        <v>77</v>
      </c>
      <c r="P44" s="1487">
        <v>915.75</v>
      </c>
      <c r="Q44" s="1487">
        <v>858</v>
      </c>
      <c r="R44" s="1487">
        <v>737</v>
      </c>
      <c r="S44" s="1487">
        <v>733.58</v>
      </c>
      <c r="T44" s="1487">
        <v>700.91</v>
      </c>
      <c r="U44" s="1487">
        <v>570.51</v>
      </c>
      <c r="AC44" s="1965"/>
      <c r="AD44" s="1965"/>
      <c r="AE44" s="1965"/>
      <c r="AF44" s="1965"/>
      <c r="AG44" s="1965"/>
      <c r="AH44" s="1965"/>
      <c r="AI44" s="1965"/>
      <c r="AJ44" s="1965"/>
    </row>
    <row r="45" spans="1:36" s="395" customFormat="1">
      <c r="A45" s="1997" t="s">
        <v>2361</v>
      </c>
      <c r="B45" s="583">
        <v>623200</v>
      </c>
      <c r="C45" s="397" t="s">
        <v>2362</v>
      </c>
      <c r="D45" s="397"/>
      <c r="E45" s="397"/>
      <c r="F45" s="1998"/>
      <c r="G45" s="1487"/>
      <c r="H45" s="1487"/>
      <c r="I45" s="1487"/>
      <c r="J45" s="1487"/>
      <c r="K45" s="1487"/>
      <c r="L45" s="1487"/>
      <c r="M45" s="1487"/>
      <c r="N45" s="1487">
        <v>479.79</v>
      </c>
      <c r="O45" s="1487">
        <v>290.41000000000003</v>
      </c>
      <c r="P45" s="1487">
        <v>635.75</v>
      </c>
      <c r="Q45" s="1487">
        <v>1175</v>
      </c>
      <c r="R45" s="1487">
        <v>1546.37</v>
      </c>
      <c r="S45" s="1487">
        <v>4795.8500000000004</v>
      </c>
      <c r="T45" s="1487">
        <v>2836.39</v>
      </c>
      <c r="U45" s="1487">
        <v>3149.69</v>
      </c>
      <c r="AC45" s="1965"/>
      <c r="AD45" s="1965"/>
      <c r="AE45" s="1965"/>
      <c r="AF45" s="1965"/>
      <c r="AG45" s="1965"/>
      <c r="AH45" s="1965"/>
      <c r="AI45" s="1965"/>
      <c r="AJ45" s="1965"/>
    </row>
    <row r="46" spans="1:36" s="395" customFormat="1">
      <c r="A46" s="1997" t="s">
        <v>2363</v>
      </c>
      <c r="B46" s="583">
        <v>623100</v>
      </c>
      <c r="C46" s="397" t="s">
        <v>1289</v>
      </c>
      <c r="D46" s="397"/>
      <c r="E46" s="397"/>
      <c r="F46" s="1998"/>
      <c r="G46" s="1487">
        <v>9256.7999999999993</v>
      </c>
      <c r="H46" s="1487">
        <v>10177.200000000001</v>
      </c>
      <c r="I46" s="1487">
        <v>15920</v>
      </c>
      <c r="J46" s="1487">
        <v>14430</v>
      </c>
      <c r="K46" s="1487">
        <v>14040</v>
      </c>
      <c r="L46" s="1487">
        <v>16638.5</v>
      </c>
      <c r="M46" s="1487">
        <v>16691</v>
      </c>
      <c r="N46" s="1487">
        <v>15020.5</v>
      </c>
      <c r="O46" s="1487">
        <v>16412</v>
      </c>
      <c r="P46" s="1487">
        <v>17815.5</v>
      </c>
      <c r="Q46" s="1487">
        <v>16926</v>
      </c>
      <c r="R46" s="1487">
        <v>18606</v>
      </c>
      <c r="S46" s="1487">
        <v>16446</v>
      </c>
      <c r="T46" s="1487">
        <v>22567.72</v>
      </c>
      <c r="U46" s="1487">
        <v>18431.28</v>
      </c>
      <c r="AC46" s="1965"/>
      <c r="AD46" s="1965"/>
      <c r="AE46" s="1965"/>
      <c r="AF46" s="1965"/>
      <c r="AG46" s="1965"/>
      <c r="AH46" s="1965"/>
      <c r="AI46" s="1965"/>
      <c r="AJ46" s="1965"/>
    </row>
    <row r="47" spans="1:36" s="395" customFormat="1">
      <c r="A47" s="1997" t="s">
        <v>2364</v>
      </c>
      <c r="B47" s="583">
        <v>623000</v>
      </c>
      <c r="C47" s="397" t="s">
        <v>2365</v>
      </c>
      <c r="D47" s="397"/>
      <c r="E47" s="397"/>
      <c r="F47" s="1998"/>
      <c r="G47" s="1487">
        <v>0</v>
      </c>
      <c r="H47" s="1487">
        <v>500</v>
      </c>
      <c r="I47" s="1487">
        <v>5129</v>
      </c>
      <c r="J47" s="1487">
        <v>4917</v>
      </c>
      <c r="K47" s="1487">
        <v>5052</v>
      </c>
      <c r="L47" s="1487">
        <v>5000</v>
      </c>
      <c r="M47" s="1487">
        <v>1877.74</v>
      </c>
      <c r="N47" s="1487">
        <v>2816.75</v>
      </c>
      <c r="O47" s="1487">
        <v>2633.03</v>
      </c>
      <c r="P47" s="1487">
        <v>2597.44</v>
      </c>
      <c r="Q47" s="1487">
        <v>1628.75</v>
      </c>
      <c r="R47" s="1487">
        <v>1735.8</v>
      </c>
      <c r="S47" s="1487">
        <v>1948.66</v>
      </c>
      <c r="T47" s="1487">
        <v>985.55</v>
      </c>
      <c r="U47" s="1487">
        <v>2126.65</v>
      </c>
      <c r="AC47" s="1965"/>
      <c r="AD47" s="1965"/>
      <c r="AE47" s="1965"/>
      <c r="AF47" s="1965"/>
      <c r="AG47" s="1965"/>
      <c r="AH47" s="1965"/>
      <c r="AI47" s="1965"/>
      <c r="AJ47" s="1965"/>
    </row>
    <row r="48" spans="1:36" s="395" customFormat="1">
      <c r="A48" s="1997" t="s">
        <v>2366</v>
      </c>
      <c r="B48" s="583"/>
      <c r="C48" s="397" t="s">
        <v>2367</v>
      </c>
      <c r="D48" s="397"/>
      <c r="E48" s="397"/>
      <c r="F48" s="1998"/>
      <c r="G48" s="1487">
        <v>9489</v>
      </c>
      <c r="H48" s="1487">
        <v>10503.31</v>
      </c>
      <c r="I48" s="1487">
        <v>11409.45</v>
      </c>
      <c r="J48" s="1487">
        <v>12310.49</v>
      </c>
      <c r="K48" s="1487">
        <v>13591.72</v>
      </c>
      <c r="L48" s="1487">
        <v>15762.14</v>
      </c>
      <c r="M48" s="1487">
        <v>16529.080000000002</v>
      </c>
      <c r="N48" s="1487"/>
      <c r="O48" s="1487"/>
      <c r="P48" s="1487"/>
      <c r="Q48" s="1487"/>
      <c r="R48" s="1487"/>
      <c r="S48" s="397"/>
      <c r="T48" s="397"/>
      <c r="U48" s="1487"/>
      <c r="AC48" s="1965"/>
      <c r="AD48" s="1965"/>
      <c r="AE48" s="1965"/>
      <c r="AF48" s="1965"/>
      <c r="AG48" s="1965"/>
      <c r="AH48" s="1965"/>
      <c r="AI48" s="1965"/>
      <c r="AJ48" s="1965"/>
    </row>
    <row r="49" spans="1:36" s="395" customFormat="1">
      <c r="A49" s="1997" t="s">
        <v>2368</v>
      </c>
      <c r="B49" s="583"/>
      <c r="C49" s="397" t="s">
        <v>2369</v>
      </c>
      <c r="D49" s="397"/>
      <c r="E49" s="397"/>
      <c r="F49" s="1998"/>
      <c r="G49" s="1487">
        <v>738.2</v>
      </c>
      <c r="H49" s="1487">
        <v>721.98</v>
      </c>
      <c r="I49" s="1487">
        <v>804.78</v>
      </c>
      <c r="J49" s="1487">
        <v>0</v>
      </c>
      <c r="K49" s="1487">
        <v>848.3</v>
      </c>
      <c r="L49" s="1487">
        <v>985.71</v>
      </c>
      <c r="M49" s="1487">
        <v>1176.81</v>
      </c>
      <c r="N49" s="1487"/>
      <c r="O49" s="1487"/>
      <c r="P49" s="1487"/>
      <c r="Q49" s="1487"/>
      <c r="R49" s="1487"/>
      <c r="S49" s="397"/>
      <c r="T49" s="397"/>
      <c r="U49" s="1487"/>
      <c r="AC49" s="1965"/>
      <c r="AD49" s="1965"/>
      <c r="AE49" s="1965"/>
      <c r="AF49" s="1965"/>
      <c r="AG49" s="1965"/>
      <c r="AH49" s="1965"/>
      <c r="AI49" s="1965"/>
      <c r="AJ49" s="1965"/>
    </row>
    <row r="50" spans="1:36" s="395" customFormat="1">
      <c r="A50" s="1997" t="s">
        <v>2370</v>
      </c>
      <c r="B50" s="583"/>
      <c r="C50" s="397" t="s">
        <v>2371</v>
      </c>
      <c r="D50" s="397"/>
      <c r="E50" s="397"/>
      <c r="F50" s="1998"/>
      <c r="G50" s="1487">
        <v>2121.09</v>
      </c>
      <c r="H50" s="1487">
        <v>3166.51</v>
      </c>
      <c r="I50" s="1487">
        <v>3693.53</v>
      </c>
      <c r="J50" s="1487">
        <v>3465.94</v>
      </c>
      <c r="K50" s="1487">
        <v>2122.7600000000002</v>
      </c>
      <c r="L50" s="1487">
        <v>1101.4000000000001</v>
      </c>
      <c r="M50" s="1487">
        <v>1306.97</v>
      </c>
      <c r="N50" s="1487"/>
      <c r="O50" s="1487"/>
      <c r="P50" s="1487"/>
      <c r="Q50" s="1487"/>
      <c r="R50" s="1487"/>
      <c r="S50" s="397"/>
      <c r="T50" s="397"/>
      <c r="U50" s="1487"/>
      <c r="AC50" s="1965"/>
      <c r="AD50" s="1965"/>
      <c r="AE50" s="1965"/>
      <c r="AF50" s="1965"/>
      <c r="AG50" s="1965"/>
      <c r="AH50" s="1965"/>
      <c r="AI50" s="1965"/>
      <c r="AJ50" s="1965"/>
    </row>
    <row r="51" spans="1:36" s="395" customFormat="1">
      <c r="A51" s="1997" t="s">
        <v>2372</v>
      </c>
      <c r="B51" s="583"/>
      <c r="C51" s="397" t="s">
        <v>2373</v>
      </c>
      <c r="D51" s="397"/>
      <c r="E51" s="397"/>
      <c r="F51" s="1998"/>
      <c r="G51" s="1487">
        <v>0</v>
      </c>
      <c r="H51" s="1487">
        <v>0</v>
      </c>
      <c r="I51" s="1487">
        <v>0</v>
      </c>
      <c r="J51" s="1487">
        <v>0</v>
      </c>
      <c r="K51" s="1487">
        <v>13912.95</v>
      </c>
      <c r="L51" s="1487">
        <v>7033.05</v>
      </c>
      <c r="M51" s="1487">
        <v>0</v>
      </c>
      <c r="N51" s="1487"/>
      <c r="O51" s="1487"/>
      <c r="P51" s="1487"/>
      <c r="Q51" s="1487"/>
      <c r="R51" s="1487"/>
      <c r="S51" s="397"/>
      <c r="T51" s="397"/>
      <c r="U51" s="1487"/>
      <c r="AC51" s="1965"/>
      <c r="AD51" s="1965"/>
      <c r="AE51" s="1965"/>
      <c r="AF51" s="1965"/>
      <c r="AG51" s="1965"/>
      <c r="AH51" s="1965"/>
      <c r="AI51" s="1965"/>
      <c r="AJ51" s="1965"/>
    </row>
    <row r="52" spans="1:36" s="395" customFormat="1">
      <c r="A52" s="1997" t="s">
        <v>2374</v>
      </c>
      <c r="B52" s="583"/>
      <c r="C52" s="397" t="s">
        <v>2373</v>
      </c>
      <c r="D52" s="397"/>
      <c r="E52" s="397"/>
      <c r="F52" s="1998"/>
      <c r="G52" s="1487">
        <v>0</v>
      </c>
      <c r="H52" s="1487">
        <v>0</v>
      </c>
      <c r="I52" s="1487">
        <v>0</v>
      </c>
      <c r="J52" s="1487">
        <v>0</v>
      </c>
      <c r="K52" s="1487">
        <v>0</v>
      </c>
      <c r="L52" s="1487">
        <v>299.49</v>
      </c>
      <c r="M52" s="1487">
        <v>0</v>
      </c>
      <c r="N52" s="1487"/>
      <c r="O52" s="1487"/>
      <c r="P52" s="1487"/>
      <c r="Q52" s="1487"/>
      <c r="R52" s="397"/>
      <c r="S52" s="397"/>
      <c r="T52" s="397"/>
      <c r="U52" s="1487"/>
      <c r="AC52" s="1965"/>
      <c r="AD52" s="1965"/>
      <c r="AE52" s="1965"/>
      <c r="AF52" s="1965"/>
      <c r="AG52" s="1965"/>
      <c r="AH52" s="1965"/>
      <c r="AI52" s="1965"/>
      <c r="AJ52" s="1965"/>
    </row>
    <row r="53" spans="1:36" s="395" customFormat="1">
      <c r="A53" s="1997" t="s">
        <v>2375</v>
      </c>
      <c r="B53" s="583"/>
      <c r="C53" s="397" t="s">
        <v>2376</v>
      </c>
      <c r="D53" s="397"/>
      <c r="E53" s="397"/>
      <c r="F53" s="1998"/>
      <c r="G53" s="1487">
        <v>0</v>
      </c>
      <c r="H53" s="1487">
        <v>0</v>
      </c>
      <c r="I53" s="1487">
        <v>67.86</v>
      </c>
      <c r="J53" s="1487">
        <v>64.56</v>
      </c>
      <c r="K53" s="1487">
        <v>54.53</v>
      </c>
      <c r="L53" s="1487">
        <v>54.8</v>
      </c>
      <c r="M53" s="1487">
        <v>169.29</v>
      </c>
      <c r="N53" s="1487"/>
      <c r="O53" s="1487"/>
      <c r="P53" s="1487"/>
      <c r="Q53" s="1487"/>
      <c r="R53" s="397"/>
      <c r="S53" s="397"/>
      <c r="T53" s="397"/>
      <c r="U53" s="1487"/>
      <c r="AC53" s="1965"/>
      <c r="AD53" s="1965"/>
      <c r="AE53" s="1965"/>
      <c r="AF53" s="1965"/>
      <c r="AG53" s="1965"/>
      <c r="AH53" s="1965"/>
      <c r="AI53" s="1965"/>
      <c r="AJ53" s="1965"/>
    </row>
    <row r="54" spans="1:36" s="395" customFormat="1">
      <c r="A54" s="1997" t="s">
        <v>2377</v>
      </c>
      <c r="B54" s="583"/>
      <c r="C54" s="397" t="s">
        <v>2376</v>
      </c>
      <c r="D54" s="397"/>
      <c r="E54" s="397"/>
      <c r="F54" s="1998"/>
      <c r="G54" s="1487">
        <v>0</v>
      </c>
      <c r="H54" s="1487">
        <v>0</v>
      </c>
      <c r="I54" s="1487">
        <v>0</v>
      </c>
      <c r="J54" s="1487">
        <v>59.33</v>
      </c>
      <c r="K54" s="1487">
        <v>237</v>
      </c>
      <c r="L54" s="1487">
        <v>234.08</v>
      </c>
      <c r="M54" s="1487">
        <v>516.59</v>
      </c>
      <c r="N54" s="1487"/>
      <c r="O54" s="1487"/>
      <c r="P54" s="1487"/>
      <c r="Q54" s="1487"/>
      <c r="R54" s="397"/>
      <c r="S54" s="397"/>
      <c r="T54" s="397"/>
      <c r="U54" s="1487"/>
      <c r="AC54" s="1965"/>
      <c r="AD54" s="1965"/>
      <c r="AE54" s="1965"/>
      <c r="AF54" s="1965"/>
      <c r="AG54" s="1965"/>
      <c r="AH54" s="1965"/>
      <c r="AI54" s="1965"/>
      <c r="AJ54" s="1965"/>
    </row>
    <row r="55" spans="1:36" s="395" customFormat="1">
      <c r="A55" s="1997" t="s">
        <v>2378</v>
      </c>
      <c r="B55" s="583"/>
      <c r="C55" s="397" t="s">
        <v>2379</v>
      </c>
      <c r="D55" s="397"/>
      <c r="E55" s="397"/>
      <c r="F55" s="1998"/>
      <c r="G55" s="1487">
        <v>287</v>
      </c>
      <c r="H55" s="1487">
        <v>293</v>
      </c>
      <c r="I55" s="1487">
        <v>292.86</v>
      </c>
      <c r="J55" s="1487">
        <v>278.63</v>
      </c>
      <c r="K55" s="1487">
        <v>342.96</v>
      </c>
      <c r="L55" s="1487">
        <v>377.99</v>
      </c>
      <c r="M55" s="1487">
        <v>341.93</v>
      </c>
      <c r="N55" s="1487"/>
      <c r="O55" s="1487"/>
      <c r="P55" s="1487"/>
      <c r="Q55" s="1487"/>
      <c r="R55" s="397"/>
      <c r="S55" s="397"/>
      <c r="T55" s="397"/>
      <c r="U55" s="1487"/>
      <c r="AC55" s="1965"/>
      <c r="AD55" s="1965"/>
      <c r="AE55" s="1965"/>
      <c r="AF55" s="1965"/>
      <c r="AG55" s="1965"/>
      <c r="AH55" s="1965"/>
      <c r="AI55" s="1965"/>
      <c r="AJ55" s="1965"/>
    </row>
    <row r="56" spans="1:36" s="395" customFormat="1">
      <c r="A56" s="1997" t="s">
        <v>2380</v>
      </c>
      <c r="B56" s="583"/>
      <c r="C56" s="397" t="s">
        <v>1069</v>
      </c>
      <c r="D56" s="397"/>
      <c r="E56" s="397"/>
      <c r="F56" s="1998"/>
      <c r="G56" s="1487">
        <v>423.47</v>
      </c>
      <c r="H56" s="1487">
        <v>464.92</v>
      </c>
      <c r="I56" s="1487">
        <v>593.26</v>
      </c>
      <c r="J56" s="1487">
        <v>536.99</v>
      </c>
      <c r="K56" s="1487">
        <v>602.04</v>
      </c>
      <c r="L56" s="1487">
        <v>514.79</v>
      </c>
      <c r="M56" s="1487">
        <v>644.88</v>
      </c>
      <c r="N56" s="1487"/>
      <c r="O56" s="1487"/>
      <c r="P56" s="1487"/>
      <c r="Q56" s="1487"/>
      <c r="R56" s="397"/>
      <c r="S56" s="397"/>
      <c r="T56" s="397"/>
      <c r="U56" s="1487"/>
      <c r="AC56" s="1965"/>
      <c r="AD56" s="1965"/>
      <c r="AE56" s="1965"/>
      <c r="AF56" s="1965"/>
      <c r="AG56" s="1965"/>
      <c r="AH56" s="1965"/>
      <c r="AI56" s="1965"/>
      <c r="AJ56" s="1965"/>
    </row>
    <row r="57" spans="1:36" s="395" customFormat="1">
      <c r="A57" s="1997" t="s">
        <v>2381</v>
      </c>
      <c r="B57" s="583"/>
      <c r="C57" s="397" t="s">
        <v>1069</v>
      </c>
      <c r="D57" s="397"/>
      <c r="E57" s="397"/>
      <c r="F57" s="1998"/>
      <c r="G57" s="1487">
        <v>10.29</v>
      </c>
      <c r="H57" s="1487">
        <v>15.35</v>
      </c>
      <c r="I57" s="1487">
        <v>17.12</v>
      </c>
      <c r="J57" s="1487">
        <v>16.8</v>
      </c>
      <c r="K57" s="1487">
        <v>21.22</v>
      </c>
      <c r="L57" s="1487">
        <v>33.67</v>
      </c>
      <c r="M57" s="1487">
        <v>24.81</v>
      </c>
      <c r="N57" s="1487"/>
      <c r="O57" s="1487"/>
      <c r="P57" s="1487"/>
      <c r="Q57" s="1487"/>
      <c r="R57" s="397"/>
      <c r="S57" s="397"/>
      <c r="T57" s="397"/>
      <c r="U57" s="1487"/>
      <c r="AC57" s="1965"/>
      <c r="AD57" s="1965"/>
      <c r="AE57" s="1965"/>
      <c r="AF57" s="1965"/>
      <c r="AG57" s="1965"/>
      <c r="AH57" s="1965"/>
      <c r="AI57" s="1965"/>
      <c r="AJ57" s="1965"/>
    </row>
    <row r="58" spans="1:36" s="395" customFormat="1">
      <c r="A58" s="2046"/>
      <c r="B58" s="2064"/>
      <c r="C58" s="2047" t="s">
        <v>1083</v>
      </c>
      <c r="D58" s="2047"/>
      <c r="E58" s="2047"/>
      <c r="F58" s="3017"/>
      <c r="G58" s="2005">
        <f t="shared" ref="G58:Q58" si="14">SUM(G28:G57)</f>
        <v>349717.61000000004</v>
      </c>
      <c r="H58" s="2005">
        <f t="shared" si="14"/>
        <v>403586.5799999999</v>
      </c>
      <c r="I58" s="2005">
        <f t="shared" si="14"/>
        <v>494409.43000000005</v>
      </c>
      <c r="J58" s="2005">
        <f t="shared" si="14"/>
        <v>480373.50000000006</v>
      </c>
      <c r="K58" s="2005">
        <f t="shared" si="14"/>
        <v>500470.31999999995</v>
      </c>
      <c r="L58" s="2005">
        <f t="shared" si="14"/>
        <v>499111.5</v>
      </c>
      <c r="M58" s="2005">
        <f t="shared" si="14"/>
        <v>542553.66000000015</v>
      </c>
      <c r="N58" s="2005">
        <f t="shared" si="14"/>
        <v>551588.94000000006</v>
      </c>
      <c r="O58" s="2005">
        <f t="shared" si="14"/>
        <v>671383.1</v>
      </c>
      <c r="P58" s="2005">
        <f t="shared" si="14"/>
        <v>703490.45999999985</v>
      </c>
      <c r="Q58" s="2005">
        <f t="shared" si="14"/>
        <v>679330.9</v>
      </c>
      <c r="R58" s="2005">
        <f>SUM(R28:R57)</f>
        <v>713594.83000000007</v>
      </c>
      <c r="S58" s="2005">
        <f>SUM(S28:S57)</f>
        <v>727916.92999999993</v>
      </c>
      <c r="T58" s="2005">
        <f>SUM(T28:T57)</f>
        <v>699448.8600000001</v>
      </c>
      <c r="U58" s="2005">
        <f>SUM(U28:U57)</f>
        <v>718100.15999999992</v>
      </c>
      <c r="AC58" s="1965"/>
      <c r="AD58" s="1965"/>
      <c r="AE58" s="1965"/>
      <c r="AF58" s="1965"/>
      <c r="AG58" s="1965"/>
      <c r="AH58" s="1965"/>
      <c r="AI58" s="1965"/>
      <c r="AJ58" s="1965"/>
    </row>
    <row r="59" spans="1:36" s="395" customFormat="1">
      <c r="A59" s="2048" t="s">
        <v>990</v>
      </c>
      <c r="B59" s="1999"/>
      <c r="C59" s="397"/>
      <c r="D59" s="397"/>
      <c r="E59" s="397"/>
      <c r="F59" s="1998"/>
      <c r="G59" s="1487"/>
      <c r="H59" s="1487"/>
      <c r="I59" s="1487"/>
      <c r="J59" s="1487"/>
      <c r="K59" s="1487"/>
      <c r="L59" s="1487"/>
      <c r="M59" s="1487"/>
      <c r="N59" s="397"/>
      <c r="O59" s="397"/>
      <c r="P59" s="397"/>
      <c r="Q59" s="1487"/>
      <c r="R59" s="397"/>
      <c r="S59" s="397"/>
      <c r="T59" s="397"/>
      <c r="U59" s="1487"/>
      <c r="AC59" s="1965"/>
      <c r="AD59" s="1965"/>
      <c r="AE59" s="1965"/>
      <c r="AF59" s="1965"/>
      <c r="AG59" s="1965"/>
      <c r="AH59" s="1965"/>
      <c r="AI59" s="1965"/>
      <c r="AJ59" s="1965"/>
    </row>
    <row r="60" spans="1:36" s="395" customFormat="1">
      <c r="A60" s="1997" t="s">
        <v>2382</v>
      </c>
      <c r="B60" s="583">
        <v>600000</v>
      </c>
      <c r="C60" s="397" t="s">
        <v>2383</v>
      </c>
      <c r="D60" s="397"/>
      <c r="E60" s="397"/>
      <c r="F60" s="1998"/>
      <c r="G60" s="1487">
        <v>5621.12</v>
      </c>
      <c r="H60" s="1487">
        <v>7610.86</v>
      </c>
      <c r="I60" s="1487">
        <v>5511.3</v>
      </c>
      <c r="J60" s="1487">
        <v>5088.8900000000003</v>
      </c>
      <c r="K60" s="1487">
        <v>5452.35</v>
      </c>
      <c r="L60" s="1487">
        <v>4257.4399999999996</v>
      </c>
      <c r="M60" s="1487">
        <v>5036.5</v>
      </c>
      <c r="N60" s="1487">
        <v>4925.8100000000004</v>
      </c>
      <c r="O60" s="1487">
        <v>4281.45</v>
      </c>
      <c r="P60" s="1487">
        <v>5669.45</v>
      </c>
      <c r="Q60" s="1487">
        <v>4685.3999999999996</v>
      </c>
      <c r="R60" s="1487">
        <v>5769.28</v>
      </c>
      <c r="S60" s="1487">
        <v>5176.1099999999997</v>
      </c>
      <c r="T60" s="1487">
        <v>3626.43</v>
      </c>
      <c r="U60" s="1487">
        <v>3426.98</v>
      </c>
      <c r="AC60" s="1965"/>
      <c r="AD60" s="1965"/>
      <c r="AE60" s="1965"/>
      <c r="AF60" s="1965"/>
      <c r="AG60" s="1965"/>
      <c r="AH60" s="1965"/>
      <c r="AI60" s="1965"/>
      <c r="AJ60" s="1965"/>
    </row>
    <row r="61" spans="1:36" s="395" customFormat="1">
      <c r="A61" s="1997"/>
      <c r="B61" s="583"/>
      <c r="C61" s="397" t="s">
        <v>2385</v>
      </c>
      <c r="D61" s="397"/>
      <c r="E61" s="397"/>
      <c r="F61" s="1998"/>
      <c r="G61" s="1487"/>
      <c r="H61" s="1487"/>
      <c r="I61" s="1487"/>
      <c r="J61" s="1487"/>
      <c r="K61" s="1487"/>
      <c r="L61" s="1487"/>
      <c r="M61" s="1487"/>
      <c r="N61" s="1487"/>
      <c r="O61" s="1487"/>
      <c r="P61" s="1487"/>
      <c r="Q61" s="1487"/>
      <c r="R61" s="1487"/>
      <c r="S61" s="1487"/>
      <c r="T61" s="1487"/>
      <c r="U61" s="1487"/>
      <c r="AC61" s="1965"/>
      <c r="AD61" s="1965"/>
      <c r="AE61" s="1965"/>
      <c r="AF61" s="1965"/>
      <c r="AG61" s="1965"/>
      <c r="AH61" s="1965"/>
      <c r="AI61" s="1965"/>
      <c r="AJ61" s="1965"/>
    </row>
    <row r="62" spans="1:36" s="395" customFormat="1">
      <c r="A62" s="1997" t="s">
        <v>2384</v>
      </c>
      <c r="B62" s="583">
        <v>602100</v>
      </c>
      <c r="C62" s="397" t="s">
        <v>7357</v>
      </c>
      <c r="D62" s="397"/>
      <c r="E62" s="397"/>
      <c r="F62" s="1998"/>
      <c r="G62" s="1487"/>
      <c r="H62" s="1487"/>
      <c r="I62" s="1487"/>
      <c r="J62" s="1487"/>
      <c r="K62" s="1487"/>
      <c r="L62" s="1487"/>
      <c r="M62" s="1487"/>
      <c r="N62" s="1487"/>
      <c r="O62" s="1487"/>
      <c r="P62" s="1487">
        <v>14400</v>
      </c>
      <c r="Q62" s="1487">
        <v>7200</v>
      </c>
      <c r="R62" s="1487">
        <v>3600</v>
      </c>
      <c r="S62" s="1487"/>
      <c r="T62" s="1487">
        <v>5881.08</v>
      </c>
      <c r="U62" s="1487">
        <v>4638.95</v>
      </c>
      <c r="AC62" s="1965"/>
      <c r="AD62" s="1965"/>
      <c r="AE62" s="1965"/>
      <c r="AF62" s="1965"/>
      <c r="AG62" s="1965"/>
      <c r="AH62" s="1965"/>
      <c r="AI62" s="1965"/>
      <c r="AJ62" s="1965"/>
    </row>
    <row r="63" spans="1:36" s="395" customFormat="1">
      <c r="A63" s="1997" t="s">
        <v>2386</v>
      </c>
      <c r="B63" s="583">
        <v>610300</v>
      </c>
      <c r="C63" s="397" t="s">
        <v>1318</v>
      </c>
      <c r="D63" s="397"/>
      <c r="E63" s="397"/>
      <c r="F63" s="1998"/>
      <c r="G63" s="1487">
        <v>2433.8000000000002</v>
      </c>
      <c r="H63" s="1487">
        <v>2630.6</v>
      </c>
      <c r="I63" s="1487">
        <v>5194.74</v>
      </c>
      <c r="J63" s="1487">
        <v>4020.05</v>
      </c>
      <c r="K63" s="1487">
        <v>6362.93</v>
      </c>
      <c r="L63" s="1487">
        <v>4597.68</v>
      </c>
      <c r="M63" s="1487">
        <v>5900.43</v>
      </c>
      <c r="N63" s="1487">
        <v>5591.38</v>
      </c>
      <c r="O63" s="1487">
        <v>23399.05</v>
      </c>
      <c r="P63" s="1487">
        <v>9801.07</v>
      </c>
      <c r="Q63" s="1487">
        <v>8240.8700000000008</v>
      </c>
      <c r="R63" s="1487">
        <v>16361.1</v>
      </c>
      <c r="S63" s="1487">
        <v>14775</v>
      </c>
      <c r="T63" s="1487">
        <v>11260.88</v>
      </c>
      <c r="U63" s="1487">
        <v>15559.96</v>
      </c>
      <c r="AC63" s="1965"/>
      <c r="AD63" s="1965"/>
      <c r="AE63" s="1965"/>
      <c r="AF63" s="1965"/>
      <c r="AG63" s="1965"/>
      <c r="AH63" s="1965"/>
      <c r="AI63" s="1965"/>
      <c r="AJ63" s="1965"/>
    </row>
    <row r="64" spans="1:36" s="395" customFormat="1">
      <c r="A64" s="1997" t="s">
        <v>2387</v>
      </c>
      <c r="B64" s="583">
        <v>611000</v>
      </c>
      <c r="C64" s="397" t="s">
        <v>1322</v>
      </c>
      <c r="D64" s="397"/>
      <c r="E64" s="397"/>
      <c r="F64" s="1998"/>
      <c r="G64" s="1487">
        <v>3712.9</v>
      </c>
      <c r="H64" s="1487">
        <v>3216.02</v>
      </c>
      <c r="I64" s="1487">
        <v>3359</v>
      </c>
      <c r="J64" s="1487">
        <v>3503.83</v>
      </c>
      <c r="K64" s="1487">
        <v>4825.42</v>
      </c>
      <c r="L64" s="1487">
        <v>4416.6000000000004</v>
      </c>
      <c r="M64" s="1487">
        <v>4822.93</v>
      </c>
      <c r="N64" s="1487">
        <v>6346.55</v>
      </c>
      <c r="O64" s="1487">
        <v>2962.81</v>
      </c>
      <c r="P64" s="1487">
        <v>4830.57</v>
      </c>
      <c r="Q64" s="1487">
        <v>2925.33</v>
      </c>
      <c r="R64" s="1487">
        <v>5086.67</v>
      </c>
      <c r="S64" s="1487">
        <v>11667.01</v>
      </c>
      <c r="T64" s="1487">
        <v>14038.41</v>
      </c>
      <c r="U64" s="1487">
        <v>11030.84</v>
      </c>
      <c r="AC64" s="1965"/>
      <c r="AD64" s="1965"/>
      <c r="AE64" s="1965"/>
      <c r="AF64" s="1965"/>
      <c r="AG64" s="1965"/>
      <c r="AH64" s="1965"/>
      <c r="AI64" s="1965"/>
      <c r="AJ64" s="1965"/>
    </row>
    <row r="65" spans="1:36" s="395" customFormat="1">
      <c r="A65" s="1997" t="s">
        <v>2388</v>
      </c>
      <c r="B65" s="583">
        <v>611100</v>
      </c>
      <c r="C65" s="397" t="s">
        <v>1324</v>
      </c>
      <c r="D65" s="397"/>
      <c r="E65" s="397"/>
      <c r="F65" s="1998"/>
      <c r="G65" s="1487">
        <v>4821.8100000000004</v>
      </c>
      <c r="H65" s="1487">
        <v>3905.31</v>
      </c>
      <c r="I65" s="1487">
        <v>6983.12</v>
      </c>
      <c r="J65" s="1487">
        <v>7305</v>
      </c>
      <c r="K65" s="1487">
        <v>8246.17</v>
      </c>
      <c r="L65" s="1487">
        <v>7417</v>
      </c>
      <c r="M65" s="1487">
        <v>7489.18</v>
      </c>
      <c r="N65" s="1487">
        <v>7455.55</v>
      </c>
      <c r="O65" s="1487">
        <v>7361.36</v>
      </c>
      <c r="P65" s="1487">
        <v>3431.33</v>
      </c>
      <c r="Q65" s="1487">
        <v>4173.1099999999997</v>
      </c>
      <c r="R65" s="1487">
        <v>4612.6000000000004</v>
      </c>
      <c r="S65" s="1487">
        <v>7232.36</v>
      </c>
      <c r="T65" s="1487">
        <v>4678.12</v>
      </c>
      <c r="U65" s="1487">
        <v>8897.7900000000009</v>
      </c>
      <c r="AC65" s="1965"/>
      <c r="AD65" s="1965"/>
      <c r="AE65" s="1965"/>
      <c r="AF65" s="1965"/>
      <c r="AG65" s="1965"/>
      <c r="AH65" s="1965"/>
      <c r="AI65" s="1965"/>
      <c r="AJ65" s="1965"/>
    </row>
    <row r="66" spans="1:36" s="395" customFormat="1">
      <c r="A66" s="1997" t="s">
        <v>2389</v>
      </c>
      <c r="B66" s="583"/>
      <c r="C66" s="397" t="s">
        <v>2390</v>
      </c>
      <c r="D66" s="397"/>
      <c r="E66" s="397"/>
      <c r="F66" s="1998"/>
      <c r="G66" s="1487"/>
      <c r="H66" s="1487"/>
      <c r="I66" s="1487"/>
      <c r="J66" s="1487"/>
      <c r="K66" s="1487"/>
      <c r="L66" s="1487"/>
      <c r="M66" s="1487"/>
      <c r="N66" s="1487"/>
      <c r="O66" s="1487"/>
      <c r="P66" s="1487">
        <v>4606.71</v>
      </c>
      <c r="Q66" s="1487">
        <v>0</v>
      </c>
      <c r="R66" s="1487">
        <v>0</v>
      </c>
      <c r="S66" s="1487"/>
      <c r="T66" s="1487"/>
      <c r="U66" s="1487"/>
      <c r="AC66" s="1965"/>
      <c r="AD66" s="1965"/>
      <c r="AE66" s="1965"/>
      <c r="AF66" s="1965"/>
      <c r="AG66" s="1965"/>
      <c r="AH66" s="1965"/>
      <c r="AI66" s="1965"/>
      <c r="AJ66" s="1965"/>
    </row>
    <row r="67" spans="1:36" s="395" customFormat="1">
      <c r="A67" s="1997" t="s">
        <v>2391</v>
      </c>
      <c r="B67" s="583">
        <v>611300</v>
      </c>
      <c r="C67" s="1487" t="s">
        <v>1375</v>
      </c>
      <c r="D67" s="1487"/>
      <c r="E67" s="1487"/>
      <c r="F67" s="1489"/>
      <c r="G67" s="1487">
        <v>561.14</v>
      </c>
      <c r="H67" s="1487">
        <v>667.11</v>
      </c>
      <c r="I67" s="1487">
        <v>478.45</v>
      </c>
      <c r="J67" s="1487">
        <v>920.96</v>
      </c>
      <c r="K67" s="1487">
        <v>1056.57</v>
      </c>
      <c r="L67" s="1487">
        <v>1238.78</v>
      </c>
      <c r="M67" s="1487">
        <v>223.55</v>
      </c>
      <c r="N67" s="1487">
        <v>1001.96</v>
      </c>
      <c r="O67" s="1487">
        <v>939.91</v>
      </c>
      <c r="P67" s="1487">
        <v>2126.9899999999998</v>
      </c>
      <c r="Q67" s="1487">
        <v>527.98</v>
      </c>
      <c r="R67" s="1487">
        <v>1363.05</v>
      </c>
      <c r="S67" s="1487">
        <v>1173.44</v>
      </c>
      <c r="T67" s="1487">
        <v>1004.68</v>
      </c>
      <c r="U67" s="1487">
        <v>1136</v>
      </c>
      <c r="AC67" s="1965"/>
      <c r="AD67" s="1965"/>
      <c r="AE67" s="1965"/>
      <c r="AF67" s="1965"/>
      <c r="AG67" s="1965"/>
      <c r="AH67" s="1965"/>
      <c r="AI67" s="1965"/>
      <c r="AJ67" s="1965"/>
    </row>
    <row r="68" spans="1:36" s="395" customFormat="1">
      <c r="A68" s="1997" t="s">
        <v>2392</v>
      </c>
      <c r="B68" s="583">
        <v>612000</v>
      </c>
      <c r="C68" s="397" t="s">
        <v>1326</v>
      </c>
      <c r="D68" s="397"/>
      <c r="E68" s="397"/>
      <c r="F68" s="1998"/>
      <c r="G68" s="1487">
        <v>356.63</v>
      </c>
      <c r="H68" s="1487">
        <v>366</v>
      </c>
      <c r="I68" s="1487">
        <v>438.63</v>
      </c>
      <c r="J68" s="1487">
        <v>368.78</v>
      </c>
      <c r="K68" s="1487">
        <v>379.79</v>
      </c>
      <c r="L68" s="1487">
        <v>296.77</v>
      </c>
      <c r="M68" s="1487">
        <v>306.87</v>
      </c>
      <c r="N68" s="1487">
        <v>801.23</v>
      </c>
      <c r="O68" s="1487">
        <v>836.4</v>
      </c>
      <c r="P68" s="1487">
        <v>948.33</v>
      </c>
      <c r="Q68" s="1487">
        <v>538.83000000000004</v>
      </c>
      <c r="R68" s="1487">
        <v>550.08000000000004</v>
      </c>
      <c r="S68" s="1487">
        <v>491.06</v>
      </c>
      <c r="T68" s="1487">
        <v>616.20000000000005</v>
      </c>
      <c r="U68" s="1487">
        <v>660.12</v>
      </c>
      <c r="AC68" s="1965"/>
      <c r="AD68" s="1965"/>
      <c r="AE68" s="1965"/>
      <c r="AF68" s="1965"/>
      <c r="AG68" s="1965"/>
      <c r="AH68" s="1965"/>
      <c r="AI68" s="1965"/>
      <c r="AJ68" s="1965"/>
    </row>
    <row r="69" spans="1:36" s="395" customFormat="1">
      <c r="A69" s="1997" t="s">
        <v>2393</v>
      </c>
      <c r="B69" s="583">
        <v>612100</v>
      </c>
      <c r="C69" s="397" t="s">
        <v>2394</v>
      </c>
      <c r="D69" s="397"/>
      <c r="E69" s="397"/>
      <c r="F69" s="1998"/>
      <c r="G69" s="1487">
        <v>483.58</v>
      </c>
      <c r="H69" s="1487">
        <v>516.21</v>
      </c>
      <c r="I69" s="1487">
        <v>478.93</v>
      </c>
      <c r="J69" s="1487">
        <v>592.91</v>
      </c>
      <c r="K69" s="1487">
        <v>497.57</v>
      </c>
      <c r="L69" s="1487">
        <v>487</v>
      </c>
      <c r="M69" s="1487">
        <v>636.29</v>
      </c>
      <c r="N69" s="1487">
        <v>558.15</v>
      </c>
      <c r="O69" s="1487">
        <v>548.83000000000004</v>
      </c>
      <c r="P69" s="1487">
        <v>537.17999999999995</v>
      </c>
      <c r="Q69" s="1487">
        <v>365.81</v>
      </c>
      <c r="R69" s="1487">
        <v>559.20000000000005</v>
      </c>
      <c r="S69" s="1487">
        <v>477.65</v>
      </c>
      <c r="T69" s="1487">
        <v>456.68</v>
      </c>
      <c r="U69" s="1487">
        <v>417.07</v>
      </c>
      <c r="AC69" s="1965"/>
      <c r="AD69" s="1965"/>
      <c r="AE69" s="1965"/>
      <c r="AF69" s="1965"/>
      <c r="AG69" s="1965"/>
      <c r="AH69" s="1965"/>
      <c r="AI69" s="1965"/>
      <c r="AJ69" s="1965"/>
    </row>
    <row r="70" spans="1:36" s="395" customFormat="1">
      <c r="A70" s="1997" t="s">
        <v>2395</v>
      </c>
      <c r="B70" s="583">
        <v>612200</v>
      </c>
      <c r="C70" s="1487" t="s">
        <v>1328</v>
      </c>
      <c r="D70" s="1487"/>
      <c r="E70" s="1487"/>
      <c r="F70" s="1489"/>
      <c r="G70" s="1487">
        <v>833.53</v>
      </c>
      <c r="H70" s="1487">
        <v>833.53</v>
      </c>
      <c r="I70" s="1487">
        <v>833.53</v>
      </c>
      <c r="J70" s="1487">
        <v>833.53</v>
      </c>
      <c r="K70" s="1487">
        <v>833.53</v>
      </c>
      <c r="L70" s="1487">
        <v>752.04</v>
      </c>
      <c r="M70" s="1487">
        <v>752.04</v>
      </c>
      <c r="N70" s="1487">
        <v>1558.69</v>
      </c>
      <c r="O70" s="1487">
        <v>1962</v>
      </c>
      <c r="P70" s="1487">
        <v>2116.08</v>
      </c>
      <c r="Q70" s="1487">
        <v>753.18</v>
      </c>
      <c r="R70" s="1487">
        <v>753.18</v>
      </c>
      <c r="S70" s="1487">
        <v>516.27</v>
      </c>
      <c r="T70" s="1487">
        <v>402.48</v>
      </c>
      <c r="U70" s="1487">
        <v>392.46</v>
      </c>
      <c r="AC70" s="1965"/>
      <c r="AD70" s="1965"/>
      <c r="AE70" s="1965"/>
      <c r="AF70" s="1965"/>
      <c r="AG70" s="1965"/>
      <c r="AH70" s="1965"/>
      <c r="AI70" s="1965"/>
      <c r="AJ70" s="1965"/>
    </row>
    <row r="71" spans="1:36" s="395" customFormat="1">
      <c r="A71" s="1997" t="s">
        <v>2396</v>
      </c>
      <c r="B71" s="583">
        <v>616900</v>
      </c>
      <c r="C71" s="397" t="s">
        <v>2397</v>
      </c>
      <c r="D71" s="397"/>
      <c r="E71" s="397"/>
      <c r="F71" s="1998"/>
      <c r="G71" s="1487"/>
      <c r="H71" s="1487"/>
      <c r="I71" s="1487"/>
      <c r="J71" s="1487"/>
      <c r="K71" s="1487"/>
      <c r="L71" s="1487"/>
      <c r="M71" s="1487"/>
      <c r="N71" s="1487"/>
      <c r="O71" s="1487"/>
      <c r="P71" s="1487">
        <v>890.19</v>
      </c>
      <c r="Q71" s="1487">
        <v>457.15</v>
      </c>
      <c r="R71" s="1487">
        <v>463.56</v>
      </c>
      <c r="S71" s="1487">
        <v>415.44</v>
      </c>
      <c r="T71" s="1487"/>
      <c r="U71" s="1487">
        <v>985.51</v>
      </c>
      <c r="AC71" s="1965"/>
      <c r="AD71" s="1965"/>
      <c r="AE71" s="1965"/>
      <c r="AF71" s="1965"/>
      <c r="AG71" s="1965"/>
      <c r="AH71" s="1965"/>
      <c r="AI71" s="1965"/>
      <c r="AJ71" s="1965"/>
    </row>
    <row r="72" spans="1:36" s="395" customFormat="1">
      <c r="A72" s="1997" t="s">
        <v>2398</v>
      </c>
      <c r="B72" s="583">
        <v>616200</v>
      </c>
      <c r="C72" s="397" t="s">
        <v>2399</v>
      </c>
      <c r="D72" s="397"/>
      <c r="E72" s="397"/>
      <c r="F72" s="1998"/>
      <c r="G72" s="1487">
        <v>0</v>
      </c>
      <c r="H72" s="1487">
        <v>0</v>
      </c>
      <c r="I72" s="1487">
        <v>0</v>
      </c>
      <c r="J72" s="1487">
        <v>0</v>
      </c>
      <c r="K72" s="1487">
        <v>120</v>
      </c>
      <c r="L72" s="1487">
        <v>55</v>
      </c>
      <c r="M72" s="1487">
        <v>80</v>
      </c>
      <c r="N72" s="1487"/>
      <c r="O72" s="1487">
        <v>120</v>
      </c>
      <c r="P72" s="1487">
        <v>100</v>
      </c>
      <c r="Q72" s="1487">
        <v>0</v>
      </c>
      <c r="R72" s="1487">
        <v>134.03</v>
      </c>
      <c r="S72" s="1487">
        <v>100</v>
      </c>
      <c r="T72" s="1487"/>
      <c r="U72" s="1487"/>
      <c r="AC72" s="1965"/>
      <c r="AD72" s="1965"/>
      <c r="AE72" s="1965"/>
      <c r="AF72" s="1965"/>
      <c r="AG72" s="1965"/>
      <c r="AH72" s="1965"/>
      <c r="AI72" s="1965"/>
      <c r="AJ72" s="1965"/>
    </row>
    <row r="73" spans="1:36" s="395" customFormat="1">
      <c r="A73" s="1997" t="s">
        <v>2400</v>
      </c>
      <c r="B73" s="583">
        <v>615000</v>
      </c>
      <c r="C73" s="397" t="s">
        <v>1096</v>
      </c>
      <c r="D73" s="397"/>
      <c r="E73" s="397"/>
      <c r="F73" s="1998"/>
      <c r="G73" s="1487">
        <v>1927.04</v>
      </c>
      <c r="H73" s="1487">
        <v>2022.3</v>
      </c>
      <c r="I73" s="1487">
        <v>2915.47</v>
      </c>
      <c r="J73" s="1487">
        <v>1744.05</v>
      </c>
      <c r="K73" s="1487">
        <v>1708.3</v>
      </c>
      <c r="L73" s="1487">
        <v>1222.47</v>
      </c>
      <c r="M73" s="1487">
        <v>1510.88</v>
      </c>
      <c r="N73" s="1487">
        <v>857.4</v>
      </c>
      <c r="O73" s="1487">
        <v>4342.3100000000004</v>
      </c>
      <c r="P73" s="1487">
        <v>1442.38</v>
      </c>
      <c r="Q73" s="1487">
        <v>2938.61</v>
      </c>
      <c r="R73" s="1487">
        <v>693.88</v>
      </c>
      <c r="S73" s="1487">
        <v>2193.61</v>
      </c>
      <c r="T73" s="1487">
        <v>1657.2</v>
      </c>
      <c r="U73" s="1487">
        <v>3097.12</v>
      </c>
      <c r="AC73" s="1965"/>
      <c r="AD73" s="1965"/>
      <c r="AE73" s="1965"/>
      <c r="AF73" s="1965"/>
      <c r="AG73" s="1965"/>
      <c r="AH73" s="1965"/>
      <c r="AI73" s="1965"/>
      <c r="AJ73" s="1965"/>
    </row>
    <row r="74" spans="1:36" s="395" customFormat="1">
      <c r="A74" s="1997" t="s">
        <v>2401</v>
      </c>
      <c r="B74" s="583">
        <v>615310</v>
      </c>
      <c r="C74" s="397" t="s">
        <v>1098</v>
      </c>
      <c r="D74" s="397"/>
      <c r="E74" s="397"/>
      <c r="F74" s="1998"/>
      <c r="G74" s="1487">
        <v>95.03</v>
      </c>
      <c r="H74" s="1487">
        <v>194.07</v>
      </c>
      <c r="I74" s="1487">
        <v>159.05000000000001</v>
      </c>
      <c r="J74" s="1487">
        <v>303.14999999999998</v>
      </c>
      <c r="K74" s="1487">
        <v>272.36</v>
      </c>
      <c r="L74" s="1487">
        <v>46</v>
      </c>
      <c r="M74" s="1487">
        <v>46</v>
      </c>
      <c r="N74" s="1487">
        <v>49.5</v>
      </c>
      <c r="O74" s="1487">
        <v>52.5</v>
      </c>
      <c r="P74" s="1487">
        <v>52.5</v>
      </c>
      <c r="Q74" s="1487">
        <v>54.5</v>
      </c>
      <c r="R74" s="1487">
        <v>58</v>
      </c>
      <c r="S74" s="1487">
        <v>59</v>
      </c>
      <c r="T74" s="1487">
        <v>59</v>
      </c>
      <c r="U74" s="1487">
        <v>59</v>
      </c>
      <c r="AC74" s="1965"/>
      <c r="AD74" s="1965"/>
      <c r="AE74" s="1965"/>
      <c r="AF74" s="1965"/>
      <c r="AG74" s="1965"/>
      <c r="AH74" s="1965"/>
      <c r="AI74" s="1965"/>
      <c r="AJ74" s="1965"/>
    </row>
    <row r="75" spans="1:36" s="395" customFormat="1">
      <c r="A75" s="1997" t="s">
        <v>2402</v>
      </c>
      <c r="B75" s="583"/>
      <c r="C75" s="397" t="s">
        <v>1100</v>
      </c>
      <c r="D75" s="397"/>
      <c r="E75" s="397"/>
      <c r="F75" s="1998"/>
      <c r="G75" s="1487">
        <v>1924.87</v>
      </c>
      <c r="H75" s="1487">
        <v>1394.94</v>
      </c>
      <c r="I75" s="1487">
        <v>1602.25</v>
      </c>
      <c r="J75" s="1487">
        <v>2674.28</v>
      </c>
      <c r="K75" s="1487">
        <v>2179.9</v>
      </c>
      <c r="L75" s="1487">
        <v>2229.4299999999998</v>
      </c>
      <c r="M75" s="1487">
        <v>2792.48</v>
      </c>
      <c r="N75" s="1487">
        <v>3455.33</v>
      </c>
      <c r="O75" s="1487">
        <v>2465.5700000000002</v>
      </c>
      <c r="P75" s="1487">
        <v>1877.44</v>
      </c>
      <c r="Q75" s="1487">
        <v>630.52</v>
      </c>
      <c r="R75" s="1487">
        <v>586.79999999999995</v>
      </c>
      <c r="S75" s="1487"/>
      <c r="T75" s="1487"/>
      <c r="U75" s="1487"/>
      <c r="AC75" s="1965"/>
      <c r="AD75" s="1965"/>
      <c r="AE75" s="1965"/>
      <c r="AF75" s="1965"/>
      <c r="AG75" s="1965"/>
      <c r="AH75" s="1965"/>
      <c r="AI75" s="1965"/>
      <c r="AJ75" s="1965"/>
    </row>
    <row r="76" spans="1:36" s="395" customFormat="1">
      <c r="A76" s="1997" t="s">
        <v>2403</v>
      </c>
      <c r="B76" s="583">
        <v>615100</v>
      </c>
      <c r="C76" s="397" t="s">
        <v>1102</v>
      </c>
      <c r="D76" s="397"/>
      <c r="E76" s="397"/>
      <c r="F76" s="1998"/>
      <c r="G76" s="1487">
        <v>2322.54</v>
      </c>
      <c r="H76" s="1487">
        <v>2527.3200000000002</v>
      </c>
      <c r="I76" s="1487">
        <v>3780.92</v>
      </c>
      <c r="J76" s="1487">
        <v>3312.75</v>
      </c>
      <c r="K76" s="1487">
        <v>3322.27</v>
      </c>
      <c r="L76" s="1487">
        <v>3390.01</v>
      </c>
      <c r="M76" s="1487">
        <v>3360.7</v>
      </c>
      <c r="N76" s="1487">
        <v>3433.95</v>
      </c>
      <c r="O76" s="1487">
        <v>3490.31</v>
      </c>
      <c r="P76" s="1487">
        <v>3248.18</v>
      </c>
      <c r="Q76" s="1487">
        <v>3129.95</v>
      </c>
      <c r="R76" s="1487">
        <v>4485.93</v>
      </c>
      <c r="S76" s="1487">
        <v>4738.8500000000004</v>
      </c>
      <c r="T76" s="1487">
        <v>4785.07</v>
      </c>
      <c r="U76" s="1487">
        <v>5216.8500000000004</v>
      </c>
      <c r="AC76" s="1965"/>
      <c r="AD76" s="1965"/>
      <c r="AE76" s="1965"/>
      <c r="AF76" s="1965"/>
      <c r="AG76" s="1965"/>
      <c r="AH76" s="1965"/>
      <c r="AI76" s="1965"/>
      <c r="AJ76" s="1965"/>
    </row>
    <row r="77" spans="1:36" s="395" customFormat="1">
      <c r="A77" s="1997"/>
      <c r="B77" s="583">
        <v>613000</v>
      </c>
      <c r="C77" s="397" t="s">
        <v>7358</v>
      </c>
      <c r="D77" s="397"/>
      <c r="E77" s="397"/>
      <c r="F77" s="1998"/>
      <c r="G77" s="1487"/>
      <c r="H77" s="1487"/>
      <c r="I77" s="1487"/>
      <c r="J77" s="1487"/>
      <c r="K77" s="1487"/>
      <c r="L77" s="1487"/>
      <c r="M77" s="1487"/>
      <c r="N77" s="1487"/>
      <c r="O77" s="1487"/>
      <c r="P77" s="1487"/>
      <c r="Q77" s="1487"/>
      <c r="R77" s="1487"/>
      <c r="S77" s="1487"/>
      <c r="T77" s="1487">
        <v>1390.61</v>
      </c>
      <c r="U77" s="1487">
        <v>1371.19</v>
      </c>
      <c r="AC77" s="1965"/>
      <c r="AD77" s="1965"/>
      <c r="AE77" s="1965"/>
      <c r="AF77" s="1965"/>
      <c r="AG77" s="1965"/>
      <c r="AH77" s="1965"/>
      <c r="AI77" s="1965"/>
      <c r="AJ77" s="1965"/>
    </row>
    <row r="78" spans="1:36" s="395" customFormat="1">
      <c r="A78" s="1997" t="s">
        <v>2404</v>
      </c>
      <c r="B78" s="583">
        <v>613010</v>
      </c>
      <c r="C78" s="397" t="s">
        <v>1138</v>
      </c>
      <c r="D78" s="397"/>
      <c r="E78" s="397"/>
      <c r="F78" s="1998"/>
      <c r="G78" s="1487">
        <v>997.52</v>
      </c>
      <c r="H78" s="1487">
        <v>1338.42</v>
      </c>
      <c r="I78" s="1487">
        <v>2452.77</v>
      </c>
      <c r="J78" s="1487">
        <v>1317.68</v>
      </c>
      <c r="K78" s="1487">
        <v>1287.51</v>
      </c>
      <c r="L78" s="1487">
        <v>1313.52</v>
      </c>
      <c r="M78" s="1487">
        <v>1333.65</v>
      </c>
      <c r="N78" s="1487">
        <v>1325.15</v>
      </c>
      <c r="O78" s="1487">
        <v>1297.1500000000001</v>
      </c>
      <c r="P78" s="1487">
        <v>1228.81</v>
      </c>
      <c r="Q78" s="1487">
        <v>1271.52</v>
      </c>
      <c r="R78" s="1487">
        <v>717.1</v>
      </c>
      <c r="S78" s="1487">
        <v>1514.79</v>
      </c>
      <c r="T78" s="1487">
        <v>737.28</v>
      </c>
      <c r="U78" s="1487">
        <v>1274.92</v>
      </c>
      <c r="AC78" s="1965"/>
      <c r="AD78" s="1965"/>
      <c r="AE78" s="1965"/>
      <c r="AF78" s="1965"/>
      <c r="AG78" s="1965"/>
      <c r="AH78" s="1965"/>
      <c r="AI78" s="1965"/>
      <c r="AJ78" s="1965"/>
    </row>
    <row r="79" spans="1:36" s="395" customFormat="1">
      <c r="A79" s="1997" t="s">
        <v>2405</v>
      </c>
      <c r="B79" s="583"/>
      <c r="C79" s="397" t="s">
        <v>1363</v>
      </c>
      <c r="D79" s="397"/>
      <c r="E79" s="397"/>
      <c r="F79" s="1998"/>
      <c r="G79" s="1487">
        <v>0</v>
      </c>
      <c r="H79" s="1487">
        <v>0</v>
      </c>
      <c r="I79" s="1487">
        <v>603.55999999999995</v>
      </c>
      <c r="J79" s="1487">
        <v>689.46</v>
      </c>
      <c r="K79" s="1487">
        <v>788.7</v>
      </c>
      <c r="L79" s="1487">
        <v>369.76</v>
      </c>
      <c r="M79" s="1487">
        <v>950.31</v>
      </c>
      <c r="N79" s="1487">
        <v>494.45</v>
      </c>
      <c r="O79" s="1487">
        <v>507.61</v>
      </c>
      <c r="P79" s="1487">
        <v>496.91</v>
      </c>
      <c r="Q79" s="1487">
        <v>589.29999999999995</v>
      </c>
      <c r="R79" s="1487">
        <v>532.01</v>
      </c>
      <c r="S79" s="1487"/>
      <c r="T79" s="1487"/>
      <c r="U79" s="1487"/>
      <c r="AC79" s="1965"/>
      <c r="AD79" s="1965"/>
      <c r="AE79" s="1965"/>
      <c r="AF79" s="1965"/>
      <c r="AG79" s="1965"/>
      <c r="AH79" s="1965"/>
      <c r="AI79" s="1965"/>
      <c r="AJ79" s="1965"/>
    </row>
    <row r="80" spans="1:36" s="395" customFormat="1">
      <c r="A80" s="1997" t="s">
        <v>2406</v>
      </c>
      <c r="B80" s="583">
        <v>613110</v>
      </c>
      <c r="C80" s="397" t="s">
        <v>7359</v>
      </c>
      <c r="D80" s="397"/>
      <c r="E80" s="397"/>
      <c r="F80" s="1998"/>
      <c r="G80" s="1487">
        <v>823.17</v>
      </c>
      <c r="H80" s="1487">
        <v>866.03</v>
      </c>
      <c r="I80" s="1487">
        <v>1318.08</v>
      </c>
      <c r="J80" s="1487">
        <v>1471.43</v>
      </c>
      <c r="K80" s="1487">
        <v>873.87</v>
      </c>
      <c r="L80" s="1487">
        <v>898.36</v>
      </c>
      <c r="M80" s="1487">
        <v>1920.28</v>
      </c>
      <c r="N80" s="1487">
        <v>2753.86</v>
      </c>
      <c r="O80" s="1487">
        <v>1243.3699999999999</v>
      </c>
      <c r="P80" s="1487">
        <v>1270.69</v>
      </c>
      <c r="Q80" s="1487">
        <v>3536.86</v>
      </c>
      <c r="R80" s="1487">
        <v>2685.66</v>
      </c>
      <c r="S80" s="1487">
        <v>2604.8200000000002</v>
      </c>
      <c r="T80" s="1487">
        <v>2612.0100000000002</v>
      </c>
      <c r="U80" s="1487">
        <v>2516.5100000000002</v>
      </c>
      <c r="AC80" s="1965"/>
      <c r="AD80" s="1965"/>
      <c r="AE80" s="1965"/>
      <c r="AF80" s="1965"/>
      <c r="AG80" s="1965"/>
      <c r="AH80" s="1965"/>
      <c r="AI80" s="1965"/>
      <c r="AJ80" s="1965"/>
    </row>
    <row r="81" spans="1:36" s="395" customFormat="1">
      <c r="A81" s="1997" t="s">
        <v>2407</v>
      </c>
      <c r="B81" s="583">
        <v>615700</v>
      </c>
      <c r="C81" s="1487" t="s">
        <v>2408</v>
      </c>
      <c r="D81" s="1487"/>
      <c r="E81" s="1487"/>
      <c r="F81" s="1489"/>
      <c r="G81" s="1487"/>
      <c r="H81" s="1487"/>
      <c r="I81" s="1487"/>
      <c r="J81" s="1487"/>
      <c r="K81" s="1487"/>
      <c r="L81" s="1487"/>
      <c r="M81" s="1487"/>
      <c r="N81" s="1487"/>
      <c r="O81" s="1487"/>
      <c r="P81" s="1487"/>
      <c r="Q81" s="1487"/>
      <c r="R81" s="1487">
        <v>2257.3000000000002</v>
      </c>
      <c r="S81" s="1487">
        <v>193.88</v>
      </c>
      <c r="T81" s="1487">
        <v>88.25</v>
      </c>
      <c r="U81" s="1487">
        <v>66.02</v>
      </c>
      <c r="AC81" s="1965"/>
      <c r="AD81" s="1965"/>
      <c r="AE81" s="1965"/>
      <c r="AF81" s="1965"/>
      <c r="AG81" s="1965"/>
      <c r="AH81" s="1965"/>
      <c r="AI81" s="1965"/>
      <c r="AJ81" s="1965"/>
    </row>
    <row r="82" spans="1:36" s="395" customFormat="1">
      <c r="A82" s="1997" t="s">
        <v>2409</v>
      </c>
      <c r="B82" s="583">
        <v>615610</v>
      </c>
      <c r="C82" s="397" t="s">
        <v>1111</v>
      </c>
      <c r="D82" s="397"/>
      <c r="E82" s="397"/>
      <c r="F82" s="1998"/>
      <c r="G82" s="1487">
        <v>4374.8599999999997</v>
      </c>
      <c r="H82" s="1487">
        <v>4210.78</v>
      </c>
      <c r="I82" s="1487">
        <v>4803.7299999999996</v>
      </c>
      <c r="J82" s="1487">
        <v>4682.32</v>
      </c>
      <c r="K82" s="1487">
        <v>6180.94</v>
      </c>
      <c r="L82" s="1487">
        <v>6010.86</v>
      </c>
      <c r="M82" s="1487">
        <v>5100.74</v>
      </c>
      <c r="N82" s="1487">
        <v>4620.0200000000004</v>
      </c>
      <c r="O82" s="1487">
        <v>6987.52</v>
      </c>
      <c r="P82" s="1487">
        <v>4501.0600000000004</v>
      </c>
      <c r="Q82" s="1487">
        <v>5342.72</v>
      </c>
      <c r="R82" s="1487">
        <v>4816.13</v>
      </c>
      <c r="S82" s="1487">
        <v>151.71</v>
      </c>
      <c r="T82" s="1487">
        <v>1501.14</v>
      </c>
      <c r="U82" s="1487">
        <v>5118.88</v>
      </c>
      <c r="AC82" s="1965"/>
      <c r="AD82" s="1965"/>
      <c r="AE82" s="1965"/>
      <c r="AF82" s="1965"/>
      <c r="AG82" s="1965"/>
      <c r="AH82" s="1965"/>
      <c r="AI82" s="1965"/>
      <c r="AJ82" s="1965"/>
    </row>
    <row r="83" spans="1:36" s="395" customFormat="1">
      <c r="A83" s="1997" t="s">
        <v>2410</v>
      </c>
      <c r="B83" s="583">
        <v>602000</v>
      </c>
      <c r="C83" s="397" t="s">
        <v>1147</v>
      </c>
      <c r="D83" s="397"/>
      <c r="E83" s="397"/>
      <c r="F83" s="1998"/>
      <c r="G83" s="1487">
        <v>8518.35</v>
      </c>
      <c r="H83" s="1487">
        <v>9274.99</v>
      </c>
      <c r="I83" s="1487">
        <v>10377.34</v>
      </c>
      <c r="J83" s="1487">
        <v>10459.23</v>
      </c>
      <c r="K83" s="1487">
        <v>13454.79</v>
      </c>
      <c r="L83" s="1487">
        <v>11996.53</v>
      </c>
      <c r="M83" s="1487">
        <v>12827.92</v>
      </c>
      <c r="N83" s="1487">
        <v>9299.32</v>
      </c>
      <c r="O83" s="1487">
        <v>14025.35</v>
      </c>
      <c r="P83" s="1487">
        <v>11326.55</v>
      </c>
      <c r="Q83" s="1487">
        <v>10439.84</v>
      </c>
      <c r="R83" s="1487">
        <v>17080.349999999999</v>
      </c>
      <c r="S83" s="1487">
        <v>13569.11</v>
      </c>
      <c r="T83" s="1487">
        <v>15409.01</v>
      </c>
      <c r="U83" s="1487">
        <v>14288.16</v>
      </c>
      <c r="AC83" s="1965"/>
      <c r="AD83" s="1965"/>
      <c r="AE83" s="1965"/>
      <c r="AF83" s="1965"/>
      <c r="AG83" s="1965"/>
      <c r="AH83" s="1965"/>
      <c r="AI83" s="1965"/>
      <c r="AJ83" s="1965"/>
    </row>
    <row r="84" spans="1:36" s="395" customFormat="1">
      <c r="A84" s="1997" t="s">
        <v>2411</v>
      </c>
      <c r="B84" s="583">
        <v>614600</v>
      </c>
      <c r="C84" s="397" t="s">
        <v>1348</v>
      </c>
      <c r="D84" s="397"/>
      <c r="E84" s="397"/>
      <c r="F84" s="1998"/>
      <c r="G84" s="1487">
        <v>0</v>
      </c>
      <c r="H84" s="1487">
        <v>0</v>
      </c>
      <c r="I84" s="1487">
        <v>0</v>
      </c>
      <c r="J84" s="1487">
        <v>19435.2</v>
      </c>
      <c r="K84" s="1487">
        <v>24680.44</v>
      </c>
      <c r="L84" s="1487">
        <v>23870.44</v>
      </c>
      <c r="M84" s="1487">
        <v>24219.84</v>
      </c>
      <c r="N84" s="1487">
        <v>24120</v>
      </c>
      <c r="O84" s="1487">
        <v>24920</v>
      </c>
      <c r="P84" s="1487">
        <v>26040</v>
      </c>
      <c r="Q84" s="1487">
        <v>25340</v>
      </c>
      <c r="R84" s="1487">
        <v>25120</v>
      </c>
      <c r="S84" s="1487">
        <v>29865</v>
      </c>
      <c r="T84" s="1487">
        <v>25005</v>
      </c>
      <c r="U84" s="1487">
        <v>29655</v>
      </c>
      <c r="AC84" s="1965"/>
      <c r="AD84" s="1965"/>
      <c r="AE84" s="1965"/>
      <c r="AF84" s="1965"/>
      <c r="AG84" s="1965"/>
      <c r="AH84" s="1965"/>
      <c r="AI84" s="1965"/>
      <c r="AJ84" s="1965"/>
    </row>
    <row r="85" spans="1:36" s="395" customFormat="1">
      <c r="A85" s="1997" t="s">
        <v>2412</v>
      </c>
      <c r="B85" s="583">
        <v>615620</v>
      </c>
      <c r="C85" s="397" t="s">
        <v>1115</v>
      </c>
      <c r="D85" s="397"/>
      <c r="E85" s="397"/>
      <c r="F85" s="1998"/>
      <c r="G85" s="1487">
        <v>786.64</v>
      </c>
      <c r="H85" s="1487">
        <v>2721.66</v>
      </c>
      <c r="I85" s="1487">
        <v>1488.58</v>
      </c>
      <c r="J85" s="1487">
        <v>942.18</v>
      </c>
      <c r="K85" s="1487">
        <v>2972.45</v>
      </c>
      <c r="L85" s="1487">
        <v>1089</v>
      </c>
      <c r="M85" s="1487">
        <v>2072.89</v>
      </c>
      <c r="N85" s="1487">
        <v>2439.7600000000002</v>
      </c>
      <c r="O85" s="1487">
        <v>1476.56</v>
      </c>
      <c r="P85" s="1487">
        <v>1714.77</v>
      </c>
      <c r="Q85" s="1487">
        <v>360</v>
      </c>
      <c r="R85" s="1487">
        <v>1019.04</v>
      </c>
      <c r="S85" s="1487">
        <v>1024.07</v>
      </c>
      <c r="T85" s="1487">
        <v>311.8</v>
      </c>
      <c r="U85" s="1487">
        <v>1278</v>
      </c>
      <c r="AC85" s="1965"/>
      <c r="AD85" s="1965"/>
      <c r="AE85" s="1965"/>
      <c r="AF85" s="1965"/>
      <c r="AG85" s="1965"/>
      <c r="AH85" s="1965"/>
      <c r="AI85" s="1965"/>
      <c r="AJ85" s="1965"/>
    </row>
    <row r="86" spans="1:36" s="395" customFormat="1">
      <c r="A86" s="1997" t="s">
        <v>2413</v>
      </c>
      <c r="B86" s="583">
        <v>615600</v>
      </c>
      <c r="C86" s="397" t="s">
        <v>2414</v>
      </c>
      <c r="D86" s="397"/>
      <c r="E86" s="397"/>
      <c r="F86" s="1998"/>
      <c r="G86" s="1487"/>
      <c r="H86" s="1487"/>
      <c r="I86" s="1487"/>
      <c r="J86" s="1487"/>
      <c r="K86" s="1487"/>
      <c r="L86" s="1487"/>
      <c r="M86" s="1487">
        <v>339.93</v>
      </c>
      <c r="N86" s="1487">
        <v>3030.32</v>
      </c>
      <c r="O86" s="1487">
        <v>2091.77</v>
      </c>
      <c r="P86" s="1487">
        <v>0</v>
      </c>
      <c r="Q86" s="1487">
        <v>979.25</v>
      </c>
      <c r="R86" s="1487">
        <v>323.10000000000002</v>
      </c>
      <c r="S86" s="1487">
        <v>273.49</v>
      </c>
      <c r="T86" s="1487">
        <v>76.05</v>
      </c>
      <c r="U86" s="1487">
        <v>324.08999999999997</v>
      </c>
      <c r="AC86" s="1965"/>
      <c r="AD86" s="1965"/>
      <c r="AE86" s="1965"/>
      <c r="AF86" s="1965"/>
      <c r="AG86" s="1965"/>
      <c r="AH86" s="1965"/>
      <c r="AI86" s="1965"/>
      <c r="AJ86" s="1965"/>
    </row>
    <row r="87" spans="1:36" s="395" customFormat="1">
      <c r="A87" s="1997" t="s">
        <v>2415</v>
      </c>
      <c r="B87" s="583">
        <v>613210</v>
      </c>
      <c r="C87" s="1487" t="s">
        <v>2416</v>
      </c>
      <c r="D87" s="1487"/>
      <c r="E87" s="1487"/>
      <c r="F87" s="1489"/>
      <c r="G87" s="1487">
        <v>213.79</v>
      </c>
      <c r="H87" s="1487">
        <v>82.42</v>
      </c>
      <c r="I87" s="1487">
        <v>68.430000000000007</v>
      </c>
      <c r="J87" s="1487">
        <v>526.24</v>
      </c>
      <c r="K87" s="1487">
        <v>179.5</v>
      </c>
      <c r="L87" s="1487">
        <v>766.11</v>
      </c>
      <c r="M87" s="1487">
        <v>648.5</v>
      </c>
      <c r="N87" s="1487">
        <v>82.45</v>
      </c>
      <c r="O87" s="1487">
        <v>229.13</v>
      </c>
      <c r="P87" s="1487">
        <v>98.84</v>
      </c>
      <c r="Q87" s="1487">
        <v>361.52</v>
      </c>
      <c r="R87" s="1487">
        <v>140</v>
      </c>
      <c r="S87" s="1487">
        <v>130.54</v>
      </c>
      <c r="T87" s="1487">
        <v>2293.4299999999998</v>
      </c>
      <c r="U87" s="1487">
        <v>611.79</v>
      </c>
      <c r="AC87" s="1965"/>
      <c r="AD87" s="1965"/>
      <c r="AE87" s="1965"/>
      <c r="AF87" s="1965"/>
      <c r="AG87" s="1965"/>
      <c r="AH87" s="1965"/>
      <c r="AI87" s="1965"/>
      <c r="AJ87" s="1965"/>
    </row>
    <row r="88" spans="1:36" s="395" customFormat="1">
      <c r="A88" s="1997" t="s">
        <v>2417</v>
      </c>
      <c r="B88" s="583"/>
      <c r="C88" s="1487" t="s">
        <v>2418</v>
      </c>
      <c r="D88" s="1487"/>
      <c r="E88" s="1487"/>
      <c r="F88" s="1489"/>
      <c r="G88" s="1487"/>
      <c r="H88" s="1487"/>
      <c r="I88" s="1487"/>
      <c r="J88" s="1487"/>
      <c r="K88" s="1487"/>
      <c r="L88" s="1487"/>
      <c r="M88" s="1487"/>
      <c r="N88" s="1487"/>
      <c r="O88" s="1487"/>
      <c r="P88" s="1487"/>
      <c r="Q88" s="1487"/>
      <c r="R88" s="1487">
        <v>175.2</v>
      </c>
      <c r="S88" s="1487">
        <v>134.71</v>
      </c>
      <c r="T88" s="1487"/>
      <c r="U88" s="1487"/>
      <c r="AC88" s="1965"/>
      <c r="AD88" s="1965"/>
      <c r="AE88" s="1965"/>
      <c r="AF88" s="1965"/>
      <c r="AG88" s="1965"/>
      <c r="AH88" s="1965"/>
      <c r="AI88" s="1965"/>
      <c r="AJ88" s="1965"/>
    </row>
    <row r="89" spans="1:36" s="395" customFormat="1">
      <c r="A89" s="1997" t="s">
        <v>2419</v>
      </c>
      <c r="B89" s="583">
        <v>611310</v>
      </c>
      <c r="C89" s="1487" t="s">
        <v>1859</v>
      </c>
      <c r="D89" s="1487"/>
      <c r="E89" s="1487"/>
      <c r="F89" s="1489"/>
      <c r="G89" s="1487">
        <v>936.73</v>
      </c>
      <c r="H89" s="1487">
        <v>1098.33</v>
      </c>
      <c r="I89" s="1487">
        <v>646.83000000000004</v>
      </c>
      <c r="J89" s="1487">
        <v>529.88</v>
      </c>
      <c r="K89" s="1487">
        <v>1256.46</v>
      </c>
      <c r="L89" s="1487">
        <v>986.25</v>
      </c>
      <c r="M89" s="1487">
        <v>1006.5</v>
      </c>
      <c r="N89" s="1487">
        <v>1002.25</v>
      </c>
      <c r="O89" s="1487">
        <v>932.43</v>
      </c>
      <c r="P89" s="1487">
        <v>1000.71</v>
      </c>
      <c r="Q89" s="1487">
        <v>922.45</v>
      </c>
      <c r="R89" s="1487">
        <v>1286.46</v>
      </c>
      <c r="S89" s="1487">
        <v>1077.75</v>
      </c>
      <c r="T89" s="1487">
        <v>573.33000000000004</v>
      </c>
      <c r="U89" s="1487">
        <v>1070.92</v>
      </c>
      <c r="AC89" s="1965"/>
      <c r="AD89" s="1965"/>
      <c r="AE89" s="1965"/>
      <c r="AF89" s="1965"/>
      <c r="AG89" s="1965"/>
      <c r="AH89" s="1965"/>
      <c r="AI89" s="1965"/>
      <c r="AJ89" s="1965"/>
    </row>
    <row r="90" spans="1:36" s="395" customFormat="1">
      <c r="A90" s="1997" t="s">
        <v>2420</v>
      </c>
      <c r="B90" s="583"/>
      <c r="C90" s="1487" t="s">
        <v>2421</v>
      </c>
      <c r="D90" s="1487"/>
      <c r="E90" s="1487"/>
      <c r="F90" s="1489"/>
      <c r="G90" s="1487">
        <v>229.77</v>
      </c>
      <c r="H90" s="1487">
        <v>506.48</v>
      </c>
      <c r="I90" s="1487">
        <v>216</v>
      </c>
      <c r="J90" s="1487">
        <v>519.27</v>
      </c>
      <c r="K90" s="1487">
        <v>977.3</v>
      </c>
      <c r="L90" s="1487">
        <v>1003.32</v>
      </c>
      <c r="M90" s="1487">
        <v>1675.46</v>
      </c>
      <c r="N90" s="1487">
        <v>829.94</v>
      </c>
      <c r="O90" s="1487">
        <v>742.77</v>
      </c>
      <c r="P90" s="1487">
        <v>193.84</v>
      </c>
      <c r="Q90" s="1487">
        <v>30</v>
      </c>
      <c r="R90" s="1487">
        <v>114.87</v>
      </c>
      <c r="S90" s="1487">
        <v>1498.31</v>
      </c>
      <c r="T90" s="1487"/>
      <c r="U90" s="1487"/>
      <c r="AC90" s="1965"/>
      <c r="AD90" s="1965"/>
      <c r="AE90" s="1965"/>
      <c r="AF90" s="1965"/>
      <c r="AG90" s="1965"/>
      <c r="AH90" s="1965"/>
      <c r="AI90" s="1965"/>
      <c r="AJ90" s="1965"/>
    </row>
    <row r="91" spans="1:36" s="395" customFormat="1">
      <c r="A91" s="1997" t="s">
        <v>2422</v>
      </c>
      <c r="B91" s="583">
        <v>640900</v>
      </c>
      <c r="C91" s="397" t="s">
        <v>1373</v>
      </c>
      <c r="D91" s="397"/>
      <c r="E91" s="397"/>
      <c r="F91" s="1998"/>
      <c r="G91" s="1487">
        <v>0</v>
      </c>
      <c r="H91" s="1487">
        <v>0</v>
      </c>
      <c r="I91" s="1487">
        <v>0</v>
      </c>
      <c r="J91" s="1487">
        <v>0</v>
      </c>
      <c r="K91" s="1487">
        <v>0</v>
      </c>
      <c r="L91" s="1487">
        <v>0</v>
      </c>
      <c r="M91" s="1487">
        <v>0</v>
      </c>
      <c r="N91" s="1487">
        <v>40.25</v>
      </c>
      <c r="O91" s="1487">
        <v>40.29</v>
      </c>
      <c r="P91" s="1487">
        <v>40.799999999999997</v>
      </c>
      <c r="Q91" s="1487">
        <v>41.42</v>
      </c>
      <c r="R91" s="1487">
        <v>42.35</v>
      </c>
      <c r="S91" s="1487">
        <v>43.35</v>
      </c>
      <c r="T91" s="1487">
        <v>43.69</v>
      </c>
      <c r="U91" s="1487">
        <v>44.09</v>
      </c>
      <c r="AC91" s="1965"/>
      <c r="AD91" s="1965"/>
      <c r="AE91" s="1965"/>
      <c r="AF91" s="1965"/>
      <c r="AG91" s="1965"/>
      <c r="AH91" s="1965"/>
      <c r="AI91" s="1965"/>
      <c r="AJ91" s="1965"/>
    </row>
    <row r="92" spans="1:36" s="395" customFormat="1">
      <c r="A92" s="1997" t="s">
        <v>2423</v>
      </c>
      <c r="B92" s="583"/>
      <c r="C92" s="1487" t="s">
        <v>2424</v>
      </c>
      <c r="D92" s="1487"/>
      <c r="E92" s="1487"/>
      <c r="F92" s="1489"/>
      <c r="G92" s="1487"/>
      <c r="H92" s="1487"/>
      <c r="I92" s="1487"/>
      <c r="J92" s="1487"/>
      <c r="K92" s="1487"/>
      <c r="L92" s="1487"/>
      <c r="M92" s="1487"/>
      <c r="N92" s="1487">
        <v>1923.62</v>
      </c>
      <c r="O92" s="1487"/>
      <c r="P92" s="1487"/>
      <c r="Q92" s="1487"/>
      <c r="R92" s="397"/>
      <c r="S92" s="397"/>
      <c r="T92" s="397"/>
      <c r="U92" s="1487"/>
      <c r="AC92" s="1965"/>
      <c r="AD92" s="1965"/>
      <c r="AE92" s="1965"/>
      <c r="AF92" s="1965"/>
      <c r="AG92" s="1965"/>
      <c r="AH92" s="1965"/>
      <c r="AI92" s="1965"/>
      <c r="AJ92" s="1965"/>
    </row>
    <row r="93" spans="1:36" s="395" customFormat="1">
      <c r="A93" s="1997" t="s">
        <v>2425</v>
      </c>
      <c r="B93" s="583"/>
      <c r="C93" s="1487" t="s">
        <v>2385</v>
      </c>
      <c r="D93" s="1487"/>
      <c r="E93" s="1487"/>
      <c r="F93" s="1489"/>
      <c r="G93" s="1487">
        <v>0</v>
      </c>
      <c r="H93" s="1487">
        <v>0</v>
      </c>
      <c r="I93" s="1487">
        <v>1600</v>
      </c>
      <c r="J93" s="1487">
        <v>0</v>
      </c>
      <c r="K93" s="1487">
        <v>0</v>
      </c>
      <c r="L93" s="1487">
        <v>0</v>
      </c>
      <c r="M93" s="1487">
        <v>0</v>
      </c>
      <c r="N93" s="1487"/>
      <c r="O93" s="1487"/>
      <c r="P93" s="1487"/>
      <c r="Q93" s="1487"/>
      <c r="R93" s="397"/>
      <c r="S93" s="397"/>
      <c r="T93" s="397"/>
      <c r="U93" s="1487"/>
      <c r="AC93" s="1965"/>
      <c r="AD93" s="1965"/>
      <c r="AE93" s="1965"/>
      <c r="AF93" s="1965"/>
      <c r="AG93" s="1965"/>
      <c r="AH93" s="1965"/>
      <c r="AI93" s="1965"/>
      <c r="AJ93" s="1965"/>
    </row>
    <row r="94" spans="1:36" s="395" customFormat="1">
      <c r="A94" s="2046"/>
      <c r="B94" s="2064"/>
      <c r="C94" s="2047" t="s">
        <v>1162</v>
      </c>
      <c r="D94" s="2047"/>
      <c r="E94" s="2047"/>
      <c r="F94" s="3017"/>
      <c r="G94" s="2005">
        <f t="shared" ref="G94:U94" si="15">SUM(G60:G93)</f>
        <v>41974.82</v>
      </c>
      <c r="H94" s="2005">
        <f t="shared" si="15"/>
        <v>45983.38</v>
      </c>
      <c r="I94" s="2005">
        <f t="shared" si="15"/>
        <v>55310.71</v>
      </c>
      <c r="J94" s="2005">
        <f t="shared" si="15"/>
        <v>71241.069999999992</v>
      </c>
      <c r="K94" s="2005">
        <f t="shared" si="15"/>
        <v>87909.12000000001</v>
      </c>
      <c r="L94" s="2005">
        <f t="shared" si="15"/>
        <v>78710.37000000001</v>
      </c>
      <c r="M94" s="2005">
        <f t="shared" si="15"/>
        <v>85053.87</v>
      </c>
      <c r="N94" s="2005">
        <f t="shared" si="15"/>
        <v>87996.889999999985</v>
      </c>
      <c r="O94" s="2005">
        <f t="shared" si="15"/>
        <v>107256.45000000001</v>
      </c>
      <c r="P94" s="2005">
        <f t="shared" si="15"/>
        <v>103991.38</v>
      </c>
      <c r="Q94" s="2005">
        <f t="shared" si="15"/>
        <v>85836.12</v>
      </c>
      <c r="R94" s="2005">
        <f t="shared" si="15"/>
        <v>101386.93</v>
      </c>
      <c r="S94" s="2005">
        <f t="shared" si="15"/>
        <v>101097.33000000002</v>
      </c>
      <c r="T94" s="2005">
        <f t="shared" si="15"/>
        <v>98507.83</v>
      </c>
      <c r="U94" s="2005">
        <f t="shared" si="15"/>
        <v>113138.21999999999</v>
      </c>
      <c r="AC94" s="1965"/>
      <c r="AD94" s="1965"/>
      <c r="AE94" s="1965"/>
      <c r="AF94" s="1965"/>
      <c r="AG94" s="1965"/>
      <c r="AH94" s="1965"/>
      <c r="AI94" s="1965"/>
      <c r="AJ94" s="1965"/>
    </row>
    <row r="95" spans="1:36" s="395" customFormat="1">
      <c r="A95" s="1993" t="s">
        <v>1163</v>
      </c>
      <c r="B95" s="1994"/>
      <c r="C95" s="1995"/>
      <c r="D95" s="1995"/>
      <c r="E95" s="1995"/>
      <c r="F95" s="1996"/>
      <c r="G95" s="2016"/>
      <c r="H95" s="2016"/>
      <c r="I95" s="2016"/>
      <c r="J95" s="2016"/>
      <c r="K95" s="2016"/>
      <c r="L95" s="2016"/>
      <c r="M95" s="2016"/>
      <c r="N95" s="1995"/>
      <c r="O95" s="1995"/>
      <c r="P95" s="1995"/>
      <c r="Q95" s="2016"/>
      <c r="R95" s="1995"/>
      <c r="S95" s="1995"/>
      <c r="T95" s="1995"/>
      <c r="AC95" s="1965"/>
      <c r="AD95" s="1965"/>
      <c r="AE95" s="1965"/>
      <c r="AF95" s="1965"/>
      <c r="AG95" s="1965"/>
      <c r="AH95" s="1965"/>
      <c r="AI95" s="1965"/>
      <c r="AJ95" s="1965"/>
    </row>
    <row r="96" spans="1:36" s="395" customFormat="1">
      <c r="A96" s="1997" t="s">
        <v>2426</v>
      </c>
      <c r="B96" s="583">
        <v>649100</v>
      </c>
      <c r="C96" s="397" t="s">
        <v>2427</v>
      </c>
      <c r="D96" s="397"/>
      <c r="E96" s="397"/>
      <c r="F96" s="1998"/>
      <c r="G96" s="1487">
        <v>1116</v>
      </c>
      <c r="H96" s="1487">
        <v>1116</v>
      </c>
      <c r="I96" s="1487">
        <v>1116</v>
      </c>
      <c r="J96" s="1487">
        <v>1116</v>
      </c>
      <c r="K96" s="1487">
        <v>1116</v>
      </c>
      <c r="L96" s="1487">
        <v>1116</v>
      </c>
      <c r="M96" s="1487">
        <v>1116</v>
      </c>
      <c r="N96" s="1487">
        <v>1116</v>
      </c>
      <c r="O96" s="1487">
        <v>1116</v>
      </c>
      <c r="P96" s="1487">
        <v>1116</v>
      </c>
      <c r="Q96" s="1487">
        <v>1116</v>
      </c>
      <c r="R96" s="1487">
        <v>1116</v>
      </c>
      <c r="S96" s="1487">
        <v>1116</v>
      </c>
      <c r="T96" s="1487">
        <v>1250</v>
      </c>
      <c r="U96" s="395">
        <v>1250</v>
      </c>
      <c r="AC96" s="1965"/>
      <c r="AD96" s="1965"/>
      <c r="AE96" s="1965"/>
      <c r="AF96" s="1965"/>
      <c r="AG96" s="1965"/>
      <c r="AH96" s="1965"/>
      <c r="AI96" s="1965"/>
      <c r="AJ96" s="1965"/>
    </row>
    <row r="97" spans="1:36" s="395" customFormat="1">
      <c r="A97" s="1997" t="s">
        <v>2428</v>
      </c>
      <c r="B97" s="583">
        <v>623400</v>
      </c>
      <c r="C97" s="397" t="s">
        <v>1178</v>
      </c>
      <c r="D97" s="397"/>
      <c r="E97" s="397"/>
      <c r="F97" s="1998"/>
      <c r="G97" s="1487">
        <v>744.8</v>
      </c>
      <c r="H97" s="1487">
        <v>744.8</v>
      </c>
      <c r="I97" s="1487">
        <v>931</v>
      </c>
      <c r="J97" s="1487">
        <v>931</v>
      </c>
      <c r="K97" s="1487">
        <v>837.9</v>
      </c>
      <c r="L97" s="1487">
        <v>837.9</v>
      </c>
      <c r="M97" s="1487">
        <v>919.14</v>
      </c>
      <c r="N97" s="1487">
        <v>949.89</v>
      </c>
      <c r="O97" s="1487">
        <v>1562.58</v>
      </c>
      <c r="P97" s="1487">
        <v>1486.38</v>
      </c>
      <c r="Q97" s="1487">
        <v>1436.93</v>
      </c>
      <c r="R97" s="1487">
        <v>1504.43</v>
      </c>
      <c r="S97" s="1487">
        <v>1525.66</v>
      </c>
      <c r="T97" s="1518">
        <v>1985.55</v>
      </c>
      <c r="U97" s="395">
        <v>988.99</v>
      </c>
      <c r="AC97" s="1965"/>
      <c r="AD97" s="1965"/>
      <c r="AE97" s="1965"/>
      <c r="AF97" s="1965"/>
      <c r="AG97" s="1965"/>
      <c r="AH97" s="1965"/>
      <c r="AI97" s="1965"/>
      <c r="AJ97" s="1965"/>
    </row>
    <row r="98" spans="1:36" s="395" customFormat="1">
      <c r="A98" s="2046"/>
      <c r="B98" s="2064"/>
      <c r="C98" s="2047" t="s">
        <v>1181</v>
      </c>
      <c r="D98" s="2047"/>
      <c r="E98" s="2047"/>
      <c r="F98" s="3017"/>
      <c r="G98" s="2005">
        <f t="shared" ref="G98:U98" si="16">SUM(G96:G97)</f>
        <v>1860.8</v>
      </c>
      <c r="H98" s="2005">
        <f t="shared" si="16"/>
        <v>1860.8</v>
      </c>
      <c r="I98" s="2005">
        <f t="shared" si="16"/>
        <v>2047</v>
      </c>
      <c r="J98" s="2005">
        <f t="shared" si="16"/>
        <v>2047</v>
      </c>
      <c r="K98" s="2005">
        <f t="shared" si="16"/>
        <v>1953.9</v>
      </c>
      <c r="L98" s="2005">
        <f t="shared" si="16"/>
        <v>1953.9</v>
      </c>
      <c r="M98" s="2005">
        <f t="shared" si="16"/>
        <v>2035.1399999999999</v>
      </c>
      <c r="N98" s="2005">
        <f t="shared" si="16"/>
        <v>2065.89</v>
      </c>
      <c r="O98" s="2005">
        <f t="shared" si="16"/>
        <v>2678.58</v>
      </c>
      <c r="P98" s="2005">
        <f t="shared" si="16"/>
        <v>2602.38</v>
      </c>
      <c r="Q98" s="2005">
        <f t="shared" si="16"/>
        <v>2552.9300000000003</v>
      </c>
      <c r="R98" s="2005">
        <f t="shared" si="16"/>
        <v>2620.4300000000003</v>
      </c>
      <c r="S98" s="2005">
        <f t="shared" si="16"/>
        <v>2641.66</v>
      </c>
      <c r="T98" s="2005">
        <f t="shared" si="16"/>
        <v>3235.55</v>
      </c>
      <c r="U98" s="2005">
        <f t="shared" si="16"/>
        <v>2238.9899999999998</v>
      </c>
      <c r="AC98" s="1965"/>
      <c r="AD98" s="1965"/>
      <c r="AE98" s="1965"/>
      <c r="AF98" s="1965"/>
      <c r="AG98" s="1965"/>
      <c r="AH98" s="1965"/>
      <c r="AI98" s="1965"/>
      <c r="AJ98" s="1965"/>
    </row>
    <row r="99" spans="1:36" s="395" customFormat="1">
      <c r="A99" s="2048" t="s">
        <v>47</v>
      </c>
      <c r="B99" s="1999"/>
      <c r="C99" s="397"/>
      <c r="D99" s="397"/>
      <c r="E99" s="397"/>
      <c r="F99" s="1998"/>
      <c r="G99" s="1487"/>
      <c r="H99" s="1487"/>
      <c r="I99" s="1487"/>
      <c r="J99" s="1487"/>
      <c r="K99" s="1487"/>
      <c r="L99" s="1487"/>
      <c r="M99" s="1487"/>
      <c r="N99" s="397"/>
      <c r="O99" s="397"/>
      <c r="P99" s="397"/>
      <c r="Q99" s="1487"/>
      <c r="R99" s="397"/>
      <c r="S99" s="397"/>
      <c r="T99" s="397"/>
      <c r="AC99" s="1965"/>
      <c r="AD99" s="1965"/>
      <c r="AE99" s="1965"/>
      <c r="AF99" s="1965"/>
      <c r="AG99" s="1965"/>
      <c r="AH99" s="1965"/>
      <c r="AI99" s="1965"/>
      <c r="AJ99" s="1965"/>
    </row>
    <row r="100" spans="1:36" s="395" customFormat="1">
      <c r="A100" s="1997"/>
      <c r="B100" s="583"/>
      <c r="C100" s="397" t="s">
        <v>1182</v>
      </c>
      <c r="D100" s="397"/>
      <c r="E100" s="397"/>
      <c r="F100" s="1998"/>
      <c r="G100" s="1487"/>
      <c r="H100" s="1487"/>
      <c r="I100" s="1487"/>
      <c r="J100" s="1487"/>
      <c r="K100" s="1487"/>
      <c r="L100" s="1487"/>
      <c r="M100" s="1487"/>
      <c r="N100" s="1487"/>
      <c r="O100" s="1487"/>
      <c r="P100" s="397"/>
      <c r="Q100" s="1487"/>
      <c r="R100" s="397"/>
      <c r="S100" s="397"/>
      <c r="T100" s="397"/>
      <c r="AC100" s="1965"/>
      <c r="AD100" s="1965"/>
      <c r="AE100" s="1965"/>
      <c r="AF100" s="1965"/>
      <c r="AG100" s="1965"/>
      <c r="AH100" s="1965"/>
      <c r="AI100" s="1965"/>
      <c r="AJ100" s="1965"/>
    </row>
    <row r="101" spans="1:36" s="395" customFormat="1">
      <c r="A101" s="1997"/>
      <c r="B101" s="583"/>
      <c r="C101" s="397" t="s">
        <v>1183</v>
      </c>
      <c r="D101" s="397"/>
      <c r="E101" s="397"/>
      <c r="F101" s="1998"/>
      <c r="G101" s="1487"/>
      <c r="H101" s="1487"/>
      <c r="I101" s="1487"/>
      <c r="J101" s="1487"/>
      <c r="K101" s="1487"/>
      <c r="L101" s="1487"/>
      <c r="M101" s="1487"/>
      <c r="N101" s="1487"/>
      <c r="O101" s="1487"/>
      <c r="P101" s="397"/>
      <c r="Q101" s="1487"/>
      <c r="R101" s="397"/>
      <c r="S101" s="397"/>
      <c r="T101" s="397"/>
      <c r="AC101" s="1965"/>
      <c r="AD101" s="1965"/>
      <c r="AE101" s="1965"/>
      <c r="AF101" s="1965"/>
      <c r="AG101" s="1965"/>
      <c r="AH101" s="1965"/>
      <c r="AI101" s="1965"/>
      <c r="AJ101" s="1965"/>
    </row>
    <row r="102" spans="1:36" s="395" customFormat="1">
      <c r="A102" s="1997"/>
      <c r="B102" s="583"/>
      <c r="C102" s="397" t="s">
        <v>1184</v>
      </c>
      <c r="D102" s="397"/>
      <c r="E102" s="397"/>
      <c r="F102" s="1998"/>
      <c r="G102" s="1487">
        <f t="shared" ref="G102:U102" si="17">G170</f>
        <v>0</v>
      </c>
      <c r="H102" s="1487">
        <f t="shared" si="17"/>
        <v>561.6</v>
      </c>
      <c r="I102" s="1487">
        <f t="shared" si="17"/>
        <v>1531.2</v>
      </c>
      <c r="J102" s="1487">
        <f t="shared" si="17"/>
        <v>3723.02</v>
      </c>
      <c r="K102" s="1487">
        <f t="shared" si="17"/>
        <v>7822.9600000000009</v>
      </c>
      <c r="L102" s="1487">
        <f t="shared" si="17"/>
        <v>12090.817999999999</v>
      </c>
      <c r="M102" s="1487">
        <f t="shared" si="17"/>
        <v>22561.127999999997</v>
      </c>
      <c r="N102" s="1487">
        <f t="shared" si="17"/>
        <v>26590.309999999998</v>
      </c>
      <c r="O102" s="1487">
        <f t="shared" si="17"/>
        <v>27209.503999999997</v>
      </c>
      <c r="P102" s="1487">
        <f t="shared" si="17"/>
        <v>23714.563999999998</v>
      </c>
      <c r="Q102" s="1487">
        <f t="shared" si="17"/>
        <v>36629.78866666666</v>
      </c>
      <c r="R102" s="1487">
        <f t="shared" si="17"/>
        <v>59553.157333333336</v>
      </c>
      <c r="S102" s="1487">
        <f t="shared" si="17"/>
        <v>61572.625333333322</v>
      </c>
      <c r="T102" s="1487">
        <f t="shared" si="17"/>
        <v>62468.911333333323</v>
      </c>
      <c r="U102" s="1487">
        <f t="shared" si="17"/>
        <v>63282.101333333325</v>
      </c>
      <c r="AC102" s="1965"/>
      <c r="AD102" s="1965"/>
      <c r="AE102" s="1965"/>
      <c r="AF102" s="1965"/>
      <c r="AG102" s="1965"/>
      <c r="AH102" s="1965"/>
      <c r="AI102" s="1965"/>
      <c r="AJ102" s="1965"/>
    </row>
    <row r="103" spans="1:36" s="395" customFormat="1">
      <c r="A103" s="2046"/>
      <c r="B103" s="2064"/>
      <c r="C103" s="2047" t="s">
        <v>1185</v>
      </c>
      <c r="D103" s="2047"/>
      <c r="E103" s="2047"/>
      <c r="F103" s="3017"/>
      <c r="G103" s="2005">
        <f t="shared" ref="G103:R103" si="18">SUM(G100:G102)</f>
        <v>0</v>
      </c>
      <c r="H103" s="2005">
        <f t="shared" si="18"/>
        <v>561.6</v>
      </c>
      <c r="I103" s="2005">
        <f t="shared" si="18"/>
        <v>1531.2</v>
      </c>
      <c r="J103" s="2005">
        <f t="shared" si="18"/>
        <v>3723.02</v>
      </c>
      <c r="K103" s="2005">
        <f t="shared" si="18"/>
        <v>7822.9600000000009</v>
      </c>
      <c r="L103" s="2005">
        <f t="shared" si="18"/>
        <v>12090.817999999999</v>
      </c>
      <c r="M103" s="2005">
        <f t="shared" si="18"/>
        <v>22561.127999999997</v>
      </c>
      <c r="N103" s="2005">
        <f t="shared" si="18"/>
        <v>26590.309999999998</v>
      </c>
      <c r="O103" s="2005">
        <f t="shared" si="18"/>
        <v>27209.503999999997</v>
      </c>
      <c r="P103" s="2005">
        <f t="shared" si="18"/>
        <v>23714.563999999998</v>
      </c>
      <c r="Q103" s="2005">
        <f t="shared" si="18"/>
        <v>36629.78866666666</v>
      </c>
      <c r="R103" s="2005">
        <f t="shared" si="18"/>
        <v>59553.157333333336</v>
      </c>
      <c r="S103" s="2005">
        <f>SUM(S100:S102)</f>
        <v>61572.625333333322</v>
      </c>
      <c r="T103" s="2005">
        <f>SUM(T100:T102)</f>
        <v>62468.911333333323</v>
      </c>
      <c r="U103" s="2005">
        <f>SUM(U100:U102)</f>
        <v>63282.101333333325</v>
      </c>
      <c r="AC103" s="1965"/>
      <c r="AD103" s="1965"/>
      <c r="AE103" s="1965"/>
      <c r="AF103" s="1965"/>
      <c r="AG103" s="1965"/>
      <c r="AH103" s="1965"/>
      <c r="AI103" s="1965"/>
      <c r="AJ103" s="1965"/>
    </row>
    <row r="104" spans="1:36" s="395" customFormat="1">
      <c r="A104" s="1997"/>
      <c r="B104" s="583"/>
      <c r="C104" s="397"/>
      <c r="D104" s="397"/>
      <c r="E104" s="397"/>
      <c r="F104" s="1998"/>
      <c r="G104" s="1487"/>
      <c r="H104" s="1487"/>
      <c r="I104" s="1487"/>
      <c r="J104" s="1487"/>
      <c r="K104" s="1487"/>
      <c r="L104" s="1487"/>
      <c r="M104" s="1487"/>
      <c r="N104" s="1487"/>
      <c r="O104" s="1487"/>
      <c r="P104" s="397"/>
      <c r="Q104" s="1487"/>
      <c r="R104" s="397"/>
      <c r="S104" s="397"/>
      <c r="T104" s="397"/>
      <c r="AC104" s="1965"/>
      <c r="AD104" s="1965"/>
      <c r="AE104" s="1965"/>
      <c r="AF104" s="1965"/>
      <c r="AG104" s="1965"/>
      <c r="AH104" s="1965"/>
      <c r="AI104" s="1965"/>
      <c r="AJ104" s="1965"/>
    </row>
    <row r="105" spans="1:36" s="395" customFormat="1">
      <c r="A105" s="2021"/>
      <c r="B105" s="2069"/>
      <c r="C105" s="2022" t="s">
        <v>1186</v>
      </c>
      <c r="D105" s="2022"/>
      <c r="E105" s="2022"/>
      <c r="F105" s="2172"/>
      <c r="G105" s="2009">
        <f t="shared" ref="G105:R105" si="19">G58+G94+G98+G103</f>
        <v>393553.23000000004</v>
      </c>
      <c r="H105" s="2009">
        <f t="shared" si="19"/>
        <v>451992.35999999987</v>
      </c>
      <c r="I105" s="2009">
        <f t="shared" si="19"/>
        <v>553298.34</v>
      </c>
      <c r="J105" s="2009">
        <f t="shared" si="19"/>
        <v>557384.59000000008</v>
      </c>
      <c r="K105" s="2009">
        <f t="shared" si="19"/>
        <v>598156.29999999993</v>
      </c>
      <c r="L105" s="2009">
        <f t="shared" si="19"/>
        <v>591866.58799999999</v>
      </c>
      <c r="M105" s="2009">
        <f t="shared" si="19"/>
        <v>652203.79800000018</v>
      </c>
      <c r="N105" s="2009">
        <f t="shared" si="19"/>
        <v>668242.03</v>
      </c>
      <c r="O105" s="2009">
        <f t="shared" si="19"/>
        <v>808527.63399999996</v>
      </c>
      <c r="P105" s="2009">
        <f t="shared" si="19"/>
        <v>833798.78399999987</v>
      </c>
      <c r="Q105" s="2009">
        <f t="shared" si="19"/>
        <v>804349.73866666667</v>
      </c>
      <c r="R105" s="2009">
        <f t="shared" si="19"/>
        <v>877155.34733333346</v>
      </c>
      <c r="S105" s="2009">
        <f>S58+S94+S98+S103</f>
        <v>893228.54533333331</v>
      </c>
      <c r="T105" s="2009">
        <f>T58+T94+T98+T103</f>
        <v>863661.15133333346</v>
      </c>
      <c r="U105" s="2009">
        <f>U58+U94+U98+U103</f>
        <v>896759.47133333317</v>
      </c>
      <c r="AC105" s="1965"/>
      <c r="AD105" s="1965"/>
      <c r="AE105" s="1965"/>
      <c r="AF105" s="1965"/>
      <c r="AG105" s="1965"/>
      <c r="AH105" s="1965"/>
      <c r="AI105" s="1965"/>
      <c r="AJ105" s="1965"/>
    </row>
    <row r="106" spans="1:36" s="395" customFormat="1">
      <c r="A106" s="1984" t="s">
        <v>1187</v>
      </c>
      <c r="B106" s="1985"/>
      <c r="C106" s="1986"/>
      <c r="D106" s="1986"/>
      <c r="E106" s="1986"/>
      <c r="F106" s="3015"/>
      <c r="G106" s="1987"/>
      <c r="H106" s="1987"/>
      <c r="I106" s="1987"/>
      <c r="J106" s="1987"/>
      <c r="K106" s="1987"/>
      <c r="L106" s="1987"/>
      <c r="M106" s="1987"/>
      <c r="N106" s="1987"/>
      <c r="O106" s="1986"/>
      <c r="P106" s="1986"/>
      <c r="Q106" s="1987"/>
      <c r="R106" s="1986"/>
      <c r="S106" s="1986"/>
      <c r="T106" s="1986"/>
      <c r="U106" s="1986"/>
      <c r="AC106" s="1965"/>
      <c r="AD106" s="1965"/>
      <c r="AE106" s="1965"/>
      <c r="AF106" s="1965"/>
      <c r="AG106" s="1965"/>
      <c r="AH106" s="1965"/>
      <c r="AI106" s="1965"/>
      <c r="AJ106" s="1965"/>
    </row>
    <row r="107" spans="1:36" s="395" customFormat="1">
      <c r="A107" s="1997"/>
      <c r="B107" s="583"/>
      <c r="C107" s="397"/>
      <c r="D107" s="397"/>
      <c r="E107" s="397"/>
      <c r="F107" s="1998"/>
      <c r="G107" s="1487"/>
      <c r="H107" s="1487"/>
      <c r="I107" s="1487"/>
      <c r="J107" s="1487"/>
      <c r="K107" s="1487"/>
      <c r="L107" s="1487"/>
      <c r="M107" s="1487"/>
      <c r="N107" s="1487"/>
      <c r="O107" s="397"/>
      <c r="P107" s="397"/>
      <c r="Q107" s="1487"/>
      <c r="R107" s="397"/>
      <c r="S107" s="397"/>
      <c r="T107" s="397"/>
      <c r="AC107" s="1965"/>
      <c r="AD107" s="1965"/>
      <c r="AE107" s="1965"/>
      <c r="AF107" s="1965"/>
      <c r="AG107" s="1965"/>
      <c r="AH107" s="1965"/>
      <c r="AI107" s="1965"/>
      <c r="AJ107" s="1965"/>
    </row>
    <row r="108" spans="1:36" s="395" customFormat="1">
      <c r="A108" s="1997" t="s">
        <v>2429</v>
      </c>
      <c r="B108" s="583"/>
      <c r="C108" s="397" t="s">
        <v>2430</v>
      </c>
      <c r="D108" s="397"/>
      <c r="E108" s="397"/>
      <c r="F108" s="1998"/>
      <c r="G108" s="1487">
        <v>2000</v>
      </c>
      <c r="H108" s="1487">
        <v>3000</v>
      </c>
      <c r="I108" s="1487">
        <v>5966.27</v>
      </c>
      <c r="J108" s="1487">
        <v>16543.37</v>
      </c>
      <c r="K108" s="1487">
        <v>15043.41</v>
      </c>
      <c r="L108" s="1487">
        <v>0</v>
      </c>
      <c r="M108" s="1487">
        <v>0</v>
      </c>
      <c r="N108" s="1487">
        <v>10000</v>
      </c>
      <c r="O108" s="1487"/>
      <c r="P108" s="1487"/>
      <c r="Q108" s="1487"/>
      <c r="R108" s="1487">
        <f>D133</f>
        <v>34257.89</v>
      </c>
      <c r="S108" s="1487">
        <v>3957.13</v>
      </c>
      <c r="T108" s="1487">
        <v>5670.73</v>
      </c>
      <c r="AC108" s="1965"/>
      <c r="AD108" s="1965"/>
      <c r="AE108" s="1965"/>
      <c r="AF108" s="1965"/>
      <c r="AG108" s="1965"/>
      <c r="AH108" s="1965"/>
      <c r="AI108" s="1965"/>
      <c r="AJ108" s="1965"/>
    </row>
    <row r="109" spans="1:36" s="395" customFormat="1">
      <c r="A109" s="1997" t="s">
        <v>2429</v>
      </c>
      <c r="B109" s="583"/>
      <c r="C109" s="397" t="s">
        <v>2431</v>
      </c>
      <c r="D109" s="397"/>
      <c r="E109" s="397"/>
      <c r="F109" s="1998"/>
      <c r="G109" s="1487"/>
      <c r="H109" s="1487"/>
      <c r="I109" s="1487"/>
      <c r="J109" s="1487"/>
      <c r="K109" s="1487"/>
      <c r="L109" s="1487"/>
      <c r="M109" s="1487"/>
      <c r="N109" s="1487"/>
      <c r="O109" s="1487"/>
      <c r="P109" s="1487"/>
      <c r="Q109" s="1487">
        <v>497810.78</v>
      </c>
      <c r="R109" s="1487">
        <f>D132</f>
        <v>664811.12</v>
      </c>
      <c r="S109" s="1487">
        <v>96072.99</v>
      </c>
      <c r="T109" s="1487"/>
      <c r="AC109" s="1965"/>
      <c r="AD109" s="1965"/>
      <c r="AE109" s="1965"/>
      <c r="AF109" s="1965"/>
      <c r="AG109" s="1965"/>
      <c r="AH109" s="1965"/>
      <c r="AI109" s="1965"/>
      <c r="AJ109" s="1965"/>
    </row>
    <row r="110" spans="1:36" s="395" customFormat="1">
      <c r="A110" s="1997" t="s">
        <v>2432</v>
      </c>
      <c r="B110" s="583"/>
      <c r="C110" s="397" t="s">
        <v>1495</v>
      </c>
      <c r="D110" s="397"/>
      <c r="E110" s="397"/>
      <c r="F110" s="1998"/>
      <c r="G110" s="1487">
        <v>0</v>
      </c>
      <c r="H110" s="1487">
        <v>600</v>
      </c>
      <c r="I110" s="1487">
        <v>0</v>
      </c>
      <c r="J110" s="1487">
        <v>0</v>
      </c>
      <c r="K110" s="1487">
        <v>0</v>
      </c>
      <c r="L110" s="1487">
        <v>0</v>
      </c>
      <c r="M110" s="1487">
        <v>0</v>
      </c>
      <c r="N110" s="1487"/>
      <c r="O110" s="1487"/>
      <c r="P110" s="1487"/>
      <c r="Q110" s="1487"/>
      <c r="R110" s="397"/>
      <c r="S110" s="1487"/>
      <c r="T110" s="1487"/>
      <c r="AC110" s="1965"/>
      <c r="AD110" s="1965"/>
      <c r="AE110" s="1965"/>
      <c r="AF110" s="1965"/>
      <c r="AG110" s="1965"/>
      <c r="AH110" s="1965"/>
      <c r="AI110" s="1965"/>
      <c r="AJ110" s="1965"/>
    </row>
    <row r="111" spans="1:36" s="395" customFormat="1">
      <c r="A111" s="1997" t="s">
        <v>2433</v>
      </c>
      <c r="B111" s="583"/>
      <c r="C111" s="397" t="s">
        <v>2434</v>
      </c>
      <c r="D111" s="397"/>
      <c r="E111" s="397"/>
      <c r="F111" s="1998"/>
      <c r="G111" s="1487">
        <v>808</v>
      </c>
      <c r="H111" s="1487">
        <v>617</v>
      </c>
      <c r="I111" s="1487">
        <v>3260.86</v>
      </c>
      <c r="J111" s="1487">
        <v>298.33999999999997</v>
      </c>
      <c r="K111" s="1487">
        <v>0</v>
      </c>
      <c r="L111" s="1487">
        <v>0</v>
      </c>
      <c r="M111" s="1487">
        <v>0</v>
      </c>
      <c r="N111" s="1487"/>
      <c r="O111" s="1487">
        <v>6599.99</v>
      </c>
      <c r="P111" s="1487"/>
      <c r="Q111" s="1487">
        <f>D138</f>
        <v>2946.95</v>
      </c>
      <c r="R111" s="1487">
        <f>D135</f>
        <v>14936.01</v>
      </c>
      <c r="S111" s="1487">
        <v>3130.4</v>
      </c>
      <c r="T111" s="1487">
        <v>927.9</v>
      </c>
      <c r="AC111" s="1965"/>
      <c r="AD111" s="1965"/>
      <c r="AE111" s="1965"/>
      <c r="AF111" s="1965"/>
      <c r="AG111" s="1965"/>
      <c r="AH111" s="1965"/>
      <c r="AI111" s="1965"/>
      <c r="AJ111" s="1965"/>
    </row>
    <row r="112" spans="1:36" s="395" customFormat="1">
      <c r="A112" s="1997" t="s">
        <v>2435</v>
      </c>
      <c r="B112" s="583"/>
      <c r="C112" s="397" t="s">
        <v>1383</v>
      </c>
      <c r="D112" s="397"/>
      <c r="E112" s="397"/>
      <c r="F112" s="1998"/>
      <c r="G112" s="1487">
        <v>0</v>
      </c>
      <c r="H112" s="1487">
        <v>144</v>
      </c>
      <c r="I112" s="1487">
        <v>0</v>
      </c>
      <c r="J112" s="1487">
        <v>0</v>
      </c>
      <c r="K112" s="1487">
        <v>0</v>
      </c>
      <c r="L112" s="1487">
        <v>0</v>
      </c>
      <c r="M112" s="1487">
        <v>0</v>
      </c>
      <c r="N112" s="1487"/>
      <c r="O112" s="1487"/>
      <c r="P112" s="1487"/>
      <c r="Q112" s="1487"/>
      <c r="R112" s="397"/>
      <c r="S112" s="1487"/>
      <c r="T112" s="1487"/>
      <c r="AC112" s="1965"/>
      <c r="AD112" s="1965"/>
      <c r="AE112" s="1965"/>
      <c r="AF112" s="1965"/>
      <c r="AG112" s="1965"/>
      <c r="AH112" s="1965"/>
      <c r="AI112" s="1965"/>
      <c r="AJ112" s="1965"/>
    </row>
    <row r="113" spans="1:36" s="395" customFormat="1">
      <c r="A113" s="1997" t="s">
        <v>2436</v>
      </c>
      <c r="B113" s="583"/>
      <c r="C113" s="397" t="s">
        <v>1199</v>
      </c>
      <c r="D113" s="397"/>
      <c r="E113" s="397"/>
      <c r="F113" s="1998"/>
      <c r="G113" s="1487">
        <v>0</v>
      </c>
      <c r="H113" s="1487">
        <v>487</v>
      </c>
      <c r="I113" s="1487">
        <v>1731.95</v>
      </c>
      <c r="J113" s="1487">
        <v>3658</v>
      </c>
      <c r="K113" s="1487">
        <v>7295.88</v>
      </c>
      <c r="L113" s="1487">
        <v>0</v>
      </c>
      <c r="M113" s="1487">
        <v>11388.52</v>
      </c>
      <c r="N113" s="1487">
        <v>22493.91</v>
      </c>
      <c r="O113" s="1487">
        <v>7455.08</v>
      </c>
      <c r="P113" s="1487">
        <v>3025</v>
      </c>
      <c r="Q113" s="1487"/>
      <c r="R113" s="1487">
        <f>D134</f>
        <v>9780.64</v>
      </c>
      <c r="S113" s="1487">
        <v>9491.5400000000009</v>
      </c>
      <c r="T113" s="1487">
        <v>11937.85</v>
      </c>
      <c r="U113" s="1487">
        <v>9590.9599999999991</v>
      </c>
      <c r="AC113" s="1965"/>
      <c r="AD113" s="1965"/>
      <c r="AE113" s="1965"/>
      <c r="AF113" s="1965"/>
      <c r="AG113" s="1965"/>
      <c r="AH113" s="1965"/>
      <c r="AI113" s="1965"/>
      <c r="AJ113" s="1965"/>
    </row>
    <row r="114" spans="1:36" s="395" customFormat="1">
      <c r="A114" s="1997" t="s">
        <v>2437</v>
      </c>
      <c r="B114" s="583"/>
      <c r="C114" s="397" t="s">
        <v>2438</v>
      </c>
      <c r="D114" s="397"/>
      <c r="E114" s="397"/>
      <c r="F114" s="1998"/>
      <c r="G114" s="1487"/>
      <c r="H114" s="1487"/>
      <c r="I114" s="1487"/>
      <c r="J114" s="1487"/>
      <c r="K114" s="1487"/>
      <c r="L114" s="1487"/>
      <c r="M114" s="1487">
        <v>43771.03</v>
      </c>
      <c r="N114" s="397"/>
      <c r="O114" s="397"/>
      <c r="P114" s="397"/>
      <c r="Q114" s="1487"/>
      <c r="R114" s="397"/>
      <c r="S114" s="397"/>
      <c r="T114" s="397"/>
      <c r="AC114" s="1965"/>
      <c r="AD114" s="1965"/>
      <c r="AE114" s="1965"/>
      <c r="AF114" s="1965"/>
      <c r="AG114" s="1965"/>
      <c r="AH114" s="1965"/>
      <c r="AI114" s="1965"/>
      <c r="AJ114" s="1965"/>
    </row>
    <row r="115" spans="1:36" s="395" customFormat="1">
      <c r="A115" s="2021"/>
      <c r="B115" s="2069"/>
      <c r="C115" s="2022" t="s">
        <v>1192</v>
      </c>
      <c r="D115" s="2022"/>
      <c r="E115" s="2022"/>
      <c r="F115" s="2172"/>
      <c r="G115" s="2009">
        <f t="shared" ref="G115:U115" si="20">SUM(G108:G114)</f>
        <v>2808</v>
      </c>
      <c r="H115" s="2009">
        <f t="shared" si="20"/>
        <v>4848</v>
      </c>
      <c r="I115" s="2009">
        <f t="shared" si="20"/>
        <v>10959.080000000002</v>
      </c>
      <c r="J115" s="2009">
        <f t="shared" si="20"/>
        <v>20499.71</v>
      </c>
      <c r="K115" s="2009">
        <f t="shared" si="20"/>
        <v>22339.29</v>
      </c>
      <c r="L115" s="2009">
        <f t="shared" si="20"/>
        <v>0</v>
      </c>
      <c r="M115" s="2009">
        <f t="shared" si="20"/>
        <v>55159.55</v>
      </c>
      <c r="N115" s="2009">
        <f t="shared" si="20"/>
        <v>32493.91</v>
      </c>
      <c r="O115" s="2009">
        <f t="shared" si="20"/>
        <v>14055.07</v>
      </c>
      <c r="P115" s="2009">
        <f t="shared" si="20"/>
        <v>3025</v>
      </c>
      <c r="Q115" s="2009">
        <f t="shared" si="20"/>
        <v>500757.73000000004</v>
      </c>
      <c r="R115" s="2009">
        <f t="shared" si="20"/>
        <v>723785.66</v>
      </c>
      <c r="S115" s="2009">
        <f t="shared" si="20"/>
        <v>112652.06</v>
      </c>
      <c r="T115" s="2009">
        <f t="shared" si="20"/>
        <v>18536.48</v>
      </c>
      <c r="U115" s="2009">
        <f t="shared" si="20"/>
        <v>9590.9599999999991</v>
      </c>
      <c r="AC115" s="1965"/>
      <c r="AD115" s="1965"/>
      <c r="AE115" s="1965"/>
      <c r="AF115" s="1965"/>
      <c r="AG115" s="1965"/>
      <c r="AH115" s="1965"/>
      <c r="AI115" s="1965"/>
      <c r="AJ115" s="1965"/>
    </row>
    <row r="116" spans="1:36" s="395" customFormat="1">
      <c r="A116" s="1997"/>
      <c r="B116" s="583"/>
      <c r="C116" s="397"/>
      <c r="D116" s="397"/>
      <c r="E116" s="397"/>
      <c r="F116" s="1995"/>
      <c r="G116" s="1965"/>
      <c r="H116" s="1965"/>
      <c r="I116" s="1965"/>
      <c r="J116" s="1965"/>
      <c r="K116" s="1965"/>
      <c r="L116" s="1965"/>
      <c r="M116" s="1965"/>
      <c r="Q116" s="1965"/>
      <c r="AC116" s="1965"/>
      <c r="AD116" s="1965"/>
      <c r="AE116" s="1965"/>
      <c r="AF116" s="1965"/>
      <c r="AG116" s="1965"/>
      <c r="AH116" s="1965"/>
      <c r="AI116" s="1965"/>
      <c r="AJ116" s="1965"/>
    </row>
    <row r="117" spans="1:36" s="395" customFormat="1">
      <c r="A117" s="1997"/>
      <c r="B117" s="583"/>
      <c r="C117" s="397"/>
      <c r="D117" s="397"/>
      <c r="E117" s="397"/>
      <c r="F117" s="397"/>
      <c r="G117" s="1965"/>
      <c r="H117" s="1965"/>
      <c r="I117" s="1965"/>
      <c r="J117" s="1965"/>
      <c r="K117" s="1965"/>
      <c r="L117" s="1965"/>
      <c r="M117" s="1965"/>
      <c r="Q117" s="1965"/>
      <c r="AC117" s="1965"/>
      <c r="AD117" s="1965"/>
      <c r="AE117" s="1965"/>
      <c r="AF117" s="1965"/>
      <c r="AG117" s="1965"/>
      <c r="AH117" s="1965"/>
      <c r="AI117" s="1965"/>
      <c r="AJ117" s="1965"/>
    </row>
    <row r="118" spans="1:36" s="395" customFormat="1">
      <c r="A118" s="2066"/>
      <c r="B118" s="387"/>
      <c r="D118" s="1591"/>
      <c r="E118" s="1591"/>
      <c r="F118" s="2019"/>
      <c r="G118" s="1965"/>
      <c r="H118" s="1965"/>
      <c r="I118" s="1965"/>
      <c r="J118" s="1965"/>
      <c r="K118" s="1965"/>
      <c r="L118" s="1965"/>
      <c r="M118" s="1965"/>
      <c r="Q118" s="1965"/>
      <c r="AC118" s="1965"/>
      <c r="AD118" s="1965"/>
      <c r="AE118" s="1965"/>
      <c r="AF118" s="1965"/>
      <c r="AG118" s="1965"/>
      <c r="AH118" s="1965"/>
      <c r="AI118" s="1965"/>
      <c r="AJ118" s="1965"/>
    </row>
    <row r="119" spans="1:36" s="395" customFormat="1">
      <c r="A119" s="2067"/>
      <c r="B119" s="2068"/>
      <c r="C119" s="2049"/>
      <c r="D119" s="2027"/>
      <c r="E119" s="2027" t="s">
        <v>1194</v>
      </c>
      <c r="F119" s="3019" t="s">
        <v>1195</v>
      </c>
      <c r="G119" s="1990">
        <v>2007</v>
      </c>
      <c r="H119" s="1990">
        <v>2008</v>
      </c>
      <c r="I119" s="1990">
        <v>2009</v>
      </c>
      <c r="J119" s="1990">
        <v>2010</v>
      </c>
      <c r="K119" s="1990">
        <v>2011</v>
      </c>
      <c r="L119" s="1990">
        <v>2012</v>
      </c>
      <c r="M119" s="1990">
        <v>2013</v>
      </c>
      <c r="N119" s="1990">
        <v>2014</v>
      </c>
      <c r="O119" s="1990">
        <v>2015</v>
      </c>
      <c r="P119" s="1990">
        <v>2016</v>
      </c>
      <c r="Q119" s="1990">
        <v>2017</v>
      </c>
      <c r="R119" s="1990">
        <v>2018</v>
      </c>
      <c r="S119" s="1990">
        <v>2019</v>
      </c>
      <c r="T119" s="1990">
        <v>2020</v>
      </c>
      <c r="U119" s="2050">
        <v>2021</v>
      </c>
      <c r="AC119" s="1965"/>
      <c r="AD119" s="1965"/>
      <c r="AE119" s="1965"/>
      <c r="AF119" s="1965"/>
      <c r="AG119" s="1965"/>
      <c r="AH119" s="1965"/>
      <c r="AI119" s="1965"/>
      <c r="AJ119" s="1965"/>
    </row>
    <row r="120" spans="1:36" s="395" customFormat="1">
      <c r="A120" s="3020"/>
      <c r="B120" s="3816"/>
      <c r="C120" s="1591" t="s">
        <v>2439</v>
      </c>
      <c r="D120" s="1487"/>
      <c r="E120" s="2039"/>
      <c r="F120" s="1489"/>
      <c r="G120" s="3021"/>
      <c r="H120" s="3021"/>
      <c r="I120" s="3021"/>
      <c r="J120" s="3021"/>
      <c r="K120" s="3021"/>
      <c r="L120" s="3021"/>
      <c r="M120" s="3021"/>
      <c r="N120" s="2076"/>
      <c r="O120" s="1487"/>
      <c r="P120" s="1487"/>
      <c r="Q120" s="1487"/>
      <c r="R120" s="1487"/>
      <c r="S120" s="1487"/>
      <c r="T120" s="1487"/>
      <c r="U120" s="1489"/>
      <c r="Y120" s="1965"/>
      <c r="Z120" s="1965"/>
      <c r="AA120" s="1965"/>
      <c r="AC120" s="1965"/>
      <c r="AD120" s="1965"/>
      <c r="AE120" s="1965"/>
      <c r="AF120" s="1965"/>
      <c r="AG120" s="1965"/>
      <c r="AH120" s="1965"/>
      <c r="AI120" s="1965"/>
      <c r="AJ120" s="1965"/>
    </row>
    <row r="121" spans="1:36" s="395" customFormat="1">
      <c r="A121" s="3020"/>
      <c r="B121" s="3816"/>
      <c r="C121" s="1591"/>
      <c r="D121" s="1487"/>
      <c r="E121" s="2039"/>
      <c r="F121" s="1489"/>
      <c r="G121" s="3021"/>
      <c r="H121" s="3021"/>
      <c r="I121" s="3021"/>
      <c r="J121" s="3021"/>
      <c r="K121" s="3021"/>
      <c r="L121" s="3021"/>
      <c r="M121" s="3021"/>
      <c r="N121" s="2076"/>
      <c r="O121" s="1487"/>
      <c r="P121" s="1487"/>
      <c r="Q121" s="1487"/>
      <c r="R121" s="1487"/>
      <c r="S121" s="1487"/>
      <c r="T121" s="1487"/>
      <c r="U121" s="1489"/>
      <c r="Y121" s="1965"/>
      <c r="Z121" s="1965"/>
      <c r="AA121" s="1965"/>
      <c r="AC121" s="1965"/>
      <c r="AD121" s="1965"/>
      <c r="AE121" s="1965"/>
      <c r="AF121" s="1965"/>
      <c r="AG121" s="1965"/>
      <c r="AH121" s="1965"/>
      <c r="AI121" s="1965"/>
      <c r="AJ121" s="1965"/>
    </row>
    <row r="122" spans="1:36" s="395" customFormat="1">
      <c r="A122" s="3020">
        <v>2021</v>
      </c>
      <c r="B122" s="3816"/>
      <c r="C122" s="397" t="s">
        <v>1199</v>
      </c>
      <c r="D122" s="1487">
        <v>9590.9599999999991</v>
      </c>
      <c r="E122" s="2039" t="s">
        <v>1197</v>
      </c>
      <c r="F122" s="1489">
        <f>D122/5</f>
        <v>1918.1919999999998</v>
      </c>
      <c r="G122" s="3021"/>
      <c r="H122" s="3021"/>
      <c r="I122" s="3021"/>
      <c r="J122" s="3021"/>
      <c r="K122" s="3021"/>
      <c r="L122" s="3021"/>
      <c r="M122" s="3021"/>
      <c r="N122" s="2076"/>
      <c r="O122" s="1487"/>
      <c r="P122" s="1487"/>
      <c r="Q122" s="1487"/>
      <c r="R122" s="1487"/>
      <c r="S122" s="1487"/>
      <c r="T122" s="1487"/>
      <c r="U122" s="1489">
        <v>1918.19</v>
      </c>
      <c r="Y122" s="1965"/>
      <c r="Z122" s="1965"/>
      <c r="AA122" s="1965"/>
      <c r="AC122" s="1965"/>
      <c r="AD122" s="1965"/>
      <c r="AE122" s="1965"/>
      <c r="AF122" s="1965"/>
      <c r="AG122" s="1965"/>
      <c r="AH122" s="1965"/>
      <c r="AI122" s="1965"/>
      <c r="AJ122" s="1965"/>
    </row>
    <row r="123" spans="1:36" s="395" customFormat="1">
      <c r="A123" s="3020">
        <v>2020</v>
      </c>
      <c r="B123" s="3816"/>
      <c r="C123" s="397" t="s">
        <v>1612</v>
      </c>
      <c r="D123" s="1487">
        <v>5670.73</v>
      </c>
      <c r="E123" s="2039" t="s">
        <v>1197</v>
      </c>
      <c r="F123" s="1489">
        <f>D123/5</f>
        <v>1134.146</v>
      </c>
      <c r="G123" s="3021"/>
      <c r="H123" s="3021"/>
      <c r="I123" s="3021"/>
      <c r="J123" s="3021"/>
      <c r="K123" s="3021"/>
      <c r="L123" s="3021"/>
      <c r="M123" s="3021"/>
      <c r="N123" s="2076"/>
      <c r="O123" s="1487"/>
      <c r="P123" s="1487"/>
      <c r="Q123" s="1487"/>
      <c r="R123" s="1487"/>
      <c r="S123" s="1487"/>
      <c r="T123" s="1487">
        <v>1134.1500000000001</v>
      </c>
      <c r="U123" s="1489">
        <v>1134.1500000000001</v>
      </c>
      <c r="Y123" s="1965"/>
      <c r="Z123" s="1965"/>
      <c r="AA123" s="1965"/>
      <c r="AC123" s="1965"/>
      <c r="AD123" s="1965"/>
      <c r="AE123" s="1965"/>
      <c r="AF123" s="1965"/>
      <c r="AG123" s="1965"/>
      <c r="AH123" s="1965"/>
      <c r="AI123" s="1965"/>
      <c r="AJ123" s="1965"/>
    </row>
    <row r="124" spans="1:36" s="395" customFormat="1">
      <c r="A124" s="3020"/>
      <c r="B124" s="3816"/>
      <c r="C124" s="397" t="s">
        <v>1199</v>
      </c>
      <c r="D124" s="1487">
        <v>11937.85</v>
      </c>
      <c r="E124" s="2039" t="s">
        <v>1197</v>
      </c>
      <c r="F124" s="1489">
        <f>D124/5</f>
        <v>2387.5700000000002</v>
      </c>
      <c r="G124" s="3021"/>
      <c r="H124" s="3021"/>
      <c r="I124" s="3021"/>
      <c r="J124" s="3021"/>
      <c r="K124" s="3021"/>
      <c r="L124" s="3021"/>
      <c r="M124" s="3021"/>
      <c r="N124" s="2076"/>
      <c r="O124" s="1487"/>
      <c r="P124" s="1487"/>
      <c r="Q124" s="1487"/>
      <c r="R124" s="1487"/>
      <c r="S124" s="1487"/>
      <c r="T124" s="1487">
        <v>2387.5700000000002</v>
      </c>
      <c r="U124" s="1489">
        <v>2387.5700000000002</v>
      </c>
      <c r="Y124" s="1965"/>
      <c r="Z124" s="1965"/>
      <c r="AA124" s="1965"/>
      <c r="AC124" s="1965"/>
      <c r="AD124" s="1965"/>
      <c r="AE124" s="1965"/>
      <c r="AF124" s="1965"/>
      <c r="AG124" s="1965"/>
      <c r="AH124" s="1965"/>
      <c r="AI124" s="1965"/>
      <c r="AJ124" s="1965"/>
    </row>
    <row r="125" spans="1:36" s="395" customFormat="1">
      <c r="A125" s="3020"/>
      <c r="B125" s="3816"/>
      <c r="C125" s="397" t="s">
        <v>2440</v>
      </c>
      <c r="D125" s="1487">
        <v>927.9</v>
      </c>
      <c r="E125" s="2039" t="s">
        <v>1197</v>
      </c>
      <c r="F125" s="1489">
        <f>D125/5</f>
        <v>185.57999999999998</v>
      </c>
      <c r="G125" s="3021"/>
      <c r="H125" s="3021"/>
      <c r="I125" s="3021"/>
      <c r="J125" s="3021"/>
      <c r="K125" s="3021"/>
      <c r="L125" s="3021"/>
      <c r="M125" s="3021"/>
      <c r="N125" s="2076"/>
      <c r="O125" s="1487"/>
      <c r="P125" s="1487"/>
      <c r="Q125" s="1487"/>
      <c r="R125" s="1487"/>
      <c r="S125" s="1487"/>
      <c r="T125" s="1487">
        <v>185.58</v>
      </c>
      <c r="U125" s="1489">
        <v>185.58</v>
      </c>
      <c r="Y125" s="1965"/>
      <c r="Z125" s="1965"/>
      <c r="AA125" s="1965"/>
      <c r="AC125" s="1965"/>
      <c r="AD125" s="1965"/>
      <c r="AE125" s="1965"/>
      <c r="AF125" s="1965"/>
      <c r="AG125" s="1965"/>
      <c r="AH125" s="1965"/>
      <c r="AI125" s="1965"/>
      <c r="AJ125" s="1965"/>
    </row>
    <row r="126" spans="1:36" s="395" customFormat="1">
      <c r="A126" s="3020"/>
      <c r="B126" s="3816"/>
      <c r="C126" s="397"/>
      <c r="D126" s="2042">
        <f>SUM(D123:D125)</f>
        <v>18536.480000000003</v>
      </c>
      <c r="E126" s="2039"/>
      <c r="F126" s="1489"/>
      <c r="G126" s="3021"/>
      <c r="H126" s="3021"/>
      <c r="I126" s="3021"/>
      <c r="J126" s="3021"/>
      <c r="K126" s="3021"/>
      <c r="L126" s="3021"/>
      <c r="M126" s="3021"/>
      <c r="N126" s="2076"/>
      <c r="O126" s="1487"/>
      <c r="P126" s="1487"/>
      <c r="Q126" s="1487"/>
      <c r="R126" s="1487"/>
      <c r="S126" s="1487"/>
      <c r="T126" s="1487"/>
      <c r="U126" s="1489"/>
      <c r="Y126" s="1965"/>
      <c r="Z126" s="1965"/>
      <c r="AA126" s="1965"/>
      <c r="AC126" s="1965"/>
      <c r="AD126" s="1965"/>
      <c r="AE126" s="1965"/>
      <c r="AF126" s="1965"/>
      <c r="AG126" s="1965"/>
      <c r="AH126" s="1965"/>
      <c r="AI126" s="1965"/>
      <c r="AJ126" s="1965"/>
    </row>
    <row r="127" spans="1:36" s="395" customFormat="1">
      <c r="A127" s="3020">
        <v>2019</v>
      </c>
      <c r="B127" s="3816"/>
      <c r="C127" s="397" t="s">
        <v>2431</v>
      </c>
      <c r="D127" s="1487">
        <v>96072.99</v>
      </c>
      <c r="E127" s="2039" t="s">
        <v>1953</v>
      </c>
      <c r="F127" s="1489">
        <f>D127/30</f>
        <v>3202.433</v>
      </c>
      <c r="G127" s="3021"/>
      <c r="H127" s="3021"/>
      <c r="I127" s="3021"/>
      <c r="J127" s="3021"/>
      <c r="K127" s="3021"/>
      <c r="L127" s="3021"/>
      <c r="M127" s="3021"/>
      <c r="N127" s="2076"/>
      <c r="O127" s="1487"/>
      <c r="P127" s="1487"/>
      <c r="Q127" s="1487"/>
      <c r="R127" s="1487"/>
      <c r="S127" s="1487">
        <v>3202.43</v>
      </c>
      <c r="T127" s="1487">
        <v>3202.43</v>
      </c>
      <c r="U127" s="1489">
        <v>3202.43</v>
      </c>
      <c r="Y127" s="1965"/>
      <c r="Z127" s="1965"/>
      <c r="AA127" s="1965"/>
      <c r="AC127" s="1965"/>
      <c r="AD127" s="1965"/>
      <c r="AE127" s="1965"/>
      <c r="AF127" s="1965"/>
      <c r="AG127" s="1965"/>
      <c r="AH127" s="1965"/>
      <c r="AI127" s="1965"/>
      <c r="AJ127" s="1965"/>
    </row>
    <row r="128" spans="1:36" s="395" customFormat="1">
      <c r="A128" s="3020"/>
      <c r="B128" s="3816"/>
      <c r="C128" s="397" t="s">
        <v>1612</v>
      </c>
      <c r="D128" s="1487">
        <v>3957.13</v>
      </c>
      <c r="E128" s="2039" t="s">
        <v>1197</v>
      </c>
      <c r="F128" s="1489">
        <f>D128/5</f>
        <v>791.42600000000004</v>
      </c>
      <c r="G128" s="3021"/>
      <c r="H128" s="3021"/>
      <c r="I128" s="3021"/>
      <c r="J128" s="3021"/>
      <c r="K128" s="3021"/>
      <c r="L128" s="3021"/>
      <c r="M128" s="3021"/>
      <c r="N128" s="2076"/>
      <c r="O128" s="1487"/>
      <c r="P128" s="1487"/>
      <c r="Q128" s="1487"/>
      <c r="R128" s="1487"/>
      <c r="S128" s="1487">
        <v>791.43</v>
      </c>
      <c r="T128" s="1487">
        <v>791.43</v>
      </c>
      <c r="U128" s="1489">
        <v>791.43</v>
      </c>
      <c r="Y128" s="1965"/>
      <c r="Z128" s="1965"/>
      <c r="AA128" s="1965"/>
      <c r="AC128" s="1965"/>
      <c r="AD128" s="1965"/>
      <c r="AE128" s="1965"/>
      <c r="AF128" s="1965"/>
      <c r="AG128" s="1965"/>
      <c r="AH128" s="1965"/>
      <c r="AI128" s="1965"/>
      <c r="AJ128" s="1965"/>
    </row>
    <row r="129" spans="1:36" s="395" customFormat="1">
      <c r="A129" s="3020"/>
      <c r="B129" s="3816"/>
      <c r="C129" s="397" t="s">
        <v>1199</v>
      </c>
      <c r="D129" s="1487">
        <v>9491.5400000000009</v>
      </c>
      <c r="E129" s="2039" t="s">
        <v>1197</v>
      </c>
      <c r="F129" s="1489">
        <f>D129/5</f>
        <v>1898.3080000000002</v>
      </c>
      <c r="G129" s="3021"/>
      <c r="H129" s="3021"/>
      <c r="I129" s="3021"/>
      <c r="J129" s="3021"/>
      <c r="K129" s="3021"/>
      <c r="L129" s="3021"/>
      <c r="M129" s="3021"/>
      <c r="N129" s="2076"/>
      <c r="O129" s="1487"/>
      <c r="P129" s="1487"/>
      <c r="Q129" s="1487"/>
      <c r="R129" s="1487"/>
      <c r="S129" s="1487">
        <v>1898.31</v>
      </c>
      <c r="T129" s="1487">
        <v>1898.31</v>
      </c>
      <c r="U129" s="1489">
        <v>1898.31</v>
      </c>
      <c r="Y129" s="1965"/>
      <c r="Z129" s="1965"/>
      <c r="AA129" s="1965"/>
      <c r="AC129" s="1965"/>
      <c r="AD129" s="1965"/>
      <c r="AE129" s="1965"/>
      <c r="AF129" s="1965"/>
      <c r="AG129" s="1965"/>
      <c r="AH129" s="1965"/>
      <c r="AI129" s="1965"/>
      <c r="AJ129" s="1965"/>
    </row>
    <row r="130" spans="1:36" s="395" customFormat="1">
      <c r="A130" s="3020"/>
      <c r="B130" s="3816"/>
      <c r="C130" s="397" t="s">
        <v>2440</v>
      </c>
      <c r="D130" s="1487">
        <v>3130.4</v>
      </c>
      <c r="E130" s="2039" t="s">
        <v>1197</v>
      </c>
      <c r="F130" s="1489">
        <f>D130/5</f>
        <v>626.08000000000004</v>
      </c>
      <c r="G130" s="3021"/>
      <c r="H130" s="3021"/>
      <c r="I130" s="3021"/>
      <c r="J130" s="3021"/>
      <c r="K130" s="3021"/>
      <c r="L130" s="3021"/>
      <c r="M130" s="3021"/>
      <c r="N130" s="2076"/>
      <c r="O130" s="1487"/>
      <c r="P130" s="1487"/>
      <c r="Q130" s="1487"/>
      <c r="R130" s="1487"/>
      <c r="S130" s="1487">
        <v>626.08000000000004</v>
      </c>
      <c r="T130" s="1487">
        <v>626.08000000000004</v>
      </c>
      <c r="U130" s="1489">
        <v>626.08000000000004</v>
      </c>
      <c r="Y130" s="1965"/>
      <c r="Z130" s="1965"/>
      <c r="AA130" s="1965"/>
      <c r="AC130" s="1965"/>
      <c r="AD130" s="1965"/>
      <c r="AE130" s="1965"/>
      <c r="AF130" s="1965"/>
      <c r="AG130" s="1965"/>
      <c r="AH130" s="1965"/>
      <c r="AI130" s="1965"/>
      <c r="AJ130" s="1965"/>
    </row>
    <row r="131" spans="1:36" s="395" customFormat="1">
      <c r="A131" s="3020"/>
      <c r="B131" s="3816"/>
      <c r="C131" s="397"/>
      <c r="D131" s="2042">
        <f>SUM(D127:D130)</f>
        <v>112652.06</v>
      </c>
      <c r="E131" s="2039"/>
      <c r="F131" s="1489"/>
      <c r="G131" s="3021"/>
      <c r="H131" s="3021"/>
      <c r="I131" s="3021"/>
      <c r="J131" s="3021"/>
      <c r="K131" s="3021"/>
      <c r="L131" s="3021"/>
      <c r="M131" s="3021"/>
      <c r="N131" s="2076"/>
      <c r="O131" s="1487"/>
      <c r="P131" s="1487"/>
      <c r="Q131" s="1487"/>
      <c r="R131" s="1487"/>
      <c r="S131" s="1487"/>
      <c r="T131" s="1487"/>
      <c r="U131" s="1489"/>
      <c r="Y131" s="1965"/>
      <c r="Z131" s="1965"/>
      <c r="AA131" s="1965"/>
      <c r="AC131" s="1965"/>
      <c r="AD131" s="1965"/>
      <c r="AE131" s="1965"/>
      <c r="AF131" s="1965"/>
      <c r="AG131" s="1965"/>
      <c r="AH131" s="1965"/>
      <c r="AI131" s="1965"/>
      <c r="AJ131" s="1965"/>
    </row>
    <row r="132" spans="1:36" s="395" customFormat="1">
      <c r="A132" s="3020">
        <v>2018</v>
      </c>
      <c r="B132" s="3816"/>
      <c r="C132" s="397" t="s">
        <v>2431</v>
      </c>
      <c r="D132" s="1487">
        <v>664811.12</v>
      </c>
      <c r="E132" s="2039" t="s">
        <v>1953</v>
      </c>
      <c r="F132" s="1489">
        <f>D132/30</f>
        <v>22160.370666666666</v>
      </c>
      <c r="G132" s="3021"/>
      <c r="H132" s="3021"/>
      <c r="I132" s="3021"/>
      <c r="J132" s="3021"/>
      <c r="K132" s="3021"/>
      <c r="L132" s="3021"/>
      <c r="M132" s="3021"/>
      <c r="N132" s="2076"/>
      <c r="O132" s="1487"/>
      <c r="P132" s="1487"/>
      <c r="Q132" s="1487"/>
      <c r="R132" s="1487">
        <f>F132</f>
        <v>22160.370666666666</v>
      </c>
      <c r="S132" s="1487">
        <f>F132</f>
        <v>22160.370666666666</v>
      </c>
      <c r="T132" s="1487">
        <f>F132</f>
        <v>22160.370666666666</v>
      </c>
      <c r="U132" s="1489">
        <f>F132</f>
        <v>22160.370666666666</v>
      </c>
      <c r="Y132" s="1965"/>
      <c r="Z132" s="1965"/>
      <c r="AA132" s="1965"/>
      <c r="AC132" s="1965"/>
      <c r="AD132" s="1965"/>
      <c r="AE132" s="1965"/>
      <c r="AF132" s="1965"/>
      <c r="AG132" s="1965"/>
      <c r="AH132" s="1965"/>
      <c r="AI132" s="1965"/>
      <c r="AJ132" s="1965"/>
    </row>
    <row r="133" spans="1:36" s="395" customFormat="1">
      <c r="A133" s="3020"/>
      <c r="B133" s="3816"/>
      <c r="C133" s="397" t="s">
        <v>1612</v>
      </c>
      <c r="D133" s="1487">
        <v>34257.89</v>
      </c>
      <c r="E133" s="2039" t="s">
        <v>1197</v>
      </c>
      <c r="F133" s="1489">
        <f>D133/5</f>
        <v>6851.5779999999995</v>
      </c>
      <c r="G133" s="3021"/>
      <c r="H133" s="3021"/>
      <c r="I133" s="3021"/>
      <c r="J133" s="3021"/>
      <c r="K133" s="3021"/>
      <c r="L133" s="3021"/>
      <c r="M133" s="3021"/>
      <c r="N133" s="2076"/>
      <c r="O133" s="1487"/>
      <c r="P133" s="1487"/>
      <c r="Q133" s="1487"/>
      <c r="R133" s="1487">
        <f>F133</f>
        <v>6851.5779999999995</v>
      </c>
      <c r="S133" s="1487">
        <f>F133</f>
        <v>6851.5779999999995</v>
      </c>
      <c r="T133" s="1487">
        <f>F133</f>
        <v>6851.5779999999995</v>
      </c>
      <c r="U133" s="1489">
        <f>F133</f>
        <v>6851.5779999999995</v>
      </c>
      <c r="Y133" s="1965"/>
      <c r="Z133" s="1965"/>
      <c r="AA133" s="1965"/>
      <c r="AC133" s="1965"/>
      <c r="AD133" s="1965"/>
      <c r="AE133" s="1965"/>
      <c r="AF133" s="1965"/>
      <c r="AG133" s="1965"/>
      <c r="AH133" s="1965"/>
      <c r="AI133" s="1965"/>
      <c r="AJ133" s="1965"/>
    </row>
    <row r="134" spans="1:36" s="395" customFormat="1">
      <c r="A134" s="3020"/>
      <c r="B134" s="3816"/>
      <c r="C134" s="397" t="s">
        <v>1199</v>
      </c>
      <c r="D134" s="1487">
        <v>9780.64</v>
      </c>
      <c r="E134" s="2039" t="s">
        <v>1197</v>
      </c>
      <c r="F134" s="1489">
        <f>D134/5</f>
        <v>1956.1279999999999</v>
      </c>
      <c r="G134" s="3021"/>
      <c r="H134" s="3021"/>
      <c r="I134" s="3021"/>
      <c r="J134" s="3021"/>
      <c r="K134" s="3021"/>
      <c r="L134" s="3021"/>
      <c r="M134" s="3021"/>
      <c r="N134" s="2076"/>
      <c r="O134" s="1487"/>
      <c r="P134" s="1487"/>
      <c r="Q134" s="1487"/>
      <c r="R134" s="1487">
        <f>F134</f>
        <v>1956.1279999999999</v>
      </c>
      <c r="S134" s="1487">
        <f>F134</f>
        <v>1956.1279999999999</v>
      </c>
      <c r="T134" s="1487">
        <f>F134</f>
        <v>1956.1279999999999</v>
      </c>
      <c r="U134" s="1489">
        <f>F134</f>
        <v>1956.1279999999999</v>
      </c>
      <c r="Y134" s="1965"/>
      <c r="Z134" s="1965"/>
      <c r="AA134" s="1965"/>
      <c r="AC134" s="1965"/>
      <c r="AD134" s="1965"/>
      <c r="AE134" s="1965"/>
      <c r="AF134" s="1965"/>
      <c r="AG134" s="1965"/>
      <c r="AH134" s="1965"/>
      <c r="AI134" s="1965"/>
      <c r="AJ134" s="1965"/>
    </row>
    <row r="135" spans="1:36" s="395" customFormat="1">
      <c r="A135" s="3020"/>
      <c r="B135" s="3816"/>
      <c r="C135" s="397" t="s">
        <v>2440</v>
      </c>
      <c r="D135" s="1487">
        <v>14936.01</v>
      </c>
      <c r="E135" s="2039" t="s">
        <v>1197</v>
      </c>
      <c r="F135" s="1489">
        <f>D135/5</f>
        <v>2987.2020000000002</v>
      </c>
      <c r="G135" s="3021"/>
      <c r="H135" s="3021"/>
      <c r="I135" s="3021"/>
      <c r="J135" s="3021"/>
      <c r="K135" s="3021"/>
      <c r="L135" s="3021"/>
      <c r="M135" s="3021"/>
      <c r="N135" s="2076"/>
      <c r="O135" s="1487"/>
      <c r="P135" s="1487"/>
      <c r="Q135" s="1487"/>
      <c r="R135" s="1487">
        <f>F135</f>
        <v>2987.2020000000002</v>
      </c>
      <c r="S135" s="1487">
        <f>F135</f>
        <v>2987.2020000000002</v>
      </c>
      <c r="T135" s="1487">
        <f>F135</f>
        <v>2987.2020000000002</v>
      </c>
      <c r="U135" s="1489">
        <f>F135</f>
        <v>2987.2020000000002</v>
      </c>
      <c r="Y135" s="1965"/>
      <c r="Z135" s="1965"/>
      <c r="AA135" s="1965"/>
      <c r="AC135" s="1965"/>
      <c r="AD135" s="1965"/>
      <c r="AE135" s="1965"/>
      <c r="AF135" s="1965"/>
      <c r="AG135" s="1965"/>
      <c r="AH135" s="1965"/>
      <c r="AI135" s="1965"/>
      <c r="AJ135" s="1965"/>
    </row>
    <row r="136" spans="1:36" s="395" customFormat="1">
      <c r="A136" s="3020"/>
      <c r="B136" s="3816"/>
      <c r="C136" s="397"/>
      <c r="D136" s="2042">
        <f>SUM(D132:D135)</f>
        <v>723785.66</v>
      </c>
      <c r="E136" s="2039"/>
      <c r="F136" s="1489"/>
      <c r="G136" s="3021"/>
      <c r="H136" s="3021"/>
      <c r="I136" s="3021"/>
      <c r="J136" s="3021"/>
      <c r="K136" s="3021"/>
      <c r="L136" s="3021"/>
      <c r="M136" s="3021"/>
      <c r="N136" s="2076"/>
      <c r="O136" s="1487"/>
      <c r="P136" s="1487"/>
      <c r="Q136" s="1487"/>
      <c r="R136" s="1487"/>
      <c r="S136" s="1487"/>
      <c r="T136" s="1487"/>
      <c r="U136" s="1489"/>
      <c r="Y136" s="1965"/>
      <c r="Z136" s="1965"/>
      <c r="AA136" s="1965"/>
      <c r="AC136" s="1965"/>
      <c r="AD136" s="1965"/>
      <c r="AE136" s="1965"/>
      <c r="AF136" s="1965"/>
      <c r="AG136" s="1965"/>
      <c r="AH136" s="1965"/>
      <c r="AI136" s="1965"/>
      <c r="AJ136" s="1965"/>
    </row>
    <row r="137" spans="1:36" s="395" customFormat="1">
      <c r="A137" s="3020">
        <v>2017</v>
      </c>
      <c r="B137" s="3816"/>
      <c r="C137" s="397" t="s">
        <v>2431</v>
      </c>
      <c r="D137" s="1487">
        <v>497810.78</v>
      </c>
      <c r="E137" s="2039" t="s">
        <v>1953</v>
      </c>
      <c r="F137" s="1489">
        <f>D137/30</f>
        <v>16593.692666666666</v>
      </c>
      <c r="G137" s="3021"/>
      <c r="H137" s="3021"/>
      <c r="I137" s="3021"/>
      <c r="J137" s="3021"/>
      <c r="K137" s="3021"/>
      <c r="L137" s="3021"/>
      <c r="M137" s="3021"/>
      <c r="N137" s="2076"/>
      <c r="O137" s="1487"/>
      <c r="P137" s="1487"/>
      <c r="Q137" s="1487">
        <f>F137</f>
        <v>16593.692666666666</v>
      </c>
      <c r="R137" s="1487">
        <f>F137</f>
        <v>16593.692666666666</v>
      </c>
      <c r="S137" s="1487">
        <f>F137</f>
        <v>16593.692666666666</v>
      </c>
      <c r="T137" s="1487">
        <f>F137</f>
        <v>16593.692666666666</v>
      </c>
      <c r="U137" s="1489">
        <f>F137</f>
        <v>16593.692666666666</v>
      </c>
      <c r="Y137" s="1965"/>
      <c r="Z137" s="1965"/>
      <c r="AA137" s="1965"/>
      <c r="AC137" s="1965"/>
      <c r="AD137" s="1965"/>
      <c r="AE137" s="1965"/>
      <c r="AF137" s="1965"/>
      <c r="AG137" s="1965"/>
      <c r="AH137" s="1965"/>
      <c r="AI137" s="1965"/>
      <c r="AJ137" s="1965"/>
    </row>
    <row r="138" spans="1:36" s="395" customFormat="1">
      <c r="A138" s="3020"/>
      <c r="B138" s="3816"/>
      <c r="C138" s="397" t="s">
        <v>1727</v>
      </c>
      <c r="D138" s="1487">
        <v>2946.95</v>
      </c>
      <c r="E138" s="2039" t="s">
        <v>1197</v>
      </c>
      <c r="F138" s="1489">
        <f>D138/5</f>
        <v>589.39</v>
      </c>
      <c r="G138" s="3021"/>
      <c r="H138" s="3021"/>
      <c r="I138" s="3021"/>
      <c r="J138" s="3021"/>
      <c r="K138" s="3021"/>
      <c r="L138" s="3021"/>
      <c r="M138" s="3021"/>
      <c r="N138" s="2076"/>
      <c r="O138" s="1487"/>
      <c r="P138" s="1487"/>
      <c r="Q138" s="1487">
        <f>F138</f>
        <v>589.39</v>
      </c>
      <c r="R138" s="1487">
        <f>F138</f>
        <v>589.39</v>
      </c>
      <c r="S138" s="1487">
        <f>F138</f>
        <v>589.39</v>
      </c>
      <c r="T138" s="1487">
        <f>F138</f>
        <v>589.39</v>
      </c>
      <c r="U138" s="1489">
        <f>F138</f>
        <v>589.39</v>
      </c>
      <c r="Y138" s="1965"/>
      <c r="Z138" s="1965"/>
      <c r="AA138" s="1965"/>
      <c r="AC138" s="1965"/>
      <c r="AD138" s="1965"/>
      <c r="AE138" s="1965"/>
      <c r="AF138" s="1965"/>
      <c r="AG138" s="1965"/>
      <c r="AH138" s="1965"/>
      <c r="AI138" s="1965"/>
      <c r="AJ138" s="1965"/>
    </row>
    <row r="139" spans="1:36" s="395" customFormat="1">
      <c r="A139" s="3020"/>
      <c r="B139" s="3816"/>
      <c r="C139" s="397"/>
      <c r="D139" s="2042">
        <f>SUM(D137:D138)</f>
        <v>500757.73000000004</v>
      </c>
      <c r="E139" s="2039"/>
      <c r="F139" s="1489"/>
      <c r="G139" s="3021"/>
      <c r="H139" s="3021"/>
      <c r="I139" s="3021"/>
      <c r="J139" s="3021"/>
      <c r="K139" s="3021"/>
      <c r="L139" s="3021"/>
      <c r="M139" s="3021"/>
      <c r="N139" s="2076"/>
      <c r="O139" s="1487"/>
      <c r="P139" s="1487"/>
      <c r="Q139" s="1487"/>
      <c r="R139" s="1487"/>
      <c r="S139" s="1487"/>
      <c r="T139" s="1487"/>
      <c r="U139" s="1998"/>
      <c r="X139" s="1965"/>
      <c r="Y139" s="1965"/>
      <c r="Z139" s="1965"/>
      <c r="AA139" s="1965"/>
      <c r="AC139" s="1965"/>
      <c r="AD139" s="1965"/>
      <c r="AE139" s="1965"/>
      <c r="AF139" s="1965"/>
      <c r="AG139" s="1965"/>
      <c r="AH139" s="1965"/>
      <c r="AI139" s="1965"/>
      <c r="AJ139" s="1965"/>
    </row>
    <row r="140" spans="1:36" s="395" customFormat="1">
      <c r="A140" s="3020">
        <v>2016</v>
      </c>
      <c r="B140" s="3816"/>
      <c r="C140" s="397" t="s">
        <v>1199</v>
      </c>
      <c r="D140" s="1487">
        <v>3025</v>
      </c>
      <c r="E140" s="2039" t="s">
        <v>1197</v>
      </c>
      <c r="F140" s="1489">
        <f>D140/5</f>
        <v>605</v>
      </c>
      <c r="G140" s="3021"/>
      <c r="H140" s="3021"/>
      <c r="I140" s="3021"/>
      <c r="J140" s="3021"/>
      <c r="K140" s="3021"/>
      <c r="L140" s="3021"/>
      <c r="M140" s="3021"/>
      <c r="N140" s="2076"/>
      <c r="O140" s="1487"/>
      <c r="P140" s="1487">
        <v>605</v>
      </c>
      <c r="Q140" s="1487">
        <v>605</v>
      </c>
      <c r="R140" s="1487">
        <v>605</v>
      </c>
      <c r="S140" s="1487">
        <v>605</v>
      </c>
      <c r="T140" s="1487">
        <v>605</v>
      </c>
      <c r="U140" s="1998"/>
      <c r="AC140" s="1965"/>
      <c r="AD140" s="1965"/>
      <c r="AE140" s="1965"/>
      <c r="AF140" s="1965"/>
      <c r="AG140" s="1965"/>
      <c r="AH140" s="1965"/>
      <c r="AI140" s="1965"/>
      <c r="AJ140" s="1965"/>
    </row>
    <row r="141" spans="1:36" s="395" customFormat="1">
      <c r="A141" s="3020">
        <v>2015</v>
      </c>
      <c r="B141" s="3816"/>
      <c r="C141" s="397" t="s">
        <v>1199</v>
      </c>
      <c r="D141" s="1487">
        <v>7455.08</v>
      </c>
      <c r="E141" s="2039" t="s">
        <v>1197</v>
      </c>
      <c r="F141" s="1489">
        <f>D143/5</f>
        <v>2811.0140000000001</v>
      </c>
      <c r="G141" s="3021"/>
      <c r="H141" s="3021"/>
      <c r="I141" s="3021"/>
      <c r="J141" s="3021"/>
      <c r="K141" s="3021"/>
      <c r="L141" s="3021"/>
      <c r="M141" s="3021"/>
      <c r="N141" s="1487"/>
      <c r="O141" s="1487">
        <f>F141</f>
        <v>2811.0140000000001</v>
      </c>
      <c r="P141" s="1487">
        <f>F141</f>
        <v>2811.0140000000001</v>
      </c>
      <c r="Q141" s="1487">
        <f>F141</f>
        <v>2811.0140000000001</v>
      </c>
      <c r="R141" s="1487">
        <f>F141</f>
        <v>2811.0140000000001</v>
      </c>
      <c r="S141" s="1487">
        <f>F141</f>
        <v>2811.0140000000001</v>
      </c>
      <c r="T141" s="1487"/>
      <c r="U141" s="1998"/>
      <c r="X141" s="1965"/>
      <c r="Y141" s="1965"/>
      <c r="AC141" s="1965"/>
      <c r="AD141" s="1965"/>
      <c r="AE141" s="1965"/>
      <c r="AF141" s="1965"/>
      <c r="AG141" s="1965"/>
      <c r="AH141" s="1965"/>
      <c r="AI141" s="1965"/>
      <c r="AJ141" s="1965"/>
    </row>
    <row r="142" spans="1:36" s="395" customFormat="1">
      <c r="A142" s="3020"/>
      <c r="B142" s="3816"/>
      <c r="C142" s="397" t="s">
        <v>1381</v>
      </c>
      <c r="D142" s="1487">
        <v>6599.99</v>
      </c>
      <c r="E142" s="2039" t="s">
        <v>1197</v>
      </c>
      <c r="F142" s="1489"/>
      <c r="G142" s="3021"/>
      <c r="H142" s="3021"/>
      <c r="I142" s="3021"/>
      <c r="J142" s="3021"/>
      <c r="K142" s="3021"/>
      <c r="L142" s="3021"/>
      <c r="M142" s="3021"/>
      <c r="N142" s="1487"/>
      <c r="O142" s="1487"/>
      <c r="P142" s="1487"/>
      <c r="Q142" s="1487"/>
      <c r="R142" s="1487"/>
      <c r="S142" s="1487"/>
      <c r="T142" s="1487"/>
      <c r="U142" s="1998"/>
      <c r="X142" s="1965"/>
      <c r="Y142" s="1965"/>
      <c r="AC142" s="1965"/>
      <c r="AD142" s="1965"/>
      <c r="AE142" s="1965"/>
      <c r="AF142" s="1965"/>
      <c r="AG142" s="1965"/>
      <c r="AH142" s="1965"/>
      <c r="AI142" s="1965"/>
      <c r="AJ142" s="1965"/>
    </row>
    <row r="143" spans="1:36" s="395" customFormat="1">
      <c r="A143" s="3020"/>
      <c r="B143" s="3816"/>
      <c r="C143" s="397"/>
      <c r="D143" s="2042">
        <f>SUM(D141:D142)</f>
        <v>14055.07</v>
      </c>
      <c r="E143" s="1487"/>
      <c r="F143" s="1489"/>
      <c r="G143" s="3021"/>
      <c r="H143" s="3021"/>
      <c r="I143" s="3021"/>
      <c r="J143" s="3021"/>
      <c r="K143" s="3021"/>
      <c r="L143" s="3021"/>
      <c r="M143" s="3021"/>
      <c r="N143" s="1487"/>
      <c r="O143" s="1487"/>
      <c r="P143" s="1487"/>
      <c r="Q143" s="1487"/>
      <c r="R143" s="1487"/>
      <c r="S143" s="1487"/>
      <c r="T143" s="1487"/>
      <c r="U143" s="1998"/>
      <c r="X143" s="1965"/>
      <c r="Y143" s="1965"/>
      <c r="AC143" s="1965"/>
      <c r="AD143" s="1965"/>
      <c r="AE143" s="1965"/>
      <c r="AF143" s="1965"/>
      <c r="AG143" s="1965"/>
      <c r="AH143" s="1965"/>
      <c r="AI143" s="1965"/>
      <c r="AJ143" s="1965"/>
    </row>
    <row r="144" spans="1:36" s="395" customFormat="1">
      <c r="A144" s="3020">
        <v>2014</v>
      </c>
      <c r="B144" s="3816"/>
      <c r="C144" s="397" t="s">
        <v>1199</v>
      </c>
      <c r="D144" s="1487">
        <v>22493.91</v>
      </c>
      <c r="E144" s="2039" t="s">
        <v>1197</v>
      </c>
      <c r="F144" s="1489">
        <f>D144/5</f>
        <v>4498.7820000000002</v>
      </c>
      <c r="G144" s="3021"/>
      <c r="H144" s="3021"/>
      <c r="I144" s="3021"/>
      <c r="J144" s="3021"/>
      <c r="K144" s="3021"/>
      <c r="L144" s="3021"/>
      <c r="M144" s="3021"/>
      <c r="N144" s="1487">
        <f>F144</f>
        <v>4498.7820000000002</v>
      </c>
      <c r="O144" s="1487">
        <f>F144</f>
        <v>4498.7820000000002</v>
      </c>
      <c r="P144" s="1487">
        <f>F144</f>
        <v>4498.7820000000002</v>
      </c>
      <c r="Q144" s="1487">
        <f>F144</f>
        <v>4498.7820000000002</v>
      </c>
      <c r="R144" s="1487">
        <f>F144</f>
        <v>4498.7820000000002</v>
      </c>
      <c r="S144" s="397"/>
      <c r="T144" s="397"/>
      <c r="U144" s="1998"/>
      <c r="AC144" s="1965"/>
      <c r="AD144" s="1965"/>
      <c r="AE144" s="1965"/>
      <c r="AF144" s="1965"/>
      <c r="AG144" s="1965"/>
      <c r="AH144" s="1965"/>
      <c r="AI144" s="1965"/>
      <c r="AJ144" s="1965"/>
    </row>
    <row r="145" spans="1:36" s="395" customFormat="1">
      <c r="A145" s="3020"/>
      <c r="B145" s="3816"/>
      <c r="C145" s="397" t="s">
        <v>2441</v>
      </c>
      <c r="D145" s="1487">
        <v>10000</v>
      </c>
      <c r="E145" s="2039" t="s">
        <v>1385</v>
      </c>
      <c r="F145" s="1489">
        <f>D145/20</f>
        <v>500</v>
      </c>
      <c r="G145" s="3021"/>
      <c r="H145" s="3021"/>
      <c r="I145" s="3021"/>
      <c r="J145" s="3021"/>
      <c r="K145" s="3021"/>
      <c r="L145" s="3021"/>
      <c r="M145" s="3021"/>
      <c r="N145" s="1487">
        <v>500</v>
      </c>
      <c r="O145" s="1487">
        <v>500</v>
      </c>
      <c r="P145" s="1487">
        <v>500</v>
      </c>
      <c r="Q145" s="1487">
        <v>500</v>
      </c>
      <c r="R145" s="1487">
        <v>500</v>
      </c>
      <c r="S145" s="1487">
        <v>500</v>
      </c>
      <c r="T145" s="1487">
        <v>500</v>
      </c>
      <c r="U145" s="1489"/>
      <c r="X145" s="1965"/>
      <c r="AC145" s="1965"/>
      <c r="AD145" s="1965"/>
      <c r="AE145" s="1965"/>
      <c r="AF145" s="1965"/>
      <c r="AG145" s="1965"/>
      <c r="AH145" s="1965"/>
      <c r="AI145" s="1965"/>
      <c r="AJ145" s="1965"/>
    </row>
    <row r="146" spans="1:36" s="395" customFormat="1">
      <c r="A146" s="3020"/>
      <c r="B146" s="3816"/>
      <c r="C146" s="397"/>
      <c r="D146" s="2042">
        <f>SUM(D144:D145)</f>
        <v>32493.91</v>
      </c>
      <c r="E146" s="1487"/>
      <c r="F146" s="3022"/>
      <c r="G146" s="3021"/>
      <c r="H146" s="3021"/>
      <c r="I146" s="3021"/>
      <c r="J146" s="3021"/>
      <c r="K146" s="3021"/>
      <c r="L146" s="3021"/>
      <c r="M146" s="3021"/>
      <c r="N146" s="2076"/>
      <c r="O146" s="3021"/>
      <c r="P146" s="3021"/>
      <c r="Q146" s="3021"/>
      <c r="R146" s="3021"/>
      <c r="S146" s="397"/>
      <c r="T146" s="397"/>
      <c r="U146" s="1998"/>
      <c r="AC146" s="1965"/>
      <c r="AD146" s="1965"/>
      <c r="AE146" s="1965"/>
      <c r="AF146" s="1965"/>
      <c r="AG146" s="1965"/>
      <c r="AH146" s="1965"/>
      <c r="AI146" s="1965"/>
      <c r="AJ146" s="1965"/>
    </row>
    <row r="147" spans="1:36" s="395" customFormat="1">
      <c r="A147" s="3020">
        <v>2013</v>
      </c>
      <c r="B147" s="3816"/>
      <c r="C147" s="397" t="s">
        <v>1199</v>
      </c>
      <c r="D147" s="1487">
        <v>11388.52</v>
      </c>
      <c r="E147" s="2039" t="s">
        <v>1197</v>
      </c>
      <c r="F147" s="1489">
        <f>D149/5</f>
        <v>11031.91</v>
      </c>
      <c r="G147" s="1487"/>
      <c r="H147" s="1487"/>
      <c r="I147" s="1487"/>
      <c r="J147" s="1487"/>
      <c r="K147" s="1487"/>
      <c r="L147" s="1487"/>
      <c r="M147" s="1487">
        <v>11031.91</v>
      </c>
      <c r="N147" s="1487">
        <v>11031.91</v>
      </c>
      <c r="O147" s="1487">
        <v>11031.91</v>
      </c>
      <c r="P147" s="1487">
        <v>11031.91</v>
      </c>
      <c r="Q147" s="1487">
        <v>11031.91</v>
      </c>
      <c r="R147" s="397"/>
      <c r="S147" s="397"/>
      <c r="T147" s="397"/>
      <c r="U147" s="1998"/>
      <c r="AC147" s="1965"/>
      <c r="AD147" s="1965"/>
      <c r="AE147" s="1965"/>
      <c r="AF147" s="1965"/>
      <c r="AG147" s="1965"/>
      <c r="AH147" s="1965"/>
      <c r="AI147" s="1965"/>
      <c r="AJ147" s="1965"/>
    </row>
    <row r="148" spans="1:36" s="395" customFormat="1">
      <c r="A148" s="3020"/>
      <c r="B148" s="3816"/>
      <c r="C148" s="397" t="s">
        <v>2438</v>
      </c>
      <c r="D148" s="1487">
        <v>43771.03</v>
      </c>
      <c r="E148" s="2039" t="s">
        <v>1197</v>
      </c>
      <c r="F148" s="1489"/>
      <c r="G148" s="1487"/>
      <c r="H148" s="1487"/>
      <c r="I148" s="1487"/>
      <c r="J148" s="1487"/>
      <c r="K148" s="397"/>
      <c r="L148" s="397"/>
      <c r="M148" s="397"/>
      <c r="N148" s="1487"/>
      <c r="O148" s="397"/>
      <c r="P148" s="397"/>
      <c r="Q148" s="397"/>
      <c r="R148" s="397"/>
      <c r="S148" s="397"/>
      <c r="T148" s="397"/>
      <c r="U148" s="1998"/>
      <c r="AC148" s="1965"/>
      <c r="AD148" s="1965"/>
      <c r="AE148" s="1965"/>
      <c r="AF148" s="1965"/>
      <c r="AG148" s="1965"/>
      <c r="AH148" s="1965"/>
      <c r="AI148" s="1965"/>
      <c r="AJ148" s="1965"/>
    </row>
    <row r="149" spans="1:36" s="395" customFormat="1">
      <c r="A149" s="3020"/>
      <c r="B149" s="3816"/>
      <c r="C149" s="397"/>
      <c r="D149" s="2042">
        <f>SUM(D147:D148)</f>
        <v>55159.55</v>
      </c>
      <c r="E149" s="1487"/>
      <c r="F149" s="1489"/>
      <c r="G149" s="1487"/>
      <c r="H149" s="1487"/>
      <c r="I149" s="1487"/>
      <c r="J149" s="1487"/>
      <c r="K149" s="397"/>
      <c r="L149" s="397"/>
      <c r="M149" s="397"/>
      <c r="N149" s="1487"/>
      <c r="O149" s="397"/>
      <c r="P149" s="397"/>
      <c r="Q149" s="397"/>
      <c r="R149" s="397"/>
      <c r="S149" s="397"/>
      <c r="T149" s="397"/>
      <c r="U149" s="1998"/>
      <c r="AC149" s="1965"/>
      <c r="AD149" s="1965"/>
      <c r="AE149" s="1965"/>
      <c r="AF149" s="1965"/>
      <c r="AG149" s="1965"/>
      <c r="AH149" s="1965"/>
      <c r="AI149" s="1965"/>
      <c r="AJ149" s="1965"/>
    </row>
    <row r="150" spans="1:36" s="395" customFormat="1">
      <c r="A150" s="3020">
        <v>2011</v>
      </c>
      <c r="B150" s="3816"/>
      <c r="C150" s="397" t="s">
        <v>2442</v>
      </c>
      <c r="D150" s="1487">
        <f>15043.41-1000</f>
        <v>14043.41</v>
      </c>
      <c r="E150" s="2039" t="s">
        <v>1197</v>
      </c>
      <c r="F150" s="1489">
        <f>D152/5</f>
        <v>4267.8580000000002</v>
      </c>
      <c r="G150" s="1487">
        <v>0</v>
      </c>
      <c r="H150" s="1487">
        <v>0</v>
      </c>
      <c r="I150" s="1487">
        <v>0</v>
      </c>
      <c r="J150" s="1487">
        <v>0</v>
      </c>
      <c r="K150" s="1487">
        <v>0</v>
      </c>
      <c r="L150" s="1487">
        <f>F150</f>
        <v>4267.8580000000002</v>
      </c>
      <c r="M150" s="1487">
        <f>F150</f>
        <v>4267.8580000000002</v>
      </c>
      <c r="N150" s="1487">
        <f>F150</f>
        <v>4267.8580000000002</v>
      </c>
      <c r="O150" s="1487">
        <f>F150</f>
        <v>4267.8580000000002</v>
      </c>
      <c r="P150" s="1487">
        <f>F150</f>
        <v>4267.8580000000002</v>
      </c>
      <c r="Q150" s="1487"/>
      <c r="R150" s="1487"/>
      <c r="S150" s="397"/>
      <c r="T150" s="397"/>
      <c r="U150" s="1998"/>
      <c r="AC150" s="1965"/>
      <c r="AD150" s="1965"/>
      <c r="AE150" s="1965"/>
      <c r="AF150" s="1965"/>
      <c r="AG150" s="1965"/>
      <c r="AH150" s="1965"/>
      <c r="AI150" s="1965"/>
      <c r="AJ150" s="1965"/>
    </row>
    <row r="151" spans="1:36" s="395" customFormat="1">
      <c r="A151" s="3020"/>
      <c r="B151" s="3816"/>
      <c r="C151" s="397" t="s">
        <v>2443</v>
      </c>
      <c r="D151" s="1487">
        <v>7295.88</v>
      </c>
      <c r="E151" s="2039" t="s">
        <v>1197</v>
      </c>
      <c r="F151" s="1489"/>
      <c r="G151" s="1487"/>
      <c r="H151" s="1487"/>
      <c r="I151" s="1487"/>
      <c r="J151" s="1487"/>
      <c r="K151" s="1487"/>
      <c r="L151" s="1487"/>
      <c r="M151" s="1487"/>
      <c r="N151" s="1487"/>
      <c r="O151" s="1487"/>
      <c r="P151" s="397"/>
      <c r="Q151" s="397"/>
      <c r="R151" s="397"/>
      <c r="S151" s="397"/>
      <c r="T151" s="397"/>
      <c r="U151" s="1998"/>
      <c r="AC151" s="1965"/>
      <c r="AD151" s="1965"/>
      <c r="AE151" s="1965"/>
      <c r="AF151" s="1965"/>
      <c r="AG151" s="1965"/>
      <c r="AH151" s="1965"/>
      <c r="AI151" s="1965"/>
      <c r="AJ151" s="1965"/>
    </row>
    <row r="152" spans="1:36" s="395" customFormat="1">
      <c r="A152" s="3020"/>
      <c r="B152" s="3816"/>
      <c r="C152" s="397"/>
      <c r="D152" s="2042">
        <f>SUM(D150:D151)</f>
        <v>21339.29</v>
      </c>
      <c r="E152" s="1487"/>
      <c r="F152" s="1489"/>
      <c r="G152" s="1487"/>
      <c r="H152" s="1487"/>
      <c r="I152" s="1487"/>
      <c r="J152" s="1487"/>
      <c r="K152" s="397"/>
      <c r="L152" s="397"/>
      <c r="M152" s="397"/>
      <c r="N152" s="1487"/>
      <c r="O152" s="397"/>
      <c r="P152" s="397"/>
      <c r="Q152" s="397"/>
      <c r="R152" s="397"/>
      <c r="S152" s="397"/>
      <c r="T152" s="397"/>
      <c r="U152" s="1998"/>
      <c r="AC152" s="1965"/>
      <c r="AD152" s="1965"/>
      <c r="AE152" s="1965"/>
      <c r="AF152" s="1965"/>
      <c r="AG152" s="1965"/>
      <c r="AH152" s="1965"/>
      <c r="AI152" s="1965"/>
      <c r="AJ152" s="1965"/>
    </row>
    <row r="153" spans="1:36" s="395" customFormat="1">
      <c r="A153" s="3020">
        <v>2010</v>
      </c>
      <c r="B153" s="3816"/>
      <c r="C153" s="397" t="s">
        <v>1612</v>
      </c>
      <c r="D153" s="1487">
        <v>16543.37</v>
      </c>
      <c r="E153" s="2039" t="s">
        <v>1197</v>
      </c>
      <c r="F153" s="1489">
        <f>D156/5</f>
        <v>4099.942</v>
      </c>
      <c r="G153" s="1487">
        <v>0</v>
      </c>
      <c r="H153" s="1487">
        <v>0</v>
      </c>
      <c r="I153" s="1487">
        <v>0</v>
      </c>
      <c r="J153" s="1487">
        <v>0</v>
      </c>
      <c r="K153" s="1487">
        <v>4099.9399999999996</v>
      </c>
      <c r="L153" s="1487">
        <v>4099.9399999999996</v>
      </c>
      <c r="M153" s="1487">
        <v>4099.9399999999996</v>
      </c>
      <c r="N153" s="1487">
        <v>4099.9399999999996</v>
      </c>
      <c r="O153" s="1487">
        <v>4099.9399999999996</v>
      </c>
      <c r="P153" s="397"/>
      <c r="Q153" s="397"/>
      <c r="R153" s="397"/>
      <c r="S153" s="397"/>
      <c r="T153" s="397"/>
      <c r="U153" s="1998"/>
      <c r="AC153" s="1965"/>
      <c r="AD153" s="1965"/>
      <c r="AE153" s="1965"/>
      <c r="AF153" s="1965"/>
      <c r="AG153" s="1965"/>
      <c r="AH153" s="1965"/>
      <c r="AI153" s="1965"/>
      <c r="AJ153" s="1965"/>
    </row>
    <row r="154" spans="1:36" s="395" customFormat="1">
      <c r="A154" s="3020"/>
      <c r="B154" s="3816"/>
      <c r="C154" s="397" t="s">
        <v>2444</v>
      </c>
      <c r="D154" s="1487">
        <v>298.33999999999997</v>
      </c>
      <c r="E154" s="2039" t="s">
        <v>1197</v>
      </c>
      <c r="F154" s="1489"/>
      <c r="G154" s="1487"/>
      <c r="H154" s="1487"/>
      <c r="I154" s="1487"/>
      <c r="J154" s="1487"/>
      <c r="K154" s="1487"/>
      <c r="L154" s="1487"/>
      <c r="M154" s="1487"/>
      <c r="N154" s="1487"/>
      <c r="O154" s="397"/>
      <c r="P154" s="397"/>
      <c r="Q154" s="397"/>
      <c r="R154" s="397"/>
      <c r="S154" s="397"/>
      <c r="T154" s="397"/>
      <c r="U154" s="1998"/>
      <c r="AC154" s="1965"/>
      <c r="AD154" s="1965"/>
      <c r="AE154" s="1965"/>
      <c r="AF154" s="1965"/>
      <c r="AG154" s="1965"/>
      <c r="AH154" s="1965"/>
      <c r="AI154" s="1965"/>
      <c r="AJ154" s="1965"/>
    </row>
    <row r="155" spans="1:36" s="395" customFormat="1">
      <c r="A155" s="3020"/>
      <c r="B155" s="3816"/>
      <c r="C155" s="397" t="s">
        <v>2445</v>
      </c>
      <c r="D155" s="1487">
        <v>3658</v>
      </c>
      <c r="E155" s="2039" t="s">
        <v>1197</v>
      </c>
      <c r="F155" s="1489"/>
      <c r="G155" s="1487"/>
      <c r="H155" s="1487"/>
      <c r="I155" s="1487"/>
      <c r="J155" s="1487"/>
      <c r="K155" s="397"/>
      <c r="L155" s="397"/>
      <c r="M155" s="397"/>
      <c r="N155" s="1487"/>
      <c r="O155" s="397"/>
      <c r="P155" s="397"/>
      <c r="Q155" s="397"/>
      <c r="R155" s="397"/>
      <c r="S155" s="397"/>
      <c r="T155" s="397"/>
      <c r="U155" s="1998"/>
      <c r="AC155" s="1965"/>
      <c r="AD155" s="1965"/>
      <c r="AE155" s="1965"/>
      <c r="AF155" s="1965"/>
      <c r="AG155" s="1965"/>
      <c r="AH155" s="1965"/>
      <c r="AI155" s="1965"/>
      <c r="AJ155" s="1965"/>
    </row>
    <row r="156" spans="1:36" s="395" customFormat="1">
      <c r="A156" s="3020"/>
      <c r="B156" s="3816"/>
      <c r="C156" s="397"/>
      <c r="D156" s="2042">
        <f>SUM(D153:D155)</f>
        <v>20499.71</v>
      </c>
      <c r="E156" s="1487"/>
      <c r="F156" s="1489"/>
      <c r="G156" s="1487"/>
      <c r="H156" s="1487"/>
      <c r="I156" s="1487"/>
      <c r="J156" s="1487"/>
      <c r="K156" s="397"/>
      <c r="L156" s="397"/>
      <c r="M156" s="397"/>
      <c r="N156" s="1487"/>
      <c r="O156" s="397"/>
      <c r="P156" s="397"/>
      <c r="Q156" s="397"/>
      <c r="R156" s="397"/>
      <c r="S156" s="397"/>
      <c r="T156" s="397"/>
      <c r="U156" s="1998"/>
      <c r="AC156" s="1965"/>
      <c r="AD156" s="1965"/>
      <c r="AE156" s="1965"/>
      <c r="AF156" s="1965"/>
      <c r="AG156" s="1965"/>
      <c r="AH156" s="1965"/>
      <c r="AI156" s="1965"/>
      <c r="AJ156" s="1965"/>
    </row>
    <row r="157" spans="1:36" s="395" customFormat="1">
      <c r="A157" s="3020">
        <v>2009</v>
      </c>
      <c r="B157" s="3816"/>
      <c r="C157" s="397" t="s">
        <v>2446</v>
      </c>
      <c r="D157" s="1487">
        <v>5966.27</v>
      </c>
      <c r="E157" s="2039" t="s">
        <v>1197</v>
      </c>
      <c r="F157" s="1489">
        <f>D160/5</f>
        <v>2191.8160000000003</v>
      </c>
      <c r="G157" s="1487">
        <v>0</v>
      </c>
      <c r="H157" s="1487">
        <v>0</v>
      </c>
      <c r="I157" s="1487">
        <v>0</v>
      </c>
      <c r="J157" s="1487">
        <v>2191.8200000000002</v>
      </c>
      <c r="K157" s="1487">
        <v>2191.8200000000002</v>
      </c>
      <c r="L157" s="1487">
        <v>2191.8200000000002</v>
      </c>
      <c r="M157" s="1487">
        <v>2191.8200000000002</v>
      </c>
      <c r="N157" s="1487">
        <v>2191.8200000000002</v>
      </c>
      <c r="O157" s="397"/>
      <c r="P157" s="397"/>
      <c r="Q157" s="397"/>
      <c r="R157" s="397"/>
      <c r="S157" s="397"/>
      <c r="T157" s="397"/>
      <c r="U157" s="1998"/>
      <c r="AC157" s="1965"/>
      <c r="AD157" s="1965"/>
      <c r="AE157" s="1965"/>
      <c r="AF157" s="1965"/>
      <c r="AG157" s="1965"/>
      <c r="AH157" s="1965"/>
      <c r="AI157" s="1965"/>
      <c r="AJ157" s="1965"/>
    </row>
    <row r="158" spans="1:36" s="395" customFormat="1">
      <c r="A158" s="3020"/>
      <c r="B158" s="3816"/>
      <c r="C158" s="397" t="s">
        <v>2447</v>
      </c>
      <c r="D158" s="1487">
        <v>3260.86</v>
      </c>
      <c r="E158" s="2039" t="s">
        <v>1197</v>
      </c>
      <c r="F158" s="1489"/>
      <c r="G158" s="1487"/>
      <c r="H158" s="1487"/>
      <c r="I158" s="1487"/>
      <c r="J158" s="1487"/>
      <c r="K158" s="1487"/>
      <c r="L158" s="1487"/>
      <c r="M158" s="1487"/>
      <c r="N158" s="1487"/>
      <c r="O158" s="397"/>
      <c r="P158" s="397"/>
      <c r="Q158" s="397"/>
      <c r="R158" s="397"/>
      <c r="S158" s="397"/>
      <c r="T158" s="397"/>
      <c r="U158" s="1998"/>
      <c r="AC158" s="1965"/>
      <c r="AD158" s="1965"/>
      <c r="AE158" s="1965"/>
      <c r="AF158" s="1965"/>
      <c r="AG158" s="1965"/>
      <c r="AH158" s="1965"/>
      <c r="AI158" s="1965"/>
      <c r="AJ158" s="1965"/>
    </row>
    <row r="159" spans="1:36" s="395" customFormat="1">
      <c r="A159" s="3020"/>
      <c r="B159" s="3816"/>
      <c r="C159" s="397" t="s">
        <v>1199</v>
      </c>
      <c r="D159" s="1487">
        <v>1731.95</v>
      </c>
      <c r="E159" s="2039" t="s">
        <v>1197</v>
      </c>
      <c r="F159" s="1489"/>
      <c r="G159" s="1487"/>
      <c r="H159" s="1487"/>
      <c r="I159" s="1487"/>
      <c r="J159" s="1487"/>
      <c r="K159" s="397"/>
      <c r="L159" s="397"/>
      <c r="M159" s="397"/>
      <c r="N159" s="1487"/>
      <c r="O159" s="397"/>
      <c r="P159" s="397"/>
      <c r="Q159" s="397"/>
      <c r="R159" s="397"/>
      <c r="S159" s="397"/>
      <c r="T159" s="397"/>
      <c r="U159" s="1998"/>
      <c r="AC159" s="1965"/>
      <c r="AD159" s="1965"/>
      <c r="AE159" s="1965"/>
      <c r="AF159" s="1965"/>
      <c r="AG159" s="1965"/>
      <c r="AH159" s="1965"/>
      <c r="AI159" s="1965"/>
      <c r="AJ159" s="1965"/>
    </row>
    <row r="160" spans="1:36" s="395" customFormat="1">
      <c r="A160" s="3020"/>
      <c r="B160" s="3816"/>
      <c r="C160" s="397"/>
      <c r="D160" s="2042">
        <f>SUM(D157:D159)</f>
        <v>10959.080000000002</v>
      </c>
      <c r="E160" s="1487"/>
      <c r="F160" s="1489"/>
      <c r="G160" s="1487"/>
      <c r="H160" s="1487"/>
      <c r="I160" s="1487"/>
      <c r="J160" s="1487"/>
      <c r="K160" s="397"/>
      <c r="L160" s="397"/>
      <c r="M160" s="397"/>
      <c r="N160" s="1487"/>
      <c r="O160" s="397"/>
      <c r="P160" s="397"/>
      <c r="Q160" s="397"/>
      <c r="R160" s="397"/>
      <c r="S160" s="397"/>
      <c r="T160" s="397"/>
      <c r="U160" s="1998"/>
      <c r="AC160" s="1965"/>
      <c r="AD160" s="1965"/>
      <c r="AE160" s="1965"/>
      <c r="AF160" s="1965"/>
      <c r="AG160" s="1965"/>
      <c r="AH160" s="1965"/>
      <c r="AI160" s="1965"/>
      <c r="AJ160" s="1965"/>
    </row>
    <row r="161" spans="1:36" s="395" customFormat="1">
      <c r="A161" s="3020">
        <v>2008</v>
      </c>
      <c r="B161" s="3816"/>
      <c r="C161" s="397" t="s">
        <v>1612</v>
      </c>
      <c r="D161" s="1487">
        <v>3000</v>
      </c>
      <c r="E161" s="2039" t="s">
        <v>1197</v>
      </c>
      <c r="F161" s="1489">
        <f>D166/5</f>
        <v>969.6</v>
      </c>
      <c r="G161" s="1487">
        <v>0</v>
      </c>
      <c r="H161" s="1487">
        <v>0</v>
      </c>
      <c r="I161" s="1487">
        <v>969.6</v>
      </c>
      <c r="J161" s="1487">
        <v>969.6</v>
      </c>
      <c r="K161" s="1487">
        <v>969.6</v>
      </c>
      <c r="L161" s="1487">
        <v>969.6</v>
      </c>
      <c r="M161" s="1487">
        <v>969.6</v>
      </c>
      <c r="N161" s="1487"/>
      <c r="O161" s="397"/>
      <c r="P161" s="397"/>
      <c r="Q161" s="397"/>
      <c r="R161" s="397"/>
      <c r="S161" s="397"/>
      <c r="T161" s="397"/>
      <c r="U161" s="1998"/>
      <c r="AC161" s="1965"/>
      <c r="AD161" s="1965"/>
      <c r="AE161" s="1965"/>
      <c r="AF161" s="1965"/>
      <c r="AG161" s="1965"/>
      <c r="AH161" s="1965"/>
      <c r="AI161" s="1965"/>
      <c r="AJ161" s="1965"/>
    </row>
    <row r="162" spans="1:36" s="395" customFormat="1">
      <c r="A162" s="3020"/>
      <c r="B162" s="3816"/>
      <c r="C162" s="397" t="s">
        <v>2448</v>
      </c>
      <c r="D162" s="1487">
        <v>600</v>
      </c>
      <c r="E162" s="2039" t="s">
        <v>1197</v>
      </c>
      <c r="F162" s="1489"/>
      <c r="G162" s="1487"/>
      <c r="H162" s="1487"/>
      <c r="I162" s="1487"/>
      <c r="J162" s="1487"/>
      <c r="K162" s="397"/>
      <c r="L162" s="397"/>
      <c r="M162" s="397"/>
      <c r="N162" s="1487"/>
      <c r="O162" s="397"/>
      <c r="P162" s="397"/>
      <c r="Q162" s="397"/>
      <c r="R162" s="397"/>
      <c r="S162" s="397"/>
      <c r="T162" s="397"/>
      <c r="U162" s="1998"/>
      <c r="AC162" s="1965"/>
      <c r="AD162" s="1965"/>
      <c r="AE162" s="1965"/>
      <c r="AF162" s="1965"/>
      <c r="AG162" s="1965"/>
      <c r="AH162" s="1965"/>
      <c r="AI162" s="1965"/>
      <c r="AJ162" s="1965"/>
    </row>
    <row r="163" spans="1:36" s="395" customFormat="1">
      <c r="A163" s="3020"/>
      <c r="B163" s="3816"/>
      <c r="C163" s="397" t="s">
        <v>2449</v>
      </c>
      <c r="D163" s="1487">
        <v>617</v>
      </c>
      <c r="E163" s="2039" t="s">
        <v>1197</v>
      </c>
      <c r="F163" s="1489"/>
      <c r="G163" s="1487"/>
      <c r="H163" s="1487"/>
      <c r="I163" s="1487"/>
      <c r="J163" s="1487"/>
      <c r="K163" s="397"/>
      <c r="L163" s="397"/>
      <c r="M163" s="397"/>
      <c r="N163" s="1487"/>
      <c r="O163" s="397"/>
      <c r="P163" s="397"/>
      <c r="Q163" s="397"/>
      <c r="R163" s="397"/>
      <c r="S163" s="397"/>
      <c r="T163" s="397"/>
      <c r="U163" s="1998"/>
      <c r="AC163" s="1965"/>
      <c r="AD163" s="1965"/>
      <c r="AE163" s="1965"/>
      <c r="AF163" s="1965"/>
      <c r="AG163" s="1965"/>
      <c r="AH163" s="1965"/>
      <c r="AI163" s="1965"/>
      <c r="AJ163" s="1965"/>
    </row>
    <row r="164" spans="1:36" s="395" customFormat="1">
      <c r="A164" s="3020"/>
      <c r="B164" s="3816"/>
      <c r="C164" s="397" t="s">
        <v>2322</v>
      </c>
      <c r="D164" s="1487">
        <v>144</v>
      </c>
      <c r="E164" s="2039" t="s">
        <v>1197</v>
      </c>
      <c r="F164" s="1489"/>
      <c r="G164" s="1487"/>
      <c r="H164" s="1487"/>
      <c r="I164" s="1487"/>
      <c r="J164" s="1487"/>
      <c r="K164" s="397"/>
      <c r="L164" s="397"/>
      <c r="M164" s="397"/>
      <c r="N164" s="1487"/>
      <c r="O164" s="397"/>
      <c r="P164" s="397"/>
      <c r="Q164" s="397"/>
      <c r="R164" s="397"/>
      <c r="S164" s="397"/>
      <c r="T164" s="397"/>
      <c r="U164" s="1998"/>
      <c r="AC164" s="1965"/>
      <c r="AD164" s="1965"/>
      <c r="AE164" s="1965"/>
      <c r="AF164" s="1965"/>
      <c r="AG164" s="1965"/>
      <c r="AH164" s="1965"/>
      <c r="AI164" s="1965"/>
      <c r="AJ164" s="1965"/>
    </row>
    <row r="165" spans="1:36" s="395" customFormat="1">
      <c r="A165" s="3020"/>
      <c r="B165" s="3816"/>
      <c r="C165" s="397" t="s">
        <v>2450</v>
      </c>
      <c r="D165" s="1487">
        <v>487</v>
      </c>
      <c r="E165" s="2039" t="s">
        <v>1197</v>
      </c>
      <c r="F165" s="1489"/>
      <c r="G165" s="1487"/>
      <c r="H165" s="1487"/>
      <c r="I165" s="1487"/>
      <c r="J165" s="1487"/>
      <c r="K165" s="397"/>
      <c r="L165" s="397"/>
      <c r="M165" s="397"/>
      <c r="N165" s="1487"/>
      <c r="O165" s="397"/>
      <c r="P165" s="397"/>
      <c r="Q165" s="397"/>
      <c r="R165" s="397"/>
      <c r="S165" s="397"/>
      <c r="T165" s="397"/>
      <c r="U165" s="1998"/>
      <c r="AC165" s="1965"/>
      <c r="AD165" s="1965"/>
      <c r="AE165" s="1965"/>
      <c r="AF165" s="1965"/>
      <c r="AG165" s="1965"/>
      <c r="AH165" s="1965"/>
      <c r="AI165" s="1965"/>
      <c r="AJ165" s="1965"/>
    </row>
    <row r="166" spans="1:36" s="395" customFormat="1">
      <c r="A166" s="3020"/>
      <c r="B166" s="3816"/>
      <c r="C166" s="397"/>
      <c r="D166" s="2042">
        <f>SUM(D161:D165)</f>
        <v>4848</v>
      </c>
      <c r="E166" s="2039"/>
      <c r="F166" s="1489"/>
      <c r="G166" s="1487"/>
      <c r="H166" s="1487"/>
      <c r="I166" s="1487"/>
      <c r="J166" s="1487"/>
      <c r="K166" s="1487"/>
      <c r="L166" s="1487"/>
      <c r="M166" s="1487"/>
      <c r="N166" s="1487"/>
      <c r="O166" s="1487"/>
      <c r="P166" s="1487"/>
      <c r="Q166" s="1487"/>
      <c r="R166" s="397"/>
      <c r="S166" s="397"/>
      <c r="T166" s="397"/>
      <c r="U166" s="1998"/>
      <c r="AC166" s="1965"/>
      <c r="AD166" s="1965"/>
      <c r="AE166" s="1965"/>
      <c r="AF166" s="1965"/>
      <c r="AG166" s="1965"/>
      <c r="AH166" s="1965"/>
      <c r="AI166" s="1965"/>
      <c r="AJ166" s="1965"/>
    </row>
    <row r="167" spans="1:36" s="395" customFormat="1">
      <c r="A167" s="3020">
        <v>2007</v>
      </c>
      <c r="B167" s="3816"/>
      <c r="C167" s="397" t="s">
        <v>2451</v>
      </c>
      <c r="D167" s="1487">
        <v>2000</v>
      </c>
      <c r="E167" s="2039" t="s">
        <v>1197</v>
      </c>
      <c r="F167" s="1489">
        <f>(D167+D168)/5</f>
        <v>561.6</v>
      </c>
      <c r="G167" s="1487">
        <v>0</v>
      </c>
      <c r="H167" s="1487">
        <v>561.6</v>
      </c>
      <c r="I167" s="1487">
        <v>561.6</v>
      </c>
      <c r="J167" s="1487">
        <v>561.6</v>
      </c>
      <c r="K167" s="1487">
        <v>561.6</v>
      </c>
      <c r="L167" s="1487">
        <v>561.6</v>
      </c>
      <c r="M167" s="1487"/>
      <c r="N167" s="1487"/>
      <c r="O167" s="1487"/>
      <c r="P167" s="1487"/>
      <c r="Q167" s="397"/>
      <c r="R167" s="397"/>
      <c r="S167" s="397"/>
      <c r="T167" s="397"/>
      <c r="U167" s="1998"/>
      <c r="AC167" s="1965"/>
      <c r="AD167" s="1965"/>
      <c r="AE167" s="1965"/>
      <c r="AF167" s="1965"/>
      <c r="AG167" s="1965"/>
      <c r="AH167" s="1965"/>
      <c r="AI167" s="1965"/>
      <c r="AJ167" s="1965"/>
    </row>
    <row r="168" spans="1:36" s="395" customFormat="1">
      <c r="A168" s="3020"/>
      <c r="B168" s="3816"/>
      <c r="C168" s="397" t="s">
        <v>2452</v>
      </c>
      <c r="D168" s="1487">
        <v>808</v>
      </c>
      <c r="E168" s="2039" t="s">
        <v>1197</v>
      </c>
      <c r="F168" s="1489"/>
      <c r="G168" s="1487"/>
      <c r="H168" s="1487"/>
      <c r="I168" s="1487"/>
      <c r="J168" s="1487"/>
      <c r="K168" s="397"/>
      <c r="L168" s="397"/>
      <c r="M168" s="397"/>
      <c r="N168" s="1487"/>
      <c r="O168" s="397"/>
      <c r="P168" s="397"/>
      <c r="Q168" s="397"/>
      <c r="R168" s="397"/>
      <c r="S168" s="397"/>
      <c r="T168" s="397"/>
      <c r="U168" s="1998"/>
      <c r="AC168" s="1965"/>
      <c r="AD168" s="1965"/>
      <c r="AE168" s="1965"/>
      <c r="AF168" s="1965"/>
      <c r="AG168" s="1965"/>
      <c r="AH168" s="1965"/>
      <c r="AI168" s="1965"/>
      <c r="AJ168" s="1965"/>
    </row>
    <row r="169" spans="1:36" s="395" customFormat="1">
      <c r="A169" s="3020"/>
      <c r="B169" s="3816"/>
      <c r="C169" s="397"/>
      <c r="D169" s="2042">
        <f>SUM(D167:D168)</f>
        <v>2808</v>
      </c>
      <c r="E169" s="1487"/>
      <c r="F169" s="1489"/>
      <c r="G169" s="1487"/>
      <c r="H169" s="1487"/>
      <c r="I169" s="1487"/>
      <c r="J169" s="1487"/>
      <c r="K169" s="397"/>
      <c r="L169" s="397"/>
      <c r="M169" s="397"/>
      <c r="N169" s="1487"/>
      <c r="O169" s="397"/>
      <c r="P169" s="397"/>
      <c r="Q169" s="397"/>
      <c r="R169" s="397"/>
      <c r="S169" s="397"/>
      <c r="T169" s="397"/>
      <c r="U169" s="1998"/>
      <c r="AC169" s="1965"/>
      <c r="AD169" s="1965"/>
      <c r="AE169" s="1965"/>
      <c r="AF169" s="1965"/>
      <c r="AG169" s="1965"/>
      <c r="AH169" s="1965"/>
      <c r="AI169" s="1965"/>
      <c r="AJ169" s="1965"/>
    </row>
    <row r="170" spans="1:36" s="395" customFormat="1">
      <c r="A170" s="3023"/>
      <c r="B170" s="3817"/>
      <c r="C170" s="2022" t="s">
        <v>1201</v>
      </c>
      <c r="D170" s="2010"/>
      <c r="E170" s="2010"/>
      <c r="F170" s="2011"/>
      <c r="G170" s="2009">
        <f>SUM(G147:G169)</f>
        <v>0</v>
      </c>
      <c r="H170" s="2009">
        <f>SUM(H147:H169)</f>
        <v>561.6</v>
      </c>
      <c r="I170" s="2009">
        <f>SUM(I147:I169)</f>
        <v>1531.2</v>
      </c>
      <c r="J170" s="2009">
        <f>SUM(J147:J169)</f>
        <v>3723.02</v>
      </c>
      <c r="K170" s="2009">
        <f>SUM(K147:K169)</f>
        <v>7822.9600000000009</v>
      </c>
      <c r="L170" s="2009">
        <f t="shared" ref="L170:U170" si="21">SUM(L120:L169)</f>
        <v>12090.817999999999</v>
      </c>
      <c r="M170" s="2009">
        <f t="shared" si="21"/>
        <v>22561.127999999997</v>
      </c>
      <c r="N170" s="2009">
        <f t="shared" si="21"/>
        <v>26590.309999999998</v>
      </c>
      <c r="O170" s="2009">
        <f t="shared" si="21"/>
        <v>27209.503999999997</v>
      </c>
      <c r="P170" s="2009">
        <f t="shared" si="21"/>
        <v>23714.563999999998</v>
      </c>
      <c r="Q170" s="2009">
        <f t="shared" si="21"/>
        <v>36629.78866666666</v>
      </c>
      <c r="R170" s="2009">
        <f t="shared" si="21"/>
        <v>59553.157333333336</v>
      </c>
      <c r="S170" s="2009">
        <f t="shared" si="21"/>
        <v>61572.625333333322</v>
      </c>
      <c r="T170" s="2009">
        <f t="shared" si="21"/>
        <v>62468.911333333323</v>
      </c>
      <c r="U170" s="2070">
        <f t="shared" si="21"/>
        <v>63282.101333333325</v>
      </c>
      <c r="AC170" s="1965"/>
      <c r="AD170" s="1965"/>
      <c r="AE170" s="1965"/>
      <c r="AF170" s="1965"/>
      <c r="AG170" s="1965"/>
      <c r="AH170" s="1965"/>
      <c r="AI170" s="1965"/>
      <c r="AJ170" s="1965"/>
    </row>
    <row r="171" spans="1:36" s="395" customFormat="1">
      <c r="A171" s="1633"/>
      <c r="B171" s="1633"/>
      <c r="D171" s="1965"/>
      <c r="E171" s="1965"/>
      <c r="F171" s="1965"/>
      <c r="G171" s="1965"/>
      <c r="H171" s="1965"/>
      <c r="I171" s="1965"/>
      <c r="J171" s="1965"/>
      <c r="N171" s="1965"/>
      <c r="AC171" s="1965"/>
      <c r="AD171" s="1965"/>
      <c r="AE171" s="1965"/>
      <c r="AF171" s="1965"/>
      <c r="AG171" s="1965"/>
      <c r="AH171" s="1965"/>
      <c r="AI171" s="1965"/>
      <c r="AJ171" s="1965"/>
    </row>
    <row r="172" spans="1:36" s="395" customFormat="1">
      <c r="A172" s="3013" t="s">
        <v>7068</v>
      </c>
      <c r="B172" s="3013"/>
      <c r="D172" s="1965"/>
      <c r="E172" s="1965"/>
      <c r="F172" s="1965"/>
      <c r="G172" s="1965"/>
      <c r="H172" s="1965"/>
      <c r="I172" s="1965"/>
      <c r="J172" s="1965"/>
      <c r="N172" s="1965"/>
      <c r="AA172" s="1965"/>
      <c r="AB172" s="1965"/>
      <c r="AC172" s="1965"/>
      <c r="AD172" s="1965"/>
      <c r="AE172" s="1965"/>
      <c r="AF172" s="1965"/>
      <c r="AG172" s="1965"/>
      <c r="AH172" s="1965"/>
      <c r="AI172" s="1965"/>
      <c r="AJ172" s="1965"/>
    </row>
    <row r="173" spans="1:36" s="395" customFormat="1">
      <c r="A173" s="1633"/>
      <c r="B173" s="1633"/>
      <c r="D173" s="1965"/>
      <c r="E173" s="1965"/>
      <c r="F173" s="1965"/>
      <c r="G173" s="1965"/>
      <c r="H173" s="1965"/>
      <c r="I173" s="1965"/>
      <c r="J173" s="1965"/>
      <c r="N173" s="1965"/>
      <c r="AA173" s="1965"/>
      <c r="AB173" s="1965"/>
      <c r="AC173" s="1965"/>
      <c r="AD173" s="1965"/>
      <c r="AE173" s="1965"/>
      <c r="AF173" s="1965"/>
      <c r="AG173" s="1965"/>
      <c r="AH173" s="1965"/>
      <c r="AI173" s="1965"/>
      <c r="AJ173" s="1965"/>
    </row>
    <row r="174" spans="1:36" s="395" customFormat="1">
      <c r="A174" s="2051" t="s">
        <v>623</v>
      </c>
      <c r="B174" s="2052"/>
      <c r="C174" s="2052" t="s">
        <v>1002</v>
      </c>
      <c r="D174" s="2054"/>
      <c r="E174" s="2054"/>
      <c r="F174" s="2054"/>
      <c r="G174" s="3024">
        <v>2007</v>
      </c>
      <c r="H174" s="3024">
        <v>2008</v>
      </c>
      <c r="I174" s="3024">
        <v>2009</v>
      </c>
      <c r="J174" s="3024">
        <v>2010</v>
      </c>
      <c r="K174" s="3024">
        <v>2011</v>
      </c>
      <c r="L174" s="3024">
        <v>2012</v>
      </c>
      <c r="M174" s="3024">
        <v>2013</v>
      </c>
      <c r="N174" s="3024">
        <v>2014</v>
      </c>
      <c r="O174" s="3024">
        <v>2015</v>
      </c>
      <c r="P174" s="3024">
        <v>2016</v>
      </c>
      <c r="Q174" s="3024">
        <v>2017</v>
      </c>
      <c r="R174" s="3024">
        <v>2018</v>
      </c>
      <c r="S174" s="3024">
        <v>2019</v>
      </c>
      <c r="T174" s="3024">
        <v>2020</v>
      </c>
      <c r="U174" s="3025">
        <v>2021</v>
      </c>
      <c r="X174" s="1633"/>
      <c r="Y174" s="1633"/>
      <c r="Z174" s="1633"/>
      <c r="AA174" s="1965"/>
      <c r="AB174" s="1965"/>
      <c r="AC174" s="1965"/>
      <c r="AD174" s="1965"/>
      <c r="AE174" s="1965"/>
      <c r="AF174" s="1965"/>
      <c r="AG174" s="1965"/>
      <c r="AH174" s="1965"/>
      <c r="AI174" s="1965"/>
      <c r="AJ174" s="1965"/>
    </row>
    <row r="175" spans="1:36" s="395" customFormat="1">
      <c r="A175" s="1984" t="s">
        <v>1003</v>
      </c>
      <c r="B175" s="1985"/>
      <c r="C175" s="1986"/>
      <c r="D175" s="1986"/>
      <c r="E175" s="1986"/>
      <c r="F175" s="1986"/>
      <c r="G175" s="1987"/>
      <c r="H175" s="1987"/>
      <c r="I175" s="1987"/>
      <c r="J175" s="1987"/>
      <c r="K175" s="1987"/>
      <c r="L175" s="1987"/>
      <c r="M175" s="1987"/>
      <c r="N175" s="1986"/>
      <c r="O175" s="1986"/>
      <c r="P175" s="1986"/>
      <c r="Q175" s="1987"/>
      <c r="R175" s="1986"/>
      <c r="S175" s="1986"/>
      <c r="T175" s="1986"/>
      <c r="U175" s="3015"/>
      <c r="AA175" s="1965"/>
      <c r="AB175" s="1965"/>
      <c r="AC175" s="1965"/>
      <c r="AD175" s="1965"/>
      <c r="AE175" s="1965"/>
      <c r="AF175" s="1965"/>
      <c r="AG175" s="1965"/>
      <c r="AH175" s="1965"/>
      <c r="AI175" s="1965"/>
      <c r="AJ175" s="1965"/>
    </row>
    <row r="176" spans="1:36" s="395" customFormat="1">
      <c r="A176" s="2048" t="s">
        <v>1202</v>
      </c>
      <c r="B176" s="1999"/>
      <c r="C176" s="397"/>
      <c r="D176" s="397"/>
      <c r="E176" s="397"/>
      <c r="F176" s="397"/>
      <c r="G176" s="1487"/>
      <c r="H176" s="1487"/>
      <c r="I176" s="1487"/>
      <c r="J176" s="1487"/>
      <c r="K176" s="1487"/>
      <c r="L176" s="1487"/>
      <c r="M176" s="1487"/>
      <c r="N176" s="397"/>
      <c r="O176" s="397"/>
      <c r="P176" s="397"/>
      <c r="Q176" s="1487"/>
      <c r="R176" s="397"/>
      <c r="S176" s="397"/>
      <c r="T176" s="397"/>
      <c r="U176" s="1487"/>
      <c r="AA176" s="1965"/>
      <c r="AB176" s="1965"/>
      <c r="AC176" s="1965"/>
      <c r="AD176" s="1965"/>
      <c r="AE176" s="1965"/>
      <c r="AF176" s="1965"/>
      <c r="AG176" s="1965"/>
      <c r="AH176" s="1965"/>
      <c r="AI176" s="1965"/>
      <c r="AJ176" s="1965"/>
    </row>
    <row r="177" spans="1:36" s="395" customFormat="1">
      <c r="A177" s="1997" t="s">
        <v>2453</v>
      </c>
      <c r="B177" s="583"/>
      <c r="C177" s="397" t="s">
        <v>1204</v>
      </c>
      <c r="D177" s="397"/>
      <c r="E177" s="397"/>
      <c r="F177" s="397"/>
      <c r="G177" s="1487">
        <v>0</v>
      </c>
      <c r="H177" s="1487">
        <v>0</v>
      </c>
      <c r="I177" s="1487">
        <v>28.74</v>
      </c>
      <c r="J177" s="1487">
        <v>0</v>
      </c>
      <c r="K177" s="1487">
        <v>8.76</v>
      </c>
      <c r="L177" s="1487">
        <v>0</v>
      </c>
      <c r="M177" s="1487">
        <v>0</v>
      </c>
      <c r="N177" s="1487"/>
      <c r="O177" s="1487"/>
      <c r="P177" s="1487"/>
      <c r="Q177" s="1487"/>
      <c r="R177" s="397"/>
      <c r="S177" s="397"/>
      <c r="T177" s="397"/>
      <c r="U177" s="1487"/>
      <c r="AA177" s="1965"/>
      <c r="AB177" s="1965"/>
      <c r="AC177" s="1965"/>
      <c r="AD177" s="1965"/>
      <c r="AE177" s="1965"/>
      <c r="AF177" s="1965"/>
      <c r="AG177" s="1965"/>
      <c r="AH177" s="1965"/>
      <c r="AI177" s="1965"/>
      <c r="AJ177" s="1965"/>
    </row>
    <row r="178" spans="1:36" s="395" customFormat="1">
      <c r="A178" s="1997" t="s">
        <v>2454</v>
      </c>
      <c r="B178" s="583">
        <v>700170</v>
      </c>
      <c r="C178" s="397" t="s">
        <v>1219</v>
      </c>
      <c r="D178" s="397"/>
      <c r="E178" s="397"/>
      <c r="F178" s="397"/>
      <c r="G178" s="1487">
        <v>62704.47</v>
      </c>
      <c r="H178" s="1487">
        <v>70160.63</v>
      </c>
      <c r="I178" s="1487">
        <v>71862.41</v>
      </c>
      <c r="J178" s="1487">
        <v>69005.23</v>
      </c>
      <c r="K178" s="1487">
        <v>76852.73</v>
      </c>
      <c r="L178" s="1487">
        <v>76548.89</v>
      </c>
      <c r="M178" s="1487">
        <v>84818.35</v>
      </c>
      <c r="N178" s="1487">
        <v>87781.02</v>
      </c>
      <c r="O178" s="1487">
        <v>88542.93</v>
      </c>
      <c r="P178" s="1487">
        <v>90474.61</v>
      </c>
      <c r="Q178" s="1487">
        <v>91632.22</v>
      </c>
      <c r="R178" s="1487">
        <v>97002.84</v>
      </c>
      <c r="S178" s="1487">
        <v>100906.54</v>
      </c>
      <c r="T178" s="1487">
        <v>77182.83</v>
      </c>
      <c r="U178" s="1487">
        <v>114924.45</v>
      </c>
      <c r="AA178" s="1965"/>
      <c r="AB178" s="1965"/>
      <c r="AC178" s="1965"/>
      <c r="AD178" s="1965"/>
      <c r="AE178" s="1965"/>
      <c r="AF178" s="1965"/>
      <c r="AG178" s="1965"/>
      <c r="AH178" s="1965"/>
      <c r="AI178" s="1965"/>
      <c r="AJ178" s="1965"/>
    </row>
    <row r="179" spans="1:36" s="395" customFormat="1">
      <c r="A179" s="1997" t="s">
        <v>2455</v>
      </c>
      <c r="B179" s="583"/>
      <c r="C179" s="397" t="s">
        <v>1213</v>
      </c>
      <c r="D179" s="397"/>
      <c r="E179" s="397"/>
      <c r="F179" s="397"/>
      <c r="G179" s="1487">
        <v>2782.61</v>
      </c>
      <c r="H179" s="1487">
        <v>3594.36</v>
      </c>
      <c r="I179" s="1487">
        <v>5261.67</v>
      </c>
      <c r="J179" s="1487">
        <v>4333.58</v>
      </c>
      <c r="K179" s="1487">
        <v>4516.75</v>
      </c>
      <c r="L179" s="1487">
        <v>4251.45</v>
      </c>
      <c r="M179" s="1487">
        <v>4543.2</v>
      </c>
      <c r="N179" s="1487"/>
      <c r="O179" s="1487"/>
      <c r="P179" s="1487"/>
      <c r="Q179" s="1487"/>
      <c r="R179" s="397"/>
      <c r="S179" s="397"/>
      <c r="T179" s="397"/>
      <c r="U179" s="1487"/>
      <c r="AA179" s="1965"/>
      <c r="AB179" s="1965"/>
      <c r="AC179" s="1965"/>
      <c r="AD179" s="1965"/>
      <c r="AE179" s="1965"/>
      <c r="AF179" s="1965"/>
      <c r="AG179" s="1965"/>
      <c r="AH179" s="1965"/>
      <c r="AI179" s="1965"/>
      <c r="AJ179" s="1965"/>
    </row>
    <row r="180" spans="1:36" s="395" customFormat="1">
      <c r="A180" s="2046"/>
      <c r="B180" s="2064"/>
      <c r="C180" s="2047" t="s">
        <v>1221</v>
      </c>
      <c r="D180" s="3018"/>
      <c r="E180" s="3018"/>
      <c r="F180" s="3018"/>
      <c r="G180" s="2005">
        <f t="shared" ref="G180:U180" si="22">SUM(G177:G179)</f>
        <v>65487.08</v>
      </c>
      <c r="H180" s="2005">
        <f t="shared" si="22"/>
        <v>73754.990000000005</v>
      </c>
      <c r="I180" s="2005">
        <f t="shared" si="22"/>
        <v>77152.820000000007</v>
      </c>
      <c r="J180" s="2005">
        <f t="shared" si="22"/>
        <v>73338.81</v>
      </c>
      <c r="K180" s="2005">
        <f t="shared" si="22"/>
        <v>81378.239999999991</v>
      </c>
      <c r="L180" s="2005">
        <f t="shared" si="22"/>
        <v>80800.34</v>
      </c>
      <c r="M180" s="2005">
        <f t="shared" si="22"/>
        <v>89361.55</v>
      </c>
      <c r="N180" s="2005">
        <f t="shared" si="22"/>
        <v>87781.02</v>
      </c>
      <c r="O180" s="2005">
        <f t="shared" si="22"/>
        <v>88542.93</v>
      </c>
      <c r="P180" s="2005">
        <f t="shared" si="22"/>
        <v>90474.61</v>
      </c>
      <c r="Q180" s="2005">
        <f t="shared" si="22"/>
        <v>91632.22</v>
      </c>
      <c r="R180" s="2005">
        <f t="shared" si="22"/>
        <v>97002.84</v>
      </c>
      <c r="S180" s="2005">
        <f t="shared" si="22"/>
        <v>100906.54</v>
      </c>
      <c r="T180" s="2005">
        <f t="shared" si="22"/>
        <v>77182.83</v>
      </c>
      <c r="U180" s="3150">
        <f t="shared" si="22"/>
        <v>114924.45</v>
      </c>
      <c r="AA180" s="1965"/>
      <c r="AB180" s="1965"/>
      <c r="AC180" s="1965"/>
      <c r="AD180" s="1965"/>
      <c r="AE180" s="1965"/>
      <c r="AF180" s="1965"/>
      <c r="AG180" s="1965"/>
      <c r="AH180" s="1965"/>
      <c r="AI180" s="1965"/>
      <c r="AJ180" s="1965"/>
    </row>
    <row r="181" spans="1:36" s="395" customFormat="1">
      <c r="A181" s="2048" t="s">
        <v>1163</v>
      </c>
      <c r="B181" s="1999"/>
      <c r="C181" s="397"/>
      <c r="D181" s="397"/>
      <c r="E181" s="397"/>
      <c r="F181" s="397"/>
      <c r="G181" s="1487"/>
      <c r="H181" s="1487"/>
      <c r="I181" s="1487"/>
      <c r="J181" s="1487"/>
      <c r="K181" s="1487"/>
      <c r="L181" s="1487"/>
      <c r="M181" s="1487"/>
      <c r="N181" s="397"/>
      <c r="O181" s="397"/>
      <c r="P181" s="397"/>
      <c r="Q181" s="1487"/>
      <c r="R181" s="397"/>
      <c r="S181" s="397"/>
      <c r="T181" s="397"/>
      <c r="U181" s="1487"/>
      <c r="AA181" s="1965"/>
      <c r="AB181" s="1965"/>
      <c r="AC181" s="1965"/>
      <c r="AD181" s="1965"/>
      <c r="AE181" s="1965"/>
      <c r="AF181" s="1965"/>
      <c r="AG181" s="1965"/>
      <c r="AH181" s="1965"/>
      <c r="AI181" s="1965"/>
      <c r="AJ181" s="1965"/>
    </row>
    <row r="182" spans="1:36" s="395" customFormat="1">
      <c r="A182" s="1997" t="s">
        <v>2456</v>
      </c>
      <c r="B182" s="583"/>
      <c r="C182" s="397" t="s">
        <v>1404</v>
      </c>
      <c r="D182" s="397"/>
      <c r="E182" s="397"/>
      <c r="F182" s="397"/>
      <c r="G182" s="1487">
        <v>0</v>
      </c>
      <c r="H182" s="1487">
        <v>11197.41</v>
      </c>
      <c r="I182" s="1487">
        <v>8387.9500000000007</v>
      </c>
      <c r="J182" s="1487">
        <v>5181.37</v>
      </c>
      <c r="K182" s="1487">
        <v>773.95</v>
      </c>
      <c r="L182" s="1487">
        <v>0</v>
      </c>
      <c r="M182" s="1487">
        <v>0</v>
      </c>
      <c r="N182" s="397"/>
      <c r="O182" s="397"/>
      <c r="P182" s="397"/>
      <c r="Q182" s="1487"/>
      <c r="R182" s="397"/>
      <c r="S182" s="397"/>
      <c r="T182" s="397"/>
      <c r="U182" s="1487"/>
      <c r="AA182" s="1965"/>
      <c r="AB182" s="1965"/>
      <c r="AC182" s="1965"/>
      <c r="AD182" s="1965"/>
      <c r="AE182" s="1965"/>
      <c r="AF182" s="1965"/>
      <c r="AG182" s="1965"/>
      <c r="AH182" s="1965"/>
      <c r="AI182" s="1965"/>
      <c r="AJ182" s="1965"/>
    </row>
    <row r="183" spans="1:36" s="395" customFormat="1">
      <c r="A183" s="1997" t="s">
        <v>2457</v>
      </c>
      <c r="B183" s="583"/>
      <c r="C183" s="397" t="s">
        <v>2458</v>
      </c>
      <c r="D183" s="397"/>
      <c r="E183" s="397"/>
      <c r="F183" s="397"/>
      <c r="G183" s="1487">
        <v>8537.5300000000007</v>
      </c>
      <c r="H183" s="1487">
        <v>15548.38</v>
      </c>
      <c r="I183" s="1487">
        <v>28991.66</v>
      </c>
      <c r="J183" s="1487">
        <v>23568.06</v>
      </c>
      <c r="K183" s="1487">
        <v>23382.45</v>
      </c>
      <c r="L183" s="1487">
        <v>19246.939999999999</v>
      </c>
      <c r="M183" s="1487">
        <v>24843.26</v>
      </c>
      <c r="N183" s="1487">
        <v>24819.79</v>
      </c>
      <c r="O183" s="1487"/>
      <c r="P183" s="1487"/>
      <c r="Q183" s="1487"/>
      <c r="R183" s="397"/>
      <c r="S183" s="397"/>
      <c r="T183" s="397"/>
      <c r="U183" s="1487"/>
      <c r="AA183" s="1965"/>
      <c r="AB183" s="1965"/>
      <c r="AC183" s="1965"/>
      <c r="AD183" s="1965"/>
      <c r="AE183" s="1965"/>
      <c r="AF183" s="1965"/>
      <c r="AG183" s="1965"/>
      <c r="AH183" s="1965"/>
      <c r="AI183" s="1965"/>
      <c r="AJ183" s="1965"/>
    </row>
    <row r="184" spans="1:36" s="395" customFormat="1">
      <c r="A184" s="1997" t="s">
        <v>2459</v>
      </c>
      <c r="B184" s="583">
        <v>740880</v>
      </c>
      <c r="C184" s="397" t="s">
        <v>1225</v>
      </c>
      <c r="D184" s="397"/>
      <c r="E184" s="397"/>
      <c r="F184" s="397"/>
      <c r="G184" s="1487">
        <v>51094.7</v>
      </c>
      <c r="H184" s="1487">
        <v>10498.22</v>
      </c>
      <c r="I184" s="1487">
        <v>39753.78</v>
      </c>
      <c r="J184" s="1487">
        <v>40626.550000000003</v>
      </c>
      <c r="K184" s="1487">
        <v>41046.58</v>
      </c>
      <c r="L184" s="1487">
        <v>52626.07</v>
      </c>
      <c r="M184" s="1487">
        <v>36957.39</v>
      </c>
      <c r="N184" s="1487">
        <v>74421.45</v>
      </c>
      <c r="O184" s="1487">
        <v>62022.12</v>
      </c>
      <c r="P184" s="1487">
        <v>201557.82</v>
      </c>
      <c r="Q184" s="1487">
        <v>241131.09</v>
      </c>
      <c r="R184" s="1487">
        <v>245125.65</v>
      </c>
      <c r="S184" s="1487">
        <v>256498.97</v>
      </c>
      <c r="T184" s="1487">
        <f>353102.69+1366.88</f>
        <v>354469.57</v>
      </c>
      <c r="U184" s="1487">
        <v>287689.07</v>
      </c>
      <c r="AA184" s="1965"/>
      <c r="AB184" s="1965"/>
      <c r="AC184" s="1965"/>
      <c r="AD184" s="1965"/>
      <c r="AE184" s="1965"/>
      <c r="AF184" s="1965"/>
      <c r="AG184" s="1965"/>
      <c r="AH184" s="1965"/>
      <c r="AI184" s="1965"/>
      <c r="AJ184" s="1965"/>
    </row>
    <row r="185" spans="1:36" s="395" customFormat="1">
      <c r="A185" s="1997" t="s">
        <v>2460</v>
      </c>
      <c r="B185" s="583"/>
      <c r="C185" s="397" t="s">
        <v>1407</v>
      </c>
      <c r="D185" s="397"/>
      <c r="E185" s="397"/>
      <c r="F185" s="397"/>
      <c r="G185" s="1487">
        <v>143384</v>
      </c>
      <c r="H185" s="1487">
        <v>142197.92000000001</v>
      </c>
      <c r="I185" s="1487">
        <v>101621.33</v>
      </c>
      <c r="J185" s="1487">
        <v>96838.06</v>
      </c>
      <c r="K185" s="1487">
        <v>101490.59</v>
      </c>
      <c r="L185" s="1487">
        <v>97213.42</v>
      </c>
      <c r="M185" s="1487">
        <v>100314.21</v>
      </c>
      <c r="N185" s="1487">
        <v>100111.22</v>
      </c>
      <c r="O185" s="1487">
        <v>102207.36</v>
      </c>
      <c r="P185" s="1487"/>
      <c r="Q185" s="1487"/>
      <c r="R185" s="397"/>
      <c r="S185" s="1487"/>
      <c r="T185" s="1487"/>
      <c r="U185" s="1487"/>
      <c r="AA185" s="1965"/>
      <c r="AB185" s="1965"/>
      <c r="AC185" s="1965"/>
      <c r="AD185" s="1965"/>
      <c r="AE185" s="1965"/>
      <c r="AF185" s="1965"/>
      <c r="AG185" s="1965"/>
      <c r="AH185" s="1965"/>
      <c r="AI185" s="1965"/>
      <c r="AJ185" s="1965"/>
    </row>
    <row r="186" spans="1:36" s="395" customFormat="1">
      <c r="A186" s="1997" t="s">
        <v>2461</v>
      </c>
      <c r="B186" s="583">
        <v>745000</v>
      </c>
      <c r="C186" s="397" t="s">
        <v>1209</v>
      </c>
      <c r="D186" s="397"/>
      <c r="E186" s="397"/>
      <c r="F186" s="397"/>
      <c r="G186" s="1487"/>
      <c r="H186" s="1487"/>
      <c r="I186" s="1487"/>
      <c r="J186" s="1487"/>
      <c r="K186" s="1487"/>
      <c r="L186" s="1487"/>
      <c r="M186" s="1487"/>
      <c r="N186" s="1487">
        <v>27966.05</v>
      </c>
      <c r="O186" s="1487">
        <v>4595.8999999999996</v>
      </c>
      <c r="P186" s="1487">
        <v>4766.1499999999996</v>
      </c>
      <c r="Q186" s="1487">
        <v>4277.5</v>
      </c>
      <c r="R186" s="1487">
        <v>4529.8</v>
      </c>
      <c r="S186" s="1487">
        <v>4570.3999999999996</v>
      </c>
      <c r="T186" s="1487">
        <v>3812.05</v>
      </c>
      <c r="U186" s="1487">
        <v>3945.45</v>
      </c>
      <c r="AA186" s="1965"/>
      <c r="AB186" s="1965"/>
      <c r="AC186" s="1965"/>
      <c r="AD186" s="1965"/>
      <c r="AE186" s="1965"/>
      <c r="AF186" s="1965"/>
      <c r="AG186" s="1965"/>
      <c r="AH186" s="1965"/>
      <c r="AI186" s="1965"/>
      <c r="AJ186" s="1965"/>
    </row>
    <row r="187" spans="1:36" s="395" customFormat="1">
      <c r="A187" s="2046"/>
      <c r="B187" s="2064"/>
      <c r="C187" s="2047" t="s">
        <v>1181</v>
      </c>
      <c r="D187" s="3018"/>
      <c r="E187" s="3018"/>
      <c r="F187" s="3018"/>
      <c r="G187" s="2005">
        <f t="shared" ref="G187:R187" si="23">SUM(G182:G186)</f>
        <v>203016.22999999998</v>
      </c>
      <c r="H187" s="2005">
        <f t="shared" si="23"/>
        <v>179441.93000000002</v>
      </c>
      <c r="I187" s="2005">
        <f t="shared" si="23"/>
        <v>178754.72</v>
      </c>
      <c r="J187" s="2005">
        <f t="shared" si="23"/>
        <v>166214.04</v>
      </c>
      <c r="K187" s="2005">
        <f t="shared" si="23"/>
        <v>166693.57</v>
      </c>
      <c r="L187" s="2005">
        <f t="shared" si="23"/>
        <v>169086.43</v>
      </c>
      <c r="M187" s="2005">
        <f t="shared" si="23"/>
        <v>162114.85999999999</v>
      </c>
      <c r="N187" s="2005">
        <f t="shared" si="23"/>
        <v>227318.50999999998</v>
      </c>
      <c r="O187" s="2005">
        <f t="shared" si="23"/>
        <v>168825.38</v>
      </c>
      <c r="P187" s="2005">
        <f t="shared" si="23"/>
        <v>206323.97</v>
      </c>
      <c r="Q187" s="2005">
        <f t="shared" si="23"/>
        <v>245408.59</v>
      </c>
      <c r="R187" s="2005">
        <f t="shared" si="23"/>
        <v>249655.44999999998</v>
      </c>
      <c r="S187" s="2005">
        <f>SUM(S182:S186)</f>
        <v>261069.37</v>
      </c>
      <c r="T187" s="2005">
        <f>SUM(T182:T186)</f>
        <v>358281.62</v>
      </c>
      <c r="U187" s="3150">
        <f>SUM(U182:U186)</f>
        <v>291634.52</v>
      </c>
      <c r="AA187" s="1965"/>
      <c r="AB187" s="1965"/>
      <c r="AC187" s="1965"/>
      <c r="AD187" s="1965"/>
      <c r="AE187" s="1965"/>
      <c r="AF187" s="1965"/>
      <c r="AG187" s="1965"/>
      <c r="AH187" s="1965"/>
      <c r="AI187" s="1965"/>
      <c r="AJ187" s="1965"/>
    </row>
    <row r="188" spans="1:36" s="395" customFormat="1">
      <c r="A188" s="2048" t="s">
        <v>47</v>
      </c>
      <c r="B188" s="1999"/>
      <c r="C188" s="397"/>
      <c r="D188" s="397"/>
      <c r="E188" s="397"/>
      <c r="F188" s="397"/>
      <c r="G188" s="1487"/>
      <c r="H188" s="1487"/>
      <c r="I188" s="1487"/>
      <c r="J188" s="1487"/>
      <c r="K188" s="1487"/>
      <c r="L188" s="1487"/>
      <c r="M188" s="1487"/>
      <c r="N188" s="1487"/>
      <c r="O188" s="1487"/>
      <c r="P188" s="397"/>
      <c r="Q188" s="1487"/>
      <c r="R188" s="1487"/>
      <c r="S188" s="1487"/>
      <c r="T188" s="1487"/>
      <c r="U188" s="2017"/>
      <c r="AA188" s="1965"/>
      <c r="AB188" s="1965"/>
      <c r="AC188" s="1965"/>
      <c r="AD188" s="1965"/>
      <c r="AE188" s="1965"/>
      <c r="AF188" s="1965"/>
      <c r="AG188" s="1965"/>
      <c r="AH188" s="1965"/>
      <c r="AI188" s="1965"/>
      <c r="AJ188" s="1965"/>
    </row>
    <row r="189" spans="1:36" s="395" customFormat="1">
      <c r="A189" s="1997"/>
      <c r="B189" s="583"/>
      <c r="C189" s="397"/>
      <c r="D189" s="397"/>
      <c r="E189" s="397"/>
      <c r="F189" s="397"/>
      <c r="G189" s="1487"/>
      <c r="H189" s="1487"/>
      <c r="I189" s="1487"/>
      <c r="J189" s="1487"/>
      <c r="K189" s="1487"/>
      <c r="L189" s="1487"/>
      <c r="M189" s="1487"/>
      <c r="N189" s="1487"/>
      <c r="O189" s="1487"/>
      <c r="P189" s="397"/>
      <c r="Q189" s="1487"/>
      <c r="R189" s="1487"/>
      <c r="S189" s="1487"/>
      <c r="T189" s="1487"/>
      <c r="U189" s="1520"/>
      <c r="AA189" s="1965"/>
      <c r="AB189" s="1965"/>
      <c r="AC189" s="1965"/>
      <c r="AD189" s="1965"/>
      <c r="AE189" s="1965"/>
      <c r="AF189" s="1965"/>
      <c r="AG189" s="1965"/>
      <c r="AH189" s="1965"/>
      <c r="AI189" s="1965"/>
      <c r="AJ189" s="1965"/>
    </row>
    <row r="190" spans="1:36" s="395" customFormat="1">
      <c r="A190" s="2046"/>
      <c r="B190" s="2064"/>
      <c r="C190" s="2047" t="s">
        <v>1185</v>
      </c>
      <c r="D190" s="3018"/>
      <c r="E190" s="3018"/>
      <c r="F190" s="3018"/>
      <c r="G190" s="2005">
        <f t="shared" ref="G190:L190" si="24">SUM(G189)</f>
        <v>0</v>
      </c>
      <c r="H190" s="2005">
        <f t="shared" si="24"/>
        <v>0</v>
      </c>
      <c r="I190" s="2005">
        <f t="shared" si="24"/>
        <v>0</v>
      </c>
      <c r="J190" s="2005">
        <f t="shared" si="24"/>
        <v>0</v>
      </c>
      <c r="K190" s="2005">
        <f t="shared" si="24"/>
        <v>0</v>
      </c>
      <c r="L190" s="2005">
        <f t="shared" si="24"/>
        <v>0</v>
      </c>
      <c r="M190" s="2005">
        <f t="shared" ref="M190:R190" si="25">SUM(M189)</f>
        <v>0</v>
      </c>
      <c r="N190" s="2005">
        <f t="shared" si="25"/>
        <v>0</v>
      </c>
      <c r="O190" s="2005">
        <f t="shared" si="25"/>
        <v>0</v>
      </c>
      <c r="P190" s="2005">
        <f t="shared" si="25"/>
        <v>0</v>
      </c>
      <c r="Q190" s="2005">
        <f t="shared" si="25"/>
        <v>0</v>
      </c>
      <c r="R190" s="2005">
        <f t="shared" si="25"/>
        <v>0</v>
      </c>
      <c r="S190" s="2005">
        <f>SUM(S189)</f>
        <v>0</v>
      </c>
      <c r="T190" s="2005">
        <f>SUM(T189)</f>
        <v>0</v>
      </c>
      <c r="U190" s="3150">
        <f>SUM(U189)</f>
        <v>0</v>
      </c>
      <c r="AA190" s="1965"/>
      <c r="AB190" s="1965"/>
      <c r="AC190" s="1965"/>
      <c r="AD190" s="1965"/>
      <c r="AE190" s="1965"/>
      <c r="AF190" s="1965"/>
      <c r="AG190" s="1965"/>
      <c r="AH190" s="1965"/>
      <c r="AI190" s="1965"/>
      <c r="AJ190" s="1965"/>
    </row>
    <row r="191" spans="1:36" s="395" customFormat="1">
      <c r="A191" s="2021"/>
      <c r="B191" s="2069"/>
      <c r="C191" s="2022" t="s">
        <v>1234</v>
      </c>
      <c r="D191" s="2100"/>
      <c r="E191" s="2100"/>
      <c r="F191" s="2100"/>
      <c r="G191" s="2009">
        <f t="shared" ref="G191:R191" si="26">G180+G187+G190</f>
        <v>268503.31</v>
      </c>
      <c r="H191" s="2009">
        <f t="shared" si="26"/>
        <v>253196.92000000004</v>
      </c>
      <c r="I191" s="2009">
        <f t="shared" si="26"/>
        <v>255907.54</v>
      </c>
      <c r="J191" s="2009">
        <f t="shared" si="26"/>
        <v>239552.85</v>
      </c>
      <c r="K191" s="2009">
        <f t="shared" si="26"/>
        <v>248071.81</v>
      </c>
      <c r="L191" s="2009">
        <f t="shared" si="26"/>
        <v>249886.77</v>
      </c>
      <c r="M191" s="2009">
        <f t="shared" si="26"/>
        <v>251476.40999999997</v>
      </c>
      <c r="N191" s="2009">
        <f t="shared" si="26"/>
        <v>315099.52999999997</v>
      </c>
      <c r="O191" s="2009">
        <f t="shared" si="26"/>
        <v>257368.31</v>
      </c>
      <c r="P191" s="2009">
        <f t="shared" si="26"/>
        <v>296798.58</v>
      </c>
      <c r="Q191" s="2009">
        <f t="shared" si="26"/>
        <v>337040.81</v>
      </c>
      <c r="R191" s="2009">
        <f t="shared" si="26"/>
        <v>346658.29</v>
      </c>
      <c r="S191" s="2009">
        <f>S180+S187+S190</f>
        <v>361975.91</v>
      </c>
      <c r="T191" s="2009">
        <f>T180+T187+T190</f>
        <v>435464.45</v>
      </c>
      <c r="U191" s="2070">
        <f>U180+U187+U190</f>
        <v>406558.97000000003</v>
      </c>
      <c r="AA191" s="1965"/>
      <c r="AB191" s="1965"/>
      <c r="AC191" s="1965"/>
      <c r="AD191" s="1965"/>
      <c r="AE191" s="1965"/>
      <c r="AF191" s="1965"/>
      <c r="AG191" s="1965"/>
      <c r="AH191" s="1965"/>
      <c r="AI191" s="1965"/>
      <c r="AJ191" s="1965"/>
    </row>
    <row r="192" spans="1:36" s="395" customFormat="1">
      <c r="A192" s="1633"/>
      <c r="B192" s="1633"/>
      <c r="G192" s="1965"/>
      <c r="H192" s="1965"/>
      <c r="I192" s="1965"/>
      <c r="J192" s="1965"/>
      <c r="K192" s="1965"/>
      <c r="L192" s="1965"/>
      <c r="M192" s="1965"/>
      <c r="Q192" s="1965"/>
      <c r="AA192" s="1965"/>
      <c r="AB192" s="1965"/>
      <c r="AC192" s="1965"/>
      <c r="AD192" s="1965"/>
      <c r="AE192" s="1965"/>
      <c r="AF192" s="1965"/>
      <c r="AG192" s="1965"/>
      <c r="AH192" s="1965"/>
      <c r="AI192" s="1965"/>
      <c r="AJ192" s="1965"/>
    </row>
    <row r="193" spans="1:36" s="395" customFormat="1">
      <c r="A193" s="1633"/>
      <c r="B193" s="1633"/>
      <c r="G193" s="1965"/>
      <c r="H193" s="1965"/>
      <c r="I193" s="1965"/>
      <c r="J193" s="1965"/>
      <c r="K193" s="1965"/>
      <c r="L193" s="1965"/>
      <c r="M193" s="1965"/>
      <c r="Q193" s="1965"/>
      <c r="AA193" s="1965"/>
      <c r="AB193" s="1965"/>
      <c r="AC193" s="1965"/>
      <c r="AD193" s="1965"/>
      <c r="AE193" s="1965"/>
      <c r="AF193" s="1965"/>
      <c r="AG193" s="1965"/>
      <c r="AH193" s="1965"/>
      <c r="AI193" s="1965"/>
      <c r="AJ193" s="1965"/>
    </row>
    <row r="194" spans="1:36" s="395" customFormat="1">
      <c r="A194" s="1633"/>
      <c r="B194" s="1633"/>
      <c r="G194" s="1965"/>
      <c r="H194" s="1965"/>
      <c r="I194" s="1965"/>
      <c r="J194" s="1965"/>
      <c r="K194" s="1965"/>
      <c r="L194" s="1965"/>
      <c r="M194" s="1965"/>
      <c r="Q194" s="1965"/>
      <c r="AA194" s="1965"/>
      <c r="AB194" s="1965"/>
      <c r="AC194" s="1965"/>
      <c r="AD194" s="1965"/>
      <c r="AE194" s="1965"/>
      <c r="AF194" s="1965"/>
      <c r="AG194" s="1965"/>
      <c r="AH194" s="1965"/>
      <c r="AI194" s="1965"/>
      <c r="AJ194" s="1965"/>
    </row>
    <row r="195" spans="1:36" s="395" customFormat="1">
      <c r="C195" s="1965"/>
      <c r="D195" s="1965"/>
      <c r="E195" s="1965"/>
      <c r="F195" s="1965"/>
      <c r="G195" s="1965"/>
      <c r="H195" s="1965"/>
      <c r="I195" s="1965"/>
      <c r="J195" s="1965"/>
      <c r="K195" s="1965"/>
      <c r="L195" s="1965"/>
      <c r="M195" s="1965"/>
      <c r="N195" s="1965"/>
      <c r="O195" s="1965"/>
      <c r="P195" s="1965"/>
      <c r="Q195" s="1965"/>
      <c r="R195" s="1965"/>
      <c r="S195" s="1965"/>
      <c r="T195" s="1965"/>
      <c r="U195" s="1965"/>
      <c r="V195" s="1965"/>
      <c r="W195" s="1965"/>
      <c r="X195" s="1965"/>
      <c r="Y195" s="1965"/>
      <c r="Z195" s="1965"/>
      <c r="AA195" s="1965"/>
      <c r="AB195" s="1965"/>
      <c r="AC195" s="1965"/>
      <c r="AD195" s="1965"/>
      <c r="AE195" s="1965"/>
      <c r="AF195" s="1965"/>
      <c r="AG195" s="1965"/>
      <c r="AH195" s="1965"/>
      <c r="AI195" s="1965"/>
      <c r="AJ195" s="1965"/>
    </row>
    <row r="196" spans="1:36" s="395" customFormat="1">
      <c r="C196" s="1965"/>
      <c r="D196" s="1965"/>
      <c r="E196" s="1965"/>
      <c r="F196" s="1965"/>
      <c r="G196" s="1965"/>
      <c r="H196" s="1965"/>
      <c r="I196" s="1965"/>
      <c r="J196" s="1965"/>
      <c r="K196" s="1965"/>
      <c r="L196" s="1965"/>
      <c r="M196" s="1965"/>
      <c r="N196" s="1965"/>
      <c r="O196" s="1965"/>
      <c r="P196" s="1965"/>
      <c r="Q196" s="1965"/>
      <c r="R196" s="1965"/>
      <c r="S196" s="1965"/>
      <c r="T196" s="1965"/>
      <c r="U196" s="1965"/>
      <c r="V196" s="1965"/>
      <c r="W196" s="1965"/>
      <c r="X196" s="1965"/>
      <c r="Y196" s="1965"/>
      <c r="Z196" s="1965"/>
      <c r="AA196" s="1965"/>
      <c r="AB196" s="1965"/>
      <c r="AC196" s="1965"/>
      <c r="AD196" s="1965"/>
      <c r="AE196" s="1965"/>
      <c r="AF196" s="1965"/>
      <c r="AG196" s="1965"/>
      <c r="AH196" s="1965"/>
      <c r="AI196" s="1965"/>
      <c r="AJ196" s="1965"/>
    </row>
    <row r="197" spans="1:36" s="395" customFormat="1">
      <c r="C197" s="1965"/>
      <c r="D197" s="1965"/>
      <c r="E197" s="1965"/>
      <c r="F197" s="1965"/>
      <c r="G197" s="1965"/>
      <c r="H197" s="1965"/>
      <c r="I197" s="1965"/>
      <c r="J197" s="1965"/>
      <c r="K197" s="1965"/>
      <c r="L197" s="1965"/>
      <c r="M197" s="1965"/>
      <c r="N197" s="1965"/>
      <c r="O197" s="1965"/>
      <c r="P197" s="1965"/>
      <c r="Q197" s="1965"/>
      <c r="R197" s="1965"/>
      <c r="S197" s="1965"/>
      <c r="T197" s="1965"/>
      <c r="U197" s="1965"/>
      <c r="V197" s="1965"/>
      <c r="W197" s="1965"/>
      <c r="X197" s="1965"/>
      <c r="Y197" s="1965"/>
      <c r="Z197" s="1965"/>
      <c r="AA197" s="1965"/>
      <c r="AB197" s="1965"/>
      <c r="AC197" s="1965"/>
      <c r="AD197" s="1965"/>
      <c r="AE197" s="1965"/>
      <c r="AF197" s="1965"/>
      <c r="AG197" s="1965"/>
      <c r="AH197" s="1965"/>
      <c r="AI197" s="1965"/>
      <c r="AJ197" s="1965"/>
    </row>
    <row r="198" spans="1:36" s="395" customFormat="1">
      <c r="C198" s="1965"/>
      <c r="D198" s="1965"/>
      <c r="E198" s="1965"/>
      <c r="F198" s="1965"/>
      <c r="G198" s="1965"/>
      <c r="H198" s="1965"/>
      <c r="I198" s="1965"/>
      <c r="J198" s="1965"/>
      <c r="K198" s="1965"/>
      <c r="L198" s="1965"/>
      <c r="M198" s="1965"/>
      <c r="N198" s="1965"/>
      <c r="O198" s="1965"/>
      <c r="P198" s="1965"/>
      <c r="Q198" s="1965"/>
      <c r="R198" s="1965"/>
      <c r="S198" s="1965"/>
      <c r="T198" s="1965"/>
      <c r="U198" s="1965"/>
      <c r="V198" s="1965"/>
      <c r="W198" s="1965"/>
      <c r="X198" s="1965"/>
      <c r="Y198" s="1965"/>
      <c r="Z198" s="1965"/>
      <c r="AA198" s="1965"/>
      <c r="AB198" s="1965"/>
      <c r="AC198" s="1965"/>
      <c r="AD198" s="1965"/>
      <c r="AE198" s="1965"/>
      <c r="AF198" s="1965"/>
      <c r="AG198" s="1965"/>
      <c r="AH198" s="1965"/>
      <c r="AI198" s="1965"/>
      <c r="AJ198" s="1965"/>
    </row>
    <row r="199" spans="1:36" s="395" customFormat="1">
      <c r="C199" s="1965"/>
      <c r="D199" s="1965"/>
      <c r="E199" s="1965"/>
      <c r="F199" s="1965"/>
      <c r="G199" s="1965"/>
      <c r="H199" s="1965"/>
      <c r="I199" s="1965"/>
      <c r="J199" s="1965"/>
      <c r="K199" s="1965"/>
      <c r="L199" s="1965"/>
      <c r="M199" s="1965"/>
      <c r="N199" s="1965"/>
      <c r="O199" s="1965"/>
      <c r="P199" s="1965"/>
      <c r="Q199" s="1965"/>
      <c r="R199" s="1965"/>
      <c r="S199" s="1965"/>
      <c r="T199" s="1965"/>
      <c r="U199" s="1965"/>
      <c r="V199" s="1965"/>
      <c r="W199" s="1965"/>
      <c r="X199" s="1965"/>
      <c r="Y199" s="1965"/>
      <c r="Z199" s="1965"/>
      <c r="AA199" s="1965"/>
      <c r="AB199" s="1965"/>
      <c r="AC199" s="1965"/>
      <c r="AD199" s="1965"/>
      <c r="AE199" s="1965"/>
      <c r="AF199" s="1965"/>
      <c r="AG199" s="1965"/>
      <c r="AH199" s="1965"/>
      <c r="AI199" s="1965"/>
      <c r="AJ199" s="1965"/>
    </row>
    <row r="200" spans="1:36" s="395" customFormat="1">
      <c r="C200" s="1965"/>
      <c r="D200" s="1965"/>
      <c r="E200" s="1965"/>
      <c r="F200" s="1965"/>
      <c r="G200" s="1965"/>
      <c r="H200" s="1965"/>
      <c r="I200" s="1965"/>
      <c r="J200" s="1965"/>
      <c r="K200" s="1965"/>
      <c r="L200" s="1965"/>
      <c r="M200" s="1965"/>
      <c r="N200" s="1965"/>
      <c r="O200" s="1965"/>
      <c r="P200" s="1965"/>
      <c r="Q200" s="1965"/>
      <c r="R200" s="1965"/>
      <c r="S200" s="1965"/>
      <c r="T200" s="1965"/>
      <c r="U200" s="1965"/>
      <c r="V200" s="1965"/>
      <c r="W200" s="1965"/>
      <c r="X200" s="1965"/>
      <c r="Y200" s="1965"/>
      <c r="Z200" s="1965"/>
      <c r="AA200" s="1965"/>
      <c r="AB200" s="1965"/>
      <c r="AC200" s="1965"/>
      <c r="AD200" s="1965"/>
      <c r="AE200" s="1965"/>
      <c r="AF200" s="1965"/>
      <c r="AG200" s="1965"/>
      <c r="AH200" s="1965"/>
      <c r="AI200" s="1965"/>
      <c r="AJ200" s="1965"/>
    </row>
    <row r="201" spans="1:36" s="395" customFormat="1">
      <c r="C201" s="1965"/>
      <c r="D201" s="1965"/>
      <c r="E201" s="1965"/>
      <c r="F201" s="1965"/>
      <c r="G201" s="1965"/>
      <c r="H201" s="1965"/>
      <c r="I201" s="1965"/>
      <c r="J201" s="1965"/>
      <c r="K201" s="1965"/>
      <c r="L201" s="1965"/>
      <c r="M201" s="1965"/>
      <c r="N201" s="1965"/>
      <c r="O201" s="1965"/>
      <c r="P201" s="1965"/>
      <c r="Q201" s="1965"/>
      <c r="R201" s="1965"/>
      <c r="S201" s="1965"/>
      <c r="T201" s="1965"/>
      <c r="U201" s="1965"/>
      <c r="V201" s="1965"/>
      <c r="W201" s="1965"/>
      <c r="X201" s="1965"/>
      <c r="Y201" s="1965"/>
      <c r="Z201" s="1965"/>
      <c r="AA201" s="1965"/>
      <c r="AB201" s="1965"/>
      <c r="AC201" s="1965"/>
      <c r="AD201" s="1965"/>
      <c r="AE201" s="1965"/>
      <c r="AF201" s="1965"/>
      <c r="AG201" s="1965"/>
      <c r="AH201" s="1965"/>
      <c r="AI201" s="1965"/>
      <c r="AJ201" s="1965"/>
    </row>
    <row r="202" spans="1:36" s="395" customFormat="1">
      <c r="C202" s="1965"/>
      <c r="D202" s="1965"/>
      <c r="E202" s="1965"/>
      <c r="F202" s="1965"/>
      <c r="G202" s="1965"/>
      <c r="H202" s="1965"/>
      <c r="I202" s="1965"/>
      <c r="J202" s="1965"/>
      <c r="K202" s="1965"/>
      <c r="L202" s="1965"/>
      <c r="M202" s="1965"/>
      <c r="N202" s="1965"/>
      <c r="O202" s="1965"/>
      <c r="P202" s="1965"/>
      <c r="Q202" s="1965"/>
      <c r="R202" s="1965"/>
      <c r="S202" s="1965"/>
      <c r="T202" s="1965"/>
      <c r="U202" s="1965"/>
      <c r="V202" s="1965"/>
      <c r="W202" s="1965"/>
      <c r="X202" s="1965"/>
      <c r="Y202" s="1965"/>
      <c r="Z202" s="1965"/>
      <c r="AA202" s="1965"/>
      <c r="AB202" s="1965"/>
      <c r="AC202" s="1965"/>
      <c r="AD202" s="1965"/>
      <c r="AE202" s="1965"/>
      <c r="AF202" s="1965"/>
      <c r="AG202" s="1965"/>
      <c r="AH202" s="1965"/>
      <c r="AI202" s="1965"/>
      <c r="AJ202" s="1965"/>
    </row>
    <row r="203" spans="1:36" s="395" customFormat="1">
      <c r="C203" s="1965"/>
      <c r="D203" s="1965"/>
      <c r="E203" s="1965"/>
      <c r="F203" s="1965"/>
      <c r="G203" s="1965"/>
      <c r="H203" s="1965"/>
      <c r="I203" s="1965"/>
      <c r="J203" s="1965"/>
      <c r="K203" s="1965"/>
      <c r="L203" s="1965"/>
      <c r="M203" s="1965"/>
      <c r="N203" s="1965"/>
      <c r="O203" s="1965"/>
      <c r="P203" s="1965"/>
      <c r="Q203" s="1965"/>
      <c r="R203" s="1965"/>
      <c r="S203" s="1965"/>
      <c r="T203" s="1965"/>
      <c r="U203" s="1965"/>
      <c r="V203" s="1965"/>
      <c r="W203" s="1965"/>
      <c r="X203" s="1965"/>
      <c r="Y203" s="1965"/>
      <c r="Z203" s="1965"/>
      <c r="AA203" s="1965"/>
      <c r="AB203" s="1965"/>
      <c r="AC203" s="1965"/>
      <c r="AD203" s="1965"/>
      <c r="AE203" s="1965"/>
      <c r="AF203" s="1965"/>
      <c r="AG203" s="1965"/>
      <c r="AH203" s="1965"/>
      <c r="AI203" s="1965"/>
      <c r="AJ203" s="1965"/>
    </row>
    <row r="204" spans="1:36" s="395" customFormat="1">
      <c r="C204" s="1965"/>
      <c r="D204" s="1965"/>
      <c r="E204" s="1965"/>
      <c r="F204" s="1965"/>
      <c r="G204" s="1965"/>
      <c r="H204" s="1965"/>
      <c r="I204" s="1965"/>
      <c r="J204" s="1965"/>
      <c r="K204" s="1965"/>
      <c r="L204" s="1965"/>
      <c r="M204" s="1965"/>
      <c r="N204" s="1965"/>
      <c r="O204" s="1965"/>
      <c r="P204" s="1965"/>
      <c r="Q204" s="1965"/>
      <c r="R204" s="1965"/>
      <c r="S204" s="1965"/>
      <c r="T204" s="1965"/>
      <c r="U204" s="1965"/>
      <c r="V204" s="1965"/>
      <c r="W204" s="1965"/>
      <c r="X204" s="1965"/>
      <c r="Y204" s="1965"/>
      <c r="Z204" s="1965"/>
      <c r="AA204" s="1965"/>
      <c r="AB204" s="1965"/>
      <c r="AC204" s="1965"/>
      <c r="AD204" s="1965"/>
      <c r="AE204" s="1965"/>
      <c r="AF204" s="1965"/>
      <c r="AG204" s="1965"/>
      <c r="AH204" s="1965"/>
      <c r="AI204" s="1965"/>
      <c r="AJ204" s="1965"/>
    </row>
    <row r="205" spans="1:36" s="395" customFormat="1">
      <c r="C205" s="1965"/>
      <c r="D205" s="1965"/>
      <c r="E205" s="1965"/>
      <c r="F205" s="1965"/>
      <c r="G205" s="1965"/>
      <c r="H205" s="1965"/>
      <c r="I205" s="1965"/>
      <c r="J205" s="1965"/>
      <c r="K205" s="1965"/>
      <c r="L205" s="1965"/>
      <c r="M205" s="1965"/>
      <c r="N205" s="1965"/>
      <c r="O205" s="1965"/>
      <c r="P205" s="1965"/>
      <c r="Q205" s="1965"/>
      <c r="R205" s="1965"/>
      <c r="S205" s="1965"/>
      <c r="T205" s="1965"/>
      <c r="U205" s="1965"/>
      <c r="V205" s="1965"/>
      <c r="W205" s="1965"/>
      <c r="X205" s="1965"/>
      <c r="Y205" s="1965"/>
      <c r="Z205" s="1965"/>
      <c r="AA205" s="1965"/>
      <c r="AB205" s="1965"/>
      <c r="AC205" s="1965"/>
      <c r="AD205" s="1965"/>
      <c r="AE205" s="1965"/>
      <c r="AF205" s="1965"/>
      <c r="AG205" s="1965"/>
      <c r="AH205" s="1965"/>
      <c r="AI205" s="1965"/>
      <c r="AJ205" s="1965"/>
    </row>
    <row r="206" spans="1:36" s="395" customFormat="1">
      <c r="C206" s="1965"/>
      <c r="D206" s="1965"/>
      <c r="E206" s="1965"/>
      <c r="F206" s="1965"/>
      <c r="G206" s="1965"/>
      <c r="H206" s="1965"/>
      <c r="I206" s="1965"/>
      <c r="J206" s="1965"/>
      <c r="K206" s="1965"/>
      <c r="L206" s="1965"/>
      <c r="M206" s="1965"/>
      <c r="N206" s="1965"/>
      <c r="O206" s="1965"/>
      <c r="P206" s="1965"/>
      <c r="Q206" s="1965"/>
      <c r="R206" s="1965"/>
      <c r="S206" s="1965"/>
      <c r="T206" s="1965"/>
      <c r="U206" s="1965"/>
      <c r="V206" s="1965"/>
      <c r="W206" s="1965"/>
      <c r="X206" s="1965"/>
      <c r="Y206" s="1965"/>
      <c r="Z206" s="1965"/>
      <c r="AA206" s="1965"/>
      <c r="AB206" s="1965"/>
      <c r="AC206" s="1965"/>
      <c r="AD206" s="1965"/>
      <c r="AE206" s="1965"/>
      <c r="AF206" s="1965"/>
      <c r="AG206" s="1965"/>
      <c r="AH206" s="1965"/>
      <c r="AI206" s="1965"/>
      <c r="AJ206" s="1965"/>
    </row>
    <row r="207" spans="1:36" s="395" customFormat="1">
      <c r="C207" s="1965"/>
      <c r="D207" s="1965"/>
      <c r="E207" s="1965"/>
      <c r="F207" s="1965"/>
      <c r="G207" s="1965"/>
      <c r="H207" s="1965"/>
      <c r="I207" s="1965"/>
      <c r="J207" s="1965"/>
      <c r="K207" s="1965"/>
      <c r="L207" s="1965"/>
      <c r="M207" s="1965"/>
      <c r="N207" s="1965"/>
      <c r="O207" s="1965"/>
      <c r="P207" s="1965"/>
      <c r="Q207" s="1965"/>
      <c r="R207" s="1965"/>
      <c r="S207" s="1965"/>
      <c r="T207" s="1965"/>
      <c r="U207" s="1965"/>
      <c r="V207" s="1965"/>
      <c r="W207" s="1965"/>
      <c r="X207" s="1965"/>
      <c r="Y207" s="1965"/>
      <c r="Z207" s="1965"/>
      <c r="AA207" s="1965"/>
      <c r="AB207" s="1965"/>
      <c r="AC207" s="1965"/>
      <c r="AD207" s="1965"/>
      <c r="AE207" s="1965"/>
      <c r="AF207" s="1965"/>
      <c r="AG207" s="1965"/>
      <c r="AH207" s="1965"/>
      <c r="AI207" s="1965"/>
      <c r="AJ207" s="1965"/>
    </row>
    <row r="208" spans="1:36" s="395" customFormat="1">
      <c r="C208" s="1965"/>
      <c r="D208" s="1965"/>
      <c r="E208" s="1965"/>
      <c r="F208" s="1965"/>
      <c r="G208" s="1965"/>
      <c r="H208" s="1965"/>
      <c r="I208" s="1965"/>
      <c r="J208" s="1965"/>
      <c r="K208" s="1965"/>
      <c r="L208" s="1965"/>
      <c r="M208" s="1965"/>
      <c r="N208" s="1965"/>
      <c r="O208" s="1965"/>
      <c r="P208" s="1965"/>
      <c r="Q208" s="1965"/>
      <c r="R208" s="1965"/>
      <c r="S208" s="1965"/>
      <c r="T208" s="1965"/>
      <c r="U208" s="1965"/>
      <c r="V208" s="1965"/>
      <c r="W208" s="1965"/>
      <c r="X208" s="1965"/>
      <c r="Y208" s="1965"/>
      <c r="Z208" s="1965"/>
      <c r="AA208" s="1965"/>
      <c r="AB208" s="1965"/>
      <c r="AC208" s="1965"/>
      <c r="AD208" s="1965"/>
      <c r="AE208" s="1965"/>
      <c r="AF208" s="1965"/>
      <c r="AG208" s="1965"/>
      <c r="AH208" s="1965"/>
      <c r="AI208" s="1965"/>
      <c r="AJ208" s="1965"/>
    </row>
    <row r="209" spans="3:36" s="395" customFormat="1">
      <c r="C209" s="1965"/>
      <c r="D209" s="1965"/>
      <c r="E209" s="1965"/>
      <c r="F209" s="1965"/>
      <c r="G209" s="1965"/>
      <c r="H209" s="1965"/>
      <c r="I209" s="1965"/>
      <c r="J209" s="1965"/>
      <c r="K209" s="1965"/>
      <c r="L209" s="1965"/>
      <c r="M209" s="1965"/>
      <c r="N209" s="1965"/>
      <c r="O209" s="1965"/>
      <c r="P209" s="1965"/>
      <c r="Q209" s="1965"/>
      <c r="R209" s="1965"/>
      <c r="S209" s="1965"/>
      <c r="T209" s="1965"/>
      <c r="U209" s="1965"/>
      <c r="V209" s="1965"/>
      <c r="W209" s="1965"/>
      <c r="X209" s="1965"/>
      <c r="Y209" s="1965"/>
      <c r="Z209" s="1965"/>
      <c r="AA209" s="1965"/>
      <c r="AB209" s="1965"/>
      <c r="AC209" s="1965"/>
      <c r="AD209" s="1965"/>
      <c r="AE209" s="1965"/>
      <c r="AF209" s="1965"/>
      <c r="AG209" s="1965"/>
      <c r="AH209" s="1965"/>
      <c r="AI209" s="1965"/>
      <c r="AJ209" s="1965"/>
    </row>
    <row r="210" spans="3:36" s="395" customFormat="1">
      <c r="C210" s="1965"/>
      <c r="D210" s="1965"/>
      <c r="E210" s="1965"/>
      <c r="F210" s="1965"/>
      <c r="G210" s="1965"/>
      <c r="H210" s="1965"/>
      <c r="I210" s="1965"/>
      <c r="J210" s="1965"/>
      <c r="K210" s="1965"/>
      <c r="L210" s="1965"/>
      <c r="M210" s="1965"/>
      <c r="N210" s="1965"/>
      <c r="O210" s="1965"/>
      <c r="P210" s="1965"/>
      <c r="Q210" s="1965"/>
      <c r="R210" s="1965"/>
      <c r="S210" s="1965"/>
      <c r="T210" s="1965"/>
      <c r="U210" s="1965"/>
      <c r="V210" s="1965"/>
      <c r="W210" s="1965"/>
      <c r="X210" s="1965"/>
      <c r="Y210" s="1965"/>
      <c r="Z210" s="1965"/>
      <c r="AA210" s="1965"/>
      <c r="AB210" s="1965"/>
      <c r="AC210" s="1965"/>
      <c r="AD210" s="1965"/>
      <c r="AE210" s="1965"/>
      <c r="AF210" s="1965"/>
      <c r="AG210" s="1965"/>
      <c r="AH210" s="1965"/>
      <c r="AI210" s="1965"/>
      <c r="AJ210" s="1965"/>
    </row>
    <row r="211" spans="3:36" s="395" customFormat="1">
      <c r="C211" s="1965"/>
      <c r="D211" s="1965"/>
      <c r="E211" s="1965"/>
      <c r="F211" s="1965"/>
      <c r="G211" s="1965"/>
      <c r="H211" s="1965"/>
      <c r="I211" s="1965"/>
      <c r="J211" s="1965"/>
      <c r="K211" s="1965"/>
      <c r="L211" s="1965"/>
      <c r="M211" s="1965"/>
      <c r="N211" s="1965"/>
      <c r="O211" s="1965"/>
      <c r="P211" s="1965"/>
      <c r="Q211" s="1965"/>
      <c r="R211" s="1965"/>
      <c r="S211" s="1965"/>
      <c r="T211" s="1965"/>
      <c r="U211" s="1965"/>
      <c r="V211" s="1965"/>
      <c r="W211" s="1965"/>
      <c r="X211" s="1965"/>
      <c r="Y211" s="1965"/>
      <c r="Z211" s="1965"/>
      <c r="AA211" s="1965"/>
      <c r="AB211" s="1965"/>
      <c r="AC211" s="1965"/>
      <c r="AD211" s="1965"/>
      <c r="AE211" s="1965"/>
      <c r="AF211" s="1965"/>
      <c r="AG211" s="1965"/>
      <c r="AH211" s="1965"/>
      <c r="AI211" s="1965"/>
      <c r="AJ211" s="1965"/>
    </row>
    <row r="212" spans="3:36" s="395" customFormat="1">
      <c r="C212" s="1965"/>
      <c r="D212" s="1965"/>
      <c r="E212" s="1965"/>
      <c r="F212" s="1965"/>
      <c r="G212" s="1965"/>
      <c r="H212" s="1965"/>
      <c r="I212" s="1965"/>
      <c r="J212" s="1965"/>
      <c r="K212" s="1965"/>
      <c r="L212" s="1965"/>
      <c r="M212" s="1965"/>
      <c r="N212" s="1965"/>
      <c r="O212" s="1965"/>
      <c r="P212" s="1965"/>
      <c r="Q212" s="1965"/>
      <c r="R212" s="1965"/>
      <c r="S212" s="1965"/>
      <c r="T212" s="1965"/>
      <c r="U212" s="1965"/>
      <c r="V212" s="1965"/>
      <c r="W212" s="1965"/>
      <c r="X212" s="1965"/>
      <c r="Y212" s="1965"/>
      <c r="Z212" s="1965"/>
      <c r="AA212" s="1965"/>
      <c r="AB212" s="1965"/>
      <c r="AC212" s="1965"/>
      <c r="AD212" s="1965"/>
      <c r="AE212" s="1965"/>
      <c r="AF212" s="1965"/>
      <c r="AG212" s="1965"/>
      <c r="AH212" s="1965"/>
      <c r="AI212" s="1965"/>
      <c r="AJ212" s="1965"/>
    </row>
    <row r="213" spans="3:36" s="395" customFormat="1">
      <c r="C213" s="1965"/>
      <c r="D213" s="1965"/>
      <c r="E213" s="1965"/>
      <c r="F213" s="1965"/>
      <c r="G213" s="1965"/>
      <c r="H213" s="1965"/>
      <c r="I213" s="1965"/>
      <c r="J213" s="1965"/>
      <c r="K213" s="1965"/>
      <c r="L213" s="1965"/>
      <c r="M213" s="1965"/>
      <c r="N213" s="1965"/>
      <c r="O213" s="1965"/>
      <c r="P213" s="1965"/>
      <c r="Q213" s="1965"/>
      <c r="R213" s="1965"/>
      <c r="S213" s="1965"/>
      <c r="T213" s="1965"/>
      <c r="U213" s="1965"/>
      <c r="V213" s="1965"/>
      <c r="W213" s="1965"/>
      <c r="X213" s="1965"/>
      <c r="Y213" s="1965"/>
      <c r="Z213" s="1965"/>
      <c r="AA213" s="1965"/>
      <c r="AB213" s="1965"/>
      <c r="AC213" s="1965"/>
      <c r="AD213" s="1965"/>
      <c r="AE213" s="1965"/>
      <c r="AF213" s="1965"/>
      <c r="AG213" s="1965"/>
      <c r="AH213" s="1965"/>
      <c r="AI213" s="1965"/>
      <c r="AJ213" s="1965"/>
    </row>
    <row r="214" spans="3:36" s="395" customFormat="1">
      <c r="C214" s="1965"/>
      <c r="D214" s="1965"/>
      <c r="E214" s="1965"/>
      <c r="F214" s="1965"/>
      <c r="G214" s="1965"/>
      <c r="H214" s="1965"/>
      <c r="I214" s="1965"/>
      <c r="J214" s="1965"/>
      <c r="K214" s="1965"/>
      <c r="L214" s="1965"/>
      <c r="M214" s="1965"/>
      <c r="N214" s="1965"/>
      <c r="O214" s="1965"/>
      <c r="P214" s="1965"/>
      <c r="Q214" s="1965"/>
      <c r="R214" s="1965"/>
      <c r="S214" s="1965"/>
      <c r="T214" s="1965"/>
      <c r="U214" s="1965"/>
      <c r="V214" s="1965"/>
      <c r="W214" s="1965"/>
      <c r="X214" s="1965"/>
      <c r="Y214" s="1965"/>
      <c r="Z214" s="1965"/>
      <c r="AA214" s="1965"/>
      <c r="AB214" s="1965"/>
      <c r="AC214" s="1965"/>
      <c r="AD214" s="1965"/>
      <c r="AE214" s="1965"/>
      <c r="AF214" s="1965"/>
      <c r="AG214" s="1965"/>
      <c r="AH214" s="1965"/>
      <c r="AI214" s="1965"/>
      <c r="AJ214" s="1965"/>
    </row>
    <row r="215" spans="3:36" s="395" customFormat="1">
      <c r="C215" s="1965"/>
      <c r="D215" s="1965"/>
      <c r="E215" s="1965"/>
      <c r="F215" s="1965"/>
      <c r="G215" s="1965"/>
      <c r="H215" s="1965"/>
      <c r="I215" s="1965"/>
      <c r="J215" s="1965"/>
      <c r="K215" s="1965"/>
      <c r="L215" s="1965"/>
      <c r="M215" s="1965"/>
      <c r="N215" s="1965"/>
      <c r="O215" s="1965"/>
      <c r="P215" s="1965"/>
      <c r="Q215" s="1965"/>
      <c r="R215" s="1965"/>
      <c r="S215" s="1965"/>
      <c r="T215" s="1965"/>
      <c r="U215" s="1965"/>
      <c r="V215" s="1965"/>
      <c r="W215" s="1965"/>
      <c r="X215" s="1965"/>
      <c r="Y215" s="1965"/>
      <c r="Z215" s="1965"/>
      <c r="AA215" s="1965"/>
      <c r="AB215" s="1965"/>
      <c r="AC215" s="1965"/>
      <c r="AD215" s="1965"/>
      <c r="AE215" s="1965"/>
      <c r="AF215" s="1965"/>
      <c r="AG215" s="1965"/>
      <c r="AH215" s="1965"/>
      <c r="AI215" s="1965"/>
      <c r="AJ215" s="1965"/>
    </row>
    <row r="216" spans="3:36" s="395" customFormat="1">
      <c r="C216" s="1965"/>
      <c r="D216" s="1965"/>
      <c r="E216" s="1965"/>
      <c r="F216" s="1965"/>
      <c r="G216" s="1965"/>
      <c r="H216" s="1965"/>
      <c r="I216" s="1965"/>
      <c r="J216" s="1965"/>
      <c r="K216" s="1965"/>
      <c r="L216" s="1965"/>
      <c r="M216" s="1965"/>
      <c r="N216" s="1965"/>
      <c r="O216" s="1965"/>
      <c r="P216" s="1965"/>
      <c r="Q216" s="1965"/>
      <c r="R216" s="1965"/>
      <c r="S216" s="1965"/>
      <c r="T216" s="1965"/>
      <c r="U216" s="1965"/>
      <c r="V216" s="1965"/>
      <c r="W216" s="1965"/>
      <c r="X216" s="1965"/>
      <c r="Y216" s="1965"/>
      <c r="Z216" s="1965"/>
      <c r="AA216" s="1965"/>
      <c r="AB216" s="1965"/>
      <c r="AC216" s="1965"/>
      <c r="AD216" s="1965"/>
      <c r="AE216" s="1965"/>
      <c r="AF216" s="1965"/>
      <c r="AG216" s="1965"/>
      <c r="AH216" s="1965"/>
      <c r="AI216" s="1965"/>
      <c r="AJ216" s="1965"/>
    </row>
    <row r="217" spans="3:36" s="395" customFormat="1">
      <c r="C217" s="1965"/>
      <c r="D217" s="1965"/>
      <c r="E217" s="1965"/>
      <c r="F217" s="1965"/>
      <c r="G217" s="1965"/>
      <c r="H217" s="1965"/>
      <c r="I217" s="1965"/>
      <c r="J217" s="1965"/>
      <c r="K217" s="1965"/>
      <c r="L217" s="1965"/>
      <c r="M217" s="1965"/>
      <c r="N217" s="1965"/>
      <c r="O217" s="1965"/>
      <c r="P217" s="1965"/>
      <c r="Q217" s="1965"/>
      <c r="R217" s="1965"/>
      <c r="S217" s="1965"/>
      <c r="T217" s="1965"/>
      <c r="U217" s="1965"/>
      <c r="V217" s="1965"/>
      <c r="W217" s="1965"/>
      <c r="X217" s="1965"/>
      <c r="Y217" s="1965"/>
      <c r="Z217" s="1965"/>
      <c r="AA217" s="1965"/>
      <c r="AB217" s="1965"/>
      <c r="AC217" s="1965"/>
      <c r="AD217" s="1965"/>
      <c r="AE217" s="1965"/>
      <c r="AF217" s="1965"/>
      <c r="AG217" s="1965"/>
      <c r="AH217" s="1965"/>
      <c r="AI217" s="1965"/>
      <c r="AJ217" s="1965"/>
    </row>
    <row r="218" spans="3:36" s="395" customFormat="1">
      <c r="C218" s="1965"/>
      <c r="D218" s="1965"/>
      <c r="E218" s="1965"/>
      <c r="F218" s="1965"/>
      <c r="G218" s="1965"/>
      <c r="H218" s="1965"/>
      <c r="I218" s="1965"/>
      <c r="J218" s="1965"/>
      <c r="K218" s="1965"/>
      <c r="L218" s="1965"/>
      <c r="M218" s="1965"/>
      <c r="N218" s="1965"/>
      <c r="O218" s="1965"/>
      <c r="P218" s="1965"/>
      <c r="Q218" s="1965"/>
      <c r="R218" s="1965"/>
      <c r="S218" s="1965"/>
      <c r="T218" s="1965"/>
      <c r="U218" s="1965"/>
      <c r="V218" s="1965"/>
      <c r="W218" s="1965"/>
      <c r="X218" s="1965"/>
      <c r="Y218" s="1965"/>
      <c r="Z218" s="1965"/>
      <c r="AA218" s="1965"/>
      <c r="AB218" s="1965"/>
      <c r="AC218" s="1965"/>
      <c r="AD218" s="1965"/>
      <c r="AE218" s="1965"/>
      <c r="AF218" s="1965"/>
      <c r="AG218" s="1965"/>
      <c r="AH218" s="1965"/>
      <c r="AI218" s="1965"/>
      <c r="AJ218" s="1965"/>
    </row>
    <row r="219" spans="3:36" s="395" customFormat="1">
      <c r="C219" s="1965"/>
      <c r="D219" s="1965"/>
      <c r="E219" s="1965"/>
      <c r="F219" s="1965"/>
      <c r="G219" s="1965"/>
      <c r="H219" s="1965"/>
      <c r="I219" s="1965"/>
      <c r="J219" s="1965"/>
      <c r="K219" s="1965"/>
      <c r="L219" s="1965"/>
      <c r="M219" s="1965"/>
      <c r="N219" s="1965"/>
      <c r="O219" s="1965"/>
      <c r="P219" s="1965"/>
      <c r="Q219" s="1965"/>
      <c r="R219" s="1965"/>
      <c r="S219" s="1965"/>
      <c r="T219" s="1965"/>
      <c r="U219" s="1965"/>
      <c r="V219" s="1965"/>
      <c r="W219" s="1965"/>
      <c r="X219" s="1965"/>
      <c r="Y219" s="1965"/>
      <c r="Z219" s="1965"/>
      <c r="AA219" s="1965"/>
      <c r="AB219" s="1965"/>
      <c r="AC219" s="1965"/>
      <c r="AD219" s="1965"/>
      <c r="AE219" s="1965"/>
      <c r="AF219" s="1965"/>
      <c r="AG219" s="1965"/>
      <c r="AH219" s="1965"/>
      <c r="AI219" s="1965"/>
      <c r="AJ219" s="1965"/>
    </row>
    <row r="220" spans="3:36" s="395" customFormat="1">
      <c r="C220" s="1965"/>
      <c r="D220" s="1965"/>
      <c r="E220" s="1965"/>
      <c r="F220" s="1965"/>
      <c r="G220" s="1965"/>
      <c r="H220" s="1965"/>
      <c r="I220" s="1965"/>
      <c r="J220" s="1965"/>
      <c r="K220" s="1965"/>
      <c r="L220" s="1965"/>
      <c r="M220" s="1965"/>
      <c r="N220" s="1965"/>
      <c r="O220" s="1965"/>
      <c r="P220" s="1965"/>
      <c r="Q220" s="1965"/>
      <c r="R220" s="1965"/>
      <c r="S220" s="1965"/>
      <c r="T220" s="1965"/>
      <c r="U220" s="1965"/>
      <c r="V220" s="1965"/>
      <c r="W220" s="1965"/>
      <c r="X220" s="1965"/>
      <c r="Y220" s="1965"/>
      <c r="Z220" s="1965"/>
      <c r="AA220" s="1965"/>
      <c r="AB220" s="1965"/>
      <c r="AC220" s="1965"/>
      <c r="AD220" s="1965"/>
      <c r="AE220" s="1965"/>
      <c r="AF220" s="1965"/>
      <c r="AG220" s="1965"/>
      <c r="AH220" s="1965"/>
      <c r="AI220" s="1965"/>
      <c r="AJ220" s="1965"/>
    </row>
    <row r="221" spans="3:36" s="395" customFormat="1">
      <c r="C221" s="1965"/>
      <c r="D221" s="1965"/>
      <c r="E221" s="1965"/>
      <c r="F221" s="1965"/>
      <c r="G221" s="1965"/>
      <c r="H221" s="1965"/>
      <c r="I221" s="1965"/>
      <c r="J221" s="1965"/>
      <c r="K221" s="1965"/>
      <c r="L221" s="1965"/>
      <c r="M221" s="1965"/>
      <c r="N221" s="1965"/>
      <c r="O221" s="1965"/>
      <c r="P221" s="1965"/>
      <c r="Q221" s="1965"/>
      <c r="R221" s="1965"/>
      <c r="S221" s="1965"/>
      <c r="T221" s="1965"/>
      <c r="U221" s="1965"/>
      <c r="V221" s="1965"/>
      <c r="W221" s="1965"/>
      <c r="X221" s="1965"/>
      <c r="Y221" s="1965"/>
      <c r="Z221" s="1965"/>
      <c r="AA221" s="1965"/>
      <c r="AB221" s="1965"/>
      <c r="AC221" s="1965"/>
      <c r="AD221" s="1965"/>
      <c r="AE221" s="1965"/>
      <c r="AF221" s="1965"/>
      <c r="AG221" s="1965"/>
      <c r="AH221" s="1965"/>
      <c r="AI221" s="1965"/>
      <c r="AJ221" s="1965"/>
    </row>
    <row r="222" spans="3:36" s="395" customFormat="1">
      <c r="C222" s="1965"/>
      <c r="D222" s="1965"/>
      <c r="E222" s="1965"/>
      <c r="F222" s="1965"/>
      <c r="G222" s="1965"/>
      <c r="H222" s="1965"/>
      <c r="I222" s="1965"/>
      <c r="J222" s="1965"/>
      <c r="K222" s="1965"/>
      <c r="L222" s="1965"/>
      <c r="M222" s="1965"/>
      <c r="N222" s="1965"/>
      <c r="O222" s="1965"/>
      <c r="P222" s="1965"/>
      <c r="Q222" s="1965"/>
      <c r="R222" s="1965"/>
      <c r="S222" s="1965"/>
      <c r="T222" s="1965"/>
      <c r="U222" s="1965"/>
      <c r="V222" s="1965"/>
      <c r="W222" s="1965"/>
      <c r="X222" s="1965"/>
      <c r="Y222" s="1965"/>
      <c r="Z222" s="1965"/>
      <c r="AA222" s="1965"/>
      <c r="AB222" s="1965"/>
      <c r="AC222" s="1965"/>
      <c r="AD222" s="1965"/>
      <c r="AE222" s="1965"/>
      <c r="AF222" s="1965"/>
      <c r="AG222" s="1965"/>
      <c r="AH222" s="1965"/>
      <c r="AI222" s="1965"/>
      <c r="AJ222" s="1965"/>
    </row>
  </sheetData>
  <mergeCells count="1">
    <mergeCell ref="A1:L1"/>
  </mergeCells>
  <hyperlinks>
    <hyperlink ref="A1" location="GLOBAAL!A1" display="Kinderopvang" xr:uid="{00000000-0004-0000-3800-000000000000}"/>
    <hyperlink ref="A1:L1" location="FINANCIËN!A1" display="Kinderopvang" xr:uid="{00000000-0004-0000-3800-000001000000}"/>
  </hyperlinks>
  <pageMargins left="0.7" right="0.7" top="0.75" bottom="0.75" header="0.3" footer="0.3"/>
  <pageSetup paperSize="9"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E0C816"/>
  </sheetPr>
  <dimension ref="A1:AK222"/>
  <sheetViews>
    <sheetView workbookViewId="0">
      <pane ySplit="16" topLeftCell="A17" activePane="bottomLeft" state="frozen"/>
      <selection pane="bottomLeft" activeCell="A17" sqref="A17:XFD17"/>
    </sheetView>
  </sheetViews>
  <sheetFormatPr defaultColWidth="9.140625" defaultRowHeight="12.75"/>
  <cols>
    <col min="1" max="1" width="19.140625" style="3061" customWidth="1"/>
    <col min="2" max="2" width="15.7109375" style="3061" customWidth="1"/>
    <col min="3" max="3" width="13.140625" style="3060" customWidth="1"/>
    <col min="4" max="4" width="8.7109375" style="3060" bestFit="1" customWidth="1"/>
    <col min="5" max="5" width="9.42578125" style="3060" bestFit="1" customWidth="1"/>
    <col min="6" max="6" width="11.42578125" style="3060" customWidth="1"/>
    <col min="7" max="7" width="8.85546875" style="3060" bestFit="1" customWidth="1"/>
    <col min="8" max="13" width="13.7109375" style="3060" customWidth="1"/>
    <col min="14" max="14" width="10.85546875" style="3060" bestFit="1" customWidth="1"/>
    <col min="15" max="15" width="12.42578125" style="3060" bestFit="1" customWidth="1"/>
    <col min="16" max="16" width="10.85546875" style="3060" bestFit="1" customWidth="1"/>
    <col min="17" max="17" width="11" style="3060" bestFit="1" customWidth="1"/>
    <col min="18" max="18" width="10.85546875" style="3060" bestFit="1" customWidth="1"/>
    <col min="19" max="19" width="12.42578125" style="3060" bestFit="1" customWidth="1"/>
    <col min="20" max="20" width="10" style="3060" bestFit="1" customWidth="1"/>
    <col min="21" max="22" width="10.28515625" style="3060" bestFit="1" customWidth="1"/>
    <col min="23" max="23" width="9.28515625" style="3060" bestFit="1" customWidth="1"/>
    <col min="24" max="37" width="9.140625" style="3060"/>
    <col min="38" max="16384" width="9.140625" style="3061"/>
  </cols>
  <sheetData>
    <row r="1" spans="1:37" ht="21">
      <c r="A1" s="4829" t="s">
        <v>1001</v>
      </c>
      <c r="B1" s="4830"/>
      <c r="C1" s="4830"/>
      <c r="D1" s="4830"/>
      <c r="E1" s="4830"/>
      <c r="F1" s="4830"/>
      <c r="G1" s="4830"/>
      <c r="H1" s="4830"/>
      <c r="I1" s="4830"/>
      <c r="J1" s="4830"/>
      <c r="K1" s="4830"/>
      <c r="L1" s="4830"/>
      <c r="M1" s="4830"/>
    </row>
    <row r="2" spans="1:37" ht="13.5" thickBot="1">
      <c r="A2" s="594"/>
      <c r="B2" s="594"/>
    </row>
    <row r="3" spans="1:37" s="3063" customFormat="1" ht="18" customHeight="1" thickBot="1">
      <c r="A3" s="1963"/>
      <c r="B3" s="3815"/>
      <c r="C3" s="1964">
        <v>2007</v>
      </c>
      <c r="D3" s="1964">
        <v>2008</v>
      </c>
      <c r="E3" s="1964">
        <v>2009</v>
      </c>
      <c r="F3" s="1964">
        <v>2010</v>
      </c>
      <c r="G3" s="1964">
        <v>2011</v>
      </c>
      <c r="H3" s="1964">
        <v>2012</v>
      </c>
      <c r="I3" s="1964">
        <v>2013</v>
      </c>
      <c r="J3" s="1964">
        <v>2014</v>
      </c>
      <c r="K3" s="1964">
        <v>2015</v>
      </c>
      <c r="L3" s="1964">
        <v>2016</v>
      </c>
      <c r="M3" s="1964">
        <v>2017</v>
      </c>
      <c r="N3" s="1964">
        <v>2018</v>
      </c>
      <c r="O3" s="1964">
        <v>2019</v>
      </c>
      <c r="P3" s="3892">
        <v>2020</v>
      </c>
      <c r="Q3" s="3892">
        <v>2021</v>
      </c>
      <c r="R3" s="3062"/>
      <c r="S3" s="3062"/>
      <c r="T3" s="3062"/>
      <c r="U3" s="3062"/>
      <c r="V3" s="3062"/>
      <c r="W3" s="3062"/>
      <c r="X3" s="3062"/>
      <c r="Y3" s="3062"/>
      <c r="Z3" s="3062"/>
      <c r="AA3" s="3062"/>
      <c r="AB3" s="3062"/>
      <c r="AC3" s="3062"/>
      <c r="AD3" s="3062"/>
      <c r="AE3" s="3062"/>
      <c r="AF3" s="3062"/>
      <c r="AG3" s="3062"/>
      <c r="AH3" s="3062"/>
      <c r="AI3" s="3062"/>
      <c r="AJ3" s="3062"/>
      <c r="AK3" s="3062"/>
    </row>
    <row r="4" spans="1:37" s="3063" customFormat="1">
      <c r="A4" s="3064" t="s">
        <v>986</v>
      </c>
      <c r="B4" s="3085"/>
      <c r="C4" s="3065">
        <f t="shared" ref="C4:N4" si="0">H162</f>
        <v>250839.95999999993</v>
      </c>
      <c r="D4" s="3065">
        <f t="shared" si="0"/>
        <v>319644</v>
      </c>
      <c r="E4" s="3065">
        <f t="shared" si="0"/>
        <v>262455.88</v>
      </c>
      <c r="F4" s="3065">
        <f t="shared" si="0"/>
        <v>305339.45000000007</v>
      </c>
      <c r="G4" s="3065">
        <f t="shared" si="0"/>
        <v>282639.35999999999</v>
      </c>
      <c r="H4" s="3065">
        <f t="shared" si="0"/>
        <v>283673.94</v>
      </c>
      <c r="I4" s="3065">
        <f t="shared" si="0"/>
        <v>290406.52999999997</v>
      </c>
      <c r="J4" s="3065">
        <f t="shared" si="0"/>
        <v>264906</v>
      </c>
      <c r="K4" s="3065">
        <f t="shared" si="0"/>
        <v>276791.95600000001</v>
      </c>
      <c r="L4" s="3065">
        <f t="shared" si="0"/>
        <v>270329.20600000001</v>
      </c>
      <c r="M4" s="3065">
        <f t="shared" si="0"/>
        <v>263393.82600000006</v>
      </c>
      <c r="N4" s="3066">
        <f t="shared" si="0"/>
        <v>230174.89599999998</v>
      </c>
      <c r="O4" s="3066">
        <f>T162</f>
        <v>254833.367</v>
      </c>
      <c r="P4" s="3066">
        <f>U162</f>
        <v>239534.41099999999</v>
      </c>
      <c r="Q4" s="3066">
        <f>V162</f>
        <v>316962.15099999995</v>
      </c>
      <c r="R4" s="3062"/>
      <c r="S4" s="3062"/>
      <c r="T4" s="3062"/>
      <c r="U4" s="3062"/>
      <c r="V4" s="3062"/>
      <c r="W4" s="3062"/>
      <c r="X4" s="3062"/>
      <c r="Y4" s="3062"/>
      <c r="Z4" s="3062"/>
      <c r="AA4" s="3062"/>
      <c r="AB4" s="3062"/>
      <c r="AC4" s="3062"/>
      <c r="AD4" s="3062"/>
      <c r="AE4" s="3062"/>
      <c r="AF4" s="3062"/>
      <c r="AG4" s="3062"/>
      <c r="AH4" s="3062"/>
      <c r="AI4" s="3062"/>
      <c r="AJ4" s="3062"/>
      <c r="AK4" s="3062"/>
    </row>
    <row r="5" spans="1:37" s="3063" customFormat="1">
      <c r="A5" s="3064" t="s">
        <v>987</v>
      </c>
      <c r="B5" s="3085"/>
      <c r="C5" s="3065">
        <f t="shared" ref="C5:N5" si="1">H219</f>
        <v>26301.71</v>
      </c>
      <c r="D5" s="3065">
        <f t="shared" si="1"/>
        <v>117077.72999999998</v>
      </c>
      <c r="E5" s="3065">
        <f t="shared" si="1"/>
        <v>96956.62</v>
      </c>
      <c r="F5" s="3065">
        <f t="shared" si="1"/>
        <v>91790.77</v>
      </c>
      <c r="G5" s="3065">
        <f t="shared" si="1"/>
        <v>92832.53</v>
      </c>
      <c r="H5" s="3065">
        <f t="shared" si="1"/>
        <v>105788</v>
      </c>
      <c r="I5" s="3065">
        <f t="shared" si="1"/>
        <v>104321.54</v>
      </c>
      <c r="J5" s="3065">
        <f t="shared" si="1"/>
        <v>105026.51</v>
      </c>
      <c r="K5" s="3065">
        <f t="shared" si="1"/>
        <v>91103.1</v>
      </c>
      <c r="L5" s="3065">
        <f t="shared" si="1"/>
        <v>46950.09</v>
      </c>
      <c r="M5" s="3065">
        <f t="shared" si="1"/>
        <v>26260.65</v>
      </c>
      <c r="N5" s="3065">
        <f t="shared" si="1"/>
        <v>20830.95</v>
      </c>
      <c r="O5" s="3065">
        <f>T219</f>
        <v>60926.22</v>
      </c>
      <c r="P5" s="3065">
        <f>U219</f>
        <v>25351.920000000002</v>
      </c>
      <c r="Q5" s="3065">
        <f>V219</f>
        <v>13250.88</v>
      </c>
      <c r="R5" s="3062"/>
      <c r="S5" s="3062"/>
      <c r="T5" s="3062"/>
      <c r="U5" s="3062"/>
      <c r="V5" s="3062"/>
      <c r="W5" s="3062"/>
      <c r="X5" s="3062"/>
      <c r="Y5" s="3062"/>
      <c r="Z5" s="3062"/>
      <c r="AA5" s="3062"/>
      <c r="AB5" s="3062"/>
      <c r="AC5" s="3062"/>
      <c r="AD5" s="3062"/>
      <c r="AE5" s="3062"/>
      <c r="AF5" s="3062"/>
      <c r="AG5" s="3062"/>
      <c r="AH5" s="3062"/>
      <c r="AI5" s="3062"/>
      <c r="AJ5" s="3062"/>
      <c r="AK5" s="3062"/>
    </row>
    <row r="6" spans="1:37" s="3063" customFormat="1">
      <c r="A6" s="3064" t="s">
        <v>988</v>
      </c>
      <c r="B6" s="3085"/>
      <c r="C6" s="3065">
        <f>C5-C4</f>
        <v>-224538.24999999994</v>
      </c>
      <c r="D6" s="3065">
        <f t="shared" ref="D6:I6" si="2">D5-D4</f>
        <v>-202566.27000000002</v>
      </c>
      <c r="E6" s="3065">
        <f t="shared" si="2"/>
        <v>-165499.26</v>
      </c>
      <c r="F6" s="3065">
        <f t="shared" si="2"/>
        <v>-213548.68000000005</v>
      </c>
      <c r="G6" s="3065">
        <f t="shared" si="2"/>
        <v>-189806.83</v>
      </c>
      <c r="H6" s="3065">
        <f t="shared" si="2"/>
        <v>-177885.94</v>
      </c>
      <c r="I6" s="3065">
        <f t="shared" si="2"/>
        <v>-186084.99</v>
      </c>
      <c r="J6" s="3065">
        <f t="shared" ref="J6:P6" si="3">J5-J4</f>
        <v>-159879.49</v>
      </c>
      <c r="K6" s="3065">
        <f t="shared" si="3"/>
        <v>-185688.856</v>
      </c>
      <c r="L6" s="3065">
        <f t="shared" si="3"/>
        <v>-223379.11600000001</v>
      </c>
      <c r="M6" s="3065">
        <f t="shared" si="3"/>
        <v>-237133.17600000006</v>
      </c>
      <c r="N6" s="3065">
        <f t="shared" si="3"/>
        <v>-209343.94599999997</v>
      </c>
      <c r="O6" s="3065">
        <f t="shared" si="3"/>
        <v>-193907.147</v>
      </c>
      <c r="P6" s="3065">
        <f t="shared" si="3"/>
        <v>-214182.49099999998</v>
      </c>
      <c r="Q6" s="3065">
        <f t="shared" ref="Q6" si="4">Q5-Q4</f>
        <v>-303711.27099999995</v>
      </c>
      <c r="R6" s="3062"/>
      <c r="S6" s="3062"/>
      <c r="T6" s="3062"/>
      <c r="U6" s="3062"/>
      <c r="V6" s="3062"/>
      <c r="W6" s="3062"/>
      <c r="X6" s="3062"/>
      <c r="Y6" s="3062"/>
      <c r="Z6" s="3062"/>
      <c r="AA6" s="3062"/>
      <c r="AB6" s="3062"/>
      <c r="AC6" s="3062"/>
      <c r="AD6" s="3062"/>
      <c r="AE6" s="3062"/>
      <c r="AF6" s="3062"/>
      <c r="AG6" s="3062"/>
      <c r="AH6" s="3062"/>
      <c r="AI6" s="3062"/>
      <c r="AJ6" s="3062"/>
      <c r="AK6" s="3062"/>
    </row>
    <row r="7" spans="1:37" s="3063" customFormat="1">
      <c r="A7" s="3064"/>
      <c r="B7" s="3085"/>
      <c r="C7" s="3065"/>
      <c r="D7" s="3065"/>
      <c r="E7" s="3065"/>
      <c r="F7" s="3065"/>
      <c r="G7" s="3065"/>
      <c r="H7" s="3065"/>
      <c r="I7" s="3065"/>
      <c r="J7" s="3065"/>
      <c r="K7" s="3065"/>
      <c r="L7" s="3065"/>
      <c r="M7" s="3065"/>
      <c r="N7" s="3065"/>
      <c r="O7" s="3065"/>
      <c r="P7" s="3065"/>
      <c r="Q7" s="3065"/>
      <c r="R7" s="3062"/>
      <c r="S7" s="3062"/>
      <c r="T7" s="3062"/>
      <c r="U7" s="3062"/>
      <c r="V7" s="3062"/>
      <c r="W7" s="3062"/>
      <c r="X7" s="3062"/>
      <c r="Y7" s="3062"/>
      <c r="Z7" s="3062"/>
      <c r="AA7" s="3062"/>
      <c r="AB7" s="3062"/>
      <c r="AC7" s="3062"/>
      <c r="AD7" s="3062"/>
      <c r="AE7" s="3062"/>
      <c r="AF7" s="3062"/>
      <c r="AG7" s="3062"/>
      <c r="AH7" s="3062"/>
      <c r="AI7" s="3062"/>
      <c r="AJ7" s="3062"/>
      <c r="AK7" s="3062"/>
    </row>
    <row r="8" spans="1:37" s="3063" customFormat="1">
      <c r="A8" s="3064" t="s">
        <v>989</v>
      </c>
      <c r="B8" s="3085"/>
      <c r="C8" s="3065">
        <f t="shared" ref="C8:N8" si="5">H82</f>
        <v>166282.68999999994</v>
      </c>
      <c r="D8" s="3065">
        <f t="shared" si="5"/>
        <v>176877.69999999998</v>
      </c>
      <c r="E8" s="3065">
        <f t="shared" si="5"/>
        <v>171643.25</v>
      </c>
      <c r="F8" s="3065">
        <f t="shared" si="5"/>
        <v>188241.14000000004</v>
      </c>
      <c r="G8" s="3065">
        <f t="shared" si="5"/>
        <v>170047.99999999997</v>
      </c>
      <c r="H8" s="3065">
        <f t="shared" si="5"/>
        <v>174885.97999999998</v>
      </c>
      <c r="I8" s="3065">
        <f t="shared" si="5"/>
        <v>182922.05</v>
      </c>
      <c r="J8" s="3065">
        <f t="shared" si="5"/>
        <v>150843.81</v>
      </c>
      <c r="K8" s="3065">
        <f t="shared" si="5"/>
        <v>159022.63</v>
      </c>
      <c r="L8" s="3065">
        <f t="shared" si="5"/>
        <v>155060.18</v>
      </c>
      <c r="M8" s="3065">
        <f t="shared" si="5"/>
        <v>134158.21000000002</v>
      </c>
      <c r="N8" s="3065">
        <f t="shared" si="5"/>
        <v>111551.68999999999</v>
      </c>
      <c r="O8" s="3065">
        <f>T82</f>
        <v>104216.93000000002</v>
      </c>
      <c r="P8" s="3065">
        <f>U82</f>
        <v>98151.92</v>
      </c>
      <c r="Q8" s="3065">
        <f>V82</f>
        <v>106272.60999999999</v>
      </c>
      <c r="R8" s="3062"/>
      <c r="S8" s="3062"/>
      <c r="T8" s="3062"/>
      <c r="U8" s="3062"/>
      <c r="V8" s="3062"/>
      <c r="W8" s="3062"/>
      <c r="X8" s="3062"/>
      <c r="Y8" s="3062"/>
      <c r="Z8" s="3062"/>
      <c r="AA8" s="3062"/>
      <c r="AB8" s="3062"/>
      <c r="AC8" s="3062"/>
      <c r="AD8" s="3062"/>
      <c r="AE8" s="3062"/>
      <c r="AF8" s="3062"/>
      <c r="AG8" s="3062"/>
      <c r="AH8" s="3062"/>
      <c r="AI8" s="3062"/>
      <c r="AJ8" s="3062"/>
      <c r="AK8" s="3062"/>
    </row>
    <row r="9" spans="1:37" s="3063" customFormat="1">
      <c r="A9" s="3064" t="s">
        <v>990</v>
      </c>
      <c r="B9" s="3085"/>
      <c r="C9" s="3065">
        <f t="shared" ref="C9:N9" si="6">H139</f>
        <v>35917.62000000001</v>
      </c>
      <c r="D9" s="3065">
        <f t="shared" si="6"/>
        <v>87051.849999999991</v>
      </c>
      <c r="E9" s="3065">
        <f t="shared" si="6"/>
        <v>31454.63</v>
      </c>
      <c r="F9" s="3065">
        <f t="shared" si="6"/>
        <v>31812.41</v>
      </c>
      <c r="G9" s="3065">
        <f t="shared" si="6"/>
        <v>37327.360000000008</v>
      </c>
      <c r="H9" s="3065">
        <f t="shared" si="6"/>
        <v>34581.359999999993</v>
      </c>
      <c r="I9" s="3065">
        <f t="shared" si="6"/>
        <v>32872.370000000003</v>
      </c>
      <c r="J9" s="3065">
        <f t="shared" si="6"/>
        <v>69685.929999999993</v>
      </c>
      <c r="K9" s="3065">
        <f t="shared" si="6"/>
        <v>59304.590000000004</v>
      </c>
      <c r="L9" s="3065">
        <f t="shared" si="6"/>
        <v>56505.579999999994</v>
      </c>
      <c r="M9" s="3065">
        <f t="shared" si="6"/>
        <v>78645.290000000008</v>
      </c>
      <c r="N9" s="3065">
        <f t="shared" si="6"/>
        <v>62980.35</v>
      </c>
      <c r="O9" s="3065">
        <f>T139</f>
        <v>98249.579999999987</v>
      </c>
      <c r="P9" s="3065">
        <f>U139</f>
        <v>64692.11</v>
      </c>
      <c r="Q9" s="3065">
        <f>V139</f>
        <v>158475.96</v>
      </c>
      <c r="R9" s="3062"/>
      <c r="S9" s="3062"/>
      <c r="T9" s="3062"/>
      <c r="U9" s="3062"/>
      <c r="V9" s="3062"/>
      <c r="W9" s="3062"/>
      <c r="X9" s="3062"/>
      <c r="Y9" s="3062"/>
      <c r="Z9" s="3062"/>
      <c r="AA9" s="3062"/>
      <c r="AB9" s="3062"/>
      <c r="AC9" s="3062"/>
      <c r="AD9" s="3062"/>
      <c r="AE9" s="3062"/>
      <c r="AF9" s="3062"/>
      <c r="AG9" s="3062"/>
      <c r="AH9" s="3062"/>
      <c r="AI9" s="3062"/>
      <c r="AJ9" s="3062"/>
      <c r="AK9" s="3062"/>
    </row>
    <row r="10" spans="1:37" s="3063" customFormat="1">
      <c r="A10" s="3064" t="s">
        <v>991</v>
      </c>
      <c r="B10" s="3085"/>
      <c r="C10" s="3065">
        <f t="shared" ref="C10:N10" si="7">H156</f>
        <v>48639.65</v>
      </c>
      <c r="D10" s="3065">
        <f t="shared" si="7"/>
        <v>55634.65</v>
      </c>
      <c r="E10" s="3065">
        <f t="shared" si="7"/>
        <v>59278.200000000004</v>
      </c>
      <c r="F10" s="3065">
        <f t="shared" si="7"/>
        <v>83540.5</v>
      </c>
      <c r="G10" s="3065">
        <f t="shared" si="7"/>
        <v>73518.599999999991</v>
      </c>
      <c r="H10" s="3065">
        <f t="shared" si="7"/>
        <v>72461.2</v>
      </c>
      <c r="I10" s="3065">
        <f t="shared" si="7"/>
        <v>72946.510000000009</v>
      </c>
      <c r="J10" s="3065">
        <f t="shared" si="7"/>
        <v>40953.39</v>
      </c>
      <c r="K10" s="3065">
        <f t="shared" si="7"/>
        <v>53837.07</v>
      </c>
      <c r="L10" s="3065">
        <f t="shared" si="7"/>
        <v>54135.779999999992</v>
      </c>
      <c r="M10" s="3065">
        <f t="shared" si="7"/>
        <v>45962.659999999996</v>
      </c>
      <c r="N10" s="3065">
        <f t="shared" si="7"/>
        <v>50804.19</v>
      </c>
      <c r="O10" s="3065">
        <f>T156</f>
        <v>48512.62</v>
      </c>
      <c r="P10" s="3065">
        <f>U156</f>
        <v>75706.540000000008</v>
      </c>
      <c r="Q10" s="3065">
        <f>V156</f>
        <v>51229.740000000005</v>
      </c>
      <c r="R10" s="3062"/>
      <c r="S10" s="3062"/>
      <c r="T10" s="3062"/>
      <c r="U10" s="3062"/>
      <c r="V10" s="3062"/>
      <c r="W10" s="3062"/>
      <c r="X10" s="3062"/>
      <c r="Y10" s="3062"/>
      <c r="Z10" s="3062"/>
      <c r="AA10" s="3062"/>
      <c r="AB10" s="3062"/>
      <c r="AC10" s="3062"/>
      <c r="AD10" s="3062"/>
      <c r="AE10" s="3062"/>
      <c r="AF10" s="3062"/>
      <c r="AG10" s="3062"/>
      <c r="AH10" s="3062"/>
      <c r="AI10" s="3062"/>
      <c r="AJ10" s="3062"/>
      <c r="AK10" s="3062"/>
    </row>
    <row r="11" spans="1:37" s="3063" customFormat="1" ht="13.5" thickBot="1">
      <c r="A11" s="3064" t="s">
        <v>47</v>
      </c>
      <c r="B11" s="3085"/>
      <c r="C11" s="3065">
        <f t="shared" ref="C11:N11" si="8">H161</f>
        <v>0</v>
      </c>
      <c r="D11" s="3065">
        <f t="shared" si="8"/>
        <v>79.8</v>
      </c>
      <c r="E11" s="3065">
        <f t="shared" si="8"/>
        <v>79.8</v>
      </c>
      <c r="F11" s="3065">
        <f t="shared" si="8"/>
        <v>1745.3999999999999</v>
      </c>
      <c r="G11" s="3065">
        <f t="shared" si="8"/>
        <v>1745.3999999999999</v>
      </c>
      <c r="H11" s="3065">
        <f t="shared" si="8"/>
        <v>1745.3999999999999</v>
      </c>
      <c r="I11" s="3065">
        <f t="shared" si="8"/>
        <v>1665.6</v>
      </c>
      <c r="J11" s="3065">
        <f t="shared" si="8"/>
        <v>3422.87</v>
      </c>
      <c r="K11" s="3065">
        <f t="shared" si="8"/>
        <v>4627.6660000000002</v>
      </c>
      <c r="L11" s="3065">
        <f t="shared" si="8"/>
        <v>4627.6660000000002</v>
      </c>
      <c r="M11" s="3065">
        <f t="shared" si="8"/>
        <v>4627.6660000000002</v>
      </c>
      <c r="N11" s="3068">
        <f t="shared" si="8"/>
        <v>4838.6660000000002</v>
      </c>
      <c r="O11" s="3068">
        <f>T161</f>
        <v>3854.2369999999996</v>
      </c>
      <c r="P11" s="3068">
        <f>U161</f>
        <v>983.84100000000001</v>
      </c>
      <c r="Q11" s="3068">
        <f>V161</f>
        <v>983.84100000000001</v>
      </c>
      <c r="R11" s="3062"/>
      <c r="S11" s="3062"/>
      <c r="T11" s="3062"/>
      <c r="U11" s="3062"/>
      <c r="V11" s="3062"/>
      <c r="W11" s="3062"/>
      <c r="X11" s="3062"/>
      <c r="Y11" s="3062"/>
      <c r="Z11" s="3062"/>
      <c r="AA11" s="3062"/>
      <c r="AB11" s="3062"/>
      <c r="AC11" s="3062"/>
      <c r="AD11" s="3062"/>
      <c r="AE11" s="3062"/>
      <c r="AF11" s="3062"/>
      <c r="AG11" s="3062"/>
      <c r="AH11" s="3062"/>
      <c r="AI11" s="3062"/>
      <c r="AJ11" s="3062"/>
      <c r="AK11" s="3062"/>
    </row>
    <row r="12" spans="1:37" s="3063" customFormat="1" ht="13.5" thickBot="1">
      <c r="A12" s="3069" t="s">
        <v>8</v>
      </c>
      <c r="B12" s="3818"/>
      <c r="C12" s="3070">
        <f>SUM(C8:C11)</f>
        <v>250839.95999999993</v>
      </c>
      <c r="D12" s="3070">
        <f t="shared" ref="D12:I12" si="9">SUM(D8:D11)</f>
        <v>319644</v>
      </c>
      <c r="E12" s="3070">
        <f t="shared" si="9"/>
        <v>262455.88</v>
      </c>
      <c r="F12" s="3070">
        <f t="shared" si="9"/>
        <v>305339.45000000007</v>
      </c>
      <c r="G12" s="3070">
        <f t="shared" si="9"/>
        <v>282639.35999999999</v>
      </c>
      <c r="H12" s="3070">
        <f t="shared" si="9"/>
        <v>283673.94</v>
      </c>
      <c r="I12" s="3070">
        <f t="shared" si="9"/>
        <v>290406.52999999997</v>
      </c>
      <c r="J12" s="3070">
        <f t="shared" ref="J12:Q12" si="10">SUM(J8:J11)</f>
        <v>264906</v>
      </c>
      <c r="K12" s="3070">
        <f t="shared" si="10"/>
        <v>276791.95600000001</v>
      </c>
      <c r="L12" s="3070">
        <f t="shared" si="10"/>
        <v>270329.20600000001</v>
      </c>
      <c r="M12" s="3070">
        <f t="shared" si="10"/>
        <v>263393.82600000006</v>
      </c>
      <c r="N12" s="3070">
        <f t="shared" si="10"/>
        <v>230174.89599999998</v>
      </c>
      <c r="O12" s="3070">
        <f t="shared" si="10"/>
        <v>254833.367</v>
      </c>
      <c r="P12" s="3070">
        <f t="shared" si="10"/>
        <v>239534.41099999999</v>
      </c>
      <c r="Q12" s="3070">
        <f t="shared" si="10"/>
        <v>316962.15099999995</v>
      </c>
      <c r="R12" s="3062"/>
      <c r="S12" s="3062"/>
      <c r="T12" s="3062"/>
      <c r="U12" s="3062"/>
      <c r="V12" s="3062"/>
      <c r="W12" s="3062"/>
      <c r="X12" s="3062"/>
      <c r="Y12" s="3062"/>
      <c r="Z12" s="3062"/>
      <c r="AA12" s="3062"/>
      <c r="AB12" s="3062"/>
      <c r="AC12" s="3062"/>
      <c r="AD12" s="3062"/>
      <c r="AE12" s="3062"/>
      <c r="AF12" s="3062"/>
      <c r="AG12" s="3062"/>
      <c r="AH12" s="3062"/>
      <c r="AI12" s="3062"/>
      <c r="AJ12" s="3062"/>
      <c r="AK12" s="3062"/>
    </row>
    <row r="13" spans="1:37" s="3063" customFormat="1">
      <c r="C13" s="3062"/>
      <c r="D13" s="3062"/>
      <c r="E13" s="3062"/>
      <c r="F13" s="3062"/>
      <c r="G13" s="3062"/>
      <c r="H13" s="3062"/>
      <c r="I13" s="3062"/>
      <c r="J13" s="3062"/>
      <c r="K13" s="3062"/>
      <c r="L13" s="3062"/>
      <c r="M13" s="3062"/>
      <c r="N13" s="3062"/>
      <c r="O13" s="3062"/>
      <c r="P13" s="3062"/>
      <c r="Q13" s="3062"/>
      <c r="R13" s="3062"/>
      <c r="S13" s="3062"/>
      <c r="T13" s="3062"/>
      <c r="U13" s="3062"/>
      <c r="V13" s="3062"/>
      <c r="W13" s="3062"/>
      <c r="X13" s="3062"/>
      <c r="Y13" s="3062"/>
      <c r="Z13" s="3062"/>
      <c r="AA13" s="3062"/>
      <c r="AB13" s="3062"/>
      <c r="AC13" s="3062"/>
      <c r="AD13" s="3062"/>
      <c r="AE13" s="3062"/>
      <c r="AF13" s="3062"/>
      <c r="AG13" s="3062"/>
      <c r="AH13" s="3062"/>
      <c r="AI13" s="3062"/>
      <c r="AJ13" s="3062"/>
      <c r="AK13" s="3062"/>
    </row>
    <row r="14" spans="1:37" s="3063" customFormat="1">
      <c r="A14" s="4890" t="s">
        <v>993</v>
      </c>
      <c r="B14" s="4890"/>
      <c r="C14" s="4890"/>
      <c r="D14" s="3062">
        <f>(D8/C8)*100-100</f>
        <v>6.3716854712899078</v>
      </c>
      <c r="E14" s="3062">
        <f t="shared" ref="E14:N15" si="11">(E8/D8)*100-100</f>
        <v>-2.9593611857232247</v>
      </c>
      <c r="F14" s="3062">
        <f t="shared" si="11"/>
        <v>9.6699928485390672</v>
      </c>
      <c r="G14" s="3062">
        <f t="shared" si="11"/>
        <v>-9.6648054723850834</v>
      </c>
      <c r="H14" s="3062">
        <f t="shared" si="11"/>
        <v>2.8450672751223323</v>
      </c>
      <c r="I14" s="3062">
        <f t="shared" si="11"/>
        <v>4.5950338614907764</v>
      </c>
      <c r="J14" s="3062">
        <f t="shared" si="11"/>
        <v>-17.536562705261602</v>
      </c>
      <c r="K14" s="3062">
        <f t="shared" si="11"/>
        <v>5.4220454919562115</v>
      </c>
      <c r="L14" s="3062">
        <f t="shared" si="11"/>
        <v>-2.4917522745033267</v>
      </c>
      <c r="M14" s="3062">
        <f t="shared" si="11"/>
        <v>-13.479908252395916</v>
      </c>
      <c r="N14" s="3062">
        <f t="shared" si="11"/>
        <v>-16.850642237996496</v>
      </c>
      <c r="O14" s="3062">
        <f t="shared" ref="O14:Q15" si="12">(O8/N8)*100-100</f>
        <v>-6.5752119040060819</v>
      </c>
      <c r="P14" s="3062">
        <f t="shared" si="12"/>
        <v>-5.8196014793373934</v>
      </c>
      <c r="Q14" s="3062">
        <f t="shared" si="12"/>
        <v>8.2735926103126616</v>
      </c>
      <c r="R14" s="3062"/>
      <c r="S14" s="3062"/>
      <c r="T14" s="3062"/>
      <c r="U14" s="3062"/>
      <c r="V14" s="3062"/>
      <c r="W14" s="3062"/>
      <c r="X14" s="3062"/>
      <c r="Y14" s="3062"/>
      <c r="Z14" s="3062"/>
      <c r="AA14" s="3062"/>
      <c r="AB14" s="3062"/>
      <c r="AC14" s="3062"/>
      <c r="AD14" s="3062"/>
      <c r="AE14" s="3062"/>
      <c r="AF14" s="3062"/>
      <c r="AG14" s="3062"/>
      <c r="AH14" s="3062"/>
      <c r="AI14" s="3062"/>
      <c r="AJ14" s="3062"/>
      <c r="AK14" s="3062"/>
    </row>
    <row r="15" spans="1:37" s="3063" customFormat="1">
      <c r="A15" s="4890" t="s">
        <v>994</v>
      </c>
      <c r="B15" s="4890"/>
      <c r="C15" s="4890"/>
      <c r="D15" s="3062">
        <f>(D9/C9)*100-100</f>
        <v>142.36530705542285</v>
      </c>
      <c r="E15" s="3062">
        <f t="shared" si="11"/>
        <v>-63.866787437601843</v>
      </c>
      <c r="F15" s="3062">
        <f t="shared" si="11"/>
        <v>1.1374478097501139</v>
      </c>
      <c r="G15" s="3062">
        <f t="shared" si="11"/>
        <v>17.335844722232636</v>
      </c>
      <c r="H15" s="3062">
        <f t="shared" si="11"/>
        <v>-7.3565341883273163</v>
      </c>
      <c r="I15" s="3062">
        <f t="shared" si="11"/>
        <v>-4.9419398196022115</v>
      </c>
      <c r="J15" s="3062">
        <f t="shared" si="11"/>
        <v>111.98936979597147</v>
      </c>
      <c r="K15" s="3062">
        <f t="shared" si="11"/>
        <v>-14.897325758585694</v>
      </c>
      <c r="L15" s="3062">
        <f t="shared" si="11"/>
        <v>-4.7197189964554411</v>
      </c>
      <c r="M15" s="3062">
        <f t="shared" si="11"/>
        <v>39.181457831244302</v>
      </c>
      <c r="N15" s="3062">
        <f t="shared" si="11"/>
        <v>-19.918471913575502</v>
      </c>
      <c r="O15" s="3062">
        <f t="shared" si="12"/>
        <v>56.000371544457892</v>
      </c>
      <c r="P15" s="3062">
        <f t="shared" si="12"/>
        <v>-34.155331758161196</v>
      </c>
      <c r="Q15" s="3062">
        <f t="shared" si="12"/>
        <v>144.96953337895457</v>
      </c>
      <c r="R15" s="3062"/>
      <c r="S15" s="3062"/>
      <c r="T15" s="3062"/>
      <c r="U15" s="3062"/>
      <c r="V15" s="3062"/>
      <c r="W15" s="3062"/>
      <c r="X15" s="3062"/>
      <c r="Y15" s="3062"/>
      <c r="Z15" s="3062"/>
      <c r="AA15" s="3062"/>
      <c r="AB15" s="3062"/>
      <c r="AC15" s="3062"/>
      <c r="AD15" s="3062"/>
      <c r="AE15" s="3062"/>
      <c r="AF15" s="3062"/>
      <c r="AG15" s="3062"/>
      <c r="AH15" s="3062"/>
      <c r="AI15" s="3062"/>
      <c r="AJ15" s="3062"/>
      <c r="AK15" s="3062"/>
    </row>
    <row r="16" spans="1:37" s="3063" customFormat="1">
      <c r="A16" s="4890" t="s">
        <v>995</v>
      </c>
      <c r="B16" s="4890"/>
      <c r="C16" s="4890"/>
      <c r="D16" s="3062" t="e">
        <f>(D11/C11)*100-100</f>
        <v>#DIV/0!</v>
      </c>
      <c r="E16" s="3062">
        <f t="shared" ref="E16:N16" si="13">(E11/D11)*100-100</f>
        <v>0</v>
      </c>
      <c r="F16" s="3062">
        <f t="shared" si="13"/>
        <v>2087.218045112782</v>
      </c>
      <c r="G16" s="3062">
        <f t="shared" si="13"/>
        <v>0</v>
      </c>
      <c r="H16" s="3062">
        <f t="shared" si="13"/>
        <v>0</v>
      </c>
      <c r="I16" s="3062">
        <f t="shared" si="13"/>
        <v>-4.5720178755586147</v>
      </c>
      <c r="J16" s="3062">
        <f t="shared" si="13"/>
        <v>105.5037223823247</v>
      </c>
      <c r="K16" s="3062">
        <f t="shared" si="13"/>
        <v>35.198415364883857</v>
      </c>
      <c r="L16" s="3062">
        <f t="shared" si="13"/>
        <v>0</v>
      </c>
      <c r="M16" s="3062">
        <f t="shared" si="13"/>
        <v>0</v>
      </c>
      <c r="N16" s="3062">
        <f t="shared" si="13"/>
        <v>4.5595338989460288</v>
      </c>
      <c r="O16" s="3062">
        <f>(O11/N11)*100-100</f>
        <v>-20.345049647981497</v>
      </c>
      <c r="P16" s="3062">
        <f>(P11/O11)*100-100</f>
        <v>-74.473780413607159</v>
      </c>
      <c r="Q16" s="3062">
        <f>(Q11/P11)*100-100</f>
        <v>0</v>
      </c>
      <c r="R16" s="3062"/>
      <c r="S16" s="3062"/>
      <c r="T16" s="3062"/>
      <c r="U16" s="3062"/>
      <c r="V16" s="3062"/>
      <c r="W16" s="3062"/>
      <c r="X16" s="3062"/>
      <c r="Y16" s="3062"/>
      <c r="Z16" s="3062"/>
      <c r="AA16" s="3062"/>
      <c r="AB16" s="3062"/>
      <c r="AC16" s="3062"/>
      <c r="AD16" s="3062"/>
      <c r="AE16" s="3062"/>
      <c r="AF16" s="3062"/>
      <c r="AG16" s="3062"/>
      <c r="AH16" s="3062"/>
      <c r="AI16" s="3062"/>
      <c r="AJ16" s="3062"/>
      <c r="AK16" s="3062"/>
    </row>
    <row r="17" spans="1:37" s="3063" customFormat="1">
      <c r="C17" s="3062"/>
      <c r="D17" s="3062"/>
      <c r="E17" s="3062"/>
      <c r="F17" s="3062"/>
      <c r="G17" s="3062"/>
      <c r="H17" s="3062"/>
      <c r="I17" s="3062"/>
      <c r="J17" s="3062"/>
      <c r="K17" s="3062"/>
      <c r="L17" s="3062"/>
      <c r="M17" s="3062"/>
      <c r="N17" s="3062"/>
      <c r="O17" s="3062"/>
      <c r="P17" s="3062"/>
      <c r="Q17" s="3062"/>
      <c r="R17" s="3062"/>
      <c r="S17" s="3062"/>
      <c r="T17" s="3062"/>
      <c r="U17" s="3062"/>
      <c r="V17" s="3062"/>
      <c r="W17" s="3062"/>
      <c r="X17" s="3062"/>
      <c r="Y17" s="3062"/>
      <c r="Z17" s="3062"/>
      <c r="AA17" s="3062"/>
      <c r="AB17" s="3062"/>
      <c r="AC17" s="3062"/>
      <c r="AD17" s="3062"/>
      <c r="AE17" s="3062"/>
      <c r="AF17" s="3062"/>
      <c r="AG17" s="3062"/>
      <c r="AH17" s="3062"/>
      <c r="AI17" s="3062"/>
      <c r="AJ17" s="3062"/>
      <c r="AK17" s="3062"/>
    </row>
    <row r="18" spans="1:37" s="3063" customFormat="1">
      <c r="C18" s="3062"/>
      <c r="D18" s="3062"/>
      <c r="E18" s="3062"/>
      <c r="F18" s="3062"/>
      <c r="G18" s="3062"/>
      <c r="H18" s="3062"/>
      <c r="I18" s="3062"/>
      <c r="J18" s="3062"/>
      <c r="K18" s="3062"/>
      <c r="L18" s="3062"/>
      <c r="M18" s="3062"/>
      <c r="N18" s="3062"/>
      <c r="O18" s="3062"/>
      <c r="P18" s="3062"/>
      <c r="Q18" s="3062"/>
      <c r="R18" s="3062"/>
      <c r="S18" s="3062"/>
      <c r="T18" s="3062"/>
      <c r="U18" s="3062"/>
      <c r="V18" s="3062"/>
      <c r="W18" s="3062"/>
      <c r="X18" s="3062"/>
      <c r="Y18" s="3062"/>
      <c r="Z18" s="3062"/>
      <c r="AA18" s="3062"/>
      <c r="AB18" s="3062"/>
      <c r="AC18" s="3062"/>
      <c r="AD18" s="3062"/>
      <c r="AE18" s="3062"/>
      <c r="AF18" s="3062"/>
      <c r="AG18" s="3062"/>
      <c r="AH18" s="3062"/>
      <c r="AI18" s="3062"/>
      <c r="AJ18" s="3062"/>
      <c r="AK18" s="3062"/>
    </row>
    <row r="19" spans="1:37" s="3063" customFormat="1">
      <c r="C19" s="3062"/>
      <c r="D19" s="3062"/>
      <c r="E19" s="3062"/>
      <c r="F19" s="3062"/>
      <c r="G19" s="3062"/>
      <c r="H19" s="3062"/>
      <c r="I19" s="3062"/>
      <c r="J19" s="3062"/>
      <c r="K19" s="3062"/>
      <c r="L19" s="3062"/>
      <c r="M19" s="3062"/>
      <c r="N19" s="3062"/>
      <c r="O19" s="3062"/>
      <c r="P19" s="3062"/>
      <c r="Q19" s="3062"/>
      <c r="R19" s="3062"/>
      <c r="S19" s="3062"/>
      <c r="T19" s="3062"/>
      <c r="U19" s="3062"/>
      <c r="V19" s="3062"/>
      <c r="W19" s="3062"/>
      <c r="X19" s="3062"/>
      <c r="Y19" s="3062"/>
      <c r="Z19" s="3062"/>
      <c r="AA19" s="3062"/>
      <c r="AB19" s="3062"/>
      <c r="AC19" s="3062"/>
      <c r="AD19" s="3062"/>
      <c r="AE19" s="3062"/>
      <c r="AF19" s="3062"/>
      <c r="AG19" s="3062"/>
      <c r="AH19" s="3062"/>
      <c r="AI19" s="3062"/>
      <c r="AJ19" s="3062"/>
      <c r="AK19" s="3062"/>
    </row>
    <row r="20" spans="1:37" s="3063" customFormat="1">
      <c r="C20" s="3062"/>
      <c r="D20" s="3062"/>
      <c r="E20" s="3062"/>
      <c r="F20" s="3062"/>
      <c r="G20" s="3062"/>
      <c r="H20" s="3062"/>
      <c r="I20" s="3062"/>
      <c r="J20" s="3062"/>
      <c r="K20" s="3062"/>
      <c r="L20" s="3062"/>
      <c r="M20" s="3062"/>
      <c r="N20" s="3062"/>
      <c r="O20" s="3062"/>
      <c r="P20" s="3062"/>
      <c r="Q20" s="3062"/>
      <c r="R20" s="3062"/>
      <c r="S20" s="3062"/>
      <c r="T20" s="3062"/>
      <c r="U20" s="3062"/>
      <c r="V20" s="3062"/>
      <c r="W20" s="3062"/>
      <c r="X20" s="3062"/>
      <c r="Y20" s="3062"/>
      <c r="Z20" s="3062"/>
      <c r="AA20" s="3062"/>
      <c r="AB20" s="3062"/>
      <c r="AC20" s="3062"/>
      <c r="AD20" s="3062"/>
      <c r="AE20" s="3062"/>
      <c r="AF20" s="3062"/>
      <c r="AG20" s="3062"/>
      <c r="AH20" s="3062"/>
      <c r="AI20" s="3062"/>
      <c r="AJ20" s="3062"/>
      <c r="AK20" s="3062"/>
    </row>
    <row r="21" spans="1:37" s="3063" customFormat="1">
      <c r="C21" s="3062"/>
      <c r="D21" s="3062"/>
      <c r="E21" s="3062"/>
      <c r="F21" s="3062"/>
      <c r="G21" s="3062"/>
      <c r="H21" s="3062"/>
      <c r="I21" s="3062"/>
      <c r="J21" s="3062"/>
      <c r="K21" s="3062"/>
      <c r="L21" s="3062"/>
      <c r="M21" s="3062"/>
      <c r="N21" s="3062"/>
      <c r="O21" s="3062"/>
      <c r="P21" s="3062"/>
      <c r="Q21" s="3062"/>
      <c r="R21" s="3062"/>
      <c r="S21" s="3062"/>
      <c r="T21" s="3062"/>
      <c r="U21" s="3062"/>
      <c r="V21" s="3062"/>
      <c r="W21" s="3062"/>
      <c r="X21" s="3062"/>
      <c r="Y21" s="3062"/>
      <c r="Z21" s="3062"/>
      <c r="AA21" s="3062"/>
      <c r="AB21" s="3062"/>
      <c r="AC21" s="3062"/>
      <c r="AD21" s="3062"/>
      <c r="AE21" s="3062"/>
      <c r="AF21" s="3062"/>
      <c r="AG21" s="3062"/>
      <c r="AH21" s="3062"/>
      <c r="AI21" s="3062"/>
      <c r="AJ21" s="3062"/>
      <c r="AK21" s="3062"/>
    </row>
    <row r="22" spans="1:37" s="3063" customFormat="1">
      <c r="A22" s="3071" t="s">
        <v>7071</v>
      </c>
      <c r="B22" s="3071"/>
      <c r="H22" s="3062"/>
      <c r="I22" s="3062"/>
      <c r="J22" s="3062"/>
      <c r="K22" s="3062"/>
      <c r="L22" s="3062"/>
      <c r="M22" s="3062"/>
      <c r="N22" s="3062"/>
      <c r="R22" s="3062"/>
      <c r="S22" s="3062"/>
      <c r="T22" s="3062"/>
      <c r="U22" s="3062"/>
      <c r="V22" s="3062"/>
      <c r="W22" s="3062"/>
      <c r="X22" s="3062"/>
      <c r="Y22" s="3062"/>
      <c r="Z22" s="3062"/>
      <c r="AD22" s="3062"/>
      <c r="AE22" s="3062"/>
      <c r="AF22" s="3062"/>
      <c r="AG22" s="3062"/>
      <c r="AH22" s="3062"/>
      <c r="AI22" s="3062"/>
      <c r="AJ22" s="3062"/>
      <c r="AK22" s="3062"/>
    </row>
    <row r="23" spans="1:37" s="3063" customFormat="1">
      <c r="A23" s="3072"/>
      <c r="B23" s="3072"/>
      <c r="H23" s="3062"/>
      <c r="I23" s="3062"/>
      <c r="J23" s="3062"/>
      <c r="K23" s="3062"/>
      <c r="L23" s="3062"/>
      <c r="M23" s="3062"/>
      <c r="N23" s="3062"/>
      <c r="R23" s="3062"/>
      <c r="S23" s="3062"/>
      <c r="T23" s="3062"/>
      <c r="U23" s="3062"/>
      <c r="V23" s="3062"/>
      <c r="W23" s="3062"/>
      <c r="X23" s="3062"/>
      <c r="Y23" s="3062"/>
      <c r="Z23" s="3062"/>
      <c r="AD23" s="3062"/>
      <c r="AE23" s="3062"/>
      <c r="AF23" s="3062"/>
      <c r="AG23" s="3062"/>
      <c r="AH23" s="3062"/>
      <c r="AI23" s="3062"/>
      <c r="AJ23" s="3062"/>
      <c r="AK23" s="3062"/>
    </row>
    <row r="24" spans="1:37" s="3063" customFormat="1">
      <c r="A24" s="3073" t="s">
        <v>623</v>
      </c>
      <c r="B24" s="3074"/>
      <c r="C24" s="3074" t="s">
        <v>1002</v>
      </c>
      <c r="D24" s="3074"/>
      <c r="E24" s="3074"/>
      <c r="F24" s="3074"/>
      <c r="G24" s="3074"/>
      <c r="H24" s="3075">
        <v>2007</v>
      </c>
      <c r="I24" s="3075">
        <v>2008</v>
      </c>
      <c r="J24" s="3075">
        <v>2009</v>
      </c>
      <c r="K24" s="3075">
        <v>2010</v>
      </c>
      <c r="L24" s="3075">
        <v>2011</v>
      </c>
      <c r="M24" s="3075">
        <v>2012</v>
      </c>
      <c r="N24" s="3075">
        <v>2013</v>
      </c>
      <c r="O24" s="3075">
        <v>2014</v>
      </c>
      <c r="P24" s="3075">
        <v>2015</v>
      </c>
      <c r="Q24" s="3075">
        <v>2016</v>
      </c>
      <c r="R24" s="3075">
        <v>2017</v>
      </c>
      <c r="S24" s="3075">
        <v>2018</v>
      </c>
      <c r="T24" s="3075">
        <v>2019</v>
      </c>
      <c r="U24" s="3075">
        <v>2020</v>
      </c>
      <c r="V24" s="3075">
        <v>2021</v>
      </c>
      <c r="W24" s="3076">
        <v>2022</v>
      </c>
      <c r="X24" s="3077"/>
      <c r="Y24" s="3077"/>
      <c r="Z24" s="3077"/>
      <c r="AA24" s="3072"/>
      <c r="AB24" s="3072"/>
      <c r="AC24" s="3072"/>
      <c r="AD24" s="3062"/>
      <c r="AE24" s="3062"/>
      <c r="AF24" s="3062"/>
      <c r="AG24" s="3062"/>
      <c r="AH24" s="3062"/>
      <c r="AI24" s="3062"/>
      <c r="AJ24" s="3062"/>
      <c r="AK24" s="3062"/>
    </row>
    <row r="25" spans="1:37" s="3063" customFormat="1">
      <c r="A25" s="3078" t="s">
        <v>1003</v>
      </c>
      <c r="B25" s="3819"/>
      <c r="C25" s="3079"/>
      <c r="D25" s="3079"/>
      <c r="E25" s="3079"/>
      <c r="F25" s="3079"/>
      <c r="G25" s="3079"/>
      <c r="H25" s="3080"/>
      <c r="I25" s="3080"/>
      <c r="J25" s="3080"/>
      <c r="K25" s="3080"/>
      <c r="L25" s="3080"/>
      <c r="M25" s="3080"/>
      <c r="N25" s="3080"/>
      <c r="O25" s="3079"/>
      <c r="P25" s="3079"/>
      <c r="Q25" s="3079"/>
      <c r="R25" s="3080"/>
      <c r="S25" s="3080"/>
      <c r="T25" s="3080"/>
      <c r="U25" s="3080"/>
      <c r="V25" s="3080"/>
      <c r="W25" s="3081"/>
      <c r="X25" s="3062"/>
      <c r="Y25" s="3062"/>
      <c r="Z25" s="3062"/>
      <c r="AD25" s="3062"/>
      <c r="AE25" s="3062"/>
      <c r="AF25" s="3062"/>
      <c r="AG25" s="3062"/>
      <c r="AH25" s="3062"/>
      <c r="AI25" s="3062"/>
      <c r="AJ25" s="3062"/>
      <c r="AK25" s="3062"/>
    </row>
    <row r="26" spans="1:37" s="3063" customFormat="1">
      <c r="A26" s="3082" t="s">
        <v>1004</v>
      </c>
      <c r="B26" s="3820"/>
      <c r="C26" s="3083"/>
      <c r="D26" s="3083"/>
      <c r="E26" s="3083"/>
      <c r="F26" s="3083"/>
      <c r="G26" s="3084"/>
      <c r="H26" s="3067"/>
      <c r="I26" s="3067"/>
      <c r="J26" s="3067"/>
      <c r="K26" s="3067"/>
      <c r="L26" s="3067"/>
      <c r="M26" s="3067"/>
      <c r="N26" s="3067"/>
      <c r="O26" s="3085"/>
      <c r="P26" s="3085"/>
      <c r="Q26" s="3085"/>
      <c r="R26" s="3067"/>
      <c r="S26" s="3067"/>
      <c r="T26" s="3067"/>
      <c r="U26" s="3067"/>
      <c r="V26" s="3067"/>
      <c r="W26" s="3086"/>
      <c r="X26" s="3062"/>
      <c r="Y26" s="3062"/>
      <c r="Z26" s="3062"/>
      <c r="AD26" s="3062"/>
      <c r="AE26" s="3062"/>
      <c r="AF26" s="3062"/>
      <c r="AG26" s="3062"/>
      <c r="AH26" s="3062"/>
      <c r="AI26" s="3062"/>
      <c r="AJ26" s="3062"/>
      <c r="AK26" s="3062"/>
    </row>
    <row r="27" spans="1:37" s="3063" customFormat="1">
      <c r="A27" s="3087" t="s">
        <v>1005</v>
      </c>
      <c r="B27" s="3821"/>
      <c r="C27" s="3085" t="s">
        <v>1006</v>
      </c>
      <c r="D27" s="3085"/>
      <c r="E27" s="3085"/>
      <c r="F27" s="3085"/>
      <c r="G27" s="3088"/>
      <c r="H27" s="3067"/>
      <c r="I27" s="3067"/>
      <c r="J27" s="3067"/>
      <c r="K27" s="3067"/>
      <c r="L27" s="3067"/>
      <c r="M27" s="3067"/>
      <c r="N27" s="3067"/>
      <c r="O27" s="3067">
        <v>25359.07</v>
      </c>
      <c r="P27" s="3067">
        <v>41969.82</v>
      </c>
      <c r="Q27" s="3067">
        <v>35901.480000000003</v>
      </c>
      <c r="R27" s="3067">
        <v>37163.58</v>
      </c>
      <c r="S27" s="3067">
        <v>12689.96</v>
      </c>
      <c r="T27" s="3067"/>
      <c r="U27" s="3067"/>
      <c r="V27" s="3067"/>
      <c r="W27" s="3086"/>
      <c r="X27" s="3062"/>
      <c r="Y27" s="3062"/>
      <c r="Z27" s="3062"/>
      <c r="AD27" s="3062"/>
      <c r="AE27" s="3062"/>
      <c r="AF27" s="3062"/>
      <c r="AG27" s="3062"/>
      <c r="AH27" s="3062"/>
      <c r="AI27" s="3062"/>
      <c r="AJ27" s="3062"/>
      <c r="AK27" s="3062"/>
    </row>
    <row r="28" spans="1:37" s="3063" customFormat="1">
      <c r="A28" s="3087" t="s">
        <v>1007</v>
      </c>
      <c r="B28" s="3821"/>
      <c r="C28" s="3085" t="s">
        <v>1008</v>
      </c>
      <c r="D28" s="3085"/>
      <c r="E28" s="3085"/>
      <c r="F28" s="3085"/>
      <c r="G28" s="3088"/>
      <c r="H28" s="3067"/>
      <c r="I28" s="3067"/>
      <c r="J28" s="3067"/>
      <c r="K28" s="3067"/>
      <c r="L28" s="3067"/>
      <c r="M28" s="3067"/>
      <c r="N28" s="3067"/>
      <c r="O28" s="3067">
        <v>3976.77</v>
      </c>
      <c r="P28" s="3067">
        <v>5633.76</v>
      </c>
      <c r="Q28" s="3067">
        <v>3300.85</v>
      </c>
      <c r="R28" s="3067">
        <v>2779.72</v>
      </c>
      <c r="S28" s="3067"/>
      <c r="T28" s="3067"/>
      <c r="U28" s="3067"/>
      <c r="V28" s="3067"/>
      <c r="W28" s="3086"/>
      <c r="X28" s="3062"/>
      <c r="Y28" s="3062"/>
      <c r="Z28" s="3062"/>
      <c r="AD28" s="3062"/>
      <c r="AE28" s="3062"/>
      <c r="AF28" s="3062"/>
      <c r="AG28" s="3062"/>
      <c r="AH28" s="3062"/>
      <c r="AI28" s="3062"/>
      <c r="AJ28" s="3062"/>
      <c r="AK28" s="3062"/>
    </row>
    <row r="29" spans="1:37" s="3063" customFormat="1">
      <c r="A29" s="3087" t="s">
        <v>1009</v>
      </c>
      <c r="B29" s="3821"/>
      <c r="C29" s="3085" t="s">
        <v>1010</v>
      </c>
      <c r="D29" s="3085"/>
      <c r="E29" s="3085"/>
      <c r="F29" s="3085"/>
      <c r="G29" s="3088"/>
      <c r="H29" s="3067"/>
      <c r="I29" s="3067"/>
      <c r="J29" s="3067"/>
      <c r="K29" s="3067"/>
      <c r="L29" s="3067"/>
      <c r="M29" s="3067"/>
      <c r="N29" s="3067"/>
      <c r="O29" s="3067">
        <v>1648.14</v>
      </c>
      <c r="P29" s="3067">
        <v>2151.0700000000002</v>
      </c>
      <c r="Q29" s="3067">
        <v>2172.9</v>
      </c>
      <c r="R29" s="3067">
        <v>2224.62</v>
      </c>
      <c r="S29" s="3067"/>
      <c r="T29" s="3067"/>
      <c r="U29" s="3067"/>
      <c r="V29" s="3067"/>
      <c r="W29" s="3086"/>
      <c r="X29" s="3062"/>
      <c r="Y29" s="3062"/>
      <c r="Z29" s="3062"/>
      <c r="AD29" s="3062"/>
      <c r="AE29" s="3062"/>
      <c r="AF29" s="3062"/>
      <c r="AG29" s="3062"/>
      <c r="AH29" s="3062"/>
      <c r="AI29" s="3062"/>
      <c r="AJ29" s="3062"/>
      <c r="AK29" s="3062"/>
    </row>
    <row r="30" spans="1:37" s="3063" customFormat="1">
      <c r="A30" s="3087" t="s">
        <v>1011</v>
      </c>
      <c r="B30" s="3821"/>
      <c r="C30" s="3085" t="s">
        <v>1012</v>
      </c>
      <c r="D30" s="3085"/>
      <c r="E30" s="3085"/>
      <c r="F30" s="3085"/>
      <c r="G30" s="3088"/>
      <c r="H30" s="3067"/>
      <c r="I30" s="3067"/>
      <c r="J30" s="3067"/>
      <c r="K30" s="3067"/>
      <c r="L30" s="3067"/>
      <c r="M30" s="3067"/>
      <c r="N30" s="3067"/>
      <c r="O30" s="3067">
        <v>68610.92</v>
      </c>
      <c r="P30" s="3067">
        <v>58880.46</v>
      </c>
      <c r="Q30" s="3067"/>
      <c r="R30" s="3067"/>
      <c r="S30" s="3067"/>
      <c r="T30" s="3067"/>
      <c r="U30" s="3067"/>
      <c r="V30" s="3067"/>
      <c r="W30" s="3086"/>
      <c r="X30" s="3062"/>
      <c r="Y30" s="3062"/>
      <c r="Z30" s="3062"/>
      <c r="AD30" s="3062"/>
      <c r="AE30" s="3062"/>
      <c r="AF30" s="3062"/>
      <c r="AG30" s="3062"/>
      <c r="AH30" s="3062"/>
      <c r="AI30" s="3062"/>
      <c r="AJ30" s="3062"/>
      <c r="AK30" s="3062"/>
    </row>
    <row r="31" spans="1:37" s="3063" customFormat="1">
      <c r="A31" s="3087" t="s">
        <v>1013</v>
      </c>
      <c r="B31" s="3821"/>
      <c r="C31" s="3085" t="s">
        <v>1014</v>
      </c>
      <c r="D31" s="3085"/>
      <c r="E31" s="3085"/>
      <c r="F31" s="3085"/>
      <c r="G31" s="3088"/>
      <c r="H31" s="3067"/>
      <c r="I31" s="3067"/>
      <c r="J31" s="3067"/>
      <c r="K31" s="3067"/>
      <c r="L31" s="3067"/>
      <c r="M31" s="3067"/>
      <c r="N31" s="3067"/>
      <c r="O31" s="3067">
        <v>11076.63</v>
      </c>
      <c r="P31" s="3067">
        <v>4466.32</v>
      </c>
      <c r="Q31" s="3067">
        <v>628.42999999999995</v>
      </c>
      <c r="R31" s="3067"/>
      <c r="S31" s="3067"/>
      <c r="T31" s="3067"/>
      <c r="U31" s="3067"/>
      <c r="V31" s="3067"/>
      <c r="W31" s="3086"/>
      <c r="X31" s="3062"/>
      <c r="Y31" s="3062"/>
      <c r="Z31" s="3062"/>
      <c r="AD31" s="3062"/>
      <c r="AE31" s="3062"/>
      <c r="AF31" s="3062"/>
      <c r="AG31" s="3062"/>
      <c r="AH31" s="3062"/>
      <c r="AI31" s="3062"/>
      <c r="AJ31" s="3062"/>
      <c r="AK31" s="3062"/>
    </row>
    <row r="32" spans="1:37" s="3063" customFormat="1">
      <c r="A32" s="3087" t="s">
        <v>1015</v>
      </c>
      <c r="B32" s="3821"/>
      <c r="C32" s="3085" t="s">
        <v>1016</v>
      </c>
      <c r="D32" s="3085"/>
      <c r="E32" s="3085"/>
      <c r="F32" s="3085"/>
      <c r="G32" s="3088"/>
      <c r="H32" s="3067"/>
      <c r="I32" s="3067"/>
      <c r="J32" s="3067"/>
      <c r="K32" s="3067"/>
      <c r="L32" s="3067"/>
      <c r="M32" s="3067"/>
      <c r="N32" s="3067"/>
      <c r="O32" s="3067">
        <v>2084.77</v>
      </c>
      <c r="P32" s="3067">
        <v>4039.19</v>
      </c>
      <c r="Q32" s="3067"/>
      <c r="R32" s="3067"/>
      <c r="S32" s="3067"/>
      <c r="T32" s="3067"/>
      <c r="U32" s="3067"/>
      <c r="V32" s="3067"/>
      <c r="W32" s="3086"/>
      <c r="X32" s="3062"/>
      <c r="Y32" s="3062"/>
      <c r="Z32" s="3062"/>
      <c r="AD32" s="3062"/>
      <c r="AE32" s="3062"/>
      <c r="AF32" s="3062"/>
      <c r="AG32" s="3062"/>
      <c r="AH32" s="3062"/>
      <c r="AI32" s="3062"/>
      <c r="AJ32" s="3062"/>
      <c r="AK32" s="3062"/>
    </row>
    <row r="33" spans="1:37" s="3063" customFormat="1">
      <c r="A33" s="3087" t="s">
        <v>1017</v>
      </c>
      <c r="B33" s="3821">
        <v>620200</v>
      </c>
      <c r="C33" s="3085" t="s">
        <v>1018</v>
      </c>
      <c r="D33" s="3085"/>
      <c r="E33" s="3085"/>
      <c r="F33" s="3085"/>
      <c r="G33" s="3088"/>
      <c r="H33" s="3067"/>
      <c r="I33" s="3067"/>
      <c r="J33" s="3067"/>
      <c r="K33" s="3067"/>
      <c r="L33" s="3067"/>
      <c r="M33" s="3067"/>
      <c r="N33" s="3067"/>
      <c r="O33" s="3067"/>
      <c r="P33" s="3067"/>
      <c r="Q33" s="3067">
        <v>56752.67</v>
      </c>
      <c r="R33" s="3067">
        <v>45150</v>
      </c>
      <c r="S33" s="3067">
        <v>60336.5</v>
      </c>
      <c r="T33" s="3067">
        <v>67578.13</v>
      </c>
      <c r="U33" s="3067">
        <v>37929.870000000003</v>
      </c>
      <c r="V33" s="3067">
        <v>40816.019999999997</v>
      </c>
      <c r="W33" s="3086"/>
      <c r="X33" s="3062"/>
      <c r="Y33" s="3062"/>
      <c r="Z33" s="3062"/>
      <c r="AD33" s="3062"/>
      <c r="AE33" s="3062"/>
      <c r="AF33" s="3062"/>
      <c r="AG33" s="3062"/>
      <c r="AH33" s="3062"/>
      <c r="AI33" s="3062"/>
      <c r="AJ33" s="3062"/>
      <c r="AK33" s="3062"/>
    </row>
    <row r="34" spans="1:37" s="3063" customFormat="1">
      <c r="A34" s="3087" t="s">
        <v>1019</v>
      </c>
      <c r="B34" s="3821"/>
      <c r="C34" s="3085" t="s">
        <v>1020</v>
      </c>
      <c r="D34" s="3085"/>
      <c r="E34" s="3085"/>
      <c r="F34" s="3085"/>
      <c r="G34" s="3088"/>
      <c r="H34" s="3067"/>
      <c r="I34" s="3067"/>
      <c r="J34" s="3067"/>
      <c r="K34" s="3067"/>
      <c r="L34" s="3067"/>
      <c r="M34" s="3067"/>
      <c r="N34" s="3067"/>
      <c r="O34" s="3067"/>
      <c r="P34" s="3067"/>
      <c r="Q34" s="3067">
        <v>9742.17</v>
      </c>
      <c r="R34" s="3067">
        <v>2567.98</v>
      </c>
      <c r="S34" s="3067">
        <v>4762.1400000000003</v>
      </c>
      <c r="T34" s="3067">
        <v>4925.1099999999997</v>
      </c>
      <c r="U34" s="3067"/>
      <c r="V34" s="3067"/>
      <c r="W34" s="3086"/>
      <c r="X34" s="3062"/>
      <c r="Y34" s="3062"/>
      <c r="Z34" s="3062"/>
      <c r="AD34" s="3062"/>
      <c r="AE34" s="3062"/>
      <c r="AF34" s="3062"/>
      <c r="AG34" s="3062"/>
      <c r="AH34" s="3062"/>
      <c r="AI34" s="3062"/>
      <c r="AJ34" s="3062"/>
      <c r="AK34" s="3062"/>
    </row>
    <row r="35" spans="1:37" s="3063" customFormat="1">
      <c r="A35" s="3087" t="s">
        <v>1021</v>
      </c>
      <c r="B35" s="3821"/>
      <c r="C35" s="3085" t="s">
        <v>1022</v>
      </c>
      <c r="D35" s="3085"/>
      <c r="E35" s="3085"/>
      <c r="F35" s="3085"/>
      <c r="G35" s="3088"/>
      <c r="H35" s="3067"/>
      <c r="I35" s="3067"/>
      <c r="J35" s="3067"/>
      <c r="K35" s="3067"/>
      <c r="L35" s="3067"/>
      <c r="M35" s="3067"/>
      <c r="N35" s="3067"/>
      <c r="O35" s="3067"/>
      <c r="P35" s="3067"/>
      <c r="Q35" s="3067">
        <v>4711.97</v>
      </c>
      <c r="R35" s="3067">
        <v>4068.92</v>
      </c>
      <c r="S35" s="3067">
        <v>4140.51</v>
      </c>
      <c r="T35" s="3067">
        <v>4082.63</v>
      </c>
      <c r="U35" s="3067"/>
      <c r="V35" s="3067"/>
      <c r="W35" s="3086"/>
      <c r="X35" s="3062"/>
      <c r="Y35" s="3062"/>
      <c r="Z35" s="3062"/>
      <c r="AD35" s="3062"/>
      <c r="AE35" s="3062"/>
      <c r="AF35" s="3062"/>
      <c r="AG35" s="3062"/>
      <c r="AH35" s="3062"/>
      <c r="AI35" s="3062"/>
      <c r="AJ35" s="3062"/>
      <c r="AK35" s="3062"/>
    </row>
    <row r="36" spans="1:37" s="3063" customFormat="1">
      <c r="A36" s="3087" t="s">
        <v>1023</v>
      </c>
      <c r="B36" s="3821"/>
      <c r="C36" s="3085" t="s">
        <v>1024</v>
      </c>
      <c r="D36" s="3085"/>
      <c r="E36" s="3085"/>
      <c r="F36" s="3085"/>
      <c r="G36" s="3088"/>
      <c r="H36" s="3067"/>
      <c r="I36" s="3067"/>
      <c r="J36" s="3067"/>
      <c r="K36" s="3067"/>
      <c r="L36" s="3067"/>
      <c r="M36" s="3067"/>
      <c r="N36" s="3067"/>
      <c r="O36" s="3067"/>
      <c r="P36" s="3067"/>
      <c r="Q36" s="3067"/>
      <c r="R36" s="3067">
        <v>1904.88</v>
      </c>
      <c r="S36" s="3067"/>
      <c r="T36" s="3067">
        <v>1245.3800000000001</v>
      </c>
      <c r="U36" s="3067"/>
      <c r="V36" s="3067"/>
      <c r="W36" s="3086"/>
      <c r="X36" s="3062"/>
      <c r="Y36" s="3062"/>
      <c r="Z36" s="3062"/>
      <c r="AD36" s="3062"/>
      <c r="AE36" s="3062"/>
      <c r="AF36" s="3062"/>
      <c r="AG36" s="3062"/>
      <c r="AH36" s="3062"/>
      <c r="AI36" s="3062"/>
      <c r="AJ36" s="3062"/>
      <c r="AK36" s="3062"/>
    </row>
    <row r="37" spans="1:37" s="3063" customFormat="1">
      <c r="A37" s="3087" t="s">
        <v>1025</v>
      </c>
      <c r="B37" s="3821"/>
      <c r="C37" s="3085" t="s">
        <v>1026</v>
      </c>
      <c r="D37" s="3085"/>
      <c r="E37" s="3085"/>
      <c r="F37" s="3085"/>
      <c r="G37" s="3088"/>
      <c r="H37" s="3067"/>
      <c r="I37" s="3067"/>
      <c r="J37" s="3067"/>
      <c r="K37" s="3067"/>
      <c r="L37" s="3067"/>
      <c r="M37" s="3067"/>
      <c r="N37" s="3067"/>
      <c r="O37" s="3067">
        <v>8514.2199999999993</v>
      </c>
      <c r="P37" s="3067">
        <v>7729.46</v>
      </c>
      <c r="Q37" s="3067">
        <v>5843.23</v>
      </c>
      <c r="R37" s="3067">
        <v>5952.6</v>
      </c>
      <c r="S37" s="3067">
        <v>1982.48</v>
      </c>
      <c r="T37" s="3067"/>
      <c r="U37" s="3067"/>
      <c r="V37" s="3067"/>
      <c r="W37" s="3086"/>
      <c r="X37" s="3062"/>
      <c r="Y37" s="3062"/>
      <c r="Z37" s="3062"/>
      <c r="AD37" s="3062"/>
      <c r="AE37" s="3062"/>
      <c r="AF37" s="3062"/>
      <c r="AG37" s="3062"/>
      <c r="AH37" s="3062"/>
      <c r="AI37" s="3062"/>
      <c r="AJ37" s="3062"/>
      <c r="AK37" s="3062"/>
    </row>
    <row r="38" spans="1:37" s="3063" customFormat="1">
      <c r="A38" s="3087" t="s">
        <v>1027</v>
      </c>
      <c r="B38" s="3821"/>
      <c r="C38" s="3085" t="s">
        <v>1028</v>
      </c>
      <c r="D38" s="3085"/>
      <c r="E38" s="3085"/>
      <c r="F38" s="3085"/>
      <c r="G38" s="3088"/>
      <c r="H38" s="3067"/>
      <c r="I38" s="3067"/>
      <c r="J38" s="3067"/>
      <c r="K38" s="3067"/>
      <c r="L38" s="3067"/>
      <c r="M38" s="3067"/>
      <c r="N38" s="3067"/>
      <c r="O38" s="3067">
        <v>15257.79</v>
      </c>
      <c r="P38" s="3067">
        <v>10694.22</v>
      </c>
      <c r="Q38" s="3067">
        <v>10949.94</v>
      </c>
      <c r="R38" s="3067">
        <v>11334.9</v>
      </c>
      <c r="S38" s="3067">
        <v>3933.88</v>
      </c>
      <c r="T38" s="3067"/>
      <c r="U38" s="3067"/>
      <c r="V38" s="3067"/>
      <c r="W38" s="3086"/>
      <c r="X38" s="3062"/>
      <c r="Y38" s="3062"/>
      <c r="Z38" s="3062"/>
      <c r="AD38" s="3062"/>
      <c r="AE38" s="3062"/>
      <c r="AF38" s="3062"/>
      <c r="AG38" s="3062"/>
      <c r="AH38" s="3062"/>
      <c r="AI38" s="3062"/>
      <c r="AJ38" s="3062"/>
      <c r="AK38" s="3062"/>
    </row>
    <row r="39" spans="1:37" s="3063" customFormat="1">
      <c r="A39" s="3087" t="s">
        <v>1029</v>
      </c>
      <c r="B39" s="3821"/>
      <c r="C39" s="3085" t="s">
        <v>1030</v>
      </c>
      <c r="D39" s="3085"/>
      <c r="E39" s="3085"/>
      <c r="F39" s="3085"/>
      <c r="G39" s="3088"/>
      <c r="H39" s="3067"/>
      <c r="I39" s="3067"/>
      <c r="J39" s="3067"/>
      <c r="K39" s="3067"/>
      <c r="L39" s="3067"/>
      <c r="M39" s="3067"/>
      <c r="N39" s="3067"/>
      <c r="O39" s="3067">
        <v>6907.49</v>
      </c>
      <c r="P39" s="3067">
        <v>18809.57</v>
      </c>
      <c r="Q39" s="3067"/>
      <c r="R39" s="3067"/>
      <c r="S39" s="3067"/>
      <c r="T39" s="3067"/>
      <c r="U39" s="3067"/>
      <c r="V39" s="3067"/>
      <c r="W39" s="3086"/>
      <c r="X39" s="3062"/>
      <c r="Y39" s="3062"/>
      <c r="Z39" s="3062"/>
      <c r="AD39" s="3062"/>
      <c r="AE39" s="3062"/>
      <c r="AF39" s="3062"/>
      <c r="AG39" s="3062"/>
      <c r="AH39" s="3062"/>
      <c r="AI39" s="3062"/>
      <c r="AJ39" s="3062"/>
      <c r="AK39" s="3062"/>
    </row>
    <row r="40" spans="1:37" s="3063" customFormat="1">
      <c r="A40" s="3087" t="s">
        <v>1031</v>
      </c>
      <c r="B40" s="3821">
        <v>621200</v>
      </c>
      <c r="C40" s="3085" t="s">
        <v>7360</v>
      </c>
      <c r="D40" s="3085"/>
      <c r="E40" s="3085"/>
      <c r="F40" s="3085"/>
      <c r="G40" s="3088"/>
      <c r="H40" s="3067"/>
      <c r="I40" s="3067"/>
      <c r="J40" s="3067"/>
      <c r="K40" s="3067"/>
      <c r="L40" s="3067"/>
      <c r="M40" s="3067"/>
      <c r="N40" s="3067"/>
      <c r="O40" s="3067"/>
      <c r="P40" s="3067"/>
      <c r="Q40" s="3067">
        <v>19786.939999999999</v>
      </c>
      <c r="R40" s="3067">
        <v>16321.78</v>
      </c>
      <c r="S40" s="3067">
        <v>19845.490000000002</v>
      </c>
      <c r="T40" s="3067">
        <v>21184.93</v>
      </c>
      <c r="U40" s="3067">
        <v>11012.82</v>
      </c>
      <c r="V40" s="3067">
        <v>11849.71</v>
      </c>
      <c r="W40" s="3086"/>
      <c r="X40" s="3062"/>
      <c r="Y40" s="3062"/>
      <c r="Z40" s="3062"/>
      <c r="AD40" s="3062"/>
      <c r="AE40" s="3062"/>
      <c r="AF40" s="3062"/>
      <c r="AG40" s="3062"/>
      <c r="AH40" s="3062"/>
      <c r="AI40" s="3062"/>
      <c r="AJ40" s="3062"/>
      <c r="AK40" s="3062"/>
    </row>
    <row r="41" spans="1:37" s="3063" customFormat="1">
      <c r="A41" s="3087" t="s">
        <v>1032</v>
      </c>
      <c r="B41" s="3821"/>
      <c r="C41" s="3085" t="s">
        <v>1033</v>
      </c>
      <c r="D41" s="3085"/>
      <c r="E41" s="3085"/>
      <c r="F41" s="3085"/>
      <c r="G41" s="3088"/>
      <c r="H41" s="3067"/>
      <c r="I41" s="3067"/>
      <c r="J41" s="3067"/>
      <c r="K41" s="3067"/>
      <c r="L41" s="3067"/>
      <c r="M41" s="3067"/>
      <c r="N41" s="3067"/>
      <c r="O41" s="3067"/>
      <c r="P41" s="3067"/>
      <c r="Q41" s="3067"/>
      <c r="R41" s="3067">
        <v>103.43</v>
      </c>
      <c r="S41" s="3067"/>
      <c r="T41" s="3067">
        <v>67.5</v>
      </c>
      <c r="U41" s="3067"/>
      <c r="V41" s="3067"/>
      <c r="W41" s="3086"/>
      <c r="X41" s="3062"/>
      <c r="Y41" s="3062"/>
      <c r="Z41" s="3062"/>
      <c r="AD41" s="3062"/>
      <c r="AE41" s="3062"/>
      <c r="AF41" s="3062"/>
      <c r="AG41" s="3062"/>
      <c r="AH41" s="3062"/>
      <c r="AI41" s="3062"/>
      <c r="AJ41" s="3062"/>
      <c r="AK41" s="3062"/>
    </row>
    <row r="42" spans="1:37" s="3063" customFormat="1">
      <c r="A42" s="3087" t="s">
        <v>1034</v>
      </c>
      <c r="B42" s="3821"/>
      <c r="C42" s="3085" t="s">
        <v>1035</v>
      </c>
      <c r="D42" s="3085"/>
      <c r="E42" s="3085"/>
      <c r="F42" s="3085"/>
      <c r="G42" s="3088"/>
      <c r="H42" s="3067"/>
      <c r="I42" s="3067"/>
      <c r="J42" s="3067"/>
      <c r="K42" s="3067"/>
      <c r="L42" s="3067"/>
      <c r="M42" s="3067"/>
      <c r="N42" s="3067"/>
      <c r="O42" s="3067">
        <v>121</v>
      </c>
      <c r="P42" s="3067">
        <v>121</v>
      </c>
      <c r="Q42" s="3067">
        <v>121</v>
      </c>
      <c r="R42" s="3067">
        <v>121</v>
      </c>
      <c r="S42" s="3067">
        <v>110</v>
      </c>
      <c r="T42" s="3067">
        <v>90.82</v>
      </c>
      <c r="U42" s="3067"/>
      <c r="V42" s="3067"/>
      <c r="W42" s="3086"/>
      <c r="X42" s="3062"/>
      <c r="Y42" s="3062"/>
      <c r="Z42" s="3062"/>
      <c r="AD42" s="3062"/>
      <c r="AE42" s="3062"/>
      <c r="AF42" s="3062"/>
      <c r="AG42" s="3062"/>
      <c r="AH42" s="3062"/>
      <c r="AI42" s="3062"/>
      <c r="AJ42" s="3062"/>
      <c r="AK42" s="3062"/>
    </row>
    <row r="43" spans="1:37" s="3063" customFormat="1">
      <c r="A43" s="3087" t="s">
        <v>1036</v>
      </c>
      <c r="B43" s="3821"/>
      <c r="C43" s="3085" t="s">
        <v>1037</v>
      </c>
      <c r="D43" s="3085"/>
      <c r="E43" s="3085"/>
      <c r="F43" s="3085"/>
      <c r="G43" s="3088"/>
      <c r="H43" s="3067"/>
      <c r="I43" s="3067"/>
      <c r="J43" s="3067"/>
      <c r="K43" s="3067"/>
      <c r="L43" s="3067"/>
      <c r="M43" s="3067"/>
      <c r="N43" s="3067"/>
      <c r="O43" s="3067">
        <v>3358.16</v>
      </c>
      <c r="P43" s="3067">
        <v>568.13</v>
      </c>
      <c r="Q43" s="3067"/>
      <c r="R43" s="3067"/>
      <c r="S43" s="3067"/>
      <c r="T43" s="3067"/>
      <c r="U43" s="3067"/>
      <c r="V43" s="3067"/>
      <c r="W43" s="3086"/>
      <c r="X43" s="3062"/>
      <c r="Y43" s="3062"/>
      <c r="Z43" s="3062"/>
      <c r="AD43" s="3062"/>
      <c r="AE43" s="3062"/>
      <c r="AF43" s="3062"/>
      <c r="AG43" s="3062"/>
      <c r="AH43" s="3062"/>
      <c r="AI43" s="3062"/>
      <c r="AJ43" s="3062"/>
      <c r="AK43" s="3062"/>
    </row>
    <row r="44" spans="1:37" s="3063" customFormat="1">
      <c r="A44" s="3087" t="s">
        <v>1038</v>
      </c>
      <c r="B44" s="3821"/>
      <c r="C44" s="3085" t="s">
        <v>1039</v>
      </c>
      <c r="D44" s="3085"/>
      <c r="E44" s="3085"/>
      <c r="F44" s="3085"/>
      <c r="G44" s="3088"/>
      <c r="H44" s="3067"/>
      <c r="I44" s="3067"/>
      <c r="J44" s="3067"/>
      <c r="K44" s="3067"/>
      <c r="L44" s="3067"/>
      <c r="M44" s="3067"/>
      <c r="N44" s="3067"/>
      <c r="O44" s="3067">
        <v>451.01</v>
      </c>
      <c r="P44" s="3067">
        <v>451.04</v>
      </c>
      <c r="Q44" s="3067"/>
      <c r="R44" s="3067"/>
      <c r="S44" s="3067"/>
      <c r="T44" s="3067"/>
      <c r="U44" s="3067"/>
      <c r="V44" s="3067"/>
      <c r="W44" s="3086"/>
      <c r="X44" s="3062"/>
      <c r="Y44" s="3062"/>
      <c r="Z44" s="3062"/>
      <c r="AD44" s="3062"/>
      <c r="AE44" s="3062"/>
      <c r="AF44" s="3062"/>
      <c r="AG44" s="3062"/>
      <c r="AH44" s="3062"/>
      <c r="AI44" s="3062"/>
      <c r="AJ44" s="3062"/>
      <c r="AK44" s="3062"/>
    </row>
    <row r="45" spans="1:37" s="3063" customFormat="1">
      <c r="A45" s="3087" t="s">
        <v>1040</v>
      </c>
      <c r="B45" s="3821">
        <v>622200</v>
      </c>
      <c r="C45" s="3085" t="s">
        <v>1041</v>
      </c>
      <c r="D45" s="3085"/>
      <c r="E45" s="3085"/>
      <c r="F45" s="3085"/>
      <c r="G45" s="3088"/>
      <c r="H45" s="3067"/>
      <c r="I45" s="3067"/>
      <c r="J45" s="3067"/>
      <c r="K45" s="3067"/>
      <c r="L45" s="3067"/>
      <c r="M45" s="3067"/>
      <c r="N45" s="3067"/>
      <c r="O45" s="3067"/>
      <c r="P45" s="3067"/>
      <c r="Q45" s="3067">
        <v>1098.2</v>
      </c>
      <c r="R45" s="3067">
        <v>713.39</v>
      </c>
      <c r="S45" s="3067">
        <v>595.52</v>
      </c>
      <c r="T45" s="3067">
        <v>2024.72</v>
      </c>
      <c r="U45" s="3067">
        <v>758.58</v>
      </c>
      <c r="V45" s="3067">
        <v>2091.36</v>
      </c>
      <c r="W45" s="3086"/>
      <c r="X45" s="3062"/>
      <c r="Y45" s="3062"/>
      <c r="Z45" s="3062"/>
      <c r="AD45" s="3062"/>
      <c r="AE45" s="3062"/>
      <c r="AF45" s="3062"/>
      <c r="AG45" s="3062"/>
      <c r="AH45" s="3062"/>
      <c r="AI45" s="3062"/>
      <c r="AJ45" s="3062"/>
      <c r="AK45" s="3062"/>
    </row>
    <row r="46" spans="1:37" s="3063" customFormat="1">
      <c r="A46" s="3087" t="s">
        <v>1042</v>
      </c>
      <c r="B46" s="3821">
        <v>622600</v>
      </c>
      <c r="C46" s="3085" t="s">
        <v>1043</v>
      </c>
      <c r="D46" s="3085"/>
      <c r="E46" s="3085"/>
      <c r="F46" s="3085"/>
      <c r="G46" s="3088"/>
      <c r="H46" s="3067"/>
      <c r="I46" s="3067"/>
      <c r="J46" s="3067"/>
      <c r="K46" s="3067"/>
      <c r="L46" s="3067"/>
      <c r="M46" s="3067"/>
      <c r="N46" s="3067"/>
      <c r="O46" s="3067"/>
      <c r="P46" s="3067"/>
      <c r="Q46" s="3067">
        <v>451.04</v>
      </c>
      <c r="R46" s="3067">
        <v>450.96</v>
      </c>
      <c r="S46" s="3067">
        <v>396.03</v>
      </c>
      <c r="T46" s="3067">
        <v>338.05</v>
      </c>
      <c r="U46" s="3067">
        <v>371.19</v>
      </c>
      <c r="V46" s="3067">
        <v>280.37</v>
      </c>
      <c r="W46" s="3086"/>
      <c r="X46" s="3062"/>
      <c r="Y46" s="3062"/>
      <c r="Z46" s="3062"/>
      <c r="AD46" s="3062"/>
      <c r="AE46" s="3062"/>
      <c r="AF46" s="3062"/>
      <c r="AG46" s="3062"/>
      <c r="AH46" s="3062"/>
      <c r="AI46" s="3062"/>
      <c r="AJ46" s="3062"/>
      <c r="AK46" s="3062"/>
    </row>
    <row r="47" spans="1:37" s="3063" customFormat="1">
      <c r="A47" s="3087" t="s">
        <v>1044</v>
      </c>
      <c r="B47" s="3821">
        <v>623200</v>
      </c>
      <c r="C47" s="3085" t="s">
        <v>1045</v>
      </c>
      <c r="D47" s="3085"/>
      <c r="E47" s="3085"/>
      <c r="F47" s="3085"/>
      <c r="G47" s="3088"/>
      <c r="H47" s="3067"/>
      <c r="I47" s="3067"/>
      <c r="J47" s="3067"/>
      <c r="K47" s="3067"/>
      <c r="L47" s="3067"/>
      <c r="M47" s="3067"/>
      <c r="N47" s="3067"/>
      <c r="O47" s="3067">
        <v>20.96</v>
      </c>
      <c r="P47" s="3067"/>
      <c r="Q47" s="3067"/>
      <c r="R47" s="3067">
        <v>36.81</v>
      </c>
      <c r="S47" s="3067">
        <v>23.25</v>
      </c>
      <c r="T47" s="3067">
        <v>0.54</v>
      </c>
      <c r="U47" s="3067"/>
      <c r="V47" s="3067">
        <v>2</v>
      </c>
      <c r="W47" s="3086"/>
      <c r="X47" s="3062"/>
      <c r="Y47" s="3062"/>
      <c r="Z47" s="3062"/>
      <c r="AD47" s="3062"/>
      <c r="AE47" s="3062"/>
      <c r="AF47" s="3062"/>
      <c r="AG47" s="3062"/>
      <c r="AH47" s="3062"/>
      <c r="AI47" s="3062"/>
      <c r="AJ47" s="3062"/>
      <c r="AK47" s="3062"/>
    </row>
    <row r="48" spans="1:37" s="3063" customFormat="1">
      <c r="A48" s="3087" t="s">
        <v>1046</v>
      </c>
      <c r="B48" s="3821">
        <v>623100</v>
      </c>
      <c r="C48" s="3085" t="s">
        <v>1047</v>
      </c>
      <c r="D48" s="3085"/>
      <c r="E48" s="3085"/>
      <c r="F48" s="3085"/>
      <c r="G48" s="3088"/>
      <c r="H48" s="3067"/>
      <c r="I48" s="3067"/>
      <c r="J48" s="3067"/>
      <c r="K48" s="3067"/>
      <c r="L48" s="3067"/>
      <c r="M48" s="3067"/>
      <c r="N48" s="3067"/>
      <c r="O48" s="3067">
        <v>2728.5</v>
      </c>
      <c r="P48" s="3067">
        <v>2937</v>
      </c>
      <c r="Q48" s="3067">
        <v>3174</v>
      </c>
      <c r="R48" s="3067">
        <v>2910</v>
      </c>
      <c r="S48" s="3067">
        <v>2418</v>
      </c>
      <c r="T48" s="3067">
        <v>2352</v>
      </c>
      <c r="U48" s="3067">
        <v>1770.72</v>
      </c>
      <c r="V48" s="3067">
        <v>1469.16</v>
      </c>
      <c r="W48" s="3086"/>
      <c r="X48" s="3062"/>
      <c r="Y48" s="3062"/>
      <c r="Z48" s="3062"/>
      <c r="AD48" s="3062"/>
      <c r="AE48" s="3062"/>
      <c r="AF48" s="3062"/>
      <c r="AG48" s="3062"/>
      <c r="AH48" s="3062"/>
      <c r="AI48" s="3062"/>
      <c r="AJ48" s="3062"/>
      <c r="AK48" s="3062"/>
    </row>
    <row r="49" spans="1:37" s="3063" customFormat="1">
      <c r="A49" s="3087" t="s">
        <v>1048</v>
      </c>
      <c r="B49" s="3821">
        <v>623000</v>
      </c>
      <c r="C49" s="3085" t="s">
        <v>1049</v>
      </c>
      <c r="D49" s="3085"/>
      <c r="E49" s="3085"/>
      <c r="F49" s="3085"/>
      <c r="G49" s="3088"/>
      <c r="H49" s="3067"/>
      <c r="I49" s="3067"/>
      <c r="J49" s="3067"/>
      <c r="K49" s="3067"/>
      <c r="L49" s="3067"/>
      <c r="M49" s="3067"/>
      <c r="N49" s="3067"/>
      <c r="O49" s="3067">
        <v>728.38</v>
      </c>
      <c r="P49" s="3067">
        <f>367.16+204.43</f>
        <v>571.59</v>
      </c>
      <c r="Q49" s="3067">
        <v>425.36</v>
      </c>
      <c r="R49" s="3067">
        <v>353.64</v>
      </c>
      <c r="S49" s="3067">
        <v>317.93</v>
      </c>
      <c r="T49" s="3067">
        <v>327.12</v>
      </c>
      <c r="U49" s="3067">
        <v>193.52</v>
      </c>
      <c r="V49" s="3067">
        <v>155.87</v>
      </c>
      <c r="W49" s="3086"/>
      <c r="X49" s="3062"/>
      <c r="Y49" s="3062"/>
      <c r="Z49" s="3062"/>
      <c r="AD49" s="3062"/>
      <c r="AE49" s="3062"/>
      <c r="AF49" s="3062"/>
      <c r="AG49" s="3062"/>
      <c r="AH49" s="3062"/>
      <c r="AI49" s="3062"/>
      <c r="AJ49" s="3062"/>
      <c r="AK49" s="3062"/>
    </row>
    <row r="50" spans="1:37" s="3063" customFormat="1">
      <c r="A50" s="3087"/>
      <c r="B50" s="3821" t="s">
        <v>7373</v>
      </c>
      <c r="C50" s="3085" t="s">
        <v>7379</v>
      </c>
      <c r="D50" s="3085"/>
      <c r="E50" s="3085"/>
      <c r="F50" s="3085"/>
      <c r="G50" s="3088"/>
      <c r="H50" s="3067"/>
      <c r="I50" s="3067"/>
      <c r="J50" s="3067"/>
      <c r="K50" s="3067"/>
      <c r="L50" s="3067"/>
      <c r="M50" s="3067"/>
      <c r="N50" s="3067"/>
      <c r="O50" s="3067"/>
      <c r="P50" s="3067"/>
      <c r="Q50" s="3067"/>
      <c r="R50" s="3067"/>
      <c r="S50" s="3067"/>
      <c r="T50" s="3067"/>
      <c r="U50" s="3067">
        <v>33941.24</v>
      </c>
      <c r="V50" s="3067">
        <v>36384.629999999997</v>
      </c>
      <c r="W50" s="3086"/>
      <c r="X50" s="3062"/>
      <c r="Y50" s="3062"/>
      <c r="Z50" s="3062"/>
      <c r="AD50" s="3062"/>
      <c r="AE50" s="3062"/>
      <c r="AF50" s="3062"/>
      <c r="AG50" s="3062"/>
      <c r="AH50" s="3062"/>
      <c r="AI50" s="3062"/>
      <c r="AJ50" s="3062"/>
      <c r="AK50" s="3062"/>
    </row>
    <row r="51" spans="1:37" s="3063" customFormat="1">
      <c r="A51" s="3087"/>
      <c r="B51" s="3821" t="s">
        <v>7374</v>
      </c>
      <c r="C51" s="3085" t="s">
        <v>7380</v>
      </c>
      <c r="D51" s="3085"/>
      <c r="E51" s="3085"/>
      <c r="F51" s="3085"/>
      <c r="G51" s="3088"/>
      <c r="H51" s="3067"/>
      <c r="I51" s="3067"/>
      <c r="J51" s="3067"/>
      <c r="K51" s="3067"/>
      <c r="L51" s="3067"/>
      <c r="M51" s="3067"/>
      <c r="N51" s="3067"/>
      <c r="O51" s="3067"/>
      <c r="P51" s="3067"/>
      <c r="Q51" s="3067"/>
      <c r="R51" s="3067"/>
      <c r="S51" s="3067"/>
      <c r="T51" s="3067"/>
      <c r="U51" s="3067">
        <v>9823.94</v>
      </c>
      <c r="V51" s="3067">
        <v>10579.64</v>
      </c>
      <c r="W51" s="3086"/>
      <c r="X51" s="3062"/>
      <c r="Y51" s="3062"/>
      <c r="Z51" s="3062"/>
      <c r="AD51" s="3062"/>
      <c r="AE51" s="3062"/>
      <c r="AF51" s="3062"/>
      <c r="AG51" s="3062"/>
      <c r="AH51" s="3062"/>
      <c r="AI51" s="3062"/>
      <c r="AJ51" s="3062"/>
      <c r="AK51" s="3062"/>
    </row>
    <row r="52" spans="1:37" s="3063" customFormat="1">
      <c r="A52" s="3087"/>
      <c r="B52" s="3821" t="s">
        <v>7375</v>
      </c>
      <c r="C52" s="3085" t="s">
        <v>7381</v>
      </c>
      <c r="D52" s="3085"/>
      <c r="E52" s="3085"/>
      <c r="F52" s="3085"/>
      <c r="G52" s="3088"/>
      <c r="H52" s="3067"/>
      <c r="I52" s="3067"/>
      <c r="J52" s="3067"/>
      <c r="K52" s="3067"/>
      <c r="L52" s="3067"/>
      <c r="M52" s="3067"/>
      <c r="N52" s="3067"/>
      <c r="O52" s="3067"/>
      <c r="P52" s="3067"/>
      <c r="Q52" s="3067"/>
      <c r="R52" s="3067"/>
      <c r="S52" s="3067"/>
      <c r="T52" s="3067"/>
      <c r="U52" s="3067">
        <v>678.82</v>
      </c>
      <c r="V52" s="3067">
        <v>1091.54</v>
      </c>
      <c r="W52" s="3086"/>
      <c r="X52" s="3062"/>
      <c r="Y52" s="3062"/>
      <c r="Z52" s="3062"/>
      <c r="AD52" s="3062"/>
      <c r="AE52" s="3062"/>
      <c r="AF52" s="3062"/>
      <c r="AG52" s="3062"/>
      <c r="AH52" s="3062"/>
      <c r="AI52" s="3062"/>
      <c r="AJ52" s="3062"/>
      <c r="AK52" s="3062"/>
    </row>
    <row r="53" spans="1:37" s="3063" customFormat="1">
      <c r="A53" s="3087"/>
      <c r="B53" s="3821" t="s">
        <v>7376</v>
      </c>
      <c r="C53" s="3085" t="s">
        <v>7382</v>
      </c>
      <c r="D53" s="3085"/>
      <c r="E53" s="3085"/>
      <c r="F53" s="3085"/>
      <c r="G53" s="3088"/>
      <c r="H53" s="3067"/>
      <c r="I53" s="3067"/>
      <c r="J53" s="3067"/>
      <c r="K53" s="3067"/>
      <c r="L53" s="3067"/>
      <c r="M53" s="3067"/>
      <c r="N53" s="3067"/>
      <c r="O53" s="3067"/>
      <c r="P53" s="3067"/>
      <c r="Q53" s="3067"/>
      <c r="R53" s="3067"/>
      <c r="S53" s="3067"/>
      <c r="T53" s="3067"/>
      <c r="U53" s="3067">
        <v>57.68</v>
      </c>
      <c r="V53" s="3067">
        <v>57.68</v>
      </c>
      <c r="W53" s="3086"/>
      <c r="X53" s="3062"/>
      <c r="Y53" s="3062"/>
      <c r="Z53" s="3062"/>
      <c r="AD53" s="3062"/>
      <c r="AE53" s="3062"/>
      <c r="AF53" s="3062"/>
      <c r="AG53" s="3062"/>
      <c r="AH53" s="3062"/>
      <c r="AI53" s="3062"/>
      <c r="AJ53" s="3062"/>
      <c r="AK53" s="3062"/>
    </row>
    <row r="54" spans="1:37" s="3063" customFormat="1">
      <c r="A54" s="3087"/>
      <c r="B54" s="3821" t="s">
        <v>7377</v>
      </c>
      <c r="C54" s="3085" t="s">
        <v>7383</v>
      </c>
      <c r="D54" s="3085"/>
      <c r="E54" s="3085"/>
      <c r="F54" s="3085"/>
      <c r="G54" s="3088"/>
      <c r="H54" s="3067"/>
      <c r="I54" s="3067"/>
      <c r="J54" s="3067"/>
      <c r="K54" s="3067"/>
      <c r="L54" s="3067"/>
      <c r="M54" s="3067"/>
      <c r="N54" s="3067"/>
      <c r="O54" s="3067"/>
      <c r="P54" s="3067"/>
      <c r="Q54" s="3067"/>
      <c r="R54" s="3067"/>
      <c r="S54" s="3067"/>
      <c r="T54" s="3067"/>
      <c r="U54" s="3067">
        <v>162.06</v>
      </c>
      <c r="V54" s="3067">
        <v>151.61000000000001</v>
      </c>
      <c r="W54" s="3086"/>
      <c r="X54" s="3062"/>
      <c r="Y54" s="3062"/>
      <c r="Z54" s="3062"/>
      <c r="AD54" s="3062"/>
      <c r="AE54" s="3062"/>
      <c r="AF54" s="3062"/>
      <c r="AG54" s="3062"/>
      <c r="AH54" s="3062"/>
      <c r="AI54" s="3062"/>
      <c r="AJ54" s="3062"/>
      <c r="AK54" s="3062"/>
    </row>
    <row r="55" spans="1:37" s="3063" customFormat="1">
      <c r="A55" s="3087"/>
      <c r="B55" s="3821" t="s">
        <v>7378</v>
      </c>
      <c r="C55" s="3085" t="s">
        <v>7384</v>
      </c>
      <c r="D55" s="3085"/>
      <c r="E55" s="3085"/>
      <c r="F55" s="3085"/>
      <c r="G55" s="3088"/>
      <c r="H55" s="3067"/>
      <c r="I55" s="3067"/>
      <c r="J55" s="3067"/>
      <c r="K55" s="3067"/>
      <c r="L55" s="3067"/>
      <c r="M55" s="3067"/>
      <c r="N55" s="3067"/>
      <c r="O55" s="3067"/>
      <c r="P55" s="3067"/>
      <c r="Q55" s="3067"/>
      <c r="R55" s="3067"/>
      <c r="S55" s="3067"/>
      <c r="T55" s="3067"/>
      <c r="U55" s="3067">
        <v>1451.48</v>
      </c>
      <c r="V55" s="3067">
        <v>1343.02</v>
      </c>
      <c r="W55" s="3086"/>
      <c r="X55" s="3062"/>
      <c r="Y55" s="3062"/>
      <c r="Z55" s="3062"/>
      <c r="AD55" s="3062"/>
      <c r="AE55" s="3062"/>
      <c r="AF55" s="3062"/>
      <c r="AG55" s="3062"/>
      <c r="AH55" s="3062"/>
      <c r="AI55" s="3062"/>
      <c r="AJ55" s="3062"/>
      <c r="AK55" s="3062"/>
    </row>
    <row r="56" spans="1:37" s="3063" customFormat="1">
      <c r="A56" s="3087" t="s">
        <v>1050</v>
      </c>
      <c r="B56" s="3821"/>
      <c r="C56" s="3085" t="s">
        <v>1051</v>
      </c>
      <c r="D56" s="3085"/>
      <c r="E56" s="3085"/>
      <c r="F56" s="3085"/>
      <c r="G56" s="3088"/>
      <c r="H56" s="3067">
        <v>39388.51</v>
      </c>
      <c r="I56" s="3067">
        <v>40804.120000000003</v>
      </c>
      <c r="J56" s="3067">
        <v>42399.519999999997</v>
      </c>
      <c r="K56" s="3067">
        <v>51207.29</v>
      </c>
      <c r="L56" s="3067">
        <v>49388.2</v>
      </c>
      <c r="M56" s="3067">
        <v>51094.98</v>
      </c>
      <c r="N56" s="3067">
        <v>53289.48</v>
      </c>
      <c r="O56" s="3067"/>
      <c r="P56" s="3067"/>
      <c r="Q56" s="3067"/>
      <c r="R56" s="3067"/>
      <c r="S56" s="3067"/>
      <c r="T56" s="3067"/>
      <c r="U56" s="3067"/>
      <c r="V56" s="3067"/>
      <c r="W56" s="3086"/>
      <c r="X56" s="3062"/>
      <c r="Y56" s="3062"/>
      <c r="Z56" s="3062"/>
      <c r="AD56" s="3062"/>
      <c r="AE56" s="3062"/>
      <c r="AF56" s="3062"/>
      <c r="AG56" s="3062"/>
      <c r="AH56" s="3062"/>
      <c r="AI56" s="3062"/>
      <c r="AJ56" s="3062"/>
      <c r="AK56" s="3062"/>
    </row>
    <row r="57" spans="1:37" s="3063" customFormat="1">
      <c r="A57" s="3087" t="s">
        <v>1052</v>
      </c>
      <c r="B57" s="3821"/>
      <c r="C57" s="3085" t="s">
        <v>1012</v>
      </c>
      <c r="D57" s="3085"/>
      <c r="E57" s="3085"/>
      <c r="F57" s="3085"/>
      <c r="G57" s="3088"/>
      <c r="H57" s="3067">
        <v>48502.06</v>
      </c>
      <c r="I57" s="3067">
        <v>51027.91</v>
      </c>
      <c r="J57" s="3067">
        <v>38488.79</v>
      </c>
      <c r="K57" s="3067">
        <v>46220.03</v>
      </c>
      <c r="L57" s="3067">
        <v>50731.55</v>
      </c>
      <c r="M57" s="3067">
        <v>53327.49</v>
      </c>
      <c r="N57" s="3067">
        <v>55178.13</v>
      </c>
      <c r="O57" s="3067"/>
      <c r="P57" s="3067"/>
      <c r="Q57" s="3067"/>
      <c r="R57" s="3067"/>
      <c r="S57" s="3067"/>
      <c r="T57" s="3067"/>
      <c r="U57" s="3067"/>
      <c r="V57" s="3067"/>
      <c r="W57" s="3086"/>
      <c r="X57" s="3062"/>
      <c r="Y57" s="3062"/>
      <c r="Z57" s="3062"/>
      <c r="AD57" s="3062"/>
      <c r="AE57" s="3062"/>
      <c r="AF57" s="3062"/>
      <c r="AG57" s="3062"/>
      <c r="AH57" s="3062"/>
      <c r="AI57" s="3062"/>
      <c r="AJ57" s="3062"/>
      <c r="AK57" s="3062"/>
    </row>
    <row r="58" spans="1:37" s="3063" customFormat="1">
      <c r="A58" s="3087" t="s">
        <v>1053</v>
      </c>
      <c r="B58" s="3821"/>
      <c r="C58" s="3085" t="s">
        <v>1054</v>
      </c>
      <c r="D58" s="3085"/>
      <c r="E58" s="3085"/>
      <c r="F58" s="3085"/>
      <c r="G58" s="3088"/>
      <c r="H58" s="3067">
        <v>2814.24</v>
      </c>
      <c r="I58" s="3067">
        <v>2947.33</v>
      </c>
      <c r="J58" s="3067">
        <v>3081.51</v>
      </c>
      <c r="K58" s="3067">
        <v>3252.39</v>
      </c>
      <c r="L58" s="3067">
        <v>3573.26</v>
      </c>
      <c r="M58" s="3067">
        <v>3717.54</v>
      </c>
      <c r="N58" s="3067">
        <v>3976.77</v>
      </c>
      <c r="O58" s="3067"/>
      <c r="P58" s="3067"/>
      <c r="Q58" s="3067"/>
      <c r="R58" s="3067"/>
      <c r="S58" s="3067"/>
      <c r="T58" s="3067"/>
      <c r="U58" s="3067"/>
      <c r="V58" s="3067"/>
      <c r="W58" s="3086"/>
      <c r="X58" s="3062"/>
      <c r="Y58" s="3062"/>
      <c r="Z58" s="3062"/>
      <c r="AD58" s="3062"/>
      <c r="AE58" s="3062"/>
      <c r="AF58" s="3062"/>
      <c r="AG58" s="3062"/>
      <c r="AH58" s="3062"/>
      <c r="AI58" s="3062"/>
      <c r="AJ58" s="3062"/>
      <c r="AK58" s="3062"/>
    </row>
    <row r="59" spans="1:37" s="3063" customFormat="1">
      <c r="A59" s="3087" t="s">
        <v>1055</v>
      </c>
      <c r="B59" s="3821"/>
      <c r="C59" s="3085" t="s">
        <v>1014</v>
      </c>
      <c r="D59" s="3085"/>
      <c r="E59" s="3085"/>
      <c r="F59" s="3085"/>
      <c r="G59" s="3088"/>
      <c r="H59" s="3067">
        <v>2442.1799999999998</v>
      </c>
      <c r="I59" s="3067">
        <v>6494.4</v>
      </c>
      <c r="J59" s="3067">
        <v>2814.78</v>
      </c>
      <c r="K59" s="3067">
        <v>1838.5</v>
      </c>
      <c r="L59" s="3067">
        <v>3580.98</v>
      </c>
      <c r="M59" s="3067">
        <v>3911.09</v>
      </c>
      <c r="N59" s="3067">
        <v>4136.0200000000004</v>
      </c>
      <c r="O59" s="3067"/>
      <c r="P59" s="3067"/>
      <c r="Q59" s="3067"/>
      <c r="R59" s="3067"/>
      <c r="S59" s="3067"/>
      <c r="T59" s="3067"/>
      <c r="U59" s="3067"/>
      <c r="V59" s="3067"/>
      <c r="W59" s="3086"/>
      <c r="X59" s="3062"/>
      <c r="Y59" s="3062"/>
      <c r="Z59" s="3062"/>
      <c r="AD59" s="3062"/>
      <c r="AE59" s="3062"/>
      <c r="AF59" s="3062"/>
      <c r="AG59" s="3062"/>
      <c r="AH59" s="3062"/>
      <c r="AI59" s="3062"/>
      <c r="AJ59" s="3062"/>
      <c r="AK59" s="3062"/>
    </row>
    <row r="60" spans="1:37" s="3063" customFormat="1">
      <c r="A60" s="3087" t="s">
        <v>1056</v>
      </c>
      <c r="B60" s="3821"/>
      <c r="C60" s="3085" t="s">
        <v>1047</v>
      </c>
      <c r="D60" s="3085"/>
      <c r="E60" s="3085"/>
      <c r="F60" s="3085"/>
      <c r="G60" s="3088"/>
      <c r="H60" s="3067">
        <v>2337.8000000000002</v>
      </c>
      <c r="I60" s="3067">
        <v>1998</v>
      </c>
      <c r="J60" s="3067">
        <v>2850</v>
      </c>
      <c r="K60" s="3067">
        <v>3360</v>
      </c>
      <c r="L60" s="3067">
        <v>2785</v>
      </c>
      <c r="M60" s="3067">
        <v>3361</v>
      </c>
      <c r="N60" s="3067">
        <v>2634.5</v>
      </c>
      <c r="O60" s="3067"/>
      <c r="P60" s="3067"/>
      <c r="Q60" s="3067"/>
      <c r="R60" s="3067"/>
      <c r="S60" s="3067"/>
      <c r="T60" s="3067"/>
      <c r="U60" s="3067"/>
      <c r="V60" s="3067"/>
      <c r="W60" s="3086"/>
      <c r="X60" s="3062"/>
      <c r="Y60" s="3062"/>
      <c r="Z60" s="3062"/>
      <c r="AD60" s="3062"/>
      <c r="AE60" s="3062"/>
      <c r="AF60" s="3062"/>
      <c r="AG60" s="3062"/>
      <c r="AH60" s="3062"/>
      <c r="AI60" s="3062"/>
      <c r="AJ60" s="3062"/>
      <c r="AK60" s="3062"/>
    </row>
    <row r="61" spans="1:37" s="3063" customFormat="1">
      <c r="A61" s="3087" t="s">
        <v>1057</v>
      </c>
      <c r="B61" s="3821"/>
      <c r="C61" s="3085" t="s">
        <v>1058</v>
      </c>
      <c r="D61" s="3085"/>
      <c r="E61" s="3085"/>
      <c r="F61" s="3085"/>
      <c r="G61" s="3088"/>
      <c r="H61" s="3067">
        <v>9383.0400000000009</v>
      </c>
      <c r="I61" s="3067">
        <v>6109.7</v>
      </c>
      <c r="J61" s="3067">
        <v>7183.12</v>
      </c>
      <c r="K61" s="3067">
        <v>7247.5</v>
      </c>
      <c r="L61" s="3067">
        <v>10577.66</v>
      </c>
      <c r="M61" s="3067">
        <v>6772.07</v>
      </c>
      <c r="N61" s="3067">
        <v>7989.77</v>
      </c>
      <c r="O61" s="3067"/>
      <c r="P61" s="3067"/>
      <c r="Q61" s="3067"/>
      <c r="R61" s="3067"/>
      <c r="S61" s="3067"/>
      <c r="T61" s="3067"/>
      <c r="U61" s="3067"/>
      <c r="V61" s="3067"/>
      <c r="W61" s="3086"/>
      <c r="X61" s="3062"/>
      <c r="Y61" s="3062"/>
      <c r="Z61" s="3062"/>
      <c r="AD61" s="3062"/>
      <c r="AE61" s="3062"/>
      <c r="AF61" s="3062"/>
      <c r="AG61" s="3062"/>
      <c r="AH61" s="3062"/>
      <c r="AI61" s="3062"/>
      <c r="AJ61" s="3062"/>
      <c r="AK61" s="3062"/>
    </row>
    <row r="62" spans="1:37" s="3063" customFormat="1">
      <c r="A62" s="3087" t="s">
        <v>1059</v>
      </c>
      <c r="B62" s="3821"/>
      <c r="C62" s="3085" t="s">
        <v>1030</v>
      </c>
      <c r="D62" s="3085"/>
      <c r="E62" s="3085"/>
      <c r="F62" s="3085"/>
      <c r="G62" s="3088"/>
      <c r="H62" s="3067">
        <v>2453.81</v>
      </c>
      <c r="I62" s="3067">
        <v>2526.73</v>
      </c>
      <c r="J62" s="3067">
        <v>5122.8</v>
      </c>
      <c r="K62" s="3067">
        <v>3031.14</v>
      </c>
      <c r="L62" s="3067">
        <v>6812.52</v>
      </c>
      <c r="M62" s="3067">
        <v>5278.73</v>
      </c>
      <c r="N62" s="3067">
        <v>4317.6899999999996</v>
      </c>
      <c r="O62" s="3067"/>
      <c r="P62" s="3067"/>
      <c r="Q62" s="3067"/>
      <c r="R62" s="3067"/>
      <c r="S62" s="3067"/>
      <c r="T62" s="3067"/>
      <c r="U62" s="3067"/>
      <c r="V62" s="3067"/>
      <c r="W62" s="3086"/>
      <c r="X62" s="3062"/>
      <c r="Y62" s="3062"/>
      <c r="Z62" s="3062"/>
      <c r="AD62" s="3062"/>
      <c r="AE62" s="3062"/>
      <c r="AF62" s="3062"/>
      <c r="AG62" s="3062"/>
      <c r="AH62" s="3062"/>
      <c r="AI62" s="3062"/>
      <c r="AJ62" s="3062"/>
      <c r="AK62" s="3062"/>
    </row>
    <row r="63" spans="1:37" s="3063" customFormat="1">
      <c r="A63" s="3087" t="s">
        <v>1060</v>
      </c>
      <c r="B63" s="3821"/>
      <c r="C63" s="3085" t="s">
        <v>1061</v>
      </c>
      <c r="D63" s="3085"/>
      <c r="E63" s="3085"/>
      <c r="F63" s="3085"/>
      <c r="G63" s="3088"/>
      <c r="H63" s="3067">
        <v>3787.54</v>
      </c>
      <c r="I63" s="3067">
        <v>7843.53</v>
      </c>
      <c r="J63" s="3067">
        <v>8113.02</v>
      </c>
      <c r="K63" s="3067">
        <v>10025.64</v>
      </c>
      <c r="L63" s="3067">
        <v>8678.32</v>
      </c>
      <c r="M63" s="3067">
        <v>9052.24</v>
      </c>
      <c r="N63" s="3067">
        <v>13440.34</v>
      </c>
      <c r="O63" s="3067"/>
      <c r="P63" s="3067"/>
      <c r="Q63" s="3067"/>
      <c r="R63" s="3067"/>
      <c r="S63" s="3067"/>
      <c r="T63" s="3067"/>
      <c r="U63" s="3067"/>
      <c r="V63" s="3067"/>
      <c r="W63" s="3086"/>
      <c r="X63" s="3062"/>
      <c r="Y63" s="3062"/>
      <c r="Z63" s="3062"/>
      <c r="AD63" s="3062"/>
      <c r="AE63" s="3062"/>
      <c r="AF63" s="3062"/>
      <c r="AG63" s="3062"/>
      <c r="AH63" s="3062"/>
      <c r="AI63" s="3062"/>
      <c r="AJ63" s="3062"/>
      <c r="AK63" s="3062"/>
    </row>
    <row r="64" spans="1:37" s="3063" customFormat="1">
      <c r="A64" s="3087" t="s">
        <v>1062</v>
      </c>
      <c r="B64" s="3821"/>
      <c r="C64" s="3085" t="s">
        <v>1063</v>
      </c>
      <c r="D64" s="3085"/>
      <c r="E64" s="3085"/>
      <c r="F64" s="3085"/>
      <c r="G64" s="3088"/>
      <c r="H64" s="3067">
        <v>0</v>
      </c>
      <c r="I64" s="3067">
        <v>0</v>
      </c>
      <c r="J64" s="3067">
        <v>0</v>
      </c>
      <c r="K64" s="3067">
        <v>0</v>
      </c>
      <c r="L64" s="3067">
        <v>2481.38</v>
      </c>
      <c r="M64" s="3067">
        <v>873.06</v>
      </c>
      <c r="N64" s="3067">
        <v>0</v>
      </c>
      <c r="O64" s="3067"/>
      <c r="P64" s="3067"/>
      <c r="Q64" s="3067"/>
      <c r="R64" s="3067"/>
      <c r="S64" s="3067"/>
      <c r="T64" s="3067"/>
      <c r="U64" s="3067"/>
      <c r="V64" s="3067"/>
      <c r="W64" s="3086"/>
      <c r="X64" s="3062"/>
      <c r="Y64" s="3062"/>
      <c r="Z64" s="3062"/>
      <c r="AD64" s="3062"/>
      <c r="AE64" s="3062"/>
      <c r="AF64" s="3062"/>
      <c r="AG64" s="3062"/>
      <c r="AH64" s="3062"/>
      <c r="AI64" s="3062"/>
      <c r="AJ64" s="3062"/>
      <c r="AK64" s="3062"/>
    </row>
    <row r="65" spans="1:37" s="3063" customFormat="1">
      <c r="A65" s="3087" t="s">
        <v>1064</v>
      </c>
      <c r="B65" s="3821"/>
      <c r="C65" s="3085" t="s">
        <v>1045</v>
      </c>
      <c r="D65" s="3085"/>
      <c r="E65" s="3085"/>
      <c r="F65" s="3085"/>
      <c r="G65" s="3088"/>
      <c r="H65" s="3067">
        <v>0</v>
      </c>
      <c r="I65" s="3067">
        <v>0</v>
      </c>
      <c r="J65" s="3067">
        <v>0</v>
      </c>
      <c r="K65" s="3067">
        <v>53.51</v>
      </c>
      <c r="L65" s="3067">
        <v>0</v>
      </c>
      <c r="M65" s="3067">
        <v>0</v>
      </c>
      <c r="N65" s="3067">
        <v>0</v>
      </c>
      <c r="O65" s="3067"/>
      <c r="P65" s="3067"/>
      <c r="Q65" s="3067"/>
      <c r="R65" s="3067"/>
      <c r="S65" s="3067"/>
      <c r="T65" s="3067"/>
      <c r="U65" s="3067"/>
      <c r="V65" s="3067"/>
      <c r="W65" s="3086"/>
      <c r="X65" s="3062"/>
      <c r="Y65" s="3062"/>
      <c r="Z65" s="3062"/>
      <c r="AD65" s="3062"/>
      <c r="AE65" s="3062"/>
      <c r="AF65" s="3062"/>
      <c r="AG65" s="3062"/>
      <c r="AH65" s="3062"/>
      <c r="AI65" s="3062"/>
      <c r="AJ65" s="3062"/>
      <c r="AK65" s="3062"/>
    </row>
    <row r="66" spans="1:37" s="3063" customFormat="1">
      <c r="A66" s="3087" t="s">
        <v>1065</v>
      </c>
      <c r="B66" s="3821"/>
      <c r="C66" s="3085" t="s">
        <v>1045</v>
      </c>
      <c r="D66" s="3085"/>
      <c r="E66" s="3085"/>
      <c r="F66" s="3085"/>
      <c r="G66" s="3088"/>
      <c r="H66" s="3067">
        <v>0</v>
      </c>
      <c r="I66" s="3067">
        <v>0</v>
      </c>
      <c r="J66" s="3067">
        <v>56.24</v>
      </c>
      <c r="K66" s="3067">
        <v>3</v>
      </c>
      <c r="L66" s="3067">
        <v>0</v>
      </c>
      <c r="M66" s="3067">
        <v>8.25</v>
      </c>
      <c r="N66" s="3067">
        <v>46.02</v>
      </c>
      <c r="O66" s="3067"/>
      <c r="P66" s="3067"/>
      <c r="Q66" s="3067"/>
      <c r="R66" s="3067"/>
      <c r="S66" s="3067"/>
      <c r="T66" s="3067"/>
      <c r="U66" s="3067"/>
      <c r="V66" s="3067"/>
      <c r="W66" s="3086"/>
      <c r="X66" s="3062"/>
      <c r="Y66" s="3062"/>
      <c r="Z66" s="3062"/>
      <c r="AD66" s="3062"/>
      <c r="AE66" s="3062"/>
      <c r="AF66" s="3062"/>
      <c r="AG66" s="3062"/>
      <c r="AH66" s="3062"/>
      <c r="AI66" s="3062"/>
      <c r="AJ66" s="3062"/>
      <c r="AK66" s="3062"/>
    </row>
    <row r="67" spans="1:37" s="3063" customFormat="1">
      <c r="A67" s="3087" t="s">
        <v>1066</v>
      </c>
      <c r="B67" s="3821"/>
      <c r="C67" s="3085" t="s">
        <v>1067</v>
      </c>
      <c r="D67" s="3085"/>
      <c r="E67" s="3085"/>
      <c r="F67" s="3085"/>
      <c r="G67" s="3088"/>
      <c r="H67" s="3067">
        <v>734</v>
      </c>
      <c r="I67" s="3067">
        <v>755</v>
      </c>
      <c r="J67" s="3067">
        <v>794.46</v>
      </c>
      <c r="K67" s="3067">
        <v>785.16</v>
      </c>
      <c r="L67" s="3067">
        <v>983.07</v>
      </c>
      <c r="M67" s="3067">
        <v>806.19</v>
      </c>
      <c r="N67" s="3067">
        <v>462.69</v>
      </c>
      <c r="O67" s="3067"/>
      <c r="P67" s="3067"/>
      <c r="Q67" s="3067"/>
      <c r="R67" s="3067"/>
      <c r="S67" s="3067"/>
      <c r="T67" s="3067"/>
      <c r="U67" s="3067"/>
      <c r="V67" s="3067"/>
      <c r="W67" s="3086"/>
      <c r="X67" s="3062"/>
      <c r="Y67" s="3062"/>
      <c r="Z67" s="3062"/>
      <c r="AD67" s="3062"/>
      <c r="AE67" s="3062"/>
      <c r="AF67" s="3062"/>
      <c r="AG67" s="3062"/>
      <c r="AH67" s="3062"/>
      <c r="AI67" s="3062"/>
      <c r="AJ67" s="3062"/>
      <c r="AK67" s="3062"/>
    </row>
    <row r="68" spans="1:37" s="3063" customFormat="1">
      <c r="A68" s="3087" t="s">
        <v>1068</v>
      </c>
      <c r="B68" s="3821"/>
      <c r="C68" s="3085" t="s">
        <v>1069</v>
      </c>
      <c r="D68" s="3085"/>
      <c r="E68" s="3085"/>
      <c r="F68" s="3085"/>
      <c r="G68" s="3088"/>
      <c r="H68" s="3067">
        <v>123.98</v>
      </c>
      <c r="I68" s="3067">
        <v>128.03</v>
      </c>
      <c r="J68" s="3067">
        <v>136.38</v>
      </c>
      <c r="K68" s="3067">
        <v>144.91</v>
      </c>
      <c r="L68" s="3067">
        <v>163.19</v>
      </c>
      <c r="M68" s="3067">
        <v>110.26</v>
      </c>
      <c r="N68" s="3067">
        <v>157.49</v>
      </c>
      <c r="O68" s="3067"/>
      <c r="P68" s="3067"/>
      <c r="Q68" s="3067"/>
      <c r="R68" s="3067"/>
      <c r="S68" s="3067"/>
      <c r="T68" s="3067"/>
      <c r="U68" s="3067"/>
      <c r="V68" s="3067"/>
      <c r="W68" s="3086"/>
      <c r="X68" s="3062"/>
      <c r="Y68" s="3062"/>
      <c r="Z68" s="3062"/>
      <c r="AD68" s="3062"/>
      <c r="AE68" s="3062"/>
      <c r="AF68" s="3062"/>
      <c r="AG68" s="3062"/>
      <c r="AH68" s="3062"/>
      <c r="AI68" s="3062"/>
      <c r="AJ68" s="3062"/>
      <c r="AK68" s="3062"/>
    </row>
    <row r="69" spans="1:37" s="3063" customFormat="1">
      <c r="A69" s="3087" t="s">
        <v>1070</v>
      </c>
      <c r="B69" s="3821"/>
      <c r="C69" s="3085" t="s">
        <v>1051</v>
      </c>
      <c r="D69" s="3085"/>
      <c r="E69" s="3085"/>
      <c r="F69" s="3085"/>
      <c r="G69" s="3088"/>
      <c r="H69" s="3067">
        <v>37379.199999999997</v>
      </c>
      <c r="I69" s="3067">
        <v>39049.21</v>
      </c>
      <c r="J69" s="3067">
        <v>41114.17</v>
      </c>
      <c r="K69" s="3067">
        <v>41439.39</v>
      </c>
      <c r="L69" s="3067">
        <v>22528.38</v>
      </c>
      <c r="M69" s="3067">
        <v>0</v>
      </c>
      <c r="N69" s="3067">
        <v>0</v>
      </c>
      <c r="O69" s="3067"/>
      <c r="P69" s="3067"/>
      <c r="Q69" s="3067"/>
      <c r="R69" s="3067"/>
      <c r="S69" s="3067"/>
      <c r="T69" s="3067"/>
      <c r="U69" s="3067"/>
      <c r="V69" s="3067"/>
      <c r="W69" s="3086"/>
      <c r="X69" s="3062"/>
      <c r="Y69" s="3062"/>
      <c r="Z69" s="3062"/>
      <c r="AD69" s="3062"/>
      <c r="AE69" s="3062"/>
      <c r="AF69" s="3062"/>
      <c r="AG69" s="3062"/>
      <c r="AH69" s="3062"/>
      <c r="AI69" s="3062"/>
      <c r="AJ69" s="3062"/>
      <c r="AK69" s="3062"/>
    </row>
    <row r="70" spans="1:37" s="3063" customFormat="1">
      <c r="A70" s="3087" t="s">
        <v>1071</v>
      </c>
      <c r="B70" s="3821"/>
      <c r="C70" s="3085" t="s">
        <v>1012</v>
      </c>
      <c r="D70" s="3085"/>
      <c r="E70" s="3085"/>
      <c r="F70" s="3085"/>
      <c r="G70" s="3088"/>
      <c r="H70" s="3067">
        <v>0</v>
      </c>
      <c r="I70" s="3067">
        <v>0</v>
      </c>
      <c r="J70" s="3067">
        <v>0</v>
      </c>
      <c r="K70" s="3067">
        <v>0</v>
      </c>
      <c r="L70" s="3067">
        <v>0</v>
      </c>
      <c r="M70" s="3067">
        <v>30221.46</v>
      </c>
      <c r="N70" s="3067">
        <v>31199.08</v>
      </c>
      <c r="O70" s="3067"/>
      <c r="P70" s="3067"/>
      <c r="Q70" s="3067"/>
      <c r="R70" s="3067"/>
      <c r="S70" s="3067"/>
      <c r="T70" s="3067"/>
      <c r="U70" s="3067"/>
      <c r="V70" s="3067"/>
      <c r="W70" s="3086"/>
      <c r="X70" s="3062"/>
      <c r="Y70" s="3062"/>
      <c r="Z70" s="3062"/>
      <c r="AD70" s="3062"/>
      <c r="AE70" s="3062"/>
      <c r="AF70" s="3062"/>
      <c r="AG70" s="3062"/>
      <c r="AH70" s="3062"/>
      <c r="AI70" s="3062"/>
      <c r="AJ70" s="3062"/>
      <c r="AK70" s="3062"/>
    </row>
    <row r="71" spans="1:37" s="3063" customFormat="1">
      <c r="A71" s="3087" t="s">
        <v>1072</v>
      </c>
      <c r="B71" s="3821"/>
      <c r="C71" s="3085" t="s">
        <v>1054</v>
      </c>
      <c r="D71" s="3085"/>
      <c r="E71" s="3085"/>
      <c r="F71" s="3085"/>
      <c r="G71" s="3088"/>
      <c r="H71" s="3067">
        <v>2753.49</v>
      </c>
      <c r="I71" s="3067">
        <v>2808.56</v>
      </c>
      <c r="J71" s="3067">
        <v>3013.16</v>
      </c>
      <c r="K71" s="3067">
        <v>3013.16</v>
      </c>
      <c r="L71" s="3067">
        <v>3073.59</v>
      </c>
      <c r="M71" s="3067">
        <v>533.04999999999995</v>
      </c>
      <c r="N71" s="3067">
        <v>0</v>
      </c>
      <c r="O71" s="3067"/>
      <c r="P71" s="3067"/>
      <c r="Q71" s="3067"/>
      <c r="R71" s="3067"/>
      <c r="S71" s="3067"/>
      <c r="T71" s="3067"/>
      <c r="U71" s="3067"/>
      <c r="V71" s="3067"/>
      <c r="W71" s="3086"/>
      <c r="X71" s="3062"/>
      <c r="Y71" s="3062"/>
      <c r="Z71" s="3062"/>
      <c r="AD71" s="3062"/>
      <c r="AE71" s="3062"/>
      <c r="AF71" s="3062"/>
      <c r="AG71" s="3062"/>
      <c r="AH71" s="3062"/>
      <c r="AI71" s="3062"/>
      <c r="AJ71" s="3062"/>
      <c r="AK71" s="3062"/>
    </row>
    <row r="72" spans="1:37" s="3063" customFormat="1">
      <c r="A72" s="3087" t="s">
        <v>1073</v>
      </c>
      <c r="B72" s="3821"/>
      <c r="C72" s="3085" t="s">
        <v>1014</v>
      </c>
      <c r="D72" s="3085"/>
      <c r="E72" s="3085"/>
      <c r="F72" s="3085"/>
      <c r="G72" s="3088"/>
      <c r="H72" s="3067">
        <v>0</v>
      </c>
      <c r="I72" s="3067">
        <v>0</v>
      </c>
      <c r="J72" s="3067">
        <v>0</v>
      </c>
      <c r="K72" s="3067">
        <v>0</v>
      </c>
      <c r="L72" s="3067">
        <v>0</v>
      </c>
      <c r="M72" s="3067">
        <v>1156.54</v>
      </c>
      <c r="N72" s="3067">
        <v>2239.3200000000002</v>
      </c>
      <c r="O72" s="3067"/>
      <c r="P72" s="3067"/>
      <c r="Q72" s="3067"/>
      <c r="R72" s="3067"/>
      <c r="S72" s="3067"/>
      <c r="T72" s="3067"/>
      <c r="U72" s="3067"/>
      <c r="V72" s="3067"/>
      <c r="W72" s="3086"/>
      <c r="X72" s="3062"/>
      <c r="Y72" s="3062"/>
      <c r="Z72" s="3062"/>
      <c r="AD72" s="3062"/>
      <c r="AE72" s="3062"/>
      <c r="AF72" s="3062"/>
      <c r="AG72" s="3062"/>
      <c r="AH72" s="3062"/>
      <c r="AI72" s="3062"/>
      <c r="AJ72" s="3062"/>
      <c r="AK72" s="3062"/>
    </row>
    <row r="73" spans="1:37" s="3063" customFormat="1">
      <c r="A73" s="3087" t="s">
        <v>1074</v>
      </c>
      <c r="B73" s="3821"/>
      <c r="C73" s="3085" t="s">
        <v>1047</v>
      </c>
      <c r="D73" s="3085"/>
      <c r="E73" s="3085"/>
      <c r="F73" s="3085"/>
      <c r="G73" s="3088"/>
      <c r="H73" s="3067">
        <v>744.8</v>
      </c>
      <c r="I73" s="3067">
        <v>676.8</v>
      </c>
      <c r="J73" s="3067">
        <v>935</v>
      </c>
      <c r="K73" s="3067">
        <v>1030</v>
      </c>
      <c r="L73" s="3067">
        <v>740</v>
      </c>
      <c r="M73" s="3067">
        <v>1321.5</v>
      </c>
      <c r="N73" s="3067">
        <v>1226.5</v>
      </c>
      <c r="O73" s="3067"/>
      <c r="P73" s="3067"/>
      <c r="Q73" s="3067"/>
      <c r="R73" s="3067"/>
      <c r="S73" s="3067"/>
      <c r="T73" s="3067"/>
      <c r="U73" s="3067"/>
      <c r="V73" s="3067"/>
      <c r="W73" s="3086"/>
      <c r="X73" s="3062"/>
      <c r="Y73" s="3062"/>
      <c r="Z73" s="3062"/>
      <c r="AD73" s="3062"/>
      <c r="AE73" s="3062"/>
      <c r="AF73" s="3062"/>
      <c r="AG73" s="3062"/>
      <c r="AH73" s="3062"/>
      <c r="AI73" s="3062"/>
      <c r="AJ73" s="3062"/>
      <c r="AK73" s="3062"/>
    </row>
    <row r="74" spans="1:37" s="3063" customFormat="1">
      <c r="A74" s="3087" t="s">
        <v>1075</v>
      </c>
      <c r="B74" s="3821"/>
      <c r="C74" s="3085" t="s">
        <v>1058</v>
      </c>
      <c r="D74" s="3085"/>
      <c r="E74" s="3085"/>
      <c r="F74" s="3085"/>
      <c r="G74" s="3088"/>
      <c r="H74" s="3067">
        <v>5729.78</v>
      </c>
      <c r="I74" s="3067">
        <v>5841.71</v>
      </c>
      <c r="J74" s="3067">
        <v>7189.77</v>
      </c>
      <c r="K74" s="3067">
        <v>6207.48</v>
      </c>
      <c r="L74" s="3067">
        <v>1541.62</v>
      </c>
      <c r="M74" s="3067">
        <v>0</v>
      </c>
      <c r="N74" s="3067">
        <v>0</v>
      </c>
      <c r="O74" s="3067"/>
      <c r="P74" s="3067"/>
      <c r="Q74" s="3067"/>
      <c r="R74" s="3067"/>
      <c r="S74" s="3067"/>
      <c r="T74" s="3067"/>
      <c r="U74" s="3067"/>
      <c r="V74" s="3067"/>
      <c r="W74" s="3086"/>
      <c r="X74" s="3062"/>
      <c r="Y74" s="3062"/>
      <c r="Z74" s="3062"/>
      <c r="AD74" s="3062"/>
      <c r="AE74" s="3062"/>
      <c r="AF74" s="3062"/>
      <c r="AG74" s="3062"/>
      <c r="AH74" s="3062"/>
      <c r="AI74" s="3062"/>
      <c r="AJ74" s="3062"/>
      <c r="AK74" s="3062"/>
    </row>
    <row r="75" spans="1:37" s="3063" customFormat="1">
      <c r="A75" s="3087" t="s">
        <v>1076</v>
      </c>
      <c r="B75" s="3821"/>
      <c r="C75" s="3085" t="s">
        <v>1030</v>
      </c>
      <c r="D75" s="3085"/>
      <c r="E75" s="3085"/>
      <c r="F75" s="3085"/>
      <c r="G75" s="3088"/>
      <c r="H75" s="3067">
        <v>0</v>
      </c>
      <c r="I75" s="3067">
        <v>0</v>
      </c>
      <c r="J75" s="3067">
        <v>0</v>
      </c>
      <c r="K75" s="3067">
        <v>0</v>
      </c>
      <c r="L75" s="3067">
        <v>0</v>
      </c>
      <c r="M75" s="3067">
        <v>1995.6</v>
      </c>
      <c r="N75" s="3067">
        <v>2467.06</v>
      </c>
      <c r="O75" s="3067"/>
      <c r="P75" s="3067"/>
      <c r="Q75" s="3067"/>
      <c r="R75" s="3067"/>
      <c r="S75" s="3067"/>
      <c r="T75" s="3067"/>
      <c r="U75" s="3067"/>
      <c r="V75" s="3067"/>
      <c r="W75" s="3086"/>
      <c r="X75" s="3062"/>
      <c r="Y75" s="3062"/>
      <c r="Z75" s="3062"/>
      <c r="AD75" s="3062"/>
      <c r="AE75" s="3062"/>
      <c r="AF75" s="3062"/>
      <c r="AG75" s="3062"/>
      <c r="AH75" s="3062"/>
      <c r="AI75" s="3062"/>
      <c r="AJ75" s="3062"/>
      <c r="AK75" s="3062"/>
    </row>
    <row r="76" spans="1:37" s="3063" customFormat="1">
      <c r="A76" s="3087" t="s">
        <v>1077</v>
      </c>
      <c r="B76" s="3821"/>
      <c r="C76" s="3085" t="s">
        <v>1061</v>
      </c>
      <c r="D76" s="3085"/>
      <c r="E76" s="3085"/>
      <c r="F76" s="3085"/>
      <c r="G76" s="3088"/>
      <c r="H76" s="3067">
        <v>7349.68</v>
      </c>
      <c r="I76" s="3067">
        <v>7497.03</v>
      </c>
      <c r="J76" s="3067">
        <v>7860.4</v>
      </c>
      <c r="K76" s="3067">
        <v>8887.26</v>
      </c>
      <c r="L76" s="3067">
        <v>1637.02</v>
      </c>
      <c r="M76" s="3067">
        <v>0</v>
      </c>
      <c r="N76" s="3067">
        <v>0</v>
      </c>
      <c r="O76" s="3067"/>
      <c r="P76" s="3067"/>
      <c r="Q76" s="3067"/>
      <c r="R76" s="3067"/>
      <c r="S76" s="3067"/>
      <c r="T76" s="3067"/>
      <c r="U76" s="3067"/>
      <c r="V76" s="3067"/>
      <c r="W76" s="3086"/>
      <c r="X76" s="3062"/>
      <c r="Y76" s="3062"/>
      <c r="Z76" s="3062"/>
      <c r="AD76" s="3062"/>
      <c r="AE76" s="3062"/>
      <c r="AF76" s="3062"/>
      <c r="AG76" s="3062"/>
      <c r="AH76" s="3062"/>
      <c r="AI76" s="3062"/>
      <c r="AJ76" s="3062"/>
      <c r="AK76" s="3062"/>
    </row>
    <row r="77" spans="1:37" s="3063" customFormat="1">
      <c r="A77" s="3087" t="s">
        <v>1078</v>
      </c>
      <c r="B77" s="3821"/>
      <c r="C77" s="3085" t="s">
        <v>1063</v>
      </c>
      <c r="D77" s="3085"/>
      <c r="E77" s="3085"/>
      <c r="F77" s="3085"/>
      <c r="G77" s="3088"/>
      <c r="H77" s="3067">
        <v>0</v>
      </c>
      <c r="I77" s="3067">
        <v>0</v>
      </c>
      <c r="J77" s="3067">
        <v>0</v>
      </c>
      <c r="K77" s="3067">
        <v>0</v>
      </c>
      <c r="L77" s="3067">
        <v>0</v>
      </c>
      <c r="M77" s="3067">
        <v>682.27</v>
      </c>
      <c r="N77" s="3067">
        <v>0</v>
      </c>
      <c r="O77" s="3067"/>
      <c r="P77" s="3067"/>
      <c r="Q77" s="3067"/>
      <c r="R77" s="3067"/>
      <c r="S77" s="3067"/>
      <c r="T77" s="3067"/>
      <c r="U77" s="3067"/>
      <c r="V77" s="3067"/>
      <c r="W77" s="3086"/>
      <c r="X77" s="3062"/>
      <c r="Y77" s="3062"/>
      <c r="Z77" s="3062"/>
      <c r="AD77" s="3062"/>
      <c r="AE77" s="3062"/>
      <c r="AF77" s="3062"/>
      <c r="AG77" s="3062"/>
      <c r="AH77" s="3062"/>
      <c r="AI77" s="3062"/>
      <c r="AJ77" s="3062"/>
      <c r="AK77" s="3062"/>
    </row>
    <row r="78" spans="1:37" s="3063" customFormat="1">
      <c r="A78" s="3087" t="s">
        <v>1079</v>
      </c>
      <c r="B78" s="3821"/>
      <c r="C78" s="3085" t="s">
        <v>1045</v>
      </c>
      <c r="D78" s="3085"/>
      <c r="E78" s="3085"/>
      <c r="F78" s="3085"/>
      <c r="G78" s="3088"/>
      <c r="H78" s="3067">
        <v>0</v>
      </c>
      <c r="I78" s="3067">
        <v>0</v>
      </c>
      <c r="J78" s="3067">
        <v>39.479999999999997</v>
      </c>
      <c r="K78" s="3067">
        <v>100.54</v>
      </c>
      <c r="L78" s="3067">
        <v>405.37</v>
      </c>
      <c r="M78" s="3067">
        <v>218.4</v>
      </c>
      <c r="N78" s="3067">
        <v>0</v>
      </c>
      <c r="O78" s="3067"/>
      <c r="P78" s="3067"/>
      <c r="Q78" s="3067"/>
      <c r="R78" s="3067"/>
      <c r="S78" s="3067"/>
      <c r="T78" s="3067"/>
      <c r="U78" s="3067"/>
      <c r="V78" s="3067"/>
      <c r="W78" s="3086"/>
      <c r="X78" s="3062"/>
      <c r="Y78" s="3062"/>
      <c r="Z78" s="3062"/>
      <c r="AD78" s="3062"/>
      <c r="AE78" s="3062"/>
      <c r="AF78" s="3062"/>
      <c r="AG78" s="3062"/>
      <c r="AH78" s="3062"/>
      <c r="AI78" s="3062"/>
      <c r="AJ78" s="3062"/>
      <c r="AK78" s="3062"/>
    </row>
    <row r="79" spans="1:37" s="3063" customFormat="1">
      <c r="A79" s="3087" t="s">
        <v>1080</v>
      </c>
      <c r="B79" s="3821"/>
      <c r="C79" s="3085" t="s">
        <v>1045</v>
      </c>
      <c r="D79" s="3085"/>
      <c r="E79" s="3085"/>
      <c r="F79" s="3085"/>
      <c r="G79" s="3088"/>
      <c r="H79" s="3067">
        <v>0</v>
      </c>
      <c r="I79" s="3067">
        <v>0</v>
      </c>
      <c r="J79" s="3067">
        <v>0</v>
      </c>
      <c r="K79" s="3067">
        <v>0</v>
      </c>
      <c r="L79" s="3067">
        <v>0</v>
      </c>
      <c r="M79" s="3067">
        <v>72.42</v>
      </c>
      <c r="N79" s="3067">
        <v>0</v>
      </c>
      <c r="O79" s="3067"/>
      <c r="P79" s="3067"/>
      <c r="Q79" s="3067"/>
      <c r="R79" s="3067"/>
      <c r="S79" s="3067"/>
      <c r="T79" s="3067"/>
      <c r="U79" s="3067"/>
      <c r="V79" s="3067"/>
      <c r="W79" s="3086"/>
      <c r="X79" s="3062"/>
      <c r="Y79" s="3062"/>
      <c r="Z79" s="3062"/>
      <c r="AD79" s="3062"/>
      <c r="AE79" s="3062"/>
      <c r="AF79" s="3062"/>
      <c r="AG79" s="3062"/>
      <c r="AH79" s="3062"/>
      <c r="AI79" s="3062"/>
      <c r="AJ79" s="3062"/>
      <c r="AK79" s="3062"/>
    </row>
    <row r="80" spans="1:37" s="3063" customFormat="1">
      <c r="A80" s="3087" t="s">
        <v>1081</v>
      </c>
      <c r="B80" s="3821"/>
      <c r="C80" s="3085" t="s">
        <v>1067</v>
      </c>
      <c r="D80" s="3085"/>
      <c r="E80" s="3085"/>
      <c r="F80" s="3085"/>
      <c r="G80" s="3088"/>
      <c r="H80" s="3067">
        <v>303</v>
      </c>
      <c r="I80" s="3067">
        <v>313</v>
      </c>
      <c r="J80" s="3067">
        <v>381.58</v>
      </c>
      <c r="K80" s="3067">
        <v>334.06</v>
      </c>
      <c r="L80" s="3067">
        <v>334.68</v>
      </c>
      <c r="M80" s="3067">
        <v>320.63</v>
      </c>
      <c r="N80" s="3067">
        <v>114.4</v>
      </c>
      <c r="O80" s="3067"/>
      <c r="P80" s="3067"/>
      <c r="Q80" s="3067"/>
      <c r="R80" s="3067"/>
      <c r="S80" s="3067"/>
      <c r="T80" s="3067"/>
      <c r="U80" s="3067"/>
      <c r="V80" s="3067"/>
      <c r="W80" s="3086"/>
      <c r="X80" s="3062"/>
      <c r="Y80" s="3062"/>
      <c r="Z80" s="3062"/>
      <c r="AD80" s="3062"/>
      <c r="AE80" s="3062"/>
      <c r="AF80" s="3062"/>
      <c r="AG80" s="3062"/>
      <c r="AH80" s="3062"/>
      <c r="AI80" s="3062"/>
      <c r="AJ80" s="3062"/>
      <c r="AK80" s="3062"/>
    </row>
    <row r="81" spans="1:37" s="3063" customFormat="1">
      <c r="A81" s="3087" t="s">
        <v>1082</v>
      </c>
      <c r="B81" s="3821"/>
      <c r="C81" s="3085" t="s">
        <v>1069</v>
      </c>
      <c r="D81" s="3085"/>
      <c r="E81" s="3085"/>
      <c r="F81" s="3085"/>
      <c r="G81" s="3088"/>
      <c r="H81" s="3067">
        <v>55.58</v>
      </c>
      <c r="I81" s="3067">
        <v>56.64</v>
      </c>
      <c r="J81" s="3067">
        <v>69.069999999999993</v>
      </c>
      <c r="K81" s="3067">
        <v>60.18</v>
      </c>
      <c r="L81" s="3067">
        <v>32.21</v>
      </c>
      <c r="M81" s="3067">
        <v>51.21</v>
      </c>
      <c r="N81" s="3067">
        <v>46.79</v>
      </c>
      <c r="O81" s="3067"/>
      <c r="P81" s="3067"/>
      <c r="Q81" s="3067"/>
      <c r="R81" s="3067"/>
      <c r="S81" s="3067"/>
      <c r="T81" s="3067"/>
      <c r="U81" s="3067"/>
      <c r="V81" s="3067"/>
      <c r="W81" s="3086"/>
      <c r="X81" s="3062"/>
      <c r="Y81" s="3062"/>
      <c r="Z81" s="3062"/>
      <c r="AD81" s="3062"/>
      <c r="AE81" s="3062"/>
      <c r="AF81" s="3062"/>
      <c r="AG81" s="3062"/>
      <c r="AH81" s="3062"/>
      <c r="AI81" s="3062"/>
      <c r="AJ81" s="3062"/>
      <c r="AK81" s="3062"/>
    </row>
    <row r="82" spans="1:37" s="3063" customFormat="1">
      <c r="A82" s="3089"/>
      <c r="B82" s="3822"/>
      <c r="C82" s="3090" t="s">
        <v>1083</v>
      </c>
      <c r="D82" s="3090"/>
      <c r="E82" s="3090"/>
      <c r="F82" s="3090"/>
      <c r="G82" s="3091"/>
      <c r="H82" s="3092">
        <f t="shared" ref="H82:W82" si="14">SUM(H27:H81)</f>
        <v>166282.68999999994</v>
      </c>
      <c r="I82" s="3092">
        <f t="shared" si="14"/>
        <v>176877.69999999998</v>
      </c>
      <c r="J82" s="3092">
        <f t="shared" si="14"/>
        <v>171643.25</v>
      </c>
      <c r="K82" s="3092">
        <f t="shared" si="14"/>
        <v>188241.14000000004</v>
      </c>
      <c r="L82" s="3092">
        <f t="shared" si="14"/>
        <v>170047.99999999997</v>
      </c>
      <c r="M82" s="3092">
        <f t="shared" si="14"/>
        <v>174885.97999999998</v>
      </c>
      <c r="N82" s="3092">
        <f t="shared" si="14"/>
        <v>182922.05</v>
      </c>
      <c r="O82" s="3092">
        <f t="shared" si="14"/>
        <v>150843.81</v>
      </c>
      <c r="P82" s="3092">
        <f t="shared" si="14"/>
        <v>159022.63</v>
      </c>
      <c r="Q82" s="3092">
        <f t="shared" si="14"/>
        <v>155060.18</v>
      </c>
      <c r="R82" s="3092">
        <f t="shared" si="14"/>
        <v>134158.21000000002</v>
      </c>
      <c r="S82" s="3092">
        <f t="shared" si="14"/>
        <v>111551.68999999999</v>
      </c>
      <c r="T82" s="3092">
        <f t="shared" si="14"/>
        <v>104216.93000000002</v>
      </c>
      <c r="U82" s="3092">
        <f t="shared" si="14"/>
        <v>98151.92</v>
      </c>
      <c r="V82" s="3092">
        <f t="shared" si="14"/>
        <v>106272.60999999999</v>
      </c>
      <c r="W82" s="3826">
        <f t="shared" si="14"/>
        <v>0</v>
      </c>
      <c r="X82" s="3062"/>
      <c r="Y82" s="3062"/>
      <c r="Z82" s="3062"/>
      <c r="AD82" s="3062"/>
      <c r="AE82" s="3062"/>
      <c r="AF82" s="3062"/>
      <c r="AG82" s="3062"/>
      <c r="AH82" s="3062"/>
      <c r="AI82" s="3062"/>
      <c r="AJ82" s="3062"/>
      <c r="AK82" s="3062"/>
    </row>
    <row r="83" spans="1:37" s="3063" customFormat="1">
      <c r="A83" s="3093" t="s">
        <v>990</v>
      </c>
      <c r="B83" s="3823"/>
      <c r="C83" s="3085"/>
      <c r="D83" s="3085"/>
      <c r="E83" s="3085"/>
      <c r="F83" s="3085"/>
      <c r="G83" s="3088"/>
      <c r="H83" s="3067"/>
      <c r="I83" s="3067"/>
      <c r="J83" s="3067"/>
      <c r="K83" s="3067"/>
      <c r="L83" s="3067"/>
      <c r="M83" s="3067"/>
      <c r="N83" s="3067"/>
      <c r="O83" s="3085"/>
      <c r="P83" s="3085"/>
      <c r="Q83" s="3085"/>
      <c r="R83" s="3067"/>
      <c r="S83" s="3067"/>
      <c r="T83" s="3067"/>
      <c r="U83" s="3067"/>
      <c r="V83" s="3067"/>
      <c r="W83" s="3086"/>
      <c r="X83" s="3062"/>
      <c r="Y83" s="3062"/>
      <c r="Z83" s="3062"/>
      <c r="AD83" s="3062"/>
      <c r="AE83" s="3062"/>
      <c r="AF83" s="3062"/>
      <c r="AG83" s="3062"/>
      <c r="AH83" s="3062"/>
      <c r="AI83" s="3062"/>
      <c r="AJ83" s="3062"/>
      <c r="AK83" s="3062"/>
    </row>
    <row r="84" spans="1:37" s="3063" customFormat="1">
      <c r="A84" s="3087" t="s">
        <v>1084</v>
      </c>
      <c r="B84" s="3821"/>
      <c r="C84" s="3085" t="s">
        <v>1085</v>
      </c>
      <c r="D84" s="3085"/>
      <c r="E84" s="3085"/>
      <c r="F84" s="3085"/>
      <c r="G84" s="3088"/>
      <c r="H84" s="3067"/>
      <c r="I84" s="3067"/>
      <c r="J84" s="3067"/>
      <c r="K84" s="3067"/>
      <c r="L84" s="3067"/>
      <c r="M84" s="3067"/>
      <c r="N84" s="3067"/>
      <c r="O84" s="3067">
        <v>1560.31</v>
      </c>
      <c r="P84" s="3067">
        <f>1440.49+12618.56</f>
        <v>14059.05</v>
      </c>
      <c r="Q84" s="3067">
        <f>21729.58+688.3</f>
        <v>22417.88</v>
      </c>
      <c r="R84" s="3067">
        <v>33456.379999999997</v>
      </c>
      <c r="S84" s="3067">
        <v>31735.06</v>
      </c>
      <c r="T84" s="3067">
        <v>39870.31</v>
      </c>
      <c r="U84" s="3067"/>
      <c r="V84" s="3067"/>
      <c r="W84" s="3086"/>
      <c r="X84" s="3062"/>
      <c r="Y84" s="3062"/>
      <c r="Z84" s="3062"/>
      <c r="AD84" s="3062"/>
      <c r="AE84" s="3062"/>
      <c r="AF84" s="3062"/>
      <c r="AG84" s="3062"/>
      <c r="AH84" s="3062"/>
      <c r="AI84" s="3062"/>
      <c r="AJ84" s="3062"/>
      <c r="AK84" s="3062"/>
    </row>
    <row r="85" spans="1:37" s="3063" customFormat="1">
      <c r="A85" s="3087" t="s">
        <v>1086</v>
      </c>
      <c r="B85" s="3821"/>
      <c r="C85" s="3085" t="s">
        <v>1087</v>
      </c>
      <c r="D85" s="3085"/>
      <c r="E85" s="3085"/>
      <c r="F85" s="3085"/>
      <c r="G85" s="3088"/>
      <c r="H85" s="3067"/>
      <c r="I85" s="3067"/>
      <c r="J85" s="3067"/>
      <c r="K85" s="3067"/>
      <c r="L85" s="3067"/>
      <c r="M85" s="3067"/>
      <c r="N85" s="3067"/>
      <c r="O85" s="3067">
        <f>9277.21</f>
        <v>9277.2099999999991</v>
      </c>
      <c r="P85" s="3067">
        <f>4474.93</f>
        <v>4474.93</v>
      </c>
      <c r="Q85" s="3067">
        <v>766.6</v>
      </c>
      <c r="R85" s="3067">
        <v>978.19</v>
      </c>
      <c r="S85" s="3067">
        <v>1707.81</v>
      </c>
      <c r="T85" s="3067">
        <v>193.04</v>
      </c>
      <c r="U85" s="3067"/>
      <c r="V85" s="3067"/>
      <c r="W85" s="3086"/>
      <c r="X85" s="3062"/>
      <c r="Y85" s="3062"/>
      <c r="Z85" s="3062"/>
      <c r="AD85" s="3062"/>
      <c r="AE85" s="3062"/>
      <c r="AF85" s="3062"/>
      <c r="AG85" s="3062"/>
      <c r="AH85" s="3062"/>
      <c r="AI85" s="3062"/>
      <c r="AJ85" s="3062"/>
      <c r="AK85" s="3062"/>
    </row>
    <row r="86" spans="1:37" s="3063" customFormat="1">
      <c r="A86" s="3087" t="s">
        <v>1088</v>
      </c>
      <c r="B86" s="3821">
        <v>616403</v>
      </c>
      <c r="C86" s="3085" t="s">
        <v>7363</v>
      </c>
      <c r="D86" s="3085"/>
      <c r="E86" s="3085"/>
      <c r="F86" s="3085"/>
      <c r="G86" s="3088"/>
      <c r="H86" s="3067"/>
      <c r="I86" s="3067"/>
      <c r="J86" s="3067"/>
      <c r="K86" s="3067"/>
      <c r="L86" s="3067"/>
      <c r="M86" s="3067"/>
      <c r="N86" s="3067"/>
      <c r="O86" s="3067">
        <f>22000+19764.7</f>
        <v>41764.699999999997</v>
      </c>
      <c r="P86" s="3067">
        <f>19082.01+335</f>
        <v>19417.009999999998</v>
      </c>
      <c r="Q86" s="3067">
        <f>10535.65+4116.49</f>
        <v>14652.14</v>
      </c>
      <c r="R86" s="3067">
        <v>16899.5</v>
      </c>
      <c r="S86" s="3067">
        <v>15224.8</v>
      </c>
      <c r="T86" s="3067">
        <v>13452.88</v>
      </c>
      <c r="U86" s="3067">
        <v>12861.8</v>
      </c>
      <c r="V86" s="3067">
        <v>22278.7</v>
      </c>
      <c r="W86" s="3086"/>
      <c r="X86" s="3062"/>
      <c r="Y86" s="3062"/>
      <c r="Z86" s="3062"/>
      <c r="AD86" s="3062"/>
      <c r="AE86" s="3062"/>
      <c r="AF86" s="3062"/>
      <c r="AG86" s="3062"/>
      <c r="AH86" s="3062"/>
      <c r="AI86" s="3062"/>
      <c r="AJ86" s="3062"/>
      <c r="AK86" s="3062"/>
    </row>
    <row r="87" spans="1:37" s="3063" customFormat="1">
      <c r="A87" s="3087" t="s">
        <v>1090</v>
      </c>
      <c r="B87" s="3821"/>
      <c r="C87" s="3085" t="s">
        <v>1089</v>
      </c>
      <c r="D87" s="3085"/>
      <c r="E87" s="3085"/>
      <c r="F87" s="3085"/>
      <c r="G87" s="3088"/>
      <c r="H87" s="3067"/>
      <c r="I87" s="3067"/>
      <c r="J87" s="3067"/>
      <c r="K87" s="3067"/>
      <c r="L87" s="3067"/>
      <c r="M87" s="3067"/>
      <c r="N87" s="3067"/>
      <c r="O87" s="3067"/>
      <c r="P87" s="3067"/>
      <c r="Q87" s="3067"/>
      <c r="R87" s="3067">
        <v>1158.0999999999999</v>
      </c>
      <c r="S87" s="3067">
        <v>0</v>
      </c>
      <c r="T87" s="3067"/>
      <c r="U87" s="3067"/>
      <c r="V87" s="3067"/>
      <c r="W87" s="3086"/>
      <c r="X87" s="3062"/>
      <c r="Y87" s="3062"/>
      <c r="Z87" s="3062"/>
      <c r="AD87" s="3062"/>
      <c r="AE87" s="3062"/>
      <c r="AF87" s="3062"/>
      <c r="AG87" s="3062"/>
      <c r="AH87" s="3062"/>
      <c r="AI87" s="3062"/>
      <c r="AJ87" s="3062"/>
      <c r="AK87" s="3062"/>
    </row>
    <row r="88" spans="1:37" s="3063" customFormat="1">
      <c r="A88" s="3087" t="s">
        <v>1091</v>
      </c>
      <c r="B88" s="3821"/>
      <c r="C88" s="3085" t="s">
        <v>1092</v>
      </c>
      <c r="D88" s="3085"/>
      <c r="E88" s="3085"/>
      <c r="F88" s="3085"/>
      <c r="G88" s="3088"/>
      <c r="H88" s="3067"/>
      <c r="I88" s="3067"/>
      <c r="J88" s="3067"/>
      <c r="K88" s="3067"/>
      <c r="L88" s="3067"/>
      <c r="M88" s="3067"/>
      <c r="N88" s="3067"/>
      <c r="O88" s="3067">
        <v>6392.22</v>
      </c>
      <c r="P88" s="3067">
        <v>3863.51</v>
      </c>
      <c r="Q88" s="3067">
        <v>3285.88</v>
      </c>
      <c r="R88" s="3067">
        <v>2910.09</v>
      </c>
      <c r="S88" s="3067">
        <v>0</v>
      </c>
      <c r="T88" s="3067"/>
      <c r="U88" s="3067"/>
      <c r="V88" s="3067"/>
      <c r="W88" s="3086"/>
      <c r="X88" s="3062"/>
      <c r="Y88" s="3062"/>
      <c r="Z88" s="3062"/>
      <c r="AD88" s="3062"/>
      <c r="AE88" s="3062"/>
      <c r="AF88" s="3062"/>
      <c r="AG88" s="3062"/>
      <c r="AH88" s="3062"/>
      <c r="AI88" s="3062"/>
      <c r="AJ88" s="3062"/>
      <c r="AK88" s="3062"/>
    </row>
    <row r="89" spans="1:37" s="3063" customFormat="1">
      <c r="A89" s="3087" t="s">
        <v>1093</v>
      </c>
      <c r="B89" s="3821"/>
      <c r="C89" s="3085" t="s">
        <v>1094</v>
      </c>
      <c r="D89" s="3085"/>
      <c r="E89" s="3085"/>
      <c r="F89" s="3085"/>
      <c r="G89" s="3088"/>
      <c r="H89" s="3067"/>
      <c r="I89" s="3067"/>
      <c r="J89" s="3067"/>
      <c r="K89" s="3067"/>
      <c r="L89" s="3067"/>
      <c r="M89" s="3067"/>
      <c r="N89" s="3067"/>
      <c r="O89" s="3067"/>
      <c r="P89" s="3067">
        <v>9350.94</v>
      </c>
      <c r="Q89" s="3067">
        <v>11001.33</v>
      </c>
      <c r="R89" s="3067">
        <v>10480.56</v>
      </c>
      <c r="S89" s="3067">
        <v>3805.22</v>
      </c>
      <c r="T89" s="3067">
        <v>5034.38</v>
      </c>
      <c r="U89" s="3067"/>
      <c r="V89" s="3067"/>
      <c r="W89" s="3086"/>
      <c r="X89" s="3062"/>
      <c r="Y89" s="3062"/>
      <c r="Z89" s="3062"/>
      <c r="AD89" s="3062"/>
      <c r="AE89" s="3062"/>
      <c r="AF89" s="3062"/>
      <c r="AG89" s="3062"/>
      <c r="AH89" s="3062"/>
      <c r="AI89" s="3062"/>
      <c r="AJ89" s="3062"/>
      <c r="AK89" s="3062"/>
    </row>
    <row r="90" spans="1:37" s="3063" customFormat="1">
      <c r="A90" s="3087"/>
      <c r="B90" s="3821">
        <v>602000</v>
      </c>
      <c r="C90" s="3085" t="s">
        <v>7361</v>
      </c>
      <c r="D90" s="3085"/>
      <c r="E90" s="3085"/>
      <c r="F90" s="3085"/>
      <c r="G90" s="3088"/>
      <c r="H90" s="3067"/>
      <c r="I90" s="3067"/>
      <c r="J90" s="3067"/>
      <c r="K90" s="3067"/>
      <c r="L90" s="3067"/>
      <c r="M90" s="3067"/>
      <c r="N90" s="3067"/>
      <c r="O90" s="3067"/>
      <c r="P90" s="3067"/>
      <c r="Q90" s="3067"/>
      <c r="R90" s="3067"/>
      <c r="S90" s="3067"/>
      <c r="T90" s="3067"/>
      <c r="U90" s="3067">
        <v>498.9</v>
      </c>
      <c r="V90" s="3067">
        <v>4746.62</v>
      </c>
      <c r="W90" s="3086"/>
      <c r="X90" s="3062"/>
      <c r="Y90" s="3062"/>
      <c r="Z90" s="3062"/>
      <c r="AD90" s="3062"/>
      <c r="AE90" s="3062"/>
      <c r="AF90" s="3062"/>
      <c r="AG90" s="3062"/>
      <c r="AH90" s="3062"/>
      <c r="AI90" s="3062"/>
      <c r="AJ90" s="3062"/>
      <c r="AK90" s="3062"/>
    </row>
    <row r="91" spans="1:37" s="3063" customFormat="1">
      <c r="A91" s="3087" t="s">
        <v>1095</v>
      </c>
      <c r="B91" s="3821">
        <v>615000</v>
      </c>
      <c r="C91" s="3085" t="s">
        <v>1096</v>
      </c>
      <c r="D91" s="3085"/>
      <c r="E91" s="3085"/>
      <c r="F91" s="3085"/>
      <c r="G91" s="3088"/>
      <c r="H91" s="3067"/>
      <c r="I91" s="3067"/>
      <c r="J91" s="3067"/>
      <c r="K91" s="3067"/>
      <c r="L91" s="3067"/>
      <c r="M91" s="3067"/>
      <c r="N91" s="3067"/>
      <c r="O91" s="3067">
        <v>4763.24</v>
      </c>
      <c r="P91" s="3067">
        <v>1502.93</v>
      </c>
      <c r="Q91" s="3067">
        <v>950.18</v>
      </c>
      <c r="R91" s="3067">
        <v>4537.93</v>
      </c>
      <c r="S91" s="3067">
        <v>506.7</v>
      </c>
      <c r="T91" s="3067">
        <v>1049.8599999999999</v>
      </c>
      <c r="U91" s="3067">
        <v>250</v>
      </c>
      <c r="V91" s="3067">
        <v>30</v>
      </c>
      <c r="W91" s="3086"/>
      <c r="X91" s="3062"/>
      <c r="Y91" s="3062"/>
      <c r="Z91" s="3062"/>
      <c r="AD91" s="3062"/>
      <c r="AE91" s="3062"/>
      <c r="AF91" s="3062"/>
      <c r="AG91" s="3062"/>
      <c r="AH91" s="3062"/>
      <c r="AI91" s="3062"/>
      <c r="AJ91" s="3062"/>
      <c r="AK91" s="3062"/>
    </row>
    <row r="92" spans="1:37" s="3063" customFormat="1">
      <c r="A92" s="3087" t="s">
        <v>1097</v>
      </c>
      <c r="B92" s="3821"/>
      <c r="C92" s="3085" t="s">
        <v>1098</v>
      </c>
      <c r="D92" s="3085"/>
      <c r="E92" s="3085"/>
      <c r="F92" s="3085"/>
      <c r="G92" s="3088"/>
      <c r="H92" s="3067"/>
      <c r="I92" s="3067"/>
      <c r="J92" s="3067"/>
      <c r="K92" s="3067"/>
      <c r="L92" s="3067"/>
      <c r="M92" s="3067"/>
      <c r="N92" s="3067"/>
      <c r="O92" s="3067">
        <v>498.18</v>
      </c>
      <c r="P92" s="3067">
        <v>436.01</v>
      </c>
      <c r="Q92" s="3067">
        <v>310.68</v>
      </c>
      <c r="R92" s="3067">
        <v>496.14</v>
      </c>
      <c r="S92" s="3067">
        <v>149.01</v>
      </c>
      <c r="T92" s="3067">
        <v>149.01</v>
      </c>
      <c r="U92" s="3067"/>
      <c r="V92" s="3067"/>
      <c r="W92" s="3086"/>
      <c r="X92" s="3062"/>
      <c r="Y92" s="3062"/>
      <c r="Z92" s="3062"/>
      <c r="AD92" s="3062"/>
      <c r="AE92" s="3062"/>
      <c r="AF92" s="3062"/>
      <c r="AG92" s="3062"/>
      <c r="AH92" s="3062"/>
      <c r="AI92" s="3062"/>
      <c r="AJ92" s="3062"/>
      <c r="AK92" s="3062"/>
    </row>
    <row r="93" spans="1:37" s="3063" customFormat="1">
      <c r="A93" s="3087" t="s">
        <v>1099</v>
      </c>
      <c r="B93" s="3821"/>
      <c r="C93" s="3085" t="s">
        <v>1100</v>
      </c>
      <c r="D93" s="3085"/>
      <c r="E93" s="3085"/>
      <c r="F93" s="3085"/>
      <c r="G93" s="3088"/>
      <c r="H93" s="3067"/>
      <c r="I93" s="3067"/>
      <c r="J93" s="3067"/>
      <c r="K93" s="3067"/>
      <c r="L93" s="3067"/>
      <c r="M93" s="3067"/>
      <c r="N93" s="3067"/>
      <c r="O93" s="3067">
        <v>1667.14</v>
      </c>
      <c r="P93" s="3067">
        <v>1590.69</v>
      </c>
      <c r="Q93" s="3067">
        <v>408.42</v>
      </c>
      <c r="R93" s="3067">
        <v>482.92</v>
      </c>
      <c r="S93" s="3067">
        <v>34.9</v>
      </c>
      <c r="T93" s="3067"/>
      <c r="U93" s="3067"/>
      <c r="V93" s="3067"/>
      <c r="W93" s="3086"/>
      <c r="X93" s="3062"/>
      <c r="Y93" s="3062"/>
      <c r="Z93" s="3062"/>
      <c r="AD93" s="3062"/>
      <c r="AE93" s="3062"/>
      <c r="AF93" s="3062"/>
      <c r="AG93" s="3062"/>
      <c r="AH93" s="3062"/>
      <c r="AI93" s="3062"/>
      <c r="AJ93" s="3062"/>
      <c r="AK93" s="3062"/>
    </row>
    <row r="94" spans="1:37" s="3063" customFormat="1">
      <c r="A94" s="3087" t="s">
        <v>1101</v>
      </c>
      <c r="B94" s="3821">
        <v>615100</v>
      </c>
      <c r="C94" s="3085" t="s">
        <v>1102</v>
      </c>
      <c r="D94" s="3085"/>
      <c r="E94" s="3085"/>
      <c r="F94" s="3085"/>
      <c r="G94" s="3088"/>
      <c r="H94" s="3067"/>
      <c r="I94" s="3067"/>
      <c r="J94" s="3067"/>
      <c r="K94" s="3067"/>
      <c r="L94" s="3067"/>
      <c r="M94" s="3067"/>
      <c r="N94" s="3067"/>
      <c r="O94" s="3067">
        <v>519.17999999999995</v>
      </c>
      <c r="P94" s="3067">
        <v>391.92</v>
      </c>
      <c r="Q94" s="3067">
        <v>243.03</v>
      </c>
      <c r="R94" s="3067">
        <v>246.44</v>
      </c>
      <c r="S94" s="3067">
        <v>172.04</v>
      </c>
      <c r="T94" s="3067">
        <v>135.80000000000001</v>
      </c>
      <c r="U94" s="3067">
        <v>324.7</v>
      </c>
      <c r="V94" s="3067">
        <v>265.72000000000003</v>
      </c>
      <c r="W94" s="3086"/>
      <c r="X94" s="3062"/>
      <c r="Y94" s="3062"/>
      <c r="Z94" s="3062"/>
      <c r="AD94" s="3062"/>
      <c r="AE94" s="3062"/>
      <c r="AF94" s="3062"/>
      <c r="AG94" s="3062"/>
      <c r="AH94" s="3062"/>
      <c r="AI94" s="3062"/>
      <c r="AJ94" s="3062"/>
      <c r="AK94" s="3062"/>
    </row>
    <row r="95" spans="1:37" s="3063" customFormat="1">
      <c r="A95" s="3087" t="s">
        <v>1103</v>
      </c>
      <c r="B95" s="3821"/>
      <c r="C95" s="3085" t="s">
        <v>1085</v>
      </c>
      <c r="D95" s="3085"/>
      <c r="E95" s="3085"/>
      <c r="F95" s="3085"/>
      <c r="G95" s="3088"/>
      <c r="H95" s="3067"/>
      <c r="I95" s="3067"/>
      <c r="J95" s="3067"/>
      <c r="K95" s="3067"/>
      <c r="L95" s="3067"/>
      <c r="M95" s="3067"/>
      <c r="N95" s="3067"/>
      <c r="O95" s="3067"/>
      <c r="P95" s="3067"/>
      <c r="Q95" s="3067"/>
      <c r="R95" s="3067">
        <v>340.26</v>
      </c>
      <c r="S95" s="3067"/>
      <c r="T95" s="3067"/>
      <c r="U95" s="3067"/>
      <c r="V95" s="3067"/>
      <c r="W95" s="3086"/>
      <c r="X95" s="3062"/>
      <c r="Y95" s="3062"/>
      <c r="Z95" s="3062"/>
      <c r="AD95" s="3062"/>
      <c r="AE95" s="3062"/>
      <c r="AF95" s="3062"/>
      <c r="AG95" s="3062"/>
      <c r="AH95" s="3062"/>
      <c r="AI95" s="3062"/>
      <c r="AJ95" s="3062"/>
      <c r="AK95" s="3062"/>
    </row>
    <row r="96" spans="1:37" s="3063" customFormat="1">
      <c r="A96" s="3087" t="s">
        <v>1104</v>
      </c>
      <c r="B96" s="3821"/>
      <c r="C96" s="3085" t="s">
        <v>1105</v>
      </c>
      <c r="D96" s="3085"/>
      <c r="E96" s="3085"/>
      <c r="F96" s="3085"/>
      <c r="G96" s="3088"/>
      <c r="H96" s="3067"/>
      <c r="I96" s="3067"/>
      <c r="J96" s="3067"/>
      <c r="K96" s="3067"/>
      <c r="L96" s="3067"/>
      <c r="M96" s="3067"/>
      <c r="N96" s="3067"/>
      <c r="O96" s="3067">
        <v>1389.84</v>
      </c>
      <c r="P96" s="3067">
        <v>1408.17</v>
      </c>
      <c r="Q96" s="3067">
        <v>1325.15</v>
      </c>
      <c r="R96" s="3067">
        <v>1318.57</v>
      </c>
      <c r="S96" s="3067">
        <v>638.55999999999995</v>
      </c>
      <c r="T96" s="3067">
        <v>16.09</v>
      </c>
      <c r="U96" s="3067"/>
      <c r="V96" s="3067"/>
      <c r="W96" s="3086"/>
      <c r="X96" s="3062"/>
      <c r="Y96" s="3062"/>
      <c r="Z96" s="3062"/>
      <c r="AD96" s="3062"/>
      <c r="AE96" s="3062"/>
      <c r="AF96" s="3062"/>
      <c r="AG96" s="3062"/>
      <c r="AH96" s="3062"/>
      <c r="AI96" s="3062"/>
      <c r="AJ96" s="3062"/>
      <c r="AK96" s="3062"/>
    </row>
    <row r="97" spans="1:37" s="3063" customFormat="1">
      <c r="A97" s="3087" t="s">
        <v>1106</v>
      </c>
      <c r="B97" s="3821"/>
      <c r="C97" s="3085" t="s">
        <v>1107</v>
      </c>
      <c r="D97" s="3085"/>
      <c r="E97" s="3085"/>
      <c r="F97" s="3085"/>
      <c r="G97" s="3088"/>
      <c r="H97" s="3067"/>
      <c r="I97" s="3067"/>
      <c r="J97" s="3067"/>
      <c r="K97" s="3067"/>
      <c r="L97" s="3067"/>
      <c r="M97" s="3067"/>
      <c r="N97" s="3067"/>
      <c r="O97" s="3067"/>
      <c r="P97" s="3067">
        <v>255.48</v>
      </c>
      <c r="Q97" s="3067"/>
      <c r="R97" s="3067"/>
      <c r="S97" s="3067"/>
      <c r="T97" s="3067"/>
      <c r="U97" s="3067"/>
      <c r="V97" s="3067"/>
      <c r="W97" s="3086"/>
      <c r="X97" s="3062"/>
      <c r="Y97" s="3062"/>
      <c r="Z97" s="3062"/>
      <c r="AD97" s="3062"/>
      <c r="AE97" s="3062"/>
      <c r="AF97" s="3062"/>
      <c r="AG97" s="3062"/>
      <c r="AH97" s="3062"/>
      <c r="AI97" s="3062"/>
      <c r="AJ97" s="3062"/>
      <c r="AK97" s="3062"/>
    </row>
    <row r="98" spans="1:37" s="3063" customFormat="1">
      <c r="A98" s="3087" t="s">
        <v>1108</v>
      </c>
      <c r="B98" s="3821">
        <v>615700</v>
      </c>
      <c r="C98" s="3085" t="s">
        <v>1109</v>
      </c>
      <c r="D98" s="3085"/>
      <c r="E98" s="3085"/>
      <c r="F98" s="3085"/>
      <c r="G98" s="3088"/>
      <c r="H98" s="3067"/>
      <c r="I98" s="3067"/>
      <c r="J98" s="3067"/>
      <c r="K98" s="3067"/>
      <c r="L98" s="3067"/>
      <c r="M98" s="3067"/>
      <c r="N98" s="3067"/>
      <c r="O98" s="3067">
        <v>1202.5899999999999</v>
      </c>
      <c r="P98" s="3067">
        <v>601.28</v>
      </c>
      <c r="Q98" s="3067">
        <v>267.24</v>
      </c>
      <c r="R98" s="3067">
        <v>237.25</v>
      </c>
      <c r="S98" s="3067">
        <v>480</v>
      </c>
      <c r="T98" s="3067">
        <v>309.47000000000003</v>
      </c>
      <c r="U98" s="3067"/>
      <c r="V98" s="3067">
        <v>42.58</v>
      </c>
      <c r="W98" s="3086"/>
      <c r="X98" s="3062"/>
      <c r="Y98" s="3062"/>
      <c r="Z98" s="3062"/>
      <c r="AD98" s="3062"/>
      <c r="AE98" s="3062"/>
      <c r="AF98" s="3062"/>
      <c r="AG98" s="3062"/>
      <c r="AH98" s="3062"/>
      <c r="AI98" s="3062"/>
      <c r="AJ98" s="3062"/>
      <c r="AK98" s="3062"/>
    </row>
    <row r="99" spans="1:37" s="3063" customFormat="1">
      <c r="A99" s="3087" t="s">
        <v>1110</v>
      </c>
      <c r="B99" s="3821"/>
      <c r="C99" s="3085" t="s">
        <v>1111</v>
      </c>
      <c r="D99" s="3085"/>
      <c r="E99" s="3085"/>
      <c r="F99" s="3085"/>
      <c r="G99" s="3088"/>
      <c r="H99" s="3067"/>
      <c r="I99" s="3067"/>
      <c r="J99" s="3067"/>
      <c r="K99" s="3067"/>
      <c r="L99" s="3067"/>
      <c r="M99" s="3067"/>
      <c r="N99" s="3067"/>
      <c r="O99" s="3067">
        <f>229.12+20.57</f>
        <v>249.69</v>
      </c>
      <c r="P99" s="3067">
        <f>80.2+901.32</f>
        <v>981.5200000000001</v>
      </c>
      <c r="Q99" s="3067">
        <v>259.27999999999997</v>
      </c>
      <c r="R99" s="3067">
        <v>156.78</v>
      </c>
      <c r="S99" s="3067">
        <v>48.69</v>
      </c>
      <c r="T99" s="3067">
        <v>39.9</v>
      </c>
      <c r="U99" s="3067"/>
      <c r="V99" s="3067"/>
      <c r="W99" s="3086"/>
      <c r="X99" s="3062"/>
      <c r="Y99" s="3062"/>
      <c r="Z99" s="3062"/>
      <c r="AD99" s="3062"/>
      <c r="AE99" s="3062"/>
      <c r="AF99" s="3062"/>
      <c r="AG99" s="3062"/>
      <c r="AH99" s="3062"/>
      <c r="AI99" s="3062"/>
      <c r="AJ99" s="3062"/>
      <c r="AK99" s="3062"/>
    </row>
    <row r="100" spans="1:37" s="3063" customFormat="1">
      <c r="A100" s="3087" t="s">
        <v>1112</v>
      </c>
      <c r="B100" s="3821"/>
      <c r="C100" s="3085" t="s">
        <v>1113</v>
      </c>
      <c r="D100" s="3085"/>
      <c r="E100" s="3085"/>
      <c r="F100" s="3085"/>
      <c r="G100" s="3088"/>
      <c r="H100" s="3067"/>
      <c r="I100" s="3067"/>
      <c r="J100" s="3067"/>
      <c r="K100" s="3067"/>
      <c r="L100" s="3067"/>
      <c r="M100" s="3067"/>
      <c r="N100" s="3067"/>
      <c r="O100" s="3067">
        <v>100</v>
      </c>
      <c r="P100" s="3067">
        <v>100</v>
      </c>
      <c r="Q100" s="3067">
        <v>100</v>
      </c>
      <c r="R100" s="3067">
        <v>0</v>
      </c>
      <c r="S100" s="3067"/>
      <c r="T100" s="3067"/>
      <c r="U100" s="3067"/>
      <c r="V100" s="3067"/>
      <c r="W100" s="3086"/>
      <c r="X100" s="3062"/>
      <c r="Y100" s="3062"/>
      <c r="Z100" s="3062"/>
      <c r="AD100" s="3062"/>
      <c r="AE100" s="3062"/>
      <c r="AF100" s="3062"/>
      <c r="AG100" s="3062"/>
      <c r="AH100" s="3062"/>
      <c r="AI100" s="3062"/>
      <c r="AJ100" s="3062"/>
      <c r="AK100" s="3062"/>
    </row>
    <row r="101" spans="1:37" s="3063" customFormat="1">
      <c r="A101" s="3087" t="s">
        <v>1114</v>
      </c>
      <c r="B101" s="3821"/>
      <c r="C101" s="3085" t="s">
        <v>1115</v>
      </c>
      <c r="D101" s="3085"/>
      <c r="E101" s="3085"/>
      <c r="F101" s="3085"/>
      <c r="G101" s="3088"/>
      <c r="H101" s="3067"/>
      <c r="I101" s="3067"/>
      <c r="J101" s="3067"/>
      <c r="K101" s="3067"/>
      <c r="L101" s="3067"/>
      <c r="M101" s="3067"/>
      <c r="N101" s="3067"/>
      <c r="O101" s="3067"/>
      <c r="P101" s="3067">
        <v>871.15</v>
      </c>
      <c r="Q101" s="3067"/>
      <c r="R101" s="3067">
        <v>0</v>
      </c>
      <c r="S101" s="3067">
        <v>210</v>
      </c>
      <c r="T101" s="3067"/>
      <c r="U101" s="3067"/>
      <c r="V101" s="3067"/>
      <c r="W101" s="3086"/>
      <c r="X101" s="3062"/>
      <c r="Y101" s="3062"/>
      <c r="Z101" s="3062"/>
      <c r="AD101" s="3062"/>
      <c r="AE101" s="3062"/>
      <c r="AF101" s="3062"/>
      <c r="AG101" s="3062"/>
      <c r="AH101" s="3062"/>
      <c r="AI101" s="3062"/>
      <c r="AJ101" s="3062"/>
      <c r="AK101" s="3062"/>
    </row>
    <row r="102" spans="1:37" s="3063" customFormat="1">
      <c r="A102" s="3087" t="s">
        <v>1116</v>
      </c>
      <c r="B102" s="3821">
        <v>616402</v>
      </c>
      <c r="C102" s="3085" t="s">
        <v>7362</v>
      </c>
      <c r="D102" s="3085"/>
      <c r="E102" s="3085"/>
      <c r="F102" s="3085"/>
      <c r="G102" s="3088"/>
      <c r="H102" s="3067"/>
      <c r="I102" s="3067"/>
      <c r="J102" s="3067"/>
      <c r="K102" s="3067"/>
      <c r="L102" s="3067"/>
      <c r="M102" s="3067"/>
      <c r="N102" s="3067"/>
      <c r="O102" s="3067"/>
      <c r="P102" s="3067"/>
      <c r="Q102" s="3067"/>
      <c r="R102" s="3067">
        <v>4946.18</v>
      </c>
      <c r="S102" s="3067">
        <v>8258.89</v>
      </c>
      <c r="T102" s="3067">
        <v>37998.839999999997</v>
      </c>
      <c r="U102" s="3067">
        <v>48295.57</v>
      </c>
      <c r="V102" s="3067">
        <v>131112.34</v>
      </c>
      <c r="W102" s="3086"/>
      <c r="X102" s="3062"/>
      <c r="Y102" s="3062"/>
      <c r="Z102" s="3062"/>
      <c r="AD102" s="3062"/>
      <c r="AE102" s="3062"/>
      <c r="AF102" s="3062"/>
      <c r="AG102" s="3062"/>
      <c r="AH102" s="3062"/>
      <c r="AI102" s="3062"/>
      <c r="AJ102" s="3062"/>
      <c r="AK102" s="3062"/>
    </row>
    <row r="103" spans="1:37" s="3063" customFormat="1">
      <c r="A103" s="3087" t="s">
        <v>1117</v>
      </c>
      <c r="B103" s="3821"/>
      <c r="C103" s="3085" t="s">
        <v>1118</v>
      </c>
      <c r="D103" s="3085"/>
      <c r="E103" s="3085"/>
      <c r="F103" s="3085"/>
      <c r="G103" s="3088"/>
      <c r="H103" s="3067"/>
      <c r="I103" s="3067"/>
      <c r="J103" s="3067"/>
      <c r="K103" s="3067"/>
      <c r="L103" s="3067"/>
      <c r="M103" s="3067"/>
      <c r="N103" s="3067"/>
      <c r="O103" s="3067">
        <v>51.63</v>
      </c>
      <c r="P103" s="3067"/>
      <c r="Q103" s="3067">
        <v>514.87</v>
      </c>
      <c r="R103" s="3067">
        <v>0</v>
      </c>
      <c r="S103" s="3067">
        <v>8.67</v>
      </c>
      <c r="T103" s="3067"/>
      <c r="U103" s="3067"/>
      <c r="V103" s="3067"/>
      <c r="W103" s="3086"/>
      <c r="X103" s="3062"/>
      <c r="Y103" s="3062"/>
      <c r="Z103" s="3062"/>
      <c r="AD103" s="3062"/>
      <c r="AE103" s="3062"/>
      <c r="AF103" s="3062"/>
      <c r="AG103" s="3062"/>
      <c r="AH103" s="3062"/>
      <c r="AI103" s="3062"/>
      <c r="AJ103" s="3062"/>
      <c r="AK103" s="3062"/>
    </row>
    <row r="104" spans="1:37" s="3063" customFormat="1">
      <c r="A104" s="3087" t="s">
        <v>1119</v>
      </c>
      <c r="B104" s="3821"/>
      <c r="C104" s="3085" t="s">
        <v>1120</v>
      </c>
      <c r="D104" s="3085"/>
      <c r="E104" s="3085"/>
      <c r="F104" s="3085"/>
      <c r="G104" s="3088"/>
      <c r="H104" s="3067"/>
      <c r="I104" s="3067"/>
      <c r="J104" s="3067"/>
      <c r="K104" s="3067"/>
      <c r="L104" s="3067"/>
      <c r="M104" s="3067"/>
      <c r="N104" s="3067"/>
      <c r="O104" s="3067">
        <v>250</v>
      </c>
      <c r="P104" s="3067"/>
      <c r="Q104" s="3067">
        <v>2.9</v>
      </c>
      <c r="R104" s="3067">
        <v>0</v>
      </c>
      <c r="S104" s="3067"/>
      <c r="T104" s="3067"/>
      <c r="U104" s="3067"/>
      <c r="V104" s="3067"/>
      <c r="W104" s="3086"/>
      <c r="X104" s="3062"/>
      <c r="Y104" s="3062"/>
      <c r="Z104" s="3062"/>
      <c r="AD104" s="3062"/>
      <c r="AE104" s="3062"/>
      <c r="AF104" s="3062"/>
      <c r="AG104" s="3062"/>
      <c r="AH104" s="3062"/>
      <c r="AI104" s="3062"/>
      <c r="AJ104" s="3062"/>
      <c r="AK104" s="3062"/>
    </row>
    <row r="105" spans="1:37" s="3063" customFormat="1">
      <c r="A105" s="3087"/>
      <c r="B105" s="3821" t="s">
        <v>7367</v>
      </c>
      <c r="C105" s="3085" t="s">
        <v>7368</v>
      </c>
      <c r="D105" s="3085"/>
      <c r="E105" s="3085"/>
      <c r="F105" s="3085"/>
      <c r="G105" s="3088"/>
      <c r="H105" s="3067"/>
      <c r="I105" s="3067"/>
      <c r="J105" s="3067"/>
      <c r="K105" s="3067"/>
      <c r="L105" s="3067"/>
      <c r="M105" s="3067"/>
      <c r="N105" s="3067"/>
      <c r="O105" s="3067"/>
      <c r="P105" s="3067"/>
      <c r="Q105" s="3067"/>
      <c r="R105" s="3067"/>
      <c r="S105" s="3067"/>
      <c r="T105" s="3067"/>
      <c r="U105" s="3067">
        <v>1332.94</v>
      </c>
      <c r="V105" s="3067"/>
      <c r="W105" s="3086"/>
      <c r="X105" s="3062"/>
      <c r="Y105" s="3062"/>
      <c r="Z105" s="3062"/>
      <c r="AD105" s="3062"/>
      <c r="AE105" s="3062"/>
      <c r="AF105" s="3062"/>
      <c r="AG105" s="3062"/>
      <c r="AH105" s="3062"/>
      <c r="AI105" s="3062"/>
      <c r="AJ105" s="3062"/>
      <c r="AK105" s="3062"/>
    </row>
    <row r="106" spans="1:37" s="3063" customFormat="1">
      <c r="A106" s="3087"/>
      <c r="B106" s="3821" t="s">
        <v>7369</v>
      </c>
      <c r="C106" s="3085" t="s">
        <v>7370</v>
      </c>
      <c r="D106" s="3085"/>
      <c r="E106" s="3085"/>
      <c r="F106" s="3085"/>
      <c r="G106" s="3088"/>
      <c r="H106" s="3067"/>
      <c r="I106" s="3067"/>
      <c r="J106" s="3067"/>
      <c r="K106" s="3067"/>
      <c r="L106" s="3067"/>
      <c r="M106" s="3067"/>
      <c r="N106" s="3067"/>
      <c r="O106" s="3067"/>
      <c r="P106" s="3067"/>
      <c r="Q106" s="3067"/>
      <c r="R106" s="3067"/>
      <c r="S106" s="3067"/>
      <c r="T106" s="3067"/>
      <c r="U106" s="3067">
        <v>1128.2</v>
      </c>
      <c r="V106" s="3067"/>
      <c r="W106" s="3086"/>
      <c r="X106" s="3062"/>
      <c r="Y106" s="3062"/>
      <c r="Z106" s="3062"/>
      <c r="AD106" s="3062"/>
      <c r="AE106" s="3062"/>
      <c r="AF106" s="3062"/>
      <c r="AG106" s="3062"/>
      <c r="AH106" s="3062"/>
      <c r="AI106" s="3062"/>
      <c r="AJ106" s="3062"/>
      <c r="AK106" s="3062"/>
    </row>
    <row r="107" spans="1:37" s="3063" customFormat="1">
      <c r="A107" s="3087" t="s">
        <v>1121</v>
      </c>
      <c r="B107" s="3821"/>
      <c r="C107" s="3085" t="s">
        <v>1111</v>
      </c>
      <c r="D107" s="3085"/>
      <c r="E107" s="3085"/>
      <c r="F107" s="3085"/>
      <c r="G107" s="3088"/>
      <c r="H107" s="3067">
        <v>920.48</v>
      </c>
      <c r="I107" s="3067">
        <v>775.55</v>
      </c>
      <c r="J107" s="3067">
        <v>416.01</v>
      </c>
      <c r="K107" s="3067">
        <v>637.98</v>
      </c>
      <c r="L107" s="3067">
        <v>846.43</v>
      </c>
      <c r="M107" s="3067">
        <v>823.05</v>
      </c>
      <c r="N107" s="3067">
        <v>240.62</v>
      </c>
      <c r="O107" s="3067"/>
      <c r="P107" s="3067"/>
      <c r="Q107" s="3067"/>
      <c r="R107" s="3067"/>
      <c r="S107" s="3067"/>
      <c r="T107" s="3067"/>
      <c r="U107" s="3067"/>
      <c r="V107" s="3067"/>
      <c r="W107" s="3086"/>
      <c r="X107" s="3062"/>
      <c r="Y107" s="3062"/>
      <c r="Z107" s="3062"/>
      <c r="AD107" s="3062"/>
      <c r="AE107" s="3062"/>
      <c r="AF107" s="3062"/>
      <c r="AG107" s="3062"/>
      <c r="AH107" s="3062"/>
      <c r="AI107" s="3062"/>
      <c r="AJ107" s="3062"/>
      <c r="AK107" s="3062"/>
    </row>
    <row r="108" spans="1:37" s="3063" customFormat="1">
      <c r="A108" s="3087" t="s">
        <v>1122</v>
      </c>
      <c r="B108" s="3821"/>
      <c r="C108" s="3085" t="s">
        <v>1123</v>
      </c>
      <c r="D108" s="3085"/>
      <c r="E108" s="3085"/>
      <c r="F108" s="3085"/>
      <c r="G108" s="3088"/>
      <c r="H108" s="3067">
        <v>2849.91</v>
      </c>
      <c r="I108" s="3067">
        <v>3121.48</v>
      </c>
      <c r="J108" s="3067">
        <v>3142.36</v>
      </c>
      <c r="K108" s="3067">
        <v>3174.38</v>
      </c>
      <c r="L108" s="3067">
        <v>3887.63</v>
      </c>
      <c r="M108" s="3067">
        <v>3937.31</v>
      </c>
      <c r="N108" s="3067">
        <v>3722.45</v>
      </c>
      <c r="O108" s="3067"/>
      <c r="P108" s="3067"/>
      <c r="Q108" s="3067"/>
      <c r="R108" s="3067"/>
      <c r="S108" s="3067"/>
      <c r="T108" s="3067"/>
      <c r="U108" s="3067"/>
      <c r="V108" s="3067"/>
      <c r="W108" s="3086"/>
      <c r="X108" s="3062"/>
      <c r="Y108" s="3062"/>
      <c r="Z108" s="3062"/>
      <c r="AD108" s="3062"/>
      <c r="AE108" s="3062"/>
      <c r="AF108" s="3062"/>
      <c r="AG108" s="3062"/>
      <c r="AH108" s="3062"/>
      <c r="AI108" s="3062"/>
      <c r="AJ108" s="3062"/>
      <c r="AK108" s="3062"/>
    </row>
    <row r="109" spans="1:37" s="3063" customFormat="1">
      <c r="A109" s="3087" t="s">
        <v>1124</v>
      </c>
      <c r="B109" s="3821"/>
      <c r="C109" s="3085" t="s">
        <v>1096</v>
      </c>
      <c r="D109" s="3085"/>
      <c r="E109" s="3085"/>
      <c r="F109" s="3085"/>
      <c r="G109" s="3088"/>
      <c r="H109" s="3067">
        <v>1365.16</v>
      </c>
      <c r="I109" s="3067">
        <v>879.69</v>
      </c>
      <c r="J109" s="3067">
        <v>659.59</v>
      </c>
      <c r="K109" s="3067">
        <v>770.56</v>
      </c>
      <c r="L109" s="3067">
        <v>550.89</v>
      </c>
      <c r="M109" s="3067">
        <v>1273.8900000000001</v>
      </c>
      <c r="N109" s="3067">
        <v>1700.24</v>
      </c>
      <c r="O109" s="3067"/>
      <c r="P109" s="3067"/>
      <c r="Q109" s="3067"/>
      <c r="R109" s="3067"/>
      <c r="S109" s="3067"/>
      <c r="T109" s="3067"/>
      <c r="U109" s="3067"/>
      <c r="V109" s="3067"/>
      <c r="W109" s="3086"/>
      <c r="X109" s="3062"/>
      <c r="Y109" s="3062"/>
      <c r="Z109" s="3062"/>
      <c r="AD109" s="3062"/>
      <c r="AE109" s="3062"/>
      <c r="AF109" s="3062"/>
      <c r="AG109" s="3062"/>
      <c r="AH109" s="3062"/>
      <c r="AI109" s="3062"/>
      <c r="AJ109" s="3062"/>
      <c r="AK109" s="3062"/>
    </row>
    <row r="110" spans="1:37" s="3063" customFormat="1">
      <c r="A110" s="3087" t="s">
        <v>1125</v>
      </c>
      <c r="B110" s="3821"/>
      <c r="C110" s="3085" t="s">
        <v>1126</v>
      </c>
      <c r="D110" s="3085"/>
      <c r="E110" s="3085"/>
      <c r="F110" s="3085"/>
      <c r="G110" s="3088"/>
      <c r="H110" s="3067">
        <v>75</v>
      </c>
      <c r="I110" s="3067">
        <v>0</v>
      </c>
      <c r="J110" s="3067">
        <v>0</v>
      </c>
      <c r="K110" s="3067">
        <v>0</v>
      </c>
      <c r="L110" s="3067">
        <v>0</v>
      </c>
      <c r="M110" s="3067">
        <v>0</v>
      </c>
      <c r="N110" s="3067">
        <v>0</v>
      </c>
      <c r="O110" s="3067"/>
      <c r="P110" s="3067"/>
      <c r="Q110" s="3067"/>
      <c r="R110" s="3067"/>
      <c r="S110" s="3067"/>
      <c r="T110" s="3067"/>
      <c r="U110" s="3067"/>
      <c r="V110" s="3067"/>
      <c r="W110" s="3086"/>
      <c r="X110" s="3062"/>
      <c r="Y110" s="3062"/>
      <c r="Z110" s="3062"/>
      <c r="AD110" s="3062"/>
      <c r="AE110" s="3062"/>
      <c r="AF110" s="3062"/>
      <c r="AG110" s="3062"/>
      <c r="AH110" s="3062"/>
      <c r="AI110" s="3062"/>
      <c r="AJ110" s="3062"/>
      <c r="AK110" s="3062"/>
    </row>
    <row r="111" spans="1:37" s="3063" customFormat="1">
      <c r="A111" s="3087" t="s">
        <v>1127</v>
      </c>
      <c r="B111" s="3821"/>
      <c r="C111" s="3085" t="s">
        <v>1128</v>
      </c>
      <c r="D111" s="3085"/>
      <c r="E111" s="3085"/>
      <c r="F111" s="3085"/>
      <c r="G111" s="3088"/>
      <c r="H111" s="3067">
        <v>535.30999999999995</v>
      </c>
      <c r="I111" s="3067">
        <v>0</v>
      </c>
      <c r="J111" s="3067">
        <v>289.20999999999998</v>
      </c>
      <c r="K111" s="3067">
        <v>0</v>
      </c>
      <c r="L111" s="3067">
        <v>272.25</v>
      </c>
      <c r="M111" s="3067">
        <v>292.61</v>
      </c>
      <c r="N111" s="3067">
        <v>247.45</v>
      </c>
      <c r="O111" s="3067"/>
      <c r="P111" s="3067"/>
      <c r="Q111" s="3067"/>
      <c r="R111" s="3067"/>
      <c r="S111" s="3067"/>
      <c r="T111" s="3067"/>
      <c r="U111" s="3067"/>
      <c r="V111" s="3067"/>
      <c r="W111" s="3086"/>
      <c r="X111" s="3062"/>
      <c r="Y111" s="3062"/>
      <c r="Z111" s="3062"/>
      <c r="AD111" s="3062"/>
      <c r="AE111" s="3062"/>
      <c r="AF111" s="3062"/>
      <c r="AG111" s="3062"/>
      <c r="AH111" s="3062"/>
      <c r="AI111" s="3062"/>
      <c r="AJ111" s="3062"/>
      <c r="AK111" s="3062"/>
    </row>
    <row r="112" spans="1:37" s="3063" customFormat="1">
      <c r="A112" s="3087" t="s">
        <v>1129</v>
      </c>
      <c r="B112" s="3821"/>
      <c r="C112" s="3085" t="s">
        <v>1130</v>
      </c>
      <c r="D112" s="3085"/>
      <c r="E112" s="3085"/>
      <c r="F112" s="3085"/>
      <c r="G112" s="3088"/>
      <c r="H112" s="3067">
        <v>8745.02</v>
      </c>
      <c r="I112" s="3067">
        <v>9122.32</v>
      </c>
      <c r="J112" s="3067">
        <v>7595.09</v>
      </c>
      <c r="K112" s="3067">
        <v>11236.13</v>
      </c>
      <c r="L112" s="3067">
        <v>7557</v>
      </c>
      <c r="M112" s="3067">
        <v>9752.33</v>
      </c>
      <c r="N112" s="3067">
        <v>8533.15</v>
      </c>
      <c r="O112" s="3067"/>
      <c r="P112" s="3067"/>
      <c r="Q112" s="3067"/>
      <c r="R112" s="3067"/>
      <c r="S112" s="3067"/>
      <c r="T112" s="3067"/>
      <c r="U112" s="3067"/>
      <c r="V112" s="3067"/>
      <c r="W112" s="3086"/>
      <c r="X112" s="3062"/>
      <c r="Y112" s="3062"/>
      <c r="Z112" s="3062"/>
      <c r="AD112" s="3062"/>
      <c r="AE112" s="3062"/>
      <c r="AF112" s="3062"/>
      <c r="AG112" s="3062"/>
      <c r="AH112" s="3062"/>
      <c r="AI112" s="3062"/>
      <c r="AJ112" s="3062"/>
      <c r="AK112" s="3062"/>
    </row>
    <row r="113" spans="1:37" s="3063" customFormat="1">
      <c r="A113" s="3087" t="s">
        <v>1131</v>
      </c>
      <c r="B113" s="3821"/>
      <c r="C113" s="3085" t="s">
        <v>1132</v>
      </c>
      <c r="D113" s="3085"/>
      <c r="E113" s="3085"/>
      <c r="F113" s="3085"/>
      <c r="G113" s="3088"/>
      <c r="H113" s="3067">
        <v>0</v>
      </c>
      <c r="I113" s="3067">
        <v>822.9</v>
      </c>
      <c r="J113" s="3067">
        <v>0</v>
      </c>
      <c r="K113" s="3067">
        <v>0</v>
      </c>
      <c r="L113" s="3067">
        <v>0</v>
      </c>
      <c r="M113" s="3067">
        <v>0</v>
      </c>
      <c r="N113" s="3067">
        <v>0</v>
      </c>
      <c r="O113" s="3067"/>
      <c r="P113" s="3067"/>
      <c r="Q113" s="3067"/>
      <c r="R113" s="3067"/>
      <c r="S113" s="3067"/>
      <c r="T113" s="3067"/>
      <c r="U113" s="3067"/>
      <c r="V113" s="3067"/>
      <c r="W113" s="3086"/>
      <c r="X113" s="3062"/>
      <c r="Y113" s="3062"/>
      <c r="Z113" s="3062"/>
      <c r="AD113" s="3062"/>
      <c r="AE113" s="3062"/>
      <c r="AF113" s="3062"/>
      <c r="AG113" s="3062"/>
      <c r="AH113" s="3062"/>
      <c r="AI113" s="3062"/>
      <c r="AJ113" s="3062"/>
      <c r="AK113" s="3062"/>
    </row>
    <row r="114" spans="1:37" s="3063" customFormat="1">
      <c r="A114" s="3087" t="s">
        <v>1133</v>
      </c>
      <c r="B114" s="3821"/>
      <c r="C114" s="3085" t="s">
        <v>1100</v>
      </c>
      <c r="D114" s="3085"/>
      <c r="E114" s="3085"/>
      <c r="F114" s="3085"/>
      <c r="G114" s="3088"/>
      <c r="H114" s="3067">
        <v>1674.34</v>
      </c>
      <c r="I114" s="3067">
        <v>1484.57</v>
      </c>
      <c r="J114" s="3067">
        <v>1388.4</v>
      </c>
      <c r="K114" s="3067">
        <v>1158.77</v>
      </c>
      <c r="L114" s="3067">
        <v>1612.19</v>
      </c>
      <c r="M114" s="3067">
        <v>2829.8</v>
      </c>
      <c r="N114" s="3067">
        <v>1727.44</v>
      </c>
      <c r="O114" s="3067"/>
      <c r="P114" s="3067"/>
      <c r="Q114" s="3067"/>
      <c r="R114" s="3067"/>
      <c r="S114" s="3067"/>
      <c r="T114" s="3067"/>
      <c r="U114" s="3067"/>
      <c r="V114" s="3067"/>
      <c r="W114" s="3086"/>
      <c r="X114" s="3062"/>
      <c r="Y114" s="3062"/>
      <c r="Z114" s="3062"/>
      <c r="AD114" s="3062"/>
      <c r="AE114" s="3062"/>
      <c r="AF114" s="3062"/>
      <c r="AG114" s="3062"/>
      <c r="AH114" s="3062"/>
      <c r="AI114" s="3062"/>
      <c r="AJ114" s="3062"/>
      <c r="AK114" s="3062"/>
    </row>
    <row r="115" spans="1:37" s="3063" customFormat="1">
      <c r="A115" s="3087" t="s">
        <v>1134</v>
      </c>
      <c r="B115" s="3821"/>
      <c r="C115" s="3085" t="s">
        <v>1100</v>
      </c>
      <c r="D115" s="3085"/>
      <c r="E115" s="3085"/>
      <c r="F115" s="3085"/>
      <c r="G115" s="3088"/>
      <c r="H115" s="3067">
        <v>0</v>
      </c>
      <c r="I115" s="3067">
        <v>50</v>
      </c>
      <c r="J115" s="3067">
        <v>50</v>
      </c>
      <c r="K115" s="3067">
        <v>50</v>
      </c>
      <c r="L115" s="3067">
        <v>50</v>
      </c>
      <c r="M115" s="3067">
        <v>50</v>
      </c>
      <c r="N115" s="3067">
        <v>50</v>
      </c>
      <c r="O115" s="3067"/>
      <c r="P115" s="3067"/>
      <c r="Q115" s="3067"/>
      <c r="R115" s="3067"/>
      <c r="S115" s="3067"/>
      <c r="T115" s="3067"/>
      <c r="U115" s="3067"/>
      <c r="V115" s="3067"/>
      <c r="W115" s="3086"/>
      <c r="X115" s="3062"/>
      <c r="Y115" s="3062"/>
      <c r="Z115" s="3062"/>
      <c r="AD115" s="3062"/>
      <c r="AE115" s="3062"/>
      <c r="AF115" s="3062"/>
      <c r="AG115" s="3062"/>
      <c r="AH115" s="3062"/>
      <c r="AI115" s="3062"/>
      <c r="AJ115" s="3062"/>
      <c r="AK115" s="3062"/>
    </row>
    <row r="116" spans="1:37" s="3063" customFormat="1">
      <c r="A116" s="3087" t="s">
        <v>1135</v>
      </c>
      <c r="B116" s="3821"/>
      <c r="C116" s="3085" t="s">
        <v>1100</v>
      </c>
      <c r="D116" s="3085"/>
      <c r="E116" s="3085"/>
      <c r="F116" s="3085"/>
      <c r="G116" s="3088"/>
      <c r="H116" s="3067">
        <v>0</v>
      </c>
      <c r="I116" s="3067">
        <v>0</v>
      </c>
      <c r="J116" s="3067">
        <v>250</v>
      </c>
      <c r="K116" s="3067">
        <v>250</v>
      </c>
      <c r="L116" s="3067">
        <v>150</v>
      </c>
      <c r="M116" s="3067">
        <v>400</v>
      </c>
      <c r="N116" s="3067">
        <v>127.53</v>
      </c>
      <c r="O116" s="3067"/>
      <c r="P116" s="3067"/>
      <c r="Q116" s="3067"/>
      <c r="R116" s="3067"/>
      <c r="S116" s="3067"/>
      <c r="T116" s="3067"/>
      <c r="U116" s="3067"/>
      <c r="V116" s="3067"/>
      <c r="W116" s="3086"/>
      <c r="X116" s="3062"/>
      <c r="Y116" s="3062"/>
      <c r="Z116" s="3062"/>
      <c r="AD116" s="3062"/>
      <c r="AE116" s="3062"/>
      <c r="AF116" s="3062"/>
      <c r="AG116" s="3062"/>
      <c r="AH116" s="3062"/>
      <c r="AI116" s="3062"/>
      <c r="AJ116" s="3062"/>
      <c r="AK116" s="3062"/>
    </row>
    <row r="117" spans="1:37" s="3063" customFormat="1">
      <c r="A117" s="3087" t="s">
        <v>1136</v>
      </c>
      <c r="B117" s="3821"/>
      <c r="C117" s="3085" t="s">
        <v>1102</v>
      </c>
      <c r="D117" s="3085"/>
      <c r="E117" s="3085"/>
      <c r="F117" s="3085"/>
      <c r="G117" s="3088"/>
      <c r="H117" s="3067">
        <v>515.99</v>
      </c>
      <c r="I117" s="3067">
        <v>466.92</v>
      </c>
      <c r="J117" s="3067">
        <v>524.54999999999995</v>
      </c>
      <c r="K117" s="3067">
        <v>512.54999999999995</v>
      </c>
      <c r="L117" s="3067">
        <v>540.22</v>
      </c>
      <c r="M117" s="3067">
        <v>549.49</v>
      </c>
      <c r="N117" s="3067">
        <v>812.38</v>
      </c>
      <c r="O117" s="3067"/>
      <c r="P117" s="3067"/>
      <c r="Q117" s="3067"/>
      <c r="R117" s="3067"/>
      <c r="S117" s="3067"/>
      <c r="T117" s="3067"/>
      <c r="U117" s="3067"/>
      <c r="V117" s="3067"/>
      <c r="W117" s="3086"/>
      <c r="X117" s="3062"/>
      <c r="Y117" s="3062"/>
      <c r="Z117" s="3062"/>
      <c r="AD117" s="3062"/>
      <c r="AE117" s="3062"/>
      <c r="AF117" s="3062"/>
      <c r="AG117" s="3062"/>
      <c r="AH117" s="3062"/>
      <c r="AI117" s="3062"/>
      <c r="AJ117" s="3062"/>
      <c r="AK117" s="3062"/>
    </row>
    <row r="118" spans="1:37" s="3063" customFormat="1">
      <c r="A118" s="3087" t="s">
        <v>1137</v>
      </c>
      <c r="B118" s="3821"/>
      <c r="C118" s="3085" t="s">
        <v>1138</v>
      </c>
      <c r="D118" s="3085"/>
      <c r="E118" s="3085"/>
      <c r="F118" s="3085"/>
      <c r="G118" s="3088"/>
      <c r="H118" s="3067">
        <v>1192.08</v>
      </c>
      <c r="I118" s="3067">
        <v>1535.22</v>
      </c>
      <c r="J118" s="3067">
        <v>1518.36</v>
      </c>
      <c r="K118" s="3067">
        <v>1840.54</v>
      </c>
      <c r="L118" s="3067">
        <v>1561.82</v>
      </c>
      <c r="M118" s="3067">
        <v>1593.48</v>
      </c>
      <c r="N118" s="3067">
        <v>2169</v>
      </c>
      <c r="O118" s="3067"/>
      <c r="P118" s="3067"/>
      <c r="Q118" s="3067"/>
      <c r="R118" s="3067"/>
      <c r="S118" s="3067"/>
      <c r="T118" s="3067"/>
      <c r="U118" s="3067"/>
      <c r="V118" s="3067"/>
      <c r="W118" s="3086"/>
      <c r="X118" s="3062"/>
      <c r="Y118" s="3062"/>
      <c r="Z118" s="3062"/>
      <c r="AD118" s="3062"/>
      <c r="AE118" s="3062"/>
      <c r="AF118" s="3062"/>
      <c r="AG118" s="3062"/>
      <c r="AH118" s="3062"/>
      <c r="AI118" s="3062"/>
      <c r="AJ118" s="3062"/>
      <c r="AK118" s="3062"/>
    </row>
    <row r="119" spans="1:37" s="3063" customFormat="1">
      <c r="A119" s="3087" t="s">
        <v>1139</v>
      </c>
      <c r="B119" s="3821"/>
      <c r="C119" s="3085" t="s">
        <v>1115</v>
      </c>
      <c r="D119" s="3085"/>
      <c r="E119" s="3085"/>
      <c r="F119" s="3085"/>
      <c r="G119" s="3088"/>
      <c r="H119" s="3067">
        <v>745.2</v>
      </c>
      <c r="I119" s="3067">
        <v>80</v>
      </c>
      <c r="J119" s="3067">
        <v>0</v>
      </c>
      <c r="K119" s="3067">
        <v>593.75</v>
      </c>
      <c r="L119" s="3067">
        <v>970.36</v>
      </c>
      <c r="M119" s="3067">
        <v>315</v>
      </c>
      <c r="N119" s="3067">
        <v>535</v>
      </c>
      <c r="O119" s="3067"/>
      <c r="P119" s="3067"/>
      <c r="Q119" s="3067"/>
      <c r="R119" s="3067"/>
      <c r="S119" s="3067"/>
      <c r="T119" s="3067"/>
      <c r="U119" s="3067"/>
      <c r="V119" s="3067"/>
      <c r="W119" s="3086"/>
      <c r="X119" s="3062"/>
      <c r="Y119" s="3062"/>
      <c r="Z119" s="3062"/>
      <c r="AD119" s="3062"/>
      <c r="AE119" s="3062"/>
      <c r="AF119" s="3062"/>
      <c r="AG119" s="3062"/>
      <c r="AH119" s="3062"/>
      <c r="AI119" s="3062"/>
      <c r="AJ119" s="3062"/>
      <c r="AK119" s="3062"/>
    </row>
    <row r="120" spans="1:37" s="3063" customFormat="1">
      <c r="A120" s="3087" t="s">
        <v>1140</v>
      </c>
      <c r="B120" s="3821"/>
      <c r="C120" s="3085" t="s">
        <v>1098</v>
      </c>
      <c r="D120" s="3085"/>
      <c r="E120" s="3085"/>
      <c r="F120" s="3085"/>
      <c r="G120" s="3088"/>
      <c r="H120" s="3067">
        <v>516.13</v>
      </c>
      <c r="I120" s="3067">
        <v>499.94</v>
      </c>
      <c r="J120" s="3067">
        <v>551.63</v>
      </c>
      <c r="K120" s="3067">
        <v>426.13</v>
      </c>
      <c r="L120" s="3067">
        <v>404.27</v>
      </c>
      <c r="M120" s="3067">
        <v>645.69000000000005</v>
      </c>
      <c r="N120" s="3067">
        <v>784.65</v>
      </c>
      <c r="O120" s="3067"/>
      <c r="P120" s="3067"/>
      <c r="Q120" s="3067"/>
      <c r="R120" s="3067"/>
      <c r="S120" s="3067"/>
      <c r="T120" s="3067"/>
      <c r="U120" s="3067"/>
      <c r="V120" s="3067"/>
      <c r="W120" s="3086"/>
      <c r="X120" s="3062"/>
      <c r="Y120" s="3062"/>
      <c r="Z120" s="3062"/>
      <c r="AD120" s="3062"/>
      <c r="AE120" s="3062"/>
      <c r="AF120" s="3062"/>
      <c r="AG120" s="3062"/>
      <c r="AH120" s="3062"/>
      <c r="AI120" s="3062"/>
      <c r="AJ120" s="3062"/>
      <c r="AK120" s="3062"/>
    </row>
    <row r="121" spans="1:37" s="3063" customFormat="1">
      <c r="A121" s="3087" t="s">
        <v>1141</v>
      </c>
      <c r="B121" s="3821"/>
      <c r="C121" s="3085" t="s">
        <v>1142</v>
      </c>
      <c r="D121" s="3085"/>
      <c r="E121" s="3085"/>
      <c r="F121" s="3085"/>
      <c r="G121" s="3088"/>
      <c r="H121" s="3067">
        <v>1186</v>
      </c>
      <c r="I121" s="3067">
        <v>1150</v>
      </c>
      <c r="J121" s="3067">
        <v>1200</v>
      </c>
      <c r="K121" s="3067">
        <v>0</v>
      </c>
      <c r="L121" s="3067">
        <v>70</v>
      </c>
      <c r="M121" s="3067">
        <v>0</v>
      </c>
      <c r="N121" s="3067">
        <v>150</v>
      </c>
      <c r="O121" s="3067"/>
      <c r="P121" s="3067"/>
      <c r="Q121" s="3067"/>
      <c r="R121" s="3067"/>
      <c r="S121" s="3067"/>
      <c r="T121" s="3067"/>
      <c r="U121" s="3067"/>
      <c r="V121" s="3067"/>
      <c r="W121" s="3086"/>
      <c r="X121" s="3062"/>
      <c r="Y121" s="3062"/>
      <c r="Z121" s="3062"/>
      <c r="AD121" s="3062"/>
      <c r="AE121" s="3062"/>
      <c r="AF121" s="3062"/>
      <c r="AG121" s="3062"/>
      <c r="AH121" s="3062"/>
      <c r="AI121" s="3062"/>
      <c r="AJ121" s="3062"/>
      <c r="AK121" s="3062"/>
    </row>
    <row r="122" spans="1:37" s="3063" customFormat="1">
      <c r="A122" s="3087" t="s">
        <v>1143</v>
      </c>
      <c r="B122" s="3821"/>
      <c r="C122" s="3085" t="s">
        <v>1142</v>
      </c>
      <c r="D122" s="3085"/>
      <c r="E122" s="3085"/>
      <c r="F122" s="3085"/>
      <c r="G122" s="3088"/>
      <c r="H122" s="3067">
        <v>2677</v>
      </c>
      <c r="I122" s="3067">
        <v>0</v>
      </c>
      <c r="J122" s="3067">
        <v>0</v>
      </c>
      <c r="K122" s="3067">
        <v>0</v>
      </c>
      <c r="L122" s="3067">
        <v>0</v>
      </c>
      <c r="M122" s="3067">
        <v>0</v>
      </c>
      <c r="N122" s="3067">
        <v>0</v>
      </c>
      <c r="O122" s="3067"/>
      <c r="P122" s="3067"/>
      <c r="Q122" s="3067"/>
      <c r="R122" s="3067"/>
      <c r="S122" s="3067"/>
      <c r="T122" s="3067"/>
      <c r="U122" s="3067"/>
      <c r="V122" s="3067"/>
      <c r="W122" s="3086"/>
      <c r="X122" s="3062"/>
      <c r="Y122" s="3062"/>
      <c r="Z122" s="3062"/>
      <c r="AD122" s="3062"/>
      <c r="AE122" s="3062"/>
      <c r="AF122" s="3062"/>
      <c r="AG122" s="3062"/>
      <c r="AH122" s="3062"/>
      <c r="AI122" s="3062"/>
      <c r="AJ122" s="3062"/>
      <c r="AK122" s="3062"/>
    </row>
    <row r="123" spans="1:37" s="3063" customFormat="1">
      <c r="A123" s="3087" t="s">
        <v>1144</v>
      </c>
      <c r="B123" s="3821"/>
      <c r="C123" s="3085" t="s">
        <v>1109</v>
      </c>
      <c r="D123" s="3085"/>
      <c r="E123" s="3085"/>
      <c r="F123" s="3085"/>
      <c r="G123" s="3088"/>
      <c r="H123" s="3067">
        <v>30</v>
      </c>
      <c r="I123" s="3067">
        <v>0</v>
      </c>
      <c r="J123" s="3067">
        <v>9.4</v>
      </c>
      <c r="K123" s="3067">
        <v>108.1</v>
      </c>
      <c r="L123" s="3067">
        <v>198.45</v>
      </c>
      <c r="M123" s="3067">
        <v>238.6</v>
      </c>
      <c r="N123" s="3067">
        <v>194.23</v>
      </c>
      <c r="O123" s="3067"/>
      <c r="P123" s="3067"/>
      <c r="Q123" s="3067"/>
      <c r="R123" s="3067"/>
      <c r="S123" s="3067"/>
      <c r="T123" s="3067"/>
      <c r="U123" s="3067"/>
      <c r="V123" s="3067"/>
      <c r="W123" s="3086"/>
      <c r="X123" s="3062"/>
      <c r="Y123" s="3062"/>
      <c r="Z123" s="3062"/>
      <c r="AD123" s="3062"/>
      <c r="AE123" s="3062"/>
      <c r="AF123" s="3062"/>
      <c r="AG123" s="3062"/>
      <c r="AH123" s="3062"/>
      <c r="AI123" s="3062"/>
      <c r="AJ123" s="3062"/>
      <c r="AK123" s="3062"/>
    </row>
    <row r="124" spans="1:37" s="3063" customFormat="1">
      <c r="A124" s="3087" t="s">
        <v>1145</v>
      </c>
      <c r="B124" s="3821"/>
      <c r="C124" s="3085" t="s">
        <v>1109</v>
      </c>
      <c r="D124" s="3085"/>
      <c r="E124" s="3085"/>
      <c r="F124" s="3085"/>
      <c r="G124" s="3088"/>
      <c r="H124" s="3067">
        <v>494.97</v>
      </c>
      <c r="I124" s="3067">
        <v>332.68</v>
      </c>
      <c r="J124" s="3067">
        <v>82</v>
      </c>
      <c r="K124" s="3067">
        <v>0</v>
      </c>
      <c r="L124" s="3067">
        <v>0</v>
      </c>
      <c r="M124" s="3067">
        <v>13</v>
      </c>
      <c r="N124" s="3067">
        <v>0</v>
      </c>
      <c r="O124" s="3067"/>
      <c r="P124" s="3067"/>
      <c r="Q124" s="3067"/>
      <c r="R124" s="3067"/>
      <c r="S124" s="3067"/>
      <c r="T124" s="3067"/>
      <c r="U124" s="3067"/>
      <c r="V124" s="3067"/>
      <c r="W124" s="3086"/>
      <c r="X124" s="3062"/>
      <c r="Y124" s="3062"/>
      <c r="Z124" s="3062"/>
      <c r="AD124" s="3062"/>
      <c r="AE124" s="3062"/>
      <c r="AF124" s="3062"/>
      <c r="AG124" s="3062"/>
      <c r="AH124" s="3062"/>
      <c r="AI124" s="3062"/>
      <c r="AJ124" s="3062"/>
      <c r="AK124" s="3062"/>
    </row>
    <row r="125" spans="1:37" s="3063" customFormat="1">
      <c r="A125" s="3087" t="s">
        <v>1146</v>
      </c>
      <c r="B125" s="3821"/>
      <c r="C125" s="3085" t="s">
        <v>1147</v>
      </c>
      <c r="D125" s="3085"/>
      <c r="E125" s="3085"/>
      <c r="F125" s="3085"/>
      <c r="G125" s="3088"/>
      <c r="H125" s="3067">
        <v>67.05</v>
      </c>
      <c r="I125" s="3067">
        <v>45.5</v>
      </c>
      <c r="J125" s="3067">
        <v>0</v>
      </c>
      <c r="K125" s="3067">
        <v>10.3</v>
      </c>
      <c r="L125" s="3067">
        <v>0</v>
      </c>
      <c r="M125" s="3067">
        <v>225</v>
      </c>
      <c r="N125" s="3067">
        <v>840.95</v>
      </c>
      <c r="O125" s="3067"/>
      <c r="P125" s="3067"/>
      <c r="Q125" s="3067"/>
      <c r="R125" s="3067"/>
      <c r="S125" s="3067"/>
      <c r="T125" s="3067"/>
      <c r="U125" s="3067"/>
      <c r="V125" s="3067"/>
      <c r="W125" s="3086"/>
      <c r="X125" s="3062"/>
      <c r="Y125" s="3062"/>
      <c r="Z125" s="3062"/>
      <c r="AD125" s="3062"/>
      <c r="AE125" s="3062"/>
      <c r="AF125" s="3062"/>
      <c r="AG125" s="3062"/>
      <c r="AH125" s="3062"/>
      <c r="AI125" s="3062"/>
      <c r="AJ125" s="3062"/>
      <c r="AK125" s="3062"/>
    </row>
    <row r="126" spans="1:37" s="3063" customFormat="1">
      <c r="A126" s="3087" t="s">
        <v>1148</v>
      </c>
      <c r="B126" s="3821"/>
      <c r="C126" s="3085" t="s">
        <v>1147</v>
      </c>
      <c r="D126" s="3085"/>
      <c r="E126" s="3085"/>
      <c r="F126" s="3085"/>
      <c r="G126" s="3088"/>
      <c r="H126" s="3067">
        <v>0</v>
      </c>
      <c r="I126" s="3067">
        <v>0</v>
      </c>
      <c r="J126" s="3067">
        <v>200</v>
      </c>
      <c r="K126" s="3067">
        <v>0</v>
      </c>
      <c r="L126" s="3067">
        <v>0</v>
      </c>
      <c r="M126" s="3067">
        <v>0</v>
      </c>
      <c r="N126" s="3067">
        <v>0</v>
      </c>
      <c r="O126" s="3067"/>
      <c r="P126" s="3067"/>
      <c r="Q126" s="3067"/>
      <c r="R126" s="3067"/>
      <c r="S126" s="3067"/>
      <c r="T126" s="3067"/>
      <c r="U126" s="3067"/>
      <c r="V126" s="3067"/>
      <c r="W126" s="3086"/>
      <c r="X126" s="3062"/>
      <c r="Y126" s="3062"/>
      <c r="Z126" s="3062"/>
      <c r="AD126" s="3062"/>
      <c r="AE126" s="3062"/>
      <c r="AF126" s="3062"/>
      <c r="AG126" s="3062"/>
      <c r="AH126" s="3062"/>
      <c r="AI126" s="3062"/>
      <c r="AJ126" s="3062"/>
      <c r="AK126" s="3062"/>
    </row>
    <row r="127" spans="1:37" s="3063" customFormat="1">
      <c r="A127" s="3087" t="s">
        <v>1149</v>
      </c>
      <c r="B127" s="3821"/>
      <c r="C127" s="3085" t="s">
        <v>1147</v>
      </c>
      <c r="D127" s="3085"/>
      <c r="E127" s="3085"/>
      <c r="F127" s="3085"/>
      <c r="G127" s="3088"/>
      <c r="H127" s="3067">
        <v>571.02</v>
      </c>
      <c r="I127" s="3067">
        <v>0</v>
      </c>
      <c r="J127" s="3067">
        <v>0</v>
      </c>
      <c r="K127" s="3067">
        <v>0</v>
      </c>
      <c r="L127" s="3067">
        <v>0</v>
      </c>
      <c r="M127" s="3067">
        <v>0</v>
      </c>
      <c r="N127" s="3067">
        <v>0</v>
      </c>
      <c r="O127" s="3067"/>
      <c r="P127" s="3067"/>
      <c r="Q127" s="3067"/>
      <c r="R127" s="3067"/>
      <c r="S127" s="3067"/>
      <c r="T127" s="3067"/>
      <c r="U127" s="3067"/>
      <c r="V127" s="3067"/>
      <c r="W127" s="3086"/>
      <c r="X127" s="3062"/>
      <c r="Y127" s="3062"/>
      <c r="Z127" s="3062"/>
      <c r="AD127" s="3062"/>
      <c r="AE127" s="3062"/>
      <c r="AF127" s="3062"/>
      <c r="AG127" s="3062"/>
      <c r="AH127" s="3062"/>
      <c r="AI127" s="3062"/>
      <c r="AJ127" s="3062"/>
      <c r="AK127" s="3062"/>
    </row>
    <row r="128" spans="1:37" s="3063" customFormat="1">
      <c r="A128" s="3087" t="s">
        <v>1150</v>
      </c>
      <c r="B128" s="3821"/>
      <c r="C128" s="3085" t="s">
        <v>1151</v>
      </c>
      <c r="D128" s="3085"/>
      <c r="E128" s="3085"/>
      <c r="F128" s="3085"/>
      <c r="G128" s="3088"/>
      <c r="H128" s="3067">
        <v>9335.2099999999991</v>
      </c>
      <c r="I128" s="3067">
        <v>62986.559999999998</v>
      </c>
      <c r="J128" s="3067">
        <v>10833.52</v>
      </c>
      <c r="K128" s="3067">
        <v>7454.17</v>
      </c>
      <c r="L128" s="3067">
        <v>16778.48</v>
      </c>
      <c r="M128" s="3067">
        <v>9645.57</v>
      </c>
      <c r="N128" s="3067">
        <v>9034.77</v>
      </c>
      <c r="O128" s="3067"/>
      <c r="P128" s="3067"/>
      <c r="Q128" s="3067"/>
      <c r="R128" s="3067"/>
      <c r="S128" s="3067"/>
      <c r="T128" s="3067"/>
      <c r="U128" s="3067"/>
      <c r="V128" s="3067"/>
      <c r="W128" s="3086"/>
      <c r="X128" s="3062"/>
      <c r="Y128" s="3062"/>
      <c r="Z128" s="3062"/>
      <c r="AD128" s="3062"/>
      <c r="AE128" s="3062"/>
      <c r="AF128" s="3062"/>
      <c r="AG128" s="3062"/>
      <c r="AH128" s="3062"/>
      <c r="AI128" s="3062"/>
      <c r="AJ128" s="3062"/>
      <c r="AK128" s="3062"/>
    </row>
    <row r="129" spans="1:37" s="3063" customFormat="1">
      <c r="A129" s="3087" t="s">
        <v>1152</v>
      </c>
      <c r="B129" s="3821"/>
      <c r="C129" s="3085" t="s">
        <v>1111</v>
      </c>
      <c r="D129" s="3085"/>
      <c r="E129" s="3085"/>
      <c r="F129" s="3085"/>
      <c r="G129" s="3088"/>
      <c r="H129" s="3067">
        <v>0</v>
      </c>
      <c r="I129" s="3067">
        <v>0</v>
      </c>
      <c r="J129" s="3067">
        <v>8.17</v>
      </c>
      <c r="K129" s="3067">
        <v>16.34</v>
      </c>
      <c r="L129" s="3067">
        <v>697.56</v>
      </c>
      <c r="M129" s="3067">
        <v>670.62</v>
      </c>
      <c r="N129" s="3067">
        <v>672</v>
      </c>
      <c r="O129" s="3067"/>
      <c r="P129" s="3067"/>
      <c r="Q129" s="3067"/>
      <c r="R129" s="3067"/>
      <c r="S129" s="3067"/>
      <c r="T129" s="3067"/>
      <c r="U129" s="3067"/>
      <c r="V129" s="3067"/>
      <c r="W129" s="3086"/>
      <c r="X129" s="3062"/>
      <c r="Y129" s="3062"/>
      <c r="Z129" s="3062"/>
      <c r="AD129" s="3062"/>
      <c r="AE129" s="3062"/>
      <c r="AF129" s="3062"/>
      <c r="AG129" s="3062"/>
      <c r="AH129" s="3062"/>
      <c r="AI129" s="3062"/>
      <c r="AJ129" s="3062"/>
      <c r="AK129" s="3062"/>
    </row>
    <row r="130" spans="1:37" s="3063" customFormat="1">
      <c r="A130" s="3087" t="s">
        <v>1153</v>
      </c>
      <c r="B130" s="3821"/>
      <c r="C130" s="3085" t="s">
        <v>1096</v>
      </c>
      <c r="D130" s="3085"/>
      <c r="E130" s="3085"/>
      <c r="F130" s="3085"/>
      <c r="G130" s="3088"/>
      <c r="H130" s="3067">
        <v>317.25</v>
      </c>
      <c r="I130" s="3067">
        <v>276.64</v>
      </c>
      <c r="J130" s="3067">
        <v>299.41000000000003</v>
      </c>
      <c r="K130" s="3067">
        <v>650</v>
      </c>
      <c r="L130" s="3067">
        <v>59.86</v>
      </c>
      <c r="M130" s="3067">
        <v>23.95</v>
      </c>
      <c r="N130" s="3067">
        <v>450.98</v>
      </c>
      <c r="O130" s="3067"/>
      <c r="P130" s="3067"/>
      <c r="Q130" s="3067"/>
      <c r="R130" s="3067"/>
      <c r="S130" s="3067"/>
      <c r="T130" s="3067"/>
      <c r="U130" s="3067"/>
      <c r="V130" s="3067"/>
      <c r="W130" s="3086"/>
      <c r="X130" s="3062"/>
      <c r="Y130" s="3062"/>
      <c r="Z130" s="3062"/>
      <c r="AD130" s="3062"/>
      <c r="AE130" s="3062"/>
      <c r="AF130" s="3062"/>
      <c r="AG130" s="3062"/>
      <c r="AH130" s="3062"/>
      <c r="AI130" s="3062"/>
      <c r="AJ130" s="3062"/>
      <c r="AK130" s="3062"/>
    </row>
    <row r="131" spans="1:37" s="3063" customFormat="1">
      <c r="A131" s="3087" t="s">
        <v>1154</v>
      </c>
      <c r="B131" s="3821"/>
      <c r="C131" s="3085" t="s">
        <v>1130</v>
      </c>
      <c r="D131" s="3085"/>
      <c r="E131" s="3085"/>
      <c r="F131" s="3085"/>
      <c r="G131" s="3088"/>
      <c r="H131" s="3067">
        <v>47.9</v>
      </c>
      <c r="I131" s="3067">
        <v>0</v>
      </c>
      <c r="J131" s="3067">
        <v>0</v>
      </c>
      <c r="K131" s="3067">
        <v>286.55</v>
      </c>
      <c r="L131" s="3067">
        <v>0</v>
      </c>
      <c r="M131" s="3067">
        <v>0</v>
      </c>
      <c r="N131" s="3067">
        <v>0</v>
      </c>
      <c r="O131" s="3067"/>
      <c r="P131" s="3067"/>
      <c r="Q131" s="3067"/>
      <c r="R131" s="3067"/>
      <c r="S131" s="3067"/>
      <c r="T131" s="3067"/>
      <c r="U131" s="3067"/>
      <c r="V131" s="3067"/>
      <c r="W131" s="3086"/>
      <c r="X131" s="3062"/>
      <c r="Y131" s="3062"/>
      <c r="Z131" s="3062"/>
      <c r="AD131" s="3062"/>
      <c r="AE131" s="3062"/>
      <c r="AF131" s="3062"/>
      <c r="AG131" s="3062"/>
      <c r="AH131" s="3062"/>
      <c r="AI131" s="3062"/>
      <c r="AJ131" s="3062"/>
      <c r="AK131" s="3062"/>
    </row>
    <row r="132" spans="1:37" s="3063" customFormat="1">
      <c r="A132" s="3087" t="s">
        <v>1155</v>
      </c>
      <c r="B132" s="3821"/>
      <c r="C132" s="3085" t="s">
        <v>1100</v>
      </c>
      <c r="D132" s="3085"/>
      <c r="E132" s="3085"/>
      <c r="F132" s="3085"/>
      <c r="G132" s="3088"/>
      <c r="H132" s="3067">
        <v>580.64</v>
      </c>
      <c r="I132" s="3067">
        <v>619.78</v>
      </c>
      <c r="J132" s="3067">
        <v>356.95</v>
      </c>
      <c r="K132" s="3067">
        <v>588.84</v>
      </c>
      <c r="L132" s="3067">
        <v>640.33000000000004</v>
      </c>
      <c r="M132" s="3067">
        <v>831.53</v>
      </c>
      <c r="N132" s="3067">
        <v>473.78</v>
      </c>
      <c r="O132" s="3067"/>
      <c r="P132" s="3067"/>
      <c r="Q132" s="3067"/>
      <c r="R132" s="3067"/>
      <c r="S132" s="3067"/>
      <c r="T132" s="3067"/>
      <c r="U132" s="3067"/>
      <c r="V132" s="3067"/>
      <c r="W132" s="3086"/>
      <c r="X132" s="3062"/>
      <c r="Y132" s="3062"/>
      <c r="Z132" s="3062"/>
      <c r="AD132" s="3062"/>
      <c r="AE132" s="3062"/>
      <c r="AF132" s="3062"/>
      <c r="AG132" s="3062"/>
      <c r="AH132" s="3062"/>
      <c r="AI132" s="3062"/>
      <c r="AJ132" s="3062"/>
      <c r="AK132" s="3062"/>
    </row>
    <row r="133" spans="1:37" s="3063" customFormat="1">
      <c r="A133" s="3087" t="s">
        <v>1156</v>
      </c>
      <c r="B133" s="3821"/>
      <c r="C133" s="3085" t="s">
        <v>1102</v>
      </c>
      <c r="D133" s="3085"/>
      <c r="E133" s="3085"/>
      <c r="F133" s="3085"/>
      <c r="G133" s="3088"/>
      <c r="H133" s="3067">
        <v>15.3</v>
      </c>
      <c r="I133" s="3067">
        <v>18.77</v>
      </c>
      <c r="J133" s="3067">
        <v>89.6</v>
      </c>
      <c r="K133" s="3067">
        <v>32.99</v>
      </c>
      <c r="L133" s="3067">
        <v>115.61</v>
      </c>
      <c r="M133" s="3067">
        <v>170.54</v>
      </c>
      <c r="N133" s="3067">
        <v>171.45</v>
      </c>
      <c r="O133" s="3067"/>
      <c r="P133" s="3067"/>
      <c r="Q133" s="3067"/>
      <c r="R133" s="3067"/>
      <c r="S133" s="3067"/>
      <c r="T133" s="3067"/>
      <c r="U133" s="3067"/>
      <c r="V133" s="3067"/>
      <c r="W133" s="3086"/>
      <c r="X133" s="3062"/>
      <c r="Y133" s="3062"/>
      <c r="Z133" s="3062"/>
      <c r="AD133" s="3062"/>
      <c r="AE133" s="3062"/>
      <c r="AF133" s="3062"/>
      <c r="AG133" s="3062"/>
      <c r="AH133" s="3062"/>
      <c r="AI133" s="3062"/>
      <c r="AJ133" s="3062"/>
      <c r="AK133" s="3062"/>
    </row>
    <row r="134" spans="1:37" s="3063" customFormat="1">
      <c r="A134" s="3087" t="s">
        <v>1157</v>
      </c>
      <c r="B134" s="3821"/>
      <c r="C134" s="3085" t="s">
        <v>1138</v>
      </c>
      <c r="D134" s="3085"/>
      <c r="E134" s="3085"/>
      <c r="F134" s="3085"/>
      <c r="G134" s="3088"/>
      <c r="H134" s="3067">
        <v>0</v>
      </c>
      <c r="I134" s="3067">
        <v>1386.67</v>
      </c>
      <c r="J134" s="3067">
        <v>332.75</v>
      </c>
      <c r="K134" s="3067">
        <v>272.25</v>
      </c>
      <c r="L134" s="3067">
        <v>0</v>
      </c>
      <c r="M134" s="3067">
        <v>0</v>
      </c>
      <c r="N134" s="3067">
        <v>0</v>
      </c>
      <c r="O134" s="3067"/>
      <c r="P134" s="3067"/>
      <c r="Q134" s="3067"/>
      <c r="R134" s="3067"/>
      <c r="S134" s="3067"/>
      <c r="T134" s="3067"/>
      <c r="U134" s="3067"/>
      <c r="V134" s="3067"/>
      <c r="W134" s="3086"/>
      <c r="X134" s="3062"/>
      <c r="Y134" s="3062"/>
      <c r="Z134" s="3062"/>
      <c r="AD134" s="3062"/>
      <c r="AE134" s="3062"/>
      <c r="AF134" s="3062"/>
      <c r="AG134" s="3062"/>
      <c r="AH134" s="3062"/>
      <c r="AI134" s="3062"/>
      <c r="AJ134" s="3062"/>
      <c r="AK134" s="3062"/>
    </row>
    <row r="135" spans="1:37" s="3063" customFormat="1">
      <c r="A135" s="3087" t="s">
        <v>1158</v>
      </c>
      <c r="B135" s="3821"/>
      <c r="C135" s="3085" t="s">
        <v>1115</v>
      </c>
      <c r="D135" s="3085"/>
      <c r="E135" s="3085"/>
      <c r="F135" s="3085"/>
      <c r="G135" s="3088"/>
      <c r="H135" s="3067">
        <v>45</v>
      </c>
      <c r="I135" s="3067">
        <v>20</v>
      </c>
      <c r="J135" s="3067">
        <v>0</v>
      </c>
      <c r="K135" s="3067">
        <v>20</v>
      </c>
      <c r="L135" s="3067">
        <v>0</v>
      </c>
      <c r="M135" s="3067">
        <v>260</v>
      </c>
      <c r="N135" s="3067">
        <v>0</v>
      </c>
      <c r="O135" s="3067"/>
      <c r="P135" s="3067"/>
      <c r="Q135" s="3067"/>
      <c r="R135" s="3067"/>
      <c r="S135" s="3067"/>
      <c r="T135" s="3067"/>
      <c r="U135" s="3067"/>
      <c r="V135" s="3067"/>
      <c r="W135" s="3086"/>
      <c r="X135" s="3062"/>
      <c r="Y135" s="3062"/>
      <c r="Z135" s="3062"/>
      <c r="AD135" s="3062"/>
      <c r="AE135" s="3062"/>
      <c r="AF135" s="3062"/>
      <c r="AG135" s="3062"/>
      <c r="AH135" s="3062"/>
      <c r="AI135" s="3062"/>
      <c r="AJ135" s="3062"/>
      <c r="AK135" s="3062"/>
    </row>
    <row r="136" spans="1:37" s="3063" customFormat="1">
      <c r="A136" s="3087" t="s">
        <v>1159</v>
      </c>
      <c r="B136" s="3821"/>
      <c r="C136" s="3085" t="s">
        <v>1098</v>
      </c>
      <c r="D136" s="3085"/>
      <c r="E136" s="3085"/>
      <c r="F136" s="3085"/>
      <c r="G136" s="3088"/>
      <c r="H136" s="3067">
        <v>1370.66</v>
      </c>
      <c r="I136" s="3067">
        <v>1360.66</v>
      </c>
      <c r="J136" s="3067">
        <v>1489.82</v>
      </c>
      <c r="K136" s="3067">
        <v>1546.48</v>
      </c>
      <c r="L136" s="3067">
        <v>364.01</v>
      </c>
      <c r="M136" s="3067">
        <v>39.9</v>
      </c>
      <c r="N136" s="3067">
        <v>0</v>
      </c>
      <c r="O136" s="3067"/>
      <c r="P136" s="3067"/>
      <c r="Q136" s="3067"/>
      <c r="R136" s="3067"/>
      <c r="S136" s="3067"/>
      <c r="T136" s="3067"/>
      <c r="U136" s="3067"/>
      <c r="V136" s="3067"/>
      <c r="W136" s="3086"/>
      <c r="X136" s="3062"/>
      <c r="Y136" s="3062"/>
      <c r="Z136" s="3062"/>
      <c r="AD136" s="3062"/>
      <c r="AE136" s="3062"/>
      <c r="AF136" s="3062"/>
      <c r="AG136" s="3062"/>
      <c r="AH136" s="3062"/>
      <c r="AI136" s="3062"/>
      <c r="AJ136" s="3062"/>
      <c r="AK136" s="3062"/>
    </row>
    <row r="137" spans="1:37" s="3063" customFormat="1">
      <c r="A137" s="3087" t="s">
        <v>1160</v>
      </c>
      <c r="B137" s="3821"/>
      <c r="C137" s="3085" t="s">
        <v>1109</v>
      </c>
      <c r="D137" s="3085"/>
      <c r="E137" s="3085"/>
      <c r="F137" s="3085"/>
      <c r="G137" s="3088"/>
      <c r="H137" s="3067">
        <v>0</v>
      </c>
      <c r="I137" s="3067">
        <v>0</v>
      </c>
      <c r="J137" s="3067">
        <v>48</v>
      </c>
      <c r="K137" s="3067">
        <v>175.6</v>
      </c>
      <c r="L137" s="3067">
        <v>0</v>
      </c>
      <c r="M137" s="3067">
        <v>0</v>
      </c>
      <c r="N137" s="3067">
        <v>0</v>
      </c>
      <c r="O137" s="3067"/>
      <c r="P137" s="3067"/>
      <c r="Q137" s="3067"/>
      <c r="R137" s="3067"/>
      <c r="S137" s="3067"/>
      <c r="T137" s="3067"/>
      <c r="U137" s="3067"/>
      <c r="V137" s="3067"/>
      <c r="W137" s="3086"/>
      <c r="X137" s="3062"/>
      <c r="Y137" s="3062"/>
      <c r="Z137" s="3062"/>
      <c r="AD137" s="3062"/>
      <c r="AE137" s="3062"/>
      <c r="AF137" s="3062"/>
      <c r="AG137" s="3062"/>
      <c r="AH137" s="3062"/>
      <c r="AI137" s="3062"/>
      <c r="AJ137" s="3062"/>
      <c r="AK137" s="3062"/>
    </row>
    <row r="138" spans="1:37" s="3063" customFormat="1">
      <c r="A138" s="3087" t="s">
        <v>1161</v>
      </c>
      <c r="B138" s="3821"/>
      <c r="C138" s="3085" t="s">
        <v>1147</v>
      </c>
      <c r="D138" s="3085"/>
      <c r="E138" s="3085"/>
      <c r="F138" s="3085"/>
      <c r="G138" s="3088"/>
      <c r="H138" s="3067">
        <v>45</v>
      </c>
      <c r="I138" s="3067">
        <v>16</v>
      </c>
      <c r="J138" s="3067">
        <v>119.81</v>
      </c>
      <c r="K138" s="3067">
        <v>0</v>
      </c>
      <c r="L138" s="3067">
        <v>0</v>
      </c>
      <c r="M138" s="3067">
        <v>0</v>
      </c>
      <c r="N138" s="3067">
        <v>234.3</v>
      </c>
      <c r="O138" s="3067"/>
      <c r="P138" s="3067"/>
      <c r="Q138" s="3067"/>
      <c r="R138" s="3067"/>
      <c r="S138" s="3067"/>
      <c r="T138" s="3067"/>
      <c r="U138" s="3067"/>
      <c r="V138" s="3067"/>
      <c r="W138" s="3086"/>
      <c r="X138" s="3062"/>
      <c r="Y138" s="3062"/>
      <c r="Z138" s="3062"/>
      <c r="AD138" s="3062"/>
      <c r="AE138" s="3062"/>
      <c r="AF138" s="3062"/>
      <c r="AG138" s="3062"/>
      <c r="AH138" s="3062"/>
      <c r="AI138" s="3062"/>
      <c r="AJ138" s="3062"/>
      <c r="AK138" s="3062"/>
    </row>
    <row r="139" spans="1:37" s="3063" customFormat="1">
      <c r="A139" s="3089"/>
      <c r="B139" s="3822"/>
      <c r="C139" s="3090" t="s">
        <v>1162</v>
      </c>
      <c r="D139" s="3090"/>
      <c r="E139" s="3090"/>
      <c r="F139" s="3090"/>
      <c r="G139" s="3091"/>
      <c r="H139" s="3092">
        <f t="shared" ref="H139:W139" si="15">SUM(H84:H138)</f>
        <v>35917.62000000001</v>
      </c>
      <c r="I139" s="3092">
        <f t="shared" si="15"/>
        <v>87051.849999999991</v>
      </c>
      <c r="J139" s="3092">
        <f t="shared" si="15"/>
        <v>31454.63</v>
      </c>
      <c r="K139" s="3092">
        <f t="shared" si="15"/>
        <v>31812.41</v>
      </c>
      <c r="L139" s="3092">
        <f t="shared" si="15"/>
        <v>37327.360000000008</v>
      </c>
      <c r="M139" s="3092">
        <f t="shared" si="15"/>
        <v>34581.359999999993</v>
      </c>
      <c r="N139" s="3092">
        <f t="shared" si="15"/>
        <v>32872.370000000003</v>
      </c>
      <c r="O139" s="3092">
        <f t="shared" si="15"/>
        <v>69685.929999999993</v>
      </c>
      <c r="P139" s="3092">
        <f t="shared" si="15"/>
        <v>59304.590000000004</v>
      </c>
      <c r="Q139" s="3092">
        <f t="shared" si="15"/>
        <v>56505.579999999994</v>
      </c>
      <c r="R139" s="3092">
        <f t="shared" si="15"/>
        <v>78645.290000000008</v>
      </c>
      <c r="S139" s="3092">
        <f t="shared" si="15"/>
        <v>62980.35</v>
      </c>
      <c r="T139" s="3092">
        <f t="shared" si="15"/>
        <v>98249.579999999987</v>
      </c>
      <c r="U139" s="3092">
        <f t="shared" si="15"/>
        <v>64692.11</v>
      </c>
      <c r="V139" s="3092">
        <f t="shared" si="15"/>
        <v>158475.96</v>
      </c>
      <c r="W139" s="3826">
        <f t="shared" si="15"/>
        <v>0</v>
      </c>
      <c r="X139" s="3062"/>
      <c r="Y139" s="3062"/>
      <c r="Z139" s="3062"/>
      <c r="AD139" s="3062"/>
      <c r="AE139" s="3062"/>
      <c r="AF139" s="3062"/>
      <c r="AG139" s="3062"/>
      <c r="AH139" s="3062"/>
      <c r="AI139" s="3062"/>
      <c r="AJ139" s="3062"/>
      <c r="AK139" s="3062"/>
    </row>
    <row r="140" spans="1:37" s="3063" customFormat="1">
      <c r="A140" s="3093" t="s">
        <v>1163</v>
      </c>
      <c r="B140" s="3823"/>
      <c r="C140" s="3085"/>
      <c r="D140" s="3085"/>
      <c r="E140" s="3085"/>
      <c r="F140" s="3085"/>
      <c r="G140" s="3088"/>
      <c r="H140" s="3067"/>
      <c r="I140" s="3067"/>
      <c r="J140" s="3067"/>
      <c r="K140" s="3067"/>
      <c r="L140" s="3067"/>
      <c r="M140" s="3067"/>
      <c r="N140" s="3067"/>
      <c r="O140" s="3085"/>
      <c r="P140" s="3085"/>
      <c r="Q140" s="3085"/>
      <c r="R140" s="3067"/>
      <c r="S140" s="3067"/>
      <c r="T140" s="3067"/>
      <c r="U140" s="3067"/>
      <c r="V140" s="3067"/>
      <c r="W140" s="3086"/>
      <c r="X140" s="3062"/>
      <c r="Y140" s="3062"/>
      <c r="Z140" s="3062"/>
      <c r="AD140" s="3062"/>
      <c r="AE140" s="3062"/>
      <c r="AF140" s="3062"/>
      <c r="AG140" s="3062"/>
      <c r="AH140" s="3062"/>
      <c r="AI140" s="3062"/>
      <c r="AJ140" s="3062"/>
      <c r="AK140" s="3062"/>
    </row>
    <row r="141" spans="1:37" s="3063" customFormat="1">
      <c r="A141" s="3087" t="s">
        <v>1164</v>
      </c>
      <c r="B141" s="3821"/>
      <c r="C141" s="3085" t="s">
        <v>1165</v>
      </c>
      <c r="D141" s="3085"/>
      <c r="E141" s="3085"/>
      <c r="F141" s="3085"/>
      <c r="G141" s="3088"/>
      <c r="H141" s="3067">
        <v>0</v>
      </c>
      <c r="I141" s="3067">
        <v>0</v>
      </c>
      <c r="J141" s="3067">
        <v>0</v>
      </c>
      <c r="K141" s="3067">
        <v>13194.5</v>
      </c>
      <c r="L141" s="3067">
        <v>422</v>
      </c>
      <c r="M141" s="3067"/>
      <c r="N141" s="3067">
        <v>0</v>
      </c>
      <c r="O141" s="3085"/>
      <c r="P141" s="3085"/>
      <c r="Q141" s="3067"/>
      <c r="R141" s="3067"/>
      <c r="S141" s="3067"/>
      <c r="T141" s="3067"/>
      <c r="U141" s="3067"/>
      <c r="V141" s="3067"/>
      <c r="W141" s="3086"/>
      <c r="X141" s="3062"/>
      <c r="Y141" s="3062"/>
      <c r="Z141" s="3062"/>
      <c r="AD141" s="3062"/>
      <c r="AE141" s="3062"/>
      <c r="AF141" s="3062"/>
      <c r="AG141" s="3062"/>
      <c r="AH141" s="3062"/>
      <c r="AI141" s="3062"/>
      <c r="AJ141" s="3062"/>
      <c r="AK141" s="3062"/>
    </row>
    <row r="142" spans="1:37" s="3063" customFormat="1">
      <c r="A142" s="3087" t="s">
        <v>1166</v>
      </c>
      <c r="B142" s="3821"/>
      <c r="C142" s="3085" t="s">
        <v>1167</v>
      </c>
      <c r="D142" s="3085"/>
      <c r="E142" s="3085"/>
      <c r="F142" s="3085"/>
      <c r="G142" s="3088"/>
      <c r="H142" s="3067">
        <v>1116</v>
      </c>
      <c r="I142" s="3067">
        <v>1116</v>
      </c>
      <c r="J142" s="3067">
        <v>1116</v>
      </c>
      <c r="K142" s="3067">
        <v>1116</v>
      </c>
      <c r="L142" s="3067">
        <v>1116</v>
      </c>
      <c r="M142" s="3067">
        <v>1116</v>
      </c>
      <c r="N142" s="3067">
        <v>1116</v>
      </c>
      <c r="O142" s="3085"/>
      <c r="P142" s="3085"/>
      <c r="Q142" s="3067"/>
      <c r="R142" s="3067"/>
      <c r="S142" s="3067"/>
      <c r="T142" s="3067"/>
      <c r="U142" s="3067"/>
      <c r="V142" s="3067"/>
      <c r="W142" s="3086"/>
      <c r="X142" s="3062"/>
      <c r="Y142" s="3062"/>
      <c r="Z142" s="3062"/>
      <c r="AD142" s="3062"/>
      <c r="AE142" s="3062"/>
      <c r="AF142" s="3062"/>
      <c r="AG142" s="3062"/>
      <c r="AH142" s="3062"/>
      <c r="AI142" s="3062"/>
      <c r="AJ142" s="3062"/>
      <c r="AK142" s="3062"/>
    </row>
    <row r="143" spans="1:37" s="3063" customFormat="1">
      <c r="A143" s="3087" t="s">
        <v>1168</v>
      </c>
      <c r="B143" s="3821">
        <v>649100</v>
      </c>
      <c r="C143" s="3085" t="s">
        <v>1169</v>
      </c>
      <c r="D143" s="3085"/>
      <c r="E143" s="3085"/>
      <c r="F143" s="3085"/>
      <c r="G143" s="3088"/>
      <c r="H143" s="3067"/>
      <c r="I143" s="3067"/>
      <c r="J143" s="3067"/>
      <c r="K143" s="3067"/>
      <c r="L143" s="3067"/>
      <c r="M143" s="3067"/>
      <c r="N143" s="3067"/>
      <c r="O143" s="3094">
        <v>1116</v>
      </c>
      <c r="P143" s="3067">
        <v>1116</v>
      </c>
      <c r="Q143" s="3067">
        <v>1116</v>
      </c>
      <c r="R143" s="3067">
        <v>1116</v>
      </c>
      <c r="S143" s="3067">
        <v>1116</v>
      </c>
      <c r="T143" s="3067">
        <v>1116</v>
      </c>
      <c r="U143" s="3067">
        <v>1250</v>
      </c>
      <c r="V143" s="3067">
        <v>1250</v>
      </c>
      <c r="W143" s="3086"/>
      <c r="X143" s="3062"/>
      <c r="Y143" s="3062"/>
      <c r="Z143" s="3062"/>
      <c r="AD143" s="3062"/>
      <c r="AE143" s="3062"/>
      <c r="AF143" s="3062"/>
      <c r="AG143" s="3062"/>
      <c r="AH143" s="3062"/>
      <c r="AI143" s="3062"/>
      <c r="AJ143" s="3062"/>
      <c r="AK143" s="3062"/>
    </row>
    <row r="144" spans="1:37" s="3063" customFormat="1">
      <c r="A144" s="3087" t="s">
        <v>1170</v>
      </c>
      <c r="B144" s="3821"/>
      <c r="C144" s="3085" t="s">
        <v>1171</v>
      </c>
      <c r="D144" s="3085"/>
      <c r="E144" s="3085"/>
      <c r="F144" s="3085"/>
      <c r="G144" s="3088"/>
      <c r="H144" s="3067">
        <v>1500</v>
      </c>
      <c r="I144" s="3067">
        <v>2000</v>
      </c>
      <c r="J144" s="3067">
        <v>1250</v>
      </c>
      <c r="K144" s="3067">
        <v>1750</v>
      </c>
      <c r="L144" s="3067">
        <v>2000</v>
      </c>
      <c r="M144" s="3067">
        <v>1500</v>
      </c>
      <c r="N144" s="3067">
        <v>1250</v>
      </c>
      <c r="O144" s="3085"/>
      <c r="P144" s="3085"/>
      <c r="Q144" s="3067"/>
      <c r="R144" s="3067"/>
      <c r="S144" s="3067"/>
      <c r="T144" s="3067"/>
      <c r="U144" s="3067"/>
      <c r="V144" s="3067"/>
      <c r="W144" s="3086"/>
      <c r="X144" s="3062"/>
      <c r="Y144" s="3062"/>
      <c r="Z144" s="3062"/>
      <c r="AD144" s="3062"/>
      <c r="AE144" s="3062"/>
      <c r="AF144" s="3062"/>
      <c r="AG144" s="3062"/>
      <c r="AH144" s="3062"/>
      <c r="AI144" s="3062"/>
      <c r="AJ144" s="3062"/>
      <c r="AK144" s="3062"/>
    </row>
    <row r="145" spans="1:37" s="3063" customFormat="1">
      <c r="A145" s="3087" t="s">
        <v>1172</v>
      </c>
      <c r="B145" s="3821"/>
      <c r="C145" s="3085" t="s">
        <v>1173</v>
      </c>
      <c r="D145" s="3085"/>
      <c r="E145" s="3085"/>
      <c r="F145" s="3085"/>
      <c r="G145" s="3088"/>
      <c r="H145" s="3067"/>
      <c r="I145" s="3067"/>
      <c r="J145" s="3067"/>
      <c r="K145" s="3067"/>
      <c r="L145" s="3067"/>
      <c r="M145" s="3067"/>
      <c r="N145" s="3067"/>
      <c r="O145" s="3085">
        <v>447.97</v>
      </c>
      <c r="P145" s="3067">
        <v>991.5</v>
      </c>
      <c r="Q145" s="3067">
        <v>516.55999999999995</v>
      </c>
      <c r="R145" s="3067">
        <v>826.52</v>
      </c>
      <c r="S145" s="3067">
        <v>648.25</v>
      </c>
      <c r="T145" s="3067">
        <v>777.33</v>
      </c>
      <c r="U145" s="3067"/>
      <c r="V145" s="3067"/>
      <c r="W145" s="3086"/>
      <c r="X145" s="3062"/>
      <c r="Y145" s="3062"/>
      <c r="Z145" s="3062"/>
      <c r="AD145" s="3062"/>
      <c r="AE145" s="3062"/>
      <c r="AF145" s="3062"/>
      <c r="AG145" s="3062"/>
      <c r="AH145" s="3062"/>
      <c r="AI145" s="3062"/>
      <c r="AJ145" s="3062"/>
      <c r="AK145" s="3062"/>
    </row>
    <row r="146" spans="1:37" s="3063" customFormat="1">
      <c r="A146" s="3087" t="s">
        <v>1174</v>
      </c>
      <c r="B146" s="3821"/>
      <c r="C146" s="3085" t="s">
        <v>1175</v>
      </c>
      <c r="D146" s="3085"/>
      <c r="E146" s="3085"/>
      <c r="F146" s="3085"/>
      <c r="G146" s="3088"/>
      <c r="H146" s="3067">
        <v>45884</v>
      </c>
      <c r="I146" s="3067">
        <v>52379</v>
      </c>
      <c r="J146" s="3067">
        <v>56726</v>
      </c>
      <c r="K146" s="3067">
        <v>67293.8</v>
      </c>
      <c r="L146" s="3067">
        <v>69794.399999999994</v>
      </c>
      <c r="M146" s="3067">
        <v>69659</v>
      </c>
      <c r="N146" s="3067">
        <v>70387</v>
      </c>
      <c r="O146" s="3067"/>
      <c r="P146" s="3067"/>
      <c r="Q146" s="3067"/>
      <c r="R146" s="3067"/>
      <c r="S146" s="3067"/>
      <c r="T146" s="3067"/>
      <c r="U146" s="3067"/>
      <c r="V146" s="3067"/>
      <c r="W146" s="3086"/>
      <c r="X146" s="3062"/>
      <c r="Y146" s="3062"/>
      <c r="Z146" s="3062"/>
      <c r="AD146" s="3062"/>
      <c r="AE146" s="3062"/>
      <c r="AF146" s="3062"/>
      <c r="AG146" s="3062"/>
      <c r="AH146" s="3062"/>
      <c r="AI146" s="3062"/>
      <c r="AJ146" s="3062"/>
      <c r="AK146" s="3062"/>
    </row>
    <row r="147" spans="1:37" s="3063" customFormat="1">
      <c r="A147" s="3087" t="s">
        <v>1176</v>
      </c>
      <c r="B147" s="3821">
        <v>649604</v>
      </c>
      <c r="C147" s="3085" t="s">
        <v>1173</v>
      </c>
      <c r="D147" s="3085"/>
      <c r="E147" s="3085"/>
      <c r="F147" s="3085"/>
      <c r="G147" s="3088"/>
      <c r="H147" s="3067"/>
      <c r="I147" s="3067"/>
      <c r="J147" s="3067"/>
      <c r="K147" s="3067"/>
      <c r="L147" s="3067"/>
      <c r="M147" s="3067"/>
      <c r="N147" s="3067"/>
      <c r="O147" s="3067">
        <v>39103.74</v>
      </c>
      <c r="P147" s="3067">
        <v>51595.63</v>
      </c>
      <c r="Q147" s="3067">
        <v>52368.09</v>
      </c>
      <c r="R147" s="3067">
        <v>43889.5</v>
      </c>
      <c r="S147" s="3067">
        <f>43889.5+5000</f>
        <v>48889.5</v>
      </c>
      <c r="T147" s="3067">
        <v>46517.58</v>
      </c>
      <c r="U147" s="3067">
        <v>39399.96</v>
      </c>
      <c r="V147" s="3067">
        <v>18738.97</v>
      </c>
      <c r="W147" s="3086"/>
      <c r="X147" s="3062"/>
      <c r="Y147" s="3062"/>
      <c r="Z147" s="3062"/>
      <c r="AD147" s="3062"/>
      <c r="AE147" s="3062"/>
      <c r="AF147" s="3062"/>
      <c r="AG147" s="3062"/>
      <c r="AH147" s="3062"/>
      <c r="AI147" s="3062"/>
      <c r="AJ147" s="3062"/>
      <c r="AK147" s="3062"/>
    </row>
    <row r="148" spans="1:37" s="3063" customFormat="1">
      <c r="A148" s="3087"/>
      <c r="B148" s="3821">
        <v>649000</v>
      </c>
      <c r="C148" s="3085" t="s">
        <v>7364</v>
      </c>
      <c r="D148" s="3085"/>
      <c r="E148" s="3085"/>
      <c r="F148" s="3085"/>
      <c r="G148" s="3088"/>
      <c r="H148" s="3067"/>
      <c r="I148" s="3067"/>
      <c r="J148" s="3067"/>
      <c r="K148" s="3067"/>
      <c r="L148" s="3067"/>
      <c r="M148" s="3067"/>
      <c r="N148" s="3067"/>
      <c r="O148" s="3067"/>
      <c r="P148" s="3067"/>
      <c r="Q148" s="3067"/>
      <c r="R148" s="3067"/>
      <c r="S148" s="3067"/>
      <c r="T148" s="3067"/>
      <c r="U148" s="3067">
        <v>23739.919999999998</v>
      </c>
      <c r="V148" s="3067">
        <v>22589.439999999999</v>
      </c>
      <c r="W148" s="3086"/>
      <c r="X148" s="3062"/>
      <c r="Y148" s="3062"/>
      <c r="Z148" s="3062"/>
      <c r="AD148" s="3062"/>
      <c r="AE148" s="3062"/>
      <c r="AF148" s="3062"/>
      <c r="AG148" s="3062"/>
      <c r="AH148" s="3062"/>
      <c r="AI148" s="3062"/>
      <c r="AJ148" s="3062"/>
      <c r="AK148" s="3062"/>
    </row>
    <row r="149" spans="1:37" s="3063" customFormat="1">
      <c r="A149" s="3087"/>
      <c r="B149" s="3821">
        <v>649605</v>
      </c>
      <c r="C149" s="3085" t="s">
        <v>7365</v>
      </c>
      <c r="D149" s="3085"/>
      <c r="E149" s="3085"/>
      <c r="F149" s="3085"/>
      <c r="G149" s="3088"/>
      <c r="H149" s="3067"/>
      <c r="I149" s="3067"/>
      <c r="J149" s="3067"/>
      <c r="K149" s="3067"/>
      <c r="L149" s="3067"/>
      <c r="M149" s="3067"/>
      <c r="N149" s="3067"/>
      <c r="O149" s="3067"/>
      <c r="P149" s="3067"/>
      <c r="Q149" s="3067"/>
      <c r="R149" s="3067"/>
      <c r="S149" s="3067"/>
      <c r="T149" s="3067"/>
      <c r="U149" s="3067">
        <v>10000</v>
      </c>
      <c r="V149" s="3067">
        <v>5000</v>
      </c>
      <c r="W149" s="3086"/>
      <c r="X149" s="3062"/>
      <c r="Y149" s="3062"/>
      <c r="Z149" s="3062"/>
      <c r="AD149" s="3062"/>
      <c r="AE149" s="3062"/>
      <c r="AF149" s="3062"/>
      <c r="AG149" s="3062"/>
      <c r="AH149" s="3062"/>
      <c r="AI149" s="3062"/>
      <c r="AJ149" s="3062"/>
      <c r="AK149" s="3062"/>
    </row>
    <row r="150" spans="1:37" s="3063" customFormat="1">
      <c r="A150" s="3087"/>
      <c r="B150" s="3821">
        <v>649606</v>
      </c>
      <c r="C150" s="3085" t="s">
        <v>7366</v>
      </c>
      <c r="D150" s="3085"/>
      <c r="E150" s="3085"/>
      <c r="F150" s="3085"/>
      <c r="G150" s="3088"/>
      <c r="H150" s="3067"/>
      <c r="I150" s="3067"/>
      <c r="J150" s="3067"/>
      <c r="K150" s="3067"/>
      <c r="L150" s="3067"/>
      <c r="M150" s="3067"/>
      <c r="N150" s="3067"/>
      <c r="O150" s="3067"/>
      <c r="P150" s="3067"/>
      <c r="Q150" s="3067"/>
      <c r="R150" s="3067"/>
      <c r="S150" s="3067"/>
      <c r="T150" s="3067"/>
      <c r="U150" s="3067">
        <v>1223.56</v>
      </c>
      <c r="V150" s="3067">
        <v>749</v>
      </c>
      <c r="W150" s="3086"/>
      <c r="X150" s="3062"/>
      <c r="Y150" s="3062"/>
      <c r="Z150" s="3062"/>
      <c r="AD150" s="3062"/>
      <c r="AE150" s="3062"/>
      <c r="AF150" s="3062"/>
      <c r="AG150" s="3062"/>
      <c r="AH150" s="3062"/>
      <c r="AI150" s="3062"/>
      <c r="AJ150" s="3062"/>
      <c r="AK150" s="3062"/>
    </row>
    <row r="151" spans="1:37" s="3063" customFormat="1">
      <c r="A151" s="3087"/>
      <c r="B151" s="3821">
        <v>649608</v>
      </c>
      <c r="C151" s="3085" t="s">
        <v>8078</v>
      </c>
      <c r="D151" s="3085"/>
      <c r="E151" s="3085"/>
      <c r="F151" s="3085"/>
      <c r="G151" s="3088"/>
      <c r="H151" s="3067"/>
      <c r="I151" s="3067"/>
      <c r="J151" s="3067"/>
      <c r="K151" s="3067"/>
      <c r="L151" s="3067"/>
      <c r="M151" s="3067"/>
      <c r="N151" s="3067"/>
      <c r="O151" s="3067"/>
      <c r="P151" s="3067"/>
      <c r="Q151" s="3067"/>
      <c r="R151" s="3067"/>
      <c r="S151" s="3067"/>
      <c r="T151" s="3067"/>
      <c r="U151" s="3067"/>
      <c r="V151" s="3067">
        <v>2793.55</v>
      </c>
      <c r="W151" s="3086"/>
      <c r="X151" s="3062"/>
      <c r="Y151" s="3062"/>
      <c r="Z151" s="3062"/>
      <c r="AD151" s="3062"/>
      <c r="AE151" s="3062"/>
      <c r="AF151" s="3062"/>
      <c r="AG151" s="3062"/>
      <c r="AH151" s="3062"/>
      <c r="AI151" s="3062"/>
      <c r="AJ151" s="3062"/>
      <c r="AK151" s="3062"/>
    </row>
    <row r="152" spans="1:37" s="3063" customFormat="1">
      <c r="A152" s="3087" t="s">
        <v>1177</v>
      </c>
      <c r="B152" s="3821"/>
      <c r="C152" s="3085" t="s">
        <v>1178</v>
      </c>
      <c r="D152" s="3085"/>
      <c r="E152" s="3085"/>
      <c r="F152" s="3085"/>
      <c r="G152" s="3088"/>
      <c r="H152" s="3067">
        <v>93.1</v>
      </c>
      <c r="I152" s="3067">
        <v>93.1</v>
      </c>
      <c r="J152" s="3067">
        <v>139.65</v>
      </c>
      <c r="K152" s="3067">
        <v>139.65</v>
      </c>
      <c r="L152" s="3067">
        <v>139.65</v>
      </c>
      <c r="M152" s="3067">
        <v>139.65</v>
      </c>
      <c r="N152" s="3067">
        <v>145.13</v>
      </c>
      <c r="O152" s="3067"/>
      <c r="P152" s="3067"/>
      <c r="Q152" s="3067"/>
      <c r="R152" s="3067"/>
      <c r="S152" s="3067"/>
      <c r="T152" s="3067"/>
      <c r="U152" s="3067"/>
      <c r="V152" s="3067"/>
      <c r="W152" s="3086"/>
      <c r="X152" s="3062"/>
      <c r="Y152" s="3062"/>
      <c r="Z152" s="3062"/>
      <c r="AD152" s="3062"/>
      <c r="AE152" s="3062"/>
      <c r="AF152" s="3062"/>
      <c r="AG152" s="3062"/>
      <c r="AH152" s="3062"/>
      <c r="AI152" s="3062"/>
      <c r="AJ152" s="3062"/>
      <c r="AK152" s="3062"/>
    </row>
    <row r="153" spans="1:37" s="3063" customFormat="1">
      <c r="A153" s="3087" t="s">
        <v>1179</v>
      </c>
      <c r="B153" s="3821">
        <v>623400</v>
      </c>
      <c r="C153" s="3085" t="s">
        <v>1178</v>
      </c>
      <c r="D153" s="3085"/>
      <c r="E153" s="3085"/>
      <c r="F153" s="3085"/>
      <c r="G153" s="3088"/>
      <c r="H153" s="3067"/>
      <c r="I153" s="3067"/>
      <c r="J153" s="3067"/>
      <c r="K153" s="3067"/>
      <c r="L153" s="3067"/>
      <c r="M153" s="3067"/>
      <c r="N153" s="3067"/>
      <c r="O153" s="3067">
        <v>285.68</v>
      </c>
      <c r="P153" s="3067">
        <v>133.94</v>
      </c>
      <c r="Q153" s="3067">
        <v>135.13</v>
      </c>
      <c r="R153" s="3067">
        <v>130.63999999999999</v>
      </c>
      <c r="S153" s="3067">
        <v>150.44</v>
      </c>
      <c r="T153" s="3067">
        <v>101.71</v>
      </c>
      <c r="U153" s="3067">
        <v>46.55</v>
      </c>
      <c r="V153" s="3067">
        <v>54.39</v>
      </c>
      <c r="W153" s="3086"/>
      <c r="X153" s="3062"/>
      <c r="Y153" s="3062"/>
      <c r="Z153" s="3062"/>
      <c r="AD153" s="3062"/>
      <c r="AE153" s="3062"/>
      <c r="AF153" s="3062"/>
      <c r="AG153" s="3062"/>
      <c r="AH153" s="3062"/>
      <c r="AI153" s="3062"/>
      <c r="AJ153" s="3062"/>
      <c r="AK153" s="3062"/>
    </row>
    <row r="154" spans="1:37" s="3063" customFormat="1">
      <c r="A154" s="3087"/>
      <c r="B154" s="3821" t="s">
        <v>7371</v>
      </c>
      <c r="C154" s="3085" t="s">
        <v>7372</v>
      </c>
      <c r="D154" s="3085"/>
      <c r="E154" s="3085"/>
      <c r="F154" s="3085"/>
      <c r="G154" s="3088"/>
      <c r="H154" s="3067"/>
      <c r="I154" s="3067"/>
      <c r="J154" s="3067"/>
      <c r="K154" s="3067"/>
      <c r="L154" s="3067"/>
      <c r="M154" s="3067"/>
      <c r="N154" s="3067"/>
      <c r="O154" s="3067"/>
      <c r="P154" s="3067"/>
      <c r="Q154" s="3067"/>
      <c r="R154" s="3067"/>
      <c r="S154" s="3067"/>
      <c r="T154" s="3067"/>
      <c r="U154" s="3067">
        <v>46.55</v>
      </c>
      <c r="V154" s="3067">
        <v>54.39</v>
      </c>
      <c r="W154" s="3086"/>
      <c r="X154" s="3062"/>
      <c r="Y154" s="3062"/>
      <c r="Z154" s="3062"/>
      <c r="AD154" s="3062"/>
      <c r="AE154" s="3062"/>
      <c r="AF154" s="3062"/>
      <c r="AG154" s="3062"/>
      <c r="AH154" s="3062"/>
      <c r="AI154" s="3062"/>
      <c r="AJ154" s="3062"/>
      <c r="AK154" s="3062"/>
    </row>
    <row r="155" spans="1:37" s="3063" customFormat="1">
      <c r="A155" s="3087" t="s">
        <v>1180</v>
      </c>
      <c r="B155" s="3821"/>
      <c r="C155" s="3085" t="s">
        <v>1178</v>
      </c>
      <c r="D155" s="3085"/>
      <c r="E155" s="3085"/>
      <c r="F155" s="3085"/>
      <c r="G155" s="3088"/>
      <c r="H155" s="3067">
        <v>46.55</v>
      </c>
      <c r="I155" s="3067">
        <v>46.55</v>
      </c>
      <c r="J155" s="3067">
        <v>46.55</v>
      </c>
      <c r="K155" s="3067">
        <v>46.55</v>
      </c>
      <c r="L155" s="3067">
        <v>46.55</v>
      </c>
      <c r="M155" s="3067">
        <v>46.55</v>
      </c>
      <c r="N155" s="3067">
        <v>48.38</v>
      </c>
      <c r="O155" s="3067"/>
      <c r="P155" s="3067"/>
      <c r="Q155" s="3067"/>
      <c r="R155" s="3067"/>
      <c r="S155" s="3067"/>
      <c r="T155" s="3067"/>
      <c r="U155" s="3067"/>
      <c r="V155" s="3067"/>
      <c r="W155" s="3086"/>
      <c r="X155" s="3062"/>
      <c r="Y155" s="3062"/>
      <c r="Z155" s="3062"/>
      <c r="AD155" s="3062"/>
      <c r="AE155" s="3062"/>
      <c r="AF155" s="3062"/>
      <c r="AG155" s="3062"/>
      <c r="AH155" s="3062"/>
      <c r="AI155" s="3062"/>
      <c r="AJ155" s="3062"/>
      <c r="AK155" s="3062"/>
    </row>
    <row r="156" spans="1:37" s="3063" customFormat="1">
      <c r="A156" s="3089"/>
      <c r="B156" s="3822"/>
      <c r="C156" s="3090" t="s">
        <v>1181</v>
      </c>
      <c r="D156" s="3090"/>
      <c r="E156" s="3090"/>
      <c r="F156" s="3090"/>
      <c r="G156" s="3091"/>
      <c r="H156" s="3092">
        <f t="shared" ref="H156:W156" si="16">SUM(H141:H155)</f>
        <v>48639.65</v>
      </c>
      <c r="I156" s="3092">
        <f t="shared" si="16"/>
        <v>55634.65</v>
      </c>
      <c r="J156" s="3092">
        <f t="shared" si="16"/>
        <v>59278.200000000004</v>
      </c>
      <c r="K156" s="3092">
        <f t="shared" si="16"/>
        <v>83540.5</v>
      </c>
      <c r="L156" s="3092">
        <f t="shared" si="16"/>
        <v>73518.599999999991</v>
      </c>
      <c r="M156" s="3092">
        <f t="shared" si="16"/>
        <v>72461.2</v>
      </c>
      <c r="N156" s="3092">
        <f t="shared" si="16"/>
        <v>72946.510000000009</v>
      </c>
      <c r="O156" s="3092">
        <f t="shared" si="16"/>
        <v>40953.39</v>
      </c>
      <c r="P156" s="3092">
        <f t="shared" si="16"/>
        <v>53837.07</v>
      </c>
      <c r="Q156" s="3092">
        <f t="shared" si="16"/>
        <v>54135.779999999992</v>
      </c>
      <c r="R156" s="3092">
        <f t="shared" si="16"/>
        <v>45962.659999999996</v>
      </c>
      <c r="S156" s="3092">
        <f t="shared" si="16"/>
        <v>50804.19</v>
      </c>
      <c r="T156" s="3092">
        <f t="shared" si="16"/>
        <v>48512.62</v>
      </c>
      <c r="U156" s="3092">
        <f t="shared" si="16"/>
        <v>75706.540000000008</v>
      </c>
      <c r="V156" s="3092">
        <f t="shared" si="16"/>
        <v>51229.740000000005</v>
      </c>
      <c r="W156" s="3826">
        <f t="shared" si="16"/>
        <v>0</v>
      </c>
      <c r="X156" s="3062"/>
      <c r="Y156" s="3062"/>
      <c r="Z156" s="3062"/>
      <c r="AD156" s="3062"/>
      <c r="AE156" s="3062"/>
      <c r="AF156" s="3062"/>
      <c r="AG156" s="3062"/>
      <c r="AH156" s="3062"/>
      <c r="AI156" s="3062"/>
      <c r="AJ156" s="3062"/>
      <c r="AK156" s="3062"/>
    </row>
    <row r="157" spans="1:37" s="3063" customFormat="1">
      <c r="A157" s="3093" t="s">
        <v>47</v>
      </c>
      <c r="B157" s="3823"/>
      <c r="C157" s="3085"/>
      <c r="D157" s="3085"/>
      <c r="E157" s="3085"/>
      <c r="F157" s="3085"/>
      <c r="G157" s="3088"/>
      <c r="H157" s="3067"/>
      <c r="I157" s="3067"/>
      <c r="J157" s="3067"/>
      <c r="K157" s="3067"/>
      <c r="L157" s="3067"/>
      <c r="M157" s="3067"/>
      <c r="N157" s="3067"/>
      <c r="O157" s="3085"/>
      <c r="P157" s="3085"/>
      <c r="Q157" s="3085"/>
      <c r="R157" s="3067"/>
      <c r="S157" s="3067"/>
      <c r="T157" s="3067"/>
      <c r="U157" s="3067"/>
      <c r="V157" s="3067"/>
      <c r="W157" s="3086"/>
      <c r="X157" s="3062"/>
      <c r="Y157" s="3062"/>
      <c r="Z157" s="3062"/>
      <c r="AD157" s="3062"/>
      <c r="AE157" s="3062"/>
      <c r="AF157" s="3062"/>
      <c r="AG157" s="3062"/>
      <c r="AH157" s="3062"/>
      <c r="AI157" s="3062"/>
      <c r="AJ157" s="3062"/>
      <c r="AK157" s="3062"/>
    </row>
    <row r="158" spans="1:37" s="3063" customFormat="1">
      <c r="A158" s="3087"/>
      <c r="B158" s="3821"/>
      <c r="C158" s="3085" t="s">
        <v>1182</v>
      </c>
      <c r="D158" s="3085"/>
      <c r="E158" s="3085"/>
      <c r="F158" s="3085"/>
      <c r="G158" s="3088"/>
      <c r="H158" s="3067"/>
      <c r="I158" s="3067"/>
      <c r="J158" s="3067"/>
      <c r="K158" s="3067"/>
      <c r="L158" s="3067"/>
      <c r="M158" s="3067"/>
      <c r="N158" s="3067"/>
      <c r="O158" s="3067"/>
      <c r="P158" s="3067"/>
      <c r="Q158" s="3085"/>
      <c r="R158" s="3067"/>
      <c r="S158" s="3067"/>
      <c r="T158" s="3067"/>
      <c r="U158" s="3067"/>
      <c r="V158" s="3067"/>
      <c r="W158" s="3086"/>
      <c r="X158" s="3062"/>
      <c r="Y158" s="3062"/>
      <c r="Z158" s="3062"/>
      <c r="AD158" s="3062"/>
      <c r="AE158" s="3062"/>
      <c r="AF158" s="3062"/>
      <c r="AG158" s="3062"/>
      <c r="AH158" s="3062"/>
      <c r="AI158" s="3062"/>
      <c r="AJ158" s="3062"/>
      <c r="AK158" s="3062"/>
    </row>
    <row r="159" spans="1:37" s="3063" customFormat="1">
      <c r="A159" s="3087"/>
      <c r="B159" s="3821"/>
      <c r="C159" s="3085" t="s">
        <v>1183</v>
      </c>
      <c r="D159" s="3085"/>
      <c r="E159" s="3085"/>
      <c r="F159" s="3085"/>
      <c r="G159" s="3088"/>
      <c r="H159" s="3067"/>
      <c r="I159" s="3067"/>
      <c r="J159" s="3067"/>
      <c r="K159" s="3067"/>
      <c r="L159" s="3067"/>
      <c r="M159" s="3067"/>
      <c r="N159" s="3067"/>
      <c r="O159" s="3067"/>
      <c r="P159" s="3067"/>
      <c r="Q159" s="3085"/>
      <c r="R159" s="3067"/>
      <c r="S159" s="3067"/>
      <c r="T159" s="3067"/>
      <c r="U159" s="3067"/>
      <c r="V159" s="3067"/>
      <c r="W159" s="3086"/>
      <c r="X159" s="3062"/>
      <c r="Y159" s="3062"/>
      <c r="Z159" s="3062"/>
      <c r="AD159" s="3062"/>
      <c r="AE159" s="3062"/>
      <c r="AF159" s="3062"/>
      <c r="AG159" s="3062"/>
      <c r="AH159" s="3062"/>
      <c r="AI159" s="3062"/>
      <c r="AJ159" s="3062"/>
      <c r="AK159" s="3062"/>
    </row>
    <row r="160" spans="1:37" s="3063" customFormat="1">
      <c r="A160" s="3087"/>
      <c r="B160" s="3821"/>
      <c r="C160" s="3085" t="s">
        <v>1184</v>
      </c>
      <c r="D160" s="3085"/>
      <c r="E160" s="3085"/>
      <c r="F160" s="3085"/>
      <c r="G160" s="3088"/>
      <c r="H160" s="3067">
        <f t="shared" ref="H160:W160" si="17">H185</f>
        <v>0</v>
      </c>
      <c r="I160" s="3067">
        <f t="shared" si="17"/>
        <v>79.8</v>
      </c>
      <c r="J160" s="3067">
        <f t="shared" si="17"/>
        <v>79.8</v>
      </c>
      <c r="K160" s="3067">
        <f t="shared" si="17"/>
        <v>1745.3999999999999</v>
      </c>
      <c r="L160" s="3067">
        <f t="shared" si="17"/>
        <v>1745.3999999999999</v>
      </c>
      <c r="M160" s="3067">
        <f t="shared" si="17"/>
        <v>1745.3999999999999</v>
      </c>
      <c r="N160" s="3067">
        <f t="shared" si="17"/>
        <v>1665.6</v>
      </c>
      <c r="O160" s="3067">
        <f t="shared" si="17"/>
        <v>3422.87</v>
      </c>
      <c r="P160" s="3067">
        <f t="shared" si="17"/>
        <v>4627.6660000000002</v>
      </c>
      <c r="Q160" s="3067">
        <f t="shared" si="17"/>
        <v>4627.6660000000002</v>
      </c>
      <c r="R160" s="3067">
        <f t="shared" si="17"/>
        <v>4627.6660000000002</v>
      </c>
      <c r="S160" s="3067">
        <f t="shared" si="17"/>
        <v>4838.6660000000002</v>
      </c>
      <c r="T160" s="3067">
        <f t="shared" si="17"/>
        <v>3854.2369999999996</v>
      </c>
      <c r="U160" s="3067">
        <f t="shared" si="17"/>
        <v>983.84100000000001</v>
      </c>
      <c r="V160" s="3067">
        <f t="shared" si="17"/>
        <v>983.84100000000001</v>
      </c>
      <c r="W160" s="3086">
        <f t="shared" si="17"/>
        <v>211</v>
      </c>
      <c r="X160" s="3062"/>
      <c r="Y160" s="3062"/>
      <c r="Z160" s="3062"/>
      <c r="AD160" s="3062"/>
      <c r="AE160" s="3062"/>
      <c r="AF160" s="3062"/>
      <c r="AG160" s="3062"/>
      <c r="AH160" s="3062"/>
      <c r="AI160" s="3062"/>
      <c r="AJ160" s="3062"/>
      <c r="AK160" s="3062"/>
    </row>
    <row r="161" spans="1:37" s="3063" customFormat="1">
      <c r="A161" s="3089"/>
      <c r="B161" s="3822"/>
      <c r="C161" s="3090" t="s">
        <v>1185</v>
      </c>
      <c r="D161" s="3090"/>
      <c r="E161" s="3090"/>
      <c r="F161" s="3090"/>
      <c r="G161" s="3091"/>
      <c r="H161" s="3092">
        <f t="shared" ref="H161:S161" si="18">SUM(H158:H160)</f>
        <v>0</v>
      </c>
      <c r="I161" s="3092">
        <f t="shared" si="18"/>
        <v>79.8</v>
      </c>
      <c r="J161" s="3092">
        <f t="shared" si="18"/>
        <v>79.8</v>
      </c>
      <c r="K161" s="3092">
        <f t="shared" si="18"/>
        <v>1745.3999999999999</v>
      </c>
      <c r="L161" s="3092">
        <f t="shared" si="18"/>
        <v>1745.3999999999999</v>
      </c>
      <c r="M161" s="3092">
        <f t="shared" si="18"/>
        <v>1745.3999999999999</v>
      </c>
      <c r="N161" s="3092">
        <f t="shared" si="18"/>
        <v>1665.6</v>
      </c>
      <c r="O161" s="3092">
        <f t="shared" si="18"/>
        <v>3422.87</v>
      </c>
      <c r="P161" s="3092">
        <f t="shared" si="18"/>
        <v>4627.6660000000002</v>
      </c>
      <c r="Q161" s="3092">
        <f t="shared" si="18"/>
        <v>4627.6660000000002</v>
      </c>
      <c r="R161" s="3092">
        <f t="shared" si="18"/>
        <v>4627.6660000000002</v>
      </c>
      <c r="S161" s="3092">
        <f t="shared" si="18"/>
        <v>4838.6660000000002</v>
      </c>
      <c r="T161" s="3092">
        <f>SUM(T158:T160)</f>
        <v>3854.2369999999996</v>
      </c>
      <c r="U161" s="3092">
        <f>SUM(U158:U160)</f>
        <v>983.84100000000001</v>
      </c>
      <c r="V161" s="3092">
        <f>SUM(V158:V160)</f>
        <v>983.84100000000001</v>
      </c>
      <c r="W161" s="3826">
        <f>SUM(W158:W160)</f>
        <v>211</v>
      </c>
      <c r="X161" s="3062"/>
      <c r="Y161" s="3062"/>
      <c r="Z161" s="3062"/>
      <c r="AD161" s="3062"/>
      <c r="AE161" s="3062"/>
      <c r="AF161" s="3062"/>
      <c r="AG161" s="3062"/>
      <c r="AH161" s="3062"/>
      <c r="AI161" s="3062"/>
      <c r="AJ161" s="3062"/>
      <c r="AK161" s="3062"/>
    </row>
    <row r="162" spans="1:37" s="3063" customFormat="1">
      <c r="A162" s="3095"/>
      <c r="B162" s="3824"/>
      <c r="C162" s="3096" t="s">
        <v>1186</v>
      </c>
      <c r="D162" s="3096"/>
      <c r="E162" s="3096"/>
      <c r="F162" s="3096"/>
      <c r="G162" s="3097"/>
      <c r="H162" s="3098">
        <f t="shared" ref="H162:S162" si="19">H82+H139+H156+H161</f>
        <v>250839.95999999993</v>
      </c>
      <c r="I162" s="3098">
        <f t="shared" si="19"/>
        <v>319644</v>
      </c>
      <c r="J162" s="3098">
        <f t="shared" si="19"/>
        <v>262455.88</v>
      </c>
      <c r="K162" s="3098">
        <f t="shared" si="19"/>
        <v>305339.45000000007</v>
      </c>
      <c r="L162" s="3098">
        <f t="shared" si="19"/>
        <v>282639.35999999999</v>
      </c>
      <c r="M162" s="3098">
        <f t="shared" si="19"/>
        <v>283673.94</v>
      </c>
      <c r="N162" s="3098">
        <f t="shared" si="19"/>
        <v>290406.52999999997</v>
      </c>
      <c r="O162" s="3098">
        <f t="shared" si="19"/>
        <v>264906</v>
      </c>
      <c r="P162" s="3098">
        <f t="shared" si="19"/>
        <v>276791.95600000001</v>
      </c>
      <c r="Q162" s="3098">
        <f t="shared" si="19"/>
        <v>270329.20600000001</v>
      </c>
      <c r="R162" s="3098">
        <f t="shared" si="19"/>
        <v>263393.82600000006</v>
      </c>
      <c r="S162" s="3098">
        <f t="shared" si="19"/>
        <v>230174.89599999998</v>
      </c>
      <c r="T162" s="3098">
        <f>T82+T139+T156+T161</f>
        <v>254833.367</v>
      </c>
      <c r="U162" s="3098">
        <f>U82+U139+U156+U161</f>
        <v>239534.41099999999</v>
      </c>
      <c r="V162" s="3098">
        <f>V82+V139+V156+V161</f>
        <v>316962.15099999995</v>
      </c>
      <c r="W162" s="3828">
        <f>W82+W139+W156+W161</f>
        <v>211</v>
      </c>
      <c r="X162" s="3062"/>
      <c r="Y162" s="3062"/>
      <c r="Z162" s="3062"/>
      <c r="AD162" s="3062"/>
      <c r="AE162" s="3062"/>
      <c r="AF162" s="3062"/>
      <c r="AG162" s="3062"/>
      <c r="AH162" s="3062"/>
      <c r="AI162" s="3062"/>
      <c r="AJ162" s="3062"/>
      <c r="AK162" s="3062"/>
    </row>
    <row r="163" spans="1:37" s="3063" customFormat="1">
      <c r="A163" s="3087"/>
      <c r="B163" s="3821"/>
      <c r="C163" s="3085"/>
      <c r="D163" s="3085"/>
      <c r="E163" s="3085"/>
      <c r="F163" s="3085"/>
      <c r="G163" s="3088"/>
      <c r="H163" s="3062"/>
      <c r="I163" s="3062"/>
      <c r="J163" s="3062"/>
      <c r="K163" s="3062"/>
      <c r="L163" s="3062"/>
      <c r="M163" s="3062"/>
      <c r="N163" s="3062"/>
      <c r="O163" s="3062"/>
      <c r="R163" s="3062"/>
      <c r="S163" s="3062"/>
      <c r="T163" s="3062"/>
      <c r="U163" s="3062"/>
      <c r="V163" s="3062"/>
      <c r="W163" s="3062"/>
      <c r="X163" s="3062"/>
      <c r="Y163" s="3062"/>
      <c r="Z163" s="3062"/>
      <c r="AD163" s="3062"/>
      <c r="AE163" s="3062"/>
      <c r="AF163" s="3062"/>
      <c r="AG163" s="3062"/>
      <c r="AH163" s="3062"/>
      <c r="AI163" s="3062"/>
      <c r="AJ163" s="3062"/>
      <c r="AK163" s="3062"/>
    </row>
    <row r="164" spans="1:37" s="3063" customFormat="1">
      <c r="A164" s="3078" t="s">
        <v>1187</v>
      </c>
      <c r="B164" s="3819"/>
      <c r="C164" s="3079"/>
      <c r="D164" s="3079"/>
      <c r="E164" s="3079"/>
      <c r="F164" s="3079"/>
      <c r="G164" s="3101"/>
      <c r="H164" s="3102"/>
      <c r="I164" s="3102"/>
      <c r="J164" s="3102"/>
      <c r="K164" s="3102"/>
      <c r="L164" s="3102"/>
      <c r="M164" s="3102"/>
      <c r="N164" s="3102"/>
      <c r="O164" s="3102"/>
      <c r="P164" s="3102"/>
      <c r="Q164" s="3102"/>
      <c r="R164" s="3102"/>
      <c r="S164" s="3102"/>
      <c r="T164" s="3102"/>
      <c r="U164" s="3102"/>
      <c r="V164" s="3102"/>
      <c r="W164" s="3081"/>
      <c r="X164" s="3062"/>
      <c r="Y164" s="3062"/>
      <c r="Z164" s="3062"/>
      <c r="AD164" s="3062"/>
      <c r="AE164" s="3062"/>
      <c r="AF164" s="3062"/>
      <c r="AG164" s="3062"/>
      <c r="AH164" s="3062"/>
      <c r="AI164" s="3062"/>
      <c r="AJ164" s="3062"/>
      <c r="AK164" s="3062"/>
    </row>
    <row r="165" spans="1:37" s="3063" customFormat="1">
      <c r="A165" s="3087"/>
      <c r="B165" s="3821"/>
      <c r="C165" s="3085" t="s">
        <v>1188</v>
      </c>
      <c r="D165" s="3085"/>
      <c r="E165" s="3085"/>
      <c r="F165" s="3085"/>
      <c r="G165" s="3088"/>
      <c r="H165" s="3067">
        <v>399</v>
      </c>
      <c r="I165" s="3103"/>
      <c r="J165" s="3067">
        <v>8328</v>
      </c>
      <c r="K165" s="3067"/>
      <c r="L165" s="3067"/>
      <c r="M165" s="3067"/>
      <c r="N165" s="3067"/>
      <c r="O165" s="3067"/>
      <c r="P165" s="3067">
        <v>14351.98</v>
      </c>
      <c r="Q165" s="3067"/>
      <c r="R165" s="3067"/>
      <c r="S165" s="3067"/>
      <c r="T165" s="3067"/>
      <c r="U165" s="3067"/>
      <c r="V165" s="3067"/>
      <c r="W165" s="3086"/>
      <c r="X165" s="3062"/>
      <c r="Y165" s="3062"/>
      <c r="Z165" s="3062"/>
      <c r="AD165" s="3062"/>
      <c r="AE165" s="3062"/>
      <c r="AF165" s="3062"/>
      <c r="AG165" s="3062"/>
      <c r="AH165" s="3062"/>
      <c r="AI165" s="3062"/>
      <c r="AJ165" s="3062"/>
      <c r="AK165" s="3062"/>
    </row>
    <row r="166" spans="1:37" s="3063" customFormat="1">
      <c r="A166" s="3087"/>
      <c r="B166" s="3821"/>
      <c r="C166" s="3085" t="s">
        <v>1189</v>
      </c>
      <c r="D166" s="3085"/>
      <c r="E166" s="3085"/>
      <c r="F166" s="3085"/>
      <c r="G166" s="3088"/>
      <c r="H166" s="3067"/>
      <c r="I166" s="3067"/>
      <c r="J166" s="3067"/>
      <c r="K166" s="3067"/>
      <c r="L166" s="3067"/>
      <c r="M166" s="3067"/>
      <c r="N166" s="3067"/>
      <c r="O166" s="3067">
        <v>4922.1499999999996</v>
      </c>
      <c r="P166" s="3067"/>
      <c r="Q166" s="3067"/>
      <c r="R166" s="3067"/>
      <c r="S166" s="3067">
        <f>E175</f>
        <v>1055.01</v>
      </c>
      <c r="T166" s="3067"/>
      <c r="U166" s="3067"/>
      <c r="V166" s="3067"/>
      <c r="W166" s="3086"/>
      <c r="X166" s="3062"/>
      <c r="Y166" s="3062"/>
      <c r="Z166" s="3062"/>
      <c r="AD166" s="3062"/>
      <c r="AE166" s="3062"/>
      <c r="AF166" s="3062"/>
      <c r="AG166" s="3062"/>
      <c r="AH166" s="3062"/>
      <c r="AI166" s="3062"/>
      <c r="AJ166" s="3062"/>
      <c r="AK166" s="3062"/>
    </row>
    <row r="167" spans="1:37" s="3063" customFormat="1">
      <c r="A167" s="3087"/>
      <c r="B167" s="3821"/>
      <c r="C167" s="3085" t="s">
        <v>1190</v>
      </c>
      <c r="D167" s="3085"/>
      <c r="E167" s="3085"/>
      <c r="F167" s="3085"/>
      <c r="G167" s="3088"/>
      <c r="H167" s="3067"/>
      <c r="I167" s="3067"/>
      <c r="J167" s="3067"/>
      <c r="K167" s="3067"/>
      <c r="L167" s="3067"/>
      <c r="M167" s="3067"/>
      <c r="N167" s="3067"/>
      <c r="O167" s="3067">
        <v>7728.41</v>
      </c>
      <c r="P167" s="3085"/>
      <c r="Q167" s="3085"/>
      <c r="R167" s="3067"/>
      <c r="S167" s="3067"/>
      <c r="T167" s="3067"/>
      <c r="U167" s="3067"/>
      <c r="V167" s="3067"/>
      <c r="W167" s="3086"/>
      <c r="X167" s="3062"/>
      <c r="Y167" s="3062"/>
      <c r="Z167" s="3062"/>
      <c r="AD167" s="3062"/>
      <c r="AE167" s="3062"/>
      <c r="AF167" s="3062"/>
      <c r="AG167" s="3062"/>
      <c r="AH167" s="3062"/>
      <c r="AI167" s="3062"/>
      <c r="AJ167" s="3062"/>
      <c r="AK167" s="3062"/>
    </row>
    <row r="168" spans="1:37" s="3063" customFormat="1">
      <c r="A168" s="3087"/>
      <c r="B168" s="3821"/>
      <c r="C168" s="3085" t="s">
        <v>1191</v>
      </c>
      <c r="D168" s="3085"/>
      <c r="E168" s="3085"/>
      <c r="F168" s="3085"/>
      <c r="G168" s="3088"/>
      <c r="H168" s="3067"/>
      <c r="I168" s="3067"/>
      <c r="J168" s="3067"/>
      <c r="K168" s="3067"/>
      <c r="L168" s="3067"/>
      <c r="M168" s="3067"/>
      <c r="N168" s="3067"/>
      <c r="O168" s="3085"/>
      <c r="P168" s="3085"/>
      <c r="Q168" s="3085">
        <v>181.5</v>
      </c>
      <c r="R168" s="3067"/>
      <c r="S168" s="3067"/>
      <c r="T168" s="3067">
        <v>22153.48</v>
      </c>
      <c r="U168" s="3067">
        <v>20885</v>
      </c>
      <c r="V168" s="3067">
        <v>14424</v>
      </c>
      <c r="W168" s="3086"/>
      <c r="X168" s="3062"/>
      <c r="Y168" s="3062"/>
      <c r="Z168" s="3062"/>
      <c r="AD168" s="3062"/>
      <c r="AE168" s="3062"/>
      <c r="AF168" s="3062"/>
      <c r="AG168" s="3062"/>
      <c r="AH168" s="3062"/>
      <c r="AI168" s="3062"/>
      <c r="AJ168" s="3062"/>
      <c r="AK168" s="3062"/>
    </row>
    <row r="169" spans="1:37" s="3063" customFormat="1">
      <c r="A169" s="3095"/>
      <c r="B169" s="3824"/>
      <c r="C169" s="3096" t="s">
        <v>1192</v>
      </c>
      <c r="D169" s="3096"/>
      <c r="E169" s="3096"/>
      <c r="F169" s="3096"/>
      <c r="G169" s="3097"/>
      <c r="H169" s="3098">
        <f t="shared" ref="H169:W169" si="20">SUM(H165:H168)</f>
        <v>399</v>
      </c>
      <c r="I169" s="3098">
        <f t="shared" si="20"/>
        <v>0</v>
      </c>
      <c r="J169" s="3098">
        <f t="shared" si="20"/>
        <v>8328</v>
      </c>
      <c r="K169" s="3098">
        <f t="shared" si="20"/>
        <v>0</v>
      </c>
      <c r="L169" s="3098">
        <f t="shared" si="20"/>
        <v>0</v>
      </c>
      <c r="M169" s="3098">
        <f t="shared" si="20"/>
        <v>0</v>
      </c>
      <c r="N169" s="3098">
        <f t="shared" si="20"/>
        <v>0</v>
      </c>
      <c r="O169" s="3098">
        <f t="shared" si="20"/>
        <v>12650.56</v>
      </c>
      <c r="P169" s="3098">
        <f t="shared" si="20"/>
        <v>14351.98</v>
      </c>
      <c r="Q169" s="3098">
        <f t="shared" si="20"/>
        <v>181.5</v>
      </c>
      <c r="R169" s="3098">
        <f t="shared" si="20"/>
        <v>0</v>
      </c>
      <c r="S169" s="3098">
        <f t="shared" si="20"/>
        <v>1055.01</v>
      </c>
      <c r="T169" s="3098">
        <f t="shared" si="20"/>
        <v>22153.48</v>
      </c>
      <c r="U169" s="3098">
        <f t="shared" si="20"/>
        <v>20885</v>
      </c>
      <c r="V169" s="3098">
        <f t="shared" si="20"/>
        <v>14424</v>
      </c>
      <c r="W169" s="3828">
        <f t="shared" si="20"/>
        <v>0</v>
      </c>
      <c r="X169" s="3062"/>
      <c r="Y169" s="3062"/>
      <c r="Z169" s="3062"/>
      <c r="AD169" s="3062"/>
      <c r="AE169" s="3062"/>
      <c r="AF169" s="3062"/>
      <c r="AG169" s="3062"/>
      <c r="AH169" s="3062"/>
      <c r="AI169" s="3062"/>
      <c r="AJ169" s="3062"/>
      <c r="AK169" s="3062"/>
    </row>
    <row r="170" spans="1:37" s="3063" customFormat="1">
      <c r="A170" s="3072"/>
      <c r="B170" s="3072"/>
      <c r="H170" s="3062"/>
      <c r="I170" s="3062"/>
      <c r="J170" s="3062"/>
      <c r="K170" s="3062"/>
      <c r="L170" s="3062"/>
      <c r="M170" s="3062"/>
      <c r="N170" s="3062"/>
      <c r="R170" s="3062"/>
      <c r="S170" s="3062"/>
      <c r="T170" s="3062"/>
      <c r="U170" s="3062"/>
      <c r="V170" s="3062"/>
      <c r="W170" s="3062"/>
      <c r="X170" s="3062"/>
      <c r="Y170" s="3062"/>
      <c r="Z170" s="3062"/>
      <c r="AD170" s="3062"/>
      <c r="AE170" s="3062"/>
      <c r="AF170" s="3062"/>
      <c r="AG170" s="3062"/>
      <c r="AH170" s="3062"/>
      <c r="AI170" s="3062"/>
      <c r="AJ170" s="3062"/>
      <c r="AK170" s="3062"/>
    </row>
    <row r="171" spans="1:37" s="3063" customFormat="1">
      <c r="A171" s="3072"/>
      <c r="B171" s="3072"/>
      <c r="H171" s="3062"/>
      <c r="I171" s="3062"/>
      <c r="J171" s="3062"/>
      <c r="K171" s="3062"/>
      <c r="L171" s="3062"/>
      <c r="M171" s="3062"/>
      <c r="N171" s="3062"/>
      <c r="R171" s="3062"/>
      <c r="S171" s="3062"/>
      <c r="T171" s="3062"/>
      <c r="U171" s="3062"/>
      <c r="V171" s="3062"/>
      <c r="W171" s="3062"/>
      <c r="X171" s="3062"/>
      <c r="Y171" s="3062"/>
      <c r="Z171" s="3062"/>
      <c r="AD171" s="3062"/>
      <c r="AE171" s="3062"/>
      <c r="AF171" s="3062"/>
      <c r="AG171" s="3062"/>
      <c r="AH171" s="3062"/>
      <c r="AI171" s="3062"/>
      <c r="AJ171" s="3062"/>
      <c r="AK171" s="3062"/>
    </row>
    <row r="172" spans="1:37" s="3063" customFormat="1">
      <c r="A172" s="3104"/>
      <c r="B172" s="3104"/>
      <c r="D172" s="3105"/>
      <c r="E172" s="3105"/>
      <c r="F172" s="3105"/>
      <c r="G172" s="3105"/>
      <c r="H172" s="3062"/>
      <c r="I172" s="3062"/>
      <c r="J172" s="3062"/>
      <c r="K172" s="3062"/>
      <c r="L172" s="3062"/>
      <c r="M172" s="3062"/>
      <c r="N172" s="3062"/>
      <c r="R172" s="3062"/>
      <c r="S172" s="3062"/>
      <c r="T172" s="3062"/>
      <c r="U172" s="3062"/>
      <c r="V172" s="3062"/>
      <c r="W172" s="3062"/>
      <c r="X172" s="3062"/>
      <c r="Y172" s="3062"/>
      <c r="Z172" s="3062"/>
      <c r="AD172" s="3062"/>
      <c r="AE172" s="3062"/>
      <c r="AF172" s="3062"/>
      <c r="AG172" s="3062"/>
      <c r="AH172" s="3062"/>
      <c r="AI172" s="3062"/>
      <c r="AJ172" s="3062"/>
      <c r="AK172" s="3062"/>
    </row>
    <row r="173" spans="1:37" s="3063" customFormat="1">
      <c r="A173" s="3106"/>
      <c r="B173" s="3106"/>
      <c r="C173" s="3107"/>
      <c r="D173" s="3108"/>
      <c r="E173" s="3109"/>
      <c r="F173" s="3109" t="s">
        <v>1194</v>
      </c>
      <c r="G173" s="3110" t="s">
        <v>1195</v>
      </c>
      <c r="H173" s="3111">
        <v>2007</v>
      </c>
      <c r="I173" s="3111">
        <v>2008</v>
      </c>
      <c r="J173" s="3111">
        <v>2009</v>
      </c>
      <c r="K173" s="3111">
        <v>2010</v>
      </c>
      <c r="L173" s="3111">
        <v>2011</v>
      </c>
      <c r="M173" s="3111">
        <v>2012</v>
      </c>
      <c r="N173" s="3111">
        <v>2013</v>
      </c>
      <c r="O173" s="3111">
        <v>2014</v>
      </c>
      <c r="P173" s="3111">
        <v>2015</v>
      </c>
      <c r="Q173" s="3111">
        <v>2016</v>
      </c>
      <c r="R173" s="3111">
        <v>2017</v>
      </c>
      <c r="S173" s="3111">
        <v>2018</v>
      </c>
      <c r="T173" s="3111">
        <v>2019</v>
      </c>
      <c r="U173" s="3111">
        <v>2020</v>
      </c>
      <c r="V173" s="3111">
        <v>2021</v>
      </c>
      <c r="W173" s="3112"/>
      <c r="AD173" s="3062"/>
      <c r="AE173" s="3062"/>
      <c r="AF173" s="3062"/>
      <c r="AG173" s="3062"/>
      <c r="AH173" s="3062"/>
      <c r="AI173" s="3062"/>
      <c r="AJ173" s="3062"/>
      <c r="AK173" s="3062"/>
    </row>
    <row r="174" spans="1:37" s="3063" customFormat="1">
      <c r="A174" s="3113"/>
      <c r="B174" s="3116"/>
      <c r="C174" s="3114" t="s">
        <v>1193</v>
      </c>
      <c r="D174" s="3085"/>
      <c r="E174" s="3067"/>
      <c r="F174" s="3067"/>
      <c r="G174" s="3115"/>
      <c r="H174" s="3067"/>
      <c r="I174" s="3067"/>
      <c r="J174" s="3067"/>
      <c r="K174" s="3067"/>
      <c r="L174" s="3067"/>
      <c r="M174" s="3067"/>
      <c r="N174" s="3067"/>
      <c r="O174" s="3067"/>
      <c r="P174" s="3067"/>
      <c r="Q174" s="3067"/>
      <c r="R174" s="3067"/>
      <c r="S174" s="3067"/>
      <c r="T174" s="3067"/>
      <c r="U174" s="3067"/>
      <c r="V174" s="3067"/>
      <c r="W174" s="3086"/>
      <c r="AD174" s="3062"/>
      <c r="AE174" s="3062"/>
      <c r="AF174" s="3062"/>
      <c r="AG174" s="3062"/>
      <c r="AH174" s="3062"/>
      <c r="AI174" s="3062"/>
      <c r="AJ174" s="3062"/>
      <c r="AK174" s="3062"/>
    </row>
    <row r="175" spans="1:37" s="3063" customFormat="1" ht="12" customHeight="1">
      <c r="A175" s="3116">
        <v>2018</v>
      </c>
      <c r="B175" s="3116"/>
      <c r="C175" s="3117" t="s">
        <v>1196</v>
      </c>
      <c r="D175" s="3085"/>
      <c r="E175" s="3067">
        <v>1055.01</v>
      </c>
      <c r="F175" s="3103" t="s">
        <v>1197</v>
      </c>
      <c r="G175" s="3086">
        <f>E175/5</f>
        <v>211.00200000000001</v>
      </c>
      <c r="H175" s="3067"/>
      <c r="I175" s="3067"/>
      <c r="J175" s="3067"/>
      <c r="K175" s="3067"/>
      <c r="L175" s="3067"/>
      <c r="M175" s="3067"/>
      <c r="N175" s="3067"/>
      <c r="O175" s="3067"/>
      <c r="P175" s="3067"/>
      <c r="Q175" s="3067"/>
      <c r="R175" s="3067"/>
      <c r="S175" s="3067">
        <v>211</v>
      </c>
      <c r="T175" s="3067">
        <v>211</v>
      </c>
      <c r="U175" s="3067">
        <v>211</v>
      </c>
      <c r="V175" s="3067">
        <v>211</v>
      </c>
      <c r="W175" s="3086">
        <v>211</v>
      </c>
      <c r="AD175" s="3062"/>
      <c r="AE175" s="3062"/>
      <c r="AF175" s="3062"/>
      <c r="AG175" s="3062"/>
      <c r="AH175" s="3062"/>
      <c r="AI175" s="3062"/>
      <c r="AJ175" s="3062"/>
      <c r="AK175" s="3062"/>
    </row>
    <row r="176" spans="1:37" s="3063" customFormat="1">
      <c r="A176" s="3116">
        <v>2015</v>
      </c>
      <c r="B176" s="3116"/>
      <c r="C176" s="3117" t="s">
        <v>1196</v>
      </c>
      <c r="D176" s="3085"/>
      <c r="E176" s="3067">
        <f>9189.95+5162.03</f>
        <v>14351.98</v>
      </c>
      <c r="F176" s="3103" t="s">
        <v>1197</v>
      </c>
      <c r="G176" s="3086">
        <f>E176/5</f>
        <v>2870.3959999999997</v>
      </c>
      <c r="H176" s="3067"/>
      <c r="I176" s="3067"/>
      <c r="J176" s="3067"/>
      <c r="K176" s="3067"/>
      <c r="L176" s="3067"/>
      <c r="M176" s="3067"/>
      <c r="N176" s="3067"/>
      <c r="O176" s="3067"/>
      <c r="P176" s="3067">
        <f>G176</f>
        <v>2870.3959999999997</v>
      </c>
      <c r="Q176" s="3067">
        <f>G176</f>
        <v>2870.3959999999997</v>
      </c>
      <c r="R176" s="3067">
        <f>G176</f>
        <v>2870.3959999999997</v>
      </c>
      <c r="S176" s="3067">
        <f>G176</f>
        <v>2870.3959999999997</v>
      </c>
      <c r="T176" s="3067">
        <f>G176</f>
        <v>2870.3959999999997</v>
      </c>
      <c r="U176" s="3067"/>
      <c r="V176" s="3067"/>
      <c r="W176" s="3086"/>
      <c r="AD176" s="3062"/>
      <c r="AE176" s="3062"/>
      <c r="AF176" s="3062"/>
      <c r="AG176" s="3062"/>
      <c r="AH176" s="3062"/>
      <c r="AI176" s="3062"/>
      <c r="AJ176" s="3062"/>
      <c r="AK176" s="3062"/>
    </row>
    <row r="177" spans="1:37" s="3063" customFormat="1">
      <c r="A177" s="3116">
        <v>2014</v>
      </c>
      <c r="B177" s="3116"/>
      <c r="C177" s="3117" t="s">
        <v>1190</v>
      </c>
      <c r="D177" s="3085"/>
      <c r="E177" s="3067">
        <v>7728.41</v>
      </c>
      <c r="F177" s="3103" t="s">
        <v>1198</v>
      </c>
      <c r="G177" s="3086">
        <f>E177/10</f>
        <v>772.84100000000001</v>
      </c>
      <c r="H177" s="3067"/>
      <c r="I177" s="3067"/>
      <c r="J177" s="3067"/>
      <c r="K177" s="3067"/>
      <c r="L177" s="3067"/>
      <c r="M177" s="3067"/>
      <c r="N177" s="3067"/>
      <c r="O177" s="3067">
        <v>772.84</v>
      </c>
      <c r="P177" s="3067">
        <v>772.84</v>
      </c>
      <c r="Q177" s="3067">
        <v>772.84</v>
      </c>
      <c r="R177" s="3067">
        <v>772.84</v>
      </c>
      <c r="S177" s="3067">
        <v>772.84</v>
      </c>
      <c r="T177" s="3067">
        <f>G177</f>
        <v>772.84100000000001</v>
      </c>
      <c r="U177" s="3067">
        <f>G177</f>
        <v>772.84100000000001</v>
      </c>
      <c r="V177" s="3067">
        <f>G177</f>
        <v>772.84100000000001</v>
      </c>
      <c r="W177" s="3086"/>
      <c r="AD177" s="3062"/>
      <c r="AE177" s="3062"/>
      <c r="AF177" s="3062"/>
      <c r="AG177" s="3062"/>
      <c r="AH177" s="3062"/>
      <c r="AI177" s="3062"/>
      <c r="AJ177" s="3062"/>
      <c r="AK177" s="3062"/>
    </row>
    <row r="178" spans="1:37" s="3063" customFormat="1">
      <c r="A178" s="3116"/>
      <c r="B178" s="3116"/>
      <c r="C178" s="3117" t="s">
        <v>1196</v>
      </c>
      <c r="D178" s="3085"/>
      <c r="E178" s="3067">
        <f>1718.52+3203.63</f>
        <v>4922.1499999999996</v>
      </c>
      <c r="F178" s="3103" t="s">
        <v>1197</v>
      </c>
      <c r="G178" s="3086">
        <f>E178/5</f>
        <v>984.43</v>
      </c>
      <c r="H178" s="3067"/>
      <c r="I178" s="3067"/>
      <c r="J178" s="3067"/>
      <c r="K178" s="3067"/>
      <c r="L178" s="3067"/>
      <c r="M178" s="3067"/>
      <c r="N178" s="3067"/>
      <c r="O178" s="3067">
        <v>984.43</v>
      </c>
      <c r="P178" s="3067">
        <v>984.43</v>
      </c>
      <c r="Q178" s="3067">
        <v>984.43</v>
      </c>
      <c r="R178" s="3067">
        <v>984.43</v>
      </c>
      <c r="S178" s="3067">
        <v>984.43</v>
      </c>
      <c r="T178" s="3067"/>
      <c r="U178" s="3067"/>
      <c r="V178" s="3067"/>
      <c r="W178" s="3086"/>
      <c r="AD178" s="3062"/>
      <c r="AE178" s="3062"/>
      <c r="AF178" s="3062"/>
      <c r="AG178" s="3062"/>
      <c r="AH178" s="3062"/>
      <c r="AI178" s="3062"/>
      <c r="AJ178" s="3062"/>
      <c r="AK178" s="3062"/>
    </row>
    <row r="179" spans="1:37" s="3063" customFormat="1">
      <c r="A179" s="3116">
        <v>2011</v>
      </c>
      <c r="B179" s="3116"/>
      <c r="C179" s="3117"/>
      <c r="D179" s="3085"/>
      <c r="E179" s="3067"/>
      <c r="F179" s="3103"/>
      <c r="G179" s="3118">
        <f>E179/5</f>
        <v>0</v>
      </c>
      <c r="H179" s="3067"/>
      <c r="I179" s="3067"/>
      <c r="J179" s="3067"/>
      <c r="K179" s="3067"/>
      <c r="L179" s="3067"/>
      <c r="M179" s="3067"/>
      <c r="N179" s="3067"/>
      <c r="O179" s="3067"/>
      <c r="P179" s="3067"/>
      <c r="Q179" s="3067"/>
      <c r="R179" s="3067"/>
      <c r="S179" s="3067"/>
      <c r="T179" s="3067"/>
      <c r="U179" s="3067"/>
      <c r="V179" s="3067"/>
      <c r="W179" s="3086"/>
      <c r="AD179" s="3062"/>
      <c r="AE179" s="3062"/>
      <c r="AF179" s="3062"/>
      <c r="AG179" s="3062"/>
      <c r="AH179" s="3062"/>
      <c r="AI179" s="3062"/>
      <c r="AJ179" s="3062"/>
      <c r="AK179" s="3062"/>
    </row>
    <row r="180" spans="1:37" s="3063" customFormat="1">
      <c r="A180" s="3116">
        <v>2010</v>
      </c>
      <c r="B180" s="3116"/>
      <c r="C180" s="3117"/>
      <c r="D180" s="3085"/>
      <c r="E180" s="3067"/>
      <c r="F180" s="3103"/>
      <c r="G180" s="3118">
        <f>E180/10</f>
        <v>0</v>
      </c>
      <c r="H180" s="3067"/>
      <c r="I180" s="3067"/>
      <c r="J180" s="3067"/>
      <c r="K180" s="3067"/>
      <c r="L180" s="3067"/>
      <c r="M180" s="3067"/>
      <c r="N180" s="3067"/>
      <c r="O180" s="3067"/>
      <c r="P180" s="3067"/>
      <c r="Q180" s="3067"/>
      <c r="R180" s="3067"/>
      <c r="S180" s="3067"/>
      <c r="T180" s="3067"/>
      <c r="U180" s="3067"/>
      <c r="V180" s="3067"/>
      <c r="W180" s="3086"/>
      <c r="X180" s="3062"/>
      <c r="Y180" s="3062"/>
      <c r="AC180" s="3062"/>
      <c r="AD180" s="3062"/>
      <c r="AE180" s="3062"/>
      <c r="AF180" s="3062"/>
      <c r="AG180" s="3062"/>
      <c r="AH180" s="3062"/>
      <c r="AI180" s="3062"/>
      <c r="AJ180" s="3062"/>
      <c r="AK180" s="3062"/>
    </row>
    <row r="181" spans="1:37" s="3063" customFormat="1">
      <c r="A181" s="3116">
        <v>2009</v>
      </c>
      <c r="B181" s="3116"/>
      <c r="C181" s="3117" t="s">
        <v>1199</v>
      </c>
      <c r="D181" s="3085"/>
      <c r="E181" s="3067">
        <v>8328</v>
      </c>
      <c r="F181" s="3103" t="s">
        <v>1197</v>
      </c>
      <c r="G181" s="3086">
        <f>E181/5</f>
        <v>1665.6</v>
      </c>
      <c r="H181" s="3067"/>
      <c r="I181" s="3067"/>
      <c r="J181" s="3067"/>
      <c r="K181" s="3067">
        <v>1665.6</v>
      </c>
      <c r="L181" s="3067">
        <v>1665.6</v>
      </c>
      <c r="M181" s="3067">
        <v>1665.6</v>
      </c>
      <c r="N181" s="3067">
        <v>1665.6</v>
      </c>
      <c r="O181" s="3067">
        <v>1665.6</v>
      </c>
      <c r="P181" s="3067"/>
      <c r="Q181" s="3067"/>
      <c r="R181" s="3067"/>
      <c r="S181" s="3067"/>
      <c r="T181" s="3067"/>
      <c r="U181" s="3067"/>
      <c r="V181" s="3067"/>
      <c r="W181" s="3086"/>
      <c r="AD181" s="3062"/>
      <c r="AE181" s="3062"/>
      <c r="AF181" s="3062"/>
      <c r="AG181" s="3062"/>
      <c r="AH181" s="3062"/>
      <c r="AI181" s="3062"/>
      <c r="AJ181" s="3062"/>
      <c r="AK181" s="3062"/>
    </row>
    <row r="182" spans="1:37" s="3063" customFormat="1">
      <c r="A182" s="3116">
        <v>2008</v>
      </c>
      <c r="B182" s="3116"/>
      <c r="C182" s="3117"/>
      <c r="D182" s="3085"/>
      <c r="E182" s="3067"/>
      <c r="F182" s="3103"/>
      <c r="G182" s="3086"/>
      <c r="H182" s="3067"/>
      <c r="I182" s="3067"/>
      <c r="J182" s="3067"/>
      <c r="K182" s="3067"/>
      <c r="L182" s="3067"/>
      <c r="M182" s="3067"/>
      <c r="N182" s="3067"/>
      <c r="O182" s="3067"/>
      <c r="P182" s="3067"/>
      <c r="Q182" s="3067"/>
      <c r="R182" s="3067"/>
      <c r="S182" s="3067"/>
      <c r="T182" s="3067"/>
      <c r="U182" s="3067"/>
      <c r="V182" s="3067"/>
      <c r="W182" s="3086"/>
      <c r="AD182" s="3062"/>
      <c r="AE182" s="3062"/>
      <c r="AF182" s="3062"/>
      <c r="AG182" s="3062"/>
      <c r="AH182" s="3062"/>
      <c r="AI182" s="3062"/>
      <c r="AJ182" s="3062"/>
      <c r="AK182" s="3062"/>
    </row>
    <row r="183" spans="1:37" s="3063" customFormat="1">
      <c r="A183" s="3116">
        <v>2007</v>
      </c>
      <c r="B183" s="3116"/>
      <c r="C183" s="3117" t="s">
        <v>1200</v>
      </c>
      <c r="D183" s="3085"/>
      <c r="E183" s="3067">
        <v>399</v>
      </c>
      <c r="F183" s="3103" t="s">
        <v>1197</v>
      </c>
      <c r="G183" s="3086">
        <f>E183/5</f>
        <v>79.8</v>
      </c>
      <c r="H183" s="3067"/>
      <c r="I183" s="3067">
        <v>79.8</v>
      </c>
      <c r="J183" s="3067">
        <v>79.8</v>
      </c>
      <c r="K183" s="3067">
        <v>79.8</v>
      </c>
      <c r="L183" s="3067">
        <v>79.8</v>
      </c>
      <c r="M183" s="3067">
        <v>79.8</v>
      </c>
      <c r="N183" s="3067"/>
      <c r="O183" s="3067"/>
      <c r="P183" s="3067"/>
      <c r="Q183" s="3067"/>
      <c r="R183" s="3067"/>
      <c r="S183" s="3067"/>
      <c r="T183" s="3067"/>
      <c r="U183" s="3067"/>
      <c r="V183" s="3067"/>
      <c r="W183" s="3086"/>
      <c r="AD183" s="3062"/>
      <c r="AE183" s="3062"/>
      <c r="AF183" s="3062"/>
      <c r="AG183" s="3062"/>
      <c r="AH183" s="3062"/>
      <c r="AI183" s="3062"/>
      <c r="AJ183" s="3062"/>
      <c r="AK183" s="3062"/>
    </row>
    <row r="184" spans="1:37" s="3063" customFormat="1">
      <c r="A184" s="3116"/>
      <c r="B184" s="3116"/>
      <c r="C184" s="3117"/>
      <c r="D184" s="3085"/>
      <c r="E184" s="3119">
        <f>SUM(E183:E183)</f>
        <v>399</v>
      </c>
      <c r="F184" s="3067"/>
      <c r="G184" s="3086"/>
      <c r="H184" s="3067"/>
      <c r="I184" s="3067"/>
      <c r="J184" s="3067"/>
      <c r="K184" s="3067"/>
      <c r="L184" s="3085"/>
      <c r="M184" s="3085"/>
      <c r="N184" s="3085"/>
      <c r="O184" s="3067"/>
      <c r="P184" s="3067"/>
      <c r="Q184" s="3067"/>
      <c r="R184" s="3067"/>
      <c r="S184" s="3067"/>
      <c r="T184" s="3067"/>
      <c r="U184" s="3067"/>
      <c r="V184" s="3067"/>
      <c r="W184" s="3086"/>
      <c r="AD184" s="3062"/>
      <c r="AE184" s="3062"/>
      <c r="AF184" s="3062"/>
      <c r="AG184" s="3062"/>
      <c r="AH184" s="3062"/>
      <c r="AI184" s="3062"/>
      <c r="AJ184" s="3062"/>
      <c r="AK184" s="3062"/>
    </row>
    <row r="185" spans="1:37" s="3063" customFormat="1">
      <c r="A185" s="3120"/>
      <c r="B185" s="3120"/>
      <c r="C185" s="3121" t="s">
        <v>1201</v>
      </c>
      <c r="D185" s="3096"/>
      <c r="E185" s="3099"/>
      <c r="F185" s="3099"/>
      <c r="G185" s="3100"/>
      <c r="H185" s="3098">
        <f>SUM(H179:H184)</f>
        <v>0</v>
      </c>
      <c r="I185" s="3098">
        <f>SUM(I179:I184)</f>
        <v>79.8</v>
      </c>
      <c r="J185" s="3098">
        <f t="shared" ref="J185:W185" si="21">SUM(J174:J184)</f>
        <v>79.8</v>
      </c>
      <c r="K185" s="3098">
        <f t="shared" si="21"/>
        <v>1745.3999999999999</v>
      </c>
      <c r="L185" s="3098">
        <f t="shared" si="21"/>
        <v>1745.3999999999999</v>
      </c>
      <c r="M185" s="3098">
        <f t="shared" si="21"/>
        <v>1745.3999999999999</v>
      </c>
      <c r="N185" s="3098">
        <f t="shared" si="21"/>
        <v>1665.6</v>
      </c>
      <c r="O185" s="3098">
        <f t="shared" si="21"/>
        <v>3422.87</v>
      </c>
      <c r="P185" s="3098">
        <f t="shared" si="21"/>
        <v>4627.6660000000002</v>
      </c>
      <c r="Q185" s="3098">
        <f t="shared" si="21"/>
        <v>4627.6660000000002</v>
      </c>
      <c r="R185" s="3098">
        <f t="shared" si="21"/>
        <v>4627.6660000000002</v>
      </c>
      <c r="S185" s="3098">
        <f t="shared" si="21"/>
        <v>4838.6660000000002</v>
      </c>
      <c r="T185" s="3098">
        <f t="shared" si="21"/>
        <v>3854.2369999999996</v>
      </c>
      <c r="U185" s="3098">
        <f t="shared" si="21"/>
        <v>983.84100000000001</v>
      </c>
      <c r="V185" s="3098">
        <f t="shared" si="21"/>
        <v>983.84100000000001</v>
      </c>
      <c r="W185" s="3828">
        <f t="shared" si="21"/>
        <v>211</v>
      </c>
      <c r="AD185" s="3062"/>
      <c r="AE185" s="3062"/>
      <c r="AF185" s="3062"/>
      <c r="AG185" s="3062"/>
      <c r="AH185" s="3062"/>
      <c r="AI185" s="3062"/>
      <c r="AJ185" s="3062"/>
      <c r="AK185" s="3062"/>
    </row>
    <row r="186" spans="1:37" s="3063" customFormat="1">
      <c r="A186" s="3072"/>
      <c r="B186" s="3072"/>
      <c r="H186" s="3062"/>
      <c r="I186" s="3062"/>
      <c r="J186" s="3062"/>
      <c r="K186" s="3062"/>
      <c r="L186" s="3062"/>
      <c r="M186" s="3062"/>
      <c r="N186" s="3062"/>
      <c r="R186" s="3062"/>
      <c r="S186" s="3062"/>
      <c r="T186" s="3062"/>
      <c r="U186" s="3062"/>
      <c r="V186" s="3062"/>
      <c r="W186" s="3062"/>
      <c r="X186" s="3062"/>
      <c r="Y186" s="3062"/>
      <c r="Z186" s="3062"/>
      <c r="AD186" s="3062"/>
      <c r="AE186" s="3062"/>
      <c r="AF186" s="3062"/>
      <c r="AG186" s="3062"/>
      <c r="AH186" s="3062"/>
      <c r="AI186" s="3062"/>
      <c r="AJ186" s="3062"/>
      <c r="AK186" s="3062"/>
    </row>
    <row r="187" spans="1:37" s="3063" customFormat="1">
      <c r="A187" s="3072"/>
      <c r="B187" s="3072"/>
      <c r="H187" s="3062"/>
      <c r="I187" s="3062"/>
      <c r="J187" s="3062"/>
      <c r="K187" s="3062"/>
      <c r="L187" s="3062"/>
      <c r="M187" s="3062"/>
      <c r="N187" s="3062"/>
      <c r="R187" s="3062"/>
      <c r="S187" s="3062"/>
      <c r="T187" s="3062"/>
      <c r="U187" s="3062"/>
      <c r="V187" s="3062"/>
      <c r="W187" s="3062"/>
      <c r="X187" s="3062"/>
      <c r="Y187" s="3062"/>
      <c r="Z187" s="3062"/>
      <c r="AD187" s="3062"/>
      <c r="AE187" s="3062"/>
      <c r="AF187" s="3062"/>
      <c r="AG187" s="3062"/>
      <c r="AH187" s="3062"/>
      <c r="AI187" s="3062"/>
      <c r="AJ187" s="3062"/>
      <c r="AK187" s="3062"/>
    </row>
    <row r="188" spans="1:37" s="3063" customFormat="1">
      <c r="A188" s="3071" t="s">
        <v>7070</v>
      </c>
      <c r="B188" s="3071"/>
      <c r="C188" s="3122"/>
      <c r="D188" s="3122"/>
      <c r="E188" s="3122"/>
      <c r="H188" s="3062"/>
      <c r="I188" s="3062"/>
      <c r="J188" s="3062"/>
      <c r="K188" s="3062"/>
      <c r="L188" s="3062"/>
      <c r="M188" s="3062"/>
      <c r="N188" s="3062"/>
      <c r="R188" s="3062"/>
      <c r="S188" s="3062"/>
      <c r="T188" s="3062"/>
      <c r="U188" s="3062"/>
      <c r="V188" s="3062"/>
      <c r="W188" s="3062"/>
      <c r="X188" s="3062"/>
      <c r="Y188" s="3062"/>
      <c r="Z188" s="3062"/>
      <c r="AB188" s="3062"/>
      <c r="AC188" s="3062"/>
      <c r="AD188" s="3062"/>
      <c r="AE188" s="3062"/>
      <c r="AF188" s="3062"/>
      <c r="AG188" s="3062"/>
      <c r="AH188" s="3062"/>
      <c r="AI188" s="3062"/>
      <c r="AJ188" s="3062"/>
      <c r="AK188" s="3062"/>
    </row>
    <row r="189" spans="1:37" s="3127" customFormat="1">
      <c r="A189" s="3123"/>
      <c r="B189" s="3123"/>
      <c r="C189" s="3124"/>
      <c r="D189" s="3124"/>
      <c r="E189" s="3124"/>
      <c r="F189" s="3124"/>
      <c r="G189" s="3124"/>
      <c r="H189" s="3125"/>
      <c r="I189" s="3125"/>
      <c r="J189" s="3125"/>
      <c r="K189" s="3125"/>
      <c r="L189" s="3125"/>
      <c r="M189" s="3125"/>
      <c r="N189" s="3125"/>
      <c r="O189" s="3124"/>
      <c r="P189" s="3124"/>
      <c r="Q189" s="3124"/>
      <c r="R189" s="3125"/>
      <c r="S189" s="3125"/>
      <c r="T189" s="3125"/>
      <c r="U189" s="3125"/>
      <c r="V189" s="3125"/>
      <c r="W189" s="3125"/>
      <c r="X189" s="3126"/>
      <c r="Y189" s="3126"/>
      <c r="Z189" s="3126"/>
      <c r="AB189" s="3126"/>
      <c r="AC189" s="3126"/>
      <c r="AD189" s="3126"/>
      <c r="AE189" s="3126"/>
      <c r="AF189" s="3126"/>
      <c r="AG189" s="3126"/>
      <c r="AH189" s="3126"/>
      <c r="AI189" s="3126"/>
      <c r="AJ189" s="3126"/>
      <c r="AK189" s="3126"/>
    </row>
    <row r="190" spans="1:37" s="3063" customFormat="1">
      <c r="A190" s="3128" t="s">
        <v>623</v>
      </c>
      <c r="B190" s="3129"/>
      <c r="C190" s="3129" t="s">
        <v>1002</v>
      </c>
      <c r="D190" s="3129"/>
      <c r="E190" s="3129"/>
      <c r="F190" s="3129"/>
      <c r="G190" s="3129"/>
      <c r="H190" s="3111">
        <v>2007</v>
      </c>
      <c r="I190" s="3111">
        <v>2008</v>
      </c>
      <c r="J190" s="3111">
        <v>2009</v>
      </c>
      <c r="K190" s="3111">
        <v>2010</v>
      </c>
      <c r="L190" s="3111">
        <v>2011</v>
      </c>
      <c r="M190" s="3111">
        <v>2012</v>
      </c>
      <c r="N190" s="3111">
        <v>2013</v>
      </c>
      <c r="O190" s="3111">
        <v>2014</v>
      </c>
      <c r="P190" s="3111">
        <v>2015</v>
      </c>
      <c r="Q190" s="3111">
        <v>2016</v>
      </c>
      <c r="R190" s="3111">
        <v>2017</v>
      </c>
      <c r="S190" s="3111">
        <v>2018</v>
      </c>
      <c r="T190" s="3111">
        <v>2019</v>
      </c>
      <c r="U190" s="3111">
        <v>2020</v>
      </c>
      <c r="V190" s="3111">
        <v>2021</v>
      </c>
      <c r="W190" s="3130">
        <v>2022</v>
      </c>
      <c r="X190" s="3077"/>
      <c r="Y190" s="3077"/>
      <c r="Z190" s="3077"/>
      <c r="AA190" s="3072"/>
      <c r="AB190" s="3062"/>
      <c r="AC190" s="3062"/>
      <c r="AD190" s="3062"/>
      <c r="AE190" s="3062"/>
      <c r="AF190" s="3062"/>
      <c r="AG190" s="3062"/>
      <c r="AH190" s="3062"/>
      <c r="AI190" s="3062"/>
      <c r="AJ190" s="3062"/>
      <c r="AK190" s="3062"/>
    </row>
    <row r="191" spans="1:37" s="3063" customFormat="1">
      <c r="A191" s="3078" t="s">
        <v>1003</v>
      </c>
      <c r="B191" s="3819"/>
      <c r="C191" s="3079"/>
      <c r="D191" s="3079"/>
      <c r="E191" s="3079"/>
      <c r="F191" s="3079"/>
      <c r="G191" s="3079"/>
      <c r="H191" s="3080"/>
      <c r="I191" s="3080"/>
      <c r="J191" s="3080"/>
      <c r="K191" s="3080"/>
      <c r="L191" s="3080"/>
      <c r="M191" s="3080"/>
      <c r="N191" s="3080"/>
      <c r="O191" s="3079"/>
      <c r="P191" s="3079"/>
      <c r="Q191" s="3079"/>
      <c r="R191" s="3080"/>
      <c r="S191" s="3080"/>
      <c r="T191" s="3080"/>
      <c r="U191" s="3080"/>
      <c r="V191" s="3080"/>
      <c r="W191" s="3081"/>
      <c r="X191" s="3062"/>
      <c r="Y191" s="3062"/>
      <c r="Z191" s="3062"/>
      <c r="AB191" s="3062"/>
      <c r="AC191" s="3062"/>
      <c r="AD191" s="3062"/>
      <c r="AE191" s="3062"/>
      <c r="AF191" s="3062"/>
      <c r="AG191" s="3062"/>
      <c r="AH191" s="3062"/>
      <c r="AI191" s="3062"/>
      <c r="AJ191" s="3062"/>
      <c r="AK191" s="3062"/>
    </row>
    <row r="192" spans="1:37" s="3063" customFormat="1">
      <c r="A192" s="3093" t="s">
        <v>1202</v>
      </c>
      <c r="B192" s="3823"/>
      <c r="C192" s="3085"/>
      <c r="D192" s="3085"/>
      <c r="E192" s="3085"/>
      <c r="F192" s="3085"/>
      <c r="G192" s="3085"/>
      <c r="H192" s="3067"/>
      <c r="I192" s="3067"/>
      <c r="J192" s="3067"/>
      <c r="K192" s="3067"/>
      <c r="L192" s="3067"/>
      <c r="M192" s="3067"/>
      <c r="N192" s="3067"/>
      <c r="O192" s="3085"/>
      <c r="P192" s="3085"/>
      <c r="Q192" s="3085"/>
      <c r="R192" s="3067"/>
      <c r="S192" s="3067"/>
      <c r="T192" s="3067"/>
      <c r="U192" s="3067"/>
      <c r="V192" s="3067"/>
      <c r="W192" s="3086"/>
      <c r="X192" s="3062"/>
      <c r="Y192" s="3062"/>
      <c r="Z192" s="3062"/>
      <c r="AB192" s="3062"/>
      <c r="AC192" s="3062"/>
      <c r="AD192" s="3062"/>
      <c r="AE192" s="3062"/>
      <c r="AF192" s="3062"/>
      <c r="AG192" s="3062"/>
      <c r="AH192" s="3062"/>
      <c r="AI192" s="3062"/>
      <c r="AJ192" s="3062"/>
      <c r="AK192" s="3062"/>
    </row>
    <row r="193" spans="1:37" s="3063" customFormat="1">
      <c r="A193" s="3087" t="s">
        <v>1203</v>
      </c>
      <c r="B193" s="3821"/>
      <c r="C193" s="3085" t="s">
        <v>1204</v>
      </c>
      <c r="D193" s="3085"/>
      <c r="E193" s="3085"/>
      <c r="F193" s="3085"/>
      <c r="G193" s="3085"/>
      <c r="H193" s="3067"/>
      <c r="I193" s="3067"/>
      <c r="J193" s="3067"/>
      <c r="K193" s="3067"/>
      <c r="L193" s="3067"/>
      <c r="M193" s="3067">
        <v>351.7</v>
      </c>
      <c r="N193" s="3067">
        <v>0</v>
      </c>
      <c r="O193" s="3085"/>
      <c r="P193" s="3085"/>
      <c r="Q193" s="3085"/>
      <c r="R193" s="3067"/>
      <c r="S193" s="3067"/>
      <c r="T193" s="3067"/>
      <c r="U193" s="3067"/>
      <c r="V193" s="3067"/>
      <c r="W193" s="3086"/>
      <c r="X193" s="3062"/>
      <c r="Y193" s="3062"/>
      <c r="Z193" s="3062"/>
      <c r="AB193" s="3062"/>
      <c r="AC193" s="3062"/>
      <c r="AD193" s="3062"/>
      <c r="AE193" s="3062"/>
      <c r="AF193" s="3062"/>
      <c r="AG193" s="3062"/>
      <c r="AH193" s="3062"/>
      <c r="AI193" s="3062"/>
      <c r="AJ193" s="3062"/>
      <c r="AK193" s="3062"/>
    </row>
    <row r="194" spans="1:37" s="3063" customFormat="1">
      <c r="A194" s="3087" t="s">
        <v>1205</v>
      </c>
      <c r="B194" s="3821"/>
      <c r="C194" s="3085" t="s">
        <v>1206</v>
      </c>
      <c r="D194" s="3085"/>
      <c r="E194" s="3085"/>
      <c r="F194" s="3085"/>
      <c r="G194" s="3085"/>
      <c r="H194" s="3067">
        <v>156</v>
      </c>
      <c r="I194" s="3067">
        <v>220</v>
      </c>
      <c r="J194" s="3067">
        <v>0</v>
      </c>
      <c r="K194" s="3067">
        <v>0</v>
      </c>
      <c r="L194" s="3067">
        <v>0</v>
      </c>
      <c r="M194" s="3067">
        <v>641</v>
      </c>
      <c r="N194" s="3067">
        <v>738</v>
      </c>
      <c r="O194" s="3067"/>
      <c r="P194" s="3067"/>
      <c r="Q194" s="3067"/>
      <c r="R194" s="3067"/>
      <c r="S194" s="3067"/>
      <c r="T194" s="3067"/>
      <c r="U194" s="3067"/>
      <c r="V194" s="3067"/>
      <c r="W194" s="3086"/>
      <c r="X194" s="3062"/>
      <c r="Y194" s="3062"/>
      <c r="Z194" s="3062"/>
      <c r="AB194" s="3062"/>
      <c r="AC194" s="3062"/>
      <c r="AD194" s="3062"/>
      <c r="AE194" s="3062"/>
      <c r="AF194" s="3062"/>
      <c r="AG194" s="3062"/>
      <c r="AH194" s="3062"/>
      <c r="AI194" s="3062"/>
      <c r="AJ194" s="3062"/>
      <c r="AK194" s="3062"/>
    </row>
    <row r="195" spans="1:37" s="3063" customFormat="1">
      <c r="A195" s="3087" t="s">
        <v>1207</v>
      </c>
      <c r="B195" s="3821">
        <v>701000</v>
      </c>
      <c r="C195" s="3085" t="s">
        <v>1206</v>
      </c>
      <c r="D195" s="3085"/>
      <c r="E195" s="3085"/>
      <c r="F195" s="3085"/>
      <c r="G195" s="3085"/>
      <c r="H195" s="3067"/>
      <c r="I195" s="3067"/>
      <c r="J195" s="3067"/>
      <c r="K195" s="3067"/>
      <c r="L195" s="3067"/>
      <c r="M195" s="3067"/>
      <c r="N195" s="3067"/>
      <c r="O195" s="3067">
        <v>3160.5</v>
      </c>
      <c r="P195" s="3067">
        <v>3321</v>
      </c>
      <c r="Q195" s="3067">
        <v>2172.5</v>
      </c>
      <c r="R195" s="3067">
        <v>3633</v>
      </c>
      <c r="S195" s="3067">
        <v>449.5</v>
      </c>
      <c r="T195" s="3067">
        <v>21694.49</v>
      </c>
      <c r="U195" s="3067">
        <v>3293.75</v>
      </c>
      <c r="V195" s="3067">
        <v>3153.9</v>
      </c>
      <c r="W195" s="3086"/>
      <c r="X195" s="3062"/>
      <c r="Y195" s="3062"/>
      <c r="Z195" s="3062"/>
      <c r="AB195" s="3062"/>
      <c r="AC195" s="3062"/>
      <c r="AD195" s="3062"/>
      <c r="AE195" s="3062"/>
      <c r="AF195" s="3062"/>
      <c r="AG195" s="3062"/>
      <c r="AH195" s="3062"/>
      <c r="AI195" s="3062"/>
      <c r="AJ195" s="3062"/>
      <c r="AK195" s="3062"/>
    </row>
    <row r="196" spans="1:37" s="3063" customFormat="1">
      <c r="A196" s="3087" t="s">
        <v>1208</v>
      </c>
      <c r="B196" s="3821">
        <v>745000</v>
      </c>
      <c r="C196" s="3085" t="s">
        <v>1209</v>
      </c>
      <c r="D196" s="3085"/>
      <c r="E196" s="3085"/>
      <c r="F196" s="3085"/>
      <c r="G196" s="3085"/>
      <c r="H196" s="3067"/>
      <c r="I196" s="3067"/>
      <c r="J196" s="3067"/>
      <c r="K196" s="3067"/>
      <c r="L196" s="3067"/>
      <c r="M196" s="3067"/>
      <c r="N196" s="3067"/>
      <c r="O196" s="3067">
        <v>633.65</v>
      </c>
      <c r="P196" s="3067">
        <v>855.5</v>
      </c>
      <c r="Q196" s="3067">
        <v>461.25</v>
      </c>
      <c r="R196" s="3067">
        <v>740.95</v>
      </c>
      <c r="S196" s="3067">
        <v>581.45000000000005</v>
      </c>
      <c r="T196" s="3067">
        <v>651.04999999999995</v>
      </c>
      <c r="U196" s="3067">
        <v>290</v>
      </c>
      <c r="V196" s="3067">
        <v>310.3</v>
      </c>
      <c r="W196" s="3086"/>
      <c r="X196" s="3062"/>
      <c r="Y196" s="3062"/>
      <c r="Z196" s="3062"/>
      <c r="AB196" s="3062"/>
      <c r="AC196" s="3062"/>
      <c r="AD196" s="3062"/>
      <c r="AE196" s="3062"/>
      <c r="AF196" s="3062"/>
      <c r="AG196" s="3062"/>
      <c r="AH196" s="3062"/>
      <c r="AI196" s="3062"/>
      <c r="AJ196" s="3062"/>
      <c r="AK196" s="3062"/>
    </row>
    <row r="197" spans="1:37" s="3063" customFormat="1">
      <c r="A197" s="3087"/>
      <c r="B197" s="3821" t="s">
        <v>7387</v>
      </c>
      <c r="C197" s="3085" t="s">
        <v>7388</v>
      </c>
      <c r="D197" s="3085"/>
      <c r="E197" s="3085"/>
      <c r="F197" s="3085"/>
      <c r="G197" s="3085"/>
      <c r="H197" s="3067"/>
      <c r="I197" s="3067"/>
      <c r="J197" s="3067"/>
      <c r="K197" s="3067"/>
      <c r="L197" s="3067"/>
      <c r="M197" s="3067"/>
      <c r="N197" s="3067"/>
      <c r="O197" s="3067"/>
      <c r="P197" s="3067"/>
      <c r="Q197" s="3067"/>
      <c r="R197" s="3067"/>
      <c r="S197" s="3067"/>
      <c r="T197" s="3067"/>
      <c r="U197" s="3067">
        <v>262.45</v>
      </c>
      <c r="V197" s="3067">
        <v>284.2</v>
      </c>
      <c r="W197" s="3086"/>
      <c r="X197" s="3062"/>
      <c r="Y197" s="3062"/>
      <c r="Z197" s="3062"/>
      <c r="AB197" s="3062"/>
      <c r="AC197" s="3062"/>
      <c r="AD197" s="3062"/>
      <c r="AE197" s="3062"/>
      <c r="AF197" s="3062"/>
      <c r="AG197" s="3062"/>
      <c r="AH197" s="3062"/>
      <c r="AI197" s="3062"/>
      <c r="AJ197" s="3062"/>
      <c r="AK197" s="3062"/>
    </row>
    <row r="198" spans="1:37" s="3063" customFormat="1">
      <c r="A198" s="3087" t="s">
        <v>1210</v>
      </c>
      <c r="B198" s="3821"/>
      <c r="C198" s="3085" t="s">
        <v>1211</v>
      </c>
      <c r="D198" s="3085"/>
      <c r="E198" s="3085"/>
      <c r="F198" s="3085"/>
      <c r="G198" s="3085"/>
      <c r="H198" s="3067"/>
      <c r="I198" s="3067"/>
      <c r="J198" s="3067"/>
      <c r="K198" s="3067"/>
      <c r="L198" s="3067"/>
      <c r="M198" s="3067"/>
      <c r="N198" s="3067"/>
      <c r="O198" s="3067"/>
      <c r="P198" s="3067"/>
      <c r="Q198" s="3067"/>
      <c r="R198" s="3067">
        <v>72.7</v>
      </c>
      <c r="S198" s="3067"/>
      <c r="T198" s="3067"/>
      <c r="U198" s="3067"/>
      <c r="V198" s="3067"/>
      <c r="W198" s="3086"/>
      <c r="X198" s="3062"/>
      <c r="Y198" s="3062"/>
      <c r="Z198" s="3062"/>
      <c r="AB198" s="3062"/>
      <c r="AC198" s="3062"/>
      <c r="AD198" s="3062"/>
      <c r="AE198" s="3062"/>
      <c r="AF198" s="3062"/>
      <c r="AG198" s="3062"/>
      <c r="AH198" s="3062"/>
      <c r="AI198" s="3062"/>
      <c r="AJ198" s="3062"/>
      <c r="AK198" s="3062"/>
    </row>
    <row r="199" spans="1:37" s="3063" customFormat="1">
      <c r="A199" s="3087" t="s">
        <v>1212</v>
      </c>
      <c r="B199" s="3821">
        <v>745900</v>
      </c>
      <c r="C199" s="3085" t="s">
        <v>1213</v>
      </c>
      <c r="D199" s="3085"/>
      <c r="E199" s="3085"/>
      <c r="F199" s="3085"/>
      <c r="G199" s="3085"/>
      <c r="H199" s="3067">
        <v>1515.11</v>
      </c>
      <c r="I199" s="3067">
        <v>771.38</v>
      </c>
      <c r="J199" s="3067">
        <v>788.15</v>
      </c>
      <c r="K199" s="3067">
        <v>955.02</v>
      </c>
      <c r="L199" s="3067">
        <v>918.4</v>
      </c>
      <c r="M199" s="3067">
        <v>1055.3</v>
      </c>
      <c r="N199" s="3067">
        <v>793.61</v>
      </c>
      <c r="O199" s="3067"/>
      <c r="P199" s="3067"/>
      <c r="Q199" s="3067"/>
      <c r="R199" s="3067"/>
      <c r="S199" s="3067"/>
      <c r="T199" s="3067"/>
      <c r="U199" s="3067"/>
      <c r="V199" s="3067">
        <v>5</v>
      </c>
      <c r="W199" s="3086"/>
      <c r="X199" s="3062"/>
      <c r="Y199" s="3062"/>
      <c r="Z199" s="3062"/>
      <c r="AB199" s="3062"/>
      <c r="AC199" s="3062"/>
      <c r="AD199" s="3062"/>
      <c r="AE199" s="3062"/>
      <c r="AF199" s="3062"/>
      <c r="AG199" s="3062"/>
      <c r="AH199" s="3062"/>
      <c r="AI199" s="3062"/>
      <c r="AJ199" s="3062"/>
      <c r="AK199" s="3062"/>
    </row>
    <row r="200" spans="1:37" s="3063" customFormat="1">
      <c r="A200" s="3087" t="s">
        <v>1214</v>
      </c>
      <c r="B200" s="3821"/>
      <c r="C200" s="3085" t="s">
        <v>1215</v>
      </c>
      <c r="D200" s="3085"/>
      <c r="E200" s="3085"/>
      <c r="F200" s="3085"/>
      <c r="G200" s="3085"/>
      <c r="H200" s="3067">
        <v>0</v>
      </c>
      <c r="I200" s="3067">
        <v>17593.79</v>
      </c>
      <c r="J200" s="3067">
        <v>562.5</v>
      </c>
      <c r="K200" s="3067">
        <v>29.95</v>
      </c>
      <c r="L200" s="3067">
        <v>0</v>
      </c>
      <c r="M200" s="3067">
        <v>0</v>
      </c>
      <c r="N200" s="3067">
        <v>0</v>
      </c>
      <c r="O200" s="3067"/>
      <c r="P200" s="3067"/>
      <c r="Q200" s="3067"/>
      <c r="R200" s="3067"/>
      <c r="S200" s="3067"/>
      <c r="T200" s="3067"/>
      <c r="U200" s="3067"/>
      <c r="V200" s="3067"/>
      <c r="W200" s="3086"/>
      <c r="X200" s="3062"/>
      <c r="Y200" s="3062"/>
      <c r="Z200" s="3062"/>
      <c r="AB200" s="3062"/>
      <c r="AC200" s="3062"/>
      <c r="AD200" s="3062"/>
      <c r="AE200" s="3062"/>
      <c r="AF200" s="3062"/>
      <c r="AG200" s="3062"/>
      <c r="AH200" s="3062"/>
      <c r="AI200" s="3062"/>
      <c r="AJ200" s="3062"/>
      <c r="AK200" s="3062"/>
    </row>
    <row r="201" spans="1:37" s="3063" customFormat="1">
      <c r="A201" s="3087" t="s">
        <v>1216</v>
      </c>
      <c r="B201" s="3821"/>
      <c r="C201" s="3085" t="s">
        <v>1206</v>
      </c>
      <c r="D201" s="3085"/>
      <c r="E201" s="3085"/>
      <c r="F201" s="3085"/>
      <c r="G201" s="3085"/>
      <c r="H201" s="3067">
        <v>0</v>
      </c>
      <c r="I201" s="3067">
        <v>0</v>
      </c>
      <c r="J201" s="3067">
        <v>0</v>
      </c>
      <c r="K201" s="3067">
        <v>0</v>
      </c>
      <c r="L201" s="3067">
        <v>182</v>
      </c>
      <c r="M201" s="3067">
        <v>0</v>
      </c>
      <c r="N201" s="3067">
        <v>0</v>
      </c>
      <c r="O201" s="3067"/>
      <c r="P201" s="3067"/>
      <c r="Q201" s="3067"/>
      <c r="R201" s="3067"/>
      <c r="S201" s="3067"/>
      <c r="T201" s="3067"/>
      <c r="U201" s="3067"/>
      <c r="V201" s="3067"/>
      <c r="W201" s="3086"/>
      <c r="X201" s="3062"/>
      <c r="Y201" s="3062"/>
      <c r="Z201" s="3062"/>
      <c r="AB201" s="3062"/>
      <c r="AC201" s="3062"/>
      <c r="AD201" s="3062"/>
      <c r="AE201" s="3062"/>
      <c r="AF201" s="3062"/>
      <c r="AG201" s="3062"/>
      <c r="AH201" s="3062"/>
      <c r="AI201" s="3062"/>
      <c r="AJ201" s="3062"/>
      <c r="AK201" s="3062"/>
    </row>
    <row r="202" spans="1:37" s="3063" customFormat="1">
      <c r="A202" s="3087" t="s">
        <v>1217</v>
      </c>
      <c r="B202" s="3821"/>
      <c r="C202" s="3085" t="s">
        <v>1213</v>
      </c>
      <c r="D202" s="3085"/>
      <c r="E202" s="3085"/>
      <c r="F202" s="3085"/>
      <c r="G202" s="3085"/>
      <c r="H202" s="3067">
        <v>270.73</v>
      </c>
      <c r="I202" s="3067">
        <v>0</v>
      </c>
      <c r="J202" s="3067">
        <v>0</v>
      </c>
      <c r="K202" s="3067">
        <v>0</v>
      </c>
      <c r="L202" s="3067">
        <v>135.1</v>
      </c>
      <c r="M202" s="3067">
        <v>331.66</v>
      </c>
      <c r="N202" s="3067">
        <v>0</v>
      </c>
      <c r="O202" s="3067"/>
      <c r="P202" s="3067"/>
      <c r="Q202" s="3067"/>
      <c r="R202" s="3067"/>
      <c r="S202" s="3067"/>
      <c r="T202" s="3067"/>
      <c r="U202" s="3067"/>
      <c r="V202" s="3067"/>
      <c r="W202" s="3086"/>
      <c r="X202" s="3062"/>
      <c r="Y202" s="3062"/>
      <c r="Z202" s="3062"/>
      <c r="AB202" s="3062"/>
      <c r="AC202" s="3062"/>
      <c r="AD202" s="3062"/>
      <c r="AE202" s="3062"/>
      <c r="AF202" s="3062"/>
      <c r="AG202" s="3062"/>
      <c r="AH202" s="3062"/>
      <c r="AI202" s="3062"/>
      <c r="AJ202" s="3062"/>
      <c r="AK202" s="3062"/>
    </row>
    <row r="203" spans="1:37" s="3063" customFormat="1">
      <c r="A203" s="3087" t="s">
        <v>1218</v>
      </c>
      <c r="B203" s="3821"/>
      <c r="C203" s="3085" t="s">
        <v>1219</v>
      </c>
      <c r="D203" s="3085"/>
      <c r="E203" s="3085"/>
      <c r="F203" s="3085"/>
      <c r="G203" s="3085"/>
      <c r="H203" s="3067">
        <v>485.66</v>
      </c>
      <c r="I203" s="3067">
        <v>0</v>
      </c>
      <c r="J203" s="3067">
        <v>0</v>
      </c>
      <c r="K203" s="3067">
        <v>0</v>
      </c>
      <c r="L203" s="3067">
        <v>0</v>
      </c>
      <c r="M203" s="3067">
        <v>0</v>
      </c>
      <c r="N203" s="3067">
        <v>0</v>
      </c>
      <c r="O203" s="3067"/>
      <c r="P203" s="3067"/>
      <c r="Q203" s="3067"/>
      <c r="R203" s="3067"/>
      <c r="S203" s="3067"/>
      <c r="T203" s="3067"/>
      <c r="U203" s="3067"/>
      <c r="V203" s="3067"/>
      <c r="W203" s="3086"/>
      <c r="X203" s="3062"/>
      <c r="Y203" s="3062"/>
      <c r="Z203" s="3062"/>
      <c r="AB203" s="3062"/>
      <c r="AC203" s="3062"/>
      <c r="AD203" s="3062"/>
      <c r="AE203" s="3062"/>
      <c r="AF203" s="3062"/>
      <c r="AG203" s="3062"/>
      <c r="AH203" s="3062"/>
      <c r="AI203" s="3062"/>
      <c r="AJ203" s="3062"/>
      <c r="AK203" s="3062"/>
    </row>
    <row r="204" spans="1:37" s="3063" customFormat="1">
      <c r="A204" s="3087" t="s">
        <v>1220</v>
      </c>
      <c r="B204" s="3821"/>
      <c r="C204" s="3085" t="s">
        <v>1213</v>
      </c>
      <c r="D204" s="3085"/>
      <c r="E204" s="3085"/>
      <c r="F204" s="3085"/>
      <c r="G204" s="3085"/>
      <c r="H204" s="3067">
        <v>235.05</v>
      </c>
      <c r="I204" s="3067">
        <v>233.2</v>
      </c>
      <c r="J204" s="3067">
        <v>264.60000000000002</v>
      </c>
      <c r="K204" s="3067">
        <v>298.7</v>
      </c>
      <c r="L204" s="3067">
        <v>111.05</v>
      </c>
      <c r="M204" s="3067">
        <v>3802.04</v>
      </c>
      <c r="N204" s="3067">
        <v>15.95</v>
      </c>
      <c r="O204" s="3067"/>
      <c r="P204" s="3067"/>
      <c r="Q204" s="3067"/>
      <c r="R204" s="3067"/>
      <c r="S204" s="3067"/>
      <c r="T204" s="3067"/>
      <c r="U204" s="3067"/>
      <c r="V204" s="3067"/>
      <c r="W204" s="3086"/>
      <c r="X204" s="3062"/>
      <c r="Y204" s="3062"/>
      <c r="Z204" s="3062"/>
      <c r="AB204" s="3062"/>
      <c r="AC204" s="3062"/>
      <c r="AD204" s="3062"/>
      <c r="AE204" s="3062"/>
      <c r="AF204" s="3062"/>
      <c r="AG204" s="3062"/>
      <c r="AH204" s="3062"/>
      <c r="AI204" s="3062"/>
      <c r="AJ204" s="3062"/>
      <c r="AK204" s="3062"/>
    </row>
    <row r="205" spans="1:37" s="3063" customFormat="1">
      <c r="A205" s="3089"/>
      <c r="B205" s="3822"/>
      <c r="C205" s="3090" t="s">
        <v>1221</v>
      </c>
      <c r="D205" s="3090"/>
      <c r="E205" s="3090"/>
      <c r="F205" s="3090"/>
      <c r="G205" s="3090"/>
      <c r="H205" s="3092">
        <f>SUM(H194:H204)</f>
        <v>2662.55</v>
      </c>
      <c r="I205" s="3092">
        <f t="shared" ref="I205:W205" si="22">SUM(I193:I204)</f>
        <v>18818.370000000003</v>
      </c>
      <c r="J205" s="3092">
        <f t="shared" si="22"/>
        <v>1615.25</v>
      </c>
      <c r="K205" s="3092">
        <f t="shared" si="22"/>
        <v>1283.67</v>
      </c>
      <c r="L205" s="3092">
        <f t="shared" si="22"/>
        <v>1346.55</v>
      </c>
      <c r="M205" s="3092">
        <f t="shared" si="22"/>
        <v>6181.7</v>
      </c>
      <c r="N205" s="3092">
        <f t="shared" si="22"/>
        <v>1547.5600000000002</v>
      </c>
      <c r="O205" s="3092">
        <f t="shared" si="22"/>
        <v>3794.15</v>
      </c>
      <c r="P205" s="3092">
        <f t="shared" si="22"/>
        <v>4176.5</v>
      </c>
      <c r="Q205" s="3092">
        <f t="shared" si="22"/>
        <v>2633.75</v>
      </c>
      <c r="R205" s="3092">
        <f t="shared" si="22"/>
        <v>4446.6499999999996</v>
      </c>
      <c r="S205" s="3092">
        <f t="shared" si="22"/>
        <v>1030.95</v>
      </c>
      <c r="T205" s="3092">
        <f t="shared" si="22"/>
        <v>22345.54</v>
      </c>
      <c r="U205" s="3092">
        <f t="shared" si="22"/>
        <v>3846.2</v>
      </c>
      <c r="V205" s="3092">
        <f t="shared" si="22"/>
        <v>3753.4</v>
      </c>
      <c r="W205" s="3826">
        <f t="shared" si="22"/>
        <v>0</v>
      </c>
      <c r="X205" s="3062"/>
      <c r="Y205" s="3062"/>
      <c r="Z205" s="3062"/>
      <c r="AB205" s="3062"/>
      <c r="AC205" s="3062"/>
      <c r="AD205" s="3062"/>
      <c r="AE205" s="3062"/>
      <c r="AF205" s="3062"/>
      <c r="AG205" s="3062"/>
      <c r="AH205" s="3062"/>
      <c r="AI205" s="3062"/>
      <c r="AJ205" s="3062"/>
      <c r="AK205" s="3062"/>
    </row>
    <row r="206" spans="1:37" s="3063" customFormat="1">
      <c r="A206" s="3093" t="s">
        <v>1163</v>
      </c>
      <c r="B206" s="3823"/>
      <c r="C206" s="3085"/>
      <c r="D206" s="3085"/>
      <c r="E206" s="3085"/>
      <c r="F206" s="3085"/>
      <c r="G206" s="3085"/>
      <c r="H206" s="3067"/>
      <c r="I206" s="3067"/>
      <c r="J206" s="3067"/>
      <c r="K206" s="3067"/>
      <c r="L206" s="3067"/>
      <c r="M206" s="3067"/>
      <c r="N206" s="3131"/>
      <c r="O206" s="3085"/>
      <c r="P206" s="3085"/>
      <c r="Q206" s="3085"/>
      <c r="R206" s="3067"/>
      <c r="S206" s="3067"/>
      <c r="T206" s="3067"/>
      <c r="U206" s="3067"/>
      <c r="V206" s="3067"/>
      <c r="W206" s="3086"/>
      <c r="X206" s="3062"/>
      <c r="Y206" s="3062"/>
      <c r="Z206" s="3062"/>
      <c r="AB206" s="3062"/>
      <c r="AC206" s="3062"/>
      <c r="AD206" s="3062"/>
      <c r="AE206" s="3062"/>
      <c r="AF206" s="3062"/>
      <c r="AG206" s="3062"/>
      <c r="AH206" s="3062"/>
      <c r="AI206" s="3062"/>
      <c r="AJ206" s="3062"/>
      <c r="AK206" s="3062"/>
    </row>
    <row r="207" spans="1:37" s="3063" customFormat="1">
      <c r="A207" s="3087" t="s">
        <v>1222</v>
      </c>
      <c r="B207" s="3821"/>
      <c r="C207" s="3085" t="s">
        <v>1223</v>
      </c>
      <c r="D207" s="3085"/>
      <c r="E207" s="3085"/>
      <c r="F207" s="3085"/>
      <c r="G207" s="3085"/>
      <c r="H207" s="3067">
        <v>802.8</v>
      </c>
      <c r="I207" s="3067">
        <v>0</v>
      </c>
      <c r="J207" s="3067">
        <v>13194.5</v>
      </c>
      <c r="K207" s="3067">
        <v>12083.09</v>
      </c>
      <c r="L207" s="3067">
        <v>9163.9500000000007</v>
      </c>
      <c r="M207" s="3067">
        <v>7551</v>
      </c>
      <c r="N207" s="3131">
        <v>9077.33</v>
      </c>
      <c r="O207" s="3067"/>
      <c r="P207" s="3067"/>
      <c r="Q207" s="3067"/>
      <c r="R207" s="3067"/>
      <c r="S207" s="3067"/>
      <c r="T207" s="3067"/>
      <c r="U207" s="3067"/>
      <c r="V207" s="3067"/>
      <c r="W207" s="3086"/>
      <c r="X207" s="3062"/>
      <c r="Y207" s="3062"/>
      <c r="Z207" s="3062"/>
      <c r="AB207" s="3062"/>
      <c r="AC207" s="3062"/>
      <c r="AD207" s="3062"/>
      <c r="AE207" s="3062"/>
      <c r="AF207" s="3062"/>
      <c r="AG207" s="3062"/>
      <c r="AH207" s="3062"/>
      <c r="AI207" s="3062"/>
      <c r="AJ207" s="3062"/>
      <c r="AK207" s="3062"/>
    </row>
    <row r="208" spans="1:37" s="3063" customFormat="1">
      <c r="A208" s="3087" t="s">
        <v>1224</v>
      </c>
      <c r="B208" s="3821"/>
      <c r="C208" s="3085" t="s">
        <v>1225</v>
      </c>
      <c r="D208" s="3085"/>
      <c r="E208" s="3085"/>
      <c r="F208" s="3085"/>
      <c r="G208" s="3085"/>
      <c r="H208" s="3067">
        <v>0</v>
      </c>
      <c r="I208" s="3067">
        <v>53605</v>
      </c>
      <c r="J208" s="3067">
        <v>55331.87</v>
      </c>
      <c r="K208" s="3067">
        <v>56609.01</v>
      </c>
      <c r="L208" s="3067">
        <v>56417.03</v>
      </c>
      <c r="M208" s="3067">
        <v>60696.3</v>
      </c>
      <c r="N208" s="3131">
        <v>60974.65</v>
      </c>
      <c r="O208" s="3067"/>
      <c r="P208" s="3067"/>
      <c r="Q208" s="3067"/>
      <c r="R208" s="3067"/>
      <c r="S208" s="3067"/>
      <c r="T208" s="3067"/>
      <c r="U208" s="3067"/>
      <c r="V208" s="3067"/>
      <c r="W208" s="3086"/>
      <c r="X208" s="3062"/>
      <c r="Y208" s="3062"/>
      <c r="Z208" s="3062"/>
      <c r="AB208" s="3062"/>
      <c r="AC208" s="3062"/>
      <c r="AD208" s="3062"/>
      <c r="AE208" s="3062"/>
      <c r="AF208" s="3062"/>
      <c r="AG208" s="3062"/>
      <c r="AH208" s="3062"/>
      <c r="AI208" s="3062"/>
      <c r="AJ208" s="3062"/>
      <c r="AK208" s="3062"/>
    </row>
    <row r="209" spans="1:37" s="3063" customFormat="1">
      <c r="A209" s="3087" t="s">
        <v>1226</v>
      </c>
      <c r="B209" s="3821">
        <v>740900</v>
      </c>
      <c r="C209" s="3085" t="s">
        <v>1227</v>
      </c>
      <c r="D209" s="3085"/>
      <c r="E209" s="3085"/>
      <c r="F209" s="3085"/>
      <c r="G209" s="3085"/>
      <c r="H209" s="3067"/>
      <c r="I209" s="3067"/>
      <c r="J209" s="3067"/>
      <c r="K209" s="3067"/>
      <c r="L209" s="3067"/>
      <c r="M209" s="3067"/>
      <c r="N209" s="3131"/>
      <c r="O209" s="3067">
        <f>13029.7+66388.66</f>
        <v>79418.36</v>
      </c>
      <c r="P209" s="3067">
        <v>65112.6</v>
      </c>
      <c r="Q209" s="3067">
        <v>22502.34</v>
      </c>
      <c r="R209" s="3067"/>
      <c r="S209" s="3067">
        <v>19800</v>
      </c>
      <c r="T209" s="3067">
        <v>38580.68</v>
      </c>
      <c r="U209" s="3067">
        <v>1705.72</v>
      </c>
      <c r="V209" s="3067">
        <v>9497.48</v>
      </c>
      <c r="W209" s="3086"/>
      <c r="X209" s="3062"/>
      <c r="Y209" s="3062"/>
      <c r="Z209" s="3062"/>
      <c r="AB209" s="3062"/>
      <c r="AC209" s="3062"/>
      <c r="AD209" s="3062"/>
      <c r="AE209" s="3062"/>
      <c r="AF209" s="3062"/>
      <c r="AG209" s="3062"/>
      <c r="AH209" s="3062"/>
      <c r="AI209" s="3062"/>
      <c r="AJ209" s="3062"/>
      <c r="AK209" s="3062"/>
    </row>
    <row r="210" spans="1:37" s="3063" customFormat="1">
      <c r="A210" s="3087"/>
      <c r="B210" s="3821" t="s">
        <v>7385</v>
      </c>
      <c r="C210" s="3085" t="s">
        <v>7386</v>
      </c>
      <c r="D210" s="3085"/>
      <c r="E210" s="3085"/>
      <c r="F210" s="3085"/>
      <c r="G210" s="3085"/>
      <c r="H210" s="3067"/>
      <c r="I210" s="3067"/>
      <c r="J210" s="3067"/>
      <c r="K210" s="3067"/>
      <c r="L210" s="3067"/>
      <c r="M210" s="3067"/>
      <c r="N210" s="3131"/>
      <c r="O210" s="3067"/>
      <c r="P210" s="3067"/>
      <c r="Q210" s="3067"/>
      <c r="R210" s="3067"/>
      <c r="S210" s="3067"/>
      <c r="T210" s="3067"/>
      <c r="U210" s="3067">
        <v>19800</v>
      </c>
      <c r="V210" s="3067"/>
      <c r="W210" s="3086"/>
      <c r="X210" s="3062"/>
      <c r="Y210" s="3062"/>
      <c r="Z210" s="3062"/>
      <c r="AB210" s="3062"/>
      <c r="AC210" s="3062"/>
      <c r="AD210" s="3062"/>
      <c r="AE210" s="3062"/>
      <c r="AF210" s="3062"/>
      <c r="AG210" s="3062"/>
      <c r="AH210" s="3062"/>
      <c r="AI210" s="3062"/>
      <c r="AJ210" s="3062"/>
      <c r="AK210" s="3062"/>
    </row>
    <row r="211" spans="1:37" s="3063" customFormat="1">
      <c r="A211" s="3087" t="s">
        <v>1228</v>
      </c>
      <c r="B211" s="3821"/>
      <c r="C211" s="3085" t="s">
        <v>1225</v>
      </c>
      <c r="D211" s="3085"/>
      <c r="E211" s="3085"/>
      <c r="F211" s="3085"/>
      <c r="G211" s="3085"/>
      <c r="H211" s="3067">
        <v>1419.68</v>
      </c>
      <c r="I211" s="3067">
        <v>1419.68</v>
      </c>
      <c r="J211" s="3067">
        <v>0</v>
      </c>
      <c r="K211" s="3067">
        <v>0</v>
      </c>
      <c r="L211" s="3067">
        <v>0</v>
      </c>
      <c r="M211" s="3067">
        <v>0</v>
      </c>
      <c r="N211" s="3131">
        <v>0</v>
      </c>
      <c r="O211" s="3085"/>
      <c r="P211" s="3085"/>
      <c r="Q211" s="3085"/>
      <c r="R211" s="3067"/>
      <c r="S211" s="3067"/>
      <c r="T211" s="3067"/>
      <c r="U211" s="3067"/>
      <c r="V211" s="3067"/>
      <c r="W211" s="3086"/>
      <c r="X211" s="3062"/>
      <c r="Y211" s="3062"/>
      <c r="Z211" s="3062"/>
      <c r="AB211" s="3062"/>
      <c r="AC211" s="3062"/>
      <c r="AD211" s="3062"/>
      <c r="AE211" s="3062"/>
      <c r="AF211" s="3062"/>
      <c r="AG211" s="3062"/>
      <c r="AH211" s="3062"/>
      <c r="AI211" s="3062"/>
      <c r="AJ211" s="3062"/>
      <c r="AK211" s="3062"/>
    </row>
    <row r="212" spans="1:37" s="3063" customFormat="1">
      <c r="A212" s="3087" t="s">
        <v>1229</v>
      </c>
      <c r="B212" s="3821"/>
      <c r="C212" s="3085" t="s">
        <v>1230</v>
      </c>
      <c r="D212" s="3085"/>
      <c r="E212" s="3085"/>
      <c r="F212" s="3085"/>
      <c r="G212" s="3085"/>
      <c r="H212" s="3067">
        <v>19997</v>
      </c>
      <c r="I212" s="3067">
        <v>21815</v>
      </c>
      <c r="J212" s="3067">
        <v>21815</v>
      </c>
      <c r="K212" s="3067">
        <v>21815</v>
      </c>
      <c r="L212" s="3067">
        <v>25905</v>
      </c>
      <c r="M212" s="3067">
        <v>25905</v>
      </c>
      <c r="N212" s="3131">
        <v>21815</v>
      </c>
      <c r="O212" s="3131">
        <v>21814</v>
      </c>
      <c r="P212" s="3131">
        <v>21814</v>
      </c>
      <c r="Q212" s="3131">
        <v>21814</v>
      </c>
      <c r="R212" s="3067">
        <v>21814</v>
      </c>
      <c r="S212" s="3067"/>
      <c r="T212" s="3067"/>
      <c r="U212" s="3067"/>
      <c r="V212" s="3067"/>
      <c r="W212" s="3086"/>
      <c r="X212" s="3062"/>
      <c r="Y212" s="3062"/>
      <c r="Z212" s="3062"/>
      <c r="AB212" s="3062"/>
      <c r="AC212" s="3062"/>
      <c r="AD212" s="3062"/>
      <c r="AE212" s="3062"/>
      <c r="AF212" s="3062"/>
      <c r="AG212" s="3062"/>
      <c r="AH212" s="3062"/>
      <c r="AI212" s="3062"/>
      <c r="AJ212" s="3062"/>
      <c r="AK212" s="3062"/>
    </row>
    <row r="213" spans="1:37" s="3063" customFormat="1">
      <c r="A213" s="3087" t="s">
        <v>1231</v>
      </c>
      <c r="B213" s="3821"/>
      <c r="C213" s="3085" t="s">
        <v>1232</v>
      </c>
      <c r="D213" s="3085"/>
      <c r="E213" s="3085"/>
      <c r="F213" s="3085"/>
      <c r="G213" s="3085"/>
      <c r="H213" s="3067">
        <v>0</v>
      </c>
      <c r="I213" s="3067">
        <v>20000</v>
      </c>
      <c r="J213" s="3067">
        <v>5000</v>
      </c>
      <c r="K213" s="3067">
        <v>0</v>
      </c>
      <c r="L213" s="3067">
        <v>0</v>
      </c>
      <c r="M213" s="3067">
        <v>0</v>
      </c>
      <c r="N213" s="3131">
        <v>0</v>
      </c>
      <c r="O213" s="3085"/>
      <c r="P213" s="3085"/>
      <c r="Q213" s="3085"/>
      <c r="R213" s="3067"/>
      <c r="S213" s="3067"/>
      <c r="T213" s="3067"/>
      <c r="U213" s="3067"/>
      <c r="V213" s="3067"/>
      <c r="W213" s="3086"/>
      <c r="X213" s="3062"/>
      <c r="Y213" s="3062"/>
      <c r="Z213" s="3062"/>
      <c r="AB213" s="3062"/>
      <c r="AC213" s="3062"/>
      <c r="AD213" s="3062"/>
      <c r="AE213" s="3062"/>
      <c r="AF213" s="3062"/>
      <c r="AG213" s="3062"/>
      <c r="AH213" s="3062"/>
      <c r="AI213" s="3062"/>
      <c r="AJ213" s="3062"/>
      <c r="AK213" s="3062"/>
    </row>
    <row r="214" spans="1:37" s="3063" customFormat="1">
      <c r="A214" s="3087" t="s">
        <v>1233</v>
      </c>
      <c r="B214" s="3821"/>
      <c r="C214" s="3085" t="s">
        <v>1225</v>
      </c>
      <c r="D214" s="3085"/>
      <c r="E214" s="3085"/>
      <c r="F214" s="3085"/>
      <c r="G214" s="3085"/>
      <c r="H214" s="3067">
        <v>1419.68</v>
      </c>
      <c r="I214" s="3067">
        <v>1419.68</v>
      </c>
      <c r="J214" s="3067">
        <v>0</v>
      </c>
      <c r="K214" s="3067">
        <v>0</v>
      </c>
      <c r="L214" s="3067">
        <v>0</v>
      </c>
      <c r="M214" s="3067">
        <v>5454</v>
      </c>
      <c r="N214" s="3131">
        <v>10907</v>
      </c>
      <c r="O214" s="3085"/>
      <c r="P214" s="3085"/>
      <c r="Q214" s="3085"/>
      <c r="R214" s="3067"/>
      <c r="S214" s="3067"/>
      <c r="T214" s="3067"/>
      <c r="U214" s="3067"/>
      <c r="V214" s="3067"/>
      <c r="W214" s="3086"/>
      <c r="X214" s="3062"/>
      <c r="Y214" s="3062"/>
      <c r="Z214" s="3062"/>
      <c r="AB214" s="3062"/>
      <c r="AC214" s="3062"/>
      <c r="AD214" s="3062"/>
      <c r="AE214" s="3062"/>
      <c r="AF214" s="3062"/>
      <c r="AG214" s="3062"/>
      <c r="AH214" s="3062"/>
      <c r="AI214" s="3062"/>
      <c r="AJ214" s="3062"/>
      <c r="AK214" s="3062"/>
    </row>
    <row r="215" spans="1:37" s="3063" customFormat="1">
      <c r="A215" s="3089"/>
      <c r="B215" s="3822"/>
      <c r="C215" s="3090" t="s">
        <v>1181</v>
      </c>
      <c r="D215" s="3090"/>
      <c r="E215" s="3090"/>
      <c r="F215" s="3090"/>
      <c r="G215" s="3090"/>
      <c r="H215" s="3092">
        <f t="shared" ref="H215:S215" si="23">SUM(H207:H214)</f>
        <v>23639.16</v>
      </c>
      <c r="I215" s="3092">
        <f t="shared" si="23"/>
        <v>98259.359999999986</v>
      </c>
      <c r="J215" s="3092">
        <f t="shared" si="23"/>
        <v>95341.37</v>
      </c>
      <c r="K215" s="3092">
        <f t="shared" si="23"/>
        <v>90507.1</v>
      </c>
      <c r="L215" s="3092">
        <f t="shared" si="23"/>
        <v>91485.98</v>
      </c>
      <c r="M215" s="3092">
        <f t="shared" si="23"/>
        <v>99606.3</v>
      </c>
      <c r="N215" s="3092">
        <f t="shared" si="23"/>
        <v>102773.98</v>
      </c>
      <c r="O215" s="3092">
        <f t="shared" si="23"/>
        <v>101232.36</v>
      </c>
      <c r="P215" s="3092">
        <f t="shared" si="23"/>
        <v>86926.6</v>
      </c>
      <c r="Q215" s="3092">
        <f t="shared" si="23"/>
        <v>44316.34</v>
      </c>
      <c r="R215" s="3092">
        <f t="shared" si="23"/>
        <v>21814</v>
      </c>
      <c r="S215" s="3092">
        <f t="shared" si="23"/>
        <v>19800</v>
      </c>
      <c r="T215" s="3092">
        <f>SUM(T207:T214)</f>
        <v>38580.68</v>
      </c>
      <c r="U215" s="3092">
        <f>SUM(U207:U214)</f>
        <v>21505.72</v>
      </c>
      <c r="V215" s="3092">
        <f>SUM(V207:V214)</f>
        <v>9497.48</v>
      </c>
      <c r="W215" s="3826">
        <f>SUM(W207:W214)</f>
        <v>0</v>
      </c>
      <c r="X215" s="3062"/>
      <c r="Y215" s="3062"/>
      <c r="Z215" s="3062"/>
      <c r="AB215" s="3062"/>
      <c r="AC215" s="3062"/>
      <c r="AD215" s="3062"/>
      <c r="AE215" s="3062"/>
      <c r="AF215" s="3062"/>
      <c r="AG215" s="3062"/>
      <c r="AH215" s="3062"/>
      <c r="AI215" s="3062"/>
      <c r="AJ215" s="3062"/>
      <c r="AK215" s="3062"/>
    </row>
    <row r="216" spans="1:37" s="3063" customFormat="1">
      <c r="A216" s="3093" t="s">
        <v>47</v>
      </c>
      <c r="B216" s="3823"/>
      <c r="C216" s="3085"/>
      <c r="D216" s="3085"/>
      <c r="E216" s="3085"/>
      <c r="F216" s="3085"/>
      <c r="G216" s="3085"/>
      <c r="H216" s="3067"/>
      <c r="I216" s="3067"/>
      <c r="J216" s="3067"/>
      <c r="K216" s="3067"/>
      <c r="L216" s="3067"/>
      <c r="M216" s="3067"/>
      <c r="N216" s="3131"/>
      <c r="O216" s="3085"/>
      <c r="P216" s="3085"/>
      <c r="Q216" s="3085"/>
      <c r="R216" s="3067"/>
      <c r="S216" s="3067"/>
      <c r="T216" s="3067"/>
      <c r="U216" s="3067"/>
      <c r="V216" s="3067"/>
      <c r="W216" s="3067"/>
      <c r="X216" s="3062"/>
      <c r="Y216" s="3062"/>
      <c r="Z216" s="3062"/>
      <c r="AB216" s="3062"/>
      <c r="AC216" s="3062"/>
      <c r="AD216" s="3062"/>
      <c r="AE216" s="3062"/>
      <c r="AF216" s="3062"/>
      <c r="AG216" s="3062"/>
      <c r="AH216" s="3062"/>
      <c r="AI216" s="3062"/>
      <c r="AJ216" s="3062"/>
      <c r="AK216" s="3062"/>
    </row>
    <row r="217" spans="1:37" s="3063" customFormat="1">
      <c r="A217" s="3087"/>
      <c r="B217" s="3821"/>
      <c r="C217" s="3085"/>
      <c r="D217" s="3085"/>
      <c r="E217" s="3085"/>
      <c r="F217" s="3085"/>
      <c r="G217" s="3085"/>
      <c r="H217" s="3067"/>
      <c r="I217" s="3067"/>
      <c r="J217" s="3067"/>
      <c r="K217" s="3067"/>
      <c r="L217" s="3067"/>
      <c r="M217" s="3067"/>
      <c r="N217" s="3131"/>
      <c r="O217" s="3085"/>
      <c r="P217" s="3085"/>
      <c r="Q217" s="3085"/>
      <c r="R217" s="3067"/>
      <c r="S217" s="3067"/>
      <c r="T217" s="3067"/>
      <c r="U217" s="3067"/>
      <c r="V217" s="3067"/>
      <c r="W217" s="3067"/>
      <c r="X217" s="3062"/>
      <c r="Y217" s="3062"/>
      <c r="Z217" s="3062"/>
      <c r="AB217" s="3062"/>
      <c r="AC217" s="3062"/>
      <c r="AD217" s="3062"/>
      <c r="AE217" s="3062"/>
      <c r="AF217" s="3062"/>
      <c r="AG217" s="3062"/>
      <c r="AH217" s="3062"/>
      <c r="AI217" s="3062"/>
      <c r="AJ217" s="3062"/>
      <c r="AK217" s="3062"/>
    </row>
    <row r="218" spans="1:37" s="3063" customFormat="1">
      <c r="A218" s="3089"/>
      <c r="B218" s="3822"/>
      <c r="C218" s="3090" t="s">
        <v>1185</v>
      </c>
      <c r="D218" s="3090"/>
      <c r="E218" s="3090"/>
      <c r="F218" s="3090"/>
      <c r="G218" s="3090"/>
      <c r="H218" s="3092">
        <f t="shared" ref="H218:M218" si="24">SUM(H217)</f>
        <v>0</v>
      </c>
      <c r="I218" s="3092">
        <f t="shared" si="24"/>
        <v>0</v>
      </c>
      <c r="J218" s="3092">
        <f t="shared" si="24"/>
        <v>0</v>
      </c>
      <c r="K218" s="3092">
        <f t="shared" si="24"/>
        <v>0</v>
      </c>
      <c r="L218" s="3092">
        <f t="shared" si="24"/>
        <v>0</v>
      </c>
      <c r="M218" s="3092">
        <f t="shared" si="24"/>
        <v>0</v>
      </c>
      <c r="N218" s="3092">
        <f t="shared" ref="N218:S218" si="25">SUM(N217)</f>
        <v>0</v>
      </c>
      <c r="O218" s="3092">
        <f t="shared" si="25"/>
        <v>0</v>
      </c>
      <c r="P218" s="3092">
        <f t="shared" si="25"/>
        <v>0</v>
      </c>
      <c r="Q218" s="3092">
        <f t="shared" si="25"/>
        <v>0</v>
      </c>
      <c r="R218" s="3092">
        <f t="shared" si="25"/>
        <v>0</v>
      </c>
      <c r="S218" s="3092">
        <f t="shared" si="25"/>
        <v>0</v>
      </c>
      <c r="T218" s="3092">
        <f>SUM(T217)</f>
        <v>0</v>
      </c>
      <c r="U218" s="3092">
        <f>SUM(U217)</f>
        <v>0</v>
      </c>
      <c r="V218" s="3092">
        <f>SUM(V217)</f>
        <v>0</v>
      </c>
      <c r="W218" s="3826">
        <f>SUM(W217)</f>
        <v>0</v>
      </c>
      <c r="X218" s="3062"/>
      <c r="Y218" s="3062"/>
      <c r="Z218" s="3062"/>
      <c r="AB218" s="3062"/>
      <c r="AC218" s="3062"/>
      <c r="AD218" s="3062"/>
      <c r="AE218" s="3062"/>
      <c r="AF218" s="3062"/>
      <c r="AG218" s="3062"/>
      <c r="AH218" s="3062"/>
      <c r="AI218" s="3062"/>
      <c r="AJ218" s="3062"/>
      <c r="AK218" s="3062"/>
    </row>
    <row r="219" spans="1:37" s="3063" customFormat="1">
      <c r="A219" s="3132"/>
      <c r="B219" s="3825"/>
      <c r="C219" s="3133" t="s">
        <v>1234</v>
      </c>
      <c r="D219" s="3133"/>
      <c r="E219" s="3133"/>
      <c r="F219" s="3133"/>
      <c r="G219" s="3133"/>
      <c r="H219" s="3134">
        <f t="shared" ref="H219:S219" si="26">H205+H215+H218</f>
        <v>26301.71</v>
      </c>
      <c r="I219" s="3134">
        <f t="shared" si="26"/>
        <v>117077.72999999998</v>
      </c>
      <c r="J219" s="3134">
        <f t="shared" si="26"/>
        <v>96956.62</v>
      </c>
      <c r="K219" s="3134">
        <f t="shared" si="26"/>
        <v>91790.77</v>
      </c>
      <c r="L219" s="3134">
        <f t="shared" si="26"/>
        <v>92832.53</v>
      </c>
      <c r="M219" s="3134">
        <f t="shared" si="26"/>
        <v>105788</v>
      </c>
      <c r="N219" s="3134">
        <f t="shared" si="26"/>
        <v>104321.54</v>
      </c>
      <c r="O219" s="3134">
        <f t="shared" si="26"/>
        <v>105026.51</v>
      </c>
      <c r="P219" s="3134">
        <f t="shared" si="26"/>
        <v>91103.1</v>
      </c>
      <c r="Q219" s="3134">
        <f t="shared" si="26"/>
        <v>46950.09</v>
      </c>
      <c r="R219" s="3134">
        <f t="shared" si="26"/>
        <v>26260.65</v>
      </c>
      <c r="S219" s="3134">
        <f t="shared" si="26"/>
        <v>20830.95</v>
      </c>
      <c r="T219" s="3134">
        <f>T205+T215+T218</f>
        <v>60926.22</v>
      </c>
      <c r="U219" s="3134">
        <f>U205+U215+U218</f>
        <v>25351.920000000002</v>
      </c>
      <c r="V219" s="3134">
        <f>V205+V215+V218</f>
        <v>13250.88</v>
      </c>
      <c r="W219" s="3827">
        <f>W205+W215+W218</f>
        <v>0</v>
      </c>
      <c r="X219" s="3062"/>
      <c r="Y219" s="3062"/>
      <c r="Z219" s="3062"/>
      <c r="AB219" s="3062"/>
      <c r="AC219" s="3062"/>
      <c r="AD219" s="3062"/>
      <c r="AE219" s="3062"/>
      <c r="AF219" s="3062"/>
      <c r="AG219" s="3062"/>
      <c r="AH219" s="3062"/>
      <c r="AI219" s="3062"/>
      <c r="AJ219" s="3062"/>
      <c r="AK219" s="3062"/>
    </row>
    <row r="220" spans="1:37">
      <c r="A220" s="3135"/>
      <c r="B220" s="3135"/>
      <c r="C220" s="3061"/>
      <c r="D220" s="3061"/>
      <c r="E220" s="3061"/>
      <c r="F220" s="3061"/>
      <c r="G220" s="3061"/>
      <c r="N220" s="3136"/>
      <c r="O220" s="3061"/>
      <c r="P220" s="3061"/>
      <c r="Q220" s="3061"/>
      <c r="AA220" s="3061"/>
    </row>
    <row r="221" spans="1:37">
      <c r="A221" s="3135"/>
      <c r="B221" s="3135"/>
      <c r="C221" s="3061"/>
      <c r="D221" s="3061"/>
      <c r="E221" s="3061"/>
      <c r="F221" s="3061"/>
      <c r="G221" s="3061"/>
      <c r="N221" s="3136"/>
      <c r="O221" s="3061"/>
      <c r="P221" s="3061"/>
      <c r="Q221" s="3061"/>
      <c r="AA221" s="3061"/>
    </row>
    <row r="222" spans="1:37">
      <c r="A222" s="3135"/>
      <c r="B222" s="3135"/>
      <c r="C222" s="3061"/>
      <c r="D222" s="3061"/>
      <c r="E222" s="3061"/>
      <c r="F222" s="3061"/>
      <c r="G222" s="3061"/>
      <c r="O222" s="3061"/>
      <c r="P222" s="3061"/>
      <c r="Q222" s="3061"/>
      <c r="AA222" s="3061"/>
    </row>
  </sheetData>
  <mergeCells count="4">
    <mergeCell ref="A14:C14"/>
    <mergeCell ref="A15:C15"/>
    <mergeCell ref="A16:C16"/>
    <mergeCell ref="A1:M1"/>
  </mergeCells>
  <hyperlinks>
    <hyperlink ref="A1" location="GLOBAAL!A1" display="Cultuur &amp; Archief" xr:uid="{00000000-0004-0000-3900-000000000000}"/>
    <hyperlink ref="A1:M1" location="FINANCIËN!A1" display="Cultuur &amp; Erfgoed" xr:uid="{00000000-0004-0000-3900-000001000000}"/>
  </hyperlinks>
  <pageMargins left="0.7" right="0.7" top="0.75" bottom="0.75" header="0.3" footer="0.3"/>
  <pageSetup paperSize="9"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E0C816"/>
  </sheetPr>
  <dimension ref="A1:AJ157"/>
  <sheetViews>
    <sheetView zoomScaleNormal="100" workbookViewId="0">
      <pane xSplit="3" ySplit="3" topLeftCell="D43" activePane="bottomRight" state="frozen"/>
      <selection pane="topRight" activeCell="D1" sqref="D1"/>
      <selection pane="bottomLeft" activeCell="A4" sqref="A4"/>
      <selection pane="bottomRight" sqref="A1:L1"/>
    </sheetView>
  </sheetViews>
  <sheetFormatPr defaultColWidth="9.140625" defaultRowHeight="12.75"/>
  <cols>
    <col min="1" max="2" width="16.28515625" style="614" customWidth="1"/>
    <col min="3" max="3" width="19.140625" style="616" customWidth="1"/>
    <col min="4" max="4" width="11.5703125" style="616" customWidth="1"/>
    <col min="5" max="5" width="11.140625" style="616" customWidth="1"/>
    <col min="6" max="6" width="11.5703125" style="616" customWidth="1"/>
    <col min="7" max="7" width="11.85546875" style="616" bestFit="1" customWidth="1"/>
    <col min="8" max="8" width="13.85546875" style="616" bestFit="1" customWidth="1"/>
    <col min="9" max="10" width="10.7109375" style="616" bestFit="1" customWidth="1"/>
    <col min="11" max="18" width="11.85546875" style="616" bestFit="1" customWidth="1"/>
    <col min="19" max="22" width="10.7109375" style="616" bestFit="1" customWidth="1"/>
    <col min="23" max="23" width="10.85546875" style="616" bestFit="1" customWidth="1"/>
    <col min="24" max="36" width="9.140625" style="616"/>
    <col min="37" max="16384" width="9.140625" style="614"/>
  </cols>
  <sheetData>
    <row r="1" spans="1:36" ht="21">
      <c r="A1" s="4829" t="s">
        <v>997</v>
      </c>
      <c r="B1" s="4830"/>
      <c r="C1" s="4830"/>
      <c r="D1" s="4830"/>
      <c r="E1" s="4830"/>
      <c r="F1" s="4830"/>
      <c r="G1" s="4830"/>
      <c r="H1" s="4830"/>
      <c r="I1" s="4830"/>
      <c r="J1" s="4830"/>
      <c r="K1" s="4830"/>
      <c r="L1" s="4830"/>
    </row>
    <row r="2" spans="1:36" ht="13.5" thickBot="1">
      <c r="A2" s="609"/>
      <c r="B2" s="609"/>
    </row>
    <row r="3" spans="1:36" s="395" customFormat="1" ht="18" customHeight="1" thickBot="1">
      <c r="A3" s="1886"/>
      <c r="B3" s="1887"/>
      <c r="C3" s="1967">
        <v>2007</v>
      </c>
      <c r="D3" s="1967">
        <v>2008</v>
      </c>
      <c r="E3" s="1967">
        <v>2009</v>
      </c>
      <c r="F3" s="1967">
        <v>2010</v>
      </c>
      <c r="G3" s="1967">
        <v>2011</v>
      </c>
      <c r="H3" s="1967">
        <v>2012</v>
      </c>
      <c r="I3" s="1967">
        <v>2013</v>
      </c>
      <c r="J3" s="1967">
        <v>2014</v>
      </c>
      <c r="K3" s="1967">
        <v>2015</v>
      </c>
      <c r="L3" s="1967">
        <v>2016</v>
      </c>
      <c r="M3" s="1967">
        <v>2017</v>
      </c>
      <c r="N3" s="1967">
        <v>2018</v>
      </c>
      <c r="O3" s="1967">
        <v>2019</v>
      </c>
      <c r="P3" s="1967">
        <v>2020</v>
      </c>
      <c r="Q3" s="1967">
        <v>2021</v>
      </c>
      <c r="T3" s="1965"/>
      <c r="U3" s="1965"/>
      <c r="V3" s="1965"/>
      <c r="W3" s="1965"/>
      <c r="X3" s="1965"/>
      <c r="Y3" s="1965"/>
      <c r="Z3" s="1965"/>
      <c r="AA3" s="1965"/>
      <c r="AB3" s="1965"/>
      <c r="AC3" s="1965"/>
      <c r="AD3" s="1965"/>
      <c r="AE3" s="1965"/>
      <c r="AF3" s="1965"/>
      <c r="AG3" s="1965"/>
      <c r="AH3" s="1965"/>
      <c r="AI3" s="1965"/>
      <c r="AJ3" s="1965"/>
    </row>
    <row r="4" spans="1:36" s="395" customFormat="1">
      <c r="A4" s="1205" t="s">
        <v>986</v>
      </c>
      <c r="B4" s="397"/>
      <c r="C4" s="1969">
        <f t="shared" ref="C4:N4" si="0">G61</f>
        <v>28455.329999999998</v>
      </c>
      <c r="D4" s="1969">
        <f t="shared" si="0"/>
        <v>68144.965499999991</v>
      </c>
      <c r="E4" s="1969">
        <f t="shared" si="0"/>
        <v>67969.655499999993</v>
      </c>
      <c r="F4" s="1969">
        <f t="shared" si="0"/>
        <v>76684.107500000013</v>
      </c>
      <c r="G4" s="1969">
        <f t="shared" si="0"/>
        <v>79481.057499999995</v>
      </c>
      <c r="H4" s="1969">
        <f t="shared" si="0"/>
        <v>111338.74300000002</v>
      </c>
      <c r="I4" s="1969">
        <f t="shared" si="0"/>
        <v>109172.01699999999</v>
      </c>
      <c r="J4" s="1969">
        <f t="shared" si="0"/>
        <v>113102.91099999999</v>
      </c>
      <c r="K4" s="1969">
        <f t="shared" si="0"/>
        <v>113759.659</v>
      </c>
      <c r="L4" s="1969">
        <f t="shared" si="0"/>
        <v>133778.875</v>
      </c>
      <c r="M4" s="1969">
        <f t="shared" si="0"/>
        <v>139415.60500000001</v>
      </c>
      <c r="N4" s="2609">
        <f t="shared" si="0"/>
        <v>149453.31299999999</v>
      </c>
      <c r="O4" s="2609">
        <f>S61</f>
        <v>135760.679</v>
      </c>
      <c r="P4" s="2609">
        <f>T61</f>
        <v>151435.03899999999</v>
      </c>
      <c r="Q4" s="2609">
        <f>U61</f>
        <v>155703.13</v>
      </c>
      <c r="T4" s="1965"/>
      <c r="U4" s="1965"/>
      <c r="V4" s="1965"/>
      <c r="W4" s="1965"/>
      <c r="X4" s="1965"/>
      <c r="Y4" s="1965"/>
      <c r="Z4" s="1965"/>
      <c r="AA4" s="1965"/>
      <c r="AB4" s="1965"/>
      <c r="AC4" s="1965"/>
      <c r="AD4" s="1965"/>
      <c r="AE4" s="1965"/>
      <c r="AF4" s="1965"/>
      <c r="AG4" s="1965"/>
      <c r="AH4" s="1965"/>
      <c r="AI4" s="1965"/>
      <c r="AJ4" s="1965"/>
    </row>
    <row r="5" spans="1:36" s="395" customFormat="1">
      <c r="A5" s="1205" t="s">
        <v>987</v>
      </c>
      <c r="B5" s="397"/>
      <c r="C5" s="1969">
        <f t="shared" ref="C5:N5" si="1">G132</f>
        <v>5897.84</v>
      </c>
      <c r="D5" s="1969">
        <f t="shared" si="1"/>
        <v>8276.1</v>
      </c>
      <c r="E5" s="1969">
        <f t="shared" si="1"/>
        <v>7485.08</v>
      </c>
      <c r="F5" s="1969">
        <f t="shared" si="1"/>
        <v>7928.41</v>
      </c>
      <c r="G5" s="1969">
        <f t="shared" si="1"/>
        <v>10751.84</v>
      </c>
      <c r="H5" s="1969">
        <f t="shared" si="1"/>
        <v>18473.43</v>
      </c>
      <c r="I5" s="1969">
        <f t="shared" si="1"/>
        <v>16655.150000000001</v>
      </c>
      <c r="J5" s="1969">
        <f t="shared" si="1"/>
        <v>4480.6000000000004</v>
      </c>
      <c r="K5" s="1969">
        <f t="shared" si="1"/>
        <v>14908.37</v>
      </c>
      <c r="L5" s="1969">
        <f t="shared" si="1"/>
        <v>20598.78</v>
      </c>
      <c r="M5" s="1969">
        <f t="shared" si="1"/>
        <v>21013.89</v>
      </c>
      <c r="N5" s="1969">
        <f t="shared" si="1"/>
        <v>15776</v>
      </c>
      <c r="O5" s="1969">
        <f>S132</f>
        <v>14545.900000000001</v>
      </c>
      <c r="P5" s="1969">
        <f>T132</f>
        <v>2113.64</v>
      </c>
      <c r="Q5" s="1969">
        <f>U132</f>
        <v>5159</v>
      </c>
      <c r="T5" s="1965"/>
      <c r="U5" s="1965"/>
      <c r="V5" s="1965"/>
      <c r="W5" s="1965"/>
      <c r="X5" s="1965"/>
      <c r="Y5" s="1965"/>
      <c r="Z5" s="1965"/>
      <c r="AA5" s="1965"/>
      <c r="AB5" s="1965"/>
      <c r="AC5" s="1965"/>
      <c r="AD5" s="1965"/>
      <c r="AE5" s="1965"/>
      <c r="AF5" s="1965"/>
      <c r="AG5" s="1965"/>
      <c r="AH5" s="1965"/>
      <c r="AI5" s="1965"/>
      <c r="AJ5" s="1965"/>
    </row>
    <row r="6" spans="1:36" s="395" customFormat="1">
      <c r="A6" s="1205" t="s">
        <v>660</v>
      </c>
      <c r="B6" s="397"/>
      <c r="C6" s="1969">
        <f>C5-C4</f>
        <v>-22557.489999999998</v>
      </c>
      <c r="D6" s="1969">
        <f t="shared" ref="D6:I6" si="2">D5-D4</f>
        <v>-59868.865499999993</v>
      </c>
      <c r="E6" s="1969">
        <f t="shared" si="2"/>
        <v>-60484.575499999992</v>
      </c>
      <c r="F6" s="1969">
        <f t="shared" si="2"/>
        <v>-68755.697500000009</v>
      </c>
      <c r="G6" s="1969">
        <f t="shared" si="2"/>
        <v>-68729.217499999999</v>
      </c>
      <c r="H6" s="1969">
        <f t="shared" si="2"/>
        <v>-92865.313000000024</v>
      </c>
      <c r="I6" s="1969">
        <f t="shared" si="2"/>
        <v>-92516.866999999998</v>
      </c>
      <c r="J6" s="1969">
        <f t="shared" ref="J6:P6" si="3">J5-J4</f>
        <v>-108622.31099999999</v>
      </c>
      <c r="K6" s="1969">
        <f t="shared" si="3"/>
        <v>-98851.289000000004</v>
      </c>
      <c r="L6" s="1969">
        <f t="shared" si="3"/>
        <v>-113180.095</v>
      </c>
      <c r="M6" s="1969">
        <f t="shared" si="3"/>
        <v>-118401.71500000001</v>
      </c>
      <c r="N6" s="1969">
        <f t="shared" si="3"/>
        <v>-133677.31299999999</v>
      </c>
      <c r="O6" s="1969">
        <f t="shared" si="3"/>
        <v>-121214.77900000001</v>
      </c>
      <c r="P6" s="1969">
        <f t="shared" si="3"/>
        <v>-149321.39899999998</v>
      </c>
      <c r="Q6" s="1969">
        <f t="shared" ref="Q6" si="4">Q5-Q4</f>
        <v>-150544.13</v>
      </c>
      <c r="T6" s="1965"/>
      <c r="U6" s="1965"/>
      <c r="V6" s="1965"/>
      <c r="W6" s="1965"/>
      <c r="X6" s="1965"/>
      <c r="Y6" s="1965"/>
      <c r="Z6" s="1965"/>
      <c r="AA6" s="1965"/>
      <c r="AB6" s="1965"/>
      <c r="AC6" s="1965"/>
      <c r="AD6" s="1965"/>
      <c r="AE6" s="1965"/>
      <c r="AF6" s="1965"/>
      <c r="AG6" s="1965"/>
      <c r="AH6" s="1965"/>
      <c r="AI6" s="1965"/>
      <c r="AJ6" s="1965"/>
    </row>
    <row r="7" spans="1:36" s="395" customFormat="1">
      <c r="A7" s="1205"/>
      <c r="B7" s="397"/>
      <c r="C7" s="1969"/>
      <c r="D7" s="1969"/>
      <c r="E7" s="1969"/>
      <c r="F7" s="1969"/>
      <c r="G7" s="1969"/>
      <c r="H7" s="1969"/>
      <c r="I7" s="1969"/>
      <c r="J7" s="1969"/>
      <c r="K7" s="1969"/>
      <c r="L7" s="1969"/>
      <c r="M7" s="1969"/>
      <c r="N7" s="1969"/>
      <c r="O7" s="1969"/>
      <c r="P7" s="1969"/>
      <c r="Q7" s="1969"/>
      <c r="T7" s="1965"/>
      <c r="U7" s="1965"/>
      <c r="V7" s="1965"/>
      <c r="W7" s="1965"/>
      <c r="X7" s="1965"/>
      <c r="Y7" s="1965"/>
      <c r="Z7" s="1965"/>
      <c r="AA7" s="1965"/>
      <c r="AB7" s="1965"/>
      <c r="AC7" s="1965"/>
      <c r="AD7" s="1965"/>
      <c r="AE7" s="1965"/>
      <c r="AF7" s="1965"/>
      <c r="AG7" s="1965"/>
      <c r="AH7" s="1965"/>
      <c r="AI7" s="1965"/>
      <c r="AJ7" s="1965"/>
    </row>
    <row r="8" spans="1:36" s="395" customFormat="1">
      <c r="A8" s="1205" t="s">
        <v>990</v>
      </c>
      <c r="B8" s="397"/>
      <c r="C8" s="1969">
        <f t="shared" ref="C8:N8" si="5">G52</f>
        <v>28455.329999999998</v>
      </c>
      <c r="D8" s="1969">
        <f t="shared" si="5"/>
        <v>34387.129999999997</v>
      </c>
      <c r="E8" s="1969">
        <f t="shared" si="5"/>
        <v>34093.82</v>
      </c>
      <c r="F8" s="1969">
        <f t="shared" si="5"/>
        <v>41939.230000000003</v>
      </c>
      <c r="G8" s="1969">
        <f t="shared" si="5"/>
        <v>44736.18</v>
      </c>
      <c r="H8" s="1969">
        <f t="shared" si="5"/>
        <v>41958.9</v>
      </c>
      <c r="I8" s="1969">
        <f t="shared" si="5"/>
        <v>38529.090000000004</v>
      </c>
      <c r="J8" s="1969">
        <f t="shared" si="5"/>
        <v>37806.649999999994</v>
      </c>
      <c r="K8" s="1969">
        <f t="shared" si="5"/>
        <v>39332.44</v>
      </c>
      <c r="L8" s="1969">
        <f t="shared" si="5"/>
        <v>44717.299999999996</v>
      </c>
      <c r="M8" s="1969">
        <f t="shared" si="5"/>
        <v>47741.51</v>
      </c>
      <c r="N8" s="1969">
        <f t="shared" si="5"/>
        <v>58073.450000000004</v>
      </c>
      <c r="O8" s="1969">
        <f>S52</f>
        <v>47450.06</v>
      </c>
      <c r="P8" s="1969">
        <f>T52</f>
        <v>54054.509999999995</v>
      </c>
      <c r="Q8" s="1969">
        <f>U52</f>
        <v>67981.45</v>
      </c>
      <c r="T8" s="1965"/>
      <c r="U8" s="1965"/>
      <c r="V8" s="1965"/>
      <c r="W8" s="1965"/>
      <c r="X8" s="1965"/>
      <c r="Y8" s="1965"/>
      <c r="Z8" s="1965"/>
      <c r="AA8" s="1965"/>
      <c r="AB8" s="1965"/>
      <c r="AC8" s="1965"/>
      <c r="AD8" s="1965"/>
      <c r="AE8" s="1965"/>
      <c r="AF8" s="1965"/>
      <c r="AG8" s="1965"/>
      <c r="AH8" s="1965"/>
      <c r="AI8" s="1965"/>
      <c r="AJ8" s="1965"/>
    </row>
    <row r="9" spans="1:36" s="395" customFormat="1">
      <c r="A9" s="1205" t="s">
        <v>991</v>
      </c>
      <c r="B9" s="397"/>
      <c r="C9" s="1969">
        <f t="shared" ref="C9:N9" si="6">G55</f>
        <v>0</v>
      </c>
      <c r="D9" s="1969">
        <f t="shared" si="6"/>
        <v>0</v>
      </c>
      <c r="E9" s="1969">
        <f t="shared" si="6"/>
        <v>0</v>
      </c>
      <c r="F9" s="1969">
        <f t="shared" si="6"/>
        <v>0</v>
      </c>
      <c r="G9" s="1969">
        <f t="shared" si="6"/>
        <v>0</v>
      </c>
      <c r="H9" s="1969">
        <f t="shared" si="6"/>
        <v>0</v>
      </c>
      <c r="I9" s="1969">
        <f t="shared" si="6"/>
        <v>0</v>
      </c>
      <c r="J9" s="1969">
        <f t="shared" si="6"/>
        <v>0</v>
      </c>
      <c r="K9" s="1969">
        <f t="shared" si="6"/>
        <v>0</v>
      </c>
      <c r="L9" s="1969">
        <f t="shared" si="6"/>
        <v>0</v>
      </c>
      <c r="M9" s="1969">
        <f t="shared" si="6"/>
        <v>0</v>
      </c>
      <c r="N9" s="1969">
        <f t="shared" si="6"/>
        <v>0</v>
      </c>
      <c r="O9" s="1969">
        <f>S55</f>
        <v>0</v>
      </c>
      <c r="P9" s="1969">
        <f>T55</f>
        <v>0</v>
      </c>
      <c r="Q9" s="1969">
        <f>U55</f>
        <v>0</v>
      </c>
      <c r="T9" s="1965"/>
      <c r="U9" s="1965"/>
      <c r="V9" s="1965"/>
      <c r="W9" s="1965"/>
      <c r="X9" s="1965"/>
      <c r="Y9" s="1965"/>
      <c r="Z9" s="1965"/>
      <c r="AA9" s="1965"/>
      <c r="AB9" s="1965"/>
      <c r="AC9" s="1965"/>
      <c r="AD9" s="1965"/>
      <c r="AE9" s="1965"/>
      <c r="AF9" s="1965"/>
      <c r="AG9" s="1965"/>
      <c r="AH9" s="1965"/>
      <c r="AI9" s="1965"/>
      <c r="AJ9" s="1965"/>
    </row>
    <row r="10" spans="1:36" s="395" customFormat="1" ht="13.5" thickBot="1">
      <c r="A10" s="1205" t="s">
        <v>47</v>
      </c>
      <c r="B10" s="397"/>
      <c r="C10" s="1969">
        <f t="shared" ref="C10:N10" si="7">G60</f>
        <v>0</v>
      </c>
      <c r="D10" s="1969">
        <f t="shared" si="7"/>
        <v>33757.835500000001</v>
      </c>
      <c r="E10" s="1969">
        <f t="shared" si="7"/>
        <v>33875.835500000001</v>
      </c>
      <c r="F10" s="1969">
        <f t="shared" si="7"/>
        <v>34744.877500000002</v>
      </c>
      <c r="G10" s="1969">
        <f t="shared" si="7"/>
        <v>34744.877500000002</v>
      </c>
      <c r="H10" s="1969">
        <f t="shared" si="7"/>
        <v>69379.843000000008</v>
      </c>
      <c r="I10" s="1969">
        <f t="shared" si="7"/>
        <v>70642.926999999996</v>
      </c>
      <c r="J10" s="1969">
        <f t="shared" si="7"/>
        <v>75296.260999999999</v>
      </c>
      <c r="K10" s="1969">
        <f t="shared" si="7"/>
        <v>74427.218999999997</v>
      </c>
      <c r="L10" s="1969">
        <f t="shared" si="7"/>
        <v>89061.574999999997</v>
      </c>
      <c r="M10" s="1969">
        <f t="shared" si="7"/>
        <v>91674.095000000001</v>
      </c>
      <c r="N10" s="2610">
        <f t="shared" si="7"/>
        <v>91379.862999999998</v>
      </c>
      <c r="O10" s="2610">
        <f>S60</f>
        <v>88310.618999999992</v>
      </c>
      <c r="P10" s="2610">
        <f>T60</f>
        <v>97380.528999999995</v>
      </c>
      <c r="Q10" s="2610">
        <f>U60</f>
        <v>87721.68</v>
      </c>
      <c r="T10" s="1965"/>
      <c r="U10" s="1965"/>
      <c r="V10" s="1965"/>
      <c r="W10" s="1965"/>
      <c r="X10" s="1965"/>
      <c r="Y10" s="1965"/>
      <c r="Z10" s="1965"/>
      <c r="AA10" s="1965"/>
      <c r="AB10" s="1965"/>
      <c r="AC10" s="1965"/>
      <c r="AD10" s="1965"/>
      <c r="AE10" s="1965"/>
      <c r="AF10" s="1965"/>
      <c r="AG10" s="1965"/>
      <c r="AH10" s="1965"/>
      <c r="AI10" s="1965"/>
      <c r="AJ10" s="1965"/>
    </row>
    <row r="11" spans="1:36" s="395" customFormat="1" ht="18" customHeight="1" thickBot="1">
      <c r="A11" s="1891" t="s">
        <v>8</v>
      </c>
      <c r="B11" s="1979"/>
      <c r="C11" s="1970">
        <f>SUM(C8:C10)</f>
        <v>28455.329999999998</v>
      </c>
      <c r="D11" s="1970">
        <f t="shared" ref="D11:N11" si="8">SUM(D8:D10)</f>
        <v>68144.965499999991</v>
      </c>
      <c r="E11" s="1970">
        <f t="shared" si="8"/>
        <v>67969.655499999993</v>
      </c>
      <c r="F11" s="1970">
        <f t="shared" si="8"/>
        <v>76684.107500000013</v>
      </c>
      <c r="G11" s="1970">
        <f t="shared" si="8"/>
        <v>79481.057499999995</v>
      </c>
      <c r="H11" s="1970">
        <f t="shared" si="8"/>
        <v>111338.74300000002</v>
      </c>
      <c r="I11" s="1970">
        <f t="shared" si="8"/>
        <v>109172.01699999999</v>
      </c>
      <c r="J11" s="1970">
        <f t="shared" si="8"/>
        <v>113102.91099999999</v>
      </c>
      <c r="K11" s="1970">
        <f t="shared" si="8"/>
        <v>113759.659</v>
      </c>
      <c r="L11" s="1970">
        <f t="shared" si="8"/>
        <v>133778.875</v>
      </c>
      <c r="M11" s="1970">
        <f t="shared" si="8"/>
        <v>139415.60500000001</v>
      </c>
      <c r="N11" s="1970">
        <f t="shared" si="8"/>
        <v>149453.31299999999</v>
      </c>
      <c r="O11" s="1970">
        <f>SUM(O8:O10)</f>
        <v>135760.679</v>
      </c>
      <c r="P11" s="1970">
        <f>SUM(P8:P10)</f>
        <v>151435.03899999999</v>
      </c>
      <c r="Q11" s="1970">
        <f>SUM(Q8:Q10)</f>
        <v>155703.13</v>
      </c>
      <c r="T11" s="1965"/>
      <c r="U11" s="1965"/>
      <c r="V11" s="1965"/>
      <c r="W11" s="1965"/>
      <c r="X11" s="1965"/>
      <c r="Y11" s="1965"/>
      <c r="Z11" s="1965"/>
      <c r="AA11" s="1965"/>
      <c r="AB11" s="1965"/>
      <c r="AC11" s="1965"/>
      <c r="AD11" s="1965"/>
      <c r="AE11" s="1965"/>
      <c r="AF11" s="1965"/>
      <c r="AG11" s="1965"/>
      <c r="AH11" s="1965"/>
      <c r="AI11" s="1965"/>
      <c r="AJ11" s="1965"/>
    </row>
    <row r="12" spans="1:36" s="395" customFormat="1">
      <c r="C12" s="1965"/>
      <c r="D12" s="1965"/>
      <c r="E12" s="1965"/>
      <c r="F12" s="1965"/>
      <c r="G12" s="1965"/>
      <c r="H12" s="1965"/>
      <c r="I12" s="1965"/>
      <c r="J12" s="1965"/>
      <c r="K12" s="1965"/>
      <c r="L12" s="1965"/>
      <c r="M12" s="1965"/>
      <c r="N12" s="1965"/>
      <c r="O12" s="1965"/>
      <c r="P12" s="1965"/>
      <c r="T12" s="1965"/>
      <c r="U12" s="1965"/>
      <c r="V12" s="1965"/>
      <c r="W12" s="1965"/>
      <c r="X12" s="1965"/>
      <c r="Y12" s="1965"/>
      <c r="Z12" s="1965"/>
      <c r="AA12" s="1965"/>
      <c r="AB12" s="1965"/>
      <c r="AC12" s="1965"/>
      <c r="AD12" s="1965"/>
      <c r="AE12" s="1965"/>
      <c r="AF12" s="1965"/>
      <c r="AG12" s="1965"/>
      <c r="AH12" s="1965"/>
      <c r="AI12" s="1965"/>
      <c r="AJ12" s="1965"/>
    </row>
    <row r="13" spans="1:36" s="395" customFormat="1">
      <c r="A13" s="395" t="s">
        <v>994</v>
      </c>
      <c r="C13" s="1965"/>
      <c r="D13" s="1965">
        <f>(D8/C8)*100-100</f>
        <v>20.846006705949293</v>
      </c>
      <c r="E13" s="1965">
        <f t="shared" ref="E13:N13" si="9">(E8/D8)*100-100</f>
        <v>-0.85296446664783332</v>
      </c>
      <c r="F13" s="1965">
        <f t="shared" si="9"/>
        <v>23.011237813773874</v>
      </c>
      <c r="G13" s="1965">
        <f t="shared" si="9"/>
        <v>6.6690542482539428</v>
      </c>
      <c r="H13" s="1965">
        <f t="shared" si="9"/>
        <v>-6.2081295273758315</v>
      </c>
      <c r="I13" s="1965">
        <f t="shared" si="9"/>
        <v>-8.1742133373372496</v>
      </c>
      <c r="J13" s="1965">
        <f t="shared" si="9"/>
        <v>-1.8750507733248014</v>
      </c>
      <c r="K13" s="1965">
        <f t="shared" si="9"/>
        <v>4.0357714846462471</v>
      </c>
      <c r="L13" s="1965">
        <f t="shared" si="9"/>
        <v>13.69063297369803</v>
      </c>
      <c r="M13" s="1965">
        <f t="shared" si="9"/>
        <v>6.7629530405458382</v>
      </c>
      <c r="N13" s="1965">
        <f t="shared" si="9"/>
        <v>21.641418547507186</v>
      </c>
      <c r="O13" s="1965">
        <f>(O8/N8)*100-100</f>
        <v>-18.293023748373841</v>
      </c>
      <c r="P13" s="1965">
        <f>(P8/O8)*100-100</f>
        <v>13.918738985788409</v>
      </c>
      <c r="Q13" s="1965">
        <f>(Q8/P8)*100-100</f>
        <v>25.76462167541618</v>
      </c>
      <c r="T13" s="1965"/>
      <c r="U13" s="1965"/>
      <c r="V13" s="1965"/>
      <c r="W13" s="1965"/>
      <c r="X13" s="1965"/>
      <c r="Y13" s="1965"/>
      <c r="Z13" s="1965"/>
      <c r="AA13" s="1965"/>
      <c r="AB13" s="1965"/>
      <c r="AC13" s="1965"/>
      <c r="AD13" s="1965"/>
      <c r="AE13" s="1965"/>
      <c r="AF13" s="1965"/>
      <c r="AG13" s="1965"/>
      <c r="AH13" s="1965"/>
      <c r="AI13" s="1965"/>
      <c r="AJ13" s="1965"/>
    </row>
    <row r="14" spans="1:36" s="395" customFormat="1">
      <c r="A14" s="395" t="s">
        <v>995</v>
      </c>
      <c r="C14" s="1965"/>
      <c r="D14" s="1965" t="e">
        <f>(D10/C10)*100-100</f>
        <v>#DIV/0!</v>
      </c>
      <c r="E14" s="1965">
        <f t="shared" ref="E14:N14" si="10">(E10/D10)*100-100</f>
        <v>0.34954847741941819</v>
      </c>
      <c r="F14" s="1965">
        <f t="shared" si="10"/>
        <v>2.5653743654529251</v>
      </c>
      <c r="G14" s="1965">
        <f t="shared" si="10"/>
        <v>0</v>
      </c>
      <c r="H14" s="1965">
        <f t="shared" si="10"/>
        <v>99.683659843094858</v>
      </c>
      <c r="I14" s="1965">
        <f t="shared" si="10"/>
        <v>1.8205345319100701</v>
      </c>
      <c r="J14" s="1965">
        <f t="shared" si="10"/>
        <v>6.5871194719890411</v>
      </c>
      <c r="K14" s="1965">
        <f t="shared" si="10"/>
        <v>-1.1541635513614636</v>
      </c>
      <c r="L14" s="1965">
        <f t="shared" si="10"/>
        <v>19.66263981998307</v>
      </c>
      <c r="M14" s="1965">
        <f t="shared" si="10"/>
        <v>2.9333862555204178</v>
      </c>
      <c r="N14" s="1965">
        <f t="shared" si="10"/>
        <v>-0.32095435466257527</v>
      </c>
      <c r="O14" s="1965">
        <f>(O10/N10)*100-100</f>
        <v>-3.3587750071369697</v>
      </c>
      <c r="P14" s="1965">
        <f>(P10/O10)*100-100</f>
        <v>10.270463623406386</v>
      </c>
      <c r="Q14" s="1965">
        <f>(Q10/P10)*100-100</f>
        <v>-9.918665568144533</v>
      </c>
      <c r="T14" s="1965"/>
      <c r="U14" s="1965"/>
      <c r="V14" s="1965"/>
      <c r="W14" s="1965"/>
      <c r="X14" s="1965"/>
      <c r="Y14" s="1965"/>
      <c r="Z14" s="1965"/>
      <c r="AA14" s="1965"/>
      <c r="AB14" s="1965"/>
      <c r="AC14" s="1965"/>
      <c r="AD14" s="1965"/>
      <c r="AE14" s="1965"/>
      <c r="AF14" s="1965"/>
      <c r="AG14" s="1965"/>
      <c r="AH14" s="1965"/>
      <c r="AI14" s="1965"/>
      <c r="AJ14" s="1965"/>
    </row>
    <row r="15" spans="1:36" s="395" customFormat="1">
      <c r="C15" s="1965"/>
      <c r="D15" s="1965"/>
      <c r="E15" s="1965"/>
      <c r="F15" s="1965"/>
      <c r="G15" s="1965"/>
      <c r="H15" s="1965"/>
      <c r="I15" s="1965"/>
      <c r="J15" s="1965"/>
      <c r="K15" s="1965"/>
      <c r="L15" s="1965"/>
      <c r="M15" s="1965"/>
      <c r="N15" s="1965"/>
      <c r="O15" s="1965"/>
      <c r="P15" s="1965"/>
      <c r="Q15" s="1965"/>
      <c r="R15" s="1965"/>
      <c r="S15" s="1965"/>
      <c r="T15" s="1965"/>
      <c r="U15" s="1965"/>
      <c r="V15" s="1965"/>
      <c r="W15" s="1965"/>
      <c r="X15" s="1965"/>
      <c r="Y15" s="1965"/>
      <c r="Z15" s="1965"/>
      <c r="AA15" s="1965"/>
      <c r="AB15" s="1965"/>
      <c r="AC15" s="1965"/>
      <c r="AD15" s="1965"/>
      <c r="AE15" s="1965"/>
      <c r="AF15" s="1965"/>
      <c r="AG15" s="1965"/>
      <c r="AH15" s="1965"/>
      <c r="AI15" s="1965"/>
      <c r="AJ15" s="1965"/>
    </row>
    <row r="16" spans="1:36" s="395" customFormat="1">
      <c r="C16" s="1965"/>
      <c r="D16" s="1965"/>
      <c r="E16" s="1965"/>
      <c r="F16" s="1965"/>
      <c r="G16" s="1965"/>
      <c r="H16" s="1965"/>
      <c r="I16" s="1965"/>
      <c r="J16" s="1965"/>
      <c r="K16" s="1965"/>
      <c r="L16" s="1965"/>
      <c r="M16" s="1965"/>
      <c r="N16" s="1965"/>
      <c r="O16" s="1965"/>
      <c r="P16" s="1965"/>
      <c r="Q16" s="1965"/>
      <c r="R16" s="1965"/>
      <c r="S16" s="1965"/>
      <c r="T16" s="1965"/>
      <c r="U16" s="1965"/>
      <c r="V16" s="1965"/>
      <c r="W16" s="1965"/>
      <c r="X16" s="1965"/>
      <c r="Y16" s="1965"/>
      <c r="Z16" s="1965"/>
      <c r="AA16" s="1965"/>
      <c r="AB16" s="1965"/>
      <c r="AC16" s="1965"/>
      <c r="AD16" s="1965"/>
      <c r="AE16" s="1965"/>
      <c r="AF16" s="1965"/>
      <c r="AG16" s="1965"/>
      <c r="AH16" s="1965"/>
      <c r="AI16" s="1965"/>
      <c r="AJ16" s="1965"/>
    </row>
    <row r="17" spans="1:36" s="395" customFormat="1">
      <c r="C17" s="1965"/>
      <c r="D17" s="1965"/>
      <c r="E17" s="1965"/>
      <c r="F17" s="1965"/>
      <c r="G17" s="1965"/>
      <c r="H17" s="1965"/>
      <c r="I17" s="1965"/>
      <c r="J17" s="1965"/>
      <c r="K17" s="1965"/>
      <c r="L17" s="1965"/>
      <c r="M17" s="1965"/>
      <c r="N17" s="1965"/>
      <c r="O17" s="1965"/>
      <c r="P17" s="1965"/>
      <c r="Q17" s="1965"/>
      <c r="R17" s="1965"/>
      <c r="S17" s="1965"/>
      <c r="T17" s="1965"/>
      <c r="U17" s="1965"/>
      <c r="V17" s="1965"/>
      <c r="W17" s="1965"/>
      <c r="X17" s="1965"/>
      <c r="Y17" s="1965"/>
      <c r="Z17" s="1965"/>
      <c r="AA17" s="1965"/>
      <c r="AB17" s="1965"/>
      <c r="AC17" s="1965"/>
      <c r="AD17" s="1965"/>
      <c r="AE17" s="1965"/>
      <c r="AF17" s="1965"/>
      <c r="AG17" s="1965"/>
      <c r="AH17" s="1965"/>
      <c r="AI17" s="1965"/>
      <c r="AJ17" s="1965"/>
    </row>
    <row r="18" spans="1:36" s="395" customFormat="1">
      <c r="C18" s="1965"/>
      <c r="D18" s="1965"/>
      <c r="E18" s="1965"/>
      <c r="F18" s="1965"/>
      <c r="G18" s="1965"/>
      <c r="H18" s="1965"/>
      <c r="I18" s="1965"/>
      <c r="J18" s="1965"/>
      <c r="K18" s="1965"/>
      <c r="L18" s="1965"/>
      <c r="M18" s="1965"/>
      <c r="N18" s="1965"/>
      <c r="O18" s="1965"/>
      <c r="P18" s="1965"/>
      <c r="Q18" s="1965"/>
      <c r="R18" s="1965"/>
      <c r="S18" s="1965"/>
      <c r="T18" s="1965"/>
      <c r="U18" s="1965"/>
      <c r="V18" s="1965"/>
      <c r="W18" s="1965"/>
      <c r="X18" s="1965"/>
      <c r="Y18" s="1965"/>
      <c r="Z18" s="1965"/>
      <c r="AA18" s="1965"/>
      <c r="AB18" s="1965"/>
      <c r="AC18" s="1965"/>
      <c r="AD18" s="1965"/>
      <c r="AE18" s="1965"/>
      <c r="AF18" s="1965"/>
      <c r="AG18" s="1965"/>
      <c r="AH18" s="1965"/>
      <c r="AI18" s="1965"/>
      <c r="AJ18" s="1965"/>
    </row>
    <row r="19" spans="1:36" s="395" customFormat="1">
      <c r="C19" s="1965"/>
      <c r="D19" s="1965"/>
      <c r="E19" s="1965"/>
      <c r="F19" s="1965"/>
      <c r="G19" s="1965"/>
      <c r="H19" s="1965"/>
      <c r="I19" s="1965"/>
      <c r="J19" s="1965"/>
      <c r="K19" s="1965"/>
      <c r="L19" s="1965"/>
      <c r="M19" s="1965"/>
      <c r="N19" s="1965"/>
      <c r="O19" s="1965"/>
      <c r="P19" s="1965"/>
      <c r="Q19" s="1965"/>
      <c r="R19" s="1965"/>
      <c r="S19" s="1965"/>
      <c r="T19" s="1965"/>
      <c r="U19" s="1965"/>
      <c r="V19" s="1965"/>
      <c r="W19" s="1965"/>
      <c r="X19" s="1965"/>
      <c r="Y19" s="1965"/>
      <c r="Z19" s="1965"/>
      <c r="AA19" s="1965"/>
      <c r="AB19" s="1965"/>
      <c r="AC19" s="1965"/>
      <c r="AD19" s="1965"/>
      <c r="AE19" s="1965"/>
      <c r="AF19" s="1965"/>
      <c r="AG19" s="1965"/>
      <c r="AH19" s="1965"/>
      <c r="AI19" s="1965"/>
      <c r="AJ19" s="1965"/>
    </row>
    <row r="20" spans="1:36" s="395" customFormat="1">
      <c r="C20" s="1965"/>
      <c r="D20" s="1965"/>
      <c r="E20" s="1965"/>
      <c r="F20" s="1965"/>
      <c r="G20" s="1965"/>
      <c r="H20" s="1965"/>
      <c r="I20" s="1965"/>
      <c r="J20" s="1965"/>
      <c r="K20" s="1965"/>
      <c r="L20" s="1965"/>
      <c r="M20" s="1965"/>
      <c r="N20" s="1965"/>
      <c r="O20" s="1965"/>
      <c r="P20" s="1965"/>
      <c r="Q20" s="1965"/>
      <c r="R20" s="1965"/>
      <c r="S20" s="1965"/>
      <c r="T20" s="1965"/>
      <c r="U20" s="1965"/>
      <c r="V20" s="1965"/>
      <c r="W20" s="1965"/>
      <c r="X20" s="1965"/>
      <c r="Y20" s="1965"/>
      <c r="Z20" s="1965"/>
      <c r="AA20" s="1965"/>
      <c r="AB20" s="1965"/>
      <c r="AC20" s="1965"/>
      <c r="AD20" s="1965"/>
      <c r="AE20" s="1965"/>
      <c r="AF20" s="1965"/>
      <c r="AG20" s="1965"/>
      <c r="AH20" s="1965"/>
      <c r="AI20" s="1965"/>
      <c r="AJ20" s="1965"/>
    </row>
    <row r="21" spans="1:36" s="395" customFormat="1">
      <c r="C21" s="1965"/>
      <c r="D21" s="1965"/>
      <c r="E21" s="1965"/>
      <c r="F21" s="1965"/>
      <c r="G21" s="1965"/>
      <c r="H21" s="1965"/>
      <c r="I21" s="1965"/>
      <c r="J21" s="1965"/>
      <c r="K21" s="1965"/>
      <c r="L21" s="1965"/>
      <c r="M21" s="1965"/>
      <c r="N21" s="1965"/>
      <c r="O21" s="1965"/>
      <c r="P21" s="1965"/>
      <c r="Q21" s="1965"/>
      <c r="R21" s="1965"/>
      <c r="S21" s="1965"/>
      <c r="T21" s="1965"/>
      <c r="U21" s="1965"/>
      <c r="V21" s="1965"/>
      <c r="W21" s="1965"/>
      <c r="X21" s="1965"/>
      <c r="Y21" s="1965"/>
      <c r="Z21" s="1965"/>
      <c r="AA21" s="1965"/>
      <c r="AB21" s="1965"/>
      <c r="AC21" s="1965"/>
      <c r="AD21" s="1965"/>
      <c r="AE21" s="1965"/>
      <c r="AF21" s="1965"/>
      <c r="AG21" s="1965"/>
      <c r="AH21" s="1965"/>
      <c r="AI21" s="1965"/>
      <c r="AJ21" s="1965"/>
    </row>
    <row r="22" spans="1:36" s="395" customFormat="1">
      <c r="A22" s="3013" t="s">
        <v>7073</v>
      </c>
      <c r="B22" s="3013"/>
      <c r="C22" s="3137"/>
      <c r="G22" s="1965"/>
      <c r="H22" s="1965"/>
      <c r="I22" s="1965"/>
      <c r="J22" s="1965"/>
      <c r="K22" s="1965"/>
      <c r="L22" s="1965"/>
      <c r="M22" s="1965"/>
      <c r="Q22" s="1965"/>
      <c r="R22" s="1965"/>
      <c r="S22" s="1965"/>
      <c r="T22" s="1965"/>
      <c r="U22" s="1965"/>
      <c r="V22" s="1965"/>
      <c r="W22" s="1965"/>
      <c r="X22" s="1965"/>
      <c r="Y22" s="1965"/>
      <c r="AC22" s="1965"/>
      <c r="AD22" s="1965"/>
      <c r="AE22" s="1965"/>
      <c r="AF22" s="1965"/>
      <c r="AG22" s="1965"/>
      <c r="AH22" s="1965"/>
      <c r="AI22" s="1965"/>
      <c r="AJ22" s="1965"/>
    </row>
    <row r="23" spans="1:36" s="395" customFormat="1">
      <c r="A23" s="1633"/>
      <c r="B23" s="1633"/>
      <c r="G23" s="1965"/>
      <c r="H23" s="1965"/>
      <c r="I23" s="1965"/>
      <c r="J23" s="1965"/>
      <c r="K23" s="1965"/>
      <c r="L23" s="1965"/>
      <c r="M23" s="1965"/>
      <c r="Q23" s="1965"/>
      <c r="R23" s="1965"/>
      <c r="S23" s="1965"/>
      <c r="T23" s="1965"/>
      <c r="U23" s="1965"/>
      <c r="V23" s="1965"/>
      <c r="W23" s="1965"/>
      <c r="X23" s="1965"/>
      <c r="Y23" s="1965"/>
      <c r="AC23" s="1965"/>
      <c r="AD23" s="1965"/>
      <c r="AE23" s="1965"/>
      <c r="AF23" s="1965"/>
      <c r="AG23" s="1965"/>
      <c r="AH23" s="1965"/>
      <c r="AI23" s="1965"/>
      <c r="AJ23" s="1965"/>
    </row>
    <row r="24" spans="1:36" s="395" customFormat="1">
      <c r="A24" s="1989" t="s">
        <v>623</v>
      </c>
      <c r="B24" s="1991"/>
      <c r="C24" s="1991" t="s">
        <v>1002</v>
      </c>
      <c r="D24" s="1991"/>
      <c r="E24" s="1991"/>
      <c r="F24" s="1991"/>
      <c r="G24" s="1990">
        <v>2007</v>
      </c>
      <c r="H24" s="1990">
        <v>2008</v>
      </c>
      <c r="I24" s="1990">
        <v>2009</v>
      </c>
      <c r="J24" s="1990">
        <v>2010</v>
      </c>
      <c r="K24" s="1990">
        <v>2011</v>
      </c>
      <c r="L24" s="1990">
        <v>2012</v>
      </c>
      <c r="M24" s="1990">
        <v>2013</v>
      </c>
      <c r="N24" s="1990">
        <v>2014</v>
      </c>
      <c r="O24" s="1990">
        <v>2015</v>
      </c>
      <c r="P24" s="1990">
        <v>2016</v>
      </c>
      <c r="Q24" s="1990">
        <v>2017</v>
      </c>
      <c r="R24" s="1990">
        <v>2018</v>
      </c>
      <c r="S24" s="1990">
        <v>2019</v>
      </c>
      <c r="T24" s="1990">
        <v>2020</v>
      </c>
      <c r="U24" s="1990">
        <v>2021</v>
      </c>
      <c r="V24" s="1990">
        <v>2022</v>
      </c>
      <c r="W24" s="2050">
        <v>2023</v>
      </c>
      <c r="X24" s="1973"/>
      <c r="Y24" s="1973"/>
      <c r="Z24" s="1633"/>
      <c r="AA24" s="1633"/>
      <c r="AB24" s="1633"/>
      <c r="AC24" s="1965"/>
      <c r="AD24" s="1965"/>
      <c r="AE24" s="1965"/>
      <c r="AF24" s="1965"/>
      <c r="AG24" s="1965"/>
      <c r="AH24" s="1965"/>
      <c r="AI24" s="1965"/>
      <c r="AJ24" s="1965"/>
    </row>
    <row r="25" spans="1:36" s="395" customFormat="1">
      <c r="A25" s="1984" t="s">
        <v>1003</v>
      </c>
      <c r="B25" s="1985"/>
      <c r="C25" s="1986"/>
      <c r="D25" s="1986"/>
      <c r="E25" s="1986"/>
      <c r="F25" s="1986"/>
      <c r="G25" s="1987"/>
      <c r="H25" s="1987"/>
      <c r="I25" s="1987"/>
      <c r="J25" s="1987"/>
      <c r="K25" s="1987"/>
      <c r="L25" s="1987"/>
      <c r="M25" s="1987"/>
      <c r="N25" s="1986"/>
      <c r="O25" s="1986"/>
      <c r="P25" s="1986"/>
      <c r="Q25" s="1987"/>
      <c r="R25" s="1987"/>
      <c r="S25" s="1987"/>
      <c r="T25" s="1987"/>
      <c r="U25" s="1987"/>
      <c r="V25" s="1987"/>
      <c r="W25" s="1988"/>
      <c r="X25" s="1965"/>
      <c r="Y25" s="1965"/>
      <c r="AC25" s="1965"/>
      <c r="AD25" s="1965"/>
      <c r="AE25" s="1965"/>
      <c r="AF25" s="1965"/>
      <c r="AG25" s="1965"/>
      <c r="AH25" s="1965"/>
      <c r="AI25" s="1965"/>
      <c r="AJ25" s="1965"/>
    </row>
    <row r="26" spans="1:36" s="395" customFormat="1">
      <c r="A26" s="1993" t="s">
        <v>990</v>
      </c>
      <c r="B26" s="1994"/>
      <c r="C26" s="1995"/>
      <c r="D26" s="1995"/>
      <c r="E26" s="1995"/>
      <c r="F26" s="1996"/>
      <c r="G26" s="1487"/>
      <c r="H26" s="1487"/>
      <c r="I26" s="1487"/>
      <c r="J26" s="1487"/>
      <c r="K26" s="1487"/>
      <c r="L26" s="1487"/>
      <c r="M26" s="1487"/>
      <c r="N26" s="397"/>
      <c r="O26" s="397"/>
      <c r="P26" s="397"/>
      <c r="Q26" s="1487"/>
      <c r="R26" s="1487"/>
      <c r="S26" s="1487"/>
      <c r="T26" s="1487"/>
      <c r="U26" s="1487"/>
      <c r="V26" s="1487"/>
      <c r="W26" s="1489"/>
      <c r="X26" s="1965"/>
      <c r="Y26" s="1965"/>
      <c r="AC26" s="1965"/>
      <c r="AD26" s="1965"/>
      <c r="AE26" s="1965"/>
      <c r="AF26" s="1965"/>
      <c r="AG26" s="1965"/>
      <c r="AH26" s="1965"/>
      <c r="AI26" s="1965"/>
      <c r="AJ26" s="1965"/>
    </row>
    <row r="27" spans="1:36" s="395" customFormat="1">
      <c r="A27" s="1997" t="s">
        <v>2469</v>
      </c>
      <c r="B27" s="583">
        <v>610000</v>
      </c>
      <c r="C27" s="397" t="s">
        <v>2470</v>
      </c>
      <c r="D27" s="397"/>
      <c r="E27" s="397"/>
      <c r="F27" s="1998"/>
      <c r="G27" s="1487"/>
      <c r="H27" s="1487"/>
      <c r="I27" s="1487"/>
      <c r="J27" s="1487"/>
      <c r="K27" s="1487"/>
      <c r="L27" s="1487"/>
      <c r="M27" s="1487"/>
      <c r="N27" s="1487">
        <v>258.17</v>
      </c>
      <c r="O27" s="1487">
        <v>168.25</v>
      </c>
      <c r="P27" s="1487">
        <v>373.56</v>
      </c>
      <c r="Q27" s="1487">
        <v>375.95</v>
      </c>
      <c r="R27" s="1487">
        <v>379.49</v>
      </c>
      <c r="S27" s="1487">
        <v>383.45</v>
      </c>
      <c r="T27" s="1487">
        <v>292.73</v>
      </c>
      <c r="U27" s="1487">
        <v>93.33</v>
      </c>
      <c r="V27" s="1487"/>
      <c r="W27" s="1489"/>
      <c r="X27" s="1965"/>
      <c r="Y27" s="1965"/>
      <c r="AC27" s="1965"/>
      <c r="AD27" s="1965"/>
      <c r="AE27" s="1965"/>
      <c r="AF27" s="1965"/>
      <c r="AG27" s="1965"/>
      <c r="AH27" s="1965"/>
      <c r="AI27" s="1965"/>
      <c r="AJ27" s="1965"/>
    </row>
    <row r="28" spans="1:36" s="395" customFormat="1">
      <c r="A28" s="1997" t="s">
        <v>2471</v>
      </c>
      <c r="B28" s="583">
        <v>610300</v>
      </c>
      <c r="C28" s="397" t="s">
        <v>2472</v>
      </c>
      <c r="D28" s="397"/>
      <c r="E28" s="397"/>
      <c r="F28" s="1998"/>
      <c r="G28" s="1487"/>
      <c r="H28" s="1487"/>
      <c r="I28" s="1487"/>
      <c r="J28" s="1487"/>
      <c r="K28" s="1487"/>
      <c r="L28" s="1487"/>
      <c r="M28" s="1487"/>
      <c r="N28" s="1487">
        <v>5333.41</v>
      </c>
      <c r="O28" s="1487">
        <v>12047.12</v>
      </c>
      <c r="P28" s="1487">
        <v>9121.99</v>
      </c>
      <c r="Q28" s="1487">
        <v>17382.05</v>
      </c>
      <c r="R28" s="1487">
        <v>13484.02</v>
      </c>
      <c r="S28" s="1487">
        <v>11549.82</v>
      </c>
      <c r="T28" s="1487">
        <v>15915.59</v>
      </c>
      <c r="U28" s="1487">
        <v>18157.87</v>
      </c>
      <c r="V28" s="1487"/>
      <c r="W28" s="1489"/>
      <c r="X28" s="1965"/>
      <c r="Y28" s="1965"/>
      <c r="AC28" s="1965"/>
      <c r="AD28" s="1965"/>
      <c r="AE28" s="1965"/>
      <c r="AF28" s="1965"/>
      <c r="AG28" s="1965"/>
      <c r="AH28" s="1965"/>
      <c r="AI28" s="1965"/>
      <c r="AJ28" s="1965"/>
    </row>
    <row r="29" spans="1:36" s="395" customFormat="1">
      <c r="A29" s="1997"/>
      <c r="B29" s="583">
        <v>602100</v>
      </c>
      <c r="C29" s="397" t="s">
        <v>7357</v>
      </c>
      <c r="D29" s="397"/>
      <c r="E29" s="397"/>
      <c r="F29" s="1998"/>
      <c r="G29" s="1487"/>
      <c r="H29" s="1487"/>
      <c r="I29" s="1487"/>
      <c r="J29" s="1487"/>
      <c r="K29" s="1487"/>
      <c r="L29" s="1487"/>
      <c r="M29" s="1487"/>
      <c r="N29" s="1487"/>
      <c r="O29" s="1487"/>
      <c r="P29" s="1487"/>
      <c r="Q29" s="1487"/>
      <c r="R29" s="1487"/>
      <c r="S29" s="1487"/>
      <c r="T29" s="1487">
        <v>1347.37</v>
      </c>
      <c r="U29" s="1487">
        <v>921.13</v>
      </c>
      <c r="V29" s="1487"/>
      <c r="W29" s="1489"/>
      <c r="X29" s="1965"/>
      <c r="Y29" s="1965"/>
      <c r="AC29" s="1965"/>
      <c r="AD29" s="1965"/>
      <c r="AE29" s="1965"/>
      <c r="AF29" s="1965"/>
      <c r="AG29" s="1965"/>
      <c r="AH29" s="1965"/>
      <c r="AI29" s="1965"/>
      <c r="AJ29" s="1965"/>
    </row>
    <row r="30" spans="1:36" s="395" customFormat="1">
      <c r="A30" s="1997" t="s">
        <v>2473</v>
      </c>
      <c r="B30" s="583"/>
      <c r="C30" s="397" t="s">
        <v>2146</v>
      </c>
      <c r="D30" s="397"/>
      <c r="E30" s="397"/>
      <c r="F30" s="1998"/>
      <c r="G30" s="1487"/>
      <c r="H30" s="1487"/>
      <c r="I30" s="1487"/>
      <c r="J30" s="1487"/>
      <c r="K30" s="1487"/>
      <c r="L30" s="1487"/>
      <c r="M30" s="1487"/>
      <c r="N30" s="1487">
        <v>5412.19</v>
      </c>
      <c r="O30" s="1487">
        <v>4645.1099999999997</v>
      </c>
      <c r="P30" s="1487">
        <v>5746.9</v>
      </c>
      <c r="Q30" s="1487">
        <v>3626.8</v>
      </c>
      <c r="R30" s="1487">
        <v>5830.94</v>
      </c>
      <c r="S30" s="1487">
        <v>5984.32</v>
      </c>
      <c r="T30" s="1487"/>
      <c r="U30" s="1487"/>
      <c r="V30" s="1487"/>
      <c r="W30" s="1489"/>
      <c r="X30" s="1965"/>
      <c r="Y30" s="1965"/>
      <c r="AC30" s="1965"/>
      <c r="AD30" s="1965"/>
      <c r="AE30" s="1965"/>
      <c r="AF30" s="1965"/>
      <c r="AG30" s="1965"/>
      <c r="AH30" s="1965"/>
      <c r="AI30" s="1965"/>
      <c r="AJ30" s="1965"/>
    </row>
    <row r="31" spans="1:36" s="395" customFormat="1">
      <c r="A31" s="1997" t="s">
        <v>2474</v>
      </c>
      <c r="B31" s="583">
        <v>611000</v>
      </c>
      <c r="C31" s="397" t="s">
        <v>1322</v>
      </c>
      <c r="D31" s="397"/>
      <c r="E31" s="397"/>
      <c r="F31" s="1998"/>
      <c r="G31" s="1487"/>
      <c r="H31" s="1487"/>
      <c r="I31" s="1487"/>
      <c r="J31" s="1487"/>
      <c r="K31" s="1487"/>
      <c r="L31" s="1487"/>
      <c r="M31" s="1487"/>
      <c r="N31" s="1487">
        <v>11851.73</v>
      </c>
      <c r="O31" s="1487">
        <v>8332.1</v>
      </c>
      <c r="P31" s="1487">
        <v>14689.67</v>
      </c>
      <c r="Q31" s="1487">
        <v>10482.42</v>
      </c>
      <c r="R31" s="1487">
        <v>16266.01</v>
      </c>
      <c r="S31" s="1487">
        <v>10344.719999999999</v>
      </c>
      <c r="T31" s="1487">
        <v>17313.88</v>
      </c>
      <c r="U31" s="1487">
        <v>19617.52</v>
      </c>
      <c r="V31" s="1487"/>
      <c r="W31" s="1489"/>
      <c r="X31" s="1965"/>
      <c r="Y31" s="1965"/>
      <c r="AC31" s="1965"/>
      <c r="AD31" s="1965"/>
      <c r="AE31" s="1965"/>
      <c r="AF31" s="1965"/>
      <c r="AG31" s="1965"/>
      <c r="AH31" s="1965"/>
      <c r="AI31" s="1965"/>
      <c r="AJ31" s="1965"/>
    </row>
    <row r="32" spans="1:36" s="395" customFormat="1">
      <c r="A32" s="1997" t="s">
        <v>2475</v>
      </c>
      <c r="B32" s="583">
        <v>611100</v>
      </c>
      <c r="C32" s="397" t="s">
        <v>1324</v>
      </c>
      <c r="D32" s="397"/>
      <c r="E32" s="397"/>
      <c r="F32" s="1998"/>
      <c r="G32" s="1487"/>
      <c r="H32" s="1487"/>
      <c r="I32" s="1487"/>
      <c r="J32" s="1487"/>
      <c r="K32" s="1487"/>
      <c r="L32" s="1487"/>
      <c r="M32" s="1487"/>
      <c r="N32" s="1487">
        <v>6589.38</v>
      </c>
      <c r="O32" s="1487">
        <v>5993.53</v>
      </c>
      <c r="P32" s="1487">
        <v>6125.05</v>
      </c>
      <c r="Q32" s="1487">
        <v>6681.8</v>
      </c>
      <c r="R32" s="1487">
        <v>8784.07</v>
      </c>
      <c r="S32" s="1487">
        <v>6725.7</v>
      </c>
      <c r="T32" s="1487">
        <v>1463.53</v>
      </c>
      <c r="U32" s="1487">
        <v>6333.27</v>
      </c>
      <c r="V32" s="1487"/>
      <c r="W32" s="1489"/>
      <c r="X32" s="1965"/>
      <c r="Y32" s="1965"/>
      <c r="AC32" s="1965"/>
      <c r="AD32" s="1965"/>
      <c r="AE32" s="1965"/>
      <c r="AF32" s="1965"/>
      <c r="AG32" s="1965"/>
      <c r="AH32" s="1965"/>
      <c r="AI32" s="1965"/>
      <c r="AJ32" s="1965"/>
    </row>
    <row r="33" spans="1:36" s="395" customFormat="1">
      <c r="A33" s="1997" t="s">
        <v>2476</v>
      </c>
      <c r="B33" s="583"/>
      <c r="C33" s="397" t="s">
        <v>2390</v>
      </c>
      <c r="D33" s="397"/>
      <c r="E33" s="397"/>
      <c r="F33" s="1998"/>
      <c r="G33" s="1487"/>
      <c r="H33" s="1487"/>
      <c r="I33" s="1487"/>
      <c r="J33" s="1487"/>
      <c r="K33" s="1487"/>
      <c r="L33" s="1487"/>
      <c r="M33" s="1487"/>
      <c r="N33" s="1487">
        <v>1448.37</v>
      </c>
      <c r="O33" s="1487">
        <v>553.94000000000005</v>
      </c>
      <c r="P33" s="1487"/>
      <c r="Q33" s="1487"/>
      <c r="R33" s="1487"/>
      <c r="S33" s="1487"/>
      <c r="T33" s="1487"/>
      <c r="U33" s="1487"/>
      <c r="V33" s="1487"/>
      <c r="W33" s="1489"/>
      <c r="X33" s="1965"/>
      <c r="Y33" s="1965"/>
      <c r="AC33" s="1965"/>
      <c r="AD33" s="1965"/>
      <c r="AE33" s="1965"/>
      <c r="AF33" s="1965"/>
      <c r="AG33" s="1965"/>
      <c r="AH33" s="1965"/>
      <c r="AI33" s="1965"/>
      <c r="AJ33" s="1965"/>
    </row>
    <row r="34" spans="1:36" s="395" customFormat="1">
      <c r="A34" s="1997" t="s">
        <v>2477</v>
      </c>
      <c r="B34" s="583">
        <v>611300</v>
      </c>
      <c r="C34" s="397" t="s">
        <v>1375</v>
      </c>
      <c r="D34" s="397"/>
      <c r="E34" s="397"/>
      <c r="F34" s="1998"/>
      <c r="G34" s="1487"/>
      <c r="H34" s="1487"/>
      <c r="I34" s="1487"/>
      <c r="J34" s="1487"/>
      <c r="K34" s="1487"/>
      <c r="L34" s="1487"/>
      <c r="M34" s="1487"/>
      <c r="N34" s="1487">
        <v>397.87</v>
      </c>
      <c r="O34" s="1487">
        <v>1041.01</v>
      </c>
      <c r="P34" s="1487">
        <v>1226.6600000000001</v>
      </c>
      <c r="Q34" s="1487">
        <v>1698.39</v>
      </c>
      <c r="R34" s="1487">
        <v>2769.15</v>
      </c>
      <c r="S34" s="1487">
        <v>1224.98</v>
      </c>
      <c r="T34" s="1487">
        <v>3712.43</v>
      </c>
      <c r="U34" s="1487">
        <v>1172.1099999999999</v>
      </c>
      <c r="V34" s="1487"/>
      <c r="W34" s="1489"/>
      <c r="X34" s="1965"/>
      <c r="Y34" s="1965"/>
      <c r="AC34" s="1965"/>
      <c r="AD34" s="1965"/>
      <c r="AE34" s="1965"/>
      <c r="AF34" s="1965"/>
      <c r="AG34" s="1965"/>
      <c r="AH34" s="1965"/>
      <c r="AI34" s="1965"/>
      <c r="AJ34" s="1965"/>
    </row>
    <row r="35" spans="1:36" s="395" customFormat="1">
      <c r="A35" s="1997" t="s">
        <v>2478</v>
      </c>
      <c r="B35" s="583">
        <v>612000</v>
      </c>
      <c r="C35" s="397" t="s">
        <v>1678</v>
      </c>
      <c r="D35" s="397"/>
      <c r="E35" s="397"/>
      <c r="F35" s="1998"/>
      <c r="G35" s="1487"/>
      <c r="H35" s="1487"/>
      <c r="I35" s="1487"/>
      <c r="J35" s="1487"/>
      <c r="K35" s="1487"/>
      <c r="L35" s="1487"/>
      <c r="M35" s="1487"/>
      <c r="N35" s="1487">
        <v>6244.29</v>
      </c>
      <c r="O35" s="1487">
        <v>6295.01</v>
      </c>
      <c r="P35" s="1487">
        <v>5049.59</v>
      </c>
      <c r="Q35" s="1487">
        <v>5256.56</v>
      </c>
      <c r="R35" s="1487">
        <v>5366.26</v>
      </c>
      <c r="S35" s="1487">
        <v>4481.33</v>
      </c>
      <c r="T35" s="1487">
        <v>5210.3500000000004</v>
      </c>
      <c r="U35" s="1487">
        <v>5366.72</v>
      </c>
      <c r="V35" s="1487"/>
      <c r="W35" s="1489"/>
      <c r="X35" s="1965"/>
      <c r="Y35" s="1965"/>
      <c r="AC35" s="1965"/>
      <c r="AD35" s="1965"/>
      <c r="AE35" s="1965"/>
      <c r="AF35" s="1965"/>
      <c r="AG35" s="1965"/>
      <c r="AH35" s="1965"/>
      <c r="AI35" s="1965"/>
      <c r="AJ35" s="1965"/>
    </row>
    <row r="36" spans="1:36" s="395" customFormat="1">
      <c r="A36" s="1997" t="s">
        <v>2479</v>
      </c>
      <c r="B36" s="583">
        <v>616900</v>
      </c>
      <c r="C36" s="1487" t="s">
        <v>2480</v>
      </c>
      <c r="D36" s="1487"/>
      <c r="E36" s="1487"/>
      <c r="F36" s="1489"/>
      <c r="G36" s="1487"/>
      <c r="H36" s="1487"/>
      <c r="I36" s="1487"/>
      <c r="J36" s="1487"/>
      <c r="K36" s="1487"/>
      <c r="L36" s="1487"/>
      <c r="M36" s="1487"/>
      <c r="N36" s="1487"/>
      <c r="O36" s="1487"/>
      <c r="P36" s="1487"/>
      <c r="Q36" s="1487"/>
      <c r="R36" s="1487">
        <v>3914.6</v>
      </c>
      <c r="S36" s="1487">
        <v>1965.27</v>
      </c>
      <c r="T36" s="1487">
        <v>2020.69</v>
      </c>
      <c r="U36" s="1487">
        <v>3087.13</v>
      </c>
      <c r="V36" s="1487"/>
      <c r="W36" s="1489"/>
      <c r="X36" s="1965"/>
      <c r="Y36" s="1965"/>
      <c r="AC36" s="1965"/>
      <c r="AD36" s="1965"/>
      <c r="AE36" s="1965"/>
      <c r="AF36" s="1965"/>
      <c r="AG36" s="1965"/>
      <c r="AH36" s="1965"/>
      <c r="AI36" s="1965"/>
      <c r="AJ36" s="1965"/>
    </row>
    <row r="37" spans="1:36" s="395" customFormat="1">
      <c r="A37" s="1997" t="s">
        <v>2481</v>
      </c>
      <c r="B37" s="583">
        <v>616200</v>
      </c>
      <c r="C37" s="397" t="s">
        <v>2482</v>
      </c>
      <c r="D37" s="397"/>
      <c r="E37" s="397"/>
      <c r="F37" s="1998"/>
      <c r="G37" s="1487"/>
      <c r="H37" s="1487"/>
      <c r="I37" s="1487"/>
      <c r="J37" s="1487"/>
      <c r="K37" s="1487"/>
      <c r="L37" s="1487"/>
      <c r="M37" s="1487"/>
      <c r="N37" s="1487"/>
      <c r="O37" s="1487"/>
      <c r="P37" s="1487">
        <v>2126</v>
      </c>
      <c r="Q37" s="1487">
        <v>1969</v>
      </c>
      <c r="R37" s="1487">
        <v>1007.4</v>
      </c>
      <c r="S37" s="1487">
        <v>1230</v>
      </c>
      <c r="T37" s="1487">
        <v>620</v>
      </c>
      <c r="U37" s="1487">
        <v>470</v>
      </c>
      <c r="V37" s="1487"/>
      <c r="W37" s="1489"/>
      <c r="X37" s="1965"/>
      <c r="Y37" s="1965"/>
      <c r="AC37" s="1965"/>
      <c r="AD37" s="1965"/>
      <c r="AE37" s="1965"/>
      <c r="AF37" s="1965"/>
      <c r="AG37" s="1965"/>
      <c r="AH37" s="1965"/>
      <c r="AI37" s="1965"/>
      <c r="AJ37" s="1965"/>
    </row>
    <row r="38" spans="1:36" s="395" customFormat="1">
      <c r="A38" s="1997" t="s">
        <v>2483</v>
      </c>
      <c r="B38" s="583">
        <v>615100</v>
      </c>
      <c r="C38" s="397" t="s">
        <v>1102</v>
      </c>
      <c r="D38" s="397"/>
      <c r="E38" s="397"/>
      <c r="F38" s="1998"/>
      <c r="G38" s="1487"/>
      <c r="H38" s="1487"/>
      <c r="I38" s="1487"/>
      <c r="J38" s="1487"/>
      <c r="K38" s="1487"/>
      <c r="L38" s="1487"/>
      <c r="M38" s="1487"/>
      <c r="N38" s="397">
        <v>229.89</v>
      </c>
      <c r="O38" s="397">
        <v>256.37</v>
      </c>
      <c r="P38" s="397">
        <v>257.88</v>
      </c>
      <c r="Q38" s="1487">
        <v>268.54000000000002</v>
      </c>
      <c r="R38" s="1487">
        <v>271.51</v>
      </c>
      <c r="S38" s="1487">
        <v>1729.4</v>
      </c>
      <c r="T38" s="1487">
        <v>2018.34</v>
      </c>
      <c r="U38" s="1487">
        <v>2065.04</v>
      </c>
      <c r="V38" s="1487"/>
      <c r="W38" s="1489"/>
      <c r="X38" s="1965"/>
      <c r="Y38" s="1965"/>
      <c r="AC38" s="1965"/>
      <c r="AD38" s="1965"/>
      <c r="AE38" s="1965"/>
      <c r="AF38" s="1965"/>
      <c r="AG38" s="1965"/>
      <c r="AH38" s="1965"/>
      <c r="AI38" s="1965"/>
      <c r="AJ38" s="1965"/>
    </row>
    <row r="39" spans="1:36" s="395" customFormat="1">
      <c r="A39" s="1997" t="s">
        <v>2484</v>
      </c>
      <c r="B39" s="583"/>
      <c r="C39" s="397" t="s">
        <v>2485</v>
      </c>
      <c r="D39" s="397"/>
      <c r="E39" s="397"/>
      <c r="F39" s="1998"/>
      <c r="G39" s="1487"/>
      <c r="H39" s="1487"/>
      <c r="I39" s="1487"/>
      <c r="J39" s="1487"/>
      <c r="K39" s="1487"/>
      <c r="L39" s="1487"/>
      <c r="M39" s="1487"/>
      <c r="N39" s="1487">
        <v>41.35</v>
      </c>
      <c r="O39" s="1487"/>
      <c r="P39" s="1487"/>
      <c r="Q39" s="1487"/>
      <c r="R39" s="1487"/>
      <c r="S39" s="1487"/>
      <c r="T39" s="1487"/>
      <c r="U39" s="1487"/>
      <c r="V39" s="1487"/>
      <c r="W39" s="1489"/>
      <c r="X39" s="1965"/>
      <c r="Y39" s="1965"/>
      <c r="AC39" s="1965"/>
      <c r="AD39" s="1965"/>
      <c r="AE39" s="1965"/>
      <c r="AF39" s="1965"/>
      <c r="AG39" s="1965"/>
      <c r="AH39" s="1965"/>
      <c r="AI39" s="1965"/>
      <c r="AJ39" s="1965"/>
    </row>
    <row r="40" spans="1:36" s="395" customFormat="1">
      <c r="A40" s="1997" t="s">
        <v>7390</v>
      </c>
      <c r="B40" s="583">
        <v>613110</v>
      </c>
      <c r="C40" s="397" t="s">
        <v>7392</v>
      </c>
      <c r="D40" s="397"/>
      <c r="E40" s="397"/>
      <c r="F40" s="1998"/>
      <c r="G40" s="1487"/>
      <c r="H40" s="1487"/>
      <c r="I40" s="1487"/>
      <c r="J40" s="1487"/>
      <c r="K40" s="1487"/>
      <c r="L40" s="1487"/>
      <c r="M40" s="1487"/>
      <c r="N40" s="1487"/>
      <c r="O40" s="1487"/>
      <c r="P40" s="1487"/>
      <c r="Q40" s="1487"/>
      <c r="R40" s="1487"/>
      <c r="S40" s="1487">
        <v>1831.07</v>
      </c>
      <c r="T40" s="1487">
        <v>2094.7199999999998</v>
      </c>
      <c r="U40" s="1487">
        <v>5840.2</v>
      </c>
      <c r="V40" s="1487"/>
      <c r="W40" s="1489"/>
      <c r="X40" s="1965"/>
      <c r="Y40" s="1965"/>
      <c r="AC40" s="1965"/>
      <c r="AD40" s="1965"/>
      <c r="AE40" s="1965"/>
      <c r="AF40" s="1965"/>
      <c r="AG40" s="1965"/>
      <c r="AH40" s="1965"/>
      <c r="AI40" s="1965"/>
      <c r="AJ40" s="1965"/>
    </row>
    <row r="41" spans="1:36" s="395" customFormat="1">
      <c r="A41" s="1997"/>
      <c r="B41" s="583">
        <v>613000</v>
      </c>
      <c r="C41" s="397" t="s">
        <v>7393</v>
      </c>
      <c r="D41" s="397"/>
      <c r="E41" s="397"/>
      <c r="F41" s="1998"/>
      <c r="G41" s="1487"/>
      <c r="H41" s="1487"/>
      <c r="I41" s="1487"/>
      <c r="J41" s="1487"/>
      <c r="K41" s="1487"/>
      <c r="L41" s="1487"/>
      <c r="M41" s="1487"/>
      <c r="N41" s="1487"/>
      <c r="O41" s="1487"/>
      <c r="P41" s="1487"/>
      <c r="Q41" s="1487"/>
      <c r="R41" s="1487"/>
      <c r="S41" s="1487"/>
      <c r="T41" s="1487">
        <v>2044.88</v>
      </c>
      <c r="U41" s="1487">
        <v>1305.52</v>
      </c>
      <c r="V41" s="1487"/>
      <c r="W41" s="1489"/>
      <c r="X41" s="1965"/>
      <c r="Y41" s="1965"/>
      <c r="AC41" s="1965"/>
      <c r="AD41" s="1965"/>
      <c r="AE41" s="1965"/>
      <c r="AF41" s="1965"/>
      <c r="AG41" s="1965"/>
      <c r="AH41" s="1965"/>
      <c r="AI41" s="1965"/>
      <c r="AJ41" s="1965"/>
    </row>
    <row r="42" spans="1:36" s="395" customFormat="1">
      <c r="A42" s="1997" t="s">
        <v>2486</v>
      </c>
      <c r="B42" s="583"/>
      <c r="C42" s="397" t="s">
        <v>1102</v>
      </c>
      <c r="D42" s="397"/>
      <c r="E42" s="397"/>
      <c r="F42" s="1998"/>
      <c r="G42" s="1487">
        <v>0</v>
      </c>
      <c r="H42" s="1487">
        <v>0</v>
      </c>
      <c r="I42" s="1487">
        <v>0</v>
      </c>
      <c r="J42" s="1487">
        <v>0</v>
      </c>
      <c r="K42" s="1487">
        <v>38</v>
      </c>
      <c r="L42" s="1487">
        <v>236.97</v>
      </c>
      <c r="M42" s="1487">
        <v>239.84</v>
      </c>
      <c r="N42" s="1487"/>
      <c r="O42" s="1487"/>
      <c r="P42" s="1487"/>
      <c r="Q42" s="1487"/>
      <c r="R42" s="1487"/>
      <c r="S42" s="1487"/>
      <c r="T42" s="1487"/>
      <c r="U42" s="1487"/>
      <c r="V42" s="1487"/>
      <c r="W42" s="1489"/>
      <c r="X42" s="1965"/>
      <c r="Y42" s="1965"/>
      <c r="AC42" s="1965"/>
      <c r="AD42" s="1965"/>
      <c r="AE42" s="1965"/>
      <c r="AF42" s="1965"/>
      <c r="AG42" s="1965"/>
      <c r="AH42" s="1965"/>
      <c r="AI42" s="1965"/>
      <c r="AJ42" s="1965"/>
    </row>
    <row r="43" spans="1:36" s="395" customFormat="1">
      <c r="A43" s="1997" t="s">
        <v>2487</v>
      </c>
      <c r="B43" s="583">
        <v>613010</v>
      </c>
      <c r="C43" s="397" t="s">
        <v>2488</v>
      </c>
      <c r="D43" s="397"/>
      <c r="E43" s="397"/>
      <c r="F43" s="1998"/>
      <c r="G43" s="1487">
        <v>143.08000000000001</v>
      </c>
      <c r="H43" s="1487">
        <v>146.84</v>
      </c>
      <c r="I43" s="1487">
        <v>152.04</v>
      </c>
      <c r="J43" s="1487">
        <v>186.49</v>
      </c>
      <c r="K43" s="1487">
        <v>77.8</v>
      </c>
      <c r="L43" s="1487">
        <v>160.63999999999999</v>
      </c>
      <c r="M43" s="1487">
        <v>164.1</v>
      </c>
      <c r="N43" s="1487"/>
      <c r="O43" s="1487"/>
      <c r="P43" s="1487"/>
      <c r="Q43" s="1487"/>
      <c r="R43" s="1487"/>
      <c r="S43" s="1487"/>
      <c r="T43" s="1487"/>
      <c r="U43" s="1487">
        <v>3551.61</v>
      </c>
      <c r="V43" s="1487"/>
      <c r="W43" s="1489"/>
      <c r="X43" s="1965"/>
      <c r="Y43" s="1965"/>
      <c r="AC43" s="1965"/>
      <c r="AD43" s="1965"/>
      <c r="AE43" s="1965"/>
      <c r="AF43" s="1965"/>
      <c r="AG43" s="1965"/>
      <c r="AH43" s="1965"/>
      <c r="AI43" s="1965"/>
      <c r="AJ43" s="1965"/>
    </row>
    <row r="44" spans="1:36" s="395" customFormat="1">
      <c r="A44" s="1997" t="s">
        <v>2489</v>
      </c>
      <c r="B44" s="583"/>
      <c r="C44" s="397" t="s">
        <v>2472</v>
      </c>
      <c r="D44" s="397"/>
      <c r="E44" s="397"/>
      <c r="F44" s="1998"/>
      <c r="G44" s="1487">
        <v>4528.22</v>
      </c>
      <c r="H44" s="1487">
        <v>4697.91</v>
      </c>
      <c r="I44" s="1487">
        <v>3489.67</v>
      </c>
      <c r="J44" s="1487">
        <v>4184.5600000000004</v>
      </c>
      <c r="K44" s="1487">
        <v>11646.09</v>
      </c>
      <c r="L44" s="1487">
        <v>7103.98</v>
      </c>
      <c r="M44" s="1487">
        <v>6355.59</v>
      </c>
      <c r="N44" s="1487"/>
      <c r="O44" s="1487"/>
      <c r="P44" s="1487"/>
      <c r="Q44" s="1487"/>
      <c r="R44" s="1487"/>
      <c r="S44" s="1487"/>
      <c r="T44" s="1487"/>
      <c r="U44" s="1487"/>
      <c r="V44" s="1487"/>
      <c r="W44" s="1489"/>
      <c r="X44" s="1965"/>
      <c r="Y44" s="1965"/>
      <c r="AC44" s="1965"/>
      <c r="AD44" s="1965"/>
      <c r="AE44" s="1965"/>
      <c r="AF44" s="1965"/>
      <c r="AG44" s="1965"/>
      <c r="AH44" s="1965"/>
      <c r="AI44" s="1965"/>
      <c r="AJ44" s="1965"/>
    </row>
    <row r="45" spans="1:36" s="395" customFormat="1">
      <c r="A45" s="1997" t="s">
        <v>2490</v>
      </c>
      <c r="B45" s="583"/>
      <c r="C45" s="397" t="s">
        <v>2491</v>
      </c>
      <c r="D45" s="397"/>
      <c r="E45" s="397"/>
      <c r="F45" s="1998"/>
      <c r="G45" s="1487">
        <v>3220.6</v>
      </c>
      <c r="H45" s="1487">
        <v>941.86</v>
      </c>
      <c r="I45" s="1487">
        <v>1042.29</v>
      </c>
      <c r="J45" s="1487">
        <v>2546.08</v>
      </c>
      <c r="K45" s="1487">
        <v>1663.02</v>
      </c>
      <c r="L45" s="1487">
        <v>1866.06</v>
      </c>
      <c r="M45" s="1487">
        <v>1711.91</v>
      </c>
      <c r="N45" s="1487"/>
      <c r="O45" s="1487"/>
      <c r="P45" s="1487"/>
      <c r="Q45" s="1487"/>
      <c r="R45" s="1487"/>
      <c r="S45" s="1487"/>
      <c r="T45" s="1487"/>
      <c r="U45" s="1487"/>
      <c r="V45" s="1487"/>
      <c r="W45" s="1489"/>
      <c r="X45" s="1965"/>
      <c r="Y45" s="1965"/>
      <c r="AC45" s="1965"/>
      <c r="AD45" s="1965"/>
      <c r="AE45" s="1965"/>
      <c r="AF45" s="1965"/>
      <c r="AG45" s="1965"/>
      <c r="AH45" s="1965"/>
      <c r="AI45" s="1965"/>
      <c r="AJ45" s="1965"/>
    </row>
    <row r="46" spans="1:36" s="395" customFormat="1">
      <c r="A46" s="1997" t="s">
        <v>2492</v>
      </c>
      <c r="B46" s="583"/>
      <c r="C46" s="397" t="s">
        <v>2141</v>
      </c>
      <c r="D46" s="397"/>
      <c r="E46" s="397"/>
      <c r="F46" s="1998"/>
      <c r="G46" s="1487">
        <v>2209.58</v>
      </c>
      <c r="H46" s="1487">
        <v>1942.59</v>
      </c>
      <c r="I46" s="1487">
        <v>749.97</v>
      </c>
      <c r="J46" s="1487">
        <v>1113.53</v>
      </c>
      <c r="K46" s="1487">
        <v>2103.96</v>
      </c>
      <c r="L46" s="1487">
        <v>3743.21</v>
      </c>
      <c r="M46" s="1487">
        <v>1899.66</v>
      </c>
      <c r="N46" s="1487"/>
      <c r="O46" s="1487"/>
      <c r="P46" s="1487"/>
      <c r="Q46" s="1487"/>
      <c r="R46" s="1487"/>
      <c r="S46" s="1487"/>
      <c r="T46" s="1487"/>
      <c r="U46" s="1487"/>
      <c r="V46" s="1487"/>
      <c r="W46" s="1489"/>
      <c r="X46" s="1965"/>
      <c r="Y46" s="1965"/>
      <c r="AC46" s="1965"/>
      <c r="AD46" s="1965"/>
      <c r="AE46" s="1965"/>
      <c r="AF46" s="1965"/>
      <c r="AG46" s="1965"/>
      <c r="AH46" s="1965"/>
      <c r="AI46" s="1965"/>
      <c r="AJ46" s="1965"/>
    </row>
    <row r="47" spans="1:36" s="395" customFormat="1">
      <c r="A47" s="1997" t="s">
        <v>2493</v>
      </c>
      <c r="B47" s="583"/>
      <c r="C47" s="397" t="s">
        <v>2494</v>
      </c>
      <c r="D47" s="397"/>
      <c r="E47" s="397"/>
      <c r="F47" s="1998"/>
      <c r="G47" s="1487">
        <v>8482.01</v>
      </c>
      <c r="H47" s="1487">
        <v>9015.1</v>
      </c>
      <c r="I47" s="1487">
        <v>9772.44</v>
      </c>
      <c r="J47" s="1487">
        <v>9702.98</v>
      </c>
      <c r="K47" s="1487">
        <v>9929.0499999999993</v>
      </c>
      <c r="L47" s="1487">
        <v>7112.72</v>
      </c>
      <c r="M47" s="1487">
        <v>7354.84</v>
      </c>
      <c r="N47" s="1487"/>
      <c r="O47" s="1487"/>
      <c r="P47" s="1487"/>
      <c r="Q47" s="1487"/>
      <c r="R47" s="1487"/>
      <c r="S47" s="1487"/>
      <c r="T47" s="1487"/>
      <c r="U47" s="1487"/>
      <c r="V47" s="1487"/>
      <c r="W47" s="1489"/>
      <c r="X47" s="1965"/>
      <c r="Y47" s="1965"/>
      <c r="AC47" s="1965"/>
      <c r="AD47" s="1965"/>
      <c r="AE47" s="1965"/>
      <c r="AF47" s="1965"/>
      <c r="AG47" s="1965"/>
      <c r="AH47" s="1965"/>
      <c r="AI47" s="1965"/>
      <c r="AJ47" s="1965"/>
    </row>
    <row r="48" spans="1:36" s="395" customFormat="1">
      <c r="A48" s="1997" t="s">
        <v>2495</v>
      </c>
      <c r="B48" s="583"/>
      <c r="C48" s="397" t="s">
        <v>2496</v>
      </c>
      <c r="D48" s="397"/>
      <c r="E48" s="397"/>
      <c r="F48" s="1998"/>
      <c r="G48" s="1487">
        <v>53.96</v>
      </c>
      <c r="H48" s="1487">
        <v>65.36</v>
      </c>
      <c r="I48" s="1487">
        <v>65.36</v>
      </c>
      <c r="J48" s="1487">
        <v>22.75</v>
      </c>
      <c r="K48" s="1487">
        <v>22.75</v>
      </c>
      <c r="L48" s="1487">
        <v>81.23</v>
      </c>
      <c r="M48" s="1487">
        <v>41.35</v>
      </c>
      <c r="N48" s="1487"/>
      <c r="O48" s="1487"/>
      <c r="P48" s="1487"/>
      <c r="Q48" s="1487"/>
      <c r="R48" s="1487"/>
      <c r="S48" s="1487"/>
      <c r="T48" s="1487"/>
      <c r="U48" s="1487"/>
      <c r="V48" s="1487"/>
      <c r="W48" s="1489"/>
      <c r="X48" s="1965"/>
      <c r="Y48" s="1965"/>
      <c r="AC48" s="1965"/>
      <c r="AD48" s="1965"/>
      <c r="AE48" s="1965"/>
      <c r="AF48" s="1965"/>
      <c r="AG48" s="1965"/>
      <c r="AH48" s="1965"/>
      <c r="AI48" s="1965"/>
      <c r="AJ48" s="1965"/>
    </row>
    <row r="49" spans="1:36" s="395" customFormat="1">
      <c r="A49" s="1997" t="s">
        <v>2497</v>
      </c>
      <c r="B49" s="583"/>
      <c r="C49" s="397" t="s">
        <v>1322</v>
      </c>
      <c r="D49" s="397"/>
      <c r="E49" s="397"/>
      <c r="F49" s="1998"/>
      <c r="G49" s="1487">
        <v>6208.15</v>
      </c>
      <c r="H49" s="1487">
        <v>9161.2199999999993</v>
      </c>
      <c r="I49" s="1487">
        <v>11978.91</v>
      </c>
      <c r="J49" s="1487">
        <v>13473.4</v>
      </c>
      <c r="K49" s="1487">
        <v>10987.21</v>
      </c>
      <c r="L49" s="1487">
        <v>13187.13</v>
      </c>
      <c r="M49" s="1487">
        <v>12243.61</v>
      </c>
      <c r="N49" s="1487"/>
      <c r="O49" s="1487"/>
      <c r="P49" s="1487"/>
      <c r="Q49" s="1487"/>
      <c r="R49" s="1487"/>
      <c r="S49" s="1487"/>
      <c r="T49" s="1487"/>
      <c r="U49" s="1487"/>
      <c r="V49" s="1487"/>
      <c r="W49" s="1489"/>
      <c r="X49" s="1965"/>
      <c r="Y49" s="1965"/>
      <c r="AC49" s="1965"/>
      <c r="AD49" s="1965"/>
      <c r="AE49" s="1965"/>
      <c r="AF49" s="1965"/>
      <c r="AG49" s="1965"/>
      <c r="AH49" s="1965"/>
      <c r="AI49" s="1965"/>
      <c r="AJ49" s="1965"/>
    </row>
    <row r="50" spans="1:36" s="395" customFormat="1">
      <c r="A50" s="1997" t="s">
        <v>2498</v>
      </c>
      <c r="B50" s="583"/>
      <c r="C50" s="397" t="s">
        <v>1324</v>
      </c>
      <c r="D50" s="397"/>
      <c r="E50" s="397"/>
      <c r="F50" s="1998"/>
      <c r="G50" s="1487">
        <v>2742.71</v>
      </c>
      <c r="H50" s="1487">
        <v>6508.74</v>
      </c>
      <c r="I50" s="1487">
        <v>5676.08</v>
      </c>
      <c r="J50" s="1487">
        <v>9404.8700000000008</v>
      </c>
      <c r="K50" s="1487">
        <v>7054.11</v>
      </c>
      <c r="L50" s="1487">
        <v>7859.07</v>
      </c>
      <c r="M50" s="1487">
        <v>7310.9</v>
      </c>
      <c r="N50" s="1487"/>
      <c r="O50" s="1487"/>
      <c r="P50" s="1487"/>
      <c r="Q50" s="1487"/>
      <c r="R50" s="1487"/>
      <c r="S50" s="1487"/>
      <c r="T50" s="1487"/>
      <c r="U50" s="1487"/>
      <c r="V50" s="1487"/>
      <c r="W50" s="1489"/>
      <c r="X50" s="1965"/>
      <c r="Y50" s="1965"/>
      <c r="AC50" s="1965"/>
      <c r="AD50" s="1965"/>
      <c r="AE50" s="1965"/>
      <c r="AF50" s="1965"/>
      <c r="AG50" s="1965"/>
      <c r="AH50" s="1965"/>
      <c r="AI50" s="1965"/>
      <c r="AJ50" s="1965"/>
    </row>
    <row r="51" spans="1:36" s="395" customFormat="1">
      <c r="A51" s="1997" t="s">
        <v>2499</v>
      </c>
      <c r="B51" s="583"/>
      <c r="C51" s="397" t="s">
        <v>1375</v>
      </c>
      <c r="D51" s="397"/>
      <c r="E51" s="397"/>
      <c r="F51" s="1998"/>
      <c r="G51" s="1487">
        <v>867.02</v>
      </c>
      <c r="H51" s="1487">
        <v>1907.51</v>
      </c>
      <c r="I51" s="1487">
        <v>1167.06</v>
      </c>
      <c r="J51" s="1487">
        <v>1304.57</v>
      </c>
      <c r="K51" s="1487">
        <v>1214.19</v>
      </c>
      <c r="L51" s="1487">
        <v>607.89</v>
      </c>
      <c r="M51" s="1487">
        <v>1207.29</v>
      </c>
      <c r="N51" s="1487"/>
      <c r="O51" s="1487"/>
      <c r="P51" s="1487"/>
      <c r="Q51" s="1487"/>
      <c r="R51" s="1487"/>
      <c r="S51" s="1487"/>
      <c r="T51" s="1487"/>
      <c r="U51" s="1487"/>
      <c r="V51" s="1487"/>
      <c r="W51" s="1489"/>
      <c r="X51" s="1965"/>
      <c r="Y51" s="1965"/>
      <c r="AC51" s="1965"/>
      <c r="AD51" s="1965"/>
      <c r="AE51" s="1965"/>
      <c r="AF51" s="1965"/>
      <c r="AG51" s="1965"/>
      <c r="AH51" s="1965"/>
      <c r="AI51" s="1965"/>
      <c r="AJ51" s="1965"/>
    </row>
    <row r="52" spans="1:36" s="395" customFormat="1">
      <c r="A52" s="2046"/>
      <c r="B52" s="2064"/>
      <c r="C52" s="2047" t="s">
        <v>1162</v>
      </c>
      <c r="D52" s="2047"/>
      <c r="E52" s="2047"/>
      <c r="F52" s="2047"/>
      <c r="G52" s="2005">
        <f t="shared" ref="G52:R52" si="11">SUM(G27:G51)</f>
        <v>28455.329999999998</v>
      </c>
      <c r="H52" s="2005">
        <f t="shared" si="11"/>
        <v>34387.129999999997</v>
      </c>
      <c r="I52" s="2005">
        <f t="shared" si="11"/>
        <v>34093.82</v>
      </c>
      <c r="J52" s="2005">
        <f t="shared" si="11"/>
        <v>41939.230000000003</v>
      </c>
      <c r="K52" s="2005">
        <f t="shared" si="11"/>
        <v>44736.18</v>
      </c>
      <c r="L52" s="2005">
        <f t="shared" si="11"/>
        <v>41958.9</v>
      </c>
      <c r="M52" s="2005">
        <f t="shared" si="11"/>
        <v>38529.090000000004</v>
      </c>
      <c r="N52" s="2005">
        <f t="shared" si="11"/>
        <v>37806.649999999994</v>
      </c>
      <c r="O52" s="2005">
        <f t="shared" si="11"/>
        <v>39332.44</v>
      </c>
      <c r="P52" s="2005">
        <f t="shared" si="11"/>
        <v>44717.299999999996</v>
      </c>
      <c r="Q52" s="2005">
        <f t="shared" si="11"/>
        <v>47741.51</v>
      </c>
      <c r="R52" s="2005">
        <f t="shared" si="11"/>
        <v>58073.450000000004</v>
      </c>
      <c r="S52" s="2005">
        <f>SUM(S27:S51)</f>
        <v>47450.06</v>
      </c>
      <c r="T52" s="2005">
        <f>SUM(T27:T51)</f>
        <v>54054.509999999995</v>
      </c>
      <c r="U52" s="2005">
        <f>SUM(U27:U51)</f>
        <v>67981.45</v>
      </c>
      <c r="V52" s="2005">
        <f>SUM(V27:V51)</f>
        <v>0</v>
      </c>
      <c r="W52" s="2007"/>
      <c r="X52" s="1965"/>
      <c r="Y52" s="1965"/>
      <c r="AC52" s="1965"/>
      <c r="AD52" s="1965"/>
      <c r="AE52" s="1965"/>
      <c r="AF52" s="1965"/>
      <c r="AG52" s="1965"/>
      <c r="AH52" s="1965"/>
      <c r="AI52" s="1965"/>
      <c r="AJ52" s="1965"/>
    </row>
    <row r="53" spans="1:36" s="395" customFormat="1">
      <c r="A53" s="2048" t="s">
        <v>1163</v>
      </c>
      <c r="B53" s="1999"/>
      <c r="C53" s="397"/>
      <c r="D53" s="397"/>
      <c r="E53" s="397"/>
      <c r="F53" s="397"/>
      <c r="G53" s="1487"/>
      <c r="H53" s="1487"/>
      <c r="I53" s="1487"/>
      <c r="J53" s="1487"/>
      <c r="K53" s="1487"/>
      <c r="L53" s="1487"/>
      <c r="M53" s="1487"/>
      <c r="N53" s="1487"/>
      <c r="O53" s="1487"/>
      <c r="P53" s="397"/>
      <c r="Q53" s="1487"/>
      <c r="R53" s="1487"/>
      <c r="S53" s="1487"/>
      <c r="T53" s="1487"/>
      <c r="U53" s="1487"/>
      <c r="V53" s="1487"/>
      <c r="W53" s="1489"/>
      <c r="X53" s="1965"/>
      <c r="Y53" s="1965"/>
      <c r="AC53" s="1965"/>
      <c r="AD53" s="1965"/>
      <c r="AE53" s="1965"/>
      <c r="AF53" s="1965"/>
      <c r="AG53" s="1965"/>
      <c r="AH53" s="1965"/>
      <c r="AI53" s="1965"/>
      <c r="AJ53" s="1965"/>
    </row>
    <row r="54" spans="1:36" s="395" customFormat="1">
      <c r="A54" s="1997"/>
      <c r="B54" s="583"/>
      <c r="C54" s="397"/>
      <c r="D54" s="397"/>
      <c r="E54" s="397"/>
      <c r="F54" s="397"/>
      <c r="G54" s="1487"/>
      <c r="H54" s="1487"/>
      <c r="I54" s="1487"/>
      <c r="J54" s="1487"/>
      <c r="K54" s="1487"/>
      <c r="L54" s="1487"/>
      <c r="M54" s="1487"/>
      <c r="N54" s="1487"/>
      <c r="O54" s="1487"/>
      <c r="P54" s="397"/>
      <c r="Q54" s="1487"/>
      <c r="R54" s="1487"/>
      <c r="S54" s="1487"/>
      <c r="T54" s="1487"/>
      <c r="U54" s="1487"/>
      <c r="V54" s="1487"/>
      <c r="W54" s="1489"/>
      <c r="X54" s="1965"/>
      <c r="Y54" s="1965"/>
      <c r="AC54" s="1965"/>
      <c r="AD54" s="1965"/>
      <c r="AE54" s="1965"/>
      <c r="AF54" s="1965"/>
      <c r="AG54" s="1965"/>
      <c r="AH54" s="1965"/>
      <c r="AI54" s="1965"/>
      <c r="AJ54" s="1965"/>
    </row>
    <row r="55" spans="1:36" s="395" customFormat="1">
      <c r="A55" s="2046"/>
      <c r="B55" s="2064"/>
      <c r="C55" s="2047" t="s">
        <v>1181</v>
      </c>
      <c r="D55" s="2047"/>
      <c r="E55" s="2047"/>
      <c r="F55" s="2047"/>
      <c r="G55" s="2005">
        <f t="shared" ref="G55:L55" si="12">SUM(G54)</f>
        <v>0</v>
      </c>
      <c r="H55" s="2005">
        <f t="shared" si="12"/>
        <v>0</v>
      </c>
      <c r="I55" s="2005">
        <f t="shared" si="12"/>
        <v>0</v>
      </c>
      <c r="J55" s="2005">
        <f t="shared" si="12"/>
        <v>0</v>
      </c>
      <c r="K55" s="2005">
        <f t="shared" si="12"/>
        <v>0</v>
      </c>
      <c r="L55" s="2005">
        <f t="shared" si="12"/>
        <v>0</v>
      </c>
      <c r="M55" s="2005">
        <f t="shared" ref="M55:R55" si="13">SUM(M54)</f>
        <v>0</v>
      </c>
      <c r="N55" s="2005">
        <f t="shared" si="13"/>
        <v>0</v>
      </c>
      <c r="O55" s="2005">
        <f t="shared" si="13"/>
        <v>0</v>
      </c>
      <c r="P55" s="2005">
        <f t="shared" si="13"/>
        <v>0</v>
      </c>
      <c r="Q55" s="2005">
        <f t="shared" si="13"/>
        <v>0</v>
      </c>
      <c r="R55" s="2005">
        <f t="shared" si="13"/>
        <v>0</v>
      </c>
      <c r="S55" s="2005">
        <f>SUM(S54)</f>
        <v>0</v>
      </c>
      <c r="T55" s="2005">
        <f>SUM(T54)</f>
        <v>0</v>
      </c>
      <c r="U55" s="2005">
        <f>SUM(U54)</f>
        <v>0</v>
      </c>
      <c r="V55" s="2005">
        <f>SUM(V54)</f>
        <v>0</v>
      </c>
      <c r="W55" s="2007"/>
      <c r="X55" s="1965"/>
      <c r="Y55" s="1965"/>
      <c r="AC55" s="1965"/>
      <c r="AD55" s="1965"/>
      <c r="AE55" s="1965"/>
      <c r="AF55" s="1965"/>
      <c r="AG55" s="1965"/>
      <c r="AH55" s="1965"/>
      <c r="AI55" s="1965"/>
      <c r="AJ55" s="1965"/>
    </row>
    <row r="56" spans="1:36" s="395" customFormat="1">
      <c r="A56" s="2048" t="s">
        <v>47</v>
      </c>
      <c r="B56" s="1999"/>
      <c r="C56" s="397"/>
      <c r="D56" s="397"/>
      <c r="E56" s="397"/>
      <c r="F56" s="1998"/>
      <c r="G56" s="3021"/>
      <c r="H56" s="3021"/>
      <c r="I56" s="3021"/>
      <c r="J56" s="3021"/>
      <c r="K56" s="3021"/>
      <c r="L56" s="3021"/>
      <c r="M56" s="3021"/>
      <c r="N56" s="3021"/>
      <c r="O56" s="3021"/>
      <c r="P56" s="3021"/>
      <c r="Q56" s="3021"/>
      <c r="R56" s="3021"/>
      <c r="S56" s="3021"/>
      <c r="T56" s="3021"/>
      <c r="U56" s="3021"/>
      <c r="V56" s="3021"/>
      <c r="W56" s="3033"/>
      <c r="X56" s="1965"/>
      <c r="Y56" s="1965"/>
      <c r="AC56" s="1965"/>
      <c r="AD56" s="1965"/>
      <c r="AE56" s="1965"/>
      <c r="AF56" s="1965"/>
      <c r="AG56" s="1965"/>
      <c r="AH56" s="1965"/>
      <c r="AI56" s="1965"/>
      <c r="AJ56" s="1965"/>
    </row>
    <row r="57" spans="1:36" s="395" customFormat="1">
      <c r="A57" s="1997"/>
      <c r="B57" s="583"/>
      <c r="C57" s="397" t="s">
        <v>1182</v>
      </c>
      <c r="D57" s="397"/>
      <c r="E57" s="397"/>
      <c r="F57" s="1998"/>
      <c r="G57" s="1487"/>
      <c r="H57" s="1487"/>
      <c r="I57" s="1487"/>
      <c r="J57" s="1487"/>
      <c r="K57" s="1487"/>
      <c r="L57" s="1487"/>
      <c r="M57" s="1487"/>
      <c r="N57" s="1487"/>
      <c r="O57" s="1487"/>
      <c r="P57" s="397"/>
      <c r="Q57" s="1487"/>
      <c r="R57" s="1487"/>
      <c r="S57" s="1487"/>
      <c r="T57" s="1487"/>
      <c r="U57" s="1487"/>
      <c r="V57" s="1487"/>
      <c r="W57" s="1489"/>
      <c r="X57" s="1965"/>
      <c r="Y57" s="1965"/>
      <c r="AC57" s="1965"/>
      <c r="AD57" s="1965"/>
      <c r="AE57" s="1965"/>
      <c r="AF57" s="1965"/>
      <c r="AG57" s="1965"/>
      <c r="AH57" s="1965"/>
      <c r="AI57" s="1965"/>
      <c r="AJ57" s="1965"/>
    </row>
    <row r="58" spans="1:36" s="395" customFormat="1">
      <c r="A58" s="1997"/>
      <c r="B58" s="583"/>
      <c r="C58" s="397" t="s">
        <v>1183</v>
      </c>
      <c r="D58" s="397"/>
      <c r="E58" s="397"/>
      <c r="F58" s="1998"/>
      <c r="G58" s="1487"/>
      <c r="H58" s="1487"/>
      <c r="I58" s="1487"/>
      <c r="J58" s="1487"/>
      <c r="K58" s="1487"/>
      <c r="L58" s="1487"/>
      <c r="M58" s="1487"/>
      <c r="N58" s="1487"/>
      <c r="O58" s="1487"/>
      <c r="P58" s="397"/>
      <c r="Q58" s="1487"/>
      <c r="R58" s="1487"/>
      <c r="S58" s="1487"/>
      <c r="T58" s="1487"/>
      <c r="U58" s="1487"/>
      <c r="V58" s="1487"/>
      <c r="W58" s="1489"/>
      <c r="X58" s="1965"/>
      <c r="Y58" s="1965"/>
      <c r="AC58" s="1965"/>
      <c r="AD58" s="1965"/>
      <c r="AE58" s="1965"/>
      <c r="AF58" s="1965"/>
      <c r="AG58" s="1965"/>
      <c r="AH58" s="1965"/>
      <c r="AI58" s="1965"/>
      <c r="AJ58" s="1965"/>
    </row>
    <row r="59" spans="1:36" s="395" customFormat="1">
      <c r="A59" s="2000"/>
      <c r="B59" s="2044"/>
      <c r="C59" s="2001" t="s">
        <v>1184</v>
      </c>
      <c r="D59" s="2001"/>
      <c r="E59" s="2001"/>
      <c r="F59" s="2002"/>
      <c r="G59" s="1487">
        <f t="shared" ref="G59:R59" si="14">G112</f>
        <v>0</v>
      </c>
      <c r="H59" s="1487">
        <f t="shared" si="14"/>
        <v>33757.835500000001</v>
      </c>
      <c r="I59" s="1487">
        <f t="shared" si="14"/>
        <v>33875.835500000001</v>
      </c>
      <c r="J59" s="1487">
        <f t="shared" si="14"/>
        <v>34744.877500000002</v>
      </c>
      <c r="K59" s="1487">
        <f t="shared" si="14"/>
        <v>34744.877500000002</v>
      </c>
      <c r="L59" s="1487">
        <f t="shared" si="14"/>
        <v>69379.843000000008</v>
      </c>
      <c r="M59" s="1487">
        <f t="shared" si="14"/>
        <v>70642.926999999996</v>
      </c>
      <c r="N59" s="1487">
        <f t="shared" si="14"/>
        <v>75296.260999999999</v>
      </c>
      <c r="O59" s="1487">
        <f t="shared" si="14"/>
        <v>74427.218999999997</v>
      </c>
      <c r="P59" s="1487">
        <f t="shared" si="14"/>
        <v>89061.574999999997</v>
      </c>
      <c r="Q59" s="1487">
        <f t="shared" si="14"/>
        <v>91674.095000000001</v>
      </c>
      <c r="R59" s="1487">
        <f t="shared" si="14"/>
        <v>91379.862999999998</v>
      </c>
      <c r="S59" s="1487">
        <f>S112</f>
        <v>88310.618999999992</v>
      </c>
      <c r="T59" s="1487">
        <f>T112</f>
        <v>97380.528999999995</v>
      </c>
      <c r="U59" s="1487">
        <f>U112</f>
        <v>87721.68</v>
      </c>
      <c r="V59" s="1487">
        <f>V112</f>
        <v>73426.59</v>
      </c>
      <c r="W59" s="1489"/>
      <c r="X59" s="1965"/>
      <c r="Y59" s="1965"/>
      <c r="AC59" s="1965"/>
      <c r="AD59" s="1965"/>
      <c r="AE59" s="1965"/>
      <c r="AF59" s="1965"/>
      <c r="AG59" s="1965"/>
      <c r="AH59" s="1965"/>
      <c r="AI59" s="1965"/>
      <c r="AJ59" s="1965"/>
    </row>
    <row r="60" spans="1:36" s="395" customFormat="1">
      <c r="A60" s="2046"/>
      <c r="B60" s="2064"/>
      <c r="C60" s="2047" t="s">
        <v>1185</v>
      </c>
      <c r="D60" s="2047"/>
      <c r="E60" s="2047"/>
      <c r="F60" s="2047"/>
      <c r="G60" s="2005">
        <f t="shared" ref="G60:R60" si="15">SUM(G57:G59)</f>
        <v>0</v>
      </c>
      <c r="H60" s="2005">
        <f t="shared" si="15"/>
        <v>33757.835500000001</v>
      </c>
      <c r="I60" s="2005">
        <f t="shared" si="15"/>
        <v>33875.835500000001</v>
      </c>
      <c r="J60" s="2005">
        <f t="shared" si="15"/>
        <v>34744.877500000002</v>
      </c>
      <c r="K60" s="2005">
        <f t="shared" si="15"/>
        <v>34744.877500000002</v>
      </c>
      <c r="L60" s="2005">
        <f t="shared" si="15"/>
        <v>69379.843000000008</v>
      </c>
      <c r="M60" s="2005">
        <f t="shared" si="15"/>
        <v>70642.926999999996</v>
      </c>
      <c r="N60" s="2005">
        <f t="shared" si="15"/>
        <v>75296.260999999999</v>
      </c>
      <c r="O60" s="2005">
        <f t="shared" si="15"/>
        <v>74427.218999999997</v>
      </c>
      <c r="P60" s="2005">
        <f t="shared" si="15"/>
        <v>89061.574999999997</v>
      </c>
      <c r="Q60" s="2005">
        <f t="shared" si="15"/>
        <v>91674.095000000001</v>
      </c>
      <c r="R60" s="2005">
        <f t="shared" si="15"/>
        <v>91379.862999999998</v>
      </c>
      <c r="S60" s="2005">
        <f>SUM(S57:S59)</f>
        <v>88310.618999999992</v>
      </c>
      <c r="T60" s="2005">
        <f>SUM(T57:T59)</f>
        <v>97380.528999999995</v>
      </c>
      <c r="U60" s="2005">
        <f>SUM(U57:U59)</f>
        <v>87721.68</v>
      </c>
      <c r="V60" s="2005">
        <f>SUM(V57:V59)</f>
        <v>73426.59</v>
      </c>
      <c r="W60" s="2007"/>
      <c r="X60" s="1965"/>
      <c r="Y60" s="1965"/>
      <c r="AC60" s="1965"/>
      <c r="AD60" s="1965"/>
      <c r="AE60" s="1965"/>
      <c r="AF60" s="1965"/>
      <c r="AG60" s="1965"/>
      <c r="AH60" s="1965"/>
      <c r="AI60" s="1965"/>
      <c r="AJ60" s="1965"/>
    </row>
    <row r="61" spans="1:36" s="395" customFormat="1">
      <c r="A61" s="2008" t="s">
        <v>1186</v>
      </c>
      <c r="B61" s="2022"/>
      <c r="C61" s="2010"/>
      <c r="D61" s="2010"/>
      <c r="E61" s="2010"/>
      <c r="F61" s="2010"/>
      <c r="G61" s="2009">
        <f t="shared" ref="G61:R61" si="16">G52+G55+G60</f>
        <v>28455.329999999998</v>
      </c>
      <c r="H61" s="2009">
        <f t="shared" si="16"/>
        <v>68144.965499999991</v>
      </c>
      <c r="I61" s="2009">
        <f t="shared" si="16"/>
        <v>67969.655499999993</v>
      </c>
      <c r="J61" s="2009">
        <f t="shared" si="16"/>
        <v>76684.107500000013</v>
      </c>
      <c r="K61" s="2009">
        <f t="shared" si="16"/>
        <v>79481.057499999995</v>
      </c>
      <c r="L61" s="2009">
        <f t="shared" si="16"/>
        <v>111338.74300000002</v>
      </c>
      <c r="M61" s="2009">
        <f t="shared" si="16"/>
        <v>109172.01699999999</v>
      </c>
      <c r="N61" s="2009">
        <f t="shared" si="16"/>
        <v>113102.91099999999</v>
      </c>
      <c r="O61" s="2009">
        <f t="shared" si="16"/>
        <v>113759.659</v>
      </c>
      <c r="P61" s="2009">
        <f t="shared" si="16"/>
        <v>133778.875</v>
      </c>
      <c r="Q61" s="2009">
        <f t="shared" si="16"/>
        <v>139415.60500000001</v>
      </c>
      <c r="R61" s="2009">
        <f t="shared" si="16"/>
        <v>149453.31299999999</v>
      </c>
      <c r="S61" s="2009">
        <f>S52+S55+S60</f>
        <v>135760.679</v>
      </c>
      <c r="T61" s="2009">
        <f>T52+T55+T60</f>
        <v>151435.03899999999</v>
      </c>
      <c r="U61" s="2009">
        <f>U52+U55+U60</f>
        <v>155703.13</v>
      </c>
      <c r="V61" s="2009">
        <f>V52+V55+V60</f>
        <v>73426.59</v>
      </c>
      <c r="W61" s="2011"/>
      <c r="X61" s="1965"/>
      <c r="Y61" s="1965"/>
      <c r="AC61" s="1965"/>
      <c r="AD61" s="1965"/>
      <c r="AE61" s="1965"/>
      <c r="AF61" s="1965"/>
      <c r="AG61" s="1965"/>
      <c r="AH61" s="1965"/>
      <c r="AI61" s="1965"/>
      <c r="AJ61" s="1965"/>
    </row>
    <row r="62" spans="1:36" s="395" customFormat="1">
      <c r="A62" s="1633"/>
      <c r="B62" s="1633"/>
      <c r="G62" s="1965"/>
      <c r="H62" s="1965"/>
      <c r="I62" s="1965"/>
      <c r="J62" s="1965"/>
      <c r="K62" s="1965"/>
      <c r="L62" s="1965"/>
      <c r="M62" s="1965"/>
      <c r="N62" s="1965"/>
      <c r="Q62" s="1965"/>
      <c r="R62" s="1965"/>
      <c r="S62" s="1965"/>
      <c r="T62" s="1965"/>
      <c r="U62" s="1965"/>
      <c r="V62" s="1965"/>
      <c r="W62" s="1965"/>
      <c r="X62" s="1965"/>
      <c r="Y62" s="1965"/>
      <c r="AC62" s="1965"/>
      <c r="AD62" s="1965"/>
      <c r="AE62" s="1965"/>
      <c r="AF62" s="1965"/>
      <c r="AG62" s="1965"/>
      <c r="AH62" s="1965"/>
      <c r="AI62" s="1965"/>
      <c r="AJ62" s="1965"/>
    </row>
    <row r="63" spans="1:36" s="395" customFormat="1" ht="15.75" customHeight="1">
      <c r="A63" s="1984" t="s">
        <v>1187</v>
      </c>
      <c r="B63" s="1985"/>
      <c r="C63" s="1986"/>
      <c r="D63" s="1986"/>
      <c r="E63" s="1986"/>
      <c r="F63" s="1986"/>
      <c r="G63" s="2013"/>
      <c r="H63" s="2013"/>
      <c r="I63" s="2013"/>
      <c r="J63" s="2013"/>
      <c r="K63" s="2013"/>
      <c r="L63" s="2013"/>
      <c r="M63" s="2013"/>
      <c r="N63" s="2013"/>
      <c r="O63" s="2013"/>
      <c r="P63" s="2013"/>
      <c r="Q63" s="2013"/>
      <c r="R63" s="2013"/>
      <c r="S63" s="2013"/>
      <c r="T63" s="2013"/>
      <c r="U63" s="2013"/>
      <c r="V63" s="2013"/>
      <c r="W63" s="2014"/>
      <c r="X63" s="1965"/>
      <c r="Y63" s="1965"/>
      <c r="AC63" s="1965"/>
      <c r="AD63" s="1965"/>
      <c r="AE63" s="1965"/>
      <c r="AF63" s="1965"/>
      <c r="AG63" s="1965"/>
      <c r="AH63" s="1965"/>
      <c r="AI63" s="1965"/>
      <c r="AJ63" s="1965"/>
    </row>
    <row r="64" spans="1:36" s="395" customFormat="1">
      <c r="A64" s="2015" t="s">
        <v>2500</v>
      </c>
      <c r="B64" s="2270"/>
      <c r="C64" s="1995" t="s">
        <v>2501</v>
      </c>
      <c r="D64" s="1995"/>
      <c r="E64" s="1995"/>
      <c r="F64" s="1996"/>
      <c r="G64" s="1487"/>
      <c r="H64" s="1487"/>
      <c r="I64" s="1487"/>
      <c r="J64" s="1487"/>
      <c r="K64" s="1487">
        <v>454075.31</v>
      </c>
      <c r="L64" s="1487"/>
      <c r="M64" s="1487"/>
      <c r="N64" s="1487"/>
      <c r="O64" s="1487"/>
      <c r="P64" s="1487"/>
      <c r="Q64" s="1487"/>
      <c r="R64" s="1487"/>
      <c r="S64" s="1487">
        <v>9004.09</v>
      </c>
      <c r="T64" s="1487">
        <v>22017.74</v>
      </c>
      <c r="U64" s="1487"/>
      <c r="V64" s="1487"/>
      <c r="W64" s="1489"/>
      <c r="X64" s="1965"/>
      <c r="Y64" s="1965"/>
      <c r="AC64" s="1965"/>
      <c r="AD64" s="1965"/>
      <c r="AE64" s="1965"/>
      <c r="AF64" s="1965"/>
      <c r="AG64" s="1965"/>
      <c r="AH64" s="1965"/>
      <c r="AI64" s="1965"/>
      <c r="AJ64" s="1965"/>
    </row>
    <row r="65" spans="1:36" s="395" customFormat="1">
      <c r="A65" s="1997"/>
      <c r="B65" s="583"/>
      <c r="C65" s="397" t="s">
        <v>5924</v>
      </c>
      <c r="D65" s="397"/>
      <c r="E65" s="397"/>
      <c r="F65" s="1998"/>
      <c r="G65" s="1487"/>
      <c r="H65" s="1487"/>
      <c r="I65" s="1487"/>
      <c r="J65" s="1487"/>
      <c r="K65" s="1487"/>
      <c r="L65" s="1487"/>
      <c r="M65" s="1487"/>
      <c r="N65" s="1487"/>
      <c r="O65" s="1487"/>
      <c r="P65" s="1487"/>
      <c r="Q65" s="1487"/>
      <c r="R65" s="1487"/>
      <c r="S65" s="1487"/>
      <c r="T65" s="1487">
        <v>59383.08</v>
      </c>
      <c r="U65" s="1487"/>
      <c r="V65" s="1487"/>
      <c r="W65" s="1489"/>
      <c r="X65" s="1965"/>
      <c r="Y65" s="1965"/>
      <c r="AC65" s="1965"/>
      <c r="AD65" s="1965"/>
      <c r="AE65" s="1965"/>
      <c r="AF65" s="1965"/>
      <c r="AG65" s="1965"/>
      <c r="AH65" s="1965"/>
      <c r="AI65" s="1965"/>
      <c r="AJ65" s="1965"/>
    </row>
    <row r="66" spans="1:36" s="395" customFormat="1">
      <c r="A66" s="1997"/>
      <c r="B66" s="583"/>
      <c r="C66" s="397" t="s">
        <v>2502</v>
      </c>
      <c r="D66" s="397"/>
      <c r="E66" s="397"/>
      <c r="F66" s="1998"/>
      <c r="G66" s="1487">
        <v>287766.08</v>
      </c>
      <c r="H66" s="1487"/>
      <c r="I66" s="1487"/>
      <c r="J66" s="1487"/>
      <c r="K66" s="1487"/>
      <c r="L66" s="1487"/>
      <c r="M66" s="1487"/>
      <c r="N66" s="1487"/>
      <c r="O66" s="1487"/>
      <c r="P66" s="1487"/>
      <c r="Q66" s="1487"/>
      <c r="R66" s="1487"/>
      <c r="S66" s="1487"/>
      <c r="T66" s="1487"/>
      <c r="U66" s="1487"/>
      <c r="V66" s="1487"/>
      <c r="W66" s="1489"/>
      <c r="X66" s="1965"/>
      <c r="Y66" s="1965"/>
      <c r="AC66" s="1965"/>
      <c r="AD66" s="1965"/>
      <c r="AE66" s="1965"/>
      <c r="AF66" s="1965"/>
      <c r="AG66" s="1965"/>
      <c r="AH66" s="1965"/>
      <c r="AI66" s="1965"/>
      <c r="AJ66" s="1965"/>
    </row>
    <row r="67" spans="1:36" s="395" customFormat="1">
      <c r="A67" s="1997"/>
      <c r="B67" s="583"/>
      <c r="C67" s="397" t="s">
        <v>2503</v>
      </c>
      <c r="D67" s="397"/>
      <c r="E67" s="397"/>
      <c r="F67" s="1998"/>
      <c r="G67" s="1487">
        <v>357396.91</v>
      </c>
      <c r="H67" s="1487"/>
      <c r="I67" s="1487"/>
      <c r="J67" s="1487"/>
      <c r="K67" s="1487"/>
      <c r="L67" s="1487"/>
      <c r="M67" s="1487"/>
      <c r="N67" s="1487"/>
      <c r="O67" s="1487"/>
      <c r="P67" s="1487"/>
      <c r="Q67" s="1487"/>
      <c r="R67" s="1487"/>
      <c r="S67" s="1487">
        <v>4701.08</v>
      </c>
      <c r="T67" s="1487"/>
      <c r="U67" s="1487"/>
      <c r="V67" s="1487"/>
      <c r="W67" s="1489"/>
      <c r="X67" s="1965"/>
      <c r="Y67" s="1965"/>
      <c r="AC67" s="1965"/>
      <c r="AD67" s="1965"/>
      <c r="AE67" s="1965"/>
      <c r="AF67" s="1965"/>
      <c r="AG67" s="1965"/>
      <c r="AH67" s="1965"/>
      <c r="AI67" s="1965"/>
      <c r="AJ67" s="1965"/>
    </row>
    <row r="68" spans="1:36" s="395" customFormat="1">
      <c r="A68" s="1997"/>
      <c r="B68" s="583"/>
      <c r="C68" s="397" t="s">
        <v>2504</v>
      </c>
      <c r="D68" s="397"/>
      <c r="E68" s="397"/>
      <c r="F68" s="1998"/>
      <c r="G68" s="1487"/>
      <c r="H68" s="1487"/>
      <c r="I68" s="1487">
        <v>3534.51</v>
      </c>
      <c r="J68" s="1487"/>
      <c r="K68" s="1487">
        <v>110000</v>
      </c>
      <c r="L68" s="1487"/>
      <c r="M68" s="1487"/>
      <c r="N68" s="1487"/>
      <c r="O68" s="1487"/>
      <c r="P68" s="1487">
        <v>49755.08</v>
      </c>
      <c r="Q68" s="1487"/>
      <c r="R68" s="1487"/>
      <c r="S68" s="1487"/>
      <c r="T68" s="1487"/>
      <c r="U68" s="1487"/>
      <c r="V68" s="1487"/>
      <c r="W68" s="1489"/>
      <c r="X68" s="1965"/>
      <c r="Y68" s="1965"/>
      <c r="AC68" s="1965"/>
      <c r="AD68" s="1965"/>
      <c r="AE68" s="1965"/>
      <c r="AF68" s="1965"/>
      <c r="AG68" s="1965"/>
      <c r="AH68" s="1965"/>
      <c r="AI68" s="1965"/>
      <c r="AJ68" s="1965"/>
    </row>
    <row r="69" spans="1:36" s="395" customFormat="1">
      <c r="A69" s="1997"/>
      <c r="B69" s="583"/>
      <c r="C69" s="397" t="s">
        <v>2505</v>
      </c>
      <c r="D69" s="397"/>
      <c r="E69" s="397"/>
      <c r="F69" s="1998"/>
      <c r="G69" s="1487"/>
      <c r="H69" s="1487"/>
      <c r="I69" s="1487">
        <v>810.7</v>
      </c>
      <c r="J69" s="1487"/>
      <c r="K69" s="1487"/>
      <c r="L69" s="1487"/>
      <c r="M69" s="1487"/>
      <c r="N69" s="1487"/>
      <c r="O69" s="1487"/>
      <c r="P69" s="1487"/>
      <c r="Q69" s="1487"/>
      <c r="R69" s="1487"/>
      <c r="S69" s="1487"/>
      <c r="T69" s="1487"/>
      <c r="U69" s="1487"/>
      <c r="V69" s="1487"/>
      <c r="W69" s="1489"/>
      <c r="X69" s="1965"/>
      <c r="Y69" s="1965"/>
      <c r="AC69" s="1965"/>
      <c r="AD69" s="1965"/>
      <c r="AE69" s="1965"/>
      <c r="AF69" s="1965"/>
      <c r="AG69" s="1965"/>
      <c r="AH69" s="1965"/>
      <c r="AI69" s="1965"/>
      <c r="AJ69" s="1965"/>
    </row>
    <row r="70" spans="1:36" s="395" customFormat="1">
      <c r="A70" s="1997"/>
      <c r="B70" s="583"/>
      <c r="C70" s="397" t="s">
        <v>2506</v>
      </c>
      <c r="D70" s="397"/>
      <c r="E70" s="397"/>
      <c r="F70" s="1998"/>
      <c r="G70" s="1487"/>
      <c r="H70" s="1487"/>
      <c r="I70" s="1487"/>
      <c r="J70" s="1487"/>
      <c r="K70" s="1487">
        <v>1000</v>
      </c>
      <c r="L70" s="1487"/>
      <c r="M70" s="1487"/>
      <c r="N70" s="1487"/>
      <c r="O70" s="1487"/>
      <c r="P70" s="1487"/>
      <c r="Q70" s="1487"/>
      <c r="R70" s="1487"/>
      <c r="S70" s="1487"/>
      <c r="T70" s="1487"/>
      <c r="U70" s="1487"/>
      <c r="V70" s="1487"/>
      <c r="W70" s="1489"/>
      <c r="X70" s="1965"/>
      <c r="Y70" s="1965"/>
      <c r="AC70" s="1965"/>
      <c r="AD70" s="1965"/>
      <c r="AE70" s="1965"/>
      <c r="AF70" s="1965"/>
      <c r="AG70" s="1965"/>
      <c r="AH70" s="1965"/>
      <c r="AI70" s="1965"/>
      <c r="AJ70" s="1965"/>
    </row>
    <row r="71" spans="1:36" s="395" customFormat="1">
      <c r="A71" s="1997"/>
      <c r="B71" s="583"/>
      <c r="C71" s="397" t="s">
        <v>2507</v>
      </c>
      <c r="D71" s="397"/>
      <c r="E71" s="397"/>
      <c r="F71" s="1998"/>
      <c r="G71" s="1487"/>
      <c r="H71" s="1487"/>
      <c r="I71" s="1487"/>
      <c r="J71" s="1487"/>
      <c r="K71" s="1487">
        <v>3656</v>
      </c>
      <c r="L71" s="1487"/>
      <c r="M71" s="1487"/>
      <c r="N71" s="1487"/>
      <c r="O71" s="1487"/>
      <c r="P71" s="1487"/>
      <c r="Q71" s="1487"/>
      <c r="R71" s="1487"/>
      <c r="S71" s="1487"/>
      <c r="T71" s="1487"/>
      <c r="U71" s="1487"/>
      <c r="V71" s="1487"/>
      <c r="W71" s="1489"/>
      <c r="X71" s="1965"/>
      <c r="Y71" s="1965"/>
      <c r="AC71" s="1965"/>
      <c r="AD71" s="1965"/>
      <c r="AE71" s="1965"/>
      <c r="AF71" s="1965"/>
      <c r="AG71" s="1965"/>
      <c r="AH71" s="1965"/>
      <c r="AI71" s="1965"/>
      <c r="AJ71" s="1965"/>
    </row>
    <row r="72" spans="1:36" s="395" customFormat="1">
      <c r="A72" s="1997"/>
      <c r="B72" s="583"/>
      <c r="C72" s="397" t="s">
        <v>2508</v>
      </c>
      <c r="D72" s="397"/>
      <c r="E72" s="397"/>
      <c r="F72" s="1998"/>
      <c r="G72" s="1487"/>
      <c r="H72" s="1487"/>
      <c r="I72" s="1487"/>
      <c r="J72" s="1487"/>
      <c r="K72" s="1487"/>
      <c r="L72" s="1487">
        <v>13813.86</v>
      </c>
      <c r="M72" s="1487"/>
      <c r="N72" s="1487"/>
      <c r="O72" s="1487"/>
      <c r="P72" s="1487"/>
      <c r="Q72" s="1487">
        <v>2486.31</v>
      </c>
      <c r="R72" s="1487">
        <f>D90</f>
        <v>4787.24</v>
      </c>
      <c r="S72" s="1487"/>
      <c r="T72" s="1487"/>
      <c r="U72" s="1487"/>
      <c r="V72" s="1487"/>
      <c r="W72" s="1489"/>
      <c r="X72" s="1965"/>
      <c r="Y72" s="1965"/>
      <c r="AC72" s="1965"/>
      <c r="AD72" s="1965"/>
      <c r="AE72" s="1965"/>
      <c r="AF72" s="1965"/>
      <c r="AG72" s="1965"/>
      <c r="AH72" s="1965"/>
      <c r="AI72" s="1965"/>
      <c r="AJ72" s="1965"/>
    </row>
    <row r="73" spans="1:36" s="395" customFormat="1">
      <c r="A73" s="1997" t="s">
        <v>2509</v>
      </c>
      <c r="B73" s="583"/>
      <c r="C73" s="397" t="s">
        <v>2510</v>
      </c>
      <c r="D73" s="397"/>
      <c r="E73" s="397"/>
      <c r="F73" s="1998"/>
      <c r="G73" s="1487">
        <v>4970.68</v>
      </c>
      <c r="H73" s="1487"/>
      <c r="I73" s="1487"/>
      <c r="J73" s="1487"/>
      <c r="K73" s="1487"/>
      <c r="L73" s="1487"/>
      <c r="M73" s="1487"/>
      <c r="N73" s="1487"/>
      <c r="O73" s="1487"/>
      <c r="P73" s="1487"/>
      <c r="Q73" s="1487"/>
      <c r="R73" s="1487"/>
      <c r="S73" s="1487"/>
      <c r="T73" s="1487"/>
      <c r="U73" s="1487"/>
      <c r="V73" s="1487"/>
      <c r="W73" s="1489"/>
      <c r="X73" s="1965"/>
      <c r="Y73" s="1965"/>
      <c r="AC73" s="1965"/>
      <c r="AD73" s="1965"/>
      <c r="AE73" s="1965"/>
      <c r="AF73" s="1965"/>
      <c r="AG73" s="1965"/>
      <c r="AH73" s="1965"/>
      <c r="AI73" s="1965"/>
      <c r="AJ73" s="1965"/>
    </row>
    <row r="74" spans="1:36" s="395" customFormat="1">
      <c r="A74" s="1997"/>
      <c r="B74" s="583"/>
      <c r="C74" s="397" t="s">
        <v>2511</v>
      </c>
      <c r="D74" s="397"/>
      <c r="E74" s="397"/>
      <c r="F74" s="1998"/>
      <c r="G74" s="1487">
        <v>2527.75</v>
      </c>
      <c r="H74" s="1487"/>
      <c r="I74" s="1487"/>
      <c r="J74" s="1487"/>
      <c r="K74" s="1487"/>
      <c r="L74" s="1487"/>
      <c r="M74" s="1487"/>
      <c r="N74" s="397"/>
      <c r="O74" s="397"/>
      <c r="P74" s="1487"/>
      <c r="Q74" s="1487"/>
      <c r="R74" s="1487"/>
      <c r="S74" s="1487"/>
      <c r="T74" s="1487"/>
      <c r="U74" s="1487"/>
      <c r="V74" s="1487"/>
      <c r="W74" s="1489"/>
      <c r="X74" s="1965"/>
      <c r="Y74" s="1965"/>
      <c r="AC74" s="1965"/>
      <c r="AD74" s="1965"/>
      <c r="AE74" s="1965"/>
      <c r="AF74" s="1965"/>
      <c r="AG74" s="1965"/>
      <c r="AH74" s="1965"/>
      <c r="AI74" s="1965"/>
      <c r="AJ74" s="1965"/>
    </row>
    <row r="75" spans="1:36" s="395" customFormat="1">
      <c r="A75" s="1997"/>
      <c r="B75" s="583"/>
      <c r="C75" s="397" t="s">
        <v>2504</v>
      </c>
      <c r="D75" s="397"/>
      <c r="E75" s="397"/>
      <c r="F75" s="1998"/>
      <c r="G75" s="1487"/>
      <c r="H75" s="1487">
        <v>590</v>
      </c>
      <c r="I75" s="1487"/>
      <c r="J75" s="1487"/>
      <c r="K75" s="1487"/>
      <c r="L75" s="1487"/>
      <c r="M75" s="1487"/>
      <c r="N75" s="397"/>
      <c r="O75" s="397"/>
      <c r="P75" s="1487"/>
      <c r="Q75" s="1487"/>
      <c r="R75" s="1487"/>
      <c r="S75" s="1487"/>
      <c r="T75" s="1487"/>
      <c r="U75" s="1487"/>
      <c r="V75" s="1487"/>
      <c r="W75" s="1489"/>
      <c r="X75" s="1965"/>
      <c r="Y75" s="1965"/>
      <c r="AC75" s="1965"/>
      <c r="AD75" s="1965"/>
      <c r="AE75" s="1965"/>
      <c r="AF75" s="1965"/>
      <c r="AG75" s="1965"/>
      <c r="AH75" s="1965"/>
      <c r="AI75" s="1965"/>
      <c r="AJ75" s="1965"/>
    </row>
    <row r="76" spans="1:36" s="395" customFormat="1">
      <c r="A76" s="1997"/>
      <c r="B76" s="583"/>
      <c r="C76" s="397" t="s">
        <v>7389</v>
      </c>
      <c r="D76" s="397"/>
      <c r="E76" s="397"/>
      <c r="F76" s="1998"/>
      <c r="G76" s="1487"/>
      <c r="H76" s="1487"/>
      <c r="I76" s="1487"/>
      <c r="J76" s="1487"/>
      <c r="K76" s="1487"/>
      <c r="L76" s="1487"/>
      <c r="M76" s="1487"/>
      <c r="N76" s="397"/>
      <c r="O76" s="397"/>
      <c r="P76" s="1487"/>
      <c r="Q76" s="1487"/>
      <c r="R76" s="1487"/>
      <c r="S76" s="1487">
        <v>1657.84</v>
      </c>
      <c r="T76" s="1487"/>
      <c r="U76" s="1487"/>
      <c r="V76" s="1487"/>
      <c r="W76" s="1489"/>
      <c r="X76" s="1965"/>
      <c r="Y76" s="1965"/>
      <c r="AC76" s="1965"/>
      <c r="AD76" s="1965"/>
      <c r="AE76" s="1965"/>
      <c r="AF76" s="1965"/>
      <c r="AG76" s="1965"/>
      <c r="AH76" s="1965"/>
      <c r="AI76" s="1965"/>
      <c r="AJ76" s="1965"/>
    </row>
    <row r="77" spans="1:36" s="395" customFormat="1">
      <c r="A77" s="1997"/>
      <c r="B77" s="583"/>
      <c r="C77" s="397" t="s">
        <v>7391</v>
      </c>
      <c r="D77" s="397"/>
      <c r="E77" s="397"/>
      <c r="F77" s="1998"/>
      <c r="G77" s="1487"/>
      <c r="H77" s="1487"/>
      <c r="I77" s="1487"/>
      <c r="J77" s="1487"/>
      <c r="K77" s="1487"/>
      <c r="L77" s="1487"/>
      <c r="M77" s="1487"/>
      <c r="N77" s="397"/>
      <c r="O77" s="397"/>
      <c r="P77" s="1487"/>
      <c r="Q77" s="1487"/>
      <c r="R77" s="1487"/>
      <c r="S77" s="1487"/>
      <c r="T77" s="1487">
        <v>4649.16</v>
      </c>
      <c r="U77" s="1487"/>
      <c r="V77" s="1487"/>
      <c r="W77" s="1489"/>
      <c r="X77" s="1965"/>
      <c r="Y77" s="1965"/>
      <c r="AC77" s="1965"/>
      <c r="AD77" s="1965"/>
      <c r="AE77" s="1965"/>
      <c r="AF77" s="1965"/>
      <c r="AG77" s="1965"/>
      <c r="AH77" s="1965"/>
      <c r="AI77" s="1965"/>
      <c r="AJ77" s="1965"/>
    </row>
    <row r="78" spans="1:36" s="395" customFormat="1">
      <c r="A78" s="2000"/>
      <c r="B78" s="2044"/>
      <c r="C78" s="2001" t="s">
        <v>1727</v>
      </c>
      <c r="D78" s="2001"/>
      <c r="E78" s="2001"/>
      <c r="F78" s="2002"/>
      <c r="G78" s="1487"/>
      <c r="H78" s="1487"/>
      <c r="I78" s="1487"/>
      <c r="J78" s="1487"/>
      <c r="K78" s="1487"/>
      <c r="L78" s="1487"/>
      <c r="M78" s="1487"/>
      <c r="N78" s="397"/>
      <c r="O78" s="1487">
        <v>23856.67</v>
      </c>
      <c r="P78" s="1487">
        <v>48294.239999999998</v>
      </c>
      <c r="Q78" s="1487">
        <f>3025+13450.47</f>
        <v>16475.47</v>
      </c>
      <c r="R78" s="1487">
        <f>D93+D92+D91</f>
        <v>9949.0700000000015</v>
      </c>
      <c r="S78" s="1487"/>
      <c r="T78" s="1487"/>
      <c r="U78" s="1487"/>
      <c r="V78" s="1487"/>
      <c r="W78" s="1489"/>
      <c r="X78" s="1965"/>
      <c r="Y78" s="1965"/>
      <c r="AC78" s="1965"/>
      <c r="AD78" s="1965"/>
      <c r="AE78" s="1965"/>
      <c r="AF78" s="1965"/>
      <c r="AG78" s="1965"/>
      <c r="AH78" s="1965"/>
      <c r="AI78" s="1965"/>
      <c r="AJ78" s="1965"/>
    </row>
    <row r="79" spans="1:36" s="395" customFormat="1">
      <c r="A79" s="2008" t="s">
        <v>1192</v>
      </c>
      <c r="B79" s="2022"/>
      <c r="C79" s="2010"/>
      <c r="D79" s="2010"/>
      <c r="E79" s="2010"/>
      <c r="F79" s="2010"/>
      <c r="G79" s="2009">
        <f t="shared" ref="G79:V79" si="17">SUM(G64:G78)</f>
        <v>652661.42000000004</v>
      </c>
      <c r="H79" s="2009">
        <f t="shared" si="17"/>
        <v>590</v>
      </c>
      <c r="I79" s="2009">
        <f t="shared" si="17"/>
        <v>4345.21</v>
      </c>
      <c r="J79" s="2009">
        <f t="shared" si="17"/>
        <v>0</v>
      </c>
      <c r="K79" s="2009">
        <f t="shared" si="17"/>
        <v>568731.31000000006</v>
      </c>
      <c r="L79" s="2009">
        <f t="shared" si="17"/>
        <v>13813.86</v>
      </c>
      <c r="M79" s="2009">
        <f t="shared" si="17"/>
        <v>0</v>
      </c>
      <c r="N79" s="2009">
        <f t="shared" si="17"/>
        <v>0</v>
      </c>
      <c r="O79" s="2009">
        <f t="shared" si="17"/>
        <v>23856.67</v>
      </c>
      <c r="P79" s="2009">
        <f t="shared" si="17"/>
        <v>98049.32</v>
      </c>
      <c r="Q79" s="2009">
        <f t="shared" si="17"/>
        <v>18961.780000000002</v>
      </c>
      <c r="R79" s="2009">
        <f t="shared" si="17"/>
        <v>14736.310000000001</v>
      </c>
      <c r="S79" s="2009">
        <f t="shared" si="17"/>
        <v>15363.01</v>
      </c>
      <c r="T79" s="2009">
        <f t="shared" si="17"/>
        <v>86049.98000000001</v>
      </c>
      <c r="U79" s="2009">
        <f t="shared" si="17"/>
        <v>0</v>
      </c>
      <c r="V79" s="2009">
        <f t="shared" si="17"/>
        <v>0</v>
      </c>
      <c r="W79" s="2011"/>
      <c r="X79" s="1965"/>
      <c r="Y79" s="1965"/>
      <c r="AC79" s="1965"/>
      <c r="AD79" s="1965"/>
      <c r="AE79" s="1965"/>
      <c r="AF79" s="1965"/>
      <c r="AG79" s="1965"/>
      <c r="AH79" s="1965"/>
      <c r="AI79" s="1965"/>
      <c r="AJ79" s="1965"/>
    </row>
    <row r="80" spans="1:36" s="395" customFormat="1">
      <c r="A80" s="1633"/>
      <c r="B80" s="1633"/>
      <c r="G80" s="1965"/>
      <c r="H80" s="1965"/>
      <c r="I80" s="1965"/>
      <c r="J80" s="1965"/>
      <c r="K80" s="1965"/>
      <c r="L80" s="1965"/>
      <c r="M80" s="1965"/>
      <c r="Q80" s="1965"/>
      <c r="R80" s="1965"/>
      <c r="S80" s="1965"/>
      <c r="T80" s="1965"/>
      <c r="U80" s="1965"/>
      <c r="V80" s="1965"/>
      <c r="W80" s="1965"/>
      <c r="X80" s="1965"/>
      <c r="Y80" s="1965"/>
      <c r="AC80" s="1965"/>
      <c r="AD80" s="1965"/>
      <c r="AE80" s="1965"/>
      <c r="AF80" s="1965"/>
      <c r="AG80" s="1965"/>
      <c r="AH80" s="1965"/>
      <c r="AI80" s="1965"/>
      <c r="AJ80" s="1965"/>
    </row>
    <row r="81" spans="1:36" s="395" customFormat="1">
      <c r="A81" s="1633"/>
      <c r="B81" s="1633"/>
      <c r="G81" s="1965"/>
      <c r="H81" s="1965"/>
      <c r="I81" s="1965"/>
      <c r="J81" s="1965"/>
      <c r="K81" s="1965"/>
      <c r="L81" s="1965"/>
      <c r="M81" s="1965"/>
      <c r="Q81" s="1965"/>
      <c r="R81" s="1965"/>
      <c r="S81" s="1965"/>
      <c r="T81" s="1965"/>
      <c r="U81" s="1965"/>
      <c r="V81" s="1965"/>
      <c r="W81" s="1965"/>
      <c r="X81" s="1965"/>
      <c r="Y81" s="1965"/>
      <c r="AC81" s="1965"/>
      <c r="AD81" s="1965"/>
      <c r="AE81" s="1965"/>
      <c r="AF81" s="1965"/>
      <c r="AG81" s="1965"/>
      <c r="AH81" s="1965"/>
      <c r="AI81" s="1965"/>
      <c r="AJ81" s="1965"/>
    </row>
    <row r="82" spans="1:36" s="395" customFormat="1">
      <c r="A82" s="380"/>
      <c r="B82" s="380"/>
      <c r="D82" s="1570"/>
      <c r="E82" s="1570"/>
      <c r="F82" s="1570"/>
      <c r="G82" s="1965"/>
      <c r="H82" s="1965"/>
      <c r="I82" s="1965"/>
      <c r="J82" s="1965"/>
      <c r="K82" s="1965"/>
      <c r="L82" s="1965"/>
      <c r="M82" s="1965"/>
      <c r="Q82" s="1965"/>
      <c r="R82" s="1965"/>
      <c r="S82" s="1965"/>
      <c r="T82" s="1965"/>
      <c r="U82" s="1965"/>
      <c r="V82" s="1965"/>
      <c r="W82" s="1965"/>
      <c r="X82" s="1965"/>
      <c r="Y82" s="1965"/>
      <c r="AC82" s="1965"/>
      <c r="AD82" s="1965"/>
      <c r="AE82" s="1965"/>
      <c r="AF82" s="1965"/>
      <c r="AG82" s="1965"/>
      <c r="AH82" s="1965"/>
      <c r="AI82" s="1965"/>
      <c r="AJ82" s="1965"/>
    </row>
    <row r="83" spans="1:36" s="395" customFormat="1">
      <c r="A83" s="3138"/>
      <c r="B83" s="2068"/>
      <c r="C83" s="2049"/>
      <c r="D83" s="2027"/>
      <c r="E83" s="2027" t="s">
        <v>1194</v>
      </c>
      <c r="F83" s="2028" t="s">
        <v>1195</v>
      </c>
      <c r="G83" s="1990">
        <v>2007</v>
      </c>
      <c r="H83" s="1990">
        <v>2008</v>
      </c>
      <c r="I83" s="1990">
        <v>2009</v>
      </c>
      <c r="J83" s="1990">
        <v>2010</v>
      </c>
      <c r="K83" s="1990">
        <v>2011</v>
      </c>
      <c r="L83" s="1990">
        <v>2012</v>
      </c>
      <c r="M83" s="1990">
        <v>2013</v>
      </c>
      <c r="N83" s="1990">
        <v>2014</v>
      </c>
      <c r="O83" s="1990">
        <v>2015</v>
      </c>
      <c r="P83" s="1990">
        <v>2016</v>
      </c>
      <c r="Q83" s="1990">
        <v>2017</v>
      </c>
      <c r="R83" s="1990">
        <v>2018</v>
      </c>
      <c r="S83" s="1990">
        <v>2019</v>
      </c>
      <c r="T83" s="1990">
        <v>2020</v>
      </c>
      <c r="U83" s="2026">
        <v>2021</v>
      </c>
      <c r="V83" s="2796">
        <v>2022</v>
      </c>
      <c r="X83" s="1965"/>
      <c r="Y83" s="1965"/>
      <c r="AC83" s="1965"/>
      <c r="AD83" s="1965"/>
      <c r="AE83" s="1965"/>
      <c r="AF83" s="1965"/>
      <c r="AG83" s="1965"/>
      <c r="AH83" s="1965"/>
      <c r="AI83" s="1965"/>
      <c r="AJ83" s="1965"/>
    </row>
    <row r="84" spans="1:36" s="395" customFormat="1">
      <c r="A84" s="2036"/>
      <c r="B84" s="2052"/>
      <c r="C84" s="2278" t="s">
        <v>2508</v>
      </c>
      <c r="D84" s="2016"/>
      <c r="E84" s="2016"/>
      <c r="F84" s="3139"/>
      <c r="G84" s="2040"/>
      <c r="H84" s="2040"/>
      <c r="I84" s="2040"/>
      <c r="J84" s="2040"/>
      <c r="K84" s="2040"/>
      <c r="L84" s="2040"/>
      <c r="M84" s="2040"/>
      <c r="N84" s="2040"/>
      <c r="O84" s="2040"/>
      <c r="P84" s="2040"/>
      <c r="Q84" s="2040"/>
      <c r="R84" s="2040"/>
      <c r="S84" s="2040"/>
      <c r="T84" s="2040"/>
      <c r="U84" s="2040"/>
      <c r="V84" s="2059"/>
      <c r="X84" s="1975"/>
      <c r="Y84" s="1975"/>
      <c r="Z84" s="1975"/>
      <c r="AA84" s="1975"/>
      <c r="AB84" s="1975"/>
      <c r="AC84" s="1965"/>
      <c r="AD84" s="1965"/>
      <c r="AE84" s="1965"/>
      <c r="AF84" s="1965"/>
      <c r="AG84" s="1965"/>
      <c r="AH84" s="1965"/>
      <c r="AI84" s="1965"/>
      <c r="AJ84" s="1965"/>
    </row>
    <row r="85" spans="1:36" s="395" customFormat="1">
      <c r="A85" s="2037"/>
      <c r="B85" s="3816"/>
      <c r="C85" s="397"/>
      <c r="D85" s="1487"/>
      <c r="E85" s="1487"/>
      <c r="F85" s="2059"/>
      <c r="G85" s="2040"/>
      <c r="H85" s="2040"/>
      <c r="I85" s="2040"/>
      <c r="J85" s="2040"/>
      <c r="K85" s="2040"/>
      <c r="L85" s="2040"/>
      <c r="M85" s="2040"/>
      <c r="N85" s="2040"/>
      <c r="O85" s="2040"/>
      <c r="P85" s="2040"/>
      <c r="Q85" s="2040"/>
      <c r="R85" s="2040"/>
      <c r="S85" s="2040"/>
      <c r="T85" s="2040"/>
      <c r="U85" s="2040"/>
      <c r="V85" s="2059"/>
      <c r="X85" s="1975"/>
      <c r="Y85" s="1975"/>
      <c r="Z85" s="1975"/>
      <c r="AA85" s="1975"/>
      <c r="AB85" s="1975"/>
      <c r="AC85" s="1965"/>
      <c r="AD85" s="1965"/>
      <c r="AE85" s="1965"/>
      <c r="AF85" s="1965"/>
      <c r="AG85" s="1965"/>
      <c r="AH85" s="1965"/>
      <c r="AI85" s="1965"/>
      <c r="AJ85" s="1965"/>
    </row>
    <row r="86" spans="1:36" s="395" customFormat="1">
      <c r="A86" s="2037">
        <v>2020</v>
      </c>
      <c r="B86" s="3816"/>
      <c r="C86" s="397" t="s">
        <v>2508</v>
      </c>
      <c r="D86" s="1487">
        <v>81400.820000000007</v>
      </c>
      <c r="E86" s="2039" t="s">
        <v>1198</v>
      </c>
      <c r="F86" s="2059">
        <f>D86/10</f>
        <v>8140.0820000000003</v>
      </c>
      <c r="G86" s="2040"/>
      <c r="H86" s="2040"/>
      <c r="I86" s="2040"/>
      <c r="J86" s="2040"/>
      <c r="K86" s="2040"/>
      <c r="L86" s="2040"/>
      <c r="M86" s="2040"/>
      <c r="N86" s="2040"/>
      <c r="O86" s="2040"/>
      <c r="P86" s="2040"/>
      <c r="Q86" s="2040"/>
      <c r="R86" s="2040"/>
      <c r="S86" s="2040"/>
      <c r="T86" s="2040">
        <v>8140.08</v>
      </c>
      <c r="U86" s="2040">
        <v>8140.08</v>
      </c>
      <c r="V86" s="2059">
        <v>8140.08</v>
      </c>
      <c r="X86" s="1975"/>
      <c r="Y86" s="1975"/>
      <c r="Z86" s="1975"/>
      <c r="AA86" s="1975"/>
      <c r="AB86" s="1975"/>
      <c r="AC86" s="1965"/>
      <c r="AD86" s="1965"/>
      <c r="AE86" s="1965"/>
      <c r="AF86" s="1965"/>
      <c r="AG86" s="1965"/>
      <c r="AH86" s="1965"/>
      <c r="AI86" s="1965"/>
      <c r="AJ86" s="1965"/>
    </row>
    <row r="87" spans="1:36" s="395" customFormat="1">
      <c r="A87" s="2037"/>
      <c r="B87" s="3816"/>
      <c r="C87" s="397" t="s">
        <v>1494</v>
      </c>
      <c r="D87" s="1487">
        <v>4649.16</v>
      </c>
      <c r="E87" s="2039" t="s">
        <v>1197</v>
      </c>
      <c r="F87" s="2059">
        <f>D87/5</f>
        <v>929.83199999999999</v>
      </c>
      <c r="G87" s="2040"/>
      <c r="H87" s="2040"/>
      <c r="I87" s="2040"/>
      <c r="J87" s="2040"/>
      <c r="K87" s="2040"/>
      <c r="L87" s="2040"/>
      <c r="M87" s="2040"/>
      <c r="N87" s="2040"/>
      <c r="O87" s="2040"/>
      <c r="P87" s="2040"/>
      <c r="Q87" s="2040"/>
      <c r="R87" s="2040"/>
      <c r="S87" s="2040"/>
      <c r="T87" s="2040">
        <v>929.83</v>
      </c>
      <c r="U87" s="2040">
        <v>929.83</v>
      </c>
      <c r="V87" s="2059">
        <v>929.83</v>
      </c>
      <c r="X87" s="1975"/>
      <c r="Y87" s="1975"/>
      <c r="Z87" s="1975"/>
      <c r="AA87" s="1975"/>
      <c r="AB87" s="1975"/>
      <c r="AC87" s="1965"/>
      <c r="AD87" s="1965"/>
      <c r="AE87" s="1965"/>
      <c r="AF87" s="1965"/>
      <c r="AG87" s="1965"/>
      <c r="AH87" s="1965"/>
      <c r="AI87" s="1965"/>
      <c r="AJ87" s="1965"/>
    </row>
    <row r="88" spans="1:36" s="395" customFormat="1">
      <c r="A88" s="2037">
        <v>2019</v>
      </c>
      <c r="B88" s="3816"/>
      <c r="C88" s="397" t="s">
        <v>2508</v>
      </c>
      <c r="D88" s="1487">
        <v>13705.17</v>
      </c>
      <c r="E88" s="2039" t="s">
        <v>1198</v>
      </c>
      <c r="F88" s="2059">
        <f>D88/10</f>
        <v>1370.5170000000001</v>
      </c>
      <c r="G88" s="2040"/>
      <c r="H88" s="2040"/>
      <c r="I88" s="2040"/>
      <c r="J88" s="2040"/>
      <c r="K88" s="2040"/>
      <c r="L88" s="2040"/>
      <c r="M88" s="2040"/>
      <c r="N88" s="2040"/>
      <c r="O88" s="2040"/>
      <c r="P88" s="2040"/>
      <c r="Q88" s="2040"/>
      <c r="R88" s="2040"/>
      <c r="S88" s="2040">
        <v>1370.52</v>
      </c>
      <c r="T88" s="2040">
        <v>1370.52</v>
      </c>
      <c r="U88" s="2040">
        <v>1370.52</v>
      </c>
      <c r="V88" s="2059">
        <v>1370.52</v>
      </c>
      <c r="X88" s="1975"/>
      <c r="Y88" s="1975"/>
      <c r="Z88" s="1975"/>
      <c r="AA88" s="1975"/>
      <c r="AB88" s="1975"/>
      <c r="AC88" s="1965"/>
      <c r="AD88" s="1965"/>
      <c r="AE88" s="1965"/>
      <c r="AF88" s="1965"/>
      <c r="AG88" s="1965"/>
      <c r="AH88" s="1965"/>
      <c r="AI88" s="1965"/>
      <c r="AJ88" s="1965"/>
    </row>
    <row r="89" spans="1:36" s="395" customFormat="1">
      <c r="A89" s="2037"/>
      <c r="B89" s="3816"/>
      <c r="C89" s="397" t="s">
        <v>1494</v>
      </c>
      <c r="D89" s="1487">
        <v>1657.84</v>
      </c>
      <c r="E89" s="2039" t="s">
        <v>1197</v>
      </c>
      <c r="F89" s="2059">
        <f>D89/5</f>
        <v>331.56799999999998</v>
      </c>
      <c r="G89" s="2040"/>
      <c r="H89" s="2040"/>
      <c r="I89" s="2040"/>
      <c r="J89" s="2040"/>
      <c r="K89" s="2040"/>
      <c r="L89" s="2040"/>
      <c r="M89" s="2040"/>
      <c r="N89" s="2040"/>
      <c r="O89" s="2040"/>
      <c r="P89" s="2040"/>
      <c r="Q89" s="2040"/>
      <c r="R89" s="2040"/>
      <c r="S89" s="2040">
        <v>331.57</v>
      </c>
      <c r="T89" s="2040">
        <v>331.57</v>
      </c>
      <c r="U89" s="2040">
        <v>331.57</v>
      </c>
      <c r="V89" s="2059">
        <v>331.57</v>
      </c>
      <c r="X89" s="1975"/>
      <c r="Y89" s="1975"/>
      <c r="Z89" s="1975"/>
      <c r="AA89" s="1975"/>
      <c r="AB89" s="1975"/>
      <c r="AC89" s="1965"/>
      <c r="AD89" s="1965"/>
      <c r="AE89" s="1965"/>
      <c r="AF89" s="1965"/>
      <c r="AG89" s="1965"/>
      <c r="AH89" s="1965"/>
      <c r="AI89" s="1965"/>
      <c r="AJ89" s="1965"/>
    </row>
    <row r="90" spans="1:36" s="395" customFormat="1">
      <c r="A90" s="2037">
        <v>2018</v>
      </c>
      <c r="B90" s="3816"/>
      <c r="C90" s="397" t="s">
        <v>2508</v>
      </c>
      <c r="D90" s="1487">
        <v>4787.24</v>
      </c>
      <c r="E90" s="2039" t="s">
        <v>1198</v>
      </c>
      <c r="F90" s="2059">
        <f>D90/10</f>
        <v>478.72399999999999</v>
      </c>
      <c r="G90" s="2040"/>
      <c r="H90" s="2040"/>
      <c r="I90" s="2040"/>
      <c r="J90" s="2040"/>
      <c r="K90" s="2040"/>
      <c r="L90" s="2040"/>
      <c r="M90" s="2040"/>
      <c r="N90" s="2040"/>
      <c r="O90" s="2040"/>
      <c r="P90" s="2040"/>
      <c r="Q90" s="2040"/>
      <c r="R90" s="2040">
        <f>F90</f>
        <v>478.72399999999999</v>
      </c>
      <c r="S90" s="2040">
        <f>F90</f>
        <v>478.72399999999999</v>
      </c>
      <c r="T90" s="2040">
        <f>F90</f>
        <v>478.72399999999999</v>
      </c>
      <c r="U90" s="2040">
        <v>478.72</v>
      </c>
      <c r="V90" s="2059">
        <v>478.72</v>
      </c>
      <c r="X90" s="1975"/>
      <c r="Y90" s="1975"/>
      <c r="Z90" s="1975"/>
      <c r="AA90" s="1975"/>
      <c r="AB90" s="1975"/>
      <c r="AC90" s="1965"/>
      <c r="AD90" s="1965"/>
      <c r="AE90" s="1965"/>
      <c r="AF90" s="1965"/>
      <c r="AG90" s="1965"/>
      <c r="AH90" s="1965"/>
      <c r="AI90" s="1965"/>
      <c r="AJ90" s="1965"/>
    </row>
    <row r="91" spans="1:36" s="395" customFormat="1">
      <c r="A91" s="2037"/>
      <c r="B91" s="3816"/>
      <c r="C91" s="397" t="s">
        <v>1494</v>
      </c>
      <c r="D91" s="1487">
        <v>1475.6</v>
      </c>
      <c r="E91" s="2039" t="s">
        <v>1197</v>
      </c>
      <c r="F91" s="2059">
        <f>D91/5</f>
        <v>295.12</v>
      </c>
      <c r="G91" s="2040"/>
      <c r="H91" s="2040"/>
      <c r="I91" s="2040"/>
      <c r="J91" s="2040"/>
      <c r="K91" s="2040"/>
      <c r="L91" s="2040"/>
      <c r="M91" s="2040"/>
      <c r="N91" s="2040"/>
      <c r="O91" s="2040"/>
      <c r="P91" s="2040"/>
      <c r="Q91" s="2040"/>
      <c r="R91" s="2040">
        <f>F91</f>
        <v>295.12</v>
      </c>
      <c r="S91" s="2040">
        <f>F91</f>
        <v>295.12</v>
      </c>
      <c r="T91" s="2040">
        <f>F91</f>
        <v>295.12</v>
      </c>
      <c r="U91" s="2040">
        <v>295.12</v>
      </c>
      <c r="V91" s="2059">
        <v>295.12</v>
      </c>
      <c r="X91" s="1975"/>
      <c r="Y91" s="1975"/>
      <c r="Z91" s="1975"/>
      <c r="AA91" s="1975"/>
      <c r="AB91" s="1975"/>
      <c r="AC91" s="1965"/>
      <c r="AD91" s="1965"/>
      <c r="AE91" s="1965"/>
      <c r="AF91" s="1965"/>
      <c r="AG91" s="1965"/>
      <c r="AH91" s="1965"/>
      <c r="AI91" s="1965"/>
      <c r="AJ91" s="1965"/>
    </row>
    <row r="92" spans="1:36" s="395" customFormat="1">
      <c r="A92" s="2037"/>
      <c r="B92" s="3816"/>
      <c r="C92" s="397" t="s">
        <v>1727</v>
      </c>
      <c r="D92" s="1487">
        <v>7823.52</v>
      </c>
      <c r="E92" s="2039" t="s">
        <v>1197</v>
      </c>
      <c r="F92" s="2059">
        <f>D92/5</f>
        <v>1564.7040000000002</v>
      </c>
      <c r="G92" s="2040"/>
      <c r="H92" s="2040"/>
      <c r="I92" s="2040"/>
      <c r="J92" s="2040"/>
      <c r="K92" s="2040"/>
      <c r="L92" s="2040"/>
      <c r="M92" s="2040"/>
      <c r="N92" s="2040"/>
      <c r="O92" s="2040"/>
      <c r="P92" s="2040"/>
      <c r="Q92" s="2040"/>
      <c r="R92" s="2040">
        <f>F92</f>
        <v>1564.7040000000002</v>
      </c>
      <c r="S92" s="2040">
        <f>F92</f>
        <v>1564.7040000000002</v>
      </c>
      <c r="T92" s="2040">
        <f>F92</f>
        <v>1564.7040000000002</v>
      </c>
      <c r="U92" s="2040">
        <v>1564.7</v>
      </c>
      <c r="V92" s="2059">
        <v>1564.7</v>
      </c>
      <c r="X92" s="1975"/>
      <c r="Y92" s="1975"/>
      <c r="Z92" s="1975"/>
      <c r="AA92" s="1975"/>
      <c r="AB92" s="1975"/>
      <c r="AC92" s="1965"/>
      <c r="AD92" s="1965"/>
      <c r="AE92" s="1965"/>
      <c r="AF92" s="1965"/>
      <c r="AG92" s="1965"/>
      <c r="AH92" s="1965"/>
      <c r="AI92" s="1965"/>
      <c r="AJ92" s="1965"/>
    </row>
    <row r="93" spans="1:36" s="395" customFormat="1">
      <c r="A93" s="2037"/>
      <c r="B93" s="3816"/>
      <c r="C93" s="397" t="s">
        <v>2512</v>
      </c>
      <c r="D93" s="1487">
        <v>649.95000000000005</v>
      </c>
      <c r="E93" s="2039" t="s">
        <v>1197</v>
      </c>
      <c r="F93" s="2059">
        <f>D93/5</f>
        <v>129.99</v>
      </c>
      <c r="G93" s="2040"/>
      <c r="H93" s="2040"/>
      <c r="I93" s="2040"/>
      <c r="J93" s="2040"/>
      <c r="K93" s="2040"/>
      <c r="L93" s="2040"/>
      <c r="M93" s="2040"/>
      <c r="N93" s="2040"/>
      <c r="O93" s="2040"/>
      <c r="P93" s="2040"/>
      <c r="Q93" s="2040"/>
      <c r="R93" s="2040">
        <f>F93</f>
        <v>129.99</v>
      </c>
      <c r="S93" s="2040">
        <f>F93</f>
        <v>129.99</v>
      </c>
      <c r="T93" s="2040">
        <f>F93</f>
        <v>129.99</v>
      </c>
      <c r="U93" s="2040">
        <v>129.99</v>
      </c>
      <c r="V93" s="2059">
        <v>129.99</v>
      </c>
      <c r="X93" s="1975"/>
      <c r="Y93" s="1975"/>
      <c r="Z93" s="1975"/>
      <c r="AA93" s="1975"/>
      <c r="AB93" s="1975"/>
      <c r="AC93" s="1965"/>
      <c r="AD93" s="1965"/>
      <c r="AE93" s="1965"/>
      <c r="AF93" s="1965"/>
      <c r="AG93" s="1965"/>
      <c r="AH93" s="1965"/>
      <c r="AI93" s="1965"/>
      <c r="AJ93" s="1965"/>
    </row>
    <row r="94" spans="1:36" s="395" customFormat="1">
      <c r="A94" s="2037">
        <v>2017</v>
      </c>
      <c r="B94" s="3816"/>
      <c r="C94" s="397" t="s">
        <v>2508</v>
      </c>
      <c r="D94" s="1487">
        <v>2486.31</v>
      </c>
      <c r="E94" s="2039" t="s">
        <v>1198</v>
      </c>
      <c r="F94" s="2059">
        <f>D94/10</f>
        <v>248.631</v>
      </c>
      <c r="G94" s="2040"/>
      <c r="H94" s="2040"/>
      <c r="I94" s="2040"/>
      <c r="J94" s="2040"/>
      <c r="K94" s="2040"/>
      <c r="L94" s="2040"/>
      <c r="M94" s="2040"/>
      <c r="N94" s="2040"/>
      <c r="O94" s="2040"/>
      <c r="P94" s="2040"/>
      <c r="Q94" s="2040">
        <v>248.63</v>
      </c>
      <c r="R94" s="2040">
        <v>248.63</v>
      </c>
      <c r="S94" s="2040">
        <v>248.63</v>
      </c>
      <c r="T94" s="2040">
        <v>248.63</v>
      </c>
      <c r="U94" s="2040">
        <v>248.63</v>
      </c>
      <c r="V94" s="2059">
        <v>248.63</v>
      </c>
      <c r="X94" s="1975"/>
      <c r="Y94" s="1975"/>
      <c r="Z94" s="1975"/>
      <c r="AA94" s="1975"/>
      <c r="AB94" s="1975"/>
      <c r="AC94" s="1965"/>
      <c r="AD94" s="1965"/>
      <c r="AE94" s="1965"/>
      <c r="AF94" s="1965"/>
      <c r="AG94" s="1965"/>
      <c r="AH94" s="1965"/>
      <c r="AI94" s="1965"/>
      <c r="AJ94" s="1965"/>
    </row>
    <row r="95" spans="1:36" s="395" customFormat="1">
      <c r="A95" s="2037"/>
      <c r="B95" s="3816"/>
      <c r="C95" s="397" t="s">
        <v>1494</v>
      </c>
      <c r="D95" s="1487">
        <v>3025</v>
      </c>
      <c r="E95" s="2039" t="s">
        <v>1197</v>
      </c>
      <c r="F95" s="2059">
        <f>D95/5</f>
        <v>605</v>
      </c>
      <c r="G95" s="2040"/>
      <c r="H95" s="2040"/>
      <c r="I95" s="2040"/>
      <c r="J95" s="2040"/>
      <c r="K95" s="2040"/>
      <c r="L95" s="2040"/>
      <c r="M95" s="2040"/>
      <c r="N95" s="2040"/>
      <c r="O95" s="2040"/>
      <c r="P95" s="2040"/>
      <c r="Q95" s="2040">
        <v>605</v>
      </c>
      <c r="R95" s="2040">
        <v>605</v>
      </c>
      <c r="S95" s="2040">
        <v>605</v>
      </c>
      <c r="T95" s="2040">
        <v>605</v>
      </c>
      <c r="U95" s="2040">
        <v>605</v>
      </c>
      <c r="V95" s="2059"/>
      <c r="X95" s="1975"/>
      <c r="Y95" s="1975"/>
      <c r="Z95" s="1975"/>
      <c r="AA95" s="1975"/>
      <c r="AB95" s="1975"/>
      <c r="AC95" s="1965"/>
      <c r="AD95" s="1965"/>
      <c r="AE95" s="1965"/>
      <c r="AF95" s="1965"/>
      <c r="AG95" s="1965"/>
      <c r="AH95" s="1965"/>
      <c r="AI95" s="1965"/>
      <c r="AJ95" s="1965"/>
    </row>
    <row r="96" spans="1:36" s="395" customFormat="1">
      <c r="A96" s="2037"/>
      <c r="B96" s="3816"/>
      <c r="C96" s="397" t="s">
        <v>1727</v>
      </c>
      <c r="D96" s="1487">
        <v>13450.47</v>
      </c>
      <c r="E96" s="2039" t="s">
        <v>1197</v>
      </c>
      <c r="F96" s="2059">
        <f>D96/5</f>
        <v>2690.0940000000001</v>
      </c>
      <c r="G96" s="2040"/>
      <c r="H96" s="2040"/>
      <c r="I96" s="2040"/>
      <c r="J96" s="2040"/>
      <c r="K96" s="2040"/>
      <c r="L96" s="2040"/>
      <c r="M96" s="2040"/>
      <c r="N96" s="2040"/>
      <c r="O96" s="2040"/>
      <c r="P96" s="2040"/>
      <c r="Q96" s="2040">
        <v>2690.09</v>
      </c>
      <c r="R96" s="2040">
        <v>2690.09</v>
      </c>
      <c r="S96" s="2040">
        <v>2690.09</v>
      </c>
      <c r="T96" s="2040">
        <v>2690.09</v>
      </c>
      <c r="U96" s="2040">
        <v>2690.09</v>
      </c>
      <c r="V96" s="2059"/>
      <c r="X96" s="1975"/>
      <c r="Y96" s="1975"/>
      <c r="Z96" s="1975"/>
      <c r="AA96" s="1975"/>
      <c r="AB96" s="1975"/>
      <c r="AC96" s="1965"/>
      <c r="AD96" s="1965"/>
      <c r="AE96" s="1965"/>
      <c r="AF96" s="1965"/>
      <c r="AG96" s="1965"/>
      <c r="AH96" s="1965"/>
      <c r="AI96" s="1965"/>
      <c r="AJ96" s="1965"/>
    </row>
    <row r="97" spans="1:36" s="395" customFormat="1">
      <c r="A97" s="2037">
        <v>2016</v>
      </c>
      <c r="B97" s="3816"/>
      <c r="C97" s="397" t="s">
        <v>2508</v>
      </c>
      <c r="D97" s="1487">
        <v>49755.08</v>
      </c>
      <c r="E97" s="2039" t="s">
        <v>1198</v>
      </c>
      <c r="F97" s="2059">
        <f>D97/10</f>
        <v>4975.5079999999998</v>
      </c>
      <c r="G97" s="2040"/>
      <c r="H97" s="2040"/>
      <c r="I97" s="2040"/>
      <c r="J97" s="2040"/>
      <c r="K97" s="2040"/>
      <c r="L97" s="2040"/>
      <c r="M97" s="2040"/>
      <c r="N97" s="2040"/>
      <c r="O97" s="2040"/>
      <c r="P97" s="2040">
        <f>F97</f>
        <v>4975.5079999999998</v>
      </c>
      <c r="Q97" s="2040">
        <f>F97</f>
        <v>4975.5079999999998</v>
      </c>
      <c r="R97" s="2040">
        <f>F97</f>
        <v>4975.5079999999998</v>
      </c>
      <c r="S97" s="2040">
        <f>F97</f>
        <v>4975.5079999999998</v>
      </c>
      <c r="T97" s="2040">
        <f>F97</f>
        <v>4975.5079999999998</v>
      </c>
      <c r="U97" s="2040">
        <v>4975.51</v>
      </c>
      <c r="V97" s="2059">
        <v>4975.51</v>
      </c>
      <c r="X97" s="1975"/>
      <c r="Y97" s="1975"/>
      <c r="Z97" s="1975"/>
      <c r="AA97" s="1975"/>
      <c r="AB97" s="1975"/>
      <c r="AC97" s="1965"/>
      <c r="AD97" s="1965"/>
      <c r="AE97" s="1965"/>
      <c r="AF97" s="1965"/>
      <c r="AG97" s="1965"/>
      <c r="AH97" s="1965"/>
      <c r="AI97" s="1965"/>
      <c r="AJ97" s="1965"/>
    </row>
    <row r="98" spans="1:36" s="395" customFormat="1">
      <c r="A98" s="2037"/>
      <c r="B98" s="3816"/>
      <c r="C98" s="397" t="s">
        <v>1727</v>
      </c>
      <c r="D98" s="1487">
        <v>48294.239999999998</v>
      </c>
      <c r="E98" s="2039" t="s">
        <v>1197</v>
      </c>
      <c r="F98" s="2059">
        <f>D98/5</f>
        <v>9658.848</v>
      </c>
      <c r="G98" s="2040"/>
      <c r="H98" s="2040"/>
      <c r="I98" s="2040"/>
      <c r="J98" s="2040"/>
      <c r="K98" s="2040"/>
      <c r="L98" s="2040"/>
      <c r="M98" s="2040"/>
      <c r="N98" s="2040"/>
      <c r="O98" s="2040"/>
      <c r="P98" s="2040">
        <f>F98</f>
        <v>9658.848</v>
      </c>
      <c r="Q98" s="2040">
        <f>F98</f>
        <v>9658.848</v>
      </c>
      <c r="R98" s="2040">
        <f>F98</f>
        <v>9658.848</v>
      </c>
      <c r="S98" s="2040">
        <f>F98</f>
        <v>9658.848</v>
      </c>
      <c r="T98" s="2040">
        <f>F98</f>
        <v>9658.848</v>
      </c>
      <c r="U98" s="2040"/>
      <c r="V98" s="2059"/>
      <c r="X98" s="1975"/>
      <c r="Y98" s="1975"/>
      <c r="Z98" s="1975"/>
      <c r="AA98" s="1975"/>
      <c r="AB98" s="1975"/>
      <c r="AC98" s="1965"/>
      <c r="AD98" s="1965"/>
      <c r="AE98" s="1965"/>
      <c r="AF98" s="1965"/>
      <c r="AG98" s="1965"/>
      <c r="AH98" s="1965"/>
      <c r="AI98" s="1965"/>
      <c r="AJ98" s="1965"/>
    </row>
    <row r="99" spans="1:36" s="395" customFormat="1">
      <c r="A99" s="2037">
        <v>2015</v>
      </c>
      <c r="B99" s="3816"/>
      <c r="C99" s="397" t="s">
        <v>1727</v>
      </c>
      <c r="D99" s="1487">
        <v>23856.67</v>
      </c>
      <c r="E99" s="2039" t="s">
        <v>1197</v>
      </c>
      <c r="F99" s="2059">
        <f>D99/5</f>
        <v>4771.3339999999998</v>
      </c>
      <c r="G99" s="2040"/>
      <c r="H99" s="2040"/>
      <c r="I99" s="2040"/>
      <c r="J99" s="2040"/>
      <c r="K99" s="2040"/>
      <c r="L99" s="2040"/>
      <c r="M99" s="2040"/>
      <c r="N99" s="2040">
        <f>F99</f>
        <v>4771.3339999999998</v>
      </c>
      <c r="O99" s="2040">
        <f>F99</f>
        <v>4771.3339999999998</v>
      </c>
      <c r="P99" s="2040">
        <f>F99</f>
        <v>4771.3339999999998</v>
      </c>
      <c r="Q99" s="2040">
        <f>F99</f>
        <v>4771.3339999999998</v>
      </c>
      <c r="R99" s="2040">
        <f>F99</f>
        <v>4771.3339999999998</v>
      </c>
      <c r="S99" s="2040"/>
      <c r="T99" s="2040"/>
      <c r="U99" s="2040"/>
      <c r="V99" s="2059"/>
      <c r="X99" s="1975"/>
      <c r="Y99" s="1975"/>
      <c r="Z99" s="1975"/>
      <c r="AA99" s="1975"/>
      <c r="AB99" s="1975"/>
      <c r="AC99" s="1965"/>
      <c r="AD99" s="1965"/>
      <c r="AE99" s="1965"/>
      <c r="AF99" s="1965"/>
      <c r="AG99" s="1965"/>
      <c r="AH99" s="1965"/>
      <c r="AI99" s="1965"/>
      <c r="AJ99" s="1965"/>
    </row>
    <row r="100" spans="1:36" s="395" customFormat="1">
      <c r="A100" s="2037">
        <v>2012</v>
      </c>
      <c r="B100" s="3816"/>
      <c r="C100" s="397" t="s">
        <v>2508</v>
      </c>
      <c r="D100" s="1487">
        <v>13813.86</v>
      </c>
      <c r="E100" s="2039" t="s">
        <v>1197</v>
      </c>
      <c r="F100" s="2059">
        <f>D100/5</f>
        <v>2762.7719999999999</v>
      </c>
      <c r="G100" s="2040"/>
      <c r="H100" s="2040"/>
      <c r="I100" s="2040"/>
      <c r="J100" s="2040"/>
      <c r="K100" s="2040"/>
      <c r="L100" s="2040"/>
      <c r="M100" s="2040">
        <v>2762.77</v>
      </c>
      <c r="N100" s="2040">
        <v>2762.77</v>
      </c>
      <c r="O100" s="2040">
        <v>2762.77</v>
      </c>
      <c r="P100" s="2040">
        <v>2762.77</v>
      </c>
      <c r="Q100" s="2040">
        <v>2762.77</v>
      </c>
      <c r="R100" s="2040"/>
      <c r="S100" s="2040"/>
      <c r="T100" s="2040"/>
      <c r="U100" s="2040"/>
      <c r="V100" s="2059"/>
      <c r="X100" s="1975"/>
      <c r="Y100" s="1975"/>
      <c r="Z100" s="1975"/>
      <c r="AA100" s="1975"/>
      <c r="AB100" s="1975"/>
      <c r="AC100" s="1965"/>
      <c r="AD100" s="1965"/>
      <c r="AE100" s="1965"/>
      <c r="AF100" s="1965"/>
      <c r="AG100" s="1965"/>
      <c r="AH100" s="1965"/>
      <c r="AI100" s="1965"/>
      <c r="AJ100" s="1965"/>
    </row>
    <row r="101" spans="1:36" s="395" customFormat="1">
      <c r="A101" s="2037">
        <v>2011</v>
      </c>
      <c r="B101" s="3816"/>
      <c r="C101" s="397" t="s">
        <v>2513</v>
      </c>
      <c r="D101" s="1487">
        <v>110000</v>
      </c>
      <c r="E101" s="2039" t="s">
        <v>1198</v>
      </c>
      <c r="F101" s="2059">
        <f>D101/10</f>
        <v>11000</v>
      </c>
      <c r="G101" s="3021"/>
      <c r="H101" s="3021"/>
      <c r="I101" s="3021"/>
      <c r="J101" s="3021"/>
      <c r="K101" s="1487"/>
      <c r="L101" s="1487">
        <f>$F$101</f>
        <v>11000</v>
      </c>
      <c r="M101" s="1487">
        <f>$F$101</f>
        <v>11000</v>
      </c>
      <c r="N101" s="1487">
        <f>$F$101</f>
        <v>11000</v>
      </c>
      <c r="O101" s="1487">
        <f>$F$101</f>
        <v>11000</v>
      </c>
      <c r="P101" s="1487">
        <f>$F$101</f>
        <v>11000</v>
      </c>
      <c r="Q101" s="1487">
        <f>F101</f>
        <v>11000</v>
      </c>
      <c r="R101" s="1487">
        <f>F101</f>
        <v>11000</v>
      </c>
      <c r="S101" s="1487">
        <v>11000</v>
      </c>
      <c r="T101" s="1487">
        <v>11000</v>
      </c>
      <c r="U101" s="2040">
        <v>11000</v>
      </c>
      <c r="V101" s="2059"/>
      <c r="X101" s="1965"/>
      <c r="Y101" s="1965"/>
      <c r="Z101" s="1965"/>
      <c r="AA101" s="1965"/>
      <c r="AB101" s="1965"/>
      <c r="AC101" s="1965"/>
      <c r="AD101" s="1965"/>
      <c r="AE101" s="1965"/>
      <c r="AF101" s="1965"/>
      <c r="AG101" s="1965"/>
      <c r="AH101" s="1965"/>
      <c r="AI101" s="1965"/>
      <c r="AJ101" s="1965"/>
    </row>
    <row r="102" spans="1:36" s="395" customFormat="1">
      <c r="A102" s="2037"/>
      <c r="B102" s="3816"/>
      <c r="C102" s="397" t="s">
        <v>2514</v>
      </c>
      <c r="D102" s="1487">
        <f>4656</f>
        <v>4656</v>
      </c>
      <c r="E102" s="2039" t="s">
        <v>1197</v>
      </c>
      <c r="F102" s="2059">
        <f>D102/5</f>
        <v>931.2</v>
      </c>
      <c r="G102" s="3021"/>
      <c r="H102" s="3021"/>
      <c r="I102" s="3021"/>
      <c r="J102" s="3021"/>
      <c r="K102" s="1487"/>
      <c r="L102" s="1487">
        <f>$F$102</f>
        <v>931.2</v>
      </c>
      <c r="M102" s="1487">
        <f>$F$102</f>
        <v>931.2</v>
      </c>
      <c r="N102" s="1487">
        <f>$F$102</f>
        <v>931.2</v>
      </c>
      <c r="O102" s="1487">
        <f>$F$102</f>
        <v>931.2</v>
      </c>
      <c r="P102" s="1487">
        <f>$F$102</f>
        <v>931.2</v>
      </c>
      <c r="Q102" s="1487"/>
      <c r="R102" s="1487"/>
      <c r="S102" s="1487"/>
      <c r="T102" s="1487"/>
      <c r="U102" s="2040"/>
      <c r="V102" s="2059"/>
      <c r="X102" s="1965"/>
      <c r="Y102" s="1965"/>
      <c r="Z102" s="1965"/>
      <c r="AA102" s="1965"/>
      <c r="AB102" s="1965"/>
      <c r="AC102" s="1965"/>
      <c r="AD102" s="1965"/>
      <c r="AE102" s="1965"/>
      <c r="AF102" s="1965"/>
      <c r="AG102" s="1965"/>
      <c r="AH102" s="1965"/>
      <c r="AI102" s="1965"/>
      <c r="AJ102" s="1965"/>
    </row>
    <row r="103" spans="1:36" s="395" customFormat="1">
      <c r="A103" s="2037"/>
      <c r="B103" s="3816"/>
      <c r="C103" s="397" t="s">
        <v>2501</v>
      </c>
      <c r="D103" s="1487">
        <v>454075.31</v>
      </c>
      <c r="E103" s="2039" t="s">
        <v>1385</v>
      </c>
      <c r="F103" s="2059">
        <f>D103/20</f>
        <v>22703.765500000001</v>
      </c>
      <c r="G103" s="1487"/>
      <c r="H103" s="1487"/>
      <c r="I103" s="1487"/>
      <c r="J103" s="1487"/>
      <c r="K103" s="1487"/>
      <c r="L103" s="1487">
        <f>$F$103</f>
        <v>22703.765500000001</v>
      </c>
      <c r="M103" s="1487">
        <f>$F$103</f>
        <v>22703.765500000001</v>
      </c>
      <c r="N103" s="1487">
        <f>$F$103</f>
        <v>22703.765500000001</v>
      </c>
      <c r="O103" s="1487">
        <f>$F$103</f>
        <v>22703.765500000001</v>
      </c>
      <c r="P103" s="1487">
        <f>$F$103</f>
        <v>22703.765500000001</v>
      </c>
      <c r="Q103" s="1487">
        <f>F103</f>
        <v>22703.765500000001</v>
      </c>
      <c r="R103" s="1487">
        <f>F103</f>
        <v>22703.765500000001</v>
      </c>
      <c r="S103" s="1487">
        <f>F103</f>
        <v>22703.765500000001</v>
      </c>
      <c r="T103" s="1487">
        <f>F103</f>
        <v>22703.765500000001</v>
      </c>
      <c r="U103" s="2040">
        <v>22703.77</v>
      </c>
      <c r="V103" s="2059">
        <v>22703.77</v>
      </c>
      <c r="X103" s="1965"/>
      <c r="Y103" s="1965"/>
      <c r="AC103" s="1965"/>
      <c r="AD103" s="1965"/>
      <c r="AE103" s="1965"/>
      <c r="AF103" s="1965"/>
      <c r="AG103" s="1965"/>
      <c r="AH103" s="1965"/>
      <c r="AI103" s="1965"/>
      <c r="AJ103" s="1965"/>
    </row>
    <row r="104" spans="1:36" s="395" customFormat="1">
      <c r="A104" s="2037">
        <v>2010</v>
      </c>
      <c r="B104" s="3816"/>
      <c r="C104" s="1487"/>
      <c r="D104" s="1487"/>
      <c r="E104" s="2039"/>
      <c r="F104" s="2059"/>
      <c r="G104" s="1487"/>
      <c r="H104" s="1487"/>
      <c r="I104" s="1487"/>
      <c r="J104" s="1487"/>
      <c r="K104" s="1487"/>
      <c r="L104" s="1487"/>
      <c r="M104" s="1487"/>
      <c r="N104" s="1487"/>
      <c r="O104" s="1487"/>
      <c r="P104" s="1487"/>
      <c r="Q104" s="1487"/>
      <c r="R104" s="2039"/>
      <c r="S104" s="1487"/>
      <c r="T104" s="1487"/>
      <c r="U104" s="2040"/>
      <c r="V104" s="2059"/>
      <c r="X104" s="1965"/>
      <c r="Y104" s="1965"/>
      <c r="Z104" s="1965"/>
      <c r="AA104" s="1965"/>
      <c r="AB104" s="1965"/>
      <c r="AC104" s="1965"/>
      <c r="AD104" s="1965"/>
      <c r="AE104" s="1965"/>
      <c r="AF104" s="1965"/>
      <c r="AG104" s="1965"/>
      <c r="AH104" s="1965"/>
      <c r="AI104" s="1965"/>
      <c r="AJ104" s="1965"/>
    </row>
    <row r="105" spans="1:36" s="395" customFormat="1">
      <c r="A105" s="2037">
        <v>2009</v>
      </c>
      <c r="B105" s="3816"/>
      <c r="C105" s="397" t="s">
        <v>1612</v>
      </c>
      <c r="D105" s="1487">
        <v>4345.21</v>
      </c>
      <c r="E105" s="2039" t="s">
        <v>1197</v>
      </c>
      <c r="F105" s="1489">
        <f>D105/5</f>
        <v>869.04200000000003</v>
      </c>
      <c r="G105" s="1487"/>
      <c r="H105" s="1487"/>
      <c r="I105" s="1487"/>
      <c r="J105" s="1487">
        <f>$F$105</f>
        <v>869.04200000000003</v>
      </c>
      <c r="K105" s="1487">
        <f>$F$105</f>
        <v>869.04200000000003</v>
      </c>
      <c r="L105" s="1487">
        <f>$F$105</f>
        <v>869.04200000000003</v>
      </c>
      <c r="M105" s="1487">
        <f>$F$105</f>
        <v>869.04200000000003</v>
      </c>
      <c r="N105" s="1487">
        <f>$F$105</f>
        <v>869.04200000000003</v>
      </c>
      <c r="O105" s="1487"/>
      <c r="P105" s="1487"/>
      <c r="Q105" s="1487"/>
      <c r="R105" s="1487"/>
      <c r="S105" s="1487"/>
      <c r="T105" s="1487"/>
      <c r="U105" s="2040"/>
      <c r="V105" s="2059"/>
      <c r="X105" s="1965"/>
      <c r="Y105" s="1965"/>
      <c r="AC105" s="1965"/>
      <c r="AD105" s="1965"/>
      <c r="AE105" s="1965"/>
      <c r="AF105" s="1965"/>
      <c r="AG105" s="1965"/>
      <c r="AH105" s="1965"/>
      <c r="AI105" s="1965"/>
      <c r="AJ105" s="1965"/>
    </row>
    <row r="106" spans="1:36" s="395" customFormat="1">
      <c r="A106" s="2037">
        <v>2008</v>
      </c>
      <c r="B106" s="3816"/>
      <c r="C106" s="397" t="s">
        <v>2515</v>
      </c>
      <c r="D106" s="1487">
        <v>590</v>
      </c>
      <c r="E106" s="2039" t="s">
        <v>1197</v>
      </c>
      <c r="F106" s="1489">
        <f>D106/5</f>
        <v>118</v>
      </c>
      <c r="G106" s="1487"/>
      <c r="H106" s="1487"/>
      <c r="I106" s="1487">
        <f>$F$106</f>
        <v>118</v>
      </c>
      <c r="J106" s="1487">
        <f>$F$106</f>
        <v>118</v>
      </c>
      <c r="K106" s="1487">
        <f>$F$106</f>
        <v>118</v>
      </c>
      <c r="L106" s="1487">
        <f>$F$106</f>
        <v>118</v>
      </c>
      <c r="M106" s="1487">
        <f>$F$106</f>
        <v>118</v>
      </c>
      <c r="N106" s="1487"/>
      <c r="O106" s="1487"/>
      <c r="P106" s="1487"/>
      <c r="Q106" s="1487"/>
      <c r="R106" s="1487"/>
      <c r="S106" s="1487"/>
      <c r="T106" s="1487"/>
      <c r="U106" s="2040"/>
      <c r="V106" s="2059"/>
      <c r="X106" s="1965"/>
      <c r="Y106" s="1965"/>
      <c r="AC106" s="1965"/>
      <c r="AD106" s="1965"/>
      <c r="AE106" s="1965"/>
      <c r="AF106" s="1965"/>
      <c r="AG106" s="1965"/>
      <c r="AH106" s="1965"/>
      <c r="AI106" s="1965"/>
      <c r="AJ106" s="1965"/>
    </row>
    <row r="107" spans="1:36" s="395" customFormat="1">
      <c r="A107" s="2037"/>
      <c r="B107" s="3816"/>
      <c r="C107" s="397"/>
      <c r="D107" s="2042">
        <f>SUM(D106:D106)</f>
        <v>590</v>
      </c>
      <c r="E107" s="1487"/>
      <c r="F107" s="1489"/>
      <c r="G107" s="1487"/>
      <c r="H107" s="1487"/>
      <c r="I107" s="1487"/>
      <c r="J107" s="1487"/>
      <c r="K107" s="397"/>
      <c r="L107" s="397"/>
      <c r="M107" s="397"/>
      <c r="N107" s="1487"/>
      <c r="O107" s="1487"/>
      <c r="P107" s="1487"/>
      <c r="Q107" s="1487"/>
      <c r="R107" s="1487"/>
      <c r="S107" s="1487"/>
      <c r="T107" s="1487"/>
      <c r="U107" s="2040"/>
      <c r="V107" s="2059"/>
      <c r="X107" s="1965"/>
      <c r="Y107" s="1965"/>
      <c r="AC107" s="1965"/>
      <c r="AD107" s="1965"/>
      <c r="AE107" s="1965"/>
      <c r="AF107" s="1965"/>
      <c r="AG107" s="1965"/>
      <c r="AH107" s="1965"/>
      <c r="AI107" s="1965"/>
      <c r="AJ107" s="1965"/>
    </row>
    <row r="108" spans="1:36" s="395" customFormat="1">
      <c r="A108" s="2037">
        <v>2007</v>
      </c>
      <c r="B108" s="3816"/>
      <c r="C108" s="397" t="s">
        <v>2516</v>
      </c>
      <c r="D108" s="1487">
        <v>7498.43</v>
      </c>
      <c r="E108" s="2039" t="s">
        <v>1197</v>
      </c>
      <c r="F108" s="1489">
        <f>D111/5</f>
        <v>1499.6860000000001</v>
      </c>
      <c r="G108" s="1487"/>
      <c r="H108" s="1487">
        <f>$F$108</f>
        <v>1499.6860000000001</v>
      </c>
      <c r="I108" s="1487">
        <f>$F$108</f>
        <v>1499.6860000000001</v>
      </c>
      <c r="J108" s="1487">
        <f>$F$108</f>
        <v>1499.6860000000001</v>
      </c>
      <c r="K108" s="1487">
        <f>$F$108</f>
        <v>1499.6860000000001</v>
      </c>
      <c r="L108" s="1487">
        <f>$F$108</f>
        <v>1499.6860000000001</v>
      </c>
      <c r="M108" s="1487"/>
      <c r="N108" s="1487"/>
      <c r="O108" s="1487"/>
      <c r="P108" s="1487"/>
      <c r="Q108" s="1487"/>
      <c r="R108" s="1487"/>
      <c r="S108" s="1487"/>
      <c r="T108" s="1487"/>
      <c r="U108" s="2040"/>
      <c r="V108" s="2059"/>
      <c r="X108" s="1965"/>
      <c r="Y108" s="1965"/>
      <c r="AC108" s="1965"/>
      <c r="AD108" s="1965"/>
      <c r="AE108" s="1965"/>
      <c r="AF108" s="1965"/>
      <c r="AG108" s="1965"/>
      <c r="AH108" s="1965"/>
      <c r="AI108" s="1965"/>
      <c r="AJ108" s="1965"/>
    </row>
    <row r="109" spans="1:36" s="395" customFormat="1">
      <c r="A109" s="2037"/>
      <c r="B109" s="3816"/>
      <c r="C109" s="397" t="s">
        <v>2517</v>
      </c>
      <c r="D109" s="1487">
        <v>287766.08</v>
      </c>
      <c r="E109" s="2039" t="s">
        <v>1385</v>
      </c>
      <c r="F109" s="1489">
        <f>D109/20</f>
        <v>14388.304</v>
      </c>
      <c r="G109" s="1487"/>
      <c r="H109" s="1487">
        <f t="shared" ref="H109:P109" si="18">$F$109</f>
        <v>14388.304</v>
      </c>
      <c r="I109" s="1487">
        <f t="shared" si="18"/>
        <v>14388.304</v>
      </c>
      <c r="J109" s="1487">
        <f t="shared" si="18"/>
        <v>14388.304</v>
      </c>
      <c r="K109" s="1487">
        <f t="shared" si="18"/>
        <v>14388.304</v>
      </c>
      <c r="L109" s="1487">
        <f t="shared" si="18"/>
        <v>14388.304</v>
      </c>
      <c r="M109" s="1487">
        <f t="shared" si="18"/>
        <v>14388.304</v>
      </c>
      <c r="N109" s="1487">
        <f t="shared" si="18"/>
        <v>14388.304</v>
      </c>
      <c r="O109" s="1487">
        <f t="shared" si="18"/>
        <v>14388.304</v>
      </c>
      <c r="P109" s="1487">
        <f t="shared" si="18"/>
        <v>14388.304</v>
      </c>
      <c r="Q109" s="1487">
        <f>F109</f>
        <v>14388.304</v>
      </c>
      <c r="R109" s="1487">
        <f>F109</f>
        <v>14388.304</v>
      </c>
      <c r="S109" s="1487">
        <f>F109</f>
        <v>14388.304</v>
      </c>
      <c r="T109" s="1487">
        <f>F109</f>
        <v>14388.304</v>
      </c>
      <c r="U109" s="2040">
        <v>14388.3</v>
      </c>
      <c r="V109" s="2059">
        <v>14388.3</v>
      </c>
      <c r="X109" s="1965"/>
      <c r="Y109" s="1965"/>
      <c r="AC109" s="1965"/>
      <c r="AD109" s="1965"/>
      <c r="AE109" s="1965"/>
      <c r="AF109" s="1965"/>
      <c r="AG109" s="1965"/>
      <c r="AH109" s="1965"/>
      <c r="AI109" s="1965"/>
      <c r="AJ109" s="1965"/>
    </row>
    <row r="110" spans="1:36" s="395" customFormat="1">
      <c r="A110" s="2037"/>
      <c r="B110" s="3816"/>
      <c r="C110" s="397" t="s">
        <v>2518</v>
      </c>
      <c r="D110" s="1487">
        <v>357396.91</v>
      </c>
      <c r="E110" s="2039" t="s">
        <v>1385</v>
      </c>
      <c r="F110" s="1489">
        <f>D110/20</f>
        <v>17869.845499999999</v>
      </c>
      <c r="G110" s="1487"/>
      <c r="H110" s="1487">
        <f t="shared" ref="H110:P110" si="19">$F$110</f>
        <v>17869.845499999999</v>
      </c>
      <c r="I110" s="1487">
        <f t="shared" si="19"/>
        <v>17869.845499999999</v>
      </c>
      <c r="J110" s="1487">
        <f t="shared" si="19"/>
        <v>17869.845499999999</v>
      </c>
      <c r="K110" s="1487">
        <f t="shared" si="19"/>
        <v>17869.845499999999</v>
      </c>
      <c r="L110" s="1487">
        <f t="shared" si="19"/>
        <v>17869.845499999999</v>
      </c>
      <c r="M110" s="1487">
        <f t="shared" si="19"/>
        <v>17869.845499999999</v>
      </c>
      <c r="N110" s="1487">
        <f t="shared" si="19"/>
        <v>17869.845499999999</v>
      </c>
      <c r="O110" s="1487">
        <f t="shared" si="19"/>
        <v>17869.845499999999</v>
      </c>
      <c r="P110" s="1487">
        <f t="shared" si="19"/>
        <v>17869.845499999999</v>
      </c>
      <c r="Q110" s="1487">
        <f>F110</f>
        <v>17869.845499999999</v>
      </c>
      <c r="R110" s="1487">
        <f>F110</f>
        <v>17869.845499999999</v>
      </c>
      <c r="S110" s="1487">
        <f>F110</f>
        <v>17869.845499999999</v>
      </c>
      <c r="T110" s="1487">
        <f>F110</f>
        <v>17869.845499999999</v>
      </c>
      <c r="U110" s="2040">
        <v>17869.849999999999</v>
      </c>
      <c r="V110" s="2059">
        <v>17869.849999999999</v>
      </c>
      <c r="X110" s="1965"/>
      <c r="Y110" s="1965"/>
      <c r="AC110" s="1965"/>
      <c r="AD110" s="1965"/>
      <c r="AE110" s="1965"/>
      <c r="AF110" s="1965"/>
      <c r="AG110" s="1965"/>
      <c r="AH110" s="1965"/>
      <c r="AI110" s="1965"/>
      <c r="AJ110" s="1965"/>
    </row>
    <row r="111" spans="1:36" s="395" customFormat="1">
      <c r="A111" s="2038"/>
      <c r="B111" s="3829"/>
      <c r="C111" s="2001"/>
      <c r="D111" s="3140">
        <f>SUM(D108:D108)</f>
        <v>7498.43</v>
      </c>
      <c r="E111" s="1518"/>
      <c r="F111" s="1520"/>
      <c r="G111" s="1487"/>
      <c r="H111" s="1487"/>
      <c r="I111" s="1487"/>
      <c r="J111" s="1487"/>
      <c r="K111" s="397"/>
      <c r="L111" s="397"/>
      <c r="M111" s="397"/>
      <c r="N111" s="1487"/>
      <c r="O111" s="1487"/>
      <c r="P111" s="1487"/>
      <c r="Q111" s="1487"/>
      <c r="R111" s="1487"/>
      <c r="S111" s="1487"/>
      <c r="T111" s="1487"/>
      <c r="U111" s="2040"/>
      <c r="V111" s="2059"/>
      <c r="X111" s="1965"/>
      <c r="Y111" s="1965"/>
      <c r="AC111" s="1965"/>
      <c r="AD111" s="1965"/>
      <c r="AE111" s="1965"/>
      <c r="AF111" s="1965"/>
      <c r="AG111" s="1965"/>
      <c r="AH111" s="1965"/>
      <c r="AI111" s="1965"/>
      <c r="AJ111" s="1965"/>
    </row>
    <row r="112" spans="1:36" s="395" customFormat="1">
      <c r="A112" s="2021"/>
      <c r="B112" s="2069"/>
      <c r="C112" s="2022" t="s">
        <v>1201</v>
      </c>
      <c r="D112" s="2010"/>
      <c r="E112" s="2010"/>
      <c r="F112" s="2010"/>
      <c r="G112" s="2009">
        <f>SUM(G101:G111)</f>
        <v>0</v>
      </c>
      <c r="H112" s="2009">
        <f t="shared" ref="H112:V112" si="20">SUM(H84:H111)</f>
        <v>33757.835500000001</v>
      </c>
      <c r="I112" s="2009">
        <f t="shared" si="20"/>
        <v>33875.835500000001</v>
      </c>
      <c r="J112" s="2009">
        <f t="shared" si="20"/>
        <v>34744.877500000002</v>
      </c>
      <c r="K112" s="2009">
        <f t="shared" si="20"/>
        <v>34744.877500000002</v>
      </c>
      <c r="L112" s="2009">
        <f t="shared" si="20"/>
        <v>69379.843000000008</v>
      </c>
      <c r="M112" s="2009">
        <f t="shared" si="20"/>
        <v>70642.926999999996</v>
      </c>
      <c r="N112" s="2009">
        <f t="shared" si="20"/>
        <v>75296.260999999999</v>
      </c>
      <c r="O112" s="2009">
        <f t="shared" si="20"/>
        <v>74427.218999999997</v>
      </c>
      <c r="P112" s="2009">
        <f t="shared" si="20"/>
        <v>89061.574999999997</v>
      </c>
      <c r="Q112" s="2009">
        <f t="shared" si="20"/>
        <v>91674.095000000001</v>
      </c>
      <c r="R112" s="2009">
        <f t="shared" si="20"/>
        <v>91379.862999999998</v>
      </c>
      <c r="S112" s="2009">
        <f t="shared" si="20"/>
        <v>88310.618999999992</v>
      </c>
      <c r="T112" s="2009">
        <f t="shared" si="20"/>
        <v>97380.528999999995</v>
      </c>
      <c r="U112" s="2009">
        <f t="shared" si="20"/>
        <v>87721.68</v>
      </c>
      <c r="V112" s="2070">
        <f t="shared" si="20"/>
        <v>73426.59</v>
      </c>
      <c r="X112" s="1965"/>
      <c r="Y112" s="1965"/>
      <c r="AC112" s="1965"/>
      <c r="AD112" s="1965"/>
      <c r="AE112" s="1965"/>
      <c r="AF112" s="1965"/>
      <c r="AG112" s="1965"/>
      <c r="AH112" s="1965"/>
      <c r="AI112" s="1965"/>
      <c r="AJ112" s="1965"/>
    </row>
    <row r="113" spans="1:36" s="395" customFormat="1">
      <c r="A113" s="1633"/>
      <c r="B113" s="1633"/>
      <c r="G113" s="1965"/>
      <c r="H113" s="1965"/>
      <c r="I113" s="1965"/>
      <c r="J113" s="1965"/>
      <c r="K113" s="1965"/>
      <c r="L113" s="1965"/>
      <c r="M113" s="1965"/>
      <c r="Q113" s="1965"/>
      <c r="R113" s="1965"/>
      <c r="S113" s="1965"/>
      <c r="T113" s="1965"/>
      <c r="U113" s="1965"/>
      <c r="V113" s="1965"/>
      <c r="W113" s="1965"/>
      <c r="X113" s="1965"/>
      <c r="Y113" s="1965"/>
      <c r="AC113" s="1965"/>
      <c r="AD113" s="1965"/>
      <c r="AE113" s="1965"/>
      <c r="AF113" s="1965"/>
      <c r="AG113" s="1965"/>
      <c r="AH113" s="1965"/>
      <c r="AI113" s="1965"/>
      <c r="AJ113" s="1965"/>
    </row>
    <row r="114" spans="1:36" s="395" customFormat="1">
      <c r="A114" s="1633"/>
      <c r="B114" s="1633"/>
      <c r="G114" s="1965"/>
      <c r="H114" s="1965"/>
      <c r="I114" s="1965"/>
      <c r="J114" s="1965"/>
      <c r="K114" s="1965"/>
      <c r="L114" s="1965"/>
      <c r="M114" s="1965"/>
      <c r="Q114" s="1965"/>
      <c r="R114" s="1965"/>
      <c r="S114" s="1965"/>
      <c r="T114" s="1965"/>
      <c r="U114" s="1965"/>
      <c r="V114" s="1965"/>
      <c r="W114" s="1965"/>
      <c r="X114" s="1965"/>
      <c r="Y114" s="1965"/>
      <c r="AC114" s="1965"/>
      <c r="AD114" s="1965"/>
      <c r="AE114" s="1965"/>
      <c r="AF114" s="1965"/>
      <c r="AG114" s="1965"/>
      <c r="AH114" s="1965"/>
      <c r="AI114" s="1965"/>
      <c r="AJ114" s="1965"/>
    </row>
    <row r="115" spans="1:36" s="395" customFormat="1">
      <c r="A115" s="3013" t="s">
        <v>7072</v>
      </c>
      <c r="B115" s="3013"/>
      <c r="G115" s="1965"/>
      <c r="H115" s="1965"/>
      <c r="I115" s="1965"/>
      <c r="J115" s="1965"/>
      <c r="K115" s="1965"/>
      <c r="L115" s="1965"/>
      <c r="M115" s="1965"/>
      <c r="Q115" s="1965"/>
      <c r="R115" s="1965"/>
      <c r="S115" s="1965"/>
      <c r="T115" s="1965"/>
      <c r="U115" s="1965"/>
      <c r="V115" s="1965"/>
      <c r="W115" s="1965"/>
      <c r="X115" s="1965"/>
      <c r="Y115" s="1965"/>
      <c r="AA115" s="1965"/>
      <c r="AB115" s="1965"/>
      <c r="AC115" s="1965"/>
      <c r="AD115" s="1965"/>
      <c r="AE115" s="1965"/>
      <c r="AF115" s="1965"/>
      <c r="AG115" s="1965"/>
      <c r="AH115" s="1965"/>
      <c r="AI115" s="1965"/>
      <c r="AJ115" s="1965"/>
    </row>
    <row r="116" spans="1:36" s="395" customFormat="1">
      <c r="A116" s="1633"/>
      <c r="B116" s="1633"/>
      <c r="G116" s="1965"/>
      <c r="H116" s="1965"/>
      <c r="I116" s="1965"/>
      <c r="J116" s="1965"/>
      <c r="K116" s="1965"/>
      <c r="L116" s="1965"/>
      <c r="M116" s="1965"/>
      <c r="Q116" s="1965"/>
      <c r="R116" s="1965"/>
      <c r="S116" s="1965"/>
      <c r="T116" s="1965"/>
      <c r="U116" s="1965"/>
      <c r="V116" s="1965"/>
      <c r="W116" s="1965"/>
      <c r="X116" s="1965"/>
      <c r="Y116" s="1965"/>
      <c r="AA116" s="1965"/>
      <c r="AB116" s="1965"/>
      <c r="AC116" s="1965"/>
      <c r="AD116" s="1965"/>
      <c r="AE116" s="1965"/>
      <c r="AF116" s="1965"/>
      <c r="AG116" s="1965"/>
      <c r="AH116" s="1965"/>
      <c r="AI116" s="1965"/>
      <c r="AJ116" s="1965"/>
    </row>
    <row r="117" spans="1:36" s="3144" customFormat="1">
      <c r="A117" s="1989" t="s">
        <v>623</v>
      </c>
      <c r="B117" s="1991"/>
      <c r="C117" s="1991" t="s">
        <v>1002</v>
      </c>
      <c r="D117" s="1991"/>
      <c r="E117" s="1991"/>
      <c r="F117" s="1991"/>
      <c r="G117" s="1990">
        <v>2007</v>
      </c>
      <c r="H117" s="1990">
        <v>2008</v>
      </c>
      <c r="I117" s="1990">
        <v>2009</v>
      </c>
      <c r="J117" s="1990">
        <v>2010</v>
      </c>
      <c r="K117" s="1990">
        <v>2011</v>
      </c>
      <c r="L117" s="1990">
        <v>2012</v>
      </c>
      <c r="M117" s="1990">
        <v>2013</v>
      </c>
      <c r="N117" s="1990">
        <v>2014</v>
      </c>
      <c r="O117" s="1990">
        <v>2015</v>
      </c>
      <c r="P117" s="1990">
        <v>2016</v>
      </c>
      <c r="Q117" s="1990">
        <v>2017</v>
      </c>
      <c r="R117" s="1990">
        <v>2018</v>
      </c>
      <c r="S117" s="1990">
        <v>2019</v>
      </c>
      <c r="T117" s="1990">
        <v>2020</v>
      </c>
      <c r="U117" s="1990">
        <v>2021</v>
      </c>
      <c r="V117" s="2050">
        <v>2022</v>
      </c>
      <c r="W117" s="3141"/>
      <c r="X117" s="3141"/>
      <c r="Y117" s="3141"/>
      <c r="Z117" s="3142"/>
      <c r="AA117" s="3143"/>
      <c r="AB117" s="3143"/>
      <c r="AC117" s="3143"/>
      <c r="AD117" s="3143"/>
      <c r="AE117" s="3143"/>
      <c r="AF117" s="3143"/>
      <c r="AG117" s="3143"/>
      <c r="AH117" s="3143"/>
      <c r="AI117" s="3143"/>
      <c r="AJ117" s="3143"/>
    </row>
    <row r="118" spans="1:36" s="395" customFormat="1">
      <c r="A118" s="1984" t="s">
        <v>1003</v>
      </c>
      <c r="B118" s="1985"/>
      <c r="C118" s="1986"/>
      <c r="D118" s="1986"/>
      <c r="E118" s="1986"/>
      <c r="F118" s="1986"/>
      <c r="G118" s="1987"/>
      <c r="H118" s="1987"/>
      <c r="I118" s="1987"/>
      <c r="J118" s="1987"/>
      <c r="K118" s="1987"/>
      <c r="L118" s="1987"/>
      <c r="M118" s="1987"/>
      <c r="N118" s="1986"/>
      <c r="O118" s="1986"/>
      <c r="P118" s="1986"/>
      <c r="Q118" s="1987"/>
      <c r="R118" s="1987"/>
      <c r="S118" s="1987"/>
      <c r="T118" s="1987"/>
      <c r="U118" s="1987"/>
      <c r="V118" s="1988"/>
      <c r="W118" s="1965"/>
      <c r="X118" s="1965"/>
      <c r="Y118" s="1965"/>
      <c r="AA118" s="1965"/>
      <c r="AB118" s="1965"/>
      <c r="AC118" s="1965"/>
      <c r="AD118" s="1965"/>
      <c r="AE118" s="1965"/>
      <c r="AF118" s="1965"/>
      <c r="AG118" s="1965"/>
      <c r="AH118" s="1965"/>
      <c r="AI118" s="1965"/>
      <c r="AJ118" s="1965"/>
    </row>
    <row r="119" spans="1:36" s="395" customFormat="1">
      <c r="A119" s="1993" t="s">
        <v>1202</v>
      </c>
      <c r="B119" s="1994"/>
      <c r="C119" s="1995"/>
      <c r="D119" s="1995"/>
      <c r="E119" s="1995"/>
      <c r="F119" s="1996"/>
      <c r="G119" s="1487"/>
      <c r="H119" s="1487"/>
      <c r="I119" s="1487"/>
      <c r="J119" s="1487"/>
      <c r="K119" s="1487"/>
      <c r="L119" s="1487"/>
      <c r="M119" s="1487"/>
      <c r="N119" s="397"/>
      <c r="O119" s="397"/>
      <c r="P119" s="397"/>
      <c r="Q119" s="1487"/>
      <c r="R119" s="1487"/>
      <c r="S119" s="1487"/>
      <c r="T119" s="1487"/>
      <c r="U119" s="1487"/>
      <c r="V119" s="1489"/>
      <c r="W119" s="1965"/>
      <c r="X119" s="1965"/>
      <c r="Y119" s="1965"/>
      <c r="AA119" s="1965"/>
      <c r="AB119" s="1965"/>
      <c r="AC119" s="1965"/>
      <c r="AD119" s="1965"/>
      <c r="AE119" s="1965"/>
      <c r="AF119" s="1965"/>
      <c r="AG119" s="1965"/>
      <c r="AH119" s="1965"/>
      <c r="AI119" s="1965"/>
      <c r="AJ119" s="1965"/>
    </row>
    <row r="120" spans="1:36" s="395" customFormat="1">
      <c r="A120" s="1997" t="s">
        <v>2519</v>
      </c>
      <c r="B120" s="583"/>
      <c r="C120" s="397" t="s">
        <v>1219</v>
      </c>
      <c r="D120" s="397"/>
      <c r="E120" s="397"/>
      <c r="F120" s="1998"/>
      <c r="G120" s="1487">
        <v>5694.09</v>
      </c>
      <c r="H120" s="1487">
        <v>8276.1</v>
      </c>
      <c r="I120" s="1487">
        <v>7485.08</v>
      </c>
      <c r="J120" s="1487">
        <v>7928.41</v>
      </c>
      <c r="K120" s="1487">
        <v>10751.84</v>
      </c>
      <c r="L120" s="1487">
        <v>18408.43</v>
      </c>
      <c r="M120" s="1487">
        <v>14512.12</v>
      </c>
      <c r="N120" s="1487"/>
      <c r="O120" s="1487"/>
      <c r="P120" s="1487"/>
      <c r="Q120" s="1487"/>
      <c r="R120" s="1487"/>
      <c r="S120" s="1487"/>
      <c r="T120" s="1487"/>
      <c r="U120" s="1487"/>
      <c r="V120" s="1489"/>
      <c r="W120" s="1965"/>
      <c r="X120" s="1965"/>
      <c r="Y120" s="1965"/>
      <c r="AA120" s="1965"/>
      <c r="AB120" s="1965"/>
      <c r="AC120" s="1965"/>
      <c r="AD120" s="1965"/>
      <c r="AE120" s="1965"/>
      <c r="AF120" s="1965"/>
      <c r="AG120" s="1965"/>
      <c r="AH120" s="1965"/>
      <c r="AI120" s="1965"/>
      <c r="AJ120" s="1965"/>
    </row>
    <row r="121" spans="1:36" s="395" customFormat="1">
      <c r="A121" s="1997" t="s">
        <v>2520</v>
      </c>
      <c r="B121" s="583"/>
      <c r="C121" s="397" t="s">
        <v>1391</v>
      </c>
      <c r="D121" s="397"/>
      <c r="E121" s="397"/>
      <c r="F121" s="1998"/>
      <c r="G121" s="1487"/>
      <c r="H121" s="1487"/>
      <c r="I121" s="1487"/>
      <c r="J121" s="1487"/>
      <c r="K121" s="1487"/>
      <c r="L121" s="1487"/>
      <c r="M121" s="1487"/>
      <c r="N121" s="1487"/>
      <c r="O121" s="1487"/>
      <c r="P121" s="1487"/>
      <c r="Q121" s="1487"/>
      <c r="R121" s="1487">
        <v>690</v>
      </c>
      <c r="S121" s="1487"/>
      <c r="T121" s="1487"/>
      <c r="U121" s="1487"/>
      <c r="V121" s="1489"/>
      <c r="W121" s="1965"/>
      <c r="X121" s="1965"/>
      <c r="Y121" s="1965"/>
      <c r="AA121" s="1965"/>
      <c r="AB121" s="1965"/>
      <c r="AC121" s="1965"/>
      <c r="AD121" s="1965"/>
      <c r="AE121" s="1965"/>
      <c r="AF121" s="1965"/>
      <c r="AG121" s="1965"/>
      <c r="AH121" s="1965"/>
      <c r="AI121" s="1965"/>
      <c r="AJ121" s="1965"/>
    </row>
    <row r="122" spans="1:36" s="395" customFormat="1">
      <c r="A122" s="1997" t="s">
        <v>2521</v>
      </c>
      <c r="B122" s="583"/>
      <c r="C122" s="397" t="s">
        <v>1206</v>
      </c>
      <c r="D122" s="397"/>
      <c r="E122" s="397"/>
      <c r="F122" s="1998"/>
      <c r="G122" s="1487"/>
      <c r="H122" s="1487"/>
      <c r="I122" s="1487"/>
      <c r="J122" s="1487"/>
      <c r="K122" s="1487"/>
      <c r="L122" s="1487"/>
      <c r="M122" s="1487"/>
      <c r="N122" s="1487"/>
      <c r="O122" s="1487"/>
      <c r="P122" s="1487">
        <v>155</v>
      </c>
      <c r="Q122" s="1487">
        <v>-155</v>
      </c>
      <c r="R122" s="1487"/>
      <c r="S122" s="1487"/>
      <c r="T122" s="1487"/>
      <c r="U122" s="1487"/>
      <c r="V122" s="1489"/>
      <c r="W122" s="1965"/>
      <c r="X122" s="1965"/>
      <c r="Y122" s="1965"/>
      <c r="AA122" s="1965"/>
      <c r="AB122" s="1965"/>
      <c r="AC122" s="1965"/>
      <c r="AD122" s="1965"/>
      <c r="AE122" s="1965"/>
      <c r="AF122" s="1965"/>
      <c r="AG122" s="1965"/>
      <c r="AH122" s="1965"/>
      <c r="AI122" s="1965"/>
      <c r="AJ122" s="1965"/>
    </row>
    <row r="123" spans="1:36" s="395" customFormat="1">
      <c r="A123" s="1997" t="s">
        <v>2522</v>
      </c>
      <c r="B123" s="583"/>
      <c r="C123" s="397" t="s">
        <v>1395</v>
      </c>
      <c r="D123" s="397"/>
      <c r="E123" s="397"/>
      <c r="F123" s="1998"/>
      <c r="G123" s="1487"/>
      <c r="H123" s="1487"/>
      <c r="I123" s="1487"/>
      <c r="J123" s="1487"/>
      <c r="K123" s="1487"/>
      <c r="L123" s="1487"/>
      <c r="M123" s="1487"/>
      <c r="N123" s="1487"/>
      <c r="O123" s="1487"/>
      <c r="P123" s="1487">
        <v>193.42</v>
      </c>
      <c r="Q123" s="1487">
        <v>384</v>
      </c>
      <c r="R123" s="1487"/>
      <c r="S123" s="1487">
        <v>222.61</v>
      </c>
      <c r="T123" s="1487"/>
      <c r="U123" s="1487"/>
      <c r="V123" s="1489"/>
      <c r="W123" s="1965"/>
      <c r="X123" s="1965"/>
      <c r="Y123" s="1965"/>
      <c r="AA123" s="1965"/>
      <c r="AB123" s="1965"/>
      <c r="AC123" s="1965"/>
      <c r="AD123" s="1965"/>
      <c r="AE123" s="1965"/>
      <c r="AF123" s="1965"/>
      <c r="AG123" s="1965"/>
      <c r="AH123" s="1965"/>
      <c r="AI123" s="1965"/>
      <c r="AJ123" s="1965"/>
    </row>
    <row r="124" spans="1:36" s="395" customFormat="1">
      <c r="A124" s="1997" t="s">
        <v>2523</v>
      </c>
      <c r="B124" s="583"/>
      <c r="C124" s="397" t="s">
        <v>2524</v>
      </c>
      <c r="D124" s="397"/>
      <c r="E124" s="397"/>
      <c r="F124" s="1998"/>
      <c r="G124" s="1487"/>
      <c r="H124" s="1487"/>
      <c r="I124" s="1487"/>
      <c r="J124" s="1487"/>
      <c r="K124" s="1487"/>
      <c r="L124" s="1487"/>
      <c r="M124" s="1487"/>
      <c r="N124" s="1487">
        <v>4480.6000000000004</v>
      </c>
      <c r="O124" s="1487">
        <v>14908.37</v>
      </c>
      <c r="P124" s="1487">
        <v>20250.36</v>
      </c>
      <c r="Q124" s="1487">
        <v>20784.89</v>
      </c>
      <c r="R124" s="1487">
        <v>15086</v>
      </c>
      <c r="S124" s="1487">
        <v>14323.29</v>
      </c>
      <c r="T124" s="1487">
        <v>2113.64</v>
      </c>
      <c r="U124" s="1487">
        <v>5159</v>
      </c>
      <c r="V124" s="1489"/>
      <c r="W124" s="1965"/>
      <c r="X124" s="1965"/>
      <c r="Y124" s="1965"/>
      <c r="AA124" s="1965"/>
      <c r="AB124" s="1965"/>
      <c r="AC124" s="1965"/>
      <c r="AD124" s="1965"/>
      <c r="AE124" s="1965"/>
      <c r="AF124" s="1965"/>
      <c r="AG124" s="1965"/>
      <c r="AH124" s="1965"/>
      <c r="AI124" s="1965"/>
      <c r="AJ124" s="1965"/>
    </row>
    <row r="125" spans="1:36" s="395" customFormat="1">
      <c r="A125" s="2046"/>
      <c r="B125" s="2064"/>
      <c r="C125" s="2047" t="s">
        <v>1221</v>
      </c>
      <c r="D125" s="2047"/>
      <c r="E125" s="2047"/>
      <c r="F125" s="3017"/>
      <c r="G125" s="2005">
        <f t="shared" ref="G125:R125" si="21">SUM(G120:G124)</f>
        <v>5694.09</v>
      </c>
      <c r="H125" s="2005">
        <f t="shared" si="21"/>
        <v>8276.1</v>
      </c>
      <c r="I125" s="2005">
        <f t="shared" si="21"/>
        <v>7485.08</v>
      </c>
      <c r="J125" s="2005">
        <f t="shared" si="21"/>
        <v>7928.41</v>
      </c>
      <c r="K125" s="2005">
        <f t="shared" si="21"/>
        <v>10751.84</v>
      </c>
      <c r="L125" s="2005">
        <f t="shared" si="21"/>
        <v>18408.43</v>
      </c>
      <c r="M125" s="2005">
        <f t="shared" si="21"/>
        <v>14512.12</v>
      </c>
      <c r="N125" s="2005">
        <f t="shared" si="21"/>
        <v>4480.6000000000004</v>
      </c>
      <c r="O125" s="2005">
        <f t="shared" si="21"/>
        <v>14908.37</v>
      </c>
      <c r="P125" s="2005">
        <f t="shared" si="21"/>
        <v>20598.78</v>
      </c>
      <c r="Q125" s="2005">
        <f t="shared" si="21"/>
        <v>21013.89</v>
      </c>
      <c r="R125" s="2005">
        <f t="shared" si="21"/>
        <v>15776</v>
      </c>
      <c r="S125" s="2005">
        <f>SUM(S120:S124)</f>
        <v>14545.900000000001</v>
      </c>
      <c r="T125" s="2005">
        <f>SUM(T120:T124)</f>
        <v>2113.64</v>
      </c>
      <c r="U125" s="2005">
        <f>SUM(U120:U124)</f>
        <v>5159</v>
      </c>
      <c r="V125" s="2007"/>
      <c r="W125" s="1965"/>
      <c r="X125" s="1965"/>
      <c r="Y125" s="1965"/>
      <c r="AA125" s="1965"/>
      <c r="AB125" s="1965"/>
      <c r="AC125" s="1965"/>
      <c r="AD125" s="1965"/>
      <c r="AE125" s="1965"/>
      <c r="AF125" s="1965"/>
      <c r="AG125" s="1965"/>
      <c r="AH125" s="1965"/>
      <c r="AI125" s="1965"/>
      <c r="AJ125" s="1965"/>
    </row>
    <row r="126" spans="1:36" s="395" customFormat="1">
      <c r="A126" s="2048" t="s">
        <v>1163</v>
      </c>
      <c r="B126" s="1999"/>
      <c r="C126" s="397"/>
      <c r="D126" s="397"/>
      <c r="E126" s="397"/>
      <c r="F126" s="1998"/>
      <c r="G126" s="1487"/>
      <c r="H126" s="1487"/>
      <c r="I126" s="1487"/>
      <c r="J126" s="1487"/>
      <c r="K126" s="1487"/>
      <c r="L126" s="1487"/>
      <c r="M126" s="1487"/>
      <c r="N126" s="397"/>
      <c r="O126" s="397"/>
      <c r="P126" s="397"/>
      <c r="Q126" s="1487"/>
      <c r="R126" s="1487"/>
      <c r="S126" s="1487"/>
      <c r="T126" s="1487"/>
      <c r="U126" s="1487"/>
      <c r="V126" s="1489"/>
      <c r="W126" s="1965"/>
      <c r="X126" s="1965"/>
      <c r="Y126" s="1965"/>
      <c r="AA126" s="1965"/>
      <c r="AB126" s="1965"/>
      <c r="AC126" s="1965"/>
      <c r="AD126" s="1965"/>
      <c r="AE126" s="1965"/>
      <c r="AF126" s="1965"/>
      <c r="AG126" s="1965"/>
      <c r="AH126" s="1965"/>
      <c r="AI126" s="1965"/>
      <c r="AJ126" s="1965"/>
    </row>
    <row r="127" spans="1:36" s="395" customFormat="1">
      <c r="A127" s="1997" t="s">
        <v>2525</v>
      </c>
      <c r="B127" s="583"/>
      <c r="C127" s="397" t="s">
        <v>2104</v>
      </c>
      <c r="D127" s="397"/>
      <c r="E127" s="397"/>
      <c r="F127" s="1998"/>
      <c r="G127" s="1487">
        <v>203.75</v>
      </c>
      <c r="H127" s="1487">
        <v>0</v>
      </c>
      <c r="I127" s="1487">
        <v>0</v>
      </c>
      <c r="J127" s="1487">
        <v>0</v>
      </c>
      <c r="K127" s="1487">
        <v>0</v>
      </c>
      <c r="L127" s="1487">
        <v>65</v>
      </c>
      <c r="M127" s="1487">
        <v>2143.0300000000002</v>
      </c>
      <c r="N127" s="1487"/>
      <c r="O127" s="1487"/>
      <c r="P127" s="1487"/>
      <c r="Q127" s="1487"/>
      <c r="R127" s="1487"/>
      <c r="S127" s="1487"/>
      <c r="T127" s="1487"/>
      <c r="U127" s="1487"/>
      <c r="V127" s="1489"/>
      <c r="W127" s="1965"/>
      <c r="X127" s="1965"/>
      <c r="Y127" s="1965"/>
      <c r="AA127" s="1965"/>
      <c r="AB127" s="1965"/>
      <c r="AC127" s="1965"/>
      <c r="AD127" s="1965"/>
      <c r="AE127" s="1965"/>
      <c r="AF127" s="1965"/>
      <c r="AG127" s="1965"/>
      <c r="AH127" s="1965"/>
      <c r="AI127" s="1965"/>
      <c r="AJ127" s="1965"/>
    </row>
    <row r="128" spans="1:36" s="395" customFormat="1">
      <c r="A128" s="2046"/>
      <c r="B128" s="2064"/>
      <c r="C128" s="2047" t="s">
        <v>1181</v>
      </c>
      <c r="D128" s="2047"/>
      <c r="E128" s="2047"/>
      <c r="F128" s="3017"/>
      <c r="G128" s="2005">
        <f t="shared" ref="G128:R128" si="22">SUM(G127:G127)</f>
        <v>203.75</v>
      </c>
      <c r="H128" s="2005">
        <f t="shared" si="22"/>
        <v>0</v>
      </c>
      <c r="I128" s="2005">
        <f t="shared" si="22"/>
        <v>0</v>
      </c>
      <c r="J128" s="2005">
        <f t="shared" si="22"/>
        <v>0</v>
      </c>
      <c r="K128" s="2005">
        <f t="shared" si="22"/>
        <v>0</v>
      </c>
      <c r="L128" s="2005">
        <f t="shared" si="22"/>
        <v>65</v>
      </c>
      <c r="M128" s="2005">
        <f t="shared" si="22"/>
        <v>2143.0300000000002</v>
      </c>
      <c r="N128" s="2005">
        <f t="shared" si="22"/>
        <v>0</v>
      </c>
      <c r="O128" s="2005">
        <f t="shared" si="22"/>
        <v>0</v>
      </c>
      <c r="P128" s="2005">
        <f t="shared" si="22"/>
        <v>0</v>
      </c>
      <c r="Q128" s="2005">
        <f t="shared" si="22"/>
        <v>0</v>
      </c>
      <c r="R128" s="2005">
        <f t="shared" si="22"/>
        <v>0</v>
      </c>
      <c r="S128" s="2005">
        <f>SUM(S127:S127)</f>
        <v>0</v>
      </c>
      <c r="T128" s="2005">
        <f>SUM(T127:T127)</f>
        <v>0</v>
      </c>
      <c r="U128" s="2005">
        <f>SUM(U127:U127)</f>
        <v>0</v>
      </c>
      <c r="V128" s="2007"/>
      <c r="W128" s="1965"/>
      <c r="X128" s="1965"/>
      <c r="Y128" s="1965"/>
      <c r="AA128" s="1965"/>
      <c r="AB128" s="1965"/>
      <c r="AC128" s="1965"/>
      <c r="AD128" s="1965"/>
      <c r="AE128" s="1965"/>
      <c r="AF128" s="1965"/>
      <c r="AG128" s="1965"/>
      <c r="AH128" s="1965"/>
      <c r="AI128" s="1965"/>
      <c r="AJ128" s="1965"/>
    </row>
    <row r="129" spans="1:36" s="395" customFormat="1">
      <c r="A129" s="2048" t="s">
        <v>47</v>
      </c>
      <c r="B129" s="1999"/>
      <c r="C129" s="397"/>
      <c r="D129" s="397"/>
      <c r="E129" s="397"/>
      <c r="F129" s="1998"/>
      <c r="G129" s="1487"/>
      <c r="H129" s="1487"/>
      <c r="I129" s="1487"/>
      <c r="J129" s="1487"/>
      <c r="K129" s="1487"/>
      <c r="L129" s="1487"/>
      <c r="M129" s="3145"/>
      <c r="N129" s="397"/>
      <c r="O129" s="397"/>
      <c r="P129" s="397"/>
      <c r="Q129" s="397"/>
      <c r="R129" s="397"/>
      <c r="S129" s="397"/>
      <c r="T129" s="397"/>
      <c r="U129" s="397"/>
      <c r="V129" s="1489"/>
      <c r="W129" s="1965"/>
      <c r="X129" s="1965"/>
      <c r="Y129" s="1965"/>
      <c r="AA129" s="1965"/>
      <c r="AB129" s="1965"/>
      <c r="AC129" s="1965"/>
      <c r="AD129" s="1965"/>
      <c r="AE129" s="1965"/>
      <c r="AF129" s="1965"/>
      <c r="AG129" s="1965"/>
      <c r="AH129" s="1965"/>
      <c r="AI129" s="1965"/>
      <c r="AJ129" s="1965"/>
    </row>
    <row r="130" spans="1:36" s="395" customFormat="1">
      <c r="A130" s="1997"/>
      <c r="B130" s="583"/>
      <c r="C130" s="397"/>
      <c r="D130" s="397"/>
      <c r="E130" s="397"/>
      <c r="F130" s="1998"/>
      <c r="G130" s="1487"/>
      <c r="H130" s="1487"/>
      <c r="I130" s="1487"/>
      <c r="J130" s="1487"/>
      <c r="K130" s="1487"/>
      <c r="L130" s="1487"/>
      <c r="M130" s="3145"/>
      <c r="N130" s="397"/>
      <c r="O130" s="397"/>
      <c r="P130" s="397"/>
      <c r="Q130" s="397"/>
      <c r="R130" s="397"/>
      <c r="S130" s="397"/>
      <c r="T130" s="397"/>
      <c r="U130" s="397"/>
      <c r="V130" s="1489"/>
      <c r="W130" s="1965"/>
      <c r="X130" s="1965"/>
      <c r="Y130" s="1965"/>
      <c r="AA130" s="1965"/>
      <c r="AB130" s="1965"/>
      <c r="AC130" s="1965"/>
      <c r="AD130" s="1965"/>
      <c r="AE130" s="1965"/>
      <c r="AF130" s="1965"/>
      <c r="AG130" s="1965"/>
      <c r="AH130" s="1965"/>
      <c r="AI130" s="1965"/>
      <c r="AJ130" s="1965"/>
    </row>
    <row r="131" spans="1:36" s="395" customFormat="1">
      <c r="A131" s="2046"/>
      <c r="B131" s="2064"/>
      <c r="C131" s="2047" t="s">
        <v>1185</v>
      </c>
      <c r="D131" s="2047"/>
      <c r="E131" s="2047"/>
      <c r="F131" s="3017"/>
      <c r="G131" s="2005">
        <f t="shared" ref="G131:L131" si="23">SUM(G130)</f>
        <v>0</v>
      </c>
      <c r="H131" s="2005">
        <f t="shared" si="23"/>
        <v>0</v>
      </c>
      <c r="I131" s="2005">
        <f t="shared" si="23"/>
        <v>0</v>
      </c>
      <c r="J131" s="2005">
        <f t="shared" si="23"/>
        <v>0</v>
      </c>
      <c r="K131" s="2005">
        <f t="shared" si="23"/>
        <v>0</v>
      </c>
      <c r="L131" s="2005">
        <f t="shared" si="23"/>
        <v>0</v>
      </c>
      <c r="M131" s="2005">
        <f t="shared" ref="M131:R131" si="24">SUM(M130)</f>
        <v>0</v>
      </c>
      <c r="N131" s="2005">
        <f t="shared" si="24"/>
        <v>0</v>
      </c>
      <c r="O131" s="2005">
        <f t="shared" si="24"/>
        <v>0</v>
      </c>
      <c r="P131" s="2005">
        <f t="shared" si="24"/>
        <v>0</v>
      </c>
      <c r="Q131" s="2005">
        <f t="shared" si="24"/>
        <v>0</v>
      </c>
      <c r="R131" s="2005">
        <f t="shared" si="24"/>
        <v>0</v>
      </c>
      <c r="S131" s="2005">
        <f>SUM(S130)</f>
        <v>0</v>
      </c>
      <c r="T131" s="2005">
        <f>SUM(T130)</f>
        <v>0</v>
      </c>
      <c r="U131" s="2005">
        <f>SUM(U130)</f>
        <v>0</v>
      </c>
      <c r="V131" s="2007"/>
      <c r="W131" s="1965"/>
      <c r="X131" s="1965"/>
      <c r="Y131" s="1965"/>
      <c r="AA131" s="1965"/>
      <c r="AB131" s="1965"/>
      <c r="AC131" s="1965"/>
      <c r="AD131" s="1965"/>
      <c r="AE131" s="1965"/>
      <c r="AF131" s="1965"/>
      <c r="AG131" s="1965"/>
      <c r="AH131" s="1965"/>
      <c r="AI131" s="1965"/>
      <c r="AJ131" s="1965"/>
    </row>
    <row r="132" spans="1:36" s="395" customFormat="1">
      <c r="A132" s="2021"/>
      <c r="B132" s="2069"/>
      <c r="C132" s="2022" t="s">
        <v>1234</v>
      </c>
      <c r="D132" s="2022"/>
      <c r="E132" s="2022"/>
      <c r="F132" s="2022"/>
      <c r="G132" s="2009">
        <f t="shared" ref="G132:R132" si="25">G125+G128+G131</f>
        <v>5897.84</v>
      </c>
      <c r="H132" s="2009">
        <f t="shared" si="25"/>
        <v>8276.1</v>
      </c>
      <c r="I132" s="2009">
        <f t="shared" si="25"/>
        <v>7485.08</v>
      </c>
      <c r="J132" s="2009">
        <f t="shared" si="25"/>
        <v>7928.41</v>
      </c>
      <c r="K132" s="2009">
        <f t="shared" si="25"/>
        <v>10751.84</v>
      </c>
      <c r="L132" s="2009">
        <f t="shared" si="25"/>
        <v>18473.43</v>
      </c>
      <c r="M132" s="2009">
        <f t="shared" si="25"/>
        <v>16655.150000000001</v>
      </c>
      <c r="N132" s="2009">
        <f t="shared" si="25"/>
        <v>4480.6000000000004</v>
      </c>
      <c r="O132" s="2009">
        <f t="shared" si="25"/>
        <v>14908.37</v>
      </c>
      <c r="P132" s="2009">
        <f t="shared" si="25"/>
        <v>20598.78</v>
      </c>
      <c r="Q132" s="2009">
        <f t="shared" si="25"/>
        <v>21013.89</v>
      </c>
      <c r="R132" s="2009">
        <f t="shared" si="25"/>
        <v>15776</v>
      </c>
      <c r="S132" s="2009">
        <f>S125+S128+S131</f>
        <v>14545.900000000001</v>
      </c>
      <c r="T132" s="2009">
        <f>T125+T128+T131</f>
        <v>2113.64</v>
      </c>
      <c r="U132" s="2009">
        <f>U125+U128+U131</f>
        <v>5159</v>
      </c>
      <c r="V132" s="2011"/>
      <c r="W132" s="1965"/>
      <c r="X132" s="1965"/>
      <c r="Y132" s="1965"/>
      <c r="AA132" s="1965"/>
      <c r="AB132" s="1965"/>
      <c r="AC132" s="1965"/>
      <c r="AD132" s="1965"/>
      <c r="AE132" s="1965"/>
      <c r="AF132" s="1965"/>
      <c r="AG132" s="1965"/>
      <c r="AH132" s="1965"/>
      <c r="AI132" s="1965"/>
      <c r="AJ132" s="1965"/>
    </row>
    <row r="133" spans="1:36" s="395" customFormat="1">
      <c r="A133" s="1633"/>
      <c r="B133" s="1633"/>
      <c r="G133" s="1965"/>
      <c r="H133" s="1965"/>
      <c r="I133" s="1965"/>
      <c r="J133" s="1965"/>
      <c r="K133" s="1965"/>
      <c r="L133" s="1965"/>
      <c r="M133" s="1974"/>
      <c r="Q133" s="1965"/>
      <c r="R133" s="1965"/>
      <c r="S133" s="1965"/>
      <c r="T133" s="1965"/>
      <c r="U133" s="1965"/>
      <c r="V133" s="1965"/>
      <c r="W133" s="1965"/>
      <c r="X133" s="1965"/>
      <c r="Y133" s="1965"/>
      <c r="AA133" s="1965"/>
      <c r="AB133" s="1965"/>
      <c r="AC133" s="1965"/>
      <c r="AD133" s="1965"/>
      <c r="AE133" s="1965"/>
      <c r="AF133" s="1965"/>
      <c r="AG133" s="1965"/>
      <c r="AH133" s="1965"/>
      <c r="AI133" s="1965"/>
      <c r="AJ133" s="1965"/>
    </row>
    <row r="134" spans="1:36" s="395" customFormat="1">
      <c r="A134" s="1633"/>
      <c r="B134" s="1633"/>
      <c r="G134" s="1965"/>
      <c r="H134" s="1965"/>
      <c r="I134" s="1965"/>
      <c r="J134" s="1965"/>
      <c r="K134" s="1965"/>
      <c r="L134" s="1965"/>
      <c r="M134" s="1965"/>
      <c r="Q134" s="1965"/>
      <c r="R134" s="1965"/>
      <c r="S134" s="1965"/>
      <c r="T134" s="1965"/>
      <c r="U134" s="1965"/>
      <c r="V134" s="1965"/>
      <c r="W134" s="1965"/>
      <c r="X134" s="1965"/>
      <c r="Y134" s="1965"/>
      <c r="AA134" s="1965"/>
      <c r="AB134" s="1965"/>
      <c r="AC134" s="1965"/>
      <c r="AD134" s="1965"/>
      <c r="AE134" s="1965"/>
      <c r="AF134" s="1965"/>
      <c r="AG134" s="1965"/>
      <c r="AH134" s="1965"/>
      <c r="AI134" s="1965"/>
      <c r="AJ134" s="1965"/>
    </row>
    <row r="135" spans="1:36" s="395" customFormat="1">
      <c r="A135" s="1633"/>
      <c r="B135" s="1633"/>
      <c r="G135" s="1965"/>
      <c r="H135" s="1965"/>
      <c r="I135" s="1965"/>
      <c r="J135" s="1965"/>
      <c r="K135" s="1965"/>
      <c r="L135" s="1965"/>
      <c r="M135" s="1965"/>
      <c r="Q135" s="1965"/>
      <c r="R135" s="1965"/>
      <c r="S135" s="1965"/>
      <c r="T135" s="1965"/>
      <c r="U135" s="1965"/>
      <c r="V135" s="1965"/>
      <c r="W135" s="1965"/>
      <c r="X135" s="1965"/>
      <c r="Y135" s="1965"/>
      <c r="AA135" s="1965"/>
      <c r="AB135" s="1965"/>
      <c r="AC135" s="1965"/>
      <c r="AD135" s="1965"/>
      <c r="AE135" s="1965"/>
      <c r="AF135" s="1965"/>
      <c r="AG135" s="1965"/>
      <c r="AH135" s="1965"/>
      <c r="AI135" s="1965"/>
      <c r="AJ135" s="1965"/>
    </row>
    <row r="136" spans="1:36" s="395" customFormat="1">
      <c r="C136" s="1965"/>
      <c r="D136" s="1965"/>
      <c r="E136" s="1965"/>
      <c r="F136" s="1965"/>
      <c r="G136" s="1965"/>
      <c r="H136" s="1965"/>
      <c r="I136" s="1965"/>
      <c r="J136" s="1965"/>
      <c r="K136" s="1965"/>
      <c r="L136" s="1965"/>
      <c r="M136" s="1965"/>
      <c r="N136" s="1965"/>
      <c r="O136" s="1965"/>
      <c r="P136" s="1965"/>
      <c r="Q136" s="1965"/>
      <c r="R136" s="1965"/>
      <c r="S136" s="1965"/>
      <c r="T136" s="1965"/>
      <c r="U136" s="1965"/>
      <c r="V136" s="1965"/>
      <c r="W136" s="1965"/>
      <c r="X136" s="1965"/>
      <c r="Y136" s="1965"/>
      <c r="Z136" s="1965"/>
      <c r="AA136" s="1965"/>
      <c r="AB136" s="1965"/>
      <c r="AC136" s="1965"/>
      <c r="AD136" s="1965"/>
      <c r="AE136" s="1965"/>
      <c r="AF136" s="1965"/>
      <c r="AG136" s="1965"/>
      <c r="AH136" s="1965"/>
      <c r="AI136" s="1965"/>
      <c r="AJ136" s="1965"/>
    </row>
    <row r="137" spans="1:36" s="395" customFormat="1">
      <c r="C137" s="1965"/>
      <c r="D137" s="1965"/>
      <c r="E137" s="1965"/>
      <c r="F137" s="1965"/>
      <c r="G137" s="1965"/>
      <c r="H137" s="1965"/>
      <c r="I137" s="1965"/>
      <c r="J137" s="1965"/>
      <c r="K137" s="1965"/>
      <c r="L137" s="1965"/>
      <c r="M137" s="1965"/>
      <c r="N137" s="1965"/>
      <c r="O137" s="1965"/>
      <c r="P137" s="1965"/>
      <c r="Q137" s="1965"/>
      <c r="R137" s="1965"/>
      <c r="S137" s="1965"/>
      <c r="T137" s="1965"/>
      <c r="U137" s="1965"/>
      <c r="V137" s="1965"/>
      <c r="W137" s="1965"/>
      <c r="X137" s="1965"/>
      <c r="Y137" s="1965"/>
      <c r="Z137" s="1965"/>
      <c r="AA137" s="1965"/>
      <c r="AB137" s="1965"/>
      <c r="AC137" s="1965"/>
      <c r="AD137" s="1965"/>
      <c r="AE137" s="1965"/>
      <c r="AF137" s="1965"/>
      <c r="AG137" s="1965"/>
      <c r="AH137" s="1965"/>
      <c r="AI137" s="1965"/>
      <c r="AJ137" s="1965"/>
    </row>
    <row r="138" spans="1:36" s="395" customFormat="1">
      <c r="C138" s="1965"/>
      <c r="D138" s="1965"/>
      <c r="E138" s="1965"/>
      <c r="F138" s="1965"/>
      <c r="G138" s="1965"/>
      <c r="H138" s="1965"/>
      <c r="I138" s="1965"/>
      <c r="J138" s="1965"/>
      <c r="K138" s="1965"/>
      <c r="L138" s="1965"/>
      <c r="M138" s="1965"/>
      <c r="N138" s="1965"/>
      <c r="O138" s="1965"/>
      <c r="P138" s="1965"/>
      <c r="Q138" s="1965"/>
      <c r="R138" s="1965"/>
      <c r="S138" s="1965"/>
      <c r="T138" s="1965"/>
      <c r="U138" s="1965"/>
      <c r="V138" s="1965"/>
      <c r="W138" s="1965"/>
      <c r="X138" s="1965"/>
      <c r="Y138" s="1965"/>
      <c r="Z138" s="1965"/>
      <c r="AA138" s="1965"/>
      <c r="AB138" s="1965"/>
      <c r="AC138" s="1965"/>
      <c r="AD138" s="1965"/>
      <c r="AE138" s="1965"/>
      <c r="AF138" s="1965"/>
      <c r="AG138" s="1965"/>
      <c r="AH138" s="1965"/>
      <c r="AI138" s="1965"/>
      <c r="AJ138" s="1965"/>
    </row>
    <row r="139" spans="1:36" s="1978" customFormat="1">
      <c r="C139" s="1977"/>
      <c r="D139" s="1977"/>
      <c r="E139" s="1977"/>
      <c r="F139" s="1977"/>
      <c r="G139" s="1977"/>
      <c r="H139" s="1977"/>
      <c r="I139" s="1977"/>
      <c r="J139" s="1977"/>
      <c r="K139" s="1977"/>
      <c r="L139" s="1977"/>
      <c r="M139" s="1977"/>
      <c r="N139" s="1977"/>
      <c r="O139" s="1977"/>
      <c r="P139" s="1977"/>
      <c r="Q139" s="1977"/>
      <c r="R139" s="1977"/>
      <c r="S139" s="1977"/>
      <c r="T139" s="1977"/>
      <c r="U139" s="1977"/>
      <c r="V139" s="1977"/>
      <c r="W139" s="1977"/>
      <c r="X139" s="1977"/>
      <c r="Y139" s="1977"/>
      <c r="Z139" s="1977"/>
      <c r="AA139" s="1977"/>
      <c r="AB139" s="1977"/>
      <c r="AC139" s="1977"/>
      <c r="AD139" s="1977"/>
      <c r="AE139" s="1977"/>
      <c r="AF139" s="1977"/>
      <c r="AG139" s="1977"/>
      <c r="AH139" s="1977"/>
      <c r="AI139" s="1977"/>
      <c r="AJ139" s="1977"/>
    </row>
    <row r="140" spans="1:36" s="1978" customFormat="1">
      <c r="C140" s="1977"/>
      <c r="D140" s="1977"/>
      <c r="E140" s="1977"/>
      <c r="F140" s="1977"/>
      <c r="G140" s="1977"/>
      <c r="H140" s="1977"/>
      <c r="I140" s="1977"/>
      <c r="J140" s="1977"/>
      <c r="K140" s="1977"/>
      <c r="L140" s="1977"/>
      <c r="M140" s="1977"/>
      <c r="N140" s="1977"/>
      <c r="O140" s="1977"/>
      <c r="P140" s="1977"/>
      <c r="Q140" s="1977"/>
      <c r="R140" s="1977"/>
      <c r="S140" s="1977"/>
      <c r="T140" s="1977"/>
      <c r="U140" s="1977"/>
      <c r="V140" s="1977"/>
      <c r="W140" s="1977"/>
      <c r="X140" s="1977"/>
      <c r="Y140" s="1977"/>
      <c r="Z140" s="1977"/>
      <c r="AA140" s="1977"/>
      <c r="AB140" s="1977"/>
      <c r="AC140" s="1977"/>
      <c r="AD140" s="1977"/>
      <c r="AE140" s="1977"/>
      <c r="AF140" s="1977"/>
      <c r="AG140" s="1977"/>
      <c r="AH140" s="1977"/>
      <c r="AI140" s="1977"/>
      <c r="AJ140" s="1977"/>
    </row>
    <row r="141" spans="1:36" s="1978" customFormat="1">
      <c r="C141" s="1977"/>
      <c r="D141" s="1977"/>
      <c r="E141" s="1977"/>
      <c r="F141" s="1977"/>
      <c r="G141" s="1977"/>
      <c r="H141" s="1977"/>
      <c r="I141" s="1977"/>
      <c r="J141" s="1977"/>
      <c r="K141" s="1977"/>
      <c r="L141" s="1977"/>
      <c r="M141" s="1977"/>
      <c r="N141" s="1977"/>
      <c r="O141" s="1977"/>
      <c r="P141" s="1977"/>
      <c r="Q141" s="1977"/>
      <c r="R141" s="1977"/>
      <c r="S141" s="1977"/>
      <c r="T141" s="1977"/>
      <c r="U141" s="1977"/>
      <c r="V141" s="1977"/>
      <c r="W141" s="1977"/>
      <c r="X141" s="1977"/>
      <c r="Y141" s="1977"/>
      <c r="Z141" s="1977"/>
      <c r="AA141" s="1977"/>
      <c r="AB141" s="1977"/>
      <c r="AC141" s="1977"/>
      <c r="AD141" s="1977"/>
      <c r="AE141" s="1977"/>
      <c r="AF141" s="1977"/>
      <c r="AG141" s="1977"/>
      <c r="AH141" s="1977"/>
      <c r="AI141" s="1977"/>
      <c r="AJ141" s="1977"/>
    </row>
    <row r="142" spans="1:36" s="1978" customFormat="1">
      <c r="C142" s="1977"/>
      <c r="D142" s="1977"/>
      <c r="E142" s="1977"/>
      <c r="F142" s="1977"/>
      <c r="G142" s="1977"/>
      <c r="H142" s="1977"/>
      <c r="I142" s="1977"/>
      <c r="J142" s="1977"/>
      <c r="K142" s="1977"/>
      <c r="L142" s="1977"/>
      <c r="M142" s="1977"/>
      <c r="N142" s="1977"/>
      <c r="O142" s="1977"/>
      <c r="P142" s="1977"/>
      <c r="Q142" s="1977"/>
      <c r="R142" s="1977"/>
      <c r="S142" s="1977"/>
      <c r="T142" s="1977"/>
      <c r="U142" s="1977"/>
      <c r="V142" s="1977"/>
      <c r="W142" s="1977"/>
      <c r="X142" s="1977"/>
      <c r="Y142" s="1977"/>
      <c r="Z142" s="1977"/>
      <c r="AA142" s="1977"/>
      <c r="AB142" s="1977"/>
      <c r="AC142" s="1977"/>
      <c r="AD142" s="1977"/>
      <c r="AE142" s="1977"/>
      <c r="AF142" s="1977"/>
      <c r="AG142" s="1977"/>
      <c r="AH142" s="1977"/>
      <c r="AI142" s="1977"/>
      <c r="AJ142" s="1977"/>
    </row>
    <row r="143" spans="1:36" s="1978" customFormat="1">
      <c r="C143" s="1977"/>
      <c r="D143" s="1977"/>
      <c r="E143" s="1977"/>
      <c r="F143" s="1977"/>
      <c r="G143" s="1977"/>
      <c r="H143" s="1977"/>
      <c r="I143" s="1977"/>
      <c r="J143" s="1977"/>
      <c r="K143" s="1977"/>
      <c r="L143" s="1977"/>
      <c r="M143" s="1977"/>
      <c r="N143" s="1977"/>
      <c r="O143" s="1977"/>
      <c r="P143" s="1977"/>
      <c r="Q143" s="1977"/>
      <c r="R143" s="1977"/>
      <c r="S143" s="1977"/>
      <c r="T143" s="1977"/>
      <c r="U143" s="1977"/>
      <c r="V143" s="1977"/>
      <c r="W143" s="1977"/>
      <c r="X143" s="1977"/>
      <c r="Y143" s="1977"/>
      <c r="Z143" s="1977"/>
      <c r="AA143" s="1977"/>
      <c r="AB143" s="1977"/>
      <c r="AC143" s="1977"/>
      <c r="AD143" s="1977"/>
      <c r="AE143" s="1977"/>
      <c r="AF143" s="1977"/>
      <c r="AG143" s="1977"/>
      <c r="AH143" s="1977"/>
      <c r="AI143" s="1977"/>
      <c r="AJ143" s="1977"/>
    </row>
    <row r="144" spans="1:36" s="1978" customFormat="1">
      <c r="C144" s="1977"/>
      <c r="D144" s="1977"/>
      <c r="E144" s="1977"/>
      <c r="F144" s="1977"/>
      <c r="G144" s="1977"/>
      <c r="H144" s="1977"/>
      <c r="I144" s="1977"/>
      <c r="J144" s="1977"/>
      <c r="K144" s="1977"/>
      <c r="L144" s="1977"/>
      <c r="M144" s="1977"/>
      <c r="N144" s="1977"/>
      <c r="O144" s="1977"/>
      <c r="P144" s="1977"/>
      <c r="Q144" s="1977"/>
      <c r="R144" s="1977"/>
      <c r="S144" s="1977"/>
      <c r="T144" s="1977"/>
      <c r="U144" s="1977"/>
      <c r="V144" s="1977"/>
      <c r="W144" s="1977"/>
      <c r="X144" s="1977"/>
      <c r="Y144" s="1977"/>
      <c r="Z144" s="1977"/>
      <c r="AA144" s="1977"/>
      <c r="AB144" s="1977"/>
      <c r="AC144" s="1977"/>
      <c r="AD144" s="1977"/>
      <c r="AE144" s="1977"/>
      <c r="AF144" s="1977"/>
      <c r="AG144" s="1977"/>
      <c r="AH144" s="1977"/>
      <c r="AI144" s="1977"/>
      <c r="AJ144" s="1977"/>
    </row>
    <row r="145" spans="3:36" s="1978" customFormat="1">
      <c r="C145" s="1977"/>
      <c r="D145" s="1977"/>
      <c r="E145" s="1977"/>
      <c r="F145" s="1977"/>
      <c r="G145" s="1977"/>
      <c r="H145" s="1977"/>
      <c r="I145" s="1977"/>
      <c r="J145" s="1977"/>
      <c r="K145" s="1977"/>
      <c r="L145" s="1977"/>
      <c r="M145" s="1977"/>
      <c r="N145" s="1977"/>
      <c r="O145" s="1977"/>
      <c r="P145" s="1977"/>
      <c r="Q145" s="1977"/>
      <c r="R145" s="1977"/>
      <c r="S145" s="1977"/>
      <c r="T145" s="1977"/>
      <c r="U145" s="1977"/>
      <c r="V145" s="1977"/>
      <c r="W145" s="1977"/>
      <c r="X145" s="1977"/>
      <c r="Y145" s="1977"/>
      <c r="Z145" s="1977"/>
      <c r="AA145" s="1977"/>
      <c r="AB145" s="1977"/>
      <c r="AC145" s="1977"/>
      <c r="AD145" s="1977"/>
      <c r="AE145" s="1977"/>
      <c r="AF145" s="1977"/>
      <c r="AG145" s="1977"/>
      <c r="AH145" s="1977"/>
      <c r="AI145" s="1977"/>
      <c r="AJ145" s="1977"/>
    </row>
    <row r="146" spans="3:36" s="1978" customFormat="1">
      <c r="C146" s="1977"/>
      <c r="D146" s="1977"/>
      <c r="E146" s="1977"/>
      <c r="F146" s="1977"/>
      <c r="G146" s="1977"/>
      <c r="H146" s="1977"/>
      <c r="I146" s="1977"/>
      <c r="J146" s="1977"/>
      <c r="K146" s="1977"/>
      <c r="L146" s="1977"/>
      <c r="M146" s="1977"/>
      <c r="N146" s="1977"/>
      <c r="O146" s="1977"/>
      <c r="P146" s="1977"/>
      <c r="Q146" s="1977"/>
      <c r="R146" s="1977"/>
      <c r="S146" s="1977"/>
      <c r="T146" s="1977"/>
      <c r="U146" s="1977"/>
      <c r="V146" s="1977"/>
      <c r="W146" s="1977"/>
      <c r="X146" s="1977"/>
      <c r="Y146" s="1977"/>
      <c r="Z146" s="1977"/>
      <c r="AA146" s="1977"/>
      <c r="AB146" s="1977"/>
      <c r="AC146" s="1977"/>
      <c r="AD146" s="1977"/>
      <c r="AE146" s="1977"/>
      <c r="AF146" s="1977"/>
      <c r="AG146" s="1977"/>
      <c r="AH146" s="1977"/>
      <c r="AI146" s="1977"/>
      <c r="AJ146" s="1977"/>
    </row>
    <row r="147" spans="3:36" s="1978" customFormat="1">
      <c r="C147" s="1977"/>
      <c r="D147" s="1977"/>
      <c r="E147" s="1977"/>
      <c r="F147" s="1977"/>
      <c r="G147" s="1977"/>
      <c r="H147" s="1977"/>
      <c r="I147" s="1977"/>
      <c r="J147" s="1977"/>
      <c r="K147" s="1977"/>
      <c r="L147" s="1977"/>
      <c r="M147" s="1977"/>
      <c r="N147" s="1977"/>
      <c r="O147" s="1977"/>
      <c r="P147" s="1977"/>
      <c r="Q147" s="1977"/>
      <c r="R147" s="1977"/>
      <c r="S147" s="1977"/>
      <c r="T147" s="1977"/>
      <c r="U147" s="1977"/>
      <c r="V147" s="1977"/>
      <c r="W147" s="1977"/>
      <c r="X147" s="1977"/>
      <c r="Y147" s="1977"/>
      <c r="Z147" s="1977"/>
      <c r="AA147" s="1977"/>
      <c r="AB147" s="1977"/>
      <c r="AC147" s="1977"/>
      <c r="AD147" s="1977"/>
      <c r="AE147" s="1977"/>
      <c r="AF147" s="1977"/>
      <c r="AG147" s="1977"/>
      <c r="AH147" s="1977"/>
      <c r="AI147" s="1977"/>
      <c r="AJ147" s="1977"/>
    </row>
    <row r="148" spans="3:36" s="1978" customFormat="1">
      <c r="C148" s="1977"/>
      <c r="D148" s="1977"/>
      <c r="E148" s="1977"/>
      <c r="F148" s="1977"/>
      <c r="G148" s="1977"/>
      <c r="H148" s="1977"/>
      <c r="I148" s="1977"/>
      <c r="J148" s="1977"/>
      <c r="K148" s="1977"/>
      <c r="L148" s="1977"/>
      <c r="M148" s="1977"/>
      <c r="N148" s="1977"/>
      <c r="O148" s="1977"/>
      <c r="P148" s="1977"/>
      <c r="Q148" s="1977"/>
      <c r="R148" s="1977"/>
      <c r="S148" s="1977"/>
      <c r="T148" s="1977"/>
      <c r="U148" s="1977"/>
      <c r="V148" s="1977"/>
      <c r="W148" s="1977"/>
      <c r="X148" s="1977"/>
      <c r="Y148" s="1977"/>
      <c r="Z148" s="1977"/>
      <c r="AA148" s="1977"/>
      <c r="AB148" s="1977"/>
      <c r="AC148" s="1977"/>
      <c r="AD148" s="1977"/>
      <c r="AE148" s="1977"/>
      <c r="AF148" s="1977"/>
      <c r="AG148" s="1977"/>
      <c r="AH148" s="1977"/>
      <c r="AI148" s="1977"/>
      <c r="AJ148" s="1977"/>
    </row>
    <row r="149" spans="3:36" s="1978" customFormat="1">
      <c r="C149" s="1977"/>
      <c r="D149" s="1977"/>
      <c r="E149" s="1977"/>
      <c r="F149" s="1977"/>
      <c r="G149" s="1977"/>
      <c r="H149" s="1977"/>
      <c r="I149" s="1977"/>
      <c r="J149" s="1977"/>
      <c r="K149" s="1977"/>
      <c r="L149" s="1977"/>
      <c r="M149" s="1977"/>
      <c r="N149" s="1977"/>
      <c r="O149" s="1977"/>
      <c r="P149" s="1977"/>
      <c r="Q149" s="1977"/>
      <c r="R149" s="1977"/>
      <c r="S149" s="1977"/>
      <c r="T149" s="1977"/>
      <c r="U149" s="1977"/>
      <c r="V149" s="1977"/>
      <c r="W149" s="1977"/>
      <c r="X149" s="1977"/>
      <c r="Y149" s="1977"/>
      <c r="Z149" s="1977"/>
      <c r="AA149" s="1977"/>
      <c r="AB149" s="1977"/>
      <c r="AC149" s="1977"/>
      <c r="AD149" s="1977"/>
      <c r="AE149" s="1977"/>
      <c r="AF149" s="1977"/>
      <c r="AG149" s="1977"/>
      <c r="AH149" s="1977"/>
      <c r="AI149" s="1977"/>
      <c r="AJ149" s="1977"/>
    </row>
    <row r="150" spans="3:36" s="1978" customFormat="1">
      <c r="C150" s="1977"/>
      <c r="D150" s="1977"/>
      <c r="E150" s="1977"/>
      <c r="F150" s="1977"/>
      <c r="G150" s="1977"/>
      <c r="H150" s="1977"/>
      <c r="I150" s="1977"/>
      <c r="J150" s="1977"/>
      <c r="K150" s="1977"/>
      <c r="L150" s="1977"/>
      <c r="M150" s="1977"/>
      <c r="N150" s="1977"/>
      <c r="O150" s="1977"/>
      <c r="P150" s="1977"/>
      <c r="Q150" s="1977"/>
      <c r="R150" s="1977"/>
      <c r="S150" s="1977"/>
      <c r="T150" s="1977"/>
      <c r="U150" s="1977"/>
      <c r="V150" s="1977"/>
      <c r="W150" s="1977"/>
      <c r="X150" s="1977"/>
      <c r="Y150" s="1977"/>
      <c r="Z150" s="1977"/>
      <c r="AA150" s="1977"/>
      <c r="AB150" s="1977"/>
      <c r="AC150" s="1977"/>
      <c r="AD150" s="1977"/>
      <c r="AE150" s="1977"/>
      <c r="AF150" s="1977"/>
      <c r="AG150" s="1977"/>
      <c r="AH150" s="1977"/>
      <c r="AI150" s="1977"/>
      <c r="AJ150" s="1977"/>
    </row>
    <row r="151" spans="3:36" s="1978" customFormat="1">
      <c r="C151" s="1977"/>
      <c r="D151" s="1977"/>
      <c r="E151" s="1977"/>
      <c r="F151" s="1977"/>
      <c r="G151" s="1977"/>
      <c r="H151" s="1977"/>
      <c r="I151" s="1977"/>
      <c r="J151" s="1977"/>
      <c r="K151" s="1977"/>
      <c r="L151" s="1977"/>
      <c r="M151" s="1977"/>
      <c r="N151" s="1977"/>
      <c r="O151" s="1977"/>
      <c r="P151" s="1977"/>
      <c r="Q151" s="1977"/>
      <c r="R151" s="1977"/>
      <c r="S151" s="1977"/>
      <c r="T151" s="1977"/>
      <c r="U151" s="1977"/>
      <c r="V151" s="1977"/>
      <c r="W151" s="1977"/>
      <c r="X151" s="1977"/>
      <c r="Y151" s="1977"/>
      <c r="Z151" s="1977"/>
      <c r="AA151" s="1977"/>
      <c r="AB151" s="1977"/>
      <c r="AC151" s="1977"/>
      <c r="AD151" s="1977"/>
      <c r="AE151" s="1977"/>
      <c r="AF151" s="1977"/>
      <c r="AG151" s="1977"/>
      <c r="AH151" s="1977"/>
      <c r="AI151" s="1977"/>
      <c r="AJ151" s="1977"/>
    </row>
    <row r="152" spans="3:36" s="1978" customFormat="1">
      <c r="C152" s="1977"/>
      <c r="D152" s="1977"/>
      <c r="E152" s="1977"/>
      <c r="F152" s="1977"/>
      <c r="G152" s="1977"/>
      <c r="H152" s="1977"/>
      <c r="I152" s="1977"/>
      <c r="J152" s="1977"/>
      <c r="K152" s="1977"/>
      <c r="L152" s="1977"/>
      <c r="M152" s="1977"/>
      <c r="N152" s="1977"/>
      <c r="O152" s="1977"/>
      <c r="P152" s="1977"/>
      <c r="Q152" s="1977"/>
      <c r="R152" s="1977"/>
      <c r="S152" s="1977"/>
      <c r="T152" s="1977"/>
      <c r="U152" s="1977"/>
      <c r="V152" s="1977"/>
      <c r="W152" s="1977"/>
      <c r="X152" s="1977"/>
      <c r="Y152" s="1977"/>
      <c r="Z152" s="1977"/>
      <c r="AA152" s="1977"/>
      <c r="AB152" s="1977"/>
      <c r="AC152" s="1977"/>
      <c r="AD152" s="1977"/>
      <c r="AE152" s="1977"/>
      <c r="AF152" s="1977"/>
      <c r="AG152" s="1977"/>
      <c r="AH152" s="1977"/>
      <c r="AI152" s="1977"/>
      <c r="AJ152" s="1977"/>
    </row>
    <row r="153" spans="3:36" s="1978" customFormat="1">
      <c r="C153" s="1977"/>
      <c r="D153" s="1977"/>
      <c r="E153" s="1977"/>
      <c r="F153" s="1977"/>
      <c r="G153" s="1977"/>
      <c r="H153" s="1977"/>
      <c r="I153" s="1977"/>
      <c r="J153" s="1977"/>
      <c r="K153" s="1977"/>
      <c r="L153" s="1977"/>
      <c r="M153" s="1977"/>
      <c r="N153" s="1977"/>
      <c r="O153" s="1977"/>
      <c r="P153" s="1977"/>
      <c r="Q153" s="1977"/>
      <c r="R153" s="1977"/>
      <c r="S153" s="1977"/>
      <c r="T153" s="1977"/>
      <c r="U153" s="1977"/>
      <c r="V153" s="1977"/>
      <c r="W153" s="1977"/>
      <c r="X153" s="1977"/>
      <c r="Y153" s="1977"/>
      <c r="Z153" s="1977"/>
      <c r="AA153" s="1977"/>
      <c r="AB153" s="1977"/>
      <c r="AC153" s="1977"/>
      <c r="AD153" s="1977"/>
      <c r="AE153" s="1977"/>
      <c r="AF153" s="1977"/>
      <c r="AG153" s="1977"/>
      <c r="AH153" s="1977"/>
      <c r="AI153" s="1977"/>
      <c r="AJ153" s="1977"/>
    </row>
    <row r="154" spans="3:36" s="1978" customFormat="1">
      <c r="C154" s="1977"/>
      <c r="D154" s="1977"/>
      <c r="E154" s="1977"/>
      <c r="F154" s="1977"/>
      <c r="G154" s="1977"/>
      <c r="H154" s="1977"/>
      <c r="I154" s="1977"/>
      <c r="J154" s="1977"/>
      <c r="K154" s="1977"/>
      <c r="L154" s="1977"/>
      <c r="M154" s="1977"/>
      <c r="N154" s="1977"/>
      <c r="O154" s="1977"/>
      <c r="P154" s="1977"/>
      <c r="Q154" s="1977"/>
      <c r="R154" s="1977"/>
      <c r="S154" s="1977"/>
      <c r="T154" s="1977"/>
      <c r="U154" s="1977"/>
      <c r="V154" s="1977"/>
      <c r="W154" s="1977"/>
      <c r="X154" s="1977"/>
      <c r="Y154" s="1977"/>
      <c r="Z154" s="1977"/>
      <c r="AA154" s="1977"/>
      <c r="AB154" s="1977"/>
      <c r="AC154" s="1977"/>
      <c r="AD154" s="1977"/>
      <c r="AE154" s="1977"/>
      <c r="AF154" s="1977"/>
      <c r="AG154" s="1977"/>
      <c r="AH154" s="1977"/>
      <c r="AI154" s="1977"/>
      <c r="AJ154" s="1977"/>
    </row>
    <row r="155" spans="3:36" s="1978" customFormat="1">
      <c r="C155" s="1977"/>
      <c r="D155" s="1977"/>
      <c r="E155" s="1977"/>
      <c r="F155" s="1977"/>
      <c r="G155" s="1977"/>
      <c r="H155" s="1977"/>
      <c r="I155" s="1977"/>
      <c r="J155" s="1977"/>
      <c r="K155" s="1977"/>
      <c r="L155" s="1977"/>
      <c r="M155" s="1977"/>
      <c r="N155" s="1977"/>
      <c r="O155" s="1977"/>
      <c r="P155" s="1977"/>
      <c r="Q155" s="1977"/>
      <c r="R155" s="1977"/>
      <c r="S155" s="1977"/>
      <c r="T155" s="1977"/>
      <c r="U155" s="1977"/>
      <c r="V155" s="1977"/>
      <c r="W155" s="1977"/>
      <c r="X155" s="1977"/>
      <c r="Y155" s="1977"/>
      <c r="Z155" s="1977"/>
      <c r="AA155" s="1977"/>
      <c r="AB155" s="1977"/>
      <c r="AC155" s="1977"/>
      <c r="AD155" s="1977"/>
      <c r="AE155" s="1977"/>
      <c r="AF155" s="1977"/>
      <c r="AG155" s="1977"/>
      <c r="AH155" s="1977"/>
      <c r="AI155" s="1977"/>
      <c r="AJ155" s="1977"/>
    </row>
    <row r="156" spans="3:36" s="1978" customFormat="1">
      <c r="C156" s="1977"/>
      <c r="D156" s="1977"/>
      <c r="E156" s="1977"/>
      <c r="F156" s="1977"/>
      <c r="G156" s="1977"/>
      <c r="H156" s="1977"/>
      <c r="I156" s="1977"/>
      <c r="J156" s="1977"/>
      <c r="K156" s="1977"/>
      <c r="L156" s="1977"/>
      <c r="M156" s="1977"/>
      <c r="N156" s="1977"/>
      <c r="O156" s="1977"/>
      <c r="P156" s="1977"/>
      <c r="Q156" s="1977"/>
      <c r="R156" s="1977"/>
      <c r="S156" s="1977"/>
      <c r="T156" s="1977"/>
      <c r="U156" s="1977"/>
      <c r="V156" s="1977"/>
      <c r="W156" s="1977"/>
      <c r="X156" s="1977"/>
      <c r="Y156" s="1977"/>
      <c r="Z156" s="1977"/>
      <c r="AA156" s="1977"/>
      <c r="AB156" s="1977"/>
      <c r="AC156" s="1977"/>
      <c r="AD156" s="1977"/>
      <c r="AE156" s="1977"/>
      <c r="AF156" s="1977"/>
      <c r="AG156" s="1977"/>
      <c r="AH156" s="1977"/>
      <c r="AI156" s="1977"/>
      <c r="AJ156" s="1977"/>
    </row>
    <row r="157" spans="3:36" s="1978" customFormat="1">
      <c r="C157" s="1977"/>
      <c r="D157" s="1977"/>
      <c r="E157" s="1977"/>
      <c r="F157" s="1977"/>
      <c r="G157" s="1977"/>
      <c r="H157" s="1977"/>
      <c r="I157" s="1977"/>
      <c r="J157" s="1977"/>
      <c r="K157" s="1977"/>
      <c r="L157" s="1977"/>
      <c r="M157" s="1977"/>
      <c r="N157" s="1977"/>
      <c r="O157" s="1977"/>
      <c r="P157" s="1977"/>
      <c r="Q157" s="1977"/>
      <c r="R157" s="1977"/>
      <c r="S157" s="1977"/>
      <c r="T157" s="1977"/>
      <c r="U157" s="1977"/>
      <c r="V157" s="1977"/>
      <c r="W157" s="1977"/>
      <c r="X157" s="1977"/>
      <c r="Y157" s="1977"/>
      <c r="Z157" s="1977"/>
      <c r="AA157" s="1977"/>
      <c r="AB157" s="1977"/>
      <c r="AC157" s="1977"/>
      <c r="AD157" s="1977"/>
      <c r="AE157" s="1977"/>
      <c r="AF157" s="1977"/>
      <c r="AG157" s="1977"/>
      <c r="AH157" s="1977"/>
      <c r="AI157" s="1977"/>
      <c r="AJ157" s="1977"/>
    </row>
  </sheetData>
  <mergeCells count="1">
    <mergeCell ref="A1:L1"/>
  </mergeCells>
  <hyperlinks>
    <hyperlink ref="A1" location="GLOBAAL!A1" display="Dorpshuizen" xr:uid="{00000000-0004-0000-3A00-000000000000}"/>
    <hyperlink ref="A1:L1" location="FINANCIËN!A1" display="Dorpshuizen" xr:uid="{00000000-0004-0000-3A00-000001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E0C816"/>
  </sheetPr>
  <dimension ref="A1:AJ274"/>
  <sheetViews>
    <sheetView workbookViewId="0">
      <pane xSplit="5" ySplit="3" topLeftCell="G4" activePane="bottomRight" state="frozen"/>
      <selection pane="topRight" activeCell="F1" sqref="F1"/>
      <selection pane="bottomLeft" activeCell="A4" sqref="A4"/>
      <selection pane="bottomRight" sqref="A1:L1"/>
    </sheetView>
  </sheetViews>
  <sheetFormatPr defaultColWidth="9.140625" defaultRowHeight="12.75"/>
  <cols>
    <col min="1" max="1" width="23.28515625" style="395" customWidth="1"/>
    <col min="2" max="2" width="11.5703125" style="395" customWidth="1"/>
    <col min="3" max="3" width="16.5703125" style="1965" customWidth="1"/>
    <col min="4" max="4" width="11.140625" style="1965" bestFit="1" customWidth="1"/>
    <col min="5" max="5" width="13.5703125" style="1965" bestFit="1" customWidth="1"/>
    <col min="6" max="6" width="9.42578125" style="1965" bestFit="1" customWidth="1"/>
    <col min="7" max="7" width="11.28515625" style="1965" bestFit="1" customWidth="1"/>
    <col min="8" max="8" width="12" style="1965" bestFit="1" customWidth="1"/>
    <col min="9" max="9" width="10.7109375" style="1965" bestFit="1" customWidth="1"/>
    <col min="10" max="12" width="12.28515625" style="1965" bestFit="1" customWidth="1"/>
    <col min="13" max="13" width="10.7109375" style="1965" bestFit="1" customWidth="1"/>
    <col min="14" max="14" width="12.28515625" style="1965" bestFit="1" customWidth="1"/>
    <col min="15" max="15" width="13" style="1965" customWidth="1"/>
    <col min="16" max="16" width="12.140625" style="1965" customWidth="1"/>
    <col min="17" max="17" width="12" style="1965" customWidth="1"/>
    <col min="18" max="18" width="14.85546875" style="1965" customWidth="1"/>
    <col min="19" max="19" width="12.7109375" style="1965" customWidth="1"/>
    <col min="20" max="21" width="10.28515625" style="1965" bestFit="1" customWidth="1"/>
    <col min="22" max="24" width="9.7109375" style="1965" bestFit="1" customWidth="1"/>
    <col min="25" max="36" width="9.140625" style="1965"/>
    <col min="37" max="16384" width="9.140625" style="395"/>
  </cols>
  <sheetData>
    <row r="1" spans="1:19" ht="21">
      <c r="A1" s="4829" t="s">
        <v>1759</v>
      </c>
      <c r="B1" s="4830"/>
      <c r="C1" s="4830"/>
      <c r="D1" s="4830"/>
      <c r="E1" s="4830"/>
      <c r="F1" s="4830"/>
      <c r="G1" s="4830"/>
      <c r="H1" s="4830"/>
      <c r="I1" s="4830"/>
      <c r="J1" s="4830"/>
      <c r="K1" s="4830"/>
      <c r="L1" s="4830"/>
    </row>
    <row r="2" spans="1:19" ht="13.5" thickBot="1">
      <c r="A2" s="1966"/>
      <c r="B2" s="1966"/>
    </row>
    <row r="3" spans="1:19" ht="18" customHeight="1" thickBot="1">
      <c r="A3" s="3026"/>
      <c r="B3" s="1887"/>
      <c r="C3" s="1967">
        <v>2007</v>
      </c>
      <c r="D3" s="1967">
        <v>2008</v>
      </c>
      <c r="E3" s="1967">
        <v>2009</v>
      </c>
      <c r="F3" s="1967">
        <v>2010</v>
      </c>
      <c r="G3" s="1967">
        <v>2011</v>
      </c>
      <c r="H3" s="1967">
        <v>2012</v>
      </c>
      <c r="I3" s="1967">
        <v>2013</v>
      </c>
      <c r="J3" s="1967">
        <v>2014</v>
      </c>
      <c r="K3" s="1967">
        <v>2015</v>
      </c>
      <c r="L3" s="1967">
        <v>2016</v>
      </c>
      <c r="M3" s="1967">
        <v>2017</v>
      </c>
      <c r="N3" s="1967">
        <v>2018</v>
      </c>
      <c r="O3" s="1967">
        <v>2019</v>
      </c>
      <c r="P3" s="1967">
        <v>2020</v>
      </c>
      <c r="Q3" s="1967">
        <v>2021</v>
      </c>
      <c r="R3" s="395"/>
      <c r="S3" s="395"/>
    </row>
    <row r="4" spans="1:19">
      <c r="A4" s="1205" t="s">
        <v>986</v>
      </c>
      <c r="B4" s="397"/>
      <c r="C4" s="1969">
        <f t="shared" ref="C4:N4" si="0">G176</f>
        <v>837589.95</v>
      </c>
      <c r="D4" s="1969">
        <f t="shared" si="0"/>
        <v>916721.29999999993</v>
      </c>
      <c r="E4" s="1969">
        <f t="shared" si="0"/>
        <v>994661.06199999992</v>
      </c>
      <c r="F4" s="1969">
        <f t="shared" si="0"/>
        <v>1021330.7399999998</v>
      </c>
      <c r="G4" s="1969">
        <f t="shared" si="0"/>
        <v>1141686.602</v>
      </c>
      <c r="H4" s="1969">
        <f t="shared" si="0"/>
        <v>1089828.6520000002</v>
      </c>
      <c r="I4" s="1969">
        <f t="shared" si="0"/>
        <v>962289.58199999994</v>
      </c>
      <c r="J4" s="1969">
        <f t="shared" si="0"/>
        <v>1154859.1910000001</v>
      </c>
      <c r="K4" s="1969">
        <f t="shared" si="0"/>
        <v>1145881.0563333335</v>
      </c>
      <c r="L4" s="1969">
        <f t="shared" si="0"/>
        <v>1155529.6216666666</v>
      </c>
      <c r="M4" s="1969">
        <f t="shared" si="0"/>
        <v>1168890.8473333335</v>
      </c>
      <c r="N4" s="1969">
        <f t="shared" si="0"/>
        <v>1237436.4029999999</v>
      </c>
      <c r="O4" s="1969">
        <f>S176</f>
        <v>1288409.1109999998</v>
      </c>
      <c r="P4" s="1969">
        <f>T176</f>
        <v>444221.48866666679</v>
      </c>
      <c r="Q4" s="1969">
        <f>U176</f>
        <v>310925.35866666673</v>
      </c>
      <c r="R4" s="395"/>
      <c r="S4" s="395"/>
    </row>
    <row r="5" spans="1:19">
      <c r="A5" s="1205" t="s">
        <v>987</v>
      </c>
      <c r="B5" s="397"/>
      <c r="C5" s="1969">
        <f t="shared" ref="C5:N5" si="1">G271</f>
        <v>155251.74</v>
      </c>
      <c r="D5" s="1969">
        <f t="shared" si="1"/>
        <v>172753.07</v>
      </c>
      <c r="E5" s="1969">
        <f t="shared" si="1"/>
        <v>180423.22</v>
      </c>
      <c r="F5" s="1969">
        <f t="shared" si="1"/>
        <v>189290.38</v>
      </c>
      <c r="G5" s="1969">
        <f t="shared" si="1"/>
        <v>167659.71999999997</v>
      </c>
      <c r="H5" s="1969">
        <f t="shared" si="1"/>
        <v>175452.18</v>
      </c>
      <c r="I5" s="1969">
        <f t="shared" si="1"/>
        <v>177314.38</v>
      </c>
      <c r="J5" s="1969">
        <f t="shared" si="1"/>
        <v>227082.59</v>
      </c>
      <c r="K5" s="1969">
        <f t="shared" si="1"/>
        <v>204266.87</v>
      </c>
      <c r="L5" s="1969">
        <f t="shared" si="1"/>
        <v>204369.45</v>
      </c>
      <c r="M5" s="1969">
        <f t="shared" si="1"/>
        <v>204294.54</v>
      </c>
      <c r="N5" s="1969">
        <f t="shared" si="1"/>
        <v>204702.51</v>
      </c>
      <c r="O5" s="1969">
        <f>S271</f>
        <v>205487.61</v>
      </c>
      <c r="P5" s="1969">
        <f>T271</f>
        <v>11931.21</v>
      </c>
      <c r="Q5" s="1969">
        <f>U271</f>
        <v>0</v>
      </c>
      <c r="R5" s="395"/>
      <c r="S5" s="395"/>
    </row>
    <row r="6" spans="1:19">
      <c r="A6" s="1205" t="s">
        <v>988</v>
      </c>
      <c r="B6" s="397"/>
      <c r="C6" s="1969">
        <f>C5-C4</f>
        <v>-682338.21</v>
      </c>
      <c r="D6" s="1969">
        <f t="shared" ref="D6:I6" si="2">D5-D4</f>
        <v>-743968.23</v>
      </c>
      <c r="E6" s="1969">
        <f t="shared" si="2"/>
        <v>-814237.84199999995</v>
      </c>
      <c r="F6" s="1969">
        <f t="shared" si="2"/>
        <v>-832040.35999999975</v>
      </c>
      <c r="G6" s="1969">
        <f t="shared" si="2"/>
        <v>-974026.88199999998</v>
      </c>
      <c r="H6" s="1969">
        <f t="shared" si="2"/>
        <v>-914376.4720000003</v>
      </c>
      <c r="I6" s="1969">
        <f t="shared" si="2"/>
        <v>-784975.20199999993</v>
      </c>
      <c r="J6" s="1969">
        <f t="shared" ref="J6:P6" si="3">J5-J4</f>
        <v>-927776.60100000014</v>
      </c>
      <c r="K6" s="1969">
        <f t="shared" si="3"/>
        <v>-941614.18633333349</v>
      </c>
      <c r="L6" s="1969">
        <f t="shared" si="3"/>
        <v>-951160.17166666663</v>
      </c>
      <c r="M6" s="1969">
        <f t="shared" si="3"/>
        <v>-964596.30733333342</v>
      </c>
      <c r="N6" s="1969">
        <f t="shared" si="3"/>
        <v>-1032733.8929999999</v>
      </c>
      <c r="O6" s="1969">
        <f t="shared" si="3"/>
        <v>-1082921.5009999997</v>
      </c>
      <c r="P6" s="1969">
        <f t="shared" si="3"/>
        <v>-432290.27866666677</v>
      </c>
      <c r="Q6" s="1969">
        <f t="shared" ref="Q6" si="4">Q5-Q4</f>
        <v>-310925.35866666673</v>
      </c>
      <c r="R6" s="395"/>
      <c r="S6" s="395"/>
    </row>
    <row r="7" spans="1:19">
      <c r="A7" s="1205"/>
      <c r="B7" s="397"/>
      <c r="C7" s="1969"/>
      <c r="D7" s="1969"/>
      <c r="E7" s="1969"/>
      <c r="F7" s="1969"/>
      <c r="G7" s="1969"/>
      <c r="H7" s="1969"/>
      <c r="I7" s="1969"/>
      <c r="J7" s="1969"/>
      <c r="K7" s="1969"/>
      <c r="L7" s="1969"/>
      <c r="M7" s="1969"/>
      <c r="N7" s="1969"/>
      <c r="O7" s="1969"/>
      <c r="P7" s="1969"/>
      <c r="Q7" s="1969"/>
      <c r="R7" s="395"/>
      <c r="S7" s="395"/>
    </row>
    <row r="8" spans="1:19">
      <c r="A8" s="1205" t="s">
        <v>989</v>
      </c>
      <c r="B8" s="397"/>
      <c r="C8" s="1969">
        <f t="shared" ref="C8:N8" si="5">G90</f>
        <v>701936.8899999999</v>
      </c>
      <c r="D8" s="1969">
        <f t="shared" si="5"/>
        <v>761789.10000000009</v>
      </c>
      <c r="E8" s="1969">
        <f t="shared" si="5"/>
        <v>811439.55999999994</v>
      </c>
      <c r="F8" s="1969">
        <f t="shared" si="5"/>
        <v>819668.60999999975</v>
      </c>
      <c r="G8" s="1969">
        <f t="shared" si="5"/>
        <v>811861.09000000008</v>
      </c>
      <c r="H8" s="1969">
        <f t="shared" si="5"/>
        <v>833200.31000000017</v>
      </c>
      <c r="I8" s="1969">
        <f t="shared" si="5"/>
        <v>746757.75999999989</v>
      </c>
      <c r="J8" s="1969">
        <f t="shared" si="5"/>
        <v>902577.56</v>
      </c>
      <c r="K8" s="1969">
        <f t="shared" si="5"/>
        <v>924668.24</v>
      </c>
      <c r="L8" s="1969">
        <f t="shared" si="5"/>
        <v>926442.37000000011</v>
      </c>
      <c r="M8" s="1969">
        <f t="shared" si="5"/>
        <v>944764.79000000015</v>
      </c>
      <c r="N8" s="1969">
        <f t="shared" si="5"/>
        <v>990412.59999999986</v>
      </c>
      <c r="O8" s="1969">
        <f>S90</f>
        <v>1046715.8899999999</v>
      </c>
      <c r="P8" s="1969">
        <f>T90</f>
        <v>0</v>
      </c>
      <c r="Q8" s="1969">
        <f>U90</f>
        <v>0</v>
      </c>
      <c r="R8" s="395"/>
      <c r="S8" s="395"/>
    </row>
    <row r="9" spans="1:19">
      <c r="A9" s="1205" t="s">
        <v>990</v>
      </c>
      <c r="B9" s="397"/>
      <c r="C9" s="1969">
        <f t="shared" ref="C9:N9" si="6">G163</f>
        <v>105051.12000000001</v>
      </c>
      <c r="D9" s="1969">
        <f t="shared" si="6"/>
        <v>123725.29999999997</v>
      </c>
      <c r="E9" s="1969">
        <f t="shared" si="6"/>
        <v>143247.4</v>
      </c>
      <c r="F9" s="1969">
        <f t="shared" si="6"/>
        <v>129121.04000000001</v>
      </c>
      <c r="G9" s="1969">
        <f t="shared" si="6"/>
        <v>149618.28999999998</v>
      </c>
      <c r="H9" s="1969">
        <f t="shared" si="6"/>
        <v>145066.52000000002</v>
      </c>
      <c r="I9" s="1969">
        <f t="shared" si="6"/>
        <v>123728.15999999997</v>
      </c>
      <c r="J9" s="1969">
        <f t="shared" si="6"/>
        <v>150023.49000000002</v>
      </c>
      <c r="K9" s="1969">
        <f t="shared" si="6"/>
        <v>142873.10999999999</v>
      </c>
      <c r="L9" s="1969">
        <f t="shared" si="6"/>
        <v>146567.72</v>
      </c>
      <c r="M9" s="1969">
        <f t="shared" si="6"/>
        <v>144341.63999999996</v>
      </c>
      <c r="N9" s="1969">
        <f t="shared" si="6"/>
        <v>166176.1</v>
      </c>
      <c r="O9" s="1969">
        <f>S163</f>
        <v>172451.26999999996</v>
      </c>
      <c r="P9" s="1969">
        <f>T163</f>
        <v>345568.65000000008</v>
      </c>
      <c r="Q9" s="1969">
        <f>U163</f>
        <v>235240.55000000005</v>
      </c>
      <c r="R9" s="395"/>
      <c r="S9" s="395"/>
    </row>
    <row r="10" spans="1:19">
      <c r="A10" s="1205" t="s">
        <v>991</v>
      </c>
      <c r="B10" s="397"/>
      <c r="C10" s="1969">
        <f t="shared" ref="C10:N10" si="7">G170</f>
        <v>1021.78</v>
      </c>
      <c r="D10" s="1969">
        <f t="shared" si="7"/>
        <v>1117.1999999999998</v>
      </c>
      <c r="E10" s="1969">
        <f t="shared" si="7"/>
        <v>1163.75</v>
      </c>
      <c r="F10" s="1969">
        <f t="shared" si="7"/>
        <v>1163.75</v>
      </c>
      <c r="G10" s="1969">
        <f t="shared" si="7"/>
        <v>1117.2</v>
      </c>
      <c r="H10" s="1969">
        <f t="shared" si="7"/>
        <v>977.55000000000007</v>
      </c>
      <c r="I10" s="1969">
        <f t="shared" si="7"/>
        <v>1015.88</v>
      </c>
      <c r="J10" s="1969">
        <f t="shared" si="7"/>
        <v>1329.44</v>
      </c>
      <c r="K10" s="1969">
        <f t="shared" si="7"/>
        <v>1071.48</v>
      </c>
      <c r="L10" s="1969">
        <f t="shared" si="7"/>
        <v>1035.96</v>
      </c>
      <c r="M10" s="1969">
        <f t="shared" si="7"/>
        <v>1001.54</v>
      </c>
      <c r="N10" s="1969">
        <f t="shared" si="7"/>
        <v>1103.25</v>
      </c>
      <c r="O10" s="1969">
        <f>S170</f>
        <v>1271.3800000000001</v>
      </c>
      <c r="P10" s="1969">
        <f>T170</f>
        <v>8634.75</v>
      </c>
      <c r="Q10" s="1969">
        <f>U170</f>
        <v>7369.5</v>
      </c>
      <c r="R10" s="395"/>
      <c r="S10" s="395"/>
    </row>
    <row r="11" spans="1:19" ht="13.5" thickBot="1">
      <c r="A11" s="1205" t="s">
        <v>47</v>
      </c>
      <c r="B11" s="397"/>
      <c r="C11" s="1969">
        <f t="shared" ref="C11:N11" si="8">G175</f>
        <v>29580.16</v>
      </c>
      <c r="D11" s="1969">
        <f t="shared" si="8"/>
        <v>30089.700000000004</v>
      </c>
      <c r="E11" s="1969">
        <f t="shared" si="8"/>
        <v>38810.351999999999</v>
      </c>
      <c r="F11" s="1969">
        <f t="shared" si="8"/>
        <v>71377.34</v>
      </c>
      <c r="G11" s="1969">
        <f t="shared" si="8"/>
        <v>179090.022</v>
      </c>
      <c r="H11" s="1969">
        <f t="shared" si="8"/>
        <v>110584.272</v>
      </c>
      <c r="I11" s="1969">
        <f t="shared" si="8"/>
        <v>90787.782000000007</v>
      </c>
      <c r="J11" s="1969">
        <f t="shared" si="8"/>
        <v>100928.701</v>
      </c>
      <c r="K11" s="1969">
        <f t="shared" si="8"/>
        <v>77268.226333333339</v>
      </c>
      <c r="L11" s="1969">
        <f t="shared" si="8"/>
        <v>81483.571666666656</v>
      </c>
      <c r="M11" s="1969">
        <f t="shared" si="8"/>
        <v>78782.877333333337</v>
      </c>
      <c r="N11" s="1969">
        <f t="shared" si="8"/>
        <v>79744.452999999994</v>
      </c>
      <c r="O11" s="1969">
        <f>S175</f>
        <v>67970.570999999996</v>
      </c>
      <c r="P11" s="1969">
        <f>T175</f>
        <v>90018.088666666677</v>
      </c>
      <c r="Q11" s="1969">
        <f>U175</f>
        <v>68315.308666666679</v>
      </c>
      <c r="R11" s="395"/>
      <c r="S11" s="395"/>
    </row>
    <row r="12" spans="1:19" ht="18" customHeight="1" thickBot="1">
      <c r="A12" s="1891" t="s">
        <v>8</v>
      </c>
      <c r="B12" s="1979"/>
      <c r="C12" s="1970">
        <f>SUM(C8:C11)</f>
        <v>837589.95</v>
      </c>
      <c r="D12" s="1970">
        <f t="shared" ref="D12:I12" si="9">SUM(D8:D11)</f>
        <v>916721.29999999993</v>
      </c>
      <c r="E12" s="1970">
        <f t="shared" si="9"/>
        <v>994661.06199999992</v>
      </c>
      <c r="F12" s="1970">
        <f t="shared" si="9"/>
        <v>1021330.7399999998</v>
      </c>
      <c r="G12" s="1970">
        <f t="shared" si="9"/>
        <v>1141686.602</v>
      </c>
      <c r="H12" s="1970">
        <f t="shared" si="9"/>
        <v>1089828.6520000002</v>
      </c>
      <c r="I12" s="1970">
        <f t="shared" si="9"/>
        <v>962289.58199999994</v>
      </c>
      <c r="J12" s="1970">
        <f t="shared" ref="J12:Q12" si="10">SUM(J8:J11)</f>
        <v>1154859.1910000001</v>
      </c>
      <c r="K12" s="1970">
        <f t="shared" si="10"/>
        <v>1145881.0563333335</v>
      </c>
      <c r="L12" s="1970">
        <f t="shared" si="10"/>
        <v>1155529.6216666666</v>
      </c>
      <c r="M12" s="1970">
        <f t="shared" si="10"/>
        <v>1168890.8473333335</v>
      </c>
      <c r="N12" s="1970">
        <f t="shared" si="10"/>
        <v>1237436.4029999999</v>
      </c>
      <c r="O12" s="1970">
        <f t="shared" si="10"/>
        <v>1288409.1109999998</v>
      </c>
      <c r="P12" s="1970">
        <f t="shared" si="10"/>
        <v>444221.48866666679</v>
      </c>
      <c r="Q12" s="1970">
        <f t="shared" si="10"/>
        <v>310925.35866666673</v>
      </c>
      <c r="R12" s="395"/>
      <c r="S12" s="395"/>
    </row>
    <row r="14" spans="1:19">
      <c r="A14" s="395" t="s">
        <v>993</v>
      </c>
      <c r="D14" s="1965">
        <f>(D8/C8)*100-100</f>
        <v>8.5267223952284752</v>
      </c>
      <c r="E14" s="1965">
        <f t="shared" ref="E14:N15" si="11">(E8/D8)*100-100</f>
        <v>6.5176122892805637</v>
      </c>
      <c r="F14" s="1965">
        <f t="shared" si="11"/>
        <v>1.0141297523132522</v>
      </c>
      <c r="G14" s="1965">
        <f t="shared" si="11"/>
        <v>-0.95252153184195265</v>
      </c>
      <c r="H14" s="1965">
        <f t="shared" si="11"/>
        <v>2.6284324083077024</v>
      </c>
      <c r="I14" s="1965">
        <f t="shared" si="11"/>
        <v>-10.37476210252494</v>
      </c>
      <c r="J14" s="1965">
        <f t="shared" si="11"/>
        <v>20.866177540625785</v>
      </c>
      <c r="K14" s="1965">
        <f t="shared" si="11"/>
        <v>2.4475104388812667</v>
      </c>
      <c r="L14" s="1965">
        <f t="shared" si="11"/>
        <v>0.19186665262778035</v>
      </c>
      <c r="M14" s="1965">
        <f t="shared" si="11"/>
        <v>1.9777182686495678</v>
      </c>
      <c r="N14" s="1965">
        <f t="shared" si="11"/>
        <v>4.8316586819455551</v>
      </c>
      <c r="O14" s="1965">
        <f t="shared" ref="O14:Q15" si="12">(O8/N8)*100-100</f>
        <v>5.684831755977271</v>
      </c>
      <c r="P14" s="1965">
        <f t="shared" si="12"/>
        <v>-100</v>
      </c>
      <c r="Q14" s="1965" t="e">
        <f t="shared" si="12"/>
        <v>#DIV/0!</v>
      </c>
      <c r="R14" s="395"/>
      <c r="S14" s="395"/>
    </row>
    <row r="15" spans="1:19">
      <c r="A15" s="395" t="s">
        <v>994</v>
      </c>
      <c r="D15" s="1965">
        <f>(D9/C9)*100-100</f>
        <v>17.776278825013918</v>
      </c>
      <c r="E15" s="1965">
        <f t="shared" si="11"/>
        <v>15.778583684986032</v>
      </c>
      <c r="F15" s="1965">
        <f t="shared" si="11"/>
        <v>-9.8615123206424613</v>
      </c>
      <c r="G15" s="1965">
        <f t="shared" si="11"/>
        <v>15.874446178562351</v>
      </c>
      <c r="H15" s="1965">
        <f t="shared" si="11"/>
        <v>-3.0422550611960304</v>
      </c>
      <c r="I15" s="1965">
        <f t="shared" si="11"/>
        <v>-14.709362298068527</v>
      </c>
      <c r="J15" s="1965">
        <f t="shared" si="11"/>
        <v>21.252502259792806</v>
      </c>
      <c r="K15" s="1965">
        <f t="shared" si="11"/>
        <v>-4.7661736172115639</v>
      </c>
      <c r="L15" s="1965">
        <f t="shared" si="11"/>
        <v>2.585937969713143</v>
      </c>
      <c r="M15" s="1965">
        <f t="shared" si="11"/>
        <v>-1.5188064602492517</v>
      </c>
      <c r="N15" s="1965">
        <f t="shared" si="11"/>
        <v>15.126930801118817</v>
      </c>
      <c r="O15" s="1965">
        <f t="shared" si="12"/>
        <v>3.7762169168730821</v>
      </c>
      <c r="P15" s="1965">
        <f t="shared" si="12"/>
        <v>100.38625984024367</v>
      </c>
      <c r="Q15" s="1965">
        <f t="shared" si="12"/>
        <v>-31.926536160036505</v>
      </c>
      <c r="R15" s="395"/>
      <c r="S15" s="395"/>
    </row>
    <row r="16" spans="1:19">
      <c r="A16" s="395" t="s">
        <v>995</v>
      </c>
      <c r="D16" s="1965">
        <f>(D11/C11)*100-100</f>
        <v>1.7225735087301928</v>
      </c>
      <c r="E16" s="1965">
        <f t="shared" ref="E16:N16" si="13">(E11/D11)*100-100</f>
        <v>28.982183272016641</v>
      </c>
      <c r="F16" s="1965">
        <f t="shared" si="13"/>
        <v>83.913147708631953</v>
      </c>
      <c r="G16" s="1965">
        <f t="shared" si="13"/>
        <v>150.90599061270709</v>
      </c>
      <c r="H16" s="1965">
        <f t="shared" si="13"/>
        <v>-38.252131098627039</v>
      </c>
      <c r="I16" s="1965">
        <f t="shared" si="13"/>
        <v>-17.901722950258232</v>
      </c>
      <c r="J16" s="1965">
        <f t="shared" si="13"/>
        <v>11.169916013588704</v>
      </c>
      <c r="K16" s="1965">
        <f t="shared" si="13"/>
        <v>-23.442761506131603</v>
      </c>
      <c r="L16" s="1965">
        <f t="shared" si="13"/>
        <v>5.455470551567231</v>
      </c>
      <c r="M16" s="1965">
        <f t="shared" si="13"/>
        <v>-3.3144034780180363</v>
      </c>
      <c r="N16" s="1965">
        <f t="shared" si="13"/>
        <v>1.2205389028864744</v>
      </c>
      <c r="O16" s="1965">
        <f>(O11/N11)*100-100</f>
        <v>-14.76451534503596</v>
      </c>
      <c r="P16" s="1965">
        <f>(P11/O11)*100-100</f>
        <v>32.43685810240828</v>
      </c>
      <c r="Q16" s="1965">
        <f>(Q11/P11)*100-100</f>
        <v>-24.109354376945845</v>
      </c>
      <c r="R16" s="395"/>
      <c r="S16" s="395"/>
    </row>
    <row r="24" spans="1:28">
      <c r="A24" s="3013" t="s">
        <v>7074</v>
      </c>
      <c r="B24" s="3013"/>
      <c r="C24" s="395"/>
      <c r="D24" s="395"/>
      <c r="E24" s="395"/>
      <c r="F24" s="395"/>
      <c r="N24" s="395"/>
      <c r="O24" s="395"/>
      <c r="P24" s="395"/>
      <c r="Z24" s="395"/>
      <c r="AA24" s="395"/>
      <c r="AB24" s="395"/>
    </row>
    <row r="25" spans="1:28">
      <c r="A25" s="1633"/>
      <c r="B25" s="1633"/>
      <c r="C25" s="395"/>
      <c r="D25" s="395"/>
      <c r="E25" s="395"/>
      <c r="F25" s="395"/>
      <c r="N25" s="395"/>
      <c r="O25" s="395"/>
      <c r="P25" s="395"/>
      <c r="Z25" s="395"/>
      <c r="AA25" s="395"/>
      <c r="AB25" s="395"/>
    </row>
    <row r="26" spans="1:28">
      <c r="A26" s="1989" t="s">
        <v>623</v>
      </c>
      <c r="B26" s="1991"/>
      <c r="C26" s="1991" t="s">
        <v>1002</v>
      </c>
      <c r="D26" s="1991"/>
      <c r="E26" s="1991"/>
      <c r="F26" s="1991"/>
      <c r="G26" s="1990">
        <v>2007</v>
      </c>
      <c r="H26" s="1990">
        <v>2008</v>
      </c>
      <c r="I26" s="1990">
        <v>2009</v>
      </c>
      <c r="J26" s="1990">
        <v>2010</v>
      </c>
      <c r="K26" s="1990">
        <v>2011</v>
      </c>
      <c r="L26" s="1990">
        <v>2012</v>
      </c>
      <c r="M26" s="1990">
        <v>2013</v>
      </c>
      <c r="N26" s="1990">
        <v>2014</v>
      </c>
      <c r="O26" s="1990">
        <v>2015</v>
      </c>
      <c r="P26" s="1990">
        <v>2016</v>
      </c>
      <c r="Q26" s="1990">
        <v>2017</v>
      </c>
      <c r="R26" s="1990">
        <v>2018</v>
      </c>
      <c r="S26" s="1990">
        <v>2019</v>
      </c>
      <c r="T26" s="4289">
        <v>2020</v>
      </c>
      <c r="U26" s="1990">
        <v>2021</v>
      </c>
      <c r="V26" s="2050">
        <v>2022</v>
      </c>
      <c r="W26" s="1973"/>
      <c r="X26" s="1973"/>
      <c r="Y26" s="1973"/>
      <c r="Z26" s="1633"/>
      <c r="AA26" s="1633"/>
      <c r="AB26" s="1633"/>
    </row>
    <row r="27" spans="1:28">
      <c r="A27" s="1984" t="s">
        <v>1003</v>
      </c>
      <c r="B27" s="1985"/>
      <c r="C27" s="1986"/>
      <c r="D27" s="1986"/>
      <c r="E27" s="1986"/>
      <c r="F27" s="1986"/>
      <c r="G27" s="1987"/>
      <c r="H27" s="1987"/>
      <c r="I27" s="1987"/>
      <c r="J27" s="1987"/>
      <c r="K27" s="1987"/>
      <c r="L27" s="1987"/>
      <c r="M27" s="1987"/>
      <c r="N27" s="1986"/>
      <c r="O27" s="1986"/>
      <c r="P27" s="1986"/>
      <c r="Q27" s="1987"/>
      <c r="R27" s="1987"/>
      <c r="S27" s="1987"/>
      <c r="T27" s="4290"/>
      <c r="U27" s="1987"/>
      <c r="V27" s="1988"/>
      <c r="Z27" s="395"/>
      <c r="AA27" s="395"/>
      <c r="AB27" s="395"/>
    </row>
    <row r="28" spans="1:28">
      <c r="A28" s="1993" t="s">
        <v>1004</v>
      </c>
      <c r="B28" s="1994"/>
      <c r="C28" s="1995"/>
      <c r="D28" s="1995"/>
      <c r="E28" s="1995"/>
      <c r="F28" s="1996"/>
      <c r="G28" s="1487"/>
      <c r="H28" s="1487"/>
      <c r="I28" s="1487"/>
      <c r="J28" s="1487"/>
      <c r="K28" s="1487"/>
      <c r="L28" s="1487"/>
      <c r="M28" s="1487"/>
      <c r="N28" s="397"/>
      <c r="O28" s="397"/>
      <c r="P28" s="397"/>
      <c r="Q28" s="1487"/>
      <c r="R28" s="1487"/>
      <c r="S28" s="1487"/>
      <c r="T28" s="1487"/>
      <c r="V28" s="1489"/>
      <c r="Z28" s="395"/>
      <c r="AA28" s="395"/>
      <c r="AB28" s="395"/>
    </row>
    <row r="29" spans="1:28">
      <c r="A29" s="1997" t="s">
        <v>1760</v>
      </c>
      <c r="B29" s="583"/>
      <c r="C29" s="397" t="s">
        <v>1761</v>
      </c>
      <c r="D29" s="397"/>
      <c r="E29" s="397"/>
      <c r="F29" s="1998"/>
      <c r="G29" s="1487"/>
      <c r="H29" s="1487"/>
      <c r="I29" s="1487"/>
      <c r="J29" s="1487"/>
      <c r="K29" s="1487"/>
      <c r="L29" s="1487"/>
      <c r="M29" s="1487"/>
      <c r="N29" s="1487">
        <v>93032.5</v>
      </c>
      <c r="O29" s="1487">
        <v>77482.37</v>
      </c>
      <c r="P29" s="1487">
        <v>50283.97</v>
      </c>
      <c r="Q29" s="1487">
        <v>23394.77</v>
      </c>
      <c r="R29" s="1487">
        <v>30540.9</v>
      </c>
      <c r="S29" s="1487">
        <v>31936.05</v>
      </c>
      <c r="T29" s="1487"/>
      <c r="V29" s="1489"/>
      <c r="Z29" s="395"/>
      <c r="AA29" s="395"/>
      <c r="AB29" s="395"/>
    </row>
    <row r="30" spans="1:28">
      <c r="A30" s="1997" t="s">
        <v>1762</v>
      </c>
      <c r="B30" s="583"/>
      <c r="C30" s="397" t="s">
        <v>1763</v>
      </c>
      <c r="D30" s="397"/>
      <c r="E30" s="397"/>
      <c r="F30" s="1998"/>
      <c r="G30" s="1487"/>
      <c r="H30" s="1487"/>
      <c r="I30" s="1487"/>
      <c r="J30" s="1487"/>
      <c r="K30" s="1487"/>
      <c r="L30" s="1487"/>
      <c r="M30" s="1487"/>
      <c r="N30" s="1487">
        <v>7780.9</v>
      </c>
      <c r="O30" s="1487">
        <v>8560.68</v>
      </c>
      <c r="P30" s="1487">
        <v>6634.11</v>
      </c>
      <c r="Q30" s="1487">
        <v>4320.05</v>
      </c>
      <c r="R30" s="1487">
        <v>2329.8200000000002</v>
      </c>
      <c r="S30" s="1487">
        <v>2454.98</v>
      </c>
      <c r="T30" s="1487"/>
      <c r="V30" s="1489"/>
      <c r="Z30" s="395"/>
      <c r="AA30" s="395"/>
      <c r="AB30" s="395"/>
    </row>
    <row r="31" spans="1:28">
      <c r="A31" s="1997" t="s">
        <v>1764</v>
      </c>
      <c r="B31" s="583"/>
      <c r="C31" s="397" t="s">
        <v>1765</v>
      </c>
      <c r="D31" s="397"/>
      <c r="E31" s="397"/>
      <c r="F31" s="1998"/>
      <c r="G31" s="1487"/>
      <c r="H31" s="1487"/>
      <c r="I31" s="1487"/>
      <c r="J31" s="1487"/>
      <c r="K31" s="1487"/>
      <c r="L31" s="1487"/>
      <c r="M31" s="1487"/>
      <c r="N31" s="1487">
        <v>6319.87</v>
      </c>
      <c r="O31" s="1487">
        <v>4770.05</v>
      </c>
      <c r="P31" s="1487">
        <v>3538.18</v>
      </c>
      <c r="Q31" s="1487">
        <v>2009.38</v>
      </c>
      <c r="R31" s="1487">
        <v>2054.98</v>
      </c>
      <c r="S31" s="1487">
        <v>2084.9699999999998</v>
      </c>
      <c r="T31" s="1487"/>
      <c r="V31" s="1489"/>
      <c r="Z31" s="395"/>
      <c r="AA31" s="395"/>
      <c r="AB31" s="395"/>
    </row>
    <row r="32" spans="1:28">
      <c r="A32" s="1997" t="s">
        <v>1766</v>
      </c>
      <c r="B32" s="583"/>
      <c r="C32" s="397" t="s">
        <v>1262</v>
      </c>
      <c r="D32" s="397"/>
      <c r="E32" s="397"/>
      <c r="F32" s="1998"/>
      <c r="G32" s="1487"/>
      <c r="H32" s="1487"/>
      <c r="I32" s="1487"/>
      <c r="J32" s="1487"/>
      <c r="K32" s="1487"/>
      <c r="L32" s="1487"/>
      <c r="M32" s="1487"/>
      <c r="N32" s="1487"/>
      <c r="O32" s="1487"/>
      <c r="P32" s="1487"/>
      <c r="Q32" s="1487">
        <v>32.979999999999997</v>
      </c>
      <c r="R32" s="1487">
        <v>2318.96</v>
      </c>
      <c r="S32" s="1487">
        <v>2989.25</v>
      </c>
      <c r="T32" s="1487"/>
      <c r="V32" s="1489"/>
      <c r="Z32" s="395"/>
      <c r="AA32" s="395"/>
      <c r="AB32" s="395"/>
    </row>
    <row r="33" spans="1:28">
      <c r="A33" s="1997" t="s">
        <v>1767</v>
      </c>
      <c r="B33" s="583"/>
      <c r="C33" s="397" t="s">
        <v>1018</v>
      </c>
      <c r="D33" s="397"/>
      <c r="E33" s="397"/>
      <c r="F33" s="1998"/>
      <c r="G33" s="1487"/>
      <c r="H33" s="1487"/>
      <c r="I33" s="1487"/>
      <c r="J33" s="1487"/>
      <c r="K33" s="1487"/>
      <c r="L33" s="1487"/>
      <c r="M33" s="1487"/>
      <c r="N33" s="1487">
        <v>24077.599999999999</v>
      </c>
      <c r="O33" s="1487">
        <v>24149.27</v>
      </c>
      <c r="P33" s="1487">
        <v>511693.72</v>
      </c>
      <c r="Q33" s="1487">
        <v>573933.01</v>
      </c>
      <c r="R33" s="1487">
        <v>594651.63</v>
      </c>
      <c r="S33" s="1487">
        <v>624469.53</v>
      </c>
      <c r="T33" s="1487"/>
      <c r="V33" s="1489"/>
      <c r="Z33" s="395"/>
      <c r="AA33" s="395"/>
      <c r="AB33" s="395"/>
    </row>
    <row r="34" spans="1:28">
      <c r="A34" s="1997" t="s">
        <v>1768</v>
      </c>
      <c r="B34" s="583"/>
      <c r="C34" s="397" t="s">
        <v>1020</v>
      </c>
      <c r="D34" s="397"/>
      <c r="E34" s="397"/>
      <c r="F34" s="1998"/>
      <c r="G34" s="1487"/>
      <c r="H34" s="1487"/>
      <c r="I34" s="1487"/>
      <c r="J34" s="1487"/>
      <c r="K34" s="1487"/>
      <c r="L34" s="1487"/>
      <c r="M34" s="1487"/>
      <c r="N34" s="1487">
        <v>1833.61</v>
      </c>
      <c r="O34" s="1487">
        <v>1852.11</v>
      </c>
      <c r="P34" s="1487">
        <v>39719.79</v>
      </c>
      <c r="Q34" s="1487">
        <v>43560.09</v>
      </c>
      <c r="R34" s="1487">
        <v>53480.82</v>
      </c>
      <c r="S34" s="1487">
        <v>51991.14</v>
      </c>
      <c r="T34" s="1487"/>
      <c r="V34" s="1489"/>
      <c r="Z34" s="395"/>
      <c r="AA34" s="395"/>
      <c r="AB34" s="395"/>
    </row>
    <row r="35" spans="1:28">
      <c r="A35" s="1997" t="s">
        <v>1769</v>
      </c>
      <c r="B35" s="583"/>
      <c r="C35" s="397" t="s">
        <v>1022</v>
      </c>
      <c r="D35" s="397"/>
      <c r="E35" s="397"/>
      <c r="F35" s="1998"/>
      <c r="G35" s="1487"/>
      <c r="H35" s="1487"/>
      <c r="I35" s="1487"/>
      <c r="J35" s="1487"/>
      <c r="K35" s="1487"/>
      <c r="L35" s="1487"/>
      <c r="M35" s="1487"/>
      <c r="N35" s="1487">
        <v>1864.82</v>
      </c>
      <c r="O35" s="1487">
        <v>1865.45</v>
      </c>
      <c r="P35" s="1487">
        <v>41045.68</v>
      </c>
      <c r="Q35" s="1487">
        <v>44254.86</v>
      </c>
      <c r="R35" s="1487">
        <v>45475.83</v>
      </c>
      <c r="S35" s="1487">
        <v>48665.96</v>
      </c>
      <c r="T35" s="1487"/>
      <c r="V35" s="1489"/>
      <c r="Z35" s="395"/>
      <c r="AA35" s="395"/>
      <c r="AB35" s="395"/>
    </row>
    <row r="36" spans="1:28">
      <c r="A36" s="1997" t="s">
        <v>1770</v>
      </c>
      <c r="B36" s="583"/>
      <c r="C36" s="397" t="s">
        <v>1771</v>
      </c>
      <c r="D36" s="397"/>
      <c r="E36" s="397"/>
      <c r="F36" s="1998"/>
      <c r="G36" s="1487"/>
      <c r="H36" s="1487"/>
      <c r="I36" s="1487"/>
      <c r="J36" s="1487"/>
      <c r="K36" s="1487"/>
      <c r="L36" s="1487"/>
      <c r="M36" s="1487"/>
      <c r="N36" s="1487"/>
      <c r="O36" s="1487"/>
      <c r="P36" s="1487">
        <v>2934.64</v>
      </c>
      <c r="Q36" s="1487">
        <v>4458.88</v>
      </c>
      <c r="R36" s="1487">
        <v>3907.53</v>
      </c>
      <c r="S36" s="1487">
        <v>34.159999999999997</v>
      </c>
      <c r="T36" s="1487"/>
      <c r="V36" s="1489"/>
      <c r="Z36" s="395"/>
      <c r="AA36" s="395"/>
      <c r="AB36" s="395"/>
    </row>
    <row r="37" spans="1:28">
      <c r="A37" s="1997" t="s">
        <v>1772</v>
      </c>
      <c r="B37" s="583"/>
      <c r="C37" s="397" t="s">
        <v>1773</v>
      </c>
      <c r="D37" s="397"/>
      <c r="E37" s="397"/>
      <c r="F37" s="1998"/>
      <c r="G37" s="1487"/>
      <c r="H37" s="1487"/>
      <c r="I37" s="1487"/>
      <c r="J37" s="1487"/>
      <c r="K37" s="1487"/>
      <c r="L37" s="1487"/>
      <c r="M37" s="1487"/>
      <c r="N37" s="1487">
        <v>16287.89</v>
      </c>
      <c r="O37" s="1487">
        <v>13189.1</v>
      </c>
      <c r="P37" s="1487">
        <v>8098.8</v>
      </c>
      <c r="Q37" s="1487">
        <v>4115.55</v>
      </c>
      <c r="R37" s="1487">
        <v>5057.38</v>
      </c>
      <c r="S37" s="1487">
        <v>5341.11</v>
      </c>
      <c r="T37" s="1487"/>
      <c r="V37" s="1489"/>
      <c r="Z37" s="395"/>
      <c r="AA37" s="395"/>
      <c r="AB37" s="395"/>
    </row>
    <row r="38" spans="1:28">
      <c r="A38" s="1997" t="s">
        <v>1774</v>
      </c>
      <c r="B38" s="583"/>
      <c r="C38" s="397" t="s">
        <v>1775</v>
      </c>
      <c r="D38" s="397"/>
      <c r="E38" s="397"/>
      <c r="F38" s="1998"/>
      <c r="G38" s="1487"/>
      <c r="H38" s="1487"/>
      <c r="I38" s="1487"/>
      <c r="J38" s="1487"/>
      <c r="K38" s="1487"/>
      <c r="L38" s="1487"/>
      <c r="M38" s="1487"/>
      <c r="N38" s="1487">
        <v>29715.29</v>
      </c>
      <c r="O38" s="1487">
        <v>24547.51</v>
      </c>
      <c r="P38" s="1487">
        <v>15307.32</v>
      </c>
      <c r="Q38" s="1487">
        <v>6930.75</v>
      </c>
      <c r="R38" s="1487">
        <v>9280.08</v>
      </c>
      <c r="S38" s="1487">
        <v>9709.74</v>
      </c>
      <c r="T38" s="1487"/>
      <c r="V38" s="1489"/>
      <c r="Z38" s="395"/>
      <c r="AA38" s="395"/>
      <c r="AB38" s="395"/>
    </row>
    <row r="39" spans="1:28">
      <c r="A39" s="1997" t="s">
        <v>1776</v>
      </c>
      <c r="B39" s="583"/>
      <c r="C39" s="397" t="s">
        <v>1777</v>
      </c>
      <c r="D39" s="397"/>
      <c r="E39" s="397"/>
      <c r="F39" s="1998"/>
      <c r="G39" s="1487"/>
      <c r="H39" s="1487"/>
      <c r="I39" s="1487"/>
      <c r="J39" s="1487"/>
      <c r="K39" s="1487"/>
      <c r="L39" s="1487"/>
      <c r="M39" s="1487"/>
      <c r="N39" s="1487">
        <v>121</v>
      </c>
      <c r="O39" s="1487">
        <v>121</v>
      </c>
      <c r="P39" s="1487">
        <v>121</v>
      </c>
      <c r="Q39" s="1487">
        <v>121</v>
      </c>
      <c r="R39" s="1487">
        <v>440</v>
      </c>
      <c r="S39" s="1487">
        <v>371.19</v>
      </c>
      <c r="T39" s="1487"/>
      <c r="V39" s="1489"/>
      <c r="Z39" s="395"/>
      <c r="AA39" s="395"/>
      <c r="AB39" s="395"/>
    </row>
    <row r="40" spans="1:28">
      <c r="A40" s="1997" t="s">
        <v>1778</v>
      </c>
      <c r="B40" s="583"/>
      <c r="C40" s="397" t="s">
        <v>1278</v>
      </c>
      <c r="D40" s="397"/>
      <c r="E40" s="397"/>
      <c r="F40" s="1998"/>
      <c r="G40" s="1487"/>
      <c r="H40" s="1487"/>
      <c r="I40" s="1487"/>
      <c r="J40" s="1487"/>
      <c r="K40" s="1487"/>
      <c r="L40" s="1487"/>
      <c r="M40" s="1487"/>
      <c r="N40" s="1487">
        <v>14923.1</v>
      </c>
      <c r="O40" s="1487">
        <v>8072.37</v>
      </c>
      <c r="P40" s="1487">
        <v>184033.47</v>
      </c>
      <c r="Q40" s="1487">
        <v>193688.15</v>
      </c>
      <c r="R40" s="1487">
        <v>198773.65</v>
      </c>
      <c r="S40" s="1487">
        <v>210132.56</v>
      </c>
      <c r="T40" s="1487"/>
      <c r="V40" s="1489"/>
      <c r="Z40" s="395"/>
      <c r="AA40" s="395"/>
      <c r="AB40" s="395"/>
    </row>
    <row r="41" spans="1:28">
      <c r="A41" s="1997" t="s">
        <v>1779</v>
      </c>
      <c r="B41" s="583"/>
      <c r="C41" s="397" t="s">
        <v>1780</v>
      </c>
      <c r="D41" s="397"/>
      <c r="E41" s="397"/>
      <c r="F41" s="1998"/>
      <c r="G41" s="1487"/>
      <c r="H41" s="1487"/>
      <c r="I41" s="1487"/>
      <c r="J41" s="1487"/>
      <c r="K41" s="1487"/>
      <c r="L41" s="1487"/>
      <c r="M41" s="1487"/>
      <c r="N41" s="1487">
        <v>398.06</v>
      </c>
      <c r="O41" s="1487">
        <v>542.19000000000005</v>
      </c>
      <c r="P41" s="1487">
        <v>11120.02</v>
      </c>
      <c r="Q41" s="1487">
        <v>0</v>
      </c>
      <c r="R41" s="1487">
        <v>0</v>
      </c>
      <c r="S41" s="1487">
        <v>11767.64</v>
      </c>
      <c r="T41" s="1487"/>
      <c r="V41" s="1489"/>
      <c r="Z41" s="395"/>
      <c r="AA41" s="395"/>
      <c r="AB41" s="395"/>
    </row>
    <row r="42" spans="1:28">
      <c r="A42" s="1997" t="s">
        <v>1781</v>
      </c>
      <c r="B42" s="583"/>
      <c r="C42" s="397" t="s">
        <v>1043</v>
      </c>
      <c r="D42" s="397"/>
      <c r="E42" s="397"/>
      <c r="F42" s="1998"/>
      <c r="G42" s="1487"/>
      <c r="H42" s="1487"/>
      <c r="I42" s="1487"/>
      <c r="J42" s="1487"/>
      <c r="K42" s="1487"/>
      <c r="L42" s="1487"/>
      <c r="M42" s="1487"/>
      <c r="N42" s="1487">
        <v>154</v>
      </c>
      <c r="O42" s="1487">
        <v>231</v>
      </c>
      <c r="P42" s="1487">
        <v>3610.75</v>
      </c>
      <c r="Q42" s="1487">
        <v>3547.5</v>
      </c>
      <c r="R42" s="1487">
        <v>2639.96</v>
      </c>
      <c r="S42" s="1487">
        <v>2453.19</v>
      </c>
      <c r="T42" s="1487"/>
      <c r="V42" s="1489"/>
      <c r="Z42" s="395"/>
      <c r="AA42" s="395"/>
      <c r="AB42" s="395"/>
    </row>
    <row r="43" spans="1:28">
      <c r="A43" s="1997" t="s">
        <v>1782</v>
      </c>
      <c r="B43" s="583"/>
      <c r="C43" s="397" t="s">
        <v>1045</v>
      </c>
      <c r="D43" s="397"/>
      <c r="E43" s="397"/>
      <c r="F43" s="1998"/>
      <c r="G43" s="1487"/>
      <c r="H43" s="1487"/>
      <c r="I43" s="1487"/>
      <c r="J43" s="1487"/>
      <c r="K43" s="1487"/>
      <c r="L43" s="1487"/>
      <c r="M43" s="1487"/>
      <c r="N43" s="1487">
        <v>1234.1500000000001</v>
      </c>
      <c r="O43" s="1487">
        <v>899.12</v>
      </c>
      <c r="P43" s="1487">
        <v>828.56</v>
      </c>
      <c r="Q43" s="1487">
        <v>1146.33</v>
      </c>
      <c r="R43" s="1487">
        <v>1509.84</v>
      </c>
      <c r="S43" s="1487">
        <v>1182.05</v>
      </c>
      <c r="T43" s="1487"/>
      <c r="V43" s="1489"/>
      <c r="Z43" s="395"/>
      <c r="AA43" s="395"/>
      <c r="AB43" s="395"/>
    </row>
    <row r="44" spans="1:28">
      <c r="A44" s="1997" t="s">
        <v>1783</v>
      </c>
      <c r="B44" s="583"/>
      <c r="C44" s="397" t="s">
        <v>1047</v>
      </c>
      <c r="D44" s="397"/>
      <c r="E44" s="397"/>
      <c r="F44" s="1998"/>
      <c r="G44" s="1487"/>
      <c r="H44" s="1487"/>
      <c r="I44" s="1487"/>
      <c r="J44" s="1487"/>
      <c r="K44" s="1487"/>
      <c r="L44" s="1487"/>
      <c r="M44" s="1487"/>
      <c r="N44" s="1487">
        <v>29722</v>
      </c>
      <c r="O44" s="1487">
        <v>25036</v>
      </c>
      <c r="P44" s="1487">
        <v>28372.5</v>
      </c>
      <c r="Q44" s="1487">
        <v>29802</v>
      </c>
      <c r="R44" s="1487">
        <v>29676</v>
      </c>
      <c r="S44" s="1487">
        <v>29094</v>
      </c>
      <c r="T44" s="1487"/>
      <c r="V44" s="1489"/>
      <c r="Z44" s="395"/>
      <c r="AA44" s="395"/>
      <c r="AB44" s="395"/>
    </row>
    <row r="45" spans="1:28">
      <c r="A45" s="1997" t="s">
        <v>1784</v>
      </c>
      <c r="B45" s="583"/>
      <c r="C45" s="397" t="s">
        <v>1049</v>
      </c>
      <c r="D45" s="397"/>
      <c r="E45" s="397"/>
      <c r="F45" s="1998"/>
      <c r="G45" s="1487"/>
      <c r="H45" s="1487"/>
      <c r="I45" s="1487"/>
      <c r="J45" s="1487"/>
      <c r="K45" s="1487"/>
      <c r="L45" s="1487"/>
      <c r="M45" s="1487"/>
      <c r="N45" s="1487">
        <v>27212.240000000002</v>
      </c>
      <c r="O45" s="1487">
        <v>18972.400000000001</v>
      </c>
      <c r="P45" s="1487">
        <v>18180.97</v>
      </c>
      <c r="Q45" s="1487">
        <v>8212.68</v>
      </c>
      <c r="R45" s="1487">
        <v>8275.2199999999993</v>
      </c>
      <c r="S45" s="1487">
        <v>12038.37</v>
      </c>
      <c r="T45" s="1487"/>
      <c r="V45" s="1489"/>
      <c r="Z45" s="395"/>
      <c r="AA45" s="395"/>
      <c r="AB45" s="395"/>
    </row>
    <row r="46" spans="1:28">
      <c r="A46" s="1997" t="s">
        <v>1785</v>
      </c>
      <c r="B46" s="583"/>
      <c r="C46" s="397" t="s">
        <v>1012</v>
      </c>
      <c r="D46" s="397"/>
      <c r="E46" s="397"/>
      <c r="F46" s="1998"/>
      <c r="G46" s="1487"/>
      <c r="H46" s="1487"/>
      <c r="I46" s="1487"/>
      <c r="J46" s="1487"/>
      <c r="K46" s="1487"/>
      <c r="L46" s="1487"/>
      <c r="M46" s="1487"/>
      <c r="N46" s="1487">
        <v>517332.06</v>
      </c>
      <c r="O46" s="1487">
        <v>463816.62</v>
      </c>
      <c r="P46" s="1487"/>
      <c r="Q46" s="1487">
        <v>808.75</v>
      </c>
      <c r="R46" s="1487"/>
      <c r="S46" s="1487"/>
      <c r="T46" s="1487"/>
      <c r="V46" s="1489"/>
      <c r="Z46" s="395"/>
      <c r="AA46" s="395"/>
      <c r="AB46" s="395"/>
    </row>
    <row r="47" spans="1:28">
      <c r="A47" s="1997" t="s">
        <v>1786</v>
      </c>
      <c r="B47" s="583"/>
      <c r="C47" s="397" t="s">
        <v>1265</v>
      </c>
      <c r="D47" s="397"/>
      <c r="E47" s="397"/>
      <c r="F47" s="1998"/>
      <c r="G47" s="1487"/>
      <c r="H47" s="1487"/>
      <c r="I47" s="1487"/>
      <c r="J47" s="1487"/>
      <c r="K47" s="1487"/>
      <c r="L47" s="1487"/>
      <c r="M47" s="1487"/>
      <c r="N47" s="1487">
        <v>41982.44</v>
      </c>
      <c r="O47" s="1487">
        <v>43589.58</v>
      </c>
      <c r="P47" s="1487"/>
      <c r="Q47" s="1487"/>
      <c r="R47" s="1487"/>
      <c r="S47" s="1487"/>
      <c r="T47" s="1487"/>
      <c r="V47" s="1489"/>
      <c r="Z47" s="395"/>
      <c r="AA47" s="395"/>
      <c r="AB47" s="395"/>
    </row>
    <row r="48" spans="1:28">
      <c r="A48" s="1997" t="s">
        <v>1787</v>
      </c>
      <c r="B48" s="583"/>
      <c r="C48" s="397" t="s">
        <v>1016</v>
      </c>
      <c r="D48" s="397"/>
      <c r="E48" s="397"/>
      <c r="F48" s="1998"/>
      <c r="G48" s="1487"/>
      <c r="H48" s="1487"/>
      <c r="I48" s="1487"/>
      <c r="J48" s="1487"/>
      <c r="K48" s="1487"/>
      <c r="L48" s="1487"/>
      <c r="M48" s="1487"/>
      <c r="N48" s="1487">
        <v>41354.5</v>
      </c>
      <c r="O48" s="1487">
        <v>38190.44</v>
      </c>
      <c r="P48" s="1487"/>
      <c r="Q48" s="1487"/>
      <c r="R48" s="1487"/>
      <c r="S48" s="1487"/>
      <c r="T48" s="1487"/>
      <c r="V48" s="1489"/>
      <c r="Z48" s="395"/>
      <c r="AA48" s="395"/>
      <c r="AB48" s="395"/>
    </row>
    <row r="49" spans="1:28">
      <c r="A49" s="1997" t="s">
        <v>1788</v>
      </c>
      <c r="B49" s="583"/>
      <c r="C49" s="397" t="s">
        <v>1789</v>
      </c>
      <c r="D49" s="397"/>
      <c r="E49" s="397"/>
      <c r="F49" s="1998"/>
      <c r="G49" s="1487"/>
      <c r="H49" s="1487"/>
      <c r="I49" s="1487"/>
      <c r="J49" s="1487"/>
      <c r="K49" s="1487"/>
      <c r="L49" s="1487"/>
      <c r="M49" s="1487"/>
      <c r="N49" s="1487"/>
      <c r="O49" s="1487">
        <v>452.2</v>
      </c>
      <c r="P49" s="1487">
        <v>700.91</v>
      </c>
      <c r="Q49" s="1487"/>
      <c r="R49" s="1487"/>
      <c r="S49" s="1487"/>
      <c r="T49" s="1487"/>
      <c r="V49" s="1489"/>
      <c r="Z49" s="395"/>
      <c r="AA49" s="395"/>
      <c r="AB49" s="395"/>
    </row>
    <row r="50" spans="1:28">
      <c r="A50" s="1997" t="s">
        <v>1790</v>
      </c>
      <c r="B50" s="583"/>
      <c r="C50" s="397" t="s">
        <v>1276</v>
      </c>
      <c r="D50" s="397"/>
      <c r="E50" s="397"/>
      <c r="F50" s="1998"/>
      <c r="G50" s="1487"/>
      <c r="H50" s="1487"/>
      <c r="I50" s="1487"/>
      <c r="J50" s="1487"/>
      <c r="K50" s="1487"/>
      <c r="L50" s="1487"/>
      <c r="M50" s="1487"/>
      <c r="N50" s="1487">
        <v>35265.29</v>
      </c>
      <c r="O50" s="1487">
        <v>155124.73000000001</v>
      </c>
      <c r="P50" s="1487">
        <v>217.98</v>
      </c>
      <c r="Q50" s="1487">
        <v>428.06</v>
      </c>
      <c r="R50" s="1487"/>
      <c r="S50" s="1487"/>
      <c r="T50" s="1487"/>
      <c r="V50" s="1489"/>
      <c r="Z50" s="395"/>
      <c r="AA50" s="395"/>
      <c r="AB50" s="395"/>
    </row>
    <row r="51" spans="1:28">
      <c r="A51" s="1997" t="s">
        <v>1791</v>
      </c>
      <c r="B51" s="583"/>
      <c r="C51" s="397" t="s">
        <v>1792</v>
      </c>
      <c r="D51" s="397"/>
      <c r="E51" s="397"/>
      <c r="F51" s="1998"/>
      <c r="G51" s="1487"/>
      <c r="H51" s="1487"/>
      <c r="I51" s="1487"/>
      <c r="J51" s="1487"/>
      <c r="K51" s="1487"/>
      <c r="L51" s="1487"/>
      <c r="M51" s="1487"/>
      <c r="N51" s="1487">
        <v>8600.2000000000007</v>
      </c>
      <c r="O51" s="1487">
        <v>10069.049999999999</v>
      </c>
      <c r="P51" s="1487"/>
      <c r="Q51" s="1487"/>
      <c r="R51" s="1487"/>
      <c r="S51" s="1487"/>
      <c r="T51" s="1487"/>
      <c r="V51" s="1489"/>
      <c r="Z51" s="395"/>
      <c r="AA51" s="395"/>
      <c r="AB51" s="395"/>
    </row>
    <row r="52" spans="1:28">
      <c r="A52" s="1997" t="s">
        <v>1793</v>
      </c>
      <c r="B52" s="583"/>
      <c r="C52" s="397" t="s">
        <v>1039</v>
      </c>
      <c r="D52" s="397"/>
      <c r="E52" s="397"/>
      <c r="F52" s="1998"/>
      <c r="G52" s="1487"/>
      <c r="H52" s="1487"/>
      <c r="I52" s="1487"/>
      <c r="J52" s="1487"/>
      <c r="K52" s="1487"/>
      <c r="L52" s="1487"/>
      <c r="M52" s="1487"/>
      <c r="N52" s="1487">
        <v>3366.04</v>
      </c>
      <c r="O52" s="1487">
        <v>3135</v>
      </c>
      <c r="P52" s="1487"/>
      <c r="Q52" s="1487"/>
      <c r="R52" s="1487"/>
      <c r="S52" s="1487"/>
      <c r="T52" s="1487"/>
      <c r="V52" s="1489"/>
      <c r="Z52" s="395"/>
      <c r="AA52" s="395"/>
      <c r="AB52" s="395"/>
    </row>
    <row r="53" spans="1:28">
      <c r="A53" s="1997" t="s">
        <v>1794</v>
      </c>
      <c r="B53" s="583"/>
      <c r="C53" s="397" t="s">
        <v>1051</v>
      </c>
      <c r="D53" s="397"/>
      <c r="E53" s="397"/>
      <c r="F53" s="1998"/>
      <c r="G53" s="1487">
        <v>12791.7</v>
      </c>
      <c r="H53" s="1487">
        <v>21150.86</v>
      </c>
      <c r="I53" s="1487">
        <v>21674.22</v>
      </c>
      <c r="J53" s="1487">
        <v>21456.1</v>
      </c>
      <c r="K53" s="1487">
        <v>35874.35</v>
      </c>
      <c r="L53" s="1487">
        <v>45611.89</v>
      </c>
      <c r="M53" s="1487">
        <v>20986.51</v>
      </c>
      <c r="N53" s="1487"/>
      <c r="O53" s="1487"/>
      <c r="P53" s="1487"/>
      <c r="Q53" s="1487"/>
      <c r="R53" s="1487"/>
      <c r="S53" s="1487"/>
      <c r="T53" s="1487"/>
      <c r="V53" s="1489"/>
      <c r="Z53" s="395"/>
      <c r="AA53" s="395"/>
      <c r="AB53" s="395"/>
    </row>
    <row r="54" spans="1:28">
      <c r="A54" s="1997" t="s">
        <v>1795</v>
      </c>
      <c r="B54" s="583"/>
      <c r="C54" s="397" t="s">
        <v>1012</v>
      </c>
      <c r="D54" s="397"/>
      <c r="E54" s="397"/>
      <c r="F54" s="1998"/>
      <c r="G54" s="1487">
        <v>49620.61</v>
      </c>
      <c r="H54" s="1487">
        <v>61546.62</v>
      </c>
      <c r="I54" s="1487">
        <v>90221.56</v>
      </c>
      <c r="J54" s="1487">
        <v>105354.92</v>
      </c>
      <c r="K54" s="3145">
        <v>29398.53</v>
      </c>
      <c r="L54" s="1487">
        <v>47585.14</v>
      </c>
      <c r="M54" s="1487">
        <v>37712.120000000003</v>
      </c>
      <c r="N54" s="1487"/>
      <c r="O54" s="1487"/>
      <c r="P54" s="1487"/>
      <c r="Q54" s="1487"/>
      <c r="R54" s="1487"/>
      <c r="S54" s="1487"/>
      <c r="T54" s="1487"/>
      <c r="V54" s="1489"/>
      <c r="Z54" s="395"/>
      <c r="AA54" s="395"/>
      <c r="AB54" s="395"/>
    </row>
    <row r="55" spans="1:28">
      <c r="A55" s="1997" t="s">
        <v>1796</v>
      </c>
      <c r="B55" s="583"/>
      <c r="C55" s="397" t="s">
        <v>1054</v>
      </c>
      <c r="D55" s="397"/>
      <c r="E55" s="397"/>
      <c r="F55" s="1998"/>
      <c r="G55" s="1487">
        <v>0</v>
      </c>
      <c r="H55" s="1487">
        <v>989.35</v>
      </c>
      <c r="I55" s="1487">
        <v>1561.81</v>
      </c>
      <c r="J55" s="1487">
        <v>1442.99</v>
      </c>
      <c r="K55" s="1487">
        <v>4389.97</v>
      </c>
      <c r="L55" s="1487">
        <v>4948.26</v>
      </c>
      <c r="M55" s="1487">
        <v>3401.98</v>
      </c>
      <c r="N55" s="1487"/>
      <c r="O55" s="1487"/>
      <c r="P55" s="1487"/>
      <c r="Q55" s="1487"/>
      <c r="R55" s="1487"/>
      <c r="S55" s="1487"/>
      <c r="T55" s="1487"/>
      <c r="V55" s="1489"/>
      <c r="Z55" s="395"/>
      <c r="AA55" s="395"/>
      <c r="AB55" s="395"/>
    </row>
    <row r="56" spans="1:28">
      <c r="A56" s="1997" t="s">
        <v>1797</v>
      </c>
      <c r="B56" s="583"/>
      <c r="C56" s="397" t="s">
        <v>1014</v>
      </c>
      <c r="D56" s="397"/>
      <c r="E56" s="397"/>
      <c r="F56" s="1998"/>
      <c r="G56" s="1487">
        <v>3301.97</v>
      </c>
      <c r="H56" s="1487">
        <v>3062.04</v>
      </c>
      <c r="I56" s="1487">
        <v>4542.18</v>
      </c>
      <c r="J56" s="1487">
        <v>7415.85</v>
      </c>
      <c r="K56" s="1487">
        <v>8836.93</v>
      </c>
      <c r="L56" s="1487">
        <v>3437.06</v>
      </c>
      <c r="M56" s="1487">
        <v>1815.12</v>
      </c>
      <c r="N56" s="1487"/>
      <c r="O56" s="1487"/>
      <c r="P56" s="1487"/>
      <c r="Q56" s="1487"/>
      <c r="R56" s="1487"/>
      <c r="S56" s="1487"/>
      <c r="T56" s="1487"/>
      <c r="V56" s="1489"/>
      <c r="Z56" s="395"/>
      <c r="AA56" s="395"/>
      <c r="AB56" s="395"/>
    </row>
    <row r="57" spans="1:28">
      <c r="A57" s="1997" t="s">
        <v>1798</v>
      </c>
      <c r="B57" s="583"/>
      <c r="C57" s="397" t="s">
        <v>1047</v>
      </c>
      <c r="D57" s="397"/>
      <c r="E57" s="397"/>
      <c r="F57" s="1998"/>
      <c r="G57" s="1487">
        <v>1921</v>
      </c>
      <c r="H57" s="1487">
        <v>2108</v>
      </c>
      <c r="I57" s="1487">
        <v>3773.83</v>
      </c>
      <c r="J57" s="1487">
        <v>3663.6</v>
      </c>
      <c r="K57" s="1487">
        <v>2442.4</v>
      </c>
      <c r="L57" s="1487">
        <v>2673</v>
      </c>
      <c r="M57" s="1487">
        <v>891</v>
      </c>
      <c r="N57" s="1487"/>
      <c r="O57" s="1487"/>
      <c r="P57" s="1487"/>
      <c r="Q57" s="1487"/>
      <c r="R57" s="1487"/>
      <c r="S57" s="1487"/>
      <c r="T57" s="1487"/>
      <c r="V57" s="1489"/>
      <c r="Z57" s="395"/>
      <c r="AA57" s="395"/>
      <c r="AB57" s="395"/>
    </row>
    <row r="58" spans="1:28">
      <c r="A58" s="1997" t="s">
        <v>1799</v>
      </c>
      <c r="B58" s="583"/>
      <c r="C58" s="397" t="s">
        <v>1058</v>
      </c>
      <c r="D58" s="397"/>
      <c r="E58" s="397"/>
      <c r="F58" s="1998"/>
      <c r="G58" s="1487">
        <v>3959.03</v>
      </c>
      <c r="H58" s="1487">
        <v>6546.19</v>
      </c>
      <c r="I58" s="1487">
        <v>6708.17</v>
      </c>
      <c r="J58" s="1487">
        <v>6640.66</v>
      </c>
      <c r="K58" s="1487">
        <v>11181.76</v>
      </c>
      <c r="L58" s="1487">
        <v>23332.53</v>
      </c>
      <c r="M58" s="1487">
        <v>7733.33</v>
      </c>
      <c r="N58" s="1487"/>
      <c r="O58" s="1487"/>
      <c r="P58" s="1487"/>
      <c r="Q58" s="1487"/>
      <c r="R58" s="1487"/>
      <c r="S58" s="1487"/>
      <c r="T58" s="1487"/>
      <c r="V58" s="1489"/>
      <c r="Z58" s="395"/>
      <c r="AA58" s="395"/>
      <c r="AB58" s="395"/>
    </row>
    <row r="59" spans="1:28">
      <c r="A59" s="1997" t="s">
        <v>1800</v>
      </c>
      <c r="B59" s="583"/>
      <c r="C59" s="397" t="s">
        <v>1030</v>
      </c>
      <c r="D59" s="397"/>
      <c r="E59" s="397"/>
      <c r="F59" s="1998"/>
      <c r="G59" s="1487">
        <v>2843.26</v>
      </c>
      <c r="H59" s="1487">
        <v>3526.62</v>
      </c>
      <c r="I59" s="1487">
        <v>5169.7</v>
      </c>
      <c r="J59" s="1487">
        <v>6036.84</v>
      </c>
      <c r="K59" s="1487">
        <v>926.06</v>
      </c>
      <c r="L59" s="1487">
        <v>3678.34</v>
      </c>
      <c r="M59" s="1487">
        <v>2915.15</v>
      </c>
      <c r="N59" s="1487"/>
      <c r="O59" s="1487"/>
      <c r="P59" s="1487"/>
      <c r="Q59" s="1487"/>
      <c r="R59" s="1487"/>
      <c r="S59" s="1487"/>
      <c r="T59" s="1487"/>
      <c r="V59" s="1489"/>
      <c r="Z59" s="395"/>
      <c r="AA59" s="395"/>
      <c r="AB59" s="395"/>
    </row>
    <row r="60" spans="1:28">
      <c r="A60" s="1997" t="s">
        <v>1801</v>
      </c>
      <c r="B60" s="583"/>
      <c r="C60" s="397" t="s">
        <v>1063</v>
      </c>
      <c r="D60" s="397"/>
      <c r="E60" s="397"/>
      <c r="F60" s="1998"/>
      <c r="G60" s="1487">
        <v>0</v>
      </c>
      <c r="H60" s="1487">
        <v>0</v>
      </c>
      <c r="I60" s="1487">
        <v>0</v>
      </c>
      <c r="J60" s="1487">
        <v>2558.0300000000002</v>
      </c>
      <c r="K60" s="1487">
        <v>1314.43</v>
      </c>
      <c r="L60" s="1487">
        <v>0</v>
      </c>
      <c r="M60" s="1487">
        <v>0</v>
      </c>
      <c r="N60" s="1487"/>
      <c r="O60" s="1487"/>
      <c r="P60" s="1487"/>
      <c r="Q60" s="1487"/>
      <c r="R60" s="1487"/>
      <c r="S60" s="1487"/>
      <c r="T60" s="1487"/>
      <c r="V60" s="1489"/>
      <c r="Z60" s="395"/>
      <c r="AA60" s="395"/>
      <c r="AB60" s="395"/>
    </row>
    <row r="61" spans="1:28">
      <c r="A61" s="1997" t="s">
        <v>1802</v>
      </c>
      <c r="B61" s="583"/>
      <c r="C61" s="397" t="s">
        <v>1045</v>
      </c>
      <c r="D61" s="397"/>
      <c r="E61" s="397"/>
      <c r="F61" s="1998"/>
      <c r="G61" s="1487">
        <v>0</v>
      </c>
      <c r="H61" s="1487">
        <v>0</v>
      </c>
      <c r="I61" s="1487">
        <v>0</v>
      </c>
      <c r="J61" s="1487">
        <v>0</v>
      </c>
      <c r="K61" s="1487">
        <v>0</v>
      </c>
      <c r="L61" s="1487">
        <v>0</v>
      </c>
      <c r="M61" s="1487">
        <v>0</v>
      </c>
      <c r="N61" s="1487"/>
      <c r="O61" s="1487"/>
      <c r="P61" s="1487"/>
      <c r="Q61" s="1487"/>
      <c r="R61" s="1487"/>
      <c r="S61" s="1487"/>
      <c r="T61" s="1487"/>
      <c r="V61" s="1489"/>
      <c r="Z61" s="395"/>
      <c r="AA61" s="395"/>
      <c r="AB61" s="395"/>
    </row>
    <row r="62" spans="1:28">
      <c r="A62" s="1997" t="s">
        <v>1803</v>
      </c>
      <c r="B62" s="583"/>
      <c r="C62" s="397" t="s">
        <v>1067</v>
      </c>
      <c r="D62" s="397"/>
      <c r="E62" s="397"/>
      <c r="F62" s="1998"/>
      <c r="G62" s="1487">
        <v>1675.71</v>
      </c>
      <c r="H62" s="1487">
        <v>2212.1</v>
      </c>
      <c r="I62" s="1487">
        <v>3008.99</v>
      </c>
      <c r="J62" s="1487">
        <v>3459.58</v>
      </c>
      <c r="K62" s="1487">
        <v>1996.05</v>
      </c>
      <c r="L62" s="1487">
        <v>2789.24</v>
      </c>
      <c r="M62" s="1487">
        <f>269.7+269.7</f>
        <v>539.4</v>
      </c>
      <c r="N62" s="1487"/>
      <c r="O62" s="1487"/>
      <c r="P62" s="1487"/>
      <c r="Q62" s="1487"/>
      <c r="R62" s="1487"/>
      <c r="S62" s="1487"/>
      <c r="T62" s="1487"/>
      <c r="V62" s="1489"/>
      <c r="Z62" s="395"/>
      <c r="AA62" s="395"/>
      <c r="AB62" s="395"/>
    </row>
    <row r="63" spans="1:28">
      <c r="A63" s="1997" t="s">
        <v>1804</v>
      </c>
      <c r="B63" s="583"/>
      <c r="C63" s="397" t="s">
        <v>1069</v>
      </c>
      <c r="D63" s="397"/>
      <c r="E63" s="397"/>
      <c r="F63" s="1998"/>
      <c r="G63" s="1487">
        <v>93.62</v>
      </c>
      <c r="H63" s="1487">
        <v>124.05</v>
      </c>
      <c r="I63" s="1487">
        <v>167.84</v>
      </c>
      <c r="J63" s="1487">
        <v>190.22</v>
      </c>
      <c r="K63" s="1487">
        <v>97.75</v>
      </c>
      <c r="L63" s="1487">
        <v>284.79000000000002</v>
      </c>
      <c r="M63" s="1487">
        <f>18.74+18.74</f>
        <v>37.479999999999997</v>
      </c>
      <c r="N63" s="1487"/>
      <c r="O63" s="1487"/>
      <c r="P63" s="1487"/>
      <c r="Q63" s="1487"/>
      <c r="R63" s="1487"/>
      <c r="S63" s="1487"/>
      <c r="T63" s="1487"/>
      <c r="V63" s="1489"/>
      <c r="Z63" s="395"/>
      <c r="AA63" s="395"/>
      <c r="AB63" s="395"/>
    </row>
    <row r="64" spans="1:28">
      <c r="A64" s="1997" t="s">
        <v>1805</v>
      </c>
      <c r="B64" s="583"/>
      <c r="C64" s="397" t="s">
        <v>1051</v>
      </c>
      <c r="D64" s="397"/>
      <c r="E64" s="397"/>
      <c r="F64" s="1998"/>
      <c r="G64" s="1487">
        <v>170584.2</v>
      </c>
      <c r="H64" s="1487">
        <v>179032.85</v>
      </c>
      <c r="I64" s="1487">
        <v>183561.87</v>
      </c>
      <c r="J64" s="1487">
        <v>183539.33</v>
      </c>
      <c r="K64" s="1487">
        <v>173727.43</v>
      </c>
      <c r="L64" s="1487">
        <v>182947.77</v>
      </c>
      <c r="M64" s="1487">
        <v>132653.82999999999</v>
      </c>
      <c r="N64" s="1487"/>
      <c r="O64" s="1487"/>
      <c r="P64" s="1487"/>
      <c r="Q64" s="1487"/>
      <c r="R64" s="1487"/>
      <c r="S64" s="1487"/>
      <c r="T64" s="1487"/>
      <c r="V64" s="1489"/>
      <c r="Z64" s="395"/>
      <c r="AA64" s="395"/>
      <c r="AB64" s="395"/>
    </row>
    <row r="65" spans="1:28">
      <c r="A65" s="1997" t="s">
        <v>1806</v>
      </c>
      <c r="B65" s="583"/>
      <c r="C65" s="397" t="s">
        <v>1012</v>
      </c>
      <c r="D65" s="397"/>
      <c r="E65" s="397"/>
      <c r="F65" s="1998"/>
      <c r="G65" s="1487">
        <v>254747.05</v>
      </c>
      <c r="H65" s="1487">
        <v>272060.56</v>
      </c>
      <c r="I65" s="1487">
        <v>266646.58</v>
      </c>
      <c r="J65" s="1487">
        <v>286405.78999999998</v>
      </c>
      <c r="K65" s="1487">
        <v>319987.13</v>
      </c>
      <c r="L65" s="1487">
        <v>301649.45</v>
      </c>
      <c r="M65" s="1487">
        <v>331445.68</v>
      </c>
      <c r="N65" s="1487"/>
      <c r="O65" s="1487"/>
      <c r="P65" s="1487"/>
      <c r="Q65" s="1487"/>
      <c r="R65" s="1487"/>
      <c r="S65" s="1487"/>
      <c r="T65" s="1487"/>
      <c r="V65" s="1489"/>
      <c r="Z65" s="395"/>
      <c r="AA65" s="395"/>
      <c r="AB65" s="395"/>
    </row>
    <row r="66" spans="1:28">
      <c r="A66" s="1997" t="s">
        <v>1807</v>
      </c>
      <c r="B66" s="583"/>
      <c r="C66" s="397" t="s">
        <v>1054</v>
      </c>
      <c r="D66" s="397"/>
      <c r="E66" s="397"/>
      <c r="F66" s="1998"/>
      <c r="G66" s="1487">
        <v>12505.04</v>
      </c>
      <c r="H66" s="1487">
        <v>12798.88</v>
      </c>
      <c r="I66" s="1487">
        <v>13355.84</v>
      </c>
      <c r="J66" s="1487">
        <v>11782.63</v>
      </c>
      <c r="K66" s="1487">
        <v>14576.2</v>
      </c>
      <c r="L66" s="1487">
        <v>9487.16</v>
      </c>
      <c r="M66" s="1487">
        <v>9508.48</v>
      </c>
      <c r="N66" s="1487"/>
      <c r="O66" s="1487"/>
      <c r="P66" s="1487"/>
      <c r="Q66" s="1487"/>
      <c r="R66" s="1487"/>
      <c r="S66" s="1487"/>
      <c r="T66" s="1487"/>
      <c r="V66" s="1489"/>
      <c r="Z66" s="395"/>
      <c r="AA66" s="395"/>
      <c r="AB66" s="395"/>
    </row>
    <row r="67" spans="1:28">
      <c r="A67" s="1997" t="s">
        <v>1808</v>
      </c>
      <c r="B67" s="583"/>
      <c r="C67" s="397" t="s">
        <v>1014</v>
      </c>
      <c r="D67" s="397"/>
      <c r="E67" s="397"/>
      <c r="F67" s="1998"/>
      <c r="G67" s="1487">
        <v>17371.37</v>
      </c>
      <c r="H67" s="1487">
        <v>19601.650000000001</v>
      </c>
      <c r="I67" s="1487">
        <v>20898.810000000001</v>
      </c>
      <c r="J67" s="1487">
        <v>5132.68</v>
      </c>
      <c r="K67" s="1487">
        <v>23383.42</v>
      </c>
      <c r="L67" s="1487">
        <v>20975.42</v>
      </c>
      <c r="M67" s="1487">
        <v>21337.67</v>
      </c>
      <c r="N67" s="1487"/>
      <c r="O67" s="1487"/>
      <c r="P67" s="1487"/>
      <c r="Q67" s="1487"/>
      <c r="R67" s="1487"/>
      <c r="S67" s="1487"/>
      <c r="T67" s="1487"/>
      <c r="V67" s="1489"/>
      <c r="Z67" s="395"/>
      <c r="AA67" s="395"/>
      <c r="AB67" s="395"/>
    </row>
    <row r="68" spans="1:28">
      <c r="A68" s="1997" t="s">
        <v>1809</v>
      </c>
      <c r="B68" s="583"/>
      <c r="C68" s="397" t="s">
        <v>1047</v>
      </c>
      <c r="D68" s="397"/>
      <c r="E68" s="397"/>
      <c r="F68" s="1998"/>
      <c r="G68" s="1487">
        <v>14254.4</v>
      </c>
      <c r="H68" s="1487">
        <v>13816.8</v>
      </c>
      <c r="I68" s="1487">
        <v>17720</v>
      </c>
      <c r="J68" s="1487">
        <v>18160</v>
      </c>
      <c r="K68" s="1487">
        <v>15690</v>
      </c>
      <c r="L68" s="1487">
        <v>21278</v>
      </c>
      <c r="M68" s="1487">
        <v>23064.5</v>
      </c>
      <c r="N68" s="1487"/>
      <c r="O68" s="1487"/>
      <c r="P68" s="1487"/>
      <c r="Q68" s="1487"/>
      <c r="R68" s="1487"/>
      <c r="S68" s="1487"/>
      <c r="T68" s="1487"/>
      <c r="V68" s="1489"/>
      <c r="Z68" s="395"/>
      <c r="AA68" s="395"/>
      <c r="AB68" s="395"/>
    </row>
    <row r="69" spans="1:28">
      <c r="A69" s="1997" t="s">
        <v>1810</v>
      </c>
      <c r="B69" s="583"/>
      <c r="C69" s="397" t="s">
        <v>1058</v>
      </c>
      <c r="D69" s="397"/>
      <c r="E69" s="397"/>
      <c r="F69" s="1998"/>
      <c r="G69" s="1487">
        <v>36529.24</v>
      </c>
      <c r="H69" s="1487">
        <v>30131.74</v>
      </c>
      <c r="I69" s="1487">
        <v>44112.36</v>
      </c>
      <c r="J69" s="1487">
        <v>28557.19</v>
      </c>
      <c r="K69" s="1487">
        <v>34654.75</v>
      </c>
      <c r="L69" s="1487">
        <v>40804.67</v>
      </c>
      <c r="M69" s="1487">
        <v>24492.15</v>
      </c>
      <c r="N69" s="1487"/>
      <c r="O69" s="1487"/>
      <c r="P69" s="1487"/>
      <c r="Q69" s="1487"/>
      <c r="R69" s="1487"/>
      <c r="S69" s="1487"/>
      <c r="T69" s="1487"/>
      <c r="V69" s="1489"/>
      <c r="Z69" s="395"/>
      <c r="AA69" s="395"/>
      <c r="AB69" s="395"/>
    </row>
    <row r="70" spans="1:28">
      <c r="A70" s="1997" t="s">
        <v>1811</v>
      </c>
      <c r="B70" s="583"/>
      <c r="C70" s="397" t="s">
        <v>1030</v>
      </c>
      <c r="D70" s="397"/>
      <c r="E70" s="397"/>
      <c r="F70" s="1998"/>
      <c r="G70" s="1487">
        <v>13878.5</v>
      </c>
      <c r="H70" s="1487">
        <v>15497.36</v>
      </c>
      <c r="I70" s="1487">
        <v>15850.19</v>
      </c>
      <c r="J70" s="1487">
        <v>16354.36</v>
      </c>
      <c r="K70" s="1487">
        <v>16068.03</v>
      </c>
      <c r="L70" s="1487">
        <v>17108.57</v>
      </c>
      <c r="M70" s="1487">
        <v>33219.58</v>
      </c>
      <c r="N70" s="1487"/>
      <c r="O70" s="1487"/>
      <c r="P70" s="1487"/>
      <c r="Q70" s="1487"/>
      <c r="R70" s="1487"/>
      <c r="S70" s="1487"/>
      <c r="T70" s="1487"/>
      <c r="V70" s="1489"/>
      <c r="Z70" s="395"/>
      <c r="AA70" s="395"/>
      <c r="AB70" s="395"/>
    </row>
    <row r="71" spans="1:28">
      <c r="A71" s="1997" t="s">
        <v>1812</v>
      </c>
      <c r="B71" s="583"/>
      <c r="C71" s="397" t="s">
        <v>1061</v>
      </c>
      <c r="D71" s="397"/>
      <c r="E71" s="397"/>
      <c r="F71" s="1998"/>
      <c r="G71" s="1487">
        <v>22280.79</v>
      </c>
      <c r="H71" s="1487">
        <v>29888.959999999999</v>
      </c>
      <c r="I71" s="1487">
        <v>23012.85</v>
      </c>
      <c r="J71" s="1487">
        <v>34759.949999999997</v>
      </c>
      <c r="K71" s="1487">
        <v>32481.98</v>
      </c>
      <c r="L71" s="1487">
        <v>21120.76</v>
      </c>
      <c r="M71" s="1487">
        <v>26699.47</v>
      </c>
      <c r="N71" s="1487"/>
      <c r="O71" s="1487"/>
      <c r="P71" s="1487"/>
      <c r="Q71" s="1487"/>
      <c r="R71" s="1487"/>
      <c r="S71" s="1487"/>
      <c r="T71" s="1487"/>
      <c r="V71" s="1489"/>
      <c r="Z71" s="395"/>
      <c r="AA71" s="395"/>
      <c r="AB71" s="395"/>
    </row>
    <row r="72" spans="1:28">
      <c r="A72" s="1997" t="s">
        <v>1813</v>
      </c>
      <c r="B72" s="583"/>
      <c r="C72" s="397" t="s">
        <v>1063</v>
      </c>
      <c r="D72" s="397"/>
      <c r="E72" s="397"/>
      <c r="F72" s="1998"/>
      <c r="G72" s="1487">
        <v>0</v>
      </c>
      <c r="H72" s="1487">
        <v>0</v>
      </c>
      <c r="I72" s="1487">
        <v>0</v>
      </c>
      <c r="J72" s="1487">
        <v>0</v>
      </c>
      <c r="K72" s="1487">
        <v>11195.79</v>
      </c>
      <c r="L72" s="1487">
        <v>7021.23</v>
      </c>
      <c r="M72" s="1487">
        <v>0</v>
      </c>
      <c r="N72" s="1487"/>
      <c r="O72" s="1487"/>
      <c r="P72" s="1487"/>
      <c r="Q72" s="1487"/>
      <c r="R72" s="1487"/>
      <c r="S72" s="1487"/>
      <c r="T72" s="1487"/>
      <c r="V72" s="1489"/>
      <c r="Z72" s="395"/>
      <c r="AA72" s="395"/>
      <c r="AB72" s="395"/>
    </row>
    <row r="73" spans="1:28">
      <c r="A73" s="1997" t="s">
        <v>1814</v>
      </c>
      <c r="B73" s="583"/>
      <c r="C73" s="397" t="s">
        <v>1045</v>
      </c>
      <c r="D73" s="397"/>
      <c r="E73" s="397"/>
      <c r="F73" s="1998"/>
      <c r="G73" s="1487">
        <v>0</v>
      </c>
      <c r="H73" s="1487">
        <v>0</v>
      </c>
      <c r="I73" s="1487">
        <v>46.68</v>
      </c>
      <c r="J73" s="1487">
        <v>213.09</v>
      </c>
      <c r="K73" s="1487">
        <v>379.36</v>
      </c>
      <c r="L73" s="1487">
        <v>529.74</v>
      </c>
      <c r="M73" s="1487">
        <v>286.61</v>
      </c>
      <c r="N73" s="1487"/>
      <c r="O73" s="1487"/>
      <c r="P73" s="1487"/>
      <c r="Q73" s="1487"/>
      <c r="R73" s="1487"/>
      <c r="S73" s="1487"/>
      <c r="T73" s="1487"/>
      <c r="V73" s="1489"/>
      <c r="Z73" s="395"/>
      <c r="AA73" s="395"/>
      <c r="AB73" s="395"/>
    </row>
    <row r="74" spans="1:28">
      <c r="A74" s="1997" t="s">
        <v>1815</v>
      </c>
      <c r="B74" s="583"/>
      <c r="C74" s="397" t="s">
        <v>1045</v>
      </c>
      <c r="D74" s="397"/>
      <c r="E74" s="397"/>
      <c r="F74" s="1998"/>
      <c r="G74" s="1487">
        <v>0</v>
      </c>
      <c r="H74" s="1487">
        <v>69.599999999999994</v>
      </c>
      <c r="I74" s="1487">
        <v>446.46</v>
      </c>
      <c r="J74" s="1487">
        <v>477.84</v>
      </c>
      <c r="K74" s="1487">
        <v>581.53</v>
      </c>
      <c r="L74" s="1487">
        <v>425.05</v>
      </c>
      <c r="M74" s="1487">
        <v>1080.3900000000001</v>
      </c>
      <c r="N74" s="1487"/>
      <c r="O74" s="1487"/>
      <c r="P74" s="1487"/>
      <c r="Q74" s="1487"/>
      <c r="R74" s="1487"/>
      <c r="S74" s="1487"/>
      <c r="T74" s="1487"/>
      <c r="V74" s="1489"/>
      <c r="Z74" s="395"/>
      <c r="AA74" s="395"/>
      <c r="AB74" s="395"/>
    </row>
    <row r="75" spans="1:28">
      <c r="A75" s="1997" t="s">
        <v>1816</v>
      </c>
      <c r="B75" s="583"/>
      <c r="C75" s="397" t="s">
        <v>1067</v>
      </c>
      <c r="D75" s="397"/>
      <c r="E75" s="397"/>
      <c r="F75" s="1998"/>
      <c r="G75" s="1487">
        <v>9192</v>
      </c>
      <c r="H75" s="1487">
        <v>10473</v>
      </c>
      <c r="I75" s="1487">
        <v>11235.38</v>
      </c>
      <c r="J75" s="1487">
        <v>11478.43</v>
      </c>
      <c r="K75" s="1487">
        <v>11278.77</v>
      </c>
      <c r="L75" s="1487">
        <v>9356.43</v>
      </c>
      <c r="M75" s="1487">
        <v>9066.2800000000007</v>
      </c>
      <c r="N75" s="1487"/>
      <c r="O75" s="1487"/>
      <c r="P75" s="1487"/>
      <c r="Q75" s="1487"/>
      <c r="R75" s="1487"/>
      <c r="S75" s="1487"/>
      <c r="T75" s="1487"/>
      <c r="V75" s="1489"/>
      <c r="Z75" s="395"/>
      <c r="AA75" s="395"/>
      <c r="AB75" s="395"/>
    </row>
    <row r="76" spans="1:28">
      <c r="A76" s="1997" t="s">
        <v>1817</v>
      </c>
      <c r="B76" s="583"/>
      <c r="C76" s="397" t="s">
        <v>1069</v>
      </c>
      <c r="D76" s="397"/>
      <c r="E76" s="397"/>
      <c r="F76" s="1998"/>
      <c r="G76" s="1487">
        <v>617.28</v>
      </c>
      <c r="H76" s="1487">
        <v>568.70000000000005</v>
      </c>
      <c r="I76" s="1487">
        <v>685.41</v>
      </c>
      <c r="J76" s="1487">
        <v>682.08</v>
      </c>
      <c r="K76" s="1487">
        <v>643.78</v>
      </c>
      <c r="L76" s="1487">
        <v>660.14</v>
      </c>
      <c r="M76" s="1487">
        <v>724.74</v>
      </c>
      <c r="N76" s="1487"/>
      <c r="O76" s="1487"/>
      <c r="P76" s="1487"/>
      <c r="Q76" s="1487"/>
      <c r="R76" s="1487"/>
      <c r="S76" s="1487"/>
      <c r="T76" s="1487"/>
      <c r="V76" s="1489"/>
      <c r="Z76" s="395"/>
      <c r="AA76" s="395"/>
      <c r="AB76" s="395"/>
    </row>
    <row r="77" spans="1:28">
      <c r="A77" s="1997" t="s">
        <v>1818</v>
      </c>
      <c r="B77" s="583"/>
      <c r="C77" s="397" t="s">
        <v>1051</v>
      </c>
      <c r="D77" s="397"/>
      <c r="E77" s="397"/>
      <c r="F77" s="1998"/>
      <c r="G77" s="1487">
        <v>30274.959999999999</v>
      </c>
      <c r="H77" s="1487">
        <v>31611.79</v>
      </c>
      <c r="I77" s="1487">
        <v>31864.14</v>
      </c>
      <c r="J77" s="1487">
        <v>0</v>
      </c>
      <c r="K77" s="1487">
        <v>0</v>
      </c>
      <c r="L77" s="1487">
        <v>0</v>
      </c>
      <c r="M77" s="1487">
        <v>0</v>
      </c>
      <c r="N77" s="1487"/>
      <c r="O77" s="1487"/>
      <c r="P77" s="1487"/>
      <c r="Q77" s="1487"/>
      <c r="R77" s="1487"/>
      <c r="S77" s="1487"/>
      <c r="T77" s="1487"/>
      <c r="V77" s="1489"/>
      <c r="Z77" s="395"/>
      <c r="AA77" s="395"/>
      <c r="AB77" s="395"/>
    </row>
    <row r="78" spans="1:28">
      <c r="A78" s="1997" t="s">
        <v>1819</v>
      </c>
      <c r="B78" s="583"/>
      <c r="C78" s="397" t="s">
        <v>1012</v>
      </c>
      <c r="D78" s="397"/>
      <c r="E78" s="397"/>
      <c r="F78" s="1998"/>
      <c r="G78" s="1487">
        <v>24577.11</v>
      </c>
      <c r="H78" s="1487">
        <v>25708.43</v>
      </c>
      <c r="I78" s="1487">
        <v>26388.98</v>
      </c>
      <c r="J78" s="1487">
        <v>52465.3</v>
      </c>
      <c r="K78" s="1487">
        <v>47186.69</v>
      </c>
      <c r="L78" s="1487">
        <v>53832.9</v>
      </c>
      <c r="M78" s="1487">
        <v>48560.97</v>
      </c>
      <c r="N78" s="1487"/>
      <c r="O78" s="1487"/>
      <c r="P78" s="1487"/>
      <c r="Q78" s="1487"/>
      <c r="R78" s="1487"/>
      <c r="S78" s="1487"/>
      <c r="T78" s="1487"/>
      <c r="V78" s="1489"/>
      <c r="Z78" s="395"/>
      <c r="AA78" s="395"/>
      <c r="AB78" s="395"/>
    </row>
    <row r="79" spans="1:28">
      <c r="A79" s="1997" t="s">
        <v>1820</v>
      </c>
      <c r="B79" s="583"/>
      <c r="C79" s="397" t="s">
        <v>1054</v>
      </c>
      <c r="D79" s="397"/>
      <c r="E79" s="397"/>
      <c r="F79" s="1998"/>
      <c r="G79" s="1487">
        <v>2222.12</v>
      </c>
      <c r="H79" s="1487">
        <v>2266.5500000000002</v>
      </c>
      <c r="I79" s="1487">
        <v>2358.12</v>
      </c>
      <c r="J79" s="1487">
        <v>2161.69</v>
      </c>
      <c r="K79" s="1487">
        <v>0</v>
      </c>
      <c r="L79" s="1487">
        <v>0</v>
      </c>
      <c r="M79" s="1487">
        <v>0</v>
      </c>
      <c r="N79" s="1487"/>
      <c r="O79" s="1487"/>
      <c r="P79" s="1487"/>
      <c r="Q79" s="1487"/>
      <c r="R79" s="1487"/>
      <c r="S79" s="1487"/>
      <c r="T79" s="1487"/>
      <c r="V79" s="1489"/>
      <c r="Z79" s="395"/>
      <c r="AA79" s="395"/>
      <c r="AB79" s="395"/>
    </row>
    <row r="80" spans="1:28">
      <c r="A80" s="1997" t="s">
        <v>1821</v>
      </c>
      <c r="B80" s="583"/>
      <c r="C80" s="397" t="s">
        <v>1014</v>
      </c>
      <c r="D80" s="397"/>
      <c r="E80" s="397"/>
      <c r="F80" s="1998"/>
      <c r="G80" s="1487">
        <v>1795.94</v>
      </c>
      <c r="H80" s="1487">
        <v>1831.85</v>
      </c>
      <c r="I80" s="1487">
        <v>1911.76</v>
      </c>
      <c r="J80" s="1487">
        <v>1673.06</v>
      </c>
      <c r="K80" s="1487">
        <v>5711.92</v>
      </c>
      <c r="L80" s="1487">
        <v>3412.15</v>
      </c>
      <c r="M80" s="1487">
        <v>3478.94</v>
      </c>
      <c r="N80" s="1487"/>
      <c r="O80" s="1487"/>
      <c r="P80" s="1487"/>
      <c r="Q80" s="1487"/>
      <c r="R80" s="1487"/>
      <c r="S80" s="1487"/>
      <c r="T80" s="1487"/>
      <c r="V80" s="1489"/>
      <c r="Z80" s="395"/>
      <c r="AA80" s="395"/>
      <c r="AB80" s="395"/>
    </row>
    <row r="81" spans="1:28">
      <c r="A81" s="1997" t="s">
        <v>1822</v>
      </c>
      <c r="B81" s="583"/>
      <c r="C81" s="397" t="s">
        <v>1047</v>
      </c>
      <c r="D81" s="397"/>
      <c r="E81" s="397"/>
      <c r="F81" s="1998"/>
      <c r="G81" s="1487">
        <v>1525.2</v>
      </c>
      <c r="H81" s="1487">
        <v>1551.6</v>
      </c>
      <c r="I81" s="1487">
        <v>2125</v>
      </c>
      <c r="J81" s="1487">
        <v>3360</v>
      </c>
      <c r="K81" s="1487">
        <v>2155</v>
      </c>
      <c r="L81" s="1487">
        <v>1505</v>
      </c>
      <c r="M81" s="1487">
        <v>896.5</v>
      </c>
      <c r="N81" s="1487"/>
      <c r="O81" s="1487"/>
      <c r="P81" s="1487"/>
      <c r="Q81" s="1487"/>
      <c r="R81" s="1487"/>
      <c r="S81" s="1487"/>
      <c r="T81" s="1487"/>
      <c r="V81" s="1489"/>
      <c r="Z81" s="395"/>
      <c r="AA81" s="395"/>
      <c r="AB81" s="395"/>
    </row>
    <row r="82" spans="1:28">
      <c r="A82" s="1997" t="s">
        <v>1823</v>
      </c>
      <c r="B82" s="583"/>
      <c r="C82" s="397" t="s">
        <v>1058</v>
      </c>
      <c r="D82" s="397"/>
      <c r="E82" s="397"/>
      <c r="F82" s="1998"/>
      <c r="G82" s="1487">
        <v>4633.1000000000004</v>
      </c>
      <c r="H82" s="1487">
        <v>4724.18</v>
      </c>
      <c r="I82" s="1487">
        <v>4116.91</v>
      </c>
      <c r="J82" s="1487">
        <v>0</v>
      </c>
      <c r="K82" s="1487">
        <v>0</v>
      </c>
      <c r="L82" s="1487">
        <v>0</v>
      </c>
      <c r="M82" s="1487">
        <v>0</v>
      </c>
      <c r="N82" s="1487"/>
      <c r="O82" s="1487"/>
      <c r="P82" s="1487"/>
      <c r="Q82" s="1487"/>
      <c r="R82" s="1487"/>
      <c r="S82" s="1487"/>
      <c r="T82" s="1487"/>
      <c r="V82" s="1489"/>
      <c r="Z82" s="395"/>
      <c r="AA82" s="395"/>
      <c r="AB82" s="395"/>
    </row>
    <row r="83" spans="1:28">
      <c r="A83" s="1997" t="s">
        <v>1824</v>
      </c>
      <c r="B83" s="583"/>
      <c r="C83" s="397" t="s">
        <v>1030</v>
      </c>
      <c r="D83" s="397"/>
      <c r="E83" s="397"/>
      <c r="F83" s="1998"/>
      <c r="G83" s="1487">
        <v>1443.58</v>
      </c>
      <c r="H83" s="1487">
        <v>1473.1</v>
      </c>
      <c r="I83" s="1487">
        <v>1512.09</v>
      </c>
      <c r="J83" s="1487">
        <v>2896.71</v>
      </c>
      <c r="K83" s="1487">
        <v>2329.86</v>
      </c>
      <c r="L83" s="1487">
        <v>4373.09</v>
      </c>
      <c r="M83" s="1487">
        <v>3039.98</v>
      </c>
      <c r="N83" s="1487"/>
      <c r="O83" s="1487"/>
      <c r="P83" s="1487"/>
      <c r="Q83" s="1487"/>
      <c r="R83" s="1487"/>
      <c r="S83" s="1487"/>
      <c r="T83" s="1487"/>
      <c r="V83" s="1489"/>
      <c r="Z83" s="395"/>
      <c r="AA83" s="395"/>
      <c r="AB83" s="395"/>
    </row>
    <row r="84" spans="1:28">
      <c r="A84" s="1997" t="s">
        <v>1825</v>
      </c>
      <c r="B84" s="583"/>
      <c r="C84" s="397" t="s">
        <v>1061</v>
      </c>
      <c r="D84" s="397"/>
      <c r="E84" s="397"/>
      <c r="F84" s="1998"/>
      <c r="G84" s="1487">
        <v>5931.36</v>
      </c>
      <c r="H84" s="1487">
        <v>6002.29</v>
      </c>
      <c r="I84" s="1487">
        <v>5251.32</v>
      </c>
      <c r="J84" s="1487">
        <v>0</v>
      </c>
      <c r="K84" s="1487">
        <v>0</v>
      </c>
      <c r="L84" s="1487">
        <v>0</v>
      </c>
      <c r="M84" s="1487">
        <v>0</v>
      </c>
      <c r="N84" s="1487"/>
      <c r="O84" s="1487"/>
      <c r="P84" s="1487"/>
      <c r="Q84" s="1487"/>
      <c r="R84" s="1487"/>
      <c r="S84" s="1487"/>
      <c r="T84" s="1487"/>
      <c r="V84" s="1489"/>
      <c r="Z84" s="395"/>
      <c r="AA84" s="395"/>
      <c r="AB84" s="395"/>
    </row>
    <row r="85" spans="1:28">
      <c r="A85" s="1997" t="s">
        <v>1826</v>
      </c>
      <c r="B85" s="583"/>
      <c r="C85" s="397" t="s">
        <v>1063</v>
      </c>
      <c r="D85" s="397"/>
      <c r="E85" s="397"/>
      <c r="F85" s="1998"/>
      <c r="G85" s="1487">
        <v>0</v>
      </c>
      <c r="H85" s="1487">
        <v>0</v>
      </c>
      <c r="I85" s="1487">
        <v>0</v>
      </c>
      <c r="J85" s="1487">
        <v>0</v>
      </c>
      <c r="K85" s="1487">
        <v>1849.65</v>
      </c>
      <c r="L85" s="1487">
        <v>1130.55</v>
      </c>
      <c r="M85" s="1487">
        <v>0</v>
      </c>
      <c r="N85" s="1487"/>
      <c r="O85" s="1487"/>
      <c r="P85" s="1487"/>
      <c r="Q85" s="1487"/>
      <c r="R85" s="1487"/>
      <c r="S85" s="1487"/>
      <c r="T85" s="1487"/>
      <c r="V85" s="1489"/>
      <c r="Z85" s="395"/>
      <c r="AA85" s="395"/>
      <c r="AB85" s="395"/>
    </row>
    <row r="86" spans="1:28">
      <c r="A86" s="1997" t="s">
        <v>1827</v>
      </c>
      <c r="B86" s="583"/>
      <c r="C86" s="397" t="s">
        <v>1045</v>
      </c>
      <c r="D86" s="397"/>
      <c r="E86" s="397"/>
      <c r="F86" s="1998"/>
      <c r="G86" s="1487">
        <v>0</v>
      </c>
      <c r="H86" s="1487">
        <v>0</v>
      </c>
      <c r="I86" s="1487">
        <v>0</v>
      </c>
      <c r="J86" s="1487">
        <v>0</v>
      </c>
      <c r="K86" s="1487">
        <v>0</v>
      </c>
      <c r="L86" s="1487">
        <v>0</v>
      </c>
      <c r="M86" s="1487">
        <v>0</v>
      </c>
      <c r="N86" s="1487"/>
      <c r="O86" s="1487"/>
      <c r="P86" s="1487"/>
      <c r="Q86" s="1487"/>
      <c r="R86" s="1487"/>
      <c r="S86" s="1487"/>
      <c r="T86" s="1487"/>
      <c r="V86" s="1489"/>
      <c r="Z86" s="395"/>
      <c r="AA86" s="395"/>
      <c r="AB86" s="395"/>
    </row>
    <row r="87" spans="1:28">
      <c r="A87" s="1997" t="s">
        <v>1828</v>
      </c>
      <c r="B87" s="583"/>
      <c r="C87" s="397" t="s">
        <v>1045</v>
      </c>
      <c r="D87" s="397"/>
      <c r="E87" s="397"/>
      <c r="F87" s="1998"/>
      <c r="G87" s="1487">
        <v>0</v>
      </c>
      <c r="H87" s="1487">
        <v>0</v>
      </c>
      <c r="I87" s="1487">
        <v>40.82</v>
      </c>
      <c r="J87" s="1487">
        <v>98.99</v>
      </c>
      <c r="K87" s="1487">
        <v>62.61</v>
      </c>
      <c r="L87" s="1487">
        <v>7.8</v>
      </c>
      <c r="M87" s="1487">
        <v>86.1</v>
      </c>
      <c r="N87" s="1487"/>
      <c r="O87" s="1487"/>
      <c r="P87" s="1487"/>
      <c r="Q87" s="1487"/>
      <c r="R87" s="1487"/>
      <c r="S87" s="1487"/>
      <c r="T87" s="1487"/>
      <c r="V87" s="1489"/>
      <c r="Z87" s="395"/>
      <c r="AA87" s="395"/>
      <c r="AB87" s="395"/>
    </row>
    <row r="88" spans="1:28">
      <c r="A88" s="1997" t="s">
        <v>1829</v>
      </c>
      <c r="B88" s="583"/>
      <c r="C88" s="397" t="s">
        <v>1067</v>
      </c>
      <c r="D88" s="397"/>
      <c r="E88" s="397"/>
      <c r="F88" s="1998"/>
      <c r="G88" s="1487">
        <v>1284</v>
      </c>
      <c r="H88" s="1487">
        <v>1329</v>
      </c>
      <c r="I88" s="1487">
        <v>1387.31</v>
      </c>
      <c r="J88" s="1487">
        <v>1174.8800000000001</v>
      </c>
      <c r="K88" s="1487">
        <v>1397.73</v>
      </c>
      <c r="L88" s="1487">
        <v>1164.8499999999999</v>
      </c>
      <c r="M88" s="1487">
        <v>1026.1199999999999</v>
      </c>
      <c r="N88" s="1487"/>
      <c r="O88" s="1487"/>
      <c r="P88" s="1487"/>
      <c r="Q88" s="1487"/>
      <c r="R88" s="1487"/>
      <c r="S88" s="1487"/>
      <c r="T88" s="1487"/>
      <c r="V88" s="1489"/>
      <c r="Z88" s="395"/>
      <c r="AA88" s="395"/>
      <c r="AB88" s="395"/>
    </row>
    <row r="89" spans="1:28">
      <c r="A89" s="1997" t="s">
        <v>1830</v>
      </c>
      <c r="B89" s="583"/>
      <c r="C89" s="397" t="s">
        <v>1069</v>
      </c>
      <c r="D89" s="397"/>
      <c r="E89" s="397"/>
      <c r="F89" s="1998"/>
      <c r="G89" s="1487">
        <v>82.75</v>
      </c>
      <c r="H89" s="1487">
        <v>84.38</v>
      </c>
      <c r="I89" s="1487">
        <v>82.38</v>
      </c>
      <c r="J89" s="1487">
        <v>75.819999999999993</v>
      </c>
      <c r="K89" s="1487">
        <v>61.23</v>
      </c>
      <c r="L89" s="1487">
        <v>69.33</v>
      </c>
      <c r="M89" s="1487">
        <v>57.68</v>
      </c>
      <c r="N89" s="1487"/>
      <c r="O89" s="1487"/>
      <c r="P89" s="1487"/>
      <c r="Q89" s="1487"/>
      <c r="R89" s="1487"/>
      <c r="S89" s="1487"/>
      <c r="T89" s="1487"/>
      <c r="V89" s="1489"/>
      <c r="Z89" s="395"/>
      <c r="AA89" s="395"/>
      <c r="AB89" s="395"/>
    </row>
    <row r="90" spans="1:28">
      <c r="A90" s="2046"/>
      <c r="B90" s="2064"/>
      <c r="C90" s="2047" t="s">
        <v>1083</v>
      </c>
      <c r="D90" s="2047"/>
      <c r="E90" s="2047"/>
      <c r="F90" s="2047"/>
      <c r="G90" s="2005">
        <f t="shared" ref="G90:M90" si="14">SUM(G53:G89)</f>
        <v>701936.8899999999</v>
      </c>
      <c r="H90" s="2005">
        <f t="shared" si="14"/>
        <v>761789.10000000009</v>
      </c>
      <c r="I90" s="2005">
        <f t="shared" si="14"/>
        <v>811439.55999999994</v>
      </c>
      <c r="J90" s="2005">
        <f t="shared" si="14"/>
        <v>819668.60999999975</v>
      </c>
      <c r="K90" s="2005">
        <f t="shared" si="14"/>
        <v>811861.09000000008</v>
      </c>
      <c r="L90" s="2005">
        <f t="shared" si="14"/>
        <v>833200.31000000017</v>
      </c>
      <c r="M90" s="2005">
        <f t="shared" si="14"/>
        <v>746757.75999999989</v>
      </c>
      <c r="N90" s="2005">
        <f t="shared" ref="N90:V90" si="15">SUM(N28:N89)</f>
        <v>902577.56</v>
      </c>
      <c r="O90" s="2005">
        <f t="shared" si="15"/>
        <v>924668.24</v>
      </c>
      <c r="P90" s="2005">
        <f t="shared" si="15"/>
        <v>926442.37000000011</v>
      </c>
      <c r="Q90" s="2005">
        <f t="shared" si="15"/>
        <v>944764.79000000015</v>
      </c>
      <c r="R90" s="2005">
        <f t="shared" si="15"/>
        <v>990412.59999999986</v>
      </c>
      <c r="S90" s="2005">
        <f t="shared" si="15"/>
        <v>1046715.8899999999</v>
      </c>
      <c r="T90" s="2005">
        <f t="shared" si="15"/>
        <v>0</v>
      </c>
      <c r="U90" s="2005">
        <f t="shared" si="15"/>
        <v>0</v>
      </c>
      <c r="V90" s="3150">
        <f t="shared" si="15"/>
        <v>0</v>
      </c>
      <c r="Z90" s="395"/>
      <c r="AA90" s="395"/>
      <c r="AB90" s="395"/>
    </row>
    <row r="91" spans="1:28">
      <c r="A91" s="2048" t="s">
        <v>990</v>
      </c>
      <c r="B91" s="1999"/>
      <c r="C91" s="397"/>
      <c r="D91" s="397"/>
      <c r="E91" s="397"/>
      <c r="F91" s="397"/>
      <c r="G91" s="1487"/>
      <c r="H91" s="1487"/>
      <c r="I91" s="1487"/>
      <c r="J91" s="1487"/>
      <c r="K91" s="1487"/>
      <c r="L91" s="1487"/>
      <c r="M91" s="1487"/>
      <c r="N91" s="397"/>
      <c r="O91" s="397"/>
      <c r="P91" s="397"/>
      <c r="Q91" s="1487"/>
      <c r="R91" s="1487"/>
      <c r="S91" s="1487"/>
      <c r="T91" s="1487"/>
      <c r="V91" s="1489"/>
      <c r="Z91" s="395"/>
      <c r="AA91" s="395"/>
      <c r="AB91" s="395"/>
    </row>
    <row r="92" spans="1:28">
      <c r="A92" s="1997" t="s">
        <v>1831</v>
      </c>
      <c r="B92" s="583">
        <v>610300</v>
      </c>
      <c r="C92" s="397" t="s">
        <v>7394</v>
      </c>
      <c r="D92" s="397"/>
      <c r="E92" s="397"/>
      <c r="F92" s="397"/>
      <c r="G92" s="1487"/>
      <c r="H92" s="1487"/>
      <c r="I92" s="1487"/>
      <c r="J92" s="1487"/>
      <c r="K92" s="1487"/>
      <c r="L92" s="1487"/>
      <c r="M92" s="1487"/>
      <c r="N92" s="1487">
        <v>750.13</v>
      </c>
      <c r="O92" s="1487">
        <v>2403.9699999999998</v>
      </c>
      <c r="P92" s="1487">
        <v>3292.72</v>
      </c>
      <c r="Q92" s="1487">
        <v>4580.84</v>
      </c>
      <c r="R92" s="1487">
        <v>2529.71</v>
      </c>
      <c r="S92" s="1487">
        <v>1225.9100000000001</v>
      </c>
      <c r="T92" s="1487">
        <v>3809.73</v>
      </c>
      <c r="U92" s="1965">
        <v>3063.96</v>
      </c>
      <c r="V92" s="1489"/>
      <c r="Z92" s="395"/>
      <c r="AA92" s="395"/>
      <c r="AB92" s="395"/>
    </row>
    <row r="93" spans="1:28">
      <c r="A93" s="1997" t="s">
        <v>1833</v>
      </c>
      <c r="B93" s="583">
        <v>610310</v>
      </c>
      <c r="C93" s="397" t="s">
        <v>1834</v>
      </c>
      <c r="D93" s="397"/>
      <c r="E93" s="397"/>
      <c r="F93" s="397"/>
      <c r="G93" s="1487"/>
      <c r="H93" s="1487"/>
      <c r="I93" s="1487"/>
      <c r="J93" s="1487"/>
      <c r="K93" s="1487"/>
      <c r="L93" s="1487"/>
      <c r="M93" s="1487"/>
      <c r="N93" s="1487">
        <v>26664.39</v>
      </c>
      <c r="O93" s="1487">
        <v>24534.68</v>
      </c>
      <c r="P93" s="1487">
        <v>29547.03</v>
      </c>
      <c r="Q93" s="1487">
        <v>24700.82</v>
      </c>
      <c r="R93" s="1487">
        <v>21014.03</v>
      </c>
      <c r="S93" s="1487">
        <v>19335</v>
      </c>
      <c r="T93" s="1487">
        <v>221965.14</v>
      </c>
      <c r="U93" s="1965">
        <v>101464.4</v>
      </c>
      <c r="V93" s="1489"/>
      <c r="Z93" s="395"/>
      <c r="AA93" s="395"/>
      <c r="AB93" s="395"/>
    </row>
    <row r="94" spans="1:28">
      <c r="A94" s="1997" t="s">
        <v>1835</v>
      </c>
      <c r="B94" s="583"/>
      <c r="C94" s="397" t="s">
        <v>1836</v>
      </c>
      <c r="D94" s="397"/>
      <c r="E94" s="397"/>
      <c r="F94" s="397"/>
      <c r="G94" s="1487"/>
      <c r="H94" s="1487"/>
      <c r="I94" s="1487"/>
      <c r="J94" s="1487"/>
      <c r="K94" s="1487"/>
      <c r="L94" s="1487"/>
      <c r="M94" s="1487"/>
      <c r="N94" s="1487">
        <v>1793.45</v>
      </c>
      <c r="O94" s="1487">
        <v>5143.1000000000004</v>
      </c>
      <c r="P94" s="1487">
        <v>4970.63</v>
      </c>
      <c r="Q94" s="1487">
        <v>9061.9500000000007</v>
      </c>
      <c r="R94" s="1487">
        <v>2507.84</v>
      </c>
      <c r="S94" s="1487">
        <v>7937.82</v>
      </c>
      <c r="T94" s="1487"/>
      <c r="V94" s="1489"/>
      <c r="Z94" s="395"/>
      <c r="AA94" s="395"/>
      <c r="AB94" s="395"/>
    </row>
    <row r="95" spans="1:28">
      <c r="A95" s="1997" t="s">
        <v>1837</v>
      </c>
      <c r="B95" s="583">
        <v>611000</v>
      </c>
      <c r="C95" s="397" t="s">
        <v>1322</v>
      </c>
      <c r="D95" s="397"/>
      <c r="E95" s="397"/>
      <c r="F95" s="397"/>
      <c r="G95" s="1487"/>
      <c r="H95" s="1487"/>
      <c r="I95" s="1487"/>
      <c r="J95" s="1487"/>
      <c r="K95" s="1487"/>
      <c r="L95" s="1487"/>
      <c r="M95" s="1487"/>
      <c r="N95" s="1487">
        <v>1706.27</v>
      </c>
      <c r="O95" s="1487">
        <v>2883.27</v>
      </c>
      <c r="P95" s="1487">
        <v>2019.18</v>
      </c>
      <c r="Q95" s="1487">
        <v>2225.89</v>
      </c>
      <c r="R95" s="1487">
        <v>2948.94</v>
      </c>
      <c r="S95" s="1487">
        <v>2408.75</v>
      </c>
      <c r="T95" s="1487">
        <v>3271.31</v>
      </c>
      <c r="U95" s="1965">
        <v>3611.14</v>
      </c>
      <c r="V95" s="1489"/>
      <c r="Z95" s="395"/>
      <c r="AA95" s="395"/>
      <c r="AB95" s="395"/>
    </row>
    <row r="96" spans="1:28">
      <c r="A96" s="1997" t="s">
        <v>1838</v>
      </c>
      <c r="B96" s="583">
        <v>611300</v>
      </c>
      <c r="C96" s="397" t="s">
        <v>1375</v>
      </c>
      <c r="D96" s="397"/>
      <c r="E96" s="397"/>
      <c r="F96" s="397"/>
      <c r="G96" s="1487"/>
      <c r="H96" s="1487"/>
      <c r="I96" s="1487"/>
      <c r="J96" s="1487"/>
      <c r="K96" s="1487"/>
      <c r="L96" s="1487"/>
      <c r="M96" s="1487"/>
      <c r="N96" s="1487">
        <v>826.56</v>
      </c>
      <c r="O96" s="1487">
        <v>3255.71</v>
      </c>
      <c r="P96" s="1487">
        <v>1158.24</v>
      </c>
      <c r="Q96" s="1487">
        <v>1854.86</v>
      </c>
      <c r="R96" s="1487">
        <v>1704.22</v>
      </c>
      <c r="S96" s="1487">
        <v>1113.6300000000001</v>
      </c>
      <c r="T96" s="1487">
        <v>1570.84</v>
      </c>
      <c r="U96" s="1965">
        <v>9451.49</v>
      </c>
      <c r="V96" s="1489"/>
      <c r="Z96" s="395"/>
      <c r="AA96" s="395"/>
      <c r="AB96" s="395"/>
    </row>
    <row r="97" spans="1:28">
      <c r="A97" s="1997" t="s">
        <v>1839</v>
      </c>
      <c r="B97" s="583">
        <v>612000</v>
      </c>
      <c r="C97" s="397" t="s">
        <v>1678</v>
      </c>
      <c r="D97" s="397"/>
      <c r="E97" s="397"/>
      <c r="F97" s="397"/>
      <c r="G97" s="1487"/>
      <c r="H97" s="1487"/>
      <c r="I97" s="1487"/>
      <c r="J97" s="1487"/>
      <c r="K97" s="1487"/>
      <c r="L97" s="1487"/>
      <c r="M97" s="1487"/>
      <c r="N97" s="1487">
        <v>167.48</v>
      </c>
      <c r="O97" s="1487">
        <v>168.84</v>
      </c>
      <c r="P97" s="1487">
        <v>168.22</v>
      </c>
      <c r="Q97" s="1487">
        <v>137.63</v>
      </c>
      <c r="R97" s="1487">
        <v>140.51</v>
      </c>
      <c r="S97" s="1487">
        <v>117.34</v>
      </c>
      <c r="T97" s="1487">
        <v>126.28</v>
      </c>
      <c r="U97" s="1965">
        <v>130.07</v>
      </c>
      <c r="V97" s="1489"/>
      <c r="Z97" s="395"/>
      <c r="AA97" s="395"/>
      <c r="AB97" s="395"/>
    </row>
    <row r="98" spans="1:28">
      <c r="A98" s="1997" t="s">
        <v>1840</v>
      </c>
      <c r="B98" s="583">
        <v>612200</v>
      </c>
      <c r="C98" s="397" t="s">
        <v>1328</v>
      </c>
      <c r="D98" s="397"/>
      <c r="E98" s="397"/>
      <c r="F98" s="397"/>
      <c r="G98" s="1487"/>
      <c r="H98" s="1487"/>
      <c r="I98" s="1487"/>
      <c r="J98" s="1487"/>
      <c r="K98" s="1487"/>
      <c r="L98" s="1487"/>
      <c r="M98" s="1487"/>
      <c r="N98" s="1487">
        <v>5162.46</v>
      </c>
      <c r="O98" s="1487">
        <v>5449.53</v>
      </c>
      <c r="P98" s="1487">
        <v>4599.41</v>
      </c>
      <c r="Q98" s="1487">
        <v>5587.97</v>
      </c>
      <c r="R98" s="1487">
        <v>7773.84</v>
      </c>
      <c r="S98" s="1487">
        <v>7175.63</v>
      </c>
      <c r="T98" s="1487">
        <v>3502.53</v>
      </c>
      <c r="U98" s="1965">
        <v>4309.34</v>
      </c>
      <c r="V98" s="1489"/>
      <c r="Z98" s="395"/>
      <c r="AA98" s="395"/>
      <c r="AB98" s="395"/>
    </row>
    <row r="99" spans="1:28">
      <c r="A99" s="1997" t="s">
        <v>1841</v>
      </c>
      <c r="B99" s="583">
        <v>615000</v>
      </c>
      <c r="C99" s="397" t="s">
        <v>1096</v>
      </c>
      <c r="D99" s="397"/>
      <c r="E99" s="397"/>
      <c r="F99" s="397"/>
      <c r="G99" s="1487"/>
      <c r="H99" s="1487"/>
      <c r="I99" s="1487"/>
      <c r="J99" s="1487"/>
      <c r="K99" s="1487"/>
      <c r="L99" s="1487"/>
      <c r="M99" s="1487"/>
      <c r="N99" s="1487">
        <v>464.22</v>
      </c>
      <c r="O99" s="1487">
        <v>535.49</v>
      </c>
      <c r="P99" s="1487">
        <v>174.65</v>
      </c>
      <c r="Q99" s="1487">
        <v>36.46</v>
      </c>
      <c r="R99" s="1487">
        <v>99.89</v>
      </c>
      <c r="S99" s="1487">
        <v>107.88</v>
      </c>
      <c r="T99" s="1487"/>
      <c r="U99" s="1965">
        <v>33.28</v>
      </c>
      <c r="V99" s="1489"/>
      <c r="Z99" s="395"/>
      <c r="AA99" s="395"/>
      <c r="AB99" s="395"/>
    </row>
    <row r="100" spans="1:28">
      <c r="A100" s="1997" t="s">
        <v>1842</v>
      </c>
      <c r="B100" s="583">
        <v>615310</v>
      </c>
      <c r="C100" s="397" t="s">
        <v>1098</v>
      </c>
      <c r="D100" s="397"/>
      <c r="E100" s="397"/>
      <c r="F100" s="397"/>
      <c r="G100" s="1487"/>
      <c r="H100" s="1487"/>
      <c r="I100" s="1487"/>
      <c r="J100" s="1487"/>
      <c r="K100" s="1487"/>
      <c r="L100" s="1487"/>
      <c r="M100" s="1487"/>
      <c r="N100" s="1487">
        <v>675.75</v>
      </c>
      <c r="O100" s="1487">
        <v>426.37</v>
      </c>
      <c r="P100" s="1487">
        <v>352.39</v>
      </c>
      <c r="Q100" s="1487">
        <v>257.5</v>
      </c>
      <c r="R100" s="1487">
        <v>269</v>
      </c>
      <c r="S100" s="1487">
        <v>582.91999999999996</v>
      </c>
      <c r="T100" s="1487"/>
      <c r="U100" s="1965">
        <v>322.77</v>
      </c>
      <c r="V100" s="1489"/>
      <c r="Z100" s="395"/>
      <c r="AA100" s="395"/>
      <c r="AB100" s="395"/>
    </row>
    <row r="101" spans="1:28">
      <c r="A101" s="1997" t="s">
        <v>1843</v>
      </c>
      <c r="B101" s="583">
        <v>615100</v>
      </c>
      <c r="C101" s="397" t="s">
        <v>1335</v>
      </c>
      <c r="D101" s="397"/>
      <c r="E101" s="397"/>
      <c r="F101" s="397"/>
      <c r="G101" s="1487"/>
      <c r="H101" s="1487"/>
      <c r="I101" s="1487"/>
      <c r="J101" s="1487"/>
      <c r="K101" s="1487"/>
      <c r="L101" s="1487"/>
      <c r="M101" s="1487"/>
      <c r="N101" s="1487">
        <v>577.59</v>
      </c>
      <c r="O101" s="1487">
        <v>744.68</v>
      </c>
      <c r="P101" s="1487">
        <v>546.87</v>
      </c>
      <c r="Q101" s="1487">
        <v>364.46</v>
      </c>
      <c r="R101" s="1487">
        <v>421.4</v>
      </c>
      <c r="S101" s="1487">
        <v>418.22</v>
      </c>
      <c r="T101" s="1487">
        <v>454.49</v>
      </c>
      <c r="U101" s="1965">
        <v>978.84</v>
      </c>
      <c r="V101" s="1489"/>
      <c r="Z101" s="395"/>
      <c r="AA101" s="395"/>
      <c r="AB101" s="395"/>
    </row>
    <row r="102" spans="1:28">
      <c r="A102" s="1997" t="s">
        <v>1844</v>
      </c>
      <c r="B102" s="583">
        <v>602000</v>
      </c>
      <c r="C102" s="397" t="s">
        <v>1087</v>
      </c>
      <c r="D102" s="397"/>
      <c r="E102" s="397"/>
      <c r="F102" s="397"/>
      <c r="G102" s="1487"/>
      <c r="H102" s="1487"/>
      <c r="I102" s="1487"/>
      <c r="J102" s="1487"/>
      <c r="K102" s="1487"/>
      <c r="L102" s="1487"/>
      <c r="M102" s="1487"/>
      <c r="N102" s="1487">
        <v>17097.53</v>
      </c>
      <c r="O102" s="1487">
        <v>14739.83</v>
      </c>
      <c r="P102" s="1487">
        <v>20465.990000000002</v>
      </c>
      <c r="Q102" s="1487">
        <v>14025.75</v>
      </c>
      <c r="R102" s="1487">
        <v>25451.040000000001</v>
      </c>
      <c r="S102" s="1487">
        <v>26563.11</v>
      </c>
      <c r="T102" s="1487">
        <v>27002.26</v>
      </c>
      <c r="U102" s="1965">
        <v>19550.5</v>
      </c>
      <c r="V102" s="1489"/>
      <c r="Z102" s="395"/>
      <c r="AA102" s="395"/>
      <c r="AB102" s="395"/>
    </row>
    <row r="103" spans="1:28">
      <c r="A103" s="1997" t="s">
        <v>1845</v>
      </c>
      <c r="B103" s="583">
        <v>615300</v>
      </c>
      <c r="C103" s="397" t="s">
        <v>1113</v>
      </c>
      <c r="D103" s="397"/>
      <c r="E103" s="397"/>
      <c r="F103" s="397"/>
      <c r="G103" s="1487"/>
      <c r="H103" s="1487"/>
      <c r="I103" s="1487"/>
      <c r="J103" s="1487"/>
      <c r="K103" s="1487"/>
      <c r="L103" s="1487"/>
      <c r="M103" s="1487"/>
      <c r="N103" s="1487">
        <v>833</v>
      </c>
      <c r="O103" s="1487">
        <v>833</v>
      </c>
      <c r="P103" s="1487">
        <v>841</v>
      </c>
      <c r="Q103" s="1487">
        <v>860</v>
      </c>
      <c r="R103" s="1487">
        <v>876</v>
      </c>
      <c r="S103" s="1487">
        <v>892</v>
      </c>
      <c r="T103" s="1487">
        <v>910</v>
      </c>
      <c r="U103" s="1965">
        <v>915</v>
      </c>
      <c r="V103" s="1489"/>
      <c r="Z103" s="395"/>
      <c r="AA103" s="395"/>
      <c r="AB103" s="395"/>
    </row>
    <row r="104" spans="1:28">
      <c r="A104" s="1997" t="s">
        <v>1846</v>
      </c>
      <c r="B104" s="583"/>
      <c r="C104" s="397" t="s">
        <v>1847</v>
      </c>
      <c r="D104" s="397"/>
      <c r="E104" s="397"/>
      <c r="F104" s="397"/>
      <c r="G104" s="1487"/>
      <c r="H104" s="1487"/>
      <c r="I104" s="1487"/>
      <c r="J104" s="1487"/>
      <c r="K104" s="1487"/>
      <c r="L104" s="1487"/>
      <c r="M104" s="1487"/>
      <c r="N104" s="1487">
        <v>1268.8399999999999</v>
      </c>
      <c r="O104" s="1487">
        <v>904.15</v>
      </c>
      <c r="P104" s="1487">
        <v>1614.85</v>
      </c>
      <c r="Q104" s="1487">
        <v>5122.63</v>
      </c>
      <c r="R104" s="1487">
        <v>1569.9</v>
      </c>
      <c r="S104" s="1487">
        <v>1465.01</v>
      </c>
      <c r="T104" s="1487"/>
      <c r="V104" s="1489"/>
      <c r="Z104" s="395"/>
      <c r="AA104" s="395"/>
      <c r="AB104" s="395"/>
    </row>
    <row r="105" spans="1:28">
      <c r="A105" s="1997" t="s">
        <v>1848</v>
      </c>
      <c r="B105" s="583"/>
      <c r="C105" s="397" t="s">
        <v>1849</v>
      </c>
      <c r="D105" s="397"/>
      <c r="E105" s="397"/>
      <c r="F105" s="397"/>
      <c r="G105" s="1487"/>
      <c r="H105" s="1487"/>
      <c r="I105" s="1487"/>
      <c r="J105" s="1487"/>
      <c r="K105" s="1487"/>
      <c r="L105" s="1487"/>
      <c r="M105" s="1487"/>
      <c r="N105" s="1487">
        <v>6775.67</v>
      </c>
      <c r="O105" s="1487">
        <v>9126.27</v>
      </c>
      <c r="P105" s="1487">
        <v>11375.29</v>
      </c>
      <c r="Q105" s="1487">
        <v>8708.7199999999993</v>
      </c>
      <c r="R105" s="1487">
        <v>7032.35</v>
      </c>
      <c r="S105" s="1487">
        <v>13156.06</v>
      </c>
      <c r="T105" s="1487"/>
      <c r="V105" s="1489"/>
      <c r="Z105" s="395"/>
      <c r="AA105" s="395"/>
      <c r="AB105" s="395"/>
    </row>
    <row r="106" spans="1:28">
      <c r="A106" s="1997" t="s">
        <v>1850</v>
      </c>
      <c r="B106" s="583">
        <v>614900</v>
      </c>
      <c r="C106" s="397" t="s">
        <v>7400</v>
      </c>
      <c r="D106" s="397"/>
      <c r="E106" s="397"/>
      <c r="F106" s="397"/>
      <c r="G106" s="1487"/>
      <c r="H106" s="1487"/>
      <c r="I106" s="1487"/>
      <c r="J106" s="1487"/>
      <c r="K106" s="1487"/>
      <c r="L106" s="1487"/>
      <c r="M106" s="1487"/>
      <c r="N106" s="1487">
        <v>374.45</v>
      </c>
      <c r="O106" s="1487">
        <v>352.5</v>
      </c>
      <c r="P106" s="1487">
        <v>395</v>
      </c>
      <c r="Q106" s="1487">
        <v>5275.37</v>
      </c>
      <c r="R106" s="1487">
        <v>270</v>
      </c>
      <c r="S106" s="1487">
        <v>307.5</v>
      </c>
      <c r="T106" s="1487">
        <v>387.2</v>
      </c>
      <c r="U106" s="1965">
        <v>325.49</v>
      </c>
      <c r="V106" s="1489"/>
      <c r="Z106" s="395"/>
      <c r="AA106" s="395"/>
      <c r="AB106" s="395"/>
    </row>
    <row r="107" spans="1:28">
      <c r="A107" s="1997" t="s">
        <v>1851</v>
      </c>
      <c r="B107" s="583"/>
      <c r="C107" s="397" t="s">
        <v>1852</v>
      </c>
      <c r="D107" s="397"/>
      <c r="E107" s="397"/>
      <c r="F107" s="397"/>
      <c r="G107" s="1487"/>
      <c r="H107" s="1487"/>
      <c r="I107" s="1487"/>
      <c r="J107" s="1487"/>
      <c r="K107" s="1487"/>
      <c r="L107" s="1487"/>
      <c r="M107" s="1487"/>
      <c r="N107" s="1487"/>
      <c r="O107" s="1487"/>
      <c r="P107" s="1487"/>
      <c r="Q107" s="1487"/>
      <c r="R107" s="1487">
        <v>7300.67</v>
      </c>
      <c r="S107" s="1487">
        <v>6666.47</v>
      </c>
      <c r="T107" s="1487"/>
      <c r="V107" s="1489"/>
      <c r="Z107" s="395"/>
      <c r="AA107" s="395"/>
      <c r="AB107" s="395"/>
    </row>
    <row r="108" spans="1:28">
      <c r="A108" s="1997"/>
      <c r="B108" s="583">
        <v>613000</v>
      </c>
      <c r="C108" s="397" t="s">
        <v>7395</v>
      </c>
      <c r="D108" s="397"/>
      <c r="E108" s="397"/>
      <c r="F108" s="397"/>
      <c r="G108" s="1487"/>
      <c r="H108" s="1487"/>
      <c r="I108" s="1487"/>
      <c r="J108" s="1487"/>
      <c r="K108" s="1487"/>
      <c r="L108" s="1487"/>
      <c r="M108" s="1487"/>
      <c r="N108" s="1487"/>
      <c r="O108" s="1487"/>
      <c r="P108" s="1487"/>
      <c r="Q108" s="1487"/>
      <c r="R108" s="1487"/>
      <c r="S108" s="1487"/>
      <c r="T108" s="1487">
        <v>13915.5</v>
      </c>
      <c r="U108" s="1965">
        <v>9296.36</v>
      </c>
      <c r="V108" s="1489"/>
      <c r="Z108" s="395"/>
      <c r="AA108" s="395"/>
      <c r="AB108" s="395"/>
    </row>
    <row r="109" spans="1:28">
      <c r="A109" s="1997" t="s">
        <v>1853</v>
      </c>
      <c r="B109" s="583">
        <v>613010</v>
      </c>
      <c r="C109" s="397" t="s">
        <v>1355</v>
      </c>
      <c r="D109" s="397"/>
      <c r="E109" s="397"/>
      <c r="F109" s="397"/>
      <c r="G109" s="1487"/>
      <c r="H109" s="1487"/>
      <c r="I109" s="1487"/>
      <c r="J109" s="1487"/>
      <c r="K109" s="1487"/>
      <c r="L109" s="1487"/>
      <c r="M109" s="1487"/>
      <c r="N109" s="1487">
        <v>28930.51</v>
      </c>
      <c r="O109" s="1487">
        <v>26096.799999999999</v>
      </c>
      <c r="P109" s="1487">
        <v>26245.03</v>
      </c>
      <c r="Q109" s="1487">
        <v>22719.29</v>
      </c>
      <c r="R109" s="1487">
        <v>11549.44</v>
      </c>
      <c r="S109" s="1487">
        <v>28515.07</v>
      </c>
      <c r="T109" s="1487">
        <v>13490.81</v>
      </c>
      <c r="U109" s="1965">
        <v>22133.78</v>
      </c>
      <c r="V109" s="1489"/>
      <c r="Z109" s="395"/>
      <c r="AA109" s="395"/>
      <c r="AB109" s="395"/>
    </row>
    <row r="110" spans="1:28">
      <c r="A110" s="1997" t="s">
        <v>1854</v>
      </c>
      <c r="B110" s="583"/>
      <c r="C110" s="397" t="s">
        <v>1855</v>
      </c>
      <c r="D110" s="397"/>
      <c r="E110" s="397"/>
      <c r="F110" s="397"/>
      <c r="G110" s="1487"/>
      <c r="H110" s="1487"/>
      <c r="I110" s="1487"/>
      <c r="J110" s="1487"/>
      <c r="K110" s="1487"/>
      <c r="L110" s="1487"/>
      <c r="M110" s="1487"/>
      <c r="N110" s="1487">
        <v>2178.6799999999998</v>
      </c>
      <c r="O110" s="1487">
        <v>1832.24</v>
      </c>
      <c r="P110" s="1487">
        <v>2526.8000000000002</v>
      </c>
      <c r="Q110" s="1487">
        <v>1700.16</v>
      </c>
      <c r="R110" s="1487">
        <v>2806.97</v>
      </c>
      <c r="S110" s="1487">
        <v>3107.87</v>
      </c>
      <c r="T110" s="1487"/>
      <c r="V110" s="1489"/>
      <c r="Z110" s="395"/>
      <c r="AA110" s="395"/>
      <c r="AB110" s="395"/>
    </row>
    <row r="111" spans="1:28">
      <c r="A111" s="1997" t="s">
        <v>1856</v>
      </c>
      <c r="B111" s="583"/>
      <c r="C111" s="397" t="s">
        <v>1857</v>
      </c>
      <c r="D111" s="397"/>
      <c r="E111" s="397"/>
      <c r="F111" s="397"/>
      <c r="G111" s="1487"/>
      <c r="H111" s="1487"/>
      <c r="I111" s="1487"/>
      <c r="J111" s="1487"/>
      <c r="K111" s="1487"/>
      <c r="L111" s="1487"/>
      <c r="M111" s="1487"/>
      <c r="N111" s="1487">
        <v>392.9</v>
      </c>
      <c r="O111" s="1487">
        <v>484.4</v>
      </c>
      <c r="P111" s="1487">
        <v>435.4</v>
      </c>
      <c r="Q111" s="1487">
        <v>509.5</v>
      </c>
      <c r="R111" s="1487">
        <v>511.42</v>
      </c>
      <c r="S111" s="1487">
        <v>774.99</v>
      </c>
      <c r="T111" s="1487"/>
      <c r="V111" s="1489"/>
      <c r="Z111" s="395"/>
      <c r="AA111" s="395"/>
      <c r="AB111" s="395"/>
    </row>
    <row r="112" spans="1:28">
      <c r="A112" s="1997" t="s">
        <v>1858</v>
      </c>
      <c r="B112" s="583">
        <v>611310</v>
      </c>
      <c r="C112" s="397" t="s">
        <v>1859</v>
      </c>
      <c r="D112" s="397"/>
      <c r="E112" s="397"/>
      <c r="F112" s="397"/>
      <c r="G112" s="1487"/>
      <c r="H112" s="1487"/>
      <c r="I112" s="1487"/>
      <c r="J112" s="1487"/>
      <c r="K112" s="1487"/>
      <c r="L112" s="1487"/>
      <c r="M112" s="1487"/>
      <c r="N112" s="1487">
        <v>26124.33</v>
      </c>
      <c r="O112" s="1487">
        <v>20700.61</v>
      </c>
      <c r="P112" s="1487">
        <v>19404.09</v>
      </c>
      <c r="Q112" s="1487">
        <v>23587.360000000001</v>
      </c>
      <c r="R112" s="1487">
        <v>30434.080000000002</v>
      </c>
      <c r="S112" s="1487">
        <v>29758.93</v>
      </c>
      <c r="T112" s="1487">
        <v>28438.12</v>
      </c>
      <c r="U112" s="1965">
        <v>32281.06</v>
      </c>
      <c r="V112" s="1489"/>
      <c r="Z112" s="395"/>
      <c r="AA112" s="395"/>
      <c r="AB112" s="395"/>
    </row>
    <row r="113" spans="1:28">
      <c r="A113" s="1997" t="s">
        <v>1860</v>
      </c>
      <c r="B113" s="583">
        <v>613200</v>
      </c>
      <c r="C113" s="397" t="s">
        <v>7396</v>
      </c>
      <c r="D113" s="397"/>
      <c r="E113" s="397"/>
      <c r="F113" s="397"/>
      <c r="G113" s="1487"/>
      <c r="H113" s="1487"/>
      <c r="I113" s="1487"/>
      <c r="J113" s="1487"/>
      <c r="K113" s="1487"/>
      <c r="L113" s="1487"/>
      <c r="M113" s="1487"/>
      <c r="N113" s="1487"/>
      <c r="O113" s="1487"/>
      <c r="P113" s="1487"/>
      <c r="Q113" s="1487"/>
      <c r="R113" s="1487">
        <v>21870.28</v>
      </c>
      <c r="S113" s="1487">
        <v>466.43</v>
      </c>
      <c r="T113" s="1487">
        <v>1388.94</v>
      </c>
      <c r="U113" s="1965">
        <v>779</v>
      </c>
      <c r="V113" s="1489"/>
      <c r="Z113" s="395"/>
      <c r="AA113" s="395"/>
      <c r="AB113" s="395"/>
    </row>
    <row r="114" spans="1:28">
      <c r="A114" s="1997" t="s">
        <v>1861</v>
      </c>
      <c r="B114" s="583">
        <v>613210</v>
      </c>
      <c r="C114" s="1487" t="s">
        <v>1862</v>
      </c>
      <c r="D114" s="1487"/>
      <c r="E114" s="1487"/>
      <c r="F114" s="1487"/>
      <c r="G114" s="1487"/>
      <c r="H114" s="1487"/>
      <c r="I114" s="1487"/>
      <c r="J114" s="1487"/>
      <c r="K114" s="1487"/>
      <c r="L114" s="1487"/>
      <c r="M114" s="1487"/>
      <c r="N114" s="1487">
        <v>16308.96</v>
      </c>
      <c r="O114" s="1487">
        <v>9881.8700000000008</v>
      </c>
      <c r="P114" s="1487">
        <v>8855.9599999999991</v>
      </c>
      <c r="Q114" s="1487">
        <v>6688.02</v>
      </c>
      <c r="R114" s="1487">
        <v>8438.36</v>
      </c>
      <c r="S114" s="1487">
        <v>12051.22</v>
      </c>
      <c r="T114" s="1487">
        <v>20393.28</v>
      </c>
      <c r="U114" s="1965">
        <v>21564.959999999999</v>
      </c>
      <c r="V114" s="1489"/>
      <c r="Z114" s="395"/>
      <c r="AA114" s="395"/>
      <c r="AB114" s="395"/>
    </row>
    <row r="115" spans="1:28">
      <c r="A115" s="1997" t="s">
        <v>1863</v>
      </c>
      <c r="B115" s="583"/>
      <c r="C115" s="397" t="s">
        <v>1864</v>
      </c>
      <c r="D115" s="397"/>
      <c r="E115" s="397"/>
      <c r="F115" s="397"/>
      <c r="G115" s="1487"/>
      <c r="H115" s="1487"/>
      <c r="I115" s="1487"/>
      <c r="J115" s="1487"/>
      <c r="K115" s="1487"/>
      <c r="L115" s="1487"/>
      <c r="M115" s="1487"/>
      <c r="N115" s="1487">
        <v>111.41</v>
      </c>
      <c r="O115" s="1487">
        <v>9.9700000000000006</v>
      </c>
      <c r="P115" s="1487">
        <v>29.86</v>
      </c>
      <c r="Q115" s="1487"/>
      <c r="R115" s="1487"/>
      <c r="S115" s="1487"/>
      <c r="T115" s="1487"/>
      <c r="V115" s="1489"/>
      <c r="Z115" s="395"/>
      <c r="AA115" s="395"/>
      <c r="AB115" s="395"/>
    </row>
    <row r="116" spans="1:28">
      <c r="A116" s="1997" t="s">
        <v>1865</v>
      </c>
      <c r="B116" s="583"/>
      <c r="C116" s="397" t="s">
        <v>1866</v>
      </c>
      <c r="D116" s="397"/>
      <c r="E116" s="397"/>
      <c r="F116" s="397"/>
      <c r="G116" s="1487"/>
      <c r="H116" s="1487"/>
      <c r="I116" s="1487"/>
      <c r="J116" s="1487"/>
      <c r="K116" s="1487"/>
      <c r="L116" s="1487"/>
      <c r="M116" s="1487"/>
      <c r="N116" s="1487"/>
      <c r="O116" s="1487"/>
      <c r="P116" s="1487"/>
      <c r="Q116" s="1487">
        <v>67.92</v>
      </c>
      <c r="R116" s="1487"/>
      <c r="S116" s="1487">
        <v>120.3</v>
      </c>
      <c r="T116" s="1487"/>
      <c r="V116" s="1489"/>
      <c r="Z116" s="395"/>
      <c r="AA116" s="395"/>
      <c r="AB116" s="395"/>
    </row>
    <row r="117" spans="1:28">
      <c r="A117" s="1997"/>
      <c r="B117" s="583">
        <v>616400</v>
      </c>
      <c r="C117" s="397" t="s">
        <v>7397</v>
      </c>
      <c r="D117" s="397"/>
      <c r="E117" s="397"/>
      <c r="F117" s="397"/>
      <c r="G117" s="1487"/>
      <c r="H117" s="1487"/>
      <c r="I117" s="1487"/>
      <c r="J117" s="1487"/>
      <c r="K117" s="1487"/>
      <c r="L117" s="1487"/>
      <c r="M117" s="1487"/>
      <c r="N117" s="1487"/>
      <c r="O117" s="1487"/>
      <c r="P117" s="1487"/>
      <c r="Q117" s="1487"/>
      <c r="R117" s="1487"/>
      <c r="S117" s="1487"/>
      <c r="T117" s="1487"/>
      <c r="V117" s="1489"/>
      <c r="Z117" s="395"/>
      <c r="AA117" s="395"/>
      <c r="AB117" s="395"/>
    </row>
    <row r="118" spans="1:28">
      <c r="A118" s="1997" t="s">
        <v>1867</v>
      </c>
      <c r="B118" s="583"/>
      <c r="C118" s="397" t="s">
        <v>1328</v>
      </c>
      <c r="D118" s="397"/>
      <c r="E118" s="397"/>
      <c r="F118" s="397"/>
      <c r="G118" s="1487"/>
      <c r="H118" s="1487"/>
      <c r="I118" s="1487"/>
      <c r="J118" s="1487"/>
      <c r="K118" s="1487"/>
      <c r="L118" s="1487"/>
      <c r="M118" s="1487"/>
      <c r="N118" s="1487">
        <v>483.2</v>
      </c>
      <c r="O118" s="1487">
        <v>973.98</v>
      </c>
      <c r="P118" s="1487">
        <v>888.76</v>
      </c>
      <c r="Q118" s="1487">
        <v>632.58000000000004</v>
      </c>
      <c r="R118" s="1487">
        <v>499.78</v>
      </c>
      <c r="S118" s="1487">
        <v>499.78</v>
      </c>
      <c r="T118" s="1487"/>
      <c r="V118" s="1489"/>
      <c r="Z118" s="395"/>
      <c r="AA118" s="395"/>
      <c r="AB118" s="395"/>
    </row>
    <row r="119" spans="1:28">
      <c r="A119" s="1997" t="s">
        <v>1868</v>
      </c>
      <c r="B119" s="583"/>
      <c r="C119" s="397" t="s">
        <v>1087</v>
      </c>
      <c r="D119" s="397"/>
      <c r="E119" s="397"/>
      <c r="F119" s="397"/>
      <c r="G119" s="1487"/>
      <c r="H119" s="1487"/>
      <c r="I119" s="1487"/>
      <c r="J119" s="1487"/>
      <c r="K119" s="1487"/>
      <c r="L119" s="1487"/>
      <c r="M119" s="1487"/>
      <c r="N119" s="1487">
        <v>378.87</v>
      </c>
      <c r="O119" s="1487">
        <v>685.24</v>
      </c>
      <c r="P119" s="1487">
        <v>1379.7</v>
      </c>
      <c r="Q119" s="1487">
        <v>143.99</v>
      </c>
      <c r="R119" s="1487">
        <v>1181.8</v>
      </c>
      <c r="S119" s="1487">
        <v>610.20000000000005</v>
      </c>
      <c r="T119" s="1487"/>
      <c r="V119" s="1489"/>
      <c r="Z119" s="395"/>
      <c r="AA119" s="395"/>
      <c r="AB119" s="395"/>
    </row>
    <row r="120" spans="1:28">
      <c r="A120" s="1997" t="s">
        <v>1869</v>
      </c>
      <c r="B120" s="583"/>
      <c r="C120" s="397" t="s">
        <v>1597</v>
      </c>
      <c r="D120" s="397"/>
      <c r="E120" s="397"/>
      <c r="F120" s="397"/>
      <c r="G120" s="1487"/>
      <c r="H120" s="1487"/>
      <c r="I120" s="1487"/>
      <c r="J120" s="1487"/>
      <c r="K120" s="1487"/>
      <c r="L120" s="1487"/>
      <c r="M120" s="1487"/>
      <c r="N120" s="1487">
        <v>30.25</v>
      </c>
      <c r="O120" s="1487">
        <v>59.29</v>
      </c>
      <c r="P120" s="1487">
        <v>287.98</v>
      </c>
      <c r="Q120" s="1487">
        <v>281.36</v>
      </c>
      <c r="R120" s="1487">
        <v>909.92</v>
      </c>
      <c r="S120" s="1487">
        <v>963.16</v>
      </c>
      <c r="T120" s="1487"/>
      <c r="V120" s="1489"/>
      <c r="Z120" s="395"/>
      <c r="AA120" s="395"/>
      <c r="AB120" s="395"/>
    </row>
    <row r="121" spans="1:28">
      <c r="A121" s="1997" t="s">
        <v>1870</v>
      </c>
      <c r="B121" s="583"/>
      <c r="C121" s="397" t="s">
        <v>1871</v>
      </c>
      <c r="D121" s="397"/>
      <c r="E121" s="397"/>
      <c r="F121" s="397"/>
      <c r="G121" s="1487"/>
      <c r="H121" s="1487"/>
      <c r="I121" s="1487"/>
      <c r="J121" s="1487"/>
      <c r="K121" s="1487"/>
      <c r="L121" s="1487"/>
      <c r="M121" s="1487"/>
      <c r="N121" s="1487">
        <v>142</v>
      </c>
      <c r="O121" s="1487">
        <v>1151.3499999999999</v>
      </c>
      <c r="P121" s="1487">
        <v>0</v>
      </c>
      <c r="Q121" s="1487">
        <v>23.98</v>
      </c>
      <c r="R121" s="1487">
        <v>153.03</v>
      </c>
      <c r="S121" s="1487">
        <v>35.03</v>
      </c>
      <c r="T121" s="1487"/>
      <c r="V121" s="1489"/>
      <c r="Z121" s="395"/>
      <c r="AA121" s="395"/>
      <c r="AB121" s="395"/>
    </row>
    <row r="122" spans="1:28">
      <c r="A122" s="1997" t="s">
        <v>1872</v>
      </c>
      <c r="B122" s="583"/>
      <c r="C122" s="397" t="s">
        <v>1857</v>
      </c>
      <c r="D122" s="397"/>
      <c r="E122" s="397"/>
      <c r="F122" s="397"/>
      <c r="G122" s="1487"/>
      <c r="H122" s="1487"/>
      <c r="I122" s="1487"/>
      <c r="J122" s="1487"/>
      <c r="K122" s="1487"/>
      <c r="L122" s="1487"/>
      <c r="M122" s="1487"/>
      <c r="N122" s="1487">
        <v>28.39</v>
      </c>
      <c r="O122" s="1487">
        <v>106.9</v>
      </c>
      <c r="P122" s="1487">
        <v>0</v>
      </c>
      <c r="Q122" s="1487">
        <v>106.8</v>
      </c>
      <c r="R122" s="1487">
        <v>110.4</v>
      </c>
      <c r="S122" s="1487">
        <v>113.61</v>
      </c>
      <c r="T122" s="1487"/>
      <c r="V122" s="1489"/>
      <c r="Z122" s="395"/>
      <c r="AA122" s="395"/>
      <c r="AB122" s="395"/>
    </row>
    <row r="123" spans="1:28">
      <c r="A123" s="1997" t="s">
        <v>1873</v>
      </c>
      <c r="B123" s="583"/>
      <c r="C123" s="397" t="s">
        <v>1859</v>
      </c>
      <c r="D123" s="397"/>
      <c r="E123" s="397"/>
      <c r="F123" s="397"/>
      <c r="G123" s="1487"/>
      <c r="H123" s="1487"/>
      <c r="I123" s="1487"/>
      <c r="J123" s="1487"/>
      <c r="K123" s="1487"/>
      <c r="L123" s="1487"/>
      <c r="M123" s="1487"/>
      <c r="N123" s="1487">
        <v>2597.98</v>
      </c>
      <c r="O123" s="1487">
        <v>1134.17</v>
      </c>
      <c r="P123" s="1487">
        <v>1200.52</v>
      </c>
      <c r="Q123" s="1487">
        <v>1206.3</v>
      </c>
      <c r="R123" s="1487">
        <v>1364.32</v>
      </c>
      <c r="S123" s="1487">
        <v>1233.79</v>
      </c>
      <c r="T123" s="1487"/>
      <c r="V123" s="1489"/>
      <c r="Z123" s="395"/>
      <c r="AA123" s="395"/>
      <c r="AB123" s="395"/>
    </row>
    <row r="124" spans="1:28">
      <c r="A124" s="1997" t="s">
        <v>1874</v>
      </c>
      <c r="B124" s="583"/>
      <c r="C124" s="397" t="s">
        <v>1862</v>
      </c>
      <c r="D124" s="397"/>
      <c r="E124" s="397"/>
      <c r="F124" s="397"/>
      <c r="G124" s="1487"/>
      <c r="H124" s="1487"/>
      <c r="I124" s="1487"/>
      <c r="J124" s="1487"/>
      <c r="K124" s="1487"/>
      <c r="L124" s="1487"/>
      <c r="M124" s="1487"/>
      <c r="N124" s="1487">
        <v>826.29</v>
      </c>
      <c r="O124" s="1487">
        <v>78.95</v>
      </c>
      <c r="P124" s="1487">
        <v>0</v>
      </c>
      <c r="Q124" s="1487">
        <v>0</v>
      </c>
      <c r="R124" s="1487">
        <v>618.24</v>
      </c>
      <c r="S124" s="1487">
        <v>262</v>
      </c>
      <c r="T124" s="1487"/>
      <c r="V124" s="1489"/>
      <c r="Z124" s="395"/>
      <c r="AA124" s="395"/>
      <c r="AB124" s="395"/>
    </row>
    <row r="125" spans="1:28">
      <c r="A125" s="1997" t="s">
        <v>1875</v>
      </c>
      <c r="B125" s="583">
        <v>610300</v>
      </c>
      <c r="C125" s="397" t="s">
        <v>1876</v>
      </c>
      <c r="D125" s="397"/>
      <c r="E125" s="397"/>
      <c r="F125" s="397"/>
      <c r="G125" s="1487"/>
      <c r="H125" s="1487"/>
      <c r="I125" s="1487"/>
      <c r="J125" s="1487"/>
      <c r="K125" s="1487"/>
      <c r="L125" s="1487"/>
      <c r="M125" s="1487"/>
      <c r="N125" s="1487">
        <v>151.86000000000001</v>
      </c>
      <c r="O125" s="1487">
        <v>2804.49</v>
      </c>
      <c r="P125" s="1487">
        <v>351.35</v>
      </c>
      <c r="Q125" s="1487">
        <v>1092.7</v>
      </c>
      <c r="R125" s="1487">
        <v>620.45000000000005</v>
      </c>
      <c r="S125" s="1487">
        <v>1382.4</v>
      </c>
      <c r="T125" s="1487">
        <v>3073.64</v>
      </c>
      <c r="U125" s="1965">
        <v>3307.79</v>
      </c>
      <c r="V125" s="1489"/>
      <c r="Z125" s="395"/>
      <c r="AA125" s="395"/>
      <c r="AB125" s="395"/>
    </row>
    <row r="126" spans="1:28">
      <c r="A126" s="1997" t="s">
        <v>1877</v>
      </c>
      <c r="B126" s="583">
        <v>611000</v>
      </c>
      <c r="C126" s="1487" t="s">
        <v>1878</v>
      </c>
      <c r="D126" s="1487"/>
      <c r="E126" s="1487"/>
      <c r="F126" s="1487"/>
      <c r="G126" s="1487"/>
      <c r="H126" s="1487"/>
      <c r="I126" s="1487"/>
      <c r="J126" s="1487"/>
      <c r="K126" s="1487"/>
      <c r="L126" s="1487"/>
      <c r="M126" s="1487"/>
      <c r="N126" s="1487"/>
      <c r="O126" s="1487">
        <v>176.26</v>
      </c>
      <c r="P126" s="1487">
        <v>260.63</v>
      </c>
      <c r="Q126" s="1487">
        <v>272.67</v>
      </c>
      <c r="R126" s="1487">
        <v>332.99</v>
      </c>
      <c r="S126" s="1487">
        <v>158.53</v>
      </c>
      <c r="T126" s="1487">
        <v>375.85</v>
      </c>
      <c r="U126" s="1965">
        <v>341.91</v>
      </c>
      <c r="V126" s="1489"/>
      <c r="Z126" s="395"/>
      <c r="AA126" s="395"/>
      <c r="AB126" s="395"/>
    </row>
    <row r="127" spans="1:28">
      <c r="A127" s="1997" t="s">
        <v>1879</v>
      </c>
      <c r="B127" s="583">
        <v>611100</v>
      </c>
      <c r="C127" s="397" t="s">
        <v>1880</v>
      </c>
      <c r="D127" s="397"/>
      <c r="E127" s="397"/>
      <c r="F127" s="397"/>
      <c r="G127" s="1487"/>
      <c r="H127" s="1487"/>
      <c r="I127" s="1487"/>
      <c r="J127" s="1487"/>
      <c r="K127" s="1487"/>
      <c r="L127" s="1487"/>
      <c r="M127" s="1487"/>
      <c r="N127" s="1487">
        <v>39</v>
      </c>
      <c r="O127" s="1487">
        <v>33.68</v>
      </c>
      <c r="P127" s="1487">
        <v>25.58</v>
      </c>
      <c r="Q127" s="1487">
        <v>22.85</v>
      </c>
      <c r="R127" s="1487">
        <v>76.489999999999995</v>
      </c>
      <c r="S127" s="1487">
        <v>80.86</v>
      </c>
      <c r="T127" s="1487">
        <v>78.13</v>
      </c>
      <c r="U127" s="1965">
        <v>93.95</v>
      </c>
      <c r="V127" s="1489"/>
      <c r="Z127" s="395"/>
      <c r="AA127" s="395"/>
      <c r="AB127" s="395"/>
    </row>
    <row r="128" spans="1:28">
      <c r="A128" s="1997" t="s">
        <v>1881</v>
      </c>
      <c r="B128" s="583">
        <v>611300</v>
      </c>
      <c r="C128" s="397" t="s">
        <v>1882</v>
      </c>
      <c r="D128" s="397"/>
      <c r="E128" s="397"/>
      <c r="F128" s="397"/>
      <c r="G128" s="1487"/>
      <c r="H128" s="1487"/>
      <c r="I128" s="1487"/>
      <c r="J128" s="1487"/>
      <c r="K128" s="1487"/>
      <c r="L128" s="1487"/>
      <c r="M128" s="1487"/>
      <c r="N128" s="1487">
        <v>109.26</v>
      </c>
      <c r="O128" s="1487">
        <v>364.33</v>
      </c>
      <c r="P128" s="1487">
        <v>491.72</v>
      </c>
      <c r="Q128" s="1487">
        <v>900.09</v>
      </c>
      <c r="R128" s="1487">
        <v>609.75</v>
      </c>
      <c r="S128" s="1487">
        <v>1048.1099999999999</v>
      </c>
      <c r="T128" s="1487">
        <v>879.63</v>
      </c>
      <c r="U128" s="1965">
        <v>344.39</v>
      </c>
      <c r="V128" s="1489"/>
      <c r="Z128" s="395"/>
      <c r="AA128" s="395"/>
      <c r="AB128" s="395"/>
    </row>
    <row r="129" spans="1:28">
      <c r="A129" s="1997" t="s">
        <v>1883</v>
      </c>
      <c r="B129" s="583">
        <v>612000</v>
      </c>
      <c r="C129" s="397" t="s">
        <v>1884</v>
      </c>
      <c r="D129" s="397"/>
      <c r="E129" s="397"/>
      <c r="F129" s="397"/>
      <c r="G129" s="1487"/>
      <c r="H129" s="1487"/>
      <c r="I129" s="1487"/>
      <c r="J129" s="1487"/>
      <c r="K129" s="1487"/>
      <c r="L129" s="1487"/>
      <c r="M129" s="1487"/>
      <c r="N129" s="1487">
        <v>124.35</v>
      </c>
      <c r="O129" s="1487">
        <v>125.36</v>
      </c>
      <c r="P129" s="1487">
        <v>124.9</v>
      </c>
      <c r="Q129" s="1487">
        <v>102.19</v>
      </c>
      <c r="R129" s="1487">
        <v>104.32</v>
      </c>
      <c r="S129" s="1487">
        <v>87.1</v>
      </c>
      <c r="T129" s="1487">
        <v>89.7</v>
      </c>
      <c r="U129" s="1965">
        <v>92.4</v>
      </c>
      <c r="V129" s="1489"/>
      <c r="Z129" s="395"/>
      <c r="AA129" s="395"/>
      <c r="AB129" s="395"/>
    </row>
    <row r="130" spans="1:28">
      <c r="A130" s="1997" t="s">
        <v>1885</v>
      </c>
      <c r="B130" s="583"/>
      <c r="C130" s="397" t="s">
        <v>1886</v>
      </c>
      <c r="D130" s="397"/>
      <c r="E130" s="397"/>
      <c r="F130" s="397"/>
      <c r="G130" s="1487"/>
      <c r="H130" s="1487"/>
      <c r="I130" s="1487"/>
      <c r="J130" s="1487"/>
      <c r="K130" s="1487"/>
      <c r="L130" s="1487"/>
      <c r="M130" s="1487"/>
      <c r="N130" s="1487">
        <v>250.88</v>
      </c>
      <c r="O130" s="1487">
        <v>255</v>
      </c>
      <c r="P130" s="1487">
        <v>128.94</v>
      </c>
      <c r="Q130" s="1487"/>
      <c r="R130" s="1487"/>
      <c r="S130" s="1487"/>
      <c r="T130" s="1487"/>
      <c r="V130" s="1489"/>
      <c r="Z130" s="395"/>
      <c r="AA130" s="395"/>
      <c r="AB130" s="395"/>
    </row>
    <row r="131" spans="1:28">
      <c r="A131" s="1997" t="s">
        <v>1887</v>
      </c>
      <c r="B131" s="583">
        <v>602000</v>
      </c>
      <c r="C131" s="1487" t="s">
        <v>1888</v>
      </c>
      <c r="D131" s="1487"/>
      <c r="E131" s="1487"/>
      <c r="F131" s="1487"/>
      <c r="G131" s="1487"/>
      <c r="H131" s="1487"/>
      <c r="I131" s="1487"/>
      <c r="J131" s="1487"/>
      <c r="K131" s="1487"/>
      <c r="L131" s="1487"/>
      <c r="M131" s="1487"/>
      <c r="N131" s="1487">
        <v>5676.58</v>
      </c>
      <c r="O131" s="1487">
        <v>4416.83</v>
      </c>
      <c r="P131" s="1487">
        <v>2409.0300000000002</v>
      </c>
      <c r="Q131" s="1487">
        <v>1483.03</v>
      </c>
      <c r="R131" s="1487">
        <v>2074.7199999999998</v>
      </c>
      <c r="S131" s="1487">
        <v>1708.64</v>
      </c>
      <c r="T131" s="1487">
        <v>445.27</v>
      </c>
      <c r="U131" s="1965">
        <v>848.67</v>
      </c>
      <c r="V131" s="1489"/>
      <c r="Z131" s="395"/>
      <c r="AA131" s="395"/>
      <c r="AB131" s="395"/>
    </row>
    <row r="132" spans="1:28">
      <c r="A132" s="1997" t="s">
        <v>1889</v>
      </c>
      <c r="B132" s="583"/>
      <c r="C132" s="397" t="s">
        <v>1890</v>
      </c>
      <c r="D132" s="397"/>
      <c r="E132" s="397"/>
      <c r="F132" s="397"/>
      <c r="G132" s="1487">
        <v>1100</v>
      </c>
      <c r="H132" s="1487">
        <v>551.34</v>
      </c>
      <c r="I132" s="1487">
        <v>2583.46</v>
      </c>
      <c r="J132" s="1487">
        <v>1417.68</v>
      </c>
      <c r="K132" s="1487">
        <v>1154.45</v>
      </c>
      <c r="L132" s="1487">
        <v>0</v>
      </c>
      <c r="M132" s="1487">
        <v>2005.92</v>
      </c>
      <c r="N132" s="1487"/>
      <c r="O132" s="1487"/>
      <c r="P132" s="1487"/>
      <c r="Q132" s="1487"/>
      <c r="R132" s="1487"/>
      <c r="S132" s="1487"/>
      <c r="T132" s="1487"/>
      <c r="V132" s="1489"/>
      <c r="Z132" s="395"/>
      <c r="AA132" s="395"/>
      <c r="AB132" s="395"/>
    </row>
    <row r="133" spans="1:28">
      <c r="A133" s="1997" t="s">
        <v>1891</v>
      </c>
      <c r="B133" s="583"/>
      <c r="C133" s="397" t="s">
        <v>1892</v>
      </c>
      <c r="D133" s="397"/>
      <c r="E133" s="397"/>
      <c r="F133" s="397"/>
      <c r="G133" s="1487">
        <v>22366.55</v>
      </c>
      <c r="H133" s="1487">
        <v>24104.9</v>
      </c>
      <c r="I133" s="1487">
        <v>35300.18</v>
      </c>
      <c r="J133" s="1487">
        <v>31908.68</v>
      </c>
      <c r="K133" s="1487">
        <v>30524.39</v>
      </c>
      <c r="L133" s="1487">
        <v>33775.24</v>
      </c>
      <c r="M133" s="1487">
        <v>17680.68</v>
      </c>
      <c r="N133" s="1487"/>
      <c r="O133" s="1487"/>
      <c r="P133" s="1487"/>
      <c r="Q133" s="1487"/>
      <c r="R133" s="1487"/>
      <c r="S133" s="1487"/>
      <c r="T133" s="1487"/>
      <c r="V133" s="1489"/>
      <c r="Z133" s="395"/>
      <c r="AA133" s="395"/>
      <c r="AB133" s="395"/>
    </row>
    <row r="134" spans="1:28">
      <c r="A134" s="1997" t="s">
        <v>1893</v>
      </c>
      <c r="B134" s="583"/>
      <c r="C134" s="397" t="s">
        <v>1894</v>
      </c>
      <c r="D134" s="397"/>
      <c r="E134" s="397"/>
      <c r="F134" s="397"/>
      <c r="G134" s="1487">
        <v>8774.3799999999992</v>
      </c>
      <c r="H134" s="1487">
        <v>9485.19</v>
      </c>
      <c r="I134" s="1487">
        <v>7553.31</v>
      </c>
      <c r="J134" s="1487">
        <v>5988.19</v>
      </c>
      <c r="K134" s="1487">
        <v>1883.97</v>
      </c>
      <c r="L134" s="1487">
        <v>1131.3499999999999</v>
      </c>
      <c r="M134" s="1487">
        <v>2153.8000000000002</v>
      </c>
      <c r="N134" s="1487"/>
      <c r="O134" s="1487"/>
      <c r="P134" s="1487"/>
      <c r="Q134" s="1487"/>
      <c r="R134" s="1487"/>
      <c r="S134" s="1487"/>
      <c r="T134" s="1487"/>
      <c r="V134" s="1489"/>
      <c r="Z134" s="395"/>
      <c r="AA134" s="395"/>
      <c r="AB134" s="395"/>
    </row>
    <row r="135" spans="1:28">
      <c r="A135" s="1997" t="s">
        <v>1895</v>
      </c>
      <c r="B135" s="583"/>
      <c r="C135" s="397" t="s">
        <v>1896</v>
      </c>
      <c r="D135" s="397"/>
      <c r="E135" s="397"/>
      <c r="F135" s="397"/>
      <c r="G135" s="1487">
        <v>3411.75</v>
      </c>
      <c r="H135" s="1487">
        <v>4992.1400000000003</v>
      </c>
      <c r="I135" s="1487">
        <v>6016.26</v>
      </c>
      <c r="J135" s="1487">
        <v>5061.08</v>
      </c>
      <c r="K135" s="1487">
        <v>10157.219999999999</v>
      </c>
      <c r="L135" s="1487">
        <v>5282.3</v>
      </c>
      <c r="M135" s="1487">
        <v>7743.1</v>
      </c>
      <c r="N135" s="1487"/>
      <c r="O135" s="1487"/>
      <c r="P135" s="1487"/>
      <c r="Q135" s="1487"/>
      <c r="R135" s="1487"/>
      <c r="S135" s="1487"/>
      <c r="T135" s="1487"/>
      <c r="V135" s="1489"/>
      <c r="Z135" s="395"/>
      <c r="AA135" s="395"/>
      <c r="AB135" s="395"/>
    </row>
    <row r="136" spans="1:28">
      <c r="A136" s="1997" t="s">
        <v>1897</v>
      </c>
      <c r="B136" s="583"/>
      <c r="C136" s="397" t="s">
        <v>1096</v>
      </c>
      <c r="D136" s="397"/>
      <c r="E136" s="397"/>
      <c r="F136" s="397"/>
      <c r="G136" s="1487">
        <v>328.67</v>
      </c>
      <c r="H136" s="1487">
        <v>345.42</v>
      </c>
      <c r="I136" s="1487">
        <v>453.41</v>
      </c>
      <c r="J136" s="1487">
        <v>363.78</v>
      </c>
      <c r="K136" s="1487">
        <v>505.62</v>
      </c>
      <c r="L136" s="1487">
        <v>542.78</v>
      </c>
      <c r="M136" s="1487">
        <v>437.23</v>
      </c>
      <c r="N136" s="1487"/>
      <c r="O136" s="1487"/>
      <c r="P136" s="1487"/>
      <c r="Q136" s="1487"/>
      <c r="R136" s="1487"/>
      <c r="S136" s="1487"/>
      <c r="T136" s="1487"/>
      <c r="V136" s="1489"/>
      <c r="Z136" s="395"/>
      <c r="AA136" s="395"/>
      <c r="AB136" s="395"/>
    </row>
    <row r="137" spans="1:28">
      <c r="A137" s="1997" t="s">
        <v>1898</v>
      </c>
      <c r="B137" s="583"/>
      <c r="C137" s="397" t="s">
        <v>1115</v>
      </c>
      <c r="D137" s="397"/>
      <c r="E137" s="397"/>
      <c r="F137" s="397"/>
      <c r="G137" s="1487">
        <v>960</v>
      </c>
      <c r="H137" s="1487">
        <v>2121.1</v>
      </c>
      <c r="I137" s="1487">
        <v>280</v>
      </c>
      <c r="J137" s="1487">
        <v>2526.1999999999998</v>
      </c>
      <c r="K137" s="1487">
        <v>3924.51</v>
      </c>
      <c r="L137" s="1487">
        <v>3347.83</v>
      </c>
      <c r="M137" s="1487">
        <v>3470.4</v>
      </c>
      <c r="N137" s="1487"/>
      <c r="O137" s="1487"/>
      <c r="P137" s="1487"/>
      <c r="Q137" s="1487"/>
      <c r="R137" s="1487"/>
      <c r="S137" s="1487"/>
      <c r="T137" s="1487"/>
      <c r="V137" s="1489"/>
      <c r="Z137" s="395"/>
      <c r="AA137" s="395"/>
      <c r="AB137" s="395"/>
    </row>
    <row r="138" spans="1:28">
      <c r="A138" s="1997" t="s">
        <v>1899</v>
      </c>
      <c r="B138" s="583"/>
      <c r="C138" s="397" t="s">
        <v>1098</v>
      </c>
      <c r="D138" s="397"/>
      <c r="E138" s="397"/>
      <c r="F138" s="397"/>
      <c r="G138" s="1487">
        <v>39.5</v>
      </c>
      <c r="H138" s="1487">
        <v>255.25</v>
      </c>
      <c r="I138" s="1487">
        <v>284.73</v>
      </c>
      <c r="J138" s="1487">
        <v>349.66</v>
      </c>
      <c r="K138" s="1487">
        <v>369</v>
      </c>
      <c r="L138" s="1487">
        <v>423.18</v>
      </c>
      <c r="M138" s="1487">
        <v>268.45</v>
      </c>
      <c r="N138" s="1487"/>
      <c r="O138" s="1487"/>
      <c r="P138" s="1487"/>
      <c r="Q138" s="1487"/>
      <c r="R138" s="1487"/>
      <c r="S138" s="1487"/>
      <c r="T138" s="1487"/>
      <c r="V138" s="1489"/>
      <c r="Z138" s="395"/>
      <c r="AA138" s="395"/>
      <c r="AB138" s="395"/>
    </row>
    <row r="139" spans="1:28">
      <c r="A139" s="1997" t="s">
        <v>1900</v>
      </c>
      <c r="B139" s="583"/>
      <c r="C139" s="397" t="s">
        <v>1142</v>
      </c>
      <c r="D139" s="397"/>
      <c r="E139" s="397"/>
      <c r="F139" s="397"/>
      <c r="G139" s="1487">
        <v>744</v>
      </c>
      <c r="H139" s="1487">
        <v>744</v>
      </c>
      <c r="I139" s="1487">
        <v>764</v>
      </c>
      <c r="J139" s="1487">
        <v>758</v>
      </c>
      <c r="K139" s="1487">
        <v>775</v>
      </c>
      <c r="L139" s="1487">
        <v>801</v>
      </c>
      <c r="M139" s="1487">
        <v>824</v>
      </c>
      <c r="N139" s="1487"/>
      <c r="O139" s="1487"/>
      <c r="P139" s="1487"/>
      <c r="Q139" s="1487"/>
      <c r="R139" s="1487"/>
      <c r="S139" s="1487"/>
      <c r="T139" s="1487"/>
      <c r="V139" s="1489"/>
      <c r="Z139" s="395"/>
      <c r="AA139" s="395"/>
      <c r="AB139" s="395"/>
    </row>
    <row r="140" spans="1:28">
      <c r="A140" s="1997" t="s">
        <v>1901</v>
      </c>
      <c r="B140" s="583"/>
      <c r="C140" s="397" t="s">
        <v>1902</v>
      </c>
      <c r="D140" s="397"/>
      <c r="E140" s="397"/>
      <c r="F140" s="397"/>
      <c r="G140" s="1487">
        <v>0</v>
      </c>
      <c r="H140" s="1487">
        <v>0</v>
      </c>
      <c r="I140" s="1487">
        <v>0</v>
      </c>
      <c r="J140" s="1487">
        <v>0</v>
      </c>
      <c r="K140" s="1487">
        <v>10727.58</v>
      </c>
      <c r="L140" s="1487">
        <v>0</v>
      </c>
      <c r="M140" s="1487">
        <v>0</v>
      </c>
      <c r="N140" s="1487"/>
      <c r="O140" s="1487"/>
      <c r="P140" s="1487"/>
      <c r="Q140" s="1487"/>
      <c r="R140" s="1487"/>
      <c r="S140" s="1487"/>
      <c r="T140" s="1487"/>
      <c r="V140" s="1489"/>
      <c r="Z140" s="395"/>
      <c r="AA140" s="395"/>
      <c r="AB140" s="395"/>
    </row>
    <row r="141" spans="1:28">
      <c r="A141" s="1997" t="s">
        <v>1903</v>
      </c>
      <c r="B141" s="583"/>
      <c r="C141" s="397" t="s">
        <v>1904</v>
      </c>
      <c r="D141" s="397"/>
      <c r="E141" s="397"/>
      <c r="F141" s="397"/>
      <c r="G141" s="1487">
        <v>19230.7</v>
      </c>
      <c r="H141" s="1487">
        <v>21660.19</v>
      </c>
      <c r="I141" s="1487">
        <v>31946.55</v>
      </c>
      <c r="J141" s="1487">
        <v>23009.67</v>
      </c>
      <c r="K141" s="1487">
        <v>21854.560000000001</v>
      </c>
      <c r="L141" s="1487">
        <v>22509.81</v>
      </c>
      <c r="M141" s="1487">
        <v>15981.51</v>
      </c>
      <c r="N141" s="1487"/>
      <c r="O141" s="1487"/>
      <c r="P141" s="1487"/>
      <c r="Q141" s="1487"/>
      <c r="R141" s="1487"/>
      <c r="S141" s="1487"/>
      <c r="T141" s="1487"/>
      <c r="V141" s="1489"/>
      <c r="Z141" s="395"/>
      <c r="AA141" s="395"/>
      <c r="AB141" s="395"/>
    </row>
    <row r="142" spans="1:28">
      <c r="A142" s="1997" t="s">
        <v>1905</v>
      </c>
      <c r="B142" s="583"/>
      <c r="C142" s="397" t="s">
        <v>1906</v>
      </c>
      <c r="D142" s="397"/>
      <c r="E142" s="397"/>
      <c r="F142" s="397"/>
      <c r="G142" s="1487">
        <v>5498.45</v>
      </c>
      <c r="H142" s="1487">
        <v>5314.89</v>
      </c>
      <c r="I142" s="1487">
        <v>3137.83</v>
      </c>
      <c r="J142" s="1487">
        <v>5532.98</v>
      </c>
      <c r="K142" s="1487">
        <v>6231.55</v>
      </c>
      <c r="L142" s="1487">
        <v>8186.11</v>
      </c>
      <c r="M142" s="1487">
        <v>7965.82</v>
      </c>
      <c r="N142" s="1487"/>
      <c r="O142" s="1487"/>
      <c r="P142" s="1487"/>
      <c r="Q142" s="1487"/>
      <c r="R142" s="1487"/>
      <c r="S142" s="1487"/>
      <c r="T142" s="1487"/>
      <c r="V142" s="1489"/>
      <c r="Z142" s="395"/>
      <c r="AA142" s="395"/>
      <c r="AB142" s="395"/>
    </row>
    <row r="143" spans="1:28">
      <c r="A143" s="1997" t="s">
        <v>1907</v>
      </c>
      <c r="B143" s="583"/>
      <c r="C143" s="397" t="s">
        <v>1908</v>
      </c>
      <c r="D143" s="397"/>
      <c r="E143" s="397"/>
      <c r="F143" s="397"/>
      <c r="G143" s="1487">
        <v>560</v>
      </c>
      <c r="H143" s="1487">
        <v>407.5</v>
      </c>
      <c r="I143" s="1487">
        <v>2513.59</v>
      </c>
      <c r="J143" s="1487">
        <v>345</v>
      </c>
      <c r="K143" s="1487">
        <v>927.2</v>
      </c>
      <c r="L143" s="1487">
        <v>150</v>
      </c>
      <c r="M143" s="1487">
        <v>297.64</v>
      </c>
      <c r="N143" s="1487"/>
      <c r="O143" s="1487"/>
      <c r="P143" s="1487"/>
      <c r="Q143" s="1487"/>
      <c r="R143" s="1487"/>
      <c r="S143" s="1487"/>
      <c r="T143" s="1487"/>
      <c r="V143" s="1489"/>
      <c r="Z143" s="395"/>
      <c r="AA143" s="395"/>
      <c r="AB143" s="395"/>
    </row>
    <row r="144" spans="1:28">
      <c r="A144" s="1997" t="s">
        <v>1909</v>
      </c>
      <c r="B144" s="583"/>
      <c r="C144" s="397" t="s">
        <v>1910</v>
      </c>
      <c r="D144" s="397"/>
      <c r="E144" s="397"/>
      <c r="F144" s="397"/>
      <c r="G144" s="1487">
        <v>7931.41</v>
      </c>
      <c r="H144" s="1487">
        <v>11203.13</v>
      </c>
      <c r="I144" s="1487">
        <v>8802.9</v>
      </c>
      <c r="J144" s="1487">
        <v>8180.45</v>
      </c>
      <c r="K144" s="1487">
        <v>12014.4</v>
      </c>
      <c r="L144" s="1487">
        <v>10081.82</v>
      </c>
      <c r="M144" s="1487">
        <v>5404.78</v>
      </c>
      <c r="N144" s="1487"/>
      <c r="O144" s="1487"/>
      <c r="P144" s="1487"/>
      <c r="Q144" s="1487"/>
      <c r="R144" s="1487"/>
      <c r="S144" s="1487"/>
      <c r="T144" s="1487"/>
      <c r="V144" s="1489"/>
      <c r="Z144" s="395"/>
      <c r="AA144" s="395"/>
      <c r="AB144" s="395"/>
    </row>
    <row r="145" spans="1:28">
      <c r="A145" s="1997" t="s">
        <v>1911</v>
      </c>
      <c r="B145" s="583"/>
      <c r="C145" s="397" t="s">
        <v>1912</v>
      </c>
      <c r="D145" s="397"/>
      <c r="E145" s="397"/>
      <c r="F145" s="397"/>
      <c r="G145" s="1487">
        <v>49.1</v>
      </c>
      <c r="H145" s="1487">
        <v>55.42</v>
      </c>
      <c r="I145" s="1487">
        <v>276.81</v>
      </c>
      <c r="J145" s="1487">
        <v>244.91</v>
      </c>
      <c r="K145" s="1487">
        <v>910.67</v>
      </c>
      <c r="L145" s="1487">
        <v>233.89</v>
      </c>
      <c r="M145" s="1487">
        <v>815.02</v>
      </c>
      <c r="N145" s="1487"/>
      <c r="O145" s="1487"/>
      <c r="P145" s="1487"/>
      <c r="Q145" s="1487"/>
      <c r="R145" s="1487"/>
      <c r="S145" s="1487"/>
      <c r="T145" s="1487"/>
      <c r="V145" s="1489"/>
      <c r="Z145" s="395"/>
      <c r="AA145" s="395"/>
      <c r="AB145" s="395"/>
    </row>
    <row r="146" spans="1:28">
      <c r="A146" s="1997" t="s">
        <v>1913</v>
      </c>
      <c r="B146" s="583"/>
      <c r="C146" s="397" t="s">
        <v>1914</v>
      </c>
      <c r="D146" s="397"/>
      <c r="E146" s="397"/>
      <c r="F146" s="397"/>
      <c r="G146" s="1487">
        <v>65.569999999999993</v>
      </c>
      <c r="H146" s="1487">
        <v>67.28</v>
      </c>
      <c r="I146" s="1487">
        <v>70.34</v>
      </c>
      <c r="J146" s="1487">
        <v>67.8</v>
      </c>
      <c r="K146" s="1487">
        <v>69.819999999999993</v>
      </c>
      <c r="L146" s="1487">
        <v>76.010000000000005</v>
      </c>
      <c r="M146" s="1487">
        <v>78.599999999999994</v>
      </c>
      <c r="N146" s="1487"/>
      <c r="O146" s="1487"/>
      <c r="P146" s="1487"/>
      <c r="Q146" s="1487"/>
      <c r="R146" s="1487"/>
      <c r="S146" s="1487"/>
      <c r="T146" s="1487"/>
      <c r="V146" s="1489"/>
      <c r="Z146" s="395"/>
      <c r="AA146" s="395"/>
      <c r="AB146" s="395"/>
    </row>
    <row r="147" spans="1:28">
      <c r="A147" s="1997" t="s">
        <v>1915</v>
      </c>
      <c r="B147" s="583"/>
      <c r="C147" s="397" t="s">
        <v>1916</v>
      </c>
      <c r="D147" s="397"/>
      <c r="E147" s="397"/>
      <c r="F147" s="397"/>
      <c r="G147" s="1487">
        <v>0</v>
      </c>
      <c r="H147" s="1487">
        <v>0</v>
      </c>
      <c r="I147" s="1487">
        <v>0</v>
      </c>
      <c r="J147" s="1487">
        <v>0</v>
      </c>
      <c r="K147" s="1487">
        <v>0</v>
      </c>
      <c r="L147" s="1487">
        <v>0</v>
      </c>
      <c r="M147" s="1487">
        <v>0</v>
      </c>
      <c r="N147" s="1487"/>
      <c r="O147" s="1487"/>
      <c r="P147" s="1487"/>
      <c r="Q147" s="1487"/>
      <c r="R147" s="1487"/>
      <c r="S147" s="1487"/>
      <c r="T147" s="1487"/>
      <c r="V147" s="1489"/>
      <c r="Z147" s="395"/>
      <c r="AA147" s="395"/>
      <c r="AB147" s="395"/>
    </row>
    <row r="148" spans="1:28">
      <c r="A148" s="1997" t="s">
        <v>1917</v>
      </c>
      <c r="B148" s="583"/>
      <c r="C148" s="1487" t="s">
        <v>1918</v>
      </c>
      <c r="D148" s="1487"/>
      <c r="E148" s="1487"/>
      <c r="F148" s="1487"/>
      <c r="G148" s="1487">
        <v>151.08000000000001</v>
      </c>
      <c r="H148" s="1487">
        <v>0</v>
      </c>
      <c r="I148" s="1487">
        <v>0</v>
      </c>
      <c r="J148" s="1487">
        <v>0</v>
      </c>
      <c r="K148" s="1487">
        <v>0</v>
      </c>
      <c r="L148" s="1487">
        <v>0</v>
      </c>
      <c r="M148" s="1487">
        <v>1716.58</v>
      </c>
      <c r="N148" s="1487"/>
      <c r="O148" s="1487"/>
      <c r="P148" s="1487"/>
      <c r="Q148" s="1487"/>
      <c r="R148" s="1487"/>
      <c r="S148" s="1487"/>
      <c r="T148" s="1487"/>
      <c r="V148" s="1489"/>
      <c r="Z148" s="395"/>
      <c r="AA148" s="395"/>
      <c r="AB148" s="395"/>
    </row>
    <row r="149" spans="1:28">
      <c r="A149" s="1997" t="s">
        <v>1919</v>
      </c>
      <c r="B149" s="583"/>
      <c r="C149" s="397" t="s">
        <v>1920</v>
      </c>
      <c r="D149" s="397"/>
      <c r="E149" s="397"/>
      <c r="F149" s="397"/>
      <c r="G149" s="1487">
        <v>1250.3399999999999</v>
      </c>
      <c r="H149" s="1487">
        <v>1664.92</v>
      </c>
      <c r="I149" s="1487">
        <v>2268.58</v>
      </c>
      <c r="J149" s="1487">
        <v>2474.31</v>
      </c>
      <c r="K149" s="1487">
        <v>4177.82</v>
      </c>
      <c r="L149" s="1487">
        <v>2484.46</v>
      </c>
      <c r="M149" s="1487">
        <v>1635.96</v>
      </c>
      <c r="N149" s="1487"/>
      <c r="O149" s="1487"/>
      <c r="P149" s="1487"/>
      <c r="Q149" s="1487"/>
      <c r="R149" s="1487"/>
      <c r="S149" s="1487"/>
      <c r="T149" s="1487"/>
      <c r="V149" s="1489"/>
      <c r="Z149" s="395"/>
      <c r="AA149" s="395"/>
      <c r="AB149" s="395"/>
    </row>
    <row r="150" spans="1:28">
      <c r="A150" s="1997" t="s">
        <v>1921</v>
      </c>
      <c r="B150" s="583"/>
      <c r="C150" s="397" t="s">
        <v>1922</v>
      </c>
      <c r="D150" s="397"/>
      <c r="E150" s="397"/>
      <c r="F150" s="397"/>
      <c r="G150" s="1487">
        <v>17521.75</v>
      </c>
      <c r="H150" s="1487">
        <v>23035.8</v>
      </c>
      <c r="I150" s="1487">
        <v>20225.79</v>
      </c>
      <c r="J150" s="1487">
        <v>20370.96</v>
      </c>
      <c r="K150" s="1487">
        <v>24084.46</v>
      </c>
      <c r="L150" s="1487">
        <v>33460.660000000003</v>
      </c>
      <c r="M150" s="1487">
        <v>31548.68</v>
      </c>
      <c r="N150" s="1487"/>
      <c r="O150" s="1487"/>
      <c r="P150" s="1487"/>
      <c r="Q150" s="1487"/>
      <c r="R150" s="1487"/>
      <c r="S150" s="1487"/>
      <c r="T150" s="1487"/>
      <c r="V150" s="1489"/>
      <c r="Z150" s="395"/>
      <c r="AA150" s="395"/>
      <c r="AB150" s="395"/>
    </row>
    <row r="151" spans="1:28">
      <c r="A151" s="1997" t="s">
        <v>1923</v>
      </c>
      <c r="B151" s="583"/>
      <c r="C151" s="1487" t="s">
        <v>1908</v>
      </c>
      <c r="D151" s="1487"/>
      <c r="E151" s="1487"/>
      <c r="F151" s="1487"/>
      <c r="G151" s="1487">
        <v>5082.96</v>
      </c>
      <c r="H151" s="1487">
        <v>7834.4</v>
      </c>
      <c r="I151" s="1487">
        <v>8217.09</v>
      </c>
      <c r="J151" s="1487">
        <v>7642.65</v>
      </c>
      <c r="K151" s="1487">
        <v>6199.02</v>
      </c>
      <c r="L151" s="1487">
        <v>7632.71</v>
      </c>
      <c r="M151" s="1487">
        <v>12258.21</v>
      </c>
      <c r="N151" s="1487"/>
      <c r="O151" s="1487"/>
      <c r="P151" s="1487"/>
      <c r="Q151" s="1487"/>
      <c r="R151" s="1487"/>
      <c r="S151" s="1487"/>
      <c r="T151" s="1487"/>
      <c r="V151" s="1489"/>
      <c r="Z151" s="395"/>
      <c r="AA151" s="395"/>
      <c r="AB151" s="395"/>
    </row>
    <row r="152" spans="1:28">
      <c r="A152" s="1997" t="s">
        <v>1924</v>
      </c>
      <c r="B152" s="583"/>
      <c r="C152" s="397" t="s">
        <v>1925</v>
      </c>
      <c r="D152" s="397"/>
      <c r="E152" s="397"/>
      <c r="F152" s="397"/>
      <c r="G152" s="1487">
        <v>3573.8</v>
      </c>
      <c r="H152" s="1487">
        <v>4145.45</v>
      </c>
      <c r="I152" s="1487">
        <v>5188.97</v>
      </c>
      <c r="J152" s="1487">
        <v>4919.8999999999996</v>
      </c>
      <c r="K152" s="1487">
        <v>5951.24</v>
      </c>
      <c r="L152" s="1487">
        <v>6729.96</v>
      </c>
      <c r="M152" s="1487">
        <v>4663.62</v>
      </c>
      <c r="N152" s="1487"/>
      <c r="O152" s="1487"/>
      <c r="P152" s="1487"/>
      <c r="Q152" s="1487"/>
      <c r="R152" s="1487"/>
      <c r="S152" s="1487"/>
      <c r="T152" s="1487"/>
      <c r="V152" s="1489"/>
      <c r="Z152" s="395"/>
      <c r="AA152" s="395"/>
      <c r="AB152" s="395"/>
    </row>
    <row r="153" spans="1:28">
      <c r="A153" s="1997" t="s">
        <v>1926</v>
      </c>
      <c r="B153" s="583"/>
      <c r="C153" s="397" t="s">
        <v>1927</v>
      </c>
      <c r="D153" s="397"/>
      <c r="E153" s="397"/>
      <c r="F153" s="397"/>
      <c r="G153" s="1487">
        <v>0</v>
      </c>
      <c r="H153" s="1487">
        <v>0</v>
      </c>
      <c r="I153" s="1487">
        <v>0</v>
      </c>
      <c r="J153" s="1487">
        <v>0</v>
      </c>
      <c r="K153" s="1487">
        <v>0</v>
      </c>
      <c r="L153" s="1487">
        <v>0</v>
      </c>
      <c r="M153" s="1487">
        <v>0</v>
      </c>
      <c r="N153" s="1487"/>
      <c r="O153" s="1487"/>
      <c r="P153" s="1487"/>
      <c r="Q153" s="1487"/>
      <c r="R153" s="1487"/>
      <c r="S153" s="1487"/>
      <c r="T153" s="1487"/>
      <c r="V153" s="1489"/>
      <c r="Z153" s="395"/>
      <c r="AA153" s="395"/>
      <c r="AB153" s="395"/>
    </row>
    <row r="154" spans="1:28">
      <c r="A154" s="1997" t="s">
        <v>1928</v>
      </c>
      <c r="B154" s="583"/>
      <c r="C154" s="397" t="s">
        <v>1886</v>
      </c>
      <c r="D154" s="397"/>
      <c r="E154" s="397"/>
      <c r="F154" s="397"/>
      <c r="G154" s="1487">
        <v>215.66</v>
      </c>
      <c r="H154" s="1487">
        <v>236.01</v>
      </c>
      <c r="I154" s="1487">
        <v>224.85</v>
      </c>
      <c r="J154" s="1487">
        <v>225.77</v>
      </c>
      <c r="K154" s="1487">
        <v>228.53</v>
      </c>
      <c r="L154" s="1487">
        <v>235.96</v>
      </c>
      <c r="M154" s="1487">
        <v>239.66</v>
      </c>
      <c r="N154" s="1487"/>
      <c r="O154" s="1487"/>
      <c r="P154" s="1487"/>
      <c r="Q154" s="1487"/>
      <c r="R154" s="1487"/>
      <c r="S154" s="1487"/>
      <c r="T154" s="1487"/>
      <c r="V154" s="1489"/>
      <c r="Z154" s="395"/>
      <c r="AA154" s="395"/>
      <c r="AB154" s="395"/>
    </row>
    <row r="155" spans="1:28">
      <c r="A155" s="1997" t="s">
        <v>1929</v>
      </c>
      <c r="B155" s="583"/>
      <c r="C155" s="397" t="s">
        <v>1930</v>
      </c>
      <c r="D155" s="397"/>
      <c r="E155" s="397"/>
      <c r="F155" s="397"/>
      <c r="G155" s="1487">
        <v>0</v>
      </c>
      <c r="H155" s="1487">
        <v>0</v>
      </c>
      <c r="I155" s="1487">
        <v>0</v>
      </c>
      <c r="J155" s="1487">
        <v>0</v>
      </c>
      <c r="K155" s="1487">
        <v>86.79</v>
      </c>
      <c r="L155" s="1487">
        <v>0</v>
      </c>
      <c r="M155" s="1487">
        <v>0</v>
      </c>
      <c r="N155" s="1487"/>
      <c r="O155" s="1487"/>
      <c r="P155" s="1487"/>
      <c r="Q155" s="1487"/>
      <c r="R155" s="1487"/>
      <c r="S155" s="1487"/>
      <c r="T155" s="1487"/>
      <c r="V155" s="1489"/>
      <c r="Z155" s="395"/>
      <c r="AA155" s="395"/>
      <c r="AB155" s="395"/>
    </row>
    <row r="156" spans="1:28">
      <c r="A156" s="1997" t="s">
        <v>1931</v>
      </c>
      <c r="B156" s="583"/>
      <c r="C156" s="1487" t="s">
        <v>1932</v>
      </c>
      <c r="D156" s="1487"/>
      <c r="E156" s="1487"/>
      <c r="F156" s="1487"/>
      <c r="G156" s="1487">
        <v>4831.57</v>
      </c>
      <c r="H156" s="1487">
        <v>4525.8999999999996</v>
      </c>
      <c r="I156" s="1487">
        <v>5551.11</v>
      </c>
      <c r="J156" s="1487">
        <v>6358.25</v>
      </c>
      <c r="K156" s="1487">
        <v>5613.22</v>
      </c>
      <c r="L156" s="1487">
        <v>6997.98</v>
      </c>
      <c r="M156" s="1487">
        <v>5396.02</v>
      </c>
      <c r="N156" s="1487"/>
      <c r="O156" s="1487"/>
      <c r="P156" s="1487"/>
      <c r="Q156" s="1487"/>
      <c r="R156" s="1487"/>
      <c r="S156" s="1487"/>
      <c r="T156" s="1487"/>
      <c r="V156" s="1489"/>
      <c r="Z156" s="395"/>
      <c r="AA156" s="395"/>
      <c r="AB156" s="395"/>
    </row>
    <row r="157" spans="1:28">
      <c r="A157" s="1997" t="s">
        <v>1933</v>
      </c>
      <c r="B157" s="583"/>
      <c r="C157" s="397" t="s">
        <v>1934</v>
      </c>
      <c r="D157" s="397"/>
      <c r="E157" s="397"/>
      <c r="F157" s="397"/>
      <c r="G157" s="1487">
        <v>110.79</v>
      </c>
      <c r="H157" s="1487">
        <v>0</v>
      </c>
      <c r="I157" s="1487">
        <v>350.75</v>
      </c>
      <c r="J157" s="1487">
        <v>52.61</v>
      </c>
      <c r="K157" s="1487">
        <v>0</v>
      </c>
      <c r="L157" s="1487">
        <v>64.25</v>
      </c>
      <c r="M157" s="1487">
        <v>0</v>
      </c>
      <c r="N157" s="1487"/>
      <c r="O157" s="1487"/>
      <c r="P157" s="1487"/>
      <c r="Q157" s="1487"/>
      <c r="R157" s="1487"/>
      <c r="S157" s="1487"/>
      <c r="T157" s="1487"/>
      <c r="V157" s="1489"/>
      <c r="Z157" s="395"/>
      <c r="AA157" s="395"/>
      <c r="AB157" s="395"/>
    </row>
    <row r="158" spans="1:28">
      <c r="A158" s="1997" t="s">
        <v>1935</v>
      </c>
      <c r="B158" s="583"/>
      <c r="C158" s="397" t="s">
        <v>1876</v>
      </c>
      <c r="D158" s="397"/>
      <c r="E158" s="397"/>
      <c r="F158" s="397"/>
      <c r="G158" s="1487">
        <v>130.4</v>
      </c>
      <c r="H158" s="1487">
        <v>0</v>
      </c>
      <c r="I158" s="1487">
        <v>548.88</v>
      </c>
      <c r="J158" s="1487">
        <v>297.25</v>
      </c>
      <c r="K158" s="1487">
        <v>226.6</v>
      </c>
      <c r="L158" s="1487">
        <v>130.47</v>
      </c>
      <c r="M158" s="1487">
        <v>184.87</v>
      </c>
      <c r="N158" s="1487"/>
      <c r="O158" s="1487"/>
      <c r="P158" s="1487"/>
      <c r="Q158" s="1487"/>
      <c r="R158" s="1487"/>
      <c r="S158" s="1487"/>
      <c r="T158" s="1487"/>
      <c r="V158" s="1489"/>
      <c r="Z158" s="395"/>
      <c r="AA158" s="395"/>
      <c r="AB158" s="395"/>
    </row>
    <row r="159" spans="1:28">
      <c r="A159" s="1997" t="s">
        <v>1936</v>
      </c>
      <c r="B159" s="583"/>
      <c r="C159" s="397" t="s">
        <v>1884</v>
      </c>
      <c r="D159" s="397"/>
      <c r="E159" s="397"/>
      <c r="F159" s="397"/>
      <c r="G159" s="1487">
        <v>120.24</v>
      </c>
      <c r="H159" s="1487">
        <v>123.41</v>
      </c>
      <c r="I159" s="1487">
        <v>125.95</v>
      </c>
      <c r="J159" s="1487">
        <v>124.33</v>
      </c>
      <c r="K159" s="1487">
        <v>128</v>
      </c>
      <c r="L159" s="1487">
        <v>118.63</v>
      </c>
      <c r="M159" s="1487">
        <v>122.69</v>
      </c>
      <c r="N159" s="1487"/>
      <c r="O159" s="1487"/>
      <c r="P159" s="1487"/>
      <c r="Q159" s="1487"/>
      <c r="R159" s="1487"/>
      <c r="S159" s="1487"/>
      <c r="T159" s="1487"/>
      <c r="V159" s="1489"/>
      <c r="Z159" s="395"/>
      <c r="AA159" s="395"/>
      <c r="AB159" s="395"/>
    </row>
    <row r="160" spans="1:28">
      <c r="A160" s="1997" t="s">
        <v>1937</v>
      </c>
      <c r="B160" s="583"/>
      <c r="C160" s="1487" t="s">
        <v>1878</v>
      </c>
      <c r="D160" s="1487"/>
      <c r="E160" s="1487"/>
      <c r="F160" s="1487"/>
      <c r="G160" s="1487">
        <v>9.9</v>
      </c>
      <c r="H160" s="1487">
        <v>10.78</v>
      </c>
      <c r="I160" s="1487">
        <v>7.53</v>
      </c>
      <c r="J160" s="1487">
        <v>41.08</v>
      </c>
      <c r="K160" s="1487">
        <v>6.18</v>
      </c>
      <c r="L160" s="1487">
        <v>0</v>
      </c>
      <c r="M160" s="1487">
        <v>0</v>
      </c>
      <c r="N160" s="1487"/>
      <c r="O160" s="1487"/>
      <c r="P160" s="1487"/>
      <c r="Q160" s="1487"/>
      <c r="R160" s="1487"/>
      <c r="S160" s="1487"/>
      <c r="T160" s="1487"/>
      <c r="V160" s="1489"/>
      <c r="Z160" s="395"/>
      <c r="AA160" s="395"/>
      <c r="AB160" s="395"/>
    </row>
    <row r="161" spans="1:28">
      <c r="A161" s="1997" t="s">
        <v>1938</v>
      </c>
      <c r="B161" s="583"/>
      <c r="C161" s="397" t="s">
        <v>1880</v>
      </c>
      <c r="D161" s="397"/>
      <c r="E161" s="397"/>
      <c r="F161" s="397"/>
      <c r="G161" s="1487">
        <v>88.39</v>
      </c>
      <c r="H161" s="1487">
        <v>84.45</v>
      </c>
      <c r="I161" s="1487">
        <v>120</v>
      </c>
      <c r="J161" s="1487">
        <v>120</v>
      </c>
      <c r="K161" s="1487">
        <v>120</v>
      </c>
      <c r="L161" s="1487">
        <v>120</v>
      </c>
      <c r="M161" s="1487">
        <v>98</v>
      </c>
      <c r="N161" s="1487"/>
      <c r="O161" s="1487"/>
      <c r="P161" s="1487"/>
      <c r="Q161" s="1487"/>
      <c r="R161" s="1487"/>
      <c r="S161" s="1487"/>
      <c r="T161" s="1487"/>
      <c r="V161" s="1489"/>
      <c r="Z161" s="395"/>
      <c r="AA161" s="395"/>
      <c r="AB161" s="395"/>
    </row>
    <row r="162" spans="1:28">
      <c r="A162" s="1997" t="s">
        <v>1939</v>
      </c>
      <c r="B162" s="583"/>
      <c r="C162" s="397" t="s">
        <v>1882</v>
      </c>
      <c r="D162" s="397"/>
      <c r="E162" s="397"/>
      <c r="F162" s="397"/>
      <c r="G162" s="1487">
        <v>904.16</v>
      </c>
      <c r="H162" s="1487">
        <v>756.43</v>
      </c>
      <c r="I162" s="1487">
        <v>434.53</v>
      </c>
      <c r="J162" s="1487">
        <v>739.85</v>
      </c>
      <c r="K162" s="1487">
        <v>766.49</v>
      </c>
      <c r="L162" s="1487">
        <v>550.12</v>
      </c>
      <c r="M162" s="1487">
        <v>736.92</v>
      </c>
      <c r="N162" s="1487"/>
      <c r="O162" s="1487"/>
      <c r="P162" s="1487"/>
      <c r="Q162" s="1487"/>
      <c r="R162" s="1487"/>
      <c r="S162" s="1487"/>
      <c r="T162" s="1487"/>
      <c r="V162" s="1489"/>
      <c r="Z162" s="395"/>
      <c r="AA162" s="395"/>
      <c r="AB162" s="395"/>
    </row>
    <row r="163" spans="1:28">
      <c r="A163" s="2046"/>
      <c r="B163" s="2064"/>
      <c r="C163" s="2047" t="s">
        <v>1162</v>
      </c>
      <c r="D163" s="2047"/>
      <c r="E163" s="2047"/>
      <c r="F163" s="2047"/>
      <c r="G163" s="2005">
        <f t="shared" ref="G163:Q163" si="16">SUM(G92:G162)</f>
        <v>105051.12000000001</v>
      </c>
      <c r="H163" s="2005">
        <f t="shared" si="16"/>
        <v>123725.29999999997</v>
      </c>
      <c r="I163" s="2005">
        <f t="shared" si="16"/>
        <v>143247.4</v>
      </c>
      <c r="J163" s="2005">
        <f t="shared" si="16"/>
        <v>129121.04000000001</v>
      </c>
      <c r="K163" s="2005">
        <f t="shared" si="16"/>
        <v>149618.28999999998</v>
      </c>
      <c r="L163" s="2005">
        <f t="shared" si="16"/>
        <v>145066.52000000002</v>
      </c>
      <c r="M163" s="2005">
        <f t="shared" si="16"/>
        <v>123728.15999999997</v>
      </c>
      <c r="N163" s="2005">
        <f t="shared" si="16"/>
        <v>150023.49000000002</v>
      </c>
      <c r="O163" s="2005">
        <f t="shared" si="16"/>
        <v>142873.10999999999</v>
      </c>
      <c r="P163" s="2005">
        <f t="shared" si="16"/>
        <v>146567.72</v>
      </c>
      <c r="Q163" s="2005">
        <f t="shared" si="16"/>
        <v>144341.63999999996</v>
      </c>
      <c r="R163" s="2005">
        <f>SUM(R92:R162)</f>
        <v>166176.1</v>
      </c>
      <c r="S163" s="2005">
        <f>SUM(S92:S162)</f>
        <v>172451.26999999996</v>
      </c>
      <c r="T163" s="2005">
        <f>SUM(T92:T162)</f>
        <v>345568.65000000008</v>
      </c>
      <c r="U163" s="2005">
        <f t="shared" ref="U163:V163" si="17">SUM(U92:U162)</f>
        <v>235240.55000000005</v>
      </c>
      <c r="V163" s="3150">
        <f t="shared" si="17"/>
        <v>0</v>
      </c>
      <c r="Z163" s="395"/>
      <c r="AA163" s="395"/>
      <c r="AB163" s="395"/>
    </row>
    <row r="164" spans="1:28">
      <c r="A164" s="2048" t="s">
        <v>1163</v>
      </c>
      <c r="B164" s="1999"/>
      <c r="C164" s="397"/>
      <c r="D164" s="397"/>
      <c r="E164" s="397"/>
      <c r="F164" s="397"/>
      <c r="G164" s="1487"/>
      <c r="H164" s="1487"/>
      <c r="I164" s="1487"/>
      <c r="J164" s="1487"/>
      <c r="K164" s="1487"/>
      <c r="L164" s="1487"/>
      <c r="M164" s="1487"/>
      <c r="N164" s="397"/>
      <c r="O164" s="397"/>
      <c r="P164" s="397"/>
      <c r="Q164" s="1487"/>
      <c r="R164" s="1487"/>
      <c r="S164" s="1487"/>
      <c r="T164" s="1487"/>
      <c r="V164" s="1489"/>
      <c r="Z164" s="395"/>
      <c r="AA164" s="395"/>
      <c r="AB164" s="395"/>
    </row>
    <row r="165" spans="1:28">
      <c r="A165" s="1997" t="s">
        <v>1940</v>
      </c>
      <c r="B165" s="583"/>
      <c r="C165" s="397" t="s">
        <v>1178</v>
      </c>
      <c r="D165" s="397"/>
      <c r="E165" s="397"/>
      <c r="F165" s="397"/>
      <c r="G165" s="1487">
        <v>90.78</v>
      </c>
      <c r="H165" s="1487">
        <v>186.2</v>
      </c>
      <c r="I165" s="1487">
        <v>232.75</v>
      </c>
      <c r="J165" s="1487">
        <v>232.75</v>
      </c>
      <c r="K165" s="1487">
        <v>139.65</v>
      </c>
      <c r="L165" s="1487">
        <v>0</v>
      </c>
      <c r="M165" s="1487">
        <v>0</v>
      </c>
      <c r="N165" s="1487"/>
      <c r="O165" s="1487"/>
      <c r="P165" s="397"/>
      <c r="Q165" s="1487"/>
      <c r="R165" s="1487"/>
      <c r="S165" s="1487"/>
      <c r="T165" s="1487"/>
      <c r="V165" s="1489"/>
      <c r="Z165" s="395"/>
      <c r="AA165" s="395"/>
      <c r="AB165" s="395"/>
    </row>
    <row r="166" spans="1:28">
      <c r="A166" s="1997" t="s">
        <v>1941</v>
      </c>
      <c r="B166" s="583"/>
      <c r="C166" s="397" t="s">
        <v>1178</v>
      </c>
      <c r="D166" s="397"/>
      <c r="E166" s="397"/>
      <c r="F166" s="397"/>
      <c r="G166" s="1487">
        <v>837.9</v>
      </c>
      <c r="H166" s="1487">
        <v>837.9</v>
      </c>
      <c r="I166" s="1487">
        <v>837.9</v>
      </c>
      <c r="J166" s="1487">
        <v>837.9</v>
      </c>
      <c r="K166" s="1487">
        <v>884.45</v>
      </c>
      <c r="L166" s="1487">
        <v>884.45</v>
      </c>
      <c r="M166" s="1487">
        <v>919.13</v>
      </c>
      <c r="N166" s="1487"/>
      <c r="O166" s="1487"/>
      <c r="P166" s="397"/>
      <c r="Q166" s="1487"/>
      <c r="R166" s="1487"/>
      <c r="S166" s="1487"/>
      <c r="T166" s="1487"/>
      <c r="V166" s="1489"/>
      <c r="Z166" s="395"/>
      <c r="AA166" s="395"/>
      <c r="AB166" s="395"/>
    </row>
    <row r="167" spans="1:28">
      <c r="A167" s="1997"/>
      <c r="B167" s="583">
        <v>649000</v>
      </c>
      <c r="C167" s="397" t="s">
        <v>1608</v>
      </c>
      <c r="D167" s="397"/>
      <c r="E167" s="397"/>
      <c r="F167" s="397"/>
      <c r="G167" s="1487"/>
      <c r="H167" s="1487"/>
      <c r="I167" s="1487"/>
      <c r="J167" s="1487"/>
      <c r="K167" s="1487"/>
      <c r="L167" s="1487"/>
      <c r="M167" s="1487"/>
      <c r="N167" s="1487"/>
      <c r="O167" s="1487"/>
      <c r="P167" s="397"/>
      <c r="Q167" s="1487"/>
      <c r="R167" s="1487"/>
      <c r="S167" s="1487"/>
      <c r="T167" s="1487">
        <v>8634.75</v>
      </c>
      <c r="U167" s="1965">
        <v>7369.5</v>
      </c>
      <c r="V167" s="1489"/>
      <c r="Z167" s="395"/>
      <c r="AA167" s="395"/>
      <c r="AB167" s="395"/>
    </row>
    <row r="168" spans="1:28">
      <c r="A168" s="1997" t="s">
        <v>1942</v>
      </c>
      <c r="B168" s="583"/>
      <c r="C168" s="397" t="s">
        <v>1178</v>
      </c>
      <c r="D168" s="397"/>
      <c r="E168" s="397"/>
      <c r="F168" s="397"/>
      <c r="G168" s="1487"/>
      <c r="H168" s="1487"/>
      <c r="I168" s="1487"/>
      <c r="J168" s="1487"/>
      <c r="K168" s="1487"/>
      <c r="L168" s="1487"/>
      <c r="M168" s="1487"/>
      <c r="N168" s="1487">
        <v>1329.44</v>
      </c>
      <c r="O168" s="1487">
        <v>1071.48</v>
      </c>
      <c r="P168" s="397">
        <v>1035.96</v>
      </c>
      <c r="Q168" s="1487">
        <v>1001.54</v>
      </c>
      <c r="R168" s="1487">
        <v>1103.25</v>
      </c>
      <c r="S168" s="1487">
        <v>1271.3800000000001</v>
      </c>
      <c r="T168" s="1487"/>
      <c r="V168" s="1489"/>
      <c r="Z168" s="395"/>
      <c r="AA168" s="395"/>
      <c r="AB168" s="395"/>
    </row>
    <row r="169" spans="1:28">
      <c r="A169" s="1997" t="s">
        <v>1943</v>
      </c>
      <c r="B169" s="583"/>
      <c r="C169" s="397" t="s">
        <v>1178</v>
      </c>
      <c r="D169" s="397"/>
      <c r="E169" s="397"/>
      <c r="F169" s="397"/>
      <c r="G169" s="1487">
        <v>93.1</v>
      </c>
      <c r="H169" s="1487">
        <v>93.1</v>
      </c>
      <c r="I169" s="1487">
        <v>93.1</v>
      </c>
      <c r="J169" s="1487">
        <v>93.1</v>
      </c>
      <c r="K169" s="1487">
        <v>93.1</v>
      </c>
      <c r="L169" s="1487">
        <v>93.1</v>
      </c>
      <c r="M169" s="1487">
        <v>96.75</v>
      </c>
      <c r="N169" s="1487"/>
      <c r="O169" s="1487"/>
      <c r="P169" s="397"/>
      <c r="Q169" s="1487"/>
      <c r="R169" s="1487"/>
      <c r="S169" s="1487"/>
      <c r="T169" s="1487"/>
      <c r="V169" s="1489"/>
      <c r="Z169" s="395"/>
      <c r="AA169" s="395"/>
      <c r="AB169" s="395"/>
    </row>
    <row r="170" spans="1:28">
      <c r="A170" s="2046"/>
      <c r="B170" s="2064"/>
      <c r="C170" s="2047" t="s">
        <v>1181</v>
      </c>
      <c r="D170" s="2047"/>
      <c r="E170" s="2047"/>
      <c r="F170" s="2047"/>
      <c r="G170" s="2005">
        <f t="shared" ref="G170:V170" si="18">SUM(G165:G169)</f>
        <v>1021.78</v>
      </c>
      <c r="H170" s="2005">
        <f t="shared" si="18"/>
        <v>1117.1999999999998</v>
      </c>
      <c r="I170" s="2005">
        <f t="shared" si="18"/>
        <v>1163.75</v>
      </c>
      <c r="J170" s="2005">
        <f t="shared" si="18"/>
        <v>1163.75</v>
      </c>
      <c r="K170" s="2005">
        <f t="shared" si="18"/>
        <v>1117.2</v>
      </c>
      <c r="L170" s="2005">
        <f t="shared" si="18"/>
        <v>977.55000000000007</v>
      </c>
      <c r="M170" s="2005">
        <f t="shared" si="18"/>
        <v>1015.88</v>
      </c>
      <c r="N170" s="2005">
        <f t="shared" si="18"/>
        <v>1329.44</v>
      </c>
      <c r="O170" s="2005">
        <f t="shared" si="18"/>
        <v>1071.48</v>
      </c>
      <c r="P170" s="2005">
        <f t="shared" si="18"/>
        <v>1035.96</v>
      </c>
      <c r="Q170" s="2005">
        <f t="shared" si="18"/>
        <v>1001.54</v>
      </c>
      <c r="R170" s="2005">
        <f t="shared" si="18"/>
        <v>1103.25</v>
      </c>
      <c r="S170" s="2005">
        <f t="shared" si="18"/>
        <v>1271.3800000000001</v>
      </c>
      <c r="T170" s="2005">
        <f t="shared" si="18"/>
        <v>8634.75</v>
      </c>
      <c r="U170" s="2005">
        <f t="shared" si="18"/>
        <v>7369.5</v>
      </c>
      <c r="V170" s="3150">
        <f t="shared" si="18"/>
        <v>0</v>
      </c>
      <c r="Z170" s="395"/>
      <c r="AA170" s="395"/>
      <c r="AB170" s="395"/>
    </row>
    <row r="171" spans="1:28">
      <c r="A171" s="2048" t="s">
        <v>47</v>
      </c>
      <c r="B171" s="1999"/>
      <c r="C171" s="397"/>
      <c r="D171" s="397"/>
      <c r="E171" s="397"/>
      <c r="F171" s="397"/>
      <c r="G171" s="1487"/>
      <c r="H171" s="1487"/>
      <c r="I171" s="1487"/>
      <c r="J171" s="1487"/>
      <c r="K171" s="1487"/>
      <c r="L171" s="1487"/>
      <c r="M171" s="1487"/>
      <c r="N171" s="397"/>
      <c r="O171" s="397"/>
      <c r="P171" s="397"/>
      <c r="Q171" s="1487"/>
      <c r="R171" s="1487"/>
      <c r="S171" s="1487"/>
      <c r="T171" s="1487"/>
      <c r="V171" s="1489"/>
      <c r="Z171" s="395"/>
      <c r="AA171" s="395"/>
      <c r="AB171" s="395"/>
    </row>
    <row r="172" spans="1:28">
      <c r="A172" s="1997"/>
      <c r="B172" s="583"/>
      <c r="C172" s="397" t="s">
        <v>1182</v>
      </c>
      <c r="D172" s="397"/>
      <c r="E172" s="397"/>
      <c r="F172" s="397"/>
      <c r="G172" s="1487"/>
      <c r="H172" s="1487"/>
      <c r="I172" s="1487"/>
      <c r="J172" s="1487"/>
      <c r="K172" s="1487"/>
      <c r="L172" s="1487"/>
      <c r="M172" s="1487"/>
      <c r="N172" s="1487"/>
      <c r="O172" s="1487"/>
      <c r="P172" s="397"/>
      <c r="Q172" s="1487"/>
      <c r="R172" s="1487"/>
      <c r="S172" s="1487"/>
      <c r="T172" s="1487"/>
      <c r="V172" s="1489"/>
      <c r="Z172" s="395"/>
      <c r="AA172" s="395"/>
      <c r="AB172" s="395"/>
    </row>
    <row r="173" spans="1:28">
      <c r="A173" s="1997"/>
      <c r="B173" s="583"/>
      <c r="C173" s="397" t="s">
        <v>1183</v>
      </c>
      <c r="D173" s="397"/>
      <c r="E173" s="397"/>
      <c r="F173" s="397"/>
      <c r="G173" s="1487"/>
      <c r="H173" s="1487"/>
      <c r="I173" s="1487"/>
      <c r="J173" s="1487"/>
      <c r="K173" s="1487"/>
      <c r="L173" s="1487"/>
      <c r="M173" s="1487"/>
      <c r="N173" s="1487"/>
      <c r="O173" s="1487"/>
      <c r="P173" s="397"/>
      <c r="Q173" s="1487"/>
      <c r="R173" s="1487"/>
      <c r="S173" s="1487"/>
      <c r="T173" s="1487"/>
      <c r="V173" s="1489"/>
      <c r="Z173" s="395"/>
      <c r="AA173" s="395"/>
      <c r="AB173" s="395"/>
    </row>
    <row r="174" spans="1:28">
      <c r="A174" s="1997"/>
      <c r="B174" s="583"/>
      <c r="C174" s="397" t="s">
        <v>1184</v>
      </c>
      <c r="D174" s="397"/>
      <c r="E174" s="397"/>
      <c r="F174" s="397"/>
      <c r="G174" s="1487">
        <f t="shared" ref="G174:R174" si="19">G242</f>
        <v>29580.16</v>
      </c>
      <c r="H174" s="1487">
        <f t="shared" si="19"/>
        <v>30089.700000000004</v>
      </c>
      <c r="I174" s="1487">
        <f t="shared" si="19"/>
        <v>38810.351999999999</v>
      </c>
      <c r="J174" s="1487">
        <f t="shared" si="19"/>
        <v>71377.34</v>
      </c>
      <c r="K174" s="1487">
        <f t="shared" si="19"/>
        <v>179090.022</v>
      </c>
      <c r="L174" s="1487">
        <f t="shared" si="19"/>
        <v>110584.272</v>
      </c>
      <c r="M174" s="1487">
        <f t="shared" si="19"/>
        <v>90787.782000000007</v>
      </c>
      <c r="N174" s="1487">
        <f t="shared" si="19"/>
        <v>100928.701</v>
      </c>
      <c r="O174" s="1487">
        <f t="shared" si="19"/>
        <v>77268.226333333339</v>
      </c>
      <c r="P174" s="1487">
        <f t="shared" si="19"/>
        <v>81483.571666666656</v>
      </c>
      <c r="Q174" s="1487">
        <f t="shared" si="19"/>
        <v>78782.877333333337</v>
      </c>
      <c r="R174" s="1487">
        <f t="shared" si="19"/>
        <v>79744.452999999994</v>
      </c>
      <c r="S174" s="1487">
        <f>S242</f>
        <v>67970.570999999996</v>
      </c>
      <c r="T174" s="1487">
        <f>T242</f>
        <v>90018.088666666677</v>
      </c>
      <c r="U174" s="1487">
        <f>U242</f>
        <v>68315.308666666679</v>
      </c>
      <c r="V174" s="1489"/>
      <c r="Z174" s="395"/>
      <c r="AA174" s="395"/>
      <c r="AB174" s="395"/>
    </row>
    <row r="175" spans="1:28">
      <c r="A175" s="2046"/>
      <c r="B175" s="2064"/>
      <c r="C175" s="2047" t="s">
        <v>1185</v>
      </c>
      <c r="D175" s="2047"/>
      <c r="E175" s="2047"/>
      <c r="F175" s="2047"/>
      <c r="G175" s="2005">
        <f t="shared" ref="G175:R175" si="20">SUM(G172:G174)</f>
        <v>29580.16</v>
      </c>
      <c r="H175" s="2005">
        <f t="shared" si="20"/>
        <v>30089.700000000004</v>
      </c>
      <c r="I175" s="2005">
        <f t="shared" si="20"/>
        <v>38810.351999999999</v>
      </c>
      <c r="J175" s="2005">
        <f t="shared" si="20"/>
        <v>71377.34</v>
      </c>
      <c r="K175" s="2005">
        <f t="shared" si="20"/>
        <v>179090.022</v>
      </c>
      <c r="L175" s="2005">
        <f t="shared" si="20"/>
        <v>110584.272</v>
      </c>
      <c r="M175" s="2005">
        <f t="shared" si="20"/>
        <v>90787.782000000007</v>
      </c>
      <c r="N175" s="2005">
        <f t="shared" si="20"/>
        <v>100928.701</v>
      </c>
      <c r="O175" s="2005">
        <f t="shared" si="20"/>
        <v>77268.226333333339</v>
      </c>
      <c r="P175" s="2005">
        <f t="shared" si="20"/>
        <v>81483.571666666656</v>
      </c>
      <c r="Q175" s="2005">
        <f t="shared" si="20"/>
        <v>78782.877333333337</v>
      </c>
      <c r="R175" s="2005">
        <f t="shared" si="20"/>
        <v>79744.452999999994</v>
      </c>
      <c r="S175" s="2005">
        <f>SUM(S172:S174)</f>
        <v>67970.570999999996</v>
      </c>
      <c r="T175" s="2005">
        <f>SUM(T172:T174)</f>
        <v>90018.088666666677</v>
      </c>
      <c r="U175" s="2005">
        <f t="shared" ref="U175:V175" si="21">SUM(U172:U174)</f>
        <v>68315.308666666679</v>
      </c>
      <c r="V175" s="3150">
        <f t="shared" si="21"/>
        <v>0</v>
      </c>
      <c r="Z175" s="395"/>
      <c r="AA175" s="395"/>
      <c r="AB175" s="395"/>
    </row>
    <row r="176" spans="1:28">
      <c r="A176" s="2021"/>
      <c r="B176" s="2069"/>
      <c r="C176" s="2022" t="s">
        <v>1186</v>
      </c>
      <c r="D176" s="2022"/>
      <c r="E176" s="2022"/>
      <c r="F176" s="2022"/>
      <c r="G176" s="2009">
        <f t="shared" ref="G176:R176" si="22">G90+G163+G170+G175</f>
        <v>837589.95</v>
      </c>
      <c r="H176" s="2009">
        <f t="shared" si="22"/>
        <v>916721.29999999993</v>
      </c>
      <c r="I176" s="2009">
        <f t="shared" si="22"/>
        <v>994661.06199999992</v>
      </c>
      <c r="J176" s="2009">
        <f t="shared" si="22"/>
        <v>1021330.7399999998</v>
      </c>
      <c r="K176" s="2009">
        <f t="shared" si="22"/>
        <v>1141686.602</v>
      </c>
      <c r="L176" s="2009">
        <f t="shared" si="22"/>
        <v>1089828.6520000002</v>
      </c>
      <c r="M176" s="2009">
        <f t="shared" si="22"/>
        <v>962289.58199999994</v>
      </c>
      <c r="N176" s="2009">
        <f t="shared" si="22"/>
        <v>1154859.1910000001</v>
      </c>
      <c r="O176" s="2009">
        <f t="shared" si="22"/>
        <v>1145881.0563333335</v>
      </c>
      <c r="P176" s="2009">
        <f t="shared" si="22"/>
        <v>1155529.6216666666</v>
      </c>
      <c r="Q176" s="2009">
        <f t="shared" si="22"/>
        <v>1168890.8473333335</v>
      </c>
      <c r="R176" s="2009">
        <f t="shared" si="22"/>
        <v>1237436.4029999999</v>
      </c>
      <c r="S176" s="2009">
        <f>S90+S163+S170+S175</f>
        <v>1288409.1109999998</v>
      </c>
      <c r="T176" s="2009">
        <f>T90+T163+T170+T175</f>
        <v>444221.48866666679</v>
      </c>
      <c r="U176" s="2009">
        <f t="shared" ref="U176:V176" si="23">U90+U163+U170+U175</f>
        <v>310925.35866666673</v>
      </c>
      <c r="V176" s="2070">
        <f t="shared" si="23"/>
        <v>0</v>
      </c>
      <c r="Z176" s="395"/>
      <c r="AA176" s="395"/>
      <c r="AB176" s="395"/>
    </row>
    <row r="177" spans="1:28">
      <c r="A177" s="1984" t="s">
        <v>1187</v>
      </c>
      <c r="B177" s="1985"/>
      <c r="C177" s="1986"/>
      <c r="D177" s="1986"/>
      <c r="E177" s="1986"/>
      <c r="F177" s="1986"/>
      <c r="G177" s="2013"/>
      <c r="H177" s="2013"/>
      <c r="I177" s="2013"/>
      <c r="J177" s="2013"/>
      <c r="K177" s="2013"/>
      <c r="L177" s="2013"/>
      <c r="M177" s="2013"/>
      <c r="N177" s="2013"/>
      <c r="O177" s="2013"/>
      <c r="P177" s="2013"/>
      <c r="Q177" s="2013"/>
      <c r="R177" s="2013"/>
      <c r="S177" s="1987"/>
      <c r="T177" s="1987"/>
      <c r="U177" s="1987"/>
      <c r="V177" s="1988"/>
      <c r="Z177" s="395"/>
      <c r="AA177" s="395"/>
      <c r="AB177" s="395"/>
    </row>
    <row r="178" spans="1:28">
      <c r="A178" s="1997"/>
      <c r="B178" s="583"/>
      <c r="C178" s="397" t="s">
        <v>1944</v>
      </c>
      <c r="D178" s="397"/>
      <c r="E178" s="397"/>
      <c r="F178" s="397"/>
      <c r="G178" s="1487">
        <v>14713.6</v>
      </c>
      <c r="H178" s="1487">
        <v>7724.64</v>
      </c>
      <c r="I178" s="1487">
        <v>3942.79</v>
      </c>
      <c r="J178" s="1487">
        <v>12213.44</v>
      </c>
      <c r="K178" s="1487">
        <v>5632.55</v>
      </c>
      <c r="L178" s="1487">
        <v>10328.26</v>
      </c>
      <c r="M178" s="1487">
        <v>12414.61</v>
      </c>
      <c r="N178" s="1487"/>
      <c r="O178" s="1487"/>
      <c r="P178" s="1487"/>
      <c r="Q178" s="1487"/>
      <c r="R178" s="1487"/>
      <c r="S178" s="1487"/>
      <c r="T178" s="1487"/>
      <c r="V178" s="1489"/>
      <c r="Z178" s="395"/>
      <c r="AA178" s="395"/>
      <c r="AB178" s="395"/>
    </row>
    <row r="179" spans="1:28">
      <c r="A179" s="1997"/>
      <c r="B179" s="583"/>
      <c r="C179" s="397" t="s">
        <v>1189</v>
      </c>
      <c r="D179" s="397"/>
      <c r="E179" s="397"/>
      <c r="F179" s="397"/>
      <c r="G179" s="1487">
        <v>15841.16</v>
      </c>
      <c r="H179" s="1487">
        <v>32048.71</v>
      </c>
      <c r="I179" s="1487">
        <v>19240.62</v>
      </c>
      <c r="J179" s="1487">
        <v>82072.800000000003</v>
      </c>
      <c r="K179" s="1487">
        <v>35554.9</v>
      </c>
      <c r="L179" s="1487">
        <v>20254.73</v>
      </c>
      <c r="M179" s="1487">
        <v>24161.74</v>
      </c>
      <c r="N179" s="1487">
        <v>10053.6</v>
      </c>
      <c r="O179" s="1487">
        <v>10053.6</v>
      </c>
      <c r="P179" s="1487">
        <v>129190.02</v>
      </c>
      <c r="Q179" s="1487">
        <v>16998.82</v>
      </c>
      <c r="R179" s="1487">
        <v>5841.35</v>
      </c>
      <c r="S179" s="1487">
        <v>67022.12</v>
      </c>
      <c r="T179" s="1487">
        <v>53269.08</v>
      </c>
      <c r="U179" s="1965">
        <v>20676.099999999999</v>
      </c>
      <c r="V179" s="1489"/>
      <c r="Z179" s="395"/>
      <c r="AA179" s="395"/>
      <c r="AB179" s="395"/>
    </row>
    <row r="180" spans="1:28">
      <c r="A180" s="1997"/>
      <c r="B180" s="583"/>
      <c r="C180" s="397" t="s">
        <v>1945</v>
      </c>
      <c r="D180" s="397"/>
      <c r="E180" s="397"/>
      <c r="F180" s="397"/>
      <c r="G180" s="1487">
        <v>19211.939999999999</v>
      </c>
      <c r="H180" s="1487">
        <v>9833.9500000000007</v>
      </c>
      <c r="I180" s="1487">
        <v>14917.92</v>
      </c>
      <c r="J180" s="1487">
        <v>19827.66</v>
      </c>
      <c r="K180" s="1487">
        <f>50500+19524.45</f>
        <v>70024.45</v>
      </c>
      <c r="L180" s="1487">
        <v>19992.11</v>
      </c>
      <c r="M180" s="1487"/>
      <c r="N180" s="397"/>
      <c r="O180" s="1487"/>
      <c r="P180" s="1487">
        <v>41736.19</v>
      </c>
      <c r="Q180" s="1487">
        <v>20637.54</v>
      </c>
      <c r="R180" s="1487">
        <v>41376.550000000003</v>
      </c>
      <c r="S180" s="1487">
        <v>37329.160000000003</v>
      </c>
      <c r="T180" s="1487">
        <v>12090.48</v>
      </c>
      <c r="U180" s="1965">
        <v>53264.33</v>
      </c>
      <c r="V180" s="1489"/>
      <c r="Z180" s="395"/>
      <c r="AA180" s="395"/>
      <c r="AB180" s="395"/>
    </row>
    <row r="181" spans="1:28">
      <c r="A181" s="1997"/>
      <c r="B181" s="583"/>
      <c r="C181" s="397" t="s">
        <v>1946</v>
      </c>
      <c r="D181" s="397"/>
      <c r="E181" s="397"/>
      <c r="F181" s="397"/>
      <c r="G181" s="1487">
        <v>300</v>
      </c>
      <c r="H181" s="1487">
        <v>1000</v>
      </c>
      <c r="I181" s="1487">
        <v>0</v>
      </c>
      <c r="J181" s="1487">
        <v>1000</v>
      </c>
      <c r="K181" s="1487">
        <v>0</v>
      </c>
      <c r="L181" s="1487"/>
      <c r="M181" s="1487"/>
      <c r="N181" s="397"/>
      <c r="O181" s="1487"/>
      <c r="P181" s="1487"/>
      <c r="Q181" s="1487"/>
      <c r="R181" s="1487"/>
      <c r="S181" s="1487"/>
      <c r="T181" s="1487"/>
      <c r="V181" s="1489"/>
      <c r="Z181" s="395"/>
      <c r="AA181" s="395"/>
      <c r="AB181" s="395"/>
    </row>
    <row r="182" spans="1:28">
      <c r="A182" s="1997"/>
      <c r="B182" s="583"/>
      <c r="C182" s="397" t="s">
        <v>1947</v>
      </c>
      <c r="D182" s="397"/>
      <c r="E182" s="397"/>
      <c r="F182" s="397"/>
      <c r="G182" s="1487">
        <f>12286.34+7500</f>
        <v>19786.34</v>
      </c>
      <c r="H182" s="1487">
        <v>6164.3</v>
      </c>
      <c r="I182" s="1487">
        <v>0</v>
      </c>
      <c r="J182" s="1487">
        <v>39000</v>
      </c>
      <c r="K182" s="1487">
        <f>25387.62+11447.37+116997.32</f>
        <v>153832.31</v>
      </c>
      <c r="L182" s="1487">
        <v>24950.74</v>
      </c>
      <c r="M182" s="1487"/>
      <c r="N182" s="397"/>
      <c r="O182" s="1487"/>
      <c r="P182" s="1487"/>
      <c r="Q182" s="1487">
        <v>50062.89</v>
      </c>
      <c r="R182" s="1487">
        <v>73064.84</v>
      </c>
      <c r="S182" s="1487"/>
      <c r="T182" s="1487"/>
      <c r="V182" s="1489"/>
      <c r="Z182" s="395"/>
      <c r="AA182" s="395"/>
      <c r="AB182" s="395"/>
    </row>
    <row r="183" spans="1:28">
      <c r="A183" s="1997"/>
      <c r="B183" s="583"/>
      <c r="C183" s="397" t="s">
        <v>1948</v>
      </c>
      <c r="D183" s="397"/>
      <c r="E183" s="397"/>
      <c r="F183" s="397"/>
      <c r="G183" s="1487"/>
      <c r="H183" s="1487"/>
      <c r="I183" s="1487"/>
      <c r="J183" s="1487"/>
      <c r="K183" s="1487"/>
      <c r="L183" s="1487"/>
      <c r="M183" s="1487"/>
      <c r="N183" s="397"/>
      <c r="O183" s="1487">
        <v>17698.759999999998</v>
      </c>
      <c r="P183" s="1487">
        <v>571438.92000000004</v>
      </c>
      <c r="Q183" s="1487"/>
      <c r="R183" s="1487"/>
      <c r="S183" s="1487"/>
      <c r="T183" s="1487"/>
      <c r="V183" s="1489"/>
      <c r="Z183" s="395"/>
      <c r="AA183" s="395"/>
      <c r="AB183" s="395"/>
    </row>
    <row r="184" spans="1:28">
      <c r="A184" s="1997"/>
      <c r="B184" s="583"/>
      <c r="C184" s="397" t="s">
        <v>1949</v>
      </c>
      <c r="D184" s="397"/>
      <c r="E184" s="397"/>
      <c r="F184" s="397"/>
      <c r="G184" s="1487"/>
      <c r="H184" s="1487"/>
      <c r="I184" s="1487"/>
      <c r="J184" s="1487"/>
      <c r="K184" s="1487"/>
      <c r="L184" s="1487"/>
      <c r="M184" s="1487">
        <v>161724.14000000001</v>
      </c>
      <c r="N184" s="397"/>
      <c r="O184" s="1487"/>
      <c r="P184" s="1487"/>
      <c r="Q184" s="1487"/>
      <c r="R184" s="1487"/>
      <c r="S184" s="1487"/>
      <c r="T184" s="1487"/>
      <c r="V184" s="1489"/>
      <c r="Z184" s="395"/>
      <c r="AA184" s="395"/>
      <c r="AB184" s="395"/>
    </row>
    <row r="185" spans="1:28">
      <c r="A185" s="1997"/>
      <c r="B185" s="583"/>
      <c r="C185" s="397" t="s">
        <v>1950</v>
      </c>
      <c r="D185" s="397"/>
      <c r="E185" s="397"/>
      <c r="F185" s="397"/>
      <c r="G185" s="1487"/>
      <c r="H185" s="1487"/>
      <c r="I185" s="1487"/>
      <c r="J185" s="1487"/>
      <c r="K185" s="1487"/>
      <c r="L185" s="1487"/>
      <c r="M185" s="1487">
        <v>587706.39</v>
      </c>
      <c r="N185" s="1486">
        <f>357232.49+18981.68</f>
        <v>376214.17</v>
      </c>
      <c r="O185" s="1487">
        <v>11882.84</v>
      </c>
      <c r="P185" s="1487"/>
      <c r="Q185" s="1487"/>
      <c r="R185" s="1487"/>
      <c r="S185" s="1487"/>
      <c r="T185" s="1487"/>
      <c r="V185" s="1489"/>
      <c r="Z185" s="395"/>
      <c r="AA185" s="395"/>
      <c r="AB185" s="395"/>
    </row>
    <row r="186" spans="1:28">
      <c r="A186" s="2021"/>
      <c r="B186" s="2069"/>
      <c r="C186" s="2022" t="s">
        <v>1192</v>
      </c>
      <c r="D186" s="2022"/>
      <c r="E186" s="2022"/>
      <c r="F186" s="2022"/>
      <c r="G186" s="2009">
        <f t="shared" ref="G186:V186" si="24">SUM(G178:G185)</f>
        <v>69853.039999999994</v>
      </c>
      <c r="H186" s="2009">
        <f t="shared" si="24"/>
        <v>56771.600000000006</v>
      </c>
      <c r="I186" s="2009">
        <f t="shared" si="24"/>
        <v>38101.33</v>
      </c>
      <c r="J186" s="2009">
        <f t="shared" si="24"/>
        <v>154113.90000000002</v>
      </c>
      <c r="K186" s="2009">
        <f t="shared" si="24"/>
        <v>265044.20999999996</v>
      </c>
      <c r="L186" s="2009">
        <f t="shared" si="24"/>
        <v>75525.84</v>
      </c>
      <c r="M186" s="2009">
        <f t="shared" si="24"/>
        <v>786006.88</v>
      </c>
      <c r="N186" s="2009">
        <f t="shared" si="24"/>
        <v>386267.76999999996</v>
      </c>
      <c r="O186" s="2009">
        <f t="shared" si="24"/>
        <v>39635.199999999997</v>
      </c>
      <c r="P186" s="2009">
        <f t="shared" si="24"/>
        <v>742365.13000000012</v>
      </c>
      <c r="Q186" s="2009">
        <f t="shared" si="24"/>
        <v>87699.25</v>
      </c>
      <c r="R186" s="2009">
        <f t="shared" si="24"/>
        <v>120282.73999999999</v>
      </c>
      <c r="S186" s="2009">
        <f t="shared" si="24"/>
        <v>104351.28</v>
      </c>
      <c r="T186" s="2009">
        <f t="shared" si="24"/>
        <v>65359.56</v>
      </c>
      <c r="U186" s="2009">
        <f t="shared" si="24"/>
        <v>73940.429999999993</v>
      </c>
      <c r="V186" s="2070">
        <f t="shared" si="24"/>
        <v>0</v>
      </c>
      <c r="Z186" s="395"/>
      <c r="AA186" s="395"/>
      <c r="AB186" s="395"/>
    </row>
    <row r="187" spans="1:28">
      <c r="A187" s="1633"/>
      <c r="B187" s="1633"/>
      <c r="C187" s="395"/>
      <c r="D187" s="395"/>
      <c r="E187" s="395"/>
      <c r="F187" s="395"/>
      <c r="N187" s="395"/>
      <c r="O187" s="395"/>
      <c r="P187" s="395"/>
      <c r="Z187" s="395"/>
      <c r="AA187" s="395"/>
      <c r="AB187" s="395"/>
    </row>
    <row r="188" spans="1:28">
      <c r="A188" s="1633"/>
      <c r="B188" s="1633"/>
      <c r="C188" s="395"/>
      <c r="D188" s="395"/>
      <c r="E188" s="395"/>
      <c r="F188" s="395"/>
      <c r="N188" s="395"/>
      <c r="O188" s="395"/>
      <c r="P188" s="395"/>
      <c r="Z188" s="395"/>
      <c r="AA188" s="395"/>
      <c r="AB188" s="395"/>
    </row>
    <row r="189" spans="1:28">
      <c r="A189" s="2067"/>
      <c r="B189" s="2068"/>
      <c r="C189" s="2049"/>
      <c r="D189" s="2027"/>
      <c r="E189" s="2027" t="s">
        <v>1194</v>
      </c>
      <c r="F189" s="2028" t="s">
        <v>1195</v>
      </c>
      <c r="G189" s="1990">
        <v>2007</v>
      </c>
      <c r="H189" s="1990">
        <v>2008</v>
      </c>
      <c r="I189" s="1990">
        <v>2009</v>
      </c>
      <c r="J189" s="1990">
        <v>2010</v>
      </c>
      <c r="K189" s="1990">
        <v>2011</v>
      </c>
      <c r="L189" s="1990">
        <v>2012</v>
      </c>
      <c r="M189" s="1990">
        <v>2013</v>
      </c>
      <c r="N189" s="1990">
        <v>2014</v>
      </c>
      <c r="O189" s="1990">
        <v>2015</v>
      </c>
      <c r="P189" s="1990">
        <v>2016</v>
      </c>
      <c r="Q189" s="1990">
        <v>2017</v>
      </c>
      <c r="R189" s="1990">
        <v>2018</v>
      </c>
      <c r="S189" s="1990">
        <v>2019</v>
      </c>
      <c r="T189" s="1990">
        <v>2020</v>
      </c>
      <c r="U189" s="1990">
        <v>2021</v>
      </c>
      <c r="V189" s="2050">
        <v>2022</v>
      </c>
      <c r="Z189" s="395"/>
      <c r="AA189" s="395"/>
      <c r="AB189" s="395"/>
    </row>
    <row r="190" spans="1:28">
      <c r="A190" s="3020"/>
      <c r="B190" s="3816"/>
      <c r="C190" s="1591" t="s">
        <v>1951</v>
      </c>
      <c r="D190" s="1487"/>
      <c r="E190" s="2039"/>
      <c r="F190" s="2040"/>
      <c r="G190" s="2040"/>
      <c r="H190" s="2040"/>
      <c r="I190" s="2040"/>
      <c r="J190" s="2040"/>
      <c r="K190" s="2040"/>
      <c r="L190" s="2040"/>
      <c r="M190" s="2040"/>
      <c r="N190" s="2040"/>
      <c r="O190" s="2040"/>
      <c r="P190" s="2040"/>
      <c r="Q190" s="2040"/>
      <c r="R190" s="2040"/>
      <c r="S190" s="2040"/>
      <c r="T190" s="2040"/>
      <c r="U190" s="2040"/>
      <c r="V190" s="2059"/>
      <c r="Z190" s="1975"/>
      <c r="AA190" s="1975"/>
      <c r="AB190" s="1975"/>
    </row>
    <row r="191" spans="1:28">
      <c r="A191" s="3020"/>
      <c r="B191" s="3816"/>
      <c r="C191" s="397"/>
      <c r="D191" s="1487"/>
      <c r="E191" s="2039"/>
      <c r="F191" s="2040"/>
      <c r="G191" s="2040"/>
      <c r="H191" s="2040"/>
      <c r="I191" s="2040"/>
      <c r="J191" s="2040"/>
      <c r="K191" s="2040"/>
      <c r="L191" s="2040"/>
      <c r="M191" s="2040"/>
      <c r="N191" s="2040"/>
      <c r="O191" s="2040"/>
      <c r="P191" s="2040"/>
      <c r="Q191" s="2040"/>
      <c r="R191" s="2040"/>
      <c r="S191" s="2040"/>
      <c r="T191" s="2040"/>
      <c r="U191" s="2040"/>
      <c r="V191" s="2059"/>
      <c r="Z191" s="1975"/>
      <c r="AA191" s="1975"/>
      <c r="AB191" s="1975"/>
    </row>
    <row r="192" spans="1:28">
      <c r="A192" s="3020">
        <v>2021</v>
      </c>
      <c r="B192" s="3816"/>
      <c r="C192" s="397" t="s">
        <v>1954</v>
      </c>
      <c r="D192" s="1487">
        <v>53264.33</v>
      </c>
      <c r="E192" s="2039"/>
      <c r="F192" s="2040"/>
      <c r="G192" s="2040"/>
      <c r="H192" s="2040"/>
      <c r="I192" s="2040"/>
      <c r="J192" s="2040"/>
      <c r="K192" s="2040"/>
      <c r="L192" s="2040"/>
      <c r="M192" s="2040"/>
      <c r="N192" s="2040"/>
      <c r="O192" s="2040"/>
      <c r="P192" s="2040"/>
      <c r="Q192" s="2040"/>
      <c r="R192" s="2040"/>
      <c r="S192" s="2040"/>
      <c r="T192" s="2040"/>
      <c r="U192" s="2040"/>
      <c r="V192" s="2059"/>
      <c r="Z192" s="1975"/>
      <c r="AA192" s="1975"/>
      <c r="AB192" s="1975"/>
    </row>
    <row r="193" spans="1:28">
      <c r="A193" s="3020"/>
      <c r="B193" s="3816"/>
      <c r="C193" s="397" t="s">
        <v>1614</v>
      </c>
      <c r="D193" s="1487">
        <v>20676.099999999999</v>
      </c>
      <c r="E193" s="2039" t="s">
        <v>1197</v>
      </c>
      <c r="F193" s="2040">
        <f>D193/5</f>
        <v>4135.2199999999993</v>
      </c>
      <c r="G193" s="2040"/>
      <c r="H193" s="2040"/>
      <c r="I193" s="2040"/>
      <c r="J193" s="2040"/>
      <c r="K193" s="2040"/>
      <c r="L193" s="2040"/>
      <c r="M193" s="2040"/>
      <c r="N193" s="2040"/>
      <c r="O193" s="2040"/>
      <c r="P193" s="2040"/>
      <c r="Q193" s="2040"/>
      <c r="R193" s="2040"/>
      <c r="S193" s="2040"/>
      <c r="T193" s="2040"/>
      <c r="U193" s="2040">
        <v>4135.22</v>
      </c>
      <c r="V193" s="2059">
        <v>4135.22</v>
      </c>
      <c r="Z193" s="1975"/>
      <c r="AA193" s="1975"/>
      <c r="AB193" s="1975"/>
    </row>
    <row r="194" spans="1:28">
      <c r="A194" s="3020">
        <v>2020</v>
      </c>
      <c r="B194" s="3816"/>
      <c r="C194" s="397" t="s">
        <v>1954</v>
      </c>
      <c r="D194" s="1487">
        <v>12090.48</v>
      </c>
      <c r="E194" s="2039"/>
      <c r="F194" s="2040"/>
      <c r="G194" s="2040"/>
      <c r="H194" s="2040"/>
      <c r="I194" s="2040"/>
      <c r="J194" s="2040"/>
      <c r="K194" s="2040"/>
      <c r="L194" s="2040"/>
      <c r="M194" s="2040"/>
      <c r="N194" s="2040"/>
      <c r="O194" s="2040"/>
      <c r="P194" s="2040"/>
      <c r="Q194" s="2040"/>
      <c r="R194" s="2040"/>
      <c r="S194" s="2040"/>
      <c r="T194" s="2040"/>
      <c r="U194" s="2040"/>
      <c r="V194" s="2059"/>
      <c r="Z194" s="1975"/>
      <c r="AA194" s="1975"/>
      <c r="AB194" s="1975"/>
    </row>
    <row r="195" spans="1:28">
      <c r="A195" s="3020"/>
      <c r="B195" s="3816"/>
      <c r="C195" s="397" t="s">
        <v>1614</v>
      </c>
      <c r="D195" s="1487">
        <v>53269.08</v>
      </c>
      <c r="E195" s="2039" t="s">
        <v>1197</v>
      </c>
      <c r="F195" s="2040">
        <f>D195/5</f>
        <v>10653.816000000001</v>
      </c>
      <c r="G195" s="2040"/>
      <c r="H195" s="2040"/>
      <c r="I195" s="2040"/>
      <c r="J195" s="2040"/>
      <c r="K195" s="2040"/>
      <c r="L195" s="2040"/>
      <c r="M195" s="2040"/>
      <c r="N195" s="2040"/>
      <c r="O195" s="2040"/>
      <c r="P195" s="2040"/>
      <c r="Q195" s="2040"/>
      <c r="R195" s="2040"/>
      <c r="S195" s="2040"/>
      <c r="T195" s="2040">
        <v>10653.82</v>
      </c>
      <c r="U195" s="2040">
        <v>10653.82</v>
      </c>
      <c r="V195" s="2059">
        <v>10653.82</v>
      </c>
      <c r="Z195" s="1975"/>
      <c r="AA195" s="1975"/>
      <c r="AB195" s="1975"/>
    </row>
    <row r="196" spans="1:28">
      <c r="A196" s="3020">
        <v>2019</v>
      </c>
      <c r="B196" s="3816"/>
      <c r="C196" s="397" t="s">
        <v>1954</v>
      </c>
      <c r="D196" s="1487">
        <v>37329.160000000003</v>
      </c>
      <c r="E196" s="2039"/>
      <c r="F196" s="2040"/>
      <c r="G196" s="2040"/>
      <c r="H196" s="2040"/>
      <c r="I196" s="2040"/>
      <c r="J196" s="2040"/>
      <c r="K196" s="2040"/>
      <c r="L196" s="2040"/>
      <c r="M196" s="2040"/>
      <c r="N196" s="2040"/>
      <c r="O196" s="2040"/>
      <c r="P196" s="2040"/>
      <c r="Q196" s="2040"/>
      <c r="R196" s="2040"/>
      <c r="S196" s="2040"/>
      <c r="T196" s="2040"/>
      <c r="U196" s="2040"/>
      <c r="V196" s="2059"/>
      <c r="Z196" s="1975"/>
      <c r="AA196" s="1975"/>
      <c r="AB196" s="1975"/>
    </row>
    <row r="197" spans="1:28">
      <c r="A197" s="3020"/>
      <c r="B197" s="3816"/>
      <c r="C197" s="397" t="s">
        <v>1955</v>
      </c>
      <c r="D197" s="1487">
        <v>67022.12</v>
      </c>
      <c r="E197" s="2039" t="s">
        <v>1197</v>
      </c>
      <c r="F197" s="2040">
        <f>D197/5</f>
        <v>13404.423999999999</v>
      </c>
      <c r="G197" s="2040"/>
      <c r="H197" s="2040"/>
      <c r="I197" s="2040"/>
      <c r="J197" s="2040"/>
      <c r="K197" s="2040"/>
      <c r="L197" s="2040"/>
      <c r="M197" s="2040"/>
      <c r="N197" s="2040"/>
      <c r="O197" s="2040"/>
      <c r="P197" s="2040"/>
      <c r="Q197" s="2040"/>
      <c r="R197" s="2040"/>
      <c r="S197" s="2040"/>
      <c r="T197" s="2040">
        <v>13404.42</v>
      </c>
      <c r="U197" s="2040">
        <v>13404.42</v>
      </c>
      <c r="V197" s="2059">
        <v>13404.42</v>
      </c>
      <c r="Z197" s="1975"/>
      <c r="AA197" s="1975"/>
      <c r="AB197" s="1975"/>
    </row>
    <row r="198" spans="1:28">
      <c r="A198" s="3020">
        <v>2018</v>
      </c>
      <c r="B198" s="3816"/>
      <c r="C198" s="397" t="s">
        <v>1952</v>
      </c>
      <c r="D198" s="1487">
        <v>73064.84</v>
      </c>
      <c r="E198" s="2039" t="s">
        <v>1953</v>
      </c>
      <c r="F198" s="2040">
        <f>D198/30</f>
        <v>2435.4946666666665</v>
      </c>
      <c r="G198" s="2040"/>
      <c r="H198" s="2040"/>
      <c r="I198" s="2040"/>
      <c r="J198" s="2040"/>
      <c r="K198" s="2040"/>
      <c r="L198" s="2040"/>
      <c r="M198" s="2040"/>
      <c r="N198" s="2040"/>
      <c r="O198" s="2040"/>
      <c r="P198" s="2040"/>
      <c r="Q198" s="2040"/>
      <c r="R198" s="2040">
        <f>$F$198</f>
        <v>2435.4946666666665</v>
      </c>
      <c r="S198" s="2040">
        <f>$F$198</f>
        <v>2435.4946666666665</v>
      </c>
      <c r="T198" s="2040">
        <f>$F$198</f>
        <v>2435.4946666666665</v>
      </c>
      <c r="U198" s="2040">
        <f>$F$198</f>
        <v>2435.4946666666665</v>
      </c>
      <c r="V198" s="2059">
        <f>$F$198</f>
        <v>2435.4946666666665</v>
      </c>
      <c r="Z198" s="1975"/>
      <c r="AA198" s="1975"/>
      <c r="AB198" s="1975"/>
    </row>
    <row r="199" spans="1:28">
      <c r="A199" s="3020"/>
      <c r="B199" s="3816"/>
      <c r="C199" s="397" t="s">
        <v>1954</v>
      </c>
      <c r="D199" s="1487">
        <v>41376.550000000003</v>
      </c>
      <c r="E199" s="2039"/>
      <c r="F199" s="2040"/>
      <c r="G199" s="2040"/>
      <c r="H199" s="2040"/>
      <c r="I199" s="2040"/>
      <c r="J199" s="2040"/>
      <c r="K199" s="2040"/>
      <c r="L199" s="2040"/>
      <c r="M199" s="2040"/>
      <c r="N199" s="2040"/>
      <c r="O199" s="2040"/>
      <c r="P199" s="2040"/>
      <c r="Q199" s="2040"/>
      <c r="R199" s="2040"/>
      <c r="S199" s="2040"/>
      <c r="T199" s="2040"/>
      <c r="U199" s="2040"/>
      <c r="V199" s="2059"/>
      <c r="Z199" s="1975"/>
      <c r="AA199" s="1975"/>
      <c r="AB199" s="1975"/>
    </row>
    <row r="200" spans="1:28">
      <c r="A200" s="3020"/>
      <c r="B200" s="3816"/>
      <c r="C200" s="397" t="s">
        <v>1955</v>
      </c>
      <c r="D200" s="1487">
        <v>29206.77</v>
      </c>
      <c r="E200" s="2039" t="s">
        <v>1197</v>
      </c>
      <c r="F200" s="2040">
        <f>D200/5</f>
        <v>5841.3540000000003</v>
      </c>
      <c r="G200" s="2040"/>
      <c r="H200" s="2040"/>
      <c r="I200" s="2040"/>
      <c r="J200" s="2040"/>
      <c r="K200" s="2040"/>
      <c r="L200" s="2040"/>
      <c r="M200" s="2040"/>
      <c r="N200" s="2040"/>
      <c r="O200" s="2040"/>
      <c r="P200" s="2040"/>
      <c r="Q200" s="2040"/>
      <c r="R200" s="2040">
        <f>$F$200</f>
        <v>5841.3540000000003</v>
      </c>
      <c r="S200" s="2040">
        <f>$F$200</f>
        <v>5841.3540000000003</v>
      </c>
      <c r="T200" s="2040">
        <f>$F$200</f>
        <v>5841.3540000000003</v>
      </c>
      <c r="U200" s="2040">
        <f>$F$200</f>
        <v>5841.3540000000003</v>
      </c>
      <c r="V200" s="2059">
        <f>$F$200</f>
        <v>5841.3540000000003</v>
      </c>
      <c r="Z200" s="1975"/>
      <c r="AA200" s="1975"/>
      <c r="AB200" s="1975"/>
    </row>
    <row r="201" spans="1:28">
      <c r="A201" s="3020">
        <v>2017</v>
      </c>
      <c r="B201" s="3816"/>
      <c r="C201" s="397" t="s">
        <v>1614</v>
      </c>
      <c r="D201" s="1487">
        <v>16998.82</v>
      </c>
      <c r="E201" s="2039" t="s">
        <v>1197</v>
      </c>
      <c r="F201" s="2040">
        <f>D201/5</f>
        <v>3399.7640000000001</v>
      </c>
      <c r="G201" s="2040"/>
      <c r="H201" s="2040"/>
      <c r="I201" s="2040"/>
      <c r="J201" s="2040"/>
      <c r="K201" s="2040"/>
      <c r="L201" s="2040"/>
      <c r="M201" s="2040"/>
      <c r="N201" s="2040"/>
      <c r="O201" s="2040"/>
      <c r="P201" s="2040"/>
      <c r="Q201" s="2040">
        <f>F201</f>
        <v>3399.7640000000001</v>
      </c>
      <c r="R201" s="2040">
        <v>3399.76</v>
      </c>
      <c r="S201" s="2040">
        <v>3399.76</v>
      </c>
      <c r="T201" s="2040">
        <v>3399.76</v>
      </c>
      <c r="U201" s="2040">
        <v>3399.76</v>
      </c>
      <c r="V201" s="2059"/>
      <c r="Z201" s="1975"/>
      <c r="AA201" s="1975"/>
      <c r="AB201" s="1975"/>
    </row>
    <row r="202" spans="1:28">
      <c r="A202" s="3020"/>
      <c r="B202" s="3816"/>
      <c r="C202" s="397" t="s">
        <v>1956</v>
      </c>
      <c r="D202" s="1487">
        <v>50062.89</v>
      </c>
      <c r="E202" s="2039" t="s">
        <v>1198</v>
      </c>
      <c r="F202" s="2040">
        <f>D202/10</f>
        <v>5006.2889999999998</v>
      </c>
      <c r="G202" s="2040"/>
      <c r="H202" s="2040"/>
      <c r="I202" s="2040"/>
      <c r="J202" s="2040"/>
      <c r="K202" s="2040"/>
      <c r="L202" s="2040"/>
      <c r="M202" s="2040"/>
      <c r="N202" s="2040"/>
      <c r="O202" s="2040"/>
      <c r="P202" s="2040"/>
      <c r="Q202" s="2040">
        <f>F202</f>
        <v>5006.2889999999998</v>
      </c>
      <c r="R202" s="2040">
        <v>5006.29</v>
      </c>
      <c r="S202" s="2040">
        <v>5006.29</v>
      </c>
      <c r="T202" s="2040">
        <v>5006.29</v>
      </c>
      <c r="U202" s="2040">
        <v>5006.29</v>
      </c>
      <c r="V202" s="2059">
        <v>5006.29</v>
      </c>
      <c r="Z202" s="1975"/>
      <c r="AA202" s="1975"/>
      <c r="AB202" s="1975"/>
    </row>
    <row r="203" spans="1:28">
      <c r="A203" s="3020"/>
      <c r="B203" s="3816"/>
      <c r="C203" s="397" t="s">
        <v>1954</v>
      </c>
      <c r="D203" s="1487">
        <v>20637.54</v>
      </c>
      <c r="E203" s="1487"/>
      <c r="F203" s="2040"/>
      <c r="G203" s="2040"/>
      <c r="H203" s="2040"/>
      <c r="I203" s="2040"/>
      <c r="J203" s="2040"/>
      <c r="K203" s="2040"/>
      <c r="L203" s="2040"/>
      <c r="M203" s="2040"/>
      <c r="N203" s="2040"/>
      <c r="O203" s="2040"/>
      <c r="P203" s="2040"/>
      <c r="Q203" s="2040"/>
      <c r="R203" s="2040"/>
      <c r="S203" s="2040"/>
      <c r="T203" s="2040"/>
      <c r="U203" s="2040"/>
      <c r="V203" s="2059"/>
      <c r="Z203" s="1975"/>
      <c r="AA203" s="1975"/>
      <c r="AB203" s="1975"/>
    </row>
    <row r="204" spans="1:28">
      <c r="A204" s="3020">
        <v>2016</v>
      </c>
      <c r="B204" s="3816"/>
      <c r="C204" s="397" t="s">
        <v>1614</v>
      </c>
      <c r="D204" s="1487">
        <v>129190.02</v>
      </c>
      <c r="E204" s="2039" t="s">
        <v>1197</v>
      </c>
      <c r="F204" s="2040">
        <f>D204/5</f>
        <v>25838.004000000001</v>
      </c>
      <c r="G204" s="2040"/>
      <c r="H204" s="2040"/>
      <c r="I204" s="2040"/>
      <c r="J204" s="2040"/>
      <c r="K204" s="2040"/>
      <c r="L204" s="2040"/>
      <c r="M204" s="2040"/>
      <c r="N204" s="2040"/>
      <c r="O204" s="2040"/>
      <c r="P204" s="2040">
        <v>25838</v>
      </c>
      <c r="Q204" s="2040">
        <v>25838</v>
      </c>
      <c r="R204" s="2040">
        <v>25838</v>
      </c>
      <c r="S204" s="2040">
        <v>25838</v>
      </c>
      <c r="T204" s="2040">
        <v>25838</v>
      </c>
      <c r="U204" s="2040"/>
      <c r="V204" s="2059"/>
      <c r="Z204" s="1975"/>
      <c r="AA204" s="1975"/>
      <c r="AB204" s="1975"/>
    </row>
    <row r="205" spans="1:28">
      <c r="A205" s="3020"/>
      <c r="B205" s="3816"/>
      <c r="C205" s="397" t="s">
        <v>1952</v>
      </c>
      <c r="D205" s="1487">
        <f>564426.03+7012.89-50000</f>
        <v>521438.92000000004</v>
      </c>
      <c r="E205" s="2039" t="s">
        <v>1953</v>
      </c>
      <c r="F205" s="2040">
        <f>D205/30</f>
        <v>17381.297333333336</v>
      </c>
      <c r="G205" s="2040"/>
      <c r="H205" s="2040"/>
      <c r="I205" s="2040"/>
      <c r="J205" s="2040"/>
      <c r="K205" s="2040"/>
      <c r="L205" s="2040"/>
      <c r="M205" s="2040"/>
      <c r="N205" s="2040"/>
      <c r="O205" s="2040"/>
      <c r="P205" s="2040">
        <f>F205</f>
        <v>17381.297333333336</v>
      </c>
      <c r="Q205" s="2040">
        <v>17381.3</v>
      </c>
      <c r="R205" s="2040">
        <v>17381.3</v>
      </c>
      <c r="S205" s="2040">
        <v>17381.3</v>
      </c>
      <c r="T205" s="2040">
        <v>17381.3</v>
      </c>
      <c r="U205" s="2040">
        <v>17381.3</v>
      </c>
      <c r="V205" s="2059">
        <v>17381.3</v>
      </c>
      <c r="Z205" s="1975"/>
      <c r="AA205" s="1975"/>
      <c r="AB205" s="1975"/>
    </row>
    <row r="206" spans="1:28">
      <c r="A206" s="3020"/>
      <c r="B206" s="3816"/>
      <c r="C206" s="397" t="s">
        <v>1954</v>
      </c>
      <c r="D206" s="1487">
        <v>41736.19</v>
      </c>
      <c r="E206" s="1487"/>
      <c r="F206" s="2040"/>
      <c r="G206" s="2040"/>
      <c r="H206" s="2040"/>
      <c r="I206" s="2040"/>
      <c r="J206" s="2040"/>
      <c r="K206" s="2040"/>
      <c r="L206" s="2040"/>
      <c r="M206" s="2040"/>
      <c r="N206" s="2040"/>
      <c r="O206" s="2040"/>
      <c r="P206" s="2040"/>
      <c r="Q206" s="2040"/>
      <c r="R206" s="2040"/>
      <c r="S206" s="2040"/>
      <c r="T206" s="2040"/>
      <c r="U206" s="2040"/>
      <c r="V206" s="2059"/>
      <c r="Z206" s="1975"/>
      <c r="AA206" s="1975"/>
      <c r="AB206" s="1975"/>
    </row>
    <row r="207" spans="1:28">
      <c r="A207" s="3020">
        <v>2015</v>
      </c>
      <c r="B207" s="3816"/>
      <c r="C207" s="397" t="s">
        <v>1614</v>
      </c>
      <c r="D207" s="1487">
        <v>10053.6</v>
      </c>
      <c r="E207" s="2039" t="s">
        <v>1197</v>
      </c>
      <c r="F207" s="2040">
        <f>D207/5</f>
        <v>2010.72</v>
      </c>
      <c r="G207" s="2040"/>
      <c r="H207" s="2040"/>
      <c r="I207" s="2040"/>
      <c r="J207" s="2040"/>
      <c r="K207" s="2040"/>
      <c r="L207" s="2040"/>
      <c r="M207" s="2040"/>
      <c r="N207" s="2040"/>
      <c r="O207" s="2040">
        <v>2010.72</v>
      </c>
      <c r="P207" s="2040">
        <v>2010.72</v>
      </c>
      <c r="Q207" s="2040">
        <v>2010.72</v>
      </c>
      <c r="R207" s="2040">
        <v>2010.72</v>
      </c>
      <c r="S207" s="2040">
        <v>2010.72</v>
      </c>
      <c r="T207" s="2040"/>
      <c r="U207" s="2040"/>
      <c r="V207" s="2059"/>
      <c r="Z207" s="1975"/>
      <c r="AA207" s="1975"/>
      <c r="AB207" s="1975"/>
    </row>
    <row r="208" spans="1:28">
      <c r="A208" s="3020"/>
      <c r="B208" s="3816"/>
      <c r="C208" s="397" t="s">
        <v>1957</v>
      </c>
      <c r="D208" s="1487">
        <v>11882.84</v>
      </c>
      <c r="E208" s="2039" t="s">
        <v>1953</v>
      </c>
      <c r="F208" s="2040">
        <f>(D208+D209)/30</f>
        <v>986.05333333333328</v>
      </c>
      <c r="G208" s="2040"/>
      <c r="H208" s="2040"/>
      <c r="I208" s="2040"/>
      <c r="J208" s="2040"/>
      <c r="K208" s="2040"/>
      <c r="L208" s="2040"/>
      <c r="M208" s="2040"/>
      <c r="N208" s="2040"/>
      <c r="O208" s="2040">
        <f>F208</f>
        <v>986.05333333333328</v>
      </c>
      <c r="P208" s="2040">
        <f>F208</f>
        <v>986.05333333333328</v>
      </c>
      <c r="Q208" s="2040">
        <f>F208</f>
        <v>986.05333333333328</v>
      </c>
      <c r="R208" s="2040">
        <f>F208</f>
        <v>986.05333333333328</v>
      </c>
      <c r="S208" s="2040">
        <f>F208</f>
        <v>986.05333333333328</v>
      </c>
      <c r="T208" s="2040">
        <v>986.05</v>
      </c>
      <c r="U208" s="2040">
        <v>986.05</v>
      </c>
      <c r="V208" s="2059">
        <v>986.05</v>
      </c>
      <c r="Z208" s="1975"/>
      <c r="AA208" s="1975"/>
      <c r="AB208" s="1975"/>
    </row>
    <row r="209" spans="1:28">
      <c r="A209" s="3020"/>
      <c r="B209" s="3816"/>
      <c r="C209" s="397" t="s">
        <v>1952</v>
      </c>
      <c r="D209" s="1487">
        <v>17698.759999999998</v>
      </c>
      <c r="E209" s="2039" t="s">
        <v>1953</v>
      </c>
      <c r="F209" s="2040"/>
      <c r="G209" s="2040"/>
      <c r="H209" s="2040"/>
      <c r="I209" s="2040"/>
      <c r="J209" s="2040"/>
      <c r="K209" s="2040"/>
      <c r="L209" s="2040"/>
      <c r="M209" s="2040"/>
      <c r="N209" s="2040"/>
      <c r="O209" s="2040"/>
      <c r="P209" s="2040"/>
      <c r="Q209" s="2040"/>
      <c r="R209" s="2040"/>
      <c r="S209" s="2040"/>
      <c r="T209" s="2040"/>
      <c r="U209" s="2040"/>
      <c r="V209" s="2059"/>
      <c r="Z209" s="1975"/>
      <c r="AA209" s="1975"/>
      <c r="AB209" s="1975"/>
    </row>
    <row r="210" spans="1:28">
      <c r="A210" s="3020"/>
      <c r="B210" s="3816"/>
      <c r="C210" s="397"/>
      <c r="D210" s="2042">
        <f>SUM(D207:D209)</f>
        <v>39635.199999999997</v>
      </c>
      <c r="E210" s="1487"/>
      <c r="F210" s="2040"/>
      <c r="G210" s="2040"/>
      <c r="H210" s="2040"/>
      <c r="I210" s="2040"/>
      <c r="J210" s="2040"/>
      <c r="K210" s="2040"/>
      <c r="L210" s="2040"/>
      <c r="M210" s="2040"/>
      <c r="N210" s="2040"/>
      <c r="O210" s="2040"/>
      <c r="P210" s="2040"/>
      <c r="Q210" s="2040"/>
      <c r="R210" s="2040"/>
      <c r="S210" s="2040"/>
      <c r="T210" s="2040"/>
      <c r="U210" s="2040"/>
      <c r="V210" s="2059"/>
      <c r="Z210" s="1975"/>
      <c r="AA210" s="1975"/>
      <c r="AB210" s="1975"/>
    </row>
    <row r="211" spans="1:28">
      <c r="A211" s="3020">
        <v>2014</v>
      </c>
      <c r="B211" s="3816"/>
      <c r="C211" s="397" t="s">
        <v>1957</v>
      </c>
      <c r="D211" s="1487">
        <f>357232.49+18981.68-286102.6</f>
        <v>90111.57</v>
      </c>
      <c r="E211" s="2039" t="s">
        <v>1953</v>
      </c>
      <c r="F211" s="2040">
        <f>D211/30</f>
        <v>3003.7190000000001</v>
      </c>
      <c r="G211" s="2040"/>
      <c r="H211" s="2040"/>
      <c r="I211" s="2040"/>
      <c r="J211" s="2040"/>
      <c r="K211" s="2040"/>
      <c r="L211" s="2040"/>
      <c r="M211" s="2040"/>
      <c r="N211" s="2040">
        <f>F211</f>
        <v>3003.7190000000001</v>
      </c>
      <c r="O211" s="2040">
        <f>F211</f>
        <v>3003.7190000000001</v>
      </c>
      <c r="P211" s="2040">
        <f>F211</f>
        <v>3003.7190000000001</v>
      </c>
      <c r="Q211" s="2040">
        <f>F211</f>
        <v>3003.7190000000001</v>
      </c>
      <c r="R211" s="2040">
        <f>F211</f>
        <v>3003.7190000000001</v>
      </c>
      <c r="S211" s="2040">
        <f>F211</f>
        <v>3003.7190000000001</v>
      </c>
      <c r="T211" s="2040">
        <v>3003.72</v>
      </c>
      <c r="U211" s="2040">
        <v>3003.72</v>
      </c>
      <c r="V211" s="2059">
        <v>3003.72</v>
      </c>
      <c r="Z211" s="1975"/>
      <c r="AA211" s="1975"/>
      <c r="AB211" s="1975"/>
    </row>
    <row r="212" spans="1:28">
      <c r="A212" s="3020"/>
      <c r="B212" s="3816"/>
      <c r="C212" s="397" t="s">
        <v>1614</v>
      </c>
      <c r="D212" s="1487">
        <f>6203.83+28853.06</f>
        <v>35056.89</v>
      </c>
      <c r="E212" s="2039" t="s">
        <v>1197</v>
      </c>
      <c r="F212" s="2040">
        <f>(D213+D212)/5</f>
        <v>11773.882000000001</v>
      </c>
      <c r="G212" s="2040"/>
      <c r="H212" s="2040"/>
      <c r="I212" s="2040"/>
      <c r="J212" s="2040"/>
      <c r="K212" s="2040"/>
      <c r="L212" s="2040"/>
      <c r="M212" s="2040"/>
      <c r="N212" s="2040">
        <f>F212</f>
        <v>11773.882000000001</v>
      </c>
      <c r="O212" s="2040">
        <f>F212</f>
        <v>11773.882000000001</v>
      </c>
      <c r="P212" s="2040">
        <f>F212</f>
        <v>11773.882000000001</v>
      </c>
      <c r="Q212" s="2040">
        <f>F212</f>
        <v>11773.882000000001</v>
      </c>
      <c r="R212" s="2040">
        <f>F212</f>
        <v>11773.882000000001</v>
      </c>
      <c r="S212" s="2040"/>
      <c r="T212" s="2040"/>
      <c r="U212" s="2040"/>
      <c r="V212" s="2059"/>
      <c r="Z212" s="1975"/>
      <c r="AA212" s="1975"/>
      <c r="AB212" s="1975"/>
    </row>
    <row r="213" spans="1:28">
      <c r="A213" s="3020"/>
      <c r="B213" s="3816"/>
      <c r="C213" s="397" t="s">
        <v>1958</v>
      </c>
      <c r="D213" s="1487">
        <f>28812.52-5000</f>
        <v>23812.52</v>
      </c>
      <c r="E213" s="2039" t="s">
        <v>1197</v>
      </c>
      <c r="F213" s="2040"/>
      <c r="G213" s="2040"/>
      <c r="H213" s="2040"/>
      <c r="I213" s="2040"/>
      <c r="J213" s="2040"/>
      <c r="K213" s="2040"/>
      <c r="L213" s="2040"/>
      <c r="M213" s="2040"/>
      <c r="N213" s="2040"/>
      <c r="O213" s="2040"/>
      <c r="P213" s="2040"/>
      <c r="Q213" s="2040"/>
      <c r="R213" s="2040"/>
      <c r="S213" s="2040"/>
      <c r="T213" s="2040"/>
      <c r="U213" s="2040"/>
      <c r="V213" s="2059"/>
      <c r="Z213" s="1975"/>
      <c r="AA213" s="1975"/>
      <c r="AB213" s="1975"/>
    </row>
    <row r="214" spans="1:28">
      <c r="A214" s="3020"/>
      <c r="B214" s="3816"/>
      <c r="C214" s="397"/>
      <c r="D214" s="2042">
        <f>SUM(D211:D212)</f>
        <v>125168.46</v>
      </c>
      <c r="E214" s="1487"/>
      <c r="F214" s="2040"/>
      <c r="G214" s="2040"/>
      <c r="H214" s="2040"/>
      <c r="I214" s="2040"/>
      <c r="J214" s="2040"/>
      <c r="K214" s="2040"/>
      <c r="L214" s="2040"/>
      <c r="M214" s="2040"/>
      <c r="N214" s="2040"/>
      <c r="O214" s="2040"/>
      <c r="P214" s="2040"/>
      <c r="Q214" s="2040"/>
      <c r="R214" s="2040"/>
      <c r="S214" s="2040"/>
      <c r="T214" s="2040"/>
      <c r="U214" s="2040"/>
      <c r="V214" s="2059"/>
      <c r="Z214" s="1975"/>
      <c r="AA214" s="1975"/>
      <c r="AB214" s="1975"/>
    </row>
    <row r="215" spans="1:28">
      <c r="A215" s="3020">
        <v>2013</v>
      </c>
      <c r="B215" s="3816"/>
      <c r="C215" s="397" t="s">
        <v>1957</v>
      </c>
      <c r="D215" s="1487">
        <f>587706.39</f>
        <v>587706.39</v>
      </c>
      <c r="E215" s="2039" t="s">
        <v>1953</v>
      </c>
      <c r="F215" s="2040">
        <f>(D215+D216)/30</f>
        <v>2067.8789999999999</v>
      </c>
      <c r="G215" s="2040"/>
      <c r="H215" s="2040"/>
      <c r="I215" s="2040"/>
      <c r="J215" s="2040"/>
      <c r="K215" s="2040"/>
      <c r="L215" s="2040"/>
      <c r="M215" s="2040">
        <v>2067.88</v>
      </c>
      <c r="N215" s="2040">
        <v>2067.88</v>
      </c>
      <c r="O215" s="2040">
        <v>2067.88</v>
      </c>
      <c r="P215" s="2040">
        <v>2067.88</v>
      </c>
      <c r="Q215" s="2040">
        <v>2067.88</v>
      </c>
      <c r="R215" s="2040">
        <v>2067.88</v>
      </c>
      <c r="S215" s="2040">
        <v>2067.88</v>
      </c>
      <c r="T215" s="2040">
        <v>2067.88</v>
      </c>
      <c r="U215" s="2040">
        <v>2067.88</v>
      </c>
      <c r="V215" s="2059">
        <v>2067.88</v>
      </c>
      <c r="Z215" s="1975"/>
      <c r="AA215" s="1975"/>
      <c r="AB215" s="1975"/>
    </row>
    <row r="216" spans="1:28">
      <c r="A216" s="3020"/>
      <c r="B216" s="3816"/>
      <c r="C216" s="397" t="s">
        <v>1959</v>
      </c>
      <c r="D216" s="1487">
        <v>-525670.02</v>
      </c>
      <c r="E216" s="2039" t="s">
        <v>1953</v>
      </c>
      <c r="F216" s="2040"/>
      <c r="G216" s="2040"/>
      <c r="H216" s="2040"/>
      <c r="I216" s="2040"/>
      <c r="J216" s="2040"/>
      <c r="K216" s="2040"/>
      <c r="L216" s="2040"/>
      <c r="M216" s="2040"/>
      <c r="N216" s="2040"/>
      <c r="O216" s="2040"/>
      <c r="P216" s="2040"/>
      <c r="Q216" s="2040"/>
      <c r="R216" s="2040"/>
      <c r="S216" s="2040"/>
      <c r="T216" s="2040"/>
      <c r="U216" s="2040"/>
      <c r="V216" s="2059"/>
      <c r="Z216" s="1975"/>
      <c r="AA216" s="1975"/>
      <c r="AB216" s="1975"/>
    </row>
    <row r="217" spans="1:28">
      <c r="A217" s="3020"/>
      <c r="B217" s="3816"/>
      <c r="C217" s="397" t="s">
        <v>1944</v>
      </c>
      <c r="D217" s="1487">
        <v>12414.61</v>
      </c>
      <c r="E217" s="2039" t="s">
        <v>1960</v>
      </c>
      <c r="F217" s="2040"/>
      <c r="G217" s="2040"/>
      <c r="H217" s="2040"/>
      <c r="I217" s="2040"/>
      <c r="J217" s="2040"/>
      <c r="K217" s="2040"/>
      <c r="L217" s="2040"/>
      <c r="M217" s="2040"/>
      <c r="N217" s="2040"/>
      <c r="O217" s="2040"/>
      <c r="P217" s="2040"/>
      <c r="Q217" s="2040"/>
      <c r="R217" s="2040"/>
      <c r="S217" s="2040"/>
      <c r="T217" s="2040"/>
      <c r="U217" s="2040"/>
      <c r="V217" s="2059"/>
      <c r="Z217" s="1975"/>
      <c r="AA217" s="1975"/>
      <c r="AB217" s="1975"/>
    </row>
    <row r="218" spans="1:28">
      <c r="A218" s="3020"/>
      <c r="B218" s="3816"/>
      <c r="C218" s="397" t="s">
        <v>1614</v>
      </c>
      <c r="D218" s="1487">
        <v>24161.74</v>
      </c>
      <c r="E218" s="2039" t="s">
        <v>1960</v>
      </c>
      <c r="F218" s="2040">
        <f>(D217+D218)/5</f>
        <v>7315.2700000000013</v>
      </c>
      <c r="G218" s="2040"/>
      <c r="H218" s="2040"/>
      <c r="I218" s="2040"/>
      <c r="J218" s="2040"/>
      <c r="K218" s="2040"/>
      <c r="L218" s="2040"/>
      <c r="M218" s="2040">
        <v>7315.27</v>
      </c>
      <c r="N218" s="2040">
        <v>7315.27</v>
      </c>
      <c r="O218" s="2040">
        <v>7315.27</v>
      </c>
      <c r="P218" s="2040">
        <v>7315.27</v>
      </c>
      <c r="Q218" s="2040">
        <v>7315.27</v>
      </c>
      <c r="R218" s="2040"/>
      <c r="S218" s="2040"/>
      <c r="T218" s="2040"/>
      <c r="U218" s="2040"/>
      <c r="V218" s="2059"/>
      <c r="Z218" s="1975"/>
      <c r="AA218" s="1975"/>
      <c r="AB218" s="1975"/>
    </row>
    <row r="219" spans="1:28">
      <c r="A219" s="3020">
        <v>2012</v>
      </c>
      <c r="B219" s="3816"/>
      <c r="C219" s="397" t="s">
        <v>1189</v>
      </c>
      <c r="D219" s="1487">
        <f>15270.64+4984.09</f>
        <v>20254.73</v>
      </c>
      <c r="E219" s="2039" t="s">
        <v>1197</v>
      </c>
      <c r="F219" s="2040">
        <f>D222/5</f>
        <v>11106.746000000001</v>
      </c>
      <c r="G219" s="2040"/>
      <c r="H219" s="2040"/>
      <c r="I219" s="2040"/>
      <c r="J219" s="2040"/>
      <c r="K219" s="2040"/>
      <c r="L219" s="2040">
        <f>11106.75+L180</f>
        <v>31098.86</v>
      </c>
      <c r="M219" s="2040">
        <v>11106.75</v>
      </c>
      <c r="N219" s="2040">
        <v>11106.75</v>
      </c>
      <c r="O219" s="2040">
        <v>11106.75</v>
      </c>
      <c r="P219" s="2040">
        <v>11106.75</v>
      </c>
      <c r="Q219" s="2040"/>
      <c r="R219" s="2040"/>
      <c r="S219" s="2040"/>
      <c r="T219" s="2040"/>
      <c r="U219" s="2040"/>
      <c r="V219" s="2059"/>
      <c r="Z219" s="1975"/>
      <c r="AA219" s="1975"/>
      <c r="AB219" s="1975"/>
    </row>
    <row r="220" spans="1:28">
      <c r="A220" s="3020"/>
      <c r="B220" s="3816"/>
      <c r="C220" s="397" t="s">
        <v>1947</v>
      </c>
      <c r="D220" s="1487">
        <v>24950.74</v>
      </c>
      <c r="E220" s="2039" t="s">
        <v>1197</v>
      </c>
      <c r="F220" s="2040"/>
      <c r="G220" s="2040"/>
      <c r="H220" s="2040"/>
      <c r="I220" s="2040"/>
      <c r="J220" s="2040"/>
      <c r="K220" s="2040"/>
      <c r="L220" s="2040"/>
      <c r="M220" s="2040"/>
      <c r="N220" s="2040"/>
      <c r="O220" s="2040"/>
      <c r="P220" s="2040"/>
      <c r="Q220" s="2040"/>
      <c r="R220" s="2040"/>
      <c r="S220" s="2040"/>
      <c r="T220" s="2040"/>
      <c r="U220" s="2040"/>
      <c r="V220" s="2059"/>
      <c r="Z220" s="1975"/>
      <c r="AA220" s="1975"/>
      <c r="AB220" s="1975"/>
    </row>
    <row r="221" spans="1:28">
      <c r="A221" s="3020"/>
      <c r="B221" s="3816"/>
      <c r="C221" s="397" t="s">
        <v>1944</v>
      </c>
      <c r="D221" s="1487">
        <v>10328.26</v>
      </c>
      <c r="E221" s="2039" t="s">
        <v>1197</v>
      </c>
      <c r="F221" s="2040"/>
      <c r="G221" s="2040"/>
      <c r="H221" s="2040"/>
      <c r="I221" s="2040"/>
      <c r="J221" s="2040"/>
      <c r="K221" s="2040"/>
      <c r="L221" s="2040"/>
      <c r="M221" s="2040"/>
      <c r="N221" s="2040"/>
      <c r="O221" s="2040"/>
      <c r="P221" s="2040"/>
      <c r="Q221" s="2040"/>
      <c r="R221" s="2040"/>
      <c r="S221" s="2040"/>
      <c r="T221" s="2040"/>
      <c r="U221" s="2040"/>
      <c r="V221" s="2059"/>
      <c r="Z221" s="1975"/>
      <c r="AA221" s="1975"/>
      <c r="AB221" s="1975"/>
    </row>
    <row r="222" spans="1:28">
      <c r="A222" s="3020"/>
      <c r="B222" s="3816"/>
      <c r="C222" s="397"/>
      <c r="D222" s="2042">
        <f>SUM(D219:D221)</f>
        <v>55533.73</v>
      </c>
      <c r="E222" s="1487"/>
      <c r="F222" s="2040"/>
      <c r="G222" s="2040"/>
      <c r="H222" s="2040"/>
      <c r="I222" s="2040"/>
      <c r="J222" s="2040"/>
      <c r="K222" s="2040"/>
      <c r="L222" s="2040"/>
      <c r="M222" s="2040"/>
      <c r="N222" s="2040"/>
      <c r="O222" s="2040"/>
      <c r="P222" s="2040"/>
      <c r="Q222" s="2040"/>
      <c r="R222" s="2040"/>
      <c r="S222" s="2040"/>
      <c r="T222" s="2040"/>
      <c r="U222" s="2040"/>
      <c r="V222" s="2059"/>
      <c r="Z222" s="1975"/>
      <c r="AA222" s="1975"/>
      <c r="AB222" s="1975"/>
    </row>
    <row r="223" spans="1:28">
      <c r="A223" s="3020">
        <v>2011</v>
      </c>
      <c r="B223" s="3816"/>
      <c r="C223" s="397" t="s">
        <v>1944</v>
      </c>
      <c r="D223" s="1487">
        <v>5632.55</v>
      </c>
      <c r="E223" s="2039" t="s">
        <v>1197</v>
      </c>
      <c r="F223" s="2040">
        <f>D226/5</f>
        <v>39003.952000000005</v>
      </c>
      <c r="G223" s="3021"/>
      <c r="H223" s="3021"/>
      <c r="I223" s="3021"/>
      <c r="J223" s="3021"/>
      <c r="K223" s="2040">
        <f>F223+K180</f>
        <v>109028.402</v>
      </c>
      <c r="L223" s="2040">
        <f>F223</f>
        <v>39003.952000000005</v>
      </c>
      <c r="M223" s="2040">
        <f>F223</f>
        <v>39003.952000000005</v>
      </c>
      <c r="N223" s="2040">
        <f>F223</f>
        <v>39003.952000000005</v>
      </c>
      <c r="O223" s="2040">
        <f>F223</f>
        <v>39003.952000000005</v>
      </c>
      <c r="P223" s="2039"/>
      <c r="Q223" s="2039"/>
      <c r="R223" s="2039"/>
      <c r="S223" s="2039"/>
      <c r="T223" s="1487"/>
      <c r="U223" s="1487"/>
      <c r="V223" s="1489"/>
      <c r="Z223" s="395"/>
      <c r="AA223" s="395"/>
      <c r="AB223" s="395"/>
    </row>
    <row r="224" spans="1:28">
      <c r="A224" s="3020"/>
      <c r="B224" s="3816"/>
      <c r="C224" s="397" t="s">
        <v>1189</v>
      </c>
      <c r="D224" s="1487">
        <v>35554.9</v>
      </c>
      <c r="E224" s="2039" t="s">
        <v>1197</v>
      </c>
      <c r="F224" s="2040"/>
      <c r="G224" s="3021"/>
      <c r="H224" s="3021"/>
      <c r="I224" s="3021"/>
      <c r="J224" s="3021"/>
      <c r="K224" s="3021"/>
      <c r="L224" s="3021"/>
      <c r="M224" s="3021"/>
      <c r="N224" s="2076"/>
      <c r="O224" s="2039"/>
      <c r="P224" s="2039"/>
      <c r="Q224" s="2039"/>
      <c r="R224" s="2039"/>
      <c r="S224" s="2039"/>
      <c r="T224" s="1487"/>
      <c r="U224" s="1487"/>
      <c r="V224" s="1489"/>
      <c r="Z224" s="395"/>
      <c r="AA224" s="395"/>
      <c r="AB224" s="395"/>
    </row>
    <row r="225" spans="1:28">
      <c r="A225" s="3020"/>
      <c r="B225" s="3816"/>
      <c r="C225" s="397" t="s">
        <v>1947</v>
      </c>
      <c r="D225" s="1487">
        <f>25387.62+11447.37+116997.32</f>
        <v>153832.31</v>
      </c>
      <c r="E225" s="2039" t="s">
        <v>1197</v>
      </c>
      <c r="F225" s="2040"/>
      <c r="G225" s="3021"/>
      <c r="H225" s="3021"/>
      <c r="I225" s="3021"/>
      <c r="J225" s="3021"/>
      <c r="K225" s="3021"/>
      <c r="L225" s="3021"/>
      <c r="M225" s="3021"/>
      <c r="N225" s="2076"/>
      <c r="O225" s="2039"/>
      <c r="P225" s="2039"/>
      <c r="Q225" s="2039"/>
      <c r="R225" s="2039"/>
      <c r="S225" s="2039"/>
      <c r="T225" s="1487"/>
      <c r="U225" s="1487"/>
      <c r="V225" s="1489"/>
      <c r="Z225" s="395"/>
      <c r="AA225" s="395"/>
      <c r="AB225" s="395"/>
    </row>
    <row r="226" spans="1:28">
      <c r="A226" s="3020"/>
      <c r="B226" s="3816"/>
      <c r="C226" s="397"/>
      <c r="D226" s="2042">
        <f>SUM(D223:D225)</f>
        <v>195019.76</v>
      </c>
      <c r="E226" s="2039"/>
      <c r="F226" s="2040"/>
      <c r="G226" s="3021"/>
      <c r="H226" s="3021"/>
      <c r="I226" s="3021"/>
      <c r="J226" s="3021"/>
      <c r="K226" s="2040"/>
      <c r="L226" s="3021"/>
      <c r="M226" s="3021"/>
      <c r="N226" s="2076"/>
      <c r="O226" s="2039"/>
      <c r="P226" s="2039"/>
      <c r="Q226" s="2039"/>
      <c r="R226" s="2039"/>
      <c r="S226" s="2039"/>
      <c r="T226" s="1487"/>
      <c r="U226" s="1487"/>
      <c r="V226" s="1489"/>
      <c r="Z226" s="395"/>
      <c r="AA226" s="395"/>
      <c r="AB226" s="395"/>
    </row>
    <row r="227" spans="1:28">
      <c r="A227" s="3020">
        <v>2010</v>
      </c>
      <c r="B227" s="3816"/>
      <c r="C227" s="397" t="s">
        <v>1944</v>
      </c>
      <c r="D227" s="1487">
        <v>12213.44</v>
      </c>
      <c r="E227" s="2039" t="s">
        <v>1197</v>
      </c>
      <c r="F227" s="2040">
        <f>D230/5</f>
        <v>26657.248</v>
      </c>
      <c r="G227" s="2039"/>
      <c r="H227" s="2039"/>
      <c r="I227" s="2039"/>
      <c r="J227" s="2040">
        <f>J180+J181+F227</f>
        <v>47484.907999999996</v>
      </c>
      <c r="K227" s="2040">
        <f>F227</f>
        <v>26657.248</v>
      </c>
      <c r="L227" s="2040">
        <f>F227</f>
        <v>26657.248</v>
      </c>
      <c r="M227" s="2040">
        <f>F227</f>
        <v>26657.248</v>
      </c>
      <c r="N227" s="2040">
        <f>F227</f>
        <v>26657.248</v>
      </c>
      <c r="O227" s="2039"/>
      <c r="P227" s="2039"/>
      <c r="Q227" s="2039"/>
      <c r="R227" s="2039"/>
      <c r="S227" s="1487"/>
      <c r="T227" s="1487"/>
      <c r="U227" s="1487"/>
      <c r="V227" s="1489"/>
    </row>
    <row r="228" spans="1:28">
      <c r="A228" s="3020"/>
      <c r="B228" s="3816"/>
      <c r="C228" s="397" t="s">
        <v>1189</v>
      </c>
      <c r="D228" s="1487">
        <v>82072.800000000003</v>
      </c>
      <c r="E228" s="2039" t="s">
        <v>1197</v>
      </c>
      <c r="F228" s="2040"/>
      <c r="G228" s="2039"/>
      <c r="H228" s="2039"/>
      <c r="I228" s="2039"/>
      <c r="J228" s="2039"/>
      <c r="K228" s="2039"/>
      <c r="L228" s="2039"/>
      <c r="M228" s="2039"/>
      <c r="N228" s="2039"/>
      <c r="O228" s="2039"/>
      <c r="P228" s="2039"/>
      <c r="Q228" s="2039"/>
      <c r="R228" s="2039"/>
      <c r="S228" s="1487"/>
      <c r="T228" s="1487"/>
      <c r="U228" s="1487"/>
      <c r="V228" s="1489"/>
    </row>
    <row r="229" spans="1:28">
      <c r="A229" s="3020"/>
      <c r="B229" s="3816"/>
      <c r="C229" s="397" t="s">
        <v>1947</v>
      </c>
      <c r="D229" s="1487">
        <v>39000</v>
      </c>
      <c r="E229" s="2039" t="s">
        <v>1197</v>
      </c>
      <c r="F229" s="2040"/>
      <c r="G229" s="2039"/>
      <c r="H229" s="2039"/>
      <c r="I229" s="2039"/>
      <c r="J229" s="2039"/>
      <c r="K229" s="2039"/>
      <c r="L229" s="2039"/>
      <c r="M229" s="2039"/>
      <c r="N229" s="2039"/>
      <c r="O229" s="2039"/>
      <c r="P229" s="2039"/>
      <c r="Q229" s="2039"/>
      <c r="R229" s="2039"/>
      <c r="S229" s="1487"/>
      <c r="T229" s="1487"/>
      <c r="U229" s="1487"/>
      <c r="V229" s="1489"/>
    </row>
    <row r="230" spans="1:28">
      <c r="A230" s="3020"/>
      <c r="B230" s="3816"/>
      <c r="C230" s="397"/>
      <c r="D230" s="2042">
        <f>SUM(D227:D229)</f>
        <v>133286.24</v>
      </c>
      <c r="E230" s="2039"/>
      <c r="F230" s="2040"/>
      <c r="G230" s="2039"/>
      <c r="H230" s="2039"/>
      <c r="I230" s="2039"/>
      <c r="J230" s="2039"/>
      <c r="K230" s="2039"/>
      <c r="L230" s="2039"/>
      <c r="M230" s="2039"/>
      <c r="N230" s="2039"/>
      <c r="O230" s="2039"/>
      <c r="P230" s="2039"/>
      <c r="Q230" s="2039"/>
      <c r="R230" s="2039"/>
      <c r="S230" s="1487"/>
      <c r="T230" s="1487"/>
      <c r="U230" s="1487"/>
      <c r="V230" s="1489"/>
    </row>
    <row r="231" spans="1:28">
      <c r="A231" s="3020">
        <v>2009</v>
      </c>
      <c r="B231" s="3816"/>
      <c r="C231" s="397" t="s">
        <v>1944</v>
      </c>
      <c r="D231" s="1487">
        <v>3942.79</v>
      </c>
      <c r="E231" s="2039" t="s">
        <v>1197</v>
      </c>
      <c r="F231" s="1487">
        <f>D233/5</f>
        <v>4636.6819999999998</v>
      </c>
      <c r="G231" s="1487"/>
      <c r="H231" s="1487"/>
      <c r="I231" s="1487">
        <f>F231+I180</f>
        <v>19554.601999999999</v>
      </c>
      <c r="J231" s="1487">
        <f>F231</f>
        <v>4636.6819999999998</v>
      </c>
      <c r="K231" s="1487">
        <f>F231</f>
        <v>4636.6819999999998</v>
      </c>
      <c r="L231" s="1487">
        <f>F231</f>
        <v>4636.6819999999998</v>
      </c>
      <c r="M231" s="1487">
        <f>F231</f>
        <v>4636.6819999999998</v>
      </c>
      <c r="N231" s="1487"/>
      <c r="O231" s="1487"/>
      <c r="P231" s="1487"/>
      <c r="Q231" s="1487"/>
      <c r="R231" s="1487"/>
      <c r="S231" s="1487"/>
      <c r="T231" s="1487"/>
      <c r="U231" s="1487"/>
      <c r="V231" s="1489"/>
      <c r="Z231" s="395"/>
      <c r="AA231" s="395"/>
      <c r="AB231" s="395"/>
    </row>
    <row r="232" spans="1:28">
      <c r="A232" s="3020"/>
      <c r="B232" s="3816"/>
      <c r="C232" s="397" t="s">
        <v>1189</v>
      </c>
      <c r="D232" s="1487">
        <v>19240.62</v>
      </c>
      <c r="E232" s="2039" t="s">
        <v>1197</v>
      </c>
      <c r="F232" s="1487"/>
      <c r="G232" s="1487"/>
      <c r="H232" s="1487"/>
      <c r="I232" s="1487"/>
      <c r="J232" s="1487"/>
      <c r="K232" s="1487"/>
      <c r="L232" s="1487"/>
      <c r="M232" s="1487"/>
      <c r="N232" s="1487"/>
      <c r="O232" s="1487"/>
      <c r="P232" s="1487"/>
      <c r="Q232" s="1487"/>
      <c r="R232" s="1487"/>
      <c r="S232" s="1487"/>
      <c r="T232" s="1487"/>
      <c r="U232" s="1487"/>
      <c r="V232" s="1489"/>
      <c r="Z232" s="395"/>
      <c r="AA232" s="395"/>
      <c r="AB232" s="395"/>
    </row>
    <row r="233" spans="1:28">
      <c r="A233" s="3020"/>
      <c r="B233" s="3816"/>
      <c r="C233" s="397"/>
      <c r="D233" s="2042">
        <f>SUM(D231:D232)</f>
        <v>23183.41</v>
      </c>
      <c r="E233" s="2039"/>
      <c r="F233" s="1487"/>
      <c r="G233" s="1487"/>
      <c r="H233" s="1487"/>
      <c r="I233" s="1487"/>
      <c r="J233" s="1487"/>
      <c r="K233" s="1487"/>
      <c r="L233" s="1487"/>
      <c r="M233" s="1487"/>
      <c r="N233" s="1487"/>
      <c r="O233" s="1487"/>
      <c r="P233" s="1487"/>
      <c r="Q233" s="1487"/>
      <c r="R233" s="1487"/>
      <c r="S233" s="1487"/>
      <c r="T233" s="1487"/>
      <c r="U233" s="1487"/>
      <c r="V233" s="1489"/>
      <c r="Z233" s="395"/>
      <c r="AA233" s="395"/>
      <c r="AB233" s="395"/>
    </row>
    <row r="234" spans="1:28">
      <c r="A234" s="3020">
        <v>2008</v>
      </c>
      <c r="B234" s="3816"/>
      <c r="C234" s="397" t="s">
        <v>1944</v>
      </c>
      <c r="D234" s="1487">
        <v>7724.64</v>
      </c>
      <c r="E234" s="2039" t="s">
        <v>1197</v>
      </c>
      <c r="F234" s="1487">
        <f>D237/5</f>
        <v>9187.5300000000007</v>
      </c>
      <c r="G234" s="1487"/>
      <c r="H234" s="1487">
        <f>F234+H181+H180</f>
        <v>20021.480000000003</v>
      </c>
      <c r="I234" s="1487">
        <f>F234</f>
        <v>9187.5300000000007</v>
      </c>
      <c r="J234" s="1487">
        <f>F234</f>
        <v>9187.5300000000007</v>
      </c>
      <c r="K234" s="1487">
        <f>F234</f>
        <v>9187.5300000000007</v>
      </c>
      <c r="L234" s="1487">
        <f>F234</f>
        <v>9187.5300000000007</v>
      </c>
      <c r="M234" s="1487"/>
      <c r="N234" s="1487"/>
      <c r="O234" s="1487"/>
      <c r="P234" s="1487"/>
      <c r="Q234" s="1487"/>
      <c r="R234" s="1487"/>
      <c r="S234" s="1487"/>
      <c r="T234" s="1487"/>
      <c r="U234" s="1487"/>
      <c r="V234" s="1489"/>
      <c r="Z234" s="395"/>
      <c r="AA234" s="395"/>
      <c r="AB234" s="395"/>
    </row>
    <row r="235" spans="1:28">
      <c r="A235" s="3020"/>
      <c r="B235" s="3816"/>
      <c r="C235" s="397" t="s">
        <v>1189</v>
      </c>
      <c r="D235" s="1487">
        <v>32048.71</v>
      </c>
      <c r="E235" s="2039" t="s">
        <v>1197</v>
      </c>
      <c r="F235" s="1487"/>
      <c r="G235" s="1487"/>
      <c r="H235" s="1487"/>
      <c r="I235" s="1487"/>
      <c r="J235" s="1487"/>
      <c r="K235" s="1487"/>
      <c r="L235" s="1487"/>
      <c r="M235" s="1487"/>
      <c r="N235" s="1487"/>
      <c r="O235" s="1487"/>
      <c r="P235" s="1487"/>
      <c r="Q235" s="1487"/>
      <c r="R235" s="1487"/>
      <c r="S235" s="1487"/>
      <c r="T235" s="1487"/>
      <c r="U235" s="1487"/>
      <c r="V235" s="1489"/>
      <c r="Z235" s="395"/>
      <c r="AA235" s="395"/>
      <c r="AB235" s="395"/>
    </row>
    <row r="236" spans="1:28">
      <c r="A236" s="3020"/>
      <c r="B236" s="3816"/>
      <c r="C236" s="397" t="s">
        <v>1947</v>
      </c>
      <c r="D236" s="1487">
        <v>6164.3</v>
      </c>
      <c r="E236" s="2039" t="s">
        <v>1197</v>
      </c>
      <c r="F236" s="1487"/>
      <c r="G236" s="1487"/>
      <c r="H236" s="1487"/>
      <c r="I236" s="1487"/>
      <c r="J236" s="1487"/>
      <c r="K236" s="1487"/>
      <c r="L236" s="1487"/>
      <c r="M236" s="1487"/>
      <c r="N236" s="1487"/>
      <c r="O236" s="1487"/>
      <c r="P236" s="1487"/>
      <c r="Q236" s="1487"/>
      <c r="R236" s="1487"/>
      <c r="S236" s="1487"/>
      <c r="T236" s="1487"/>
      <c r="U236" s="1487"/>
      <c r="V236" s="1489"/>
      <c r="Z236" s="395"/>
      <c r="AA236" s="395"/>
      <c r="AB236" s="395"/>
    </row>
    <row r="237" spans="1:28">
      <c r="A237" s="3020"/>
      <c r="B237" s="3816"/>
      <c r="C237" s="397"/>
      <c r="D237" s="2042">
        <f>SUM(D234:D236)</f>
        <v>45937.65</v>
      </c>
      <c r="E237" s="2039"/>
      <c r="F237" s="1487"/>
      <c r="G237" s="1487"/>
      <c r="H237" s="1487"/>
      <c r="I237" s="1487"/>
      <c r="J237" s="1487"/>
      <c r="K237" s="1487"/>
      <c r="L237" s="1487"/>
      <c r="M237" s="1487"/>
      <c r="N237" s="1487"/>
      <c r="O237" s="1487"/>
      <c r="P237" s="1487"/>
      <c r="Q237" s="1487"/>
      <c r="R237" s="1487"/>
      <c r="S237" s="1487"/>
      <c r="T237" s="1487"/>
      <c r="U237" s="1487"/>
      <c r="V237" s="1489"/>
      <c r="Z237" s="395"/>
      <c r="AA237" s="395"/>
      <c r="AB237" s="395"/>
    </row>
    <row r="238" spans="1:28">
      <c r="A238" s="3020">
        <v>2007</v>
      </c>
      <c r="B238" s="3816"/>
      <c r="C238" s="397" t="s">
        <v>1944</v>
      </c>
      <c r="D238" s="1487">
        <v>14713.6</v>
      </c>
      <c r="E238" s="2039" t="s">
        <v>1197</v>
      </c>
      <c r="F238" s="1487">
        <f>D241/5</f>
        <v>10068.220000000001</v>
      </c>
      <c r="G238" s="1487">
        <f>F238+G181+G180</f>
        <v>29580.16</v>
      </c>
      <c r="H238" s="1487">
        <f>F238</f>
        <v>10068.220000000001</v>
      </c>
      <c r="I238" s="1487">
        <f>F238</f>
        <v>10068.220000000001</v>
      </c>
      <c r="J238" s="1487">
        <f>F238</f>
        <v>10068.220000000001</v>
      </c>
      <c r="K238" s="1487">
        <f>G238</f>
        <v>29580.16</v>
      </c>
      <c r="L238" s="1487"/>
      <c r="M238" s="1487"/>
      <c r="N238" s="1487"/>
      <c r="O238" s="1487"/>
      <c r="P238" s="1487"/>
      <c r="Q238" s="1487"/>
      <c r="R238" s="1487"/>
      <c r="S238" s="1487"/>
      <c r="T238" s="1487"/>
      <c r="U238" s="1487"/>
      <c r="V238" s="1489"/>
      <c r="Z238" s="395"/>
      <c r="AA238" s="395"/>
      <c r="AB238" s="395"/>
    </row>
    <row r="239" spans="1:28">
      <c r="A239" s="3020"/>
      <c r="B239" s="3816"/>
      <c r="C239" s="397" t="s">
        <v>1189</v>
      </c>
      <c r="D239" s="1487">
        <v>15841.16</v>
      </c>
      <c r="E239" s="2039" t="s">
        <v>1197</v>
      </c>
      <c r="F239" s="1487"/>
      <c r="G239" s="1487"/>
      <c r="H239" s="1487"/>
      <c r="I239" s="1487"/>
      <c r="J239" s="1487"/>
      <c r="K239" s="1487"/>
      <c r="L239" s="1487"/>
      <c r="M239" s="1487"/>
      <c r="N239" s="1487"/>
      <c r="O239" s="1487"/>
      <c r="P239" s="1487"/>
      <c r="Q239" s="1487"/>
      <c r="R239" s="1487"/>
      <c r="S239" s="1487"/>
      <c r="T239" s="1487"/>
      <c r="U239" s="1487"/>
      <c r="V239" s="1489"/>
      <c r="Z239" s="395"/>
      <c r="AA239" s="395"/>
      <c r="AB239" s="395"/>
    </row>
    <row r="240" spans="1:28">
      <c r="A240" s="3020"/>
      <c r="B240" s="3816"/>
      <c r="C240" s="397" t="s">
        <v>1947</v>
      </c>
      <c r="D240" s="1487">
        <f>12286.34+7500</f>
        <v>19786.34</v>
      </c>
      <c r="E240" s="2039" t="s">
        <v>1197</v>
      </c>
      <c r="F240" s="1487"/>
      <c r="G240" s="1487"/>
      <c r="H240" s="1487"/>
      <c r="I240" s="1487"/>
      <c r="J240" s="1487"/>
      <c r="K240" s="397"/>
      <c r="L240" s="397"/>
      <c r="M240" s="397"/>
      <c r="N240" s="1487"/>
      <c r="O240" s="1487"/>
      <c r="P240" s="1487"/>
      <c r="Q240" s="1487"/>
      <c r="R240" s="1487"/>
      <c r="S240" s="1487"/>
      <c r="T240" s="1487"/>
      <c r="U240" s="1487"/>
      <c r="V240" s="1489"/>
      <c r="Z240" s="395"/>
      <c r="AA240" s="395"/>
      <c r="AB240" s="395"/>
    </row>
    <row r="241" spans="1:28">
      <c r="A241" s="3020"/>
      <c r="B241" s="3816"/>
      <c r="C241" s="397"/>
      <c r="D241" s="2042">
        <f>SUM(D238:D240)</f>
        <v>50341.100000000006</v>
      </c>
      <c r="E241" s="1487"/>
      <c r="F241" s="1487"/>
      <c r="G241" s="1487"/>
      <c r="H241" s="1487"/>
      <c r="I241" s="1487"/>
      <c r="J241" s="1487"/>
      <c r="K241" s="397"/>
      <c r="L241" s="397"/>
      <c r="M241" s="397"/>
      <c r="N241" s="1487"/>
      <c r="O241" s="1487"/>
      <c r="P241" s="1487"/>
      <c r="Q241" s="1487"/>
      <c r="R241" s="1487"/>
      <c r="S241" s="1487"/>
      <c r="T241" s="1487"/>
      <c r="U241" s="1487"/>
      <c r="V241" s="1489"/>
      <c r="Z241" s="395"/>
      <c r="AA241" s="395"/>
      <c r="AB241" s="395"/>
    </row>
    <row r="242" spans="1:28">
      <c r="A242" s="2021"/>
      <c r="B242" s="2069"/>
      <c r="C242" s="2022" t="s">
        <v>1201</v>
      </c>
      <c r="D242" s="2010"/>
      <c r="E242" s="2010"/>
      <c r="F242" s="2010"/>
      <c r="G242" s="2009">
        <f t="shared" ref="G242:U242" si="25">SUM(G190:G241)</f>
        <v>29580.16</v>
      </c>
      <c r="H242" s="2009">
        <f t="shared" si="25"/>
        <v>30089.700000000004</v>
      </c>
      <c r="I242" s="2009">
        <f t="shared" si="25"/>
        <v>38810.351999999999</v>
      </c>
      <c r="J242" s="2009">
        <f t="shared" si="25"/>
        <v>71377.34</v>
      </c>
      <c r="K242" s="2009">
        <f t="shared" si="25"/>
        <v>179090.022</v>
      </c>
      <c r="L242" s="2009">
        <f t="shared" si="25"/>
        <v>110584.272</v>
      </c>
      <c r="M242" s="2009">
        <f t="shared" si="25"/>
        <v>90787.782000000007</v>
      </c>
      <c r="N242" s="2009">
        <f t="shared" si="25"/>
        <v>100928.701</v>
      </c>
      <c r="O242" s="2009">
        <f t="shared" si="25"/>
        <v>77268.226333333339</v>
      </c>
      <c r="P242" s="2009">
        <f t="shared" si="25"/>
        <v>81483.571666666656</v>
      </c>
      <c r="Q242" s="2009">
        <f t="shared" si="25"/>
        <v>78782.877333333337</v>
      </c>
      <c r="R242" s="2009">
        <f>SUM(R190:R241)</f>
        <v>79744.452999999994</v>
      </c>
      <c r="S242" s="2009">
        <f t="shared" si="25"/>
        <v>67970.570999999996</v>
      </c>
      <c r="T242" s="2009">
        <f t="shared" si="25"/>
        <v>90018.088666666677</v>
      </c>
      <c r="U242" s="2009">
        <f t="shared" si="25"/>
        <v>68315.308666666679</v>
      </c>
      <c r="V242" s="2070">
        <f>SUM(V190:V241)</f>
        <v>64915.548666666662</v>
      </c>
      <c r="Z242" s="395"/>
      <c r="AA242" s="395"/>
      <c r="AB242" s="395"/>
    </row>
    <row r="243" spans="1:28">
      <c r="A243" s="1633"/>
      <c r="B243" s="1633"/>
      <c r="C243" s="395"/>
      <c r="D243" s="395"/>
      <c r="E243" s="395"/>
      <c r="F243" s="395"/>
      <c r="N243" s="395"/>
      <c r="O243" s="395"/>
      <c r="P243" s="395"/>
      <c r="Z243" s="395"/>
      <c r="AA243" s="395"/>
      <c r="AB243" s="395"/>
    </row>
    <row r="244" spans="1:28">
      <c r="A244" s="1633"/>
      <c r="B244" s="1633"/>
      <c r="C244" s="395"/>
      <c r="D244" s="395"/>
      <c r="E244" s="395"/>
      <c r="F244" s="395"/>
      <c r="N244" s="395"/>
      <c r="O244" s="395"/>
      <c r="P244" s="395"/>
      <c r="Z244" s="395"/>
      <c r="AA244" s="395"/>
      <c r="AB244" s="395"/>
    </row>
    <row r="245" spans="1:28">
      <c r="A245" s="3013" t="s">
        <v>7075</v>
      </c>
      <c r="B245" s="3013"/>
      <c r="C245" s="395"/>
      <c r="D245" s="395"/>
      <c r="E245" s="395"/>
      <c r="F245" s="395"/>
      <c r="N245" s="395"/>
      <c r="O245" s="395"/>
      <c r="P245" s="395"/>
      <c r="Z245" s="395"/>
    </row>
    <row r="246" spans="1:28">
      <c r="A246" s="1633"/>
      <c r="B246" s="1633"/>
      <c r="C246" s="395"/>
      <c r="D246" s="395"/>
      <c r="E246" s="395"/>
      <c r="F246" s="395"/>
      <c r="N246" s="395"/>
      <c r="O246" s="395"/>
      <c r="P246" s="395"/>
      <c r="Z246" s="395"/>
    </row>
    <row r="247" spans="1:28">
      <c r="A247" s="1989" t="s">
        <v>623</v>
      </c>
      <c r="B247" s="1991"/>
      <c r="C247" s="1991" t="s">
        <v>1002</v>
      </c>
      <c r="D247" s="1991"/>
      <c r="E247" s="1991"/>
      <c r="F247" s="1991"/>
      <c r="G247" s="1990">
        <v>2007</v>
      </c>
      <c r="H247" s="1990">
        <v>2008</v>
      </c>
      <c r="I247" s="1990">
        <v>2009</v>
      </c>
      <c r="J247" s="1990">
        <v>2010</v>
      </c>
      <c r="K247" s="1990">
        <v>2011</v>
      </c>
      <c r="L247" s="1990">
        <v>2012</v>
      </c>
      <c r="M247" s="1990">
        <v>2013</v>
      </c>
      <c r="N247" s="1990">
        <v>2014</v>
      </c>
      <c r="O247" s="1990">
        <v>2015</v>
      </c>
      <c r="P247" s="1990">
        <v>2016</v>
      </c>
      <c r="Q247" s="1990">
        <v>2017</v>
      </c>
      <c r="R247" s="1990">
        <v>2018</v>
      </c>
      <c r="S247" s="1990">
        <v>2019</v>
      </c>
      <c r="T247" s="1990">
        <v>2020</v>
      </c>
      <c r="U247" s="1990">
        <v>2021</v>
      </c>
      <c r="V247" s="2050">
        <v>2022</v>
      </c>
      <c r="W247" s="1973"/>
      <c r="X247" s="1973"/>
      <c r="Y247" s="1973"/>
      <c r="Z247" s="1633"/>
    </row>
    <row r="248" spans="1:28">
      <c r="A248" s="1984" t="s">
        <v>1003</v>
      </c>
      <c r="B248" s="1985"/>
      <c r="C248" s="1986"/>
      <c r="D248" s="1986"/>
      <c r="E248" s="1986"/>
      <c r="F248" s="1986"/>
      <c r="G248" s="1987"/>
      <c r="H248" s="1987"/>
      <c r="I248" s="1987"/>
      <c r="J248" s="1987"/>
      <c r="K248" s="1987"/>
      <c r="L248" s="1987"/>
      <c r="M248" s="1987"/>
      <c r="N248" s="1986"/>
      <c r="O248" s="1986"/>
      <c r="P248" s="1986"/>
      <c r="Q248" s="1987"/>
      <c r="R248" s="1987"/>
      <c r="S248" s="1987"/>
      <c r="T248" s="1987"/>
      <c r="U248" s="1987"/>
      <c r="V248" s="1988"/>
      <c r="Z248" s="395"/>
    </row>
    <row r="249" spans="1:28">
      <c r="A249" s="2048" t="s">
        <v>1202</v>
      </c>
      <c r="B249" s="1999"/>
      <c r="C249" s="397"/>
      <c r="D249" s="397"/>
      <c r="E249" s="397"/>
      <c r="F249" s="397"/>
      <c r="G249" s="1487"/>
      <c r="H249" s="1487"/>
      <c r="I249" s="1487"/>
      <c r="J249" s="1487"/>
      <c r="K249" s="1487"/>
      <c r="L249" s="1487"/>
      <c r="M249" s="1487"/>
      <c r="N249" s="397"/>
      <c r="O249" s="397"/>
      <c r="P249" s="397"/>
      <c r="Q249" s="1487"/>
      <c r="R249" s="1487"/>
      <c r="S249" s="1487"/>
      <c r="T249" s="1487"/>
      <c r="U249" s="1487"/>
      <c r="V249" s="1489"/>
      <c r="Z249" s="395"/>
    </row>
    <row r="250" spans="1:28">
      <c r="A250" s="1997" t="s">
        <v>1961</v>
      </c>
      <c r="B250" s="583"/>
      <c r="C250" s="397" t="s">
        <v>1962</v>
      </c>
      <c r="D250" s="397"/>
      <c r="E250" s="397"/>
      <c r="F250" s="397"/>
      <c r="G250" s="1487">
        <v>0</v>
      </c>
      <c r="H250" s="1487">
        <v>0</v>
      </c>
      <c r="I250" s="1487">
        <v>0</v>
      </c>
      <c r="J250" s="1487">
        <v>0</v>
      </c>
      <c r="K250" s="1487">
        <v>0</v>
      </c>
      <c r="L250" s="1487">
        <v>0</v>
      </c>
      <c r="M250" s="1487">
        <v>0</v>
      </c>
      <c r="N250" s="1487"/>
      <c r="O250" s="1487"/>
      <c r="P250" s="1487"/>
      <c r="Q250" s="1487"/>
      <c r="R250" s="1487"/>
      <c r="S250" s="1487"/>
      <c r="T250" s="1487"/>
      <c r="U250" s="1487"/>
      <c r="V250" s="1489"/>
      <c r="Z250" s="395"/>
    </row>
    <row r="251" spans="1:28">
      <c r="A251" s="1997" t="s">
        <v>1963</v>
      </c>
      <c r="B251" s="583"/>
      <c r="C251" s="397" t="s">
        <v>1213</v>
      </c>
      <c r="D251" s="397"/>
      <c r="E251" s="397"/>
      <c r="F251" s="397"/>
      <c r="G251" s="1487">
        <v>4351.3999999999996</v>
      </c>
      <c r="H251" s="1487">
        <v>4412.3999999999996</v>
      </c>
      <c r="I251" s="1487">
        <v>5106.2</v>
      </c>
      <c r="J251" s="1487">
        <v>3336.19</v>
      </c>
      <c r="K251" s="1487">
        <v>5541.03</v>
      </c>
      <c r="L251" s="1487">
        <f>5501.3+638</f>
        <v>6139.3</v>
      </c>
      <c r="M251" s="1487">
        <v>5380.4</v>
      </c>
      <c r="N251" s="1487"/>
      <c r="O251" s="1487"/>
      <c r="P251" s="1487"/>
      <c r="Q251" s="1487"/>
      <c r="R251" s="1487"/>
      <c r="S251" s="1487"/>
      <c r="T251" s="1487"/>
      <c r="U251" s="1487"/>
      <c r="V251" s="1489"/>
      <c r="Z251" s="395"/>
    </row>
    <row r="252" spans="1:28">
      <c r="A252" s="1997" t="s">
        <v>1964</v>
      </c>
      <c r="B252" s="583"/>
      <c r="C252" s="397" t="s">
        <v>1209</v>
      </c>
      <c r="D252" s="397"/>
      <c r="E252" s="397"/>
      <c r="F252" s="397"/>
      <c r="G252" s="1487"/>
      <c r="H252" s="1487"/>
      <c r="I252" s="1487"/>
      <c r="J252" s="1487"/>
      <c r="K252" s="1487"/>
      <c r="L252" s="1487"/>
      <c r="M252" s="1487"/>
      <c r="N252" s="1487">
        <v>7796.65</v>
      </c>
      <c r="O252" s="1487">
        <v>6784.55</v>
      </c>
      <c r="P252" s="1487">
        <v>6938.25</v>
      </c>
      <c r="Q252" s="1487">
        <v>6829.5</v>
      </c>
      <c r="R252" s="1487">
        <v>7207.95</v>
      </c>
      <c r="S252" s="1487">
        <v>7982.25</v>
      </c>
      <c r="T252" s="1487"/>
      <c r="U252" s="1487"/>
      <c r="V252" s="1489"/>
      <c r="Z252" s="395"/>
    </row>
    <row r="253" spans="1:28">
      <c r="A253" s="1997" t="s">
        <v>1965</v>
      </c>
      <c r="B253" s="583"/>
      <c r="C253" s="397" t="s">
        <v>1219</v>
      </c>
      <c r="D253" s="397"/>
      <c r="E253" s="397"/>
      <c r="F253" s="397"/>
      <c r="G253" s="1487">
        <v>600</v>
      </c>
      <c r="H253" s="1487">
        <v>0</v>
      </c>
      <c r="I253" s="1487">
        <v>0</v>
      </c>
      <c r="J253" s="1487">
        <v>0</v>
      </c>
      <c r="K253" s="1487">
        <v>0</v>
      </c>
      <c r="L253" s="1487">
        <v>94.85</v>
      </c>
      <c r="M253" s="1487">
        <v>0</v>
      </c>
      <c r="N253" s="1487"/>
      <c r="O253" s="1487"/>
      <c r="P253" s="1487"/>
      <c r="Q253" s="1487"/>
      <c r="R253" s="1487"/>
      <c r="S253" s="1487"/>
      <c r="T253" s="1487"/>
      <c r="U253" s="1487"/>
      <c r="V253" s="1489"/>
      <c r="Z253" s="395"/>
    </row>
    <row r="254" spans="1:28">
      <c r="A254" s="1997" t="s">
        <v>1966</v>
      </c>
      <c r="B254" s="583"/>
      <c r="C254" s="397" t="s">
        <v>1213</v>
      </c>
      <c r="D254" s="397"/>
      <c r="E254" s="397"/>
      <c r="F254" s="397"/>
      <c r="G254" s="1487">
        <v>524.5</v>
      </c>
      <c r="H254" s="1487">
        <v>517.20000000000005</v>
      </c>
      <c r="I254" s="1487">
        <v>615.45000000000005</v>
      </c>
      <c r="J254" s="1487">
        <v>780.1</v>
      </c>
      <c r="K254" s="1487">
        <v>2504.4</v>
      </c>
      <c r="L254" s="1487">
        <v>542.29999999999995</v>
      </c>
      <c r="M254" s="1487">
        <v>407.25</v>
      </c>
      <c r="N254" s="1487"/>
      <c r="O254" s="1487"/>
      <c r="P254" s="1487"/>
      <c r="Q254" s="1487"/>
      <c r="R254" s="1487"/>
      <c r="S254" s="1487"/>
      <c r="T254" s="1487"/>
      <c r="U254" s="1487"/>
      <c r="V254" s="1489"/>
      <c r="Z254" s="395"/>
    </row>
    <row r="255" spans="1:28">
      <c r="A255" s="2046"/>
      <c r="B255" s="2064"/>
      <c r="C255" s="2047" t="s">
        <v>1221</v>
      </c>
      <c r="D255" s="2047"/>
      <c r="E255" s="2047"/>
      <c r="F255" s="2047"/>
      <c r="G255" s="2005">
        <f>SUM(G250:G254)</f>
        <v>5475.9</v>
      </c>
      <c r="H255" s="2005">
        <f>SUM(H250:H254)</f>
        <v>4929.5999999999995</v>
      </c>
      <c r="I255" s="2005">
        <f>SUM(I250:I254)</f>
        <v>5721.65</v>
      </c>
      <c r="J255" s="2005">
        <f>SUM(J250:J254)</f>
        <v>4116.29</v>
      </c>
      <c r="K255" s="2005">
        <f>SUM(K250:K254)</f>
        <v>8045.43</v>
      </c>
      <c r="L255" s="2005">
        <f>SUM(L250:L253)</f>
        <v>6234.1500000000005</v>
      </c>
      <c r="M255" s="2005">
        <f>SUM(M250:M254)</f>
        <v>5787.65</v>
      </c>
      <c r="N255" s="2005">
        <f t="shared" ref="N255:V255" si="26">SUM(N250:N253)</f>
        <v>7796.65</v>
      </c>
      <c r="O255" s="2005">
        <f t="shared" si="26"/>
        <v>6784.55</v>
      </c>
      <c r="P255" s="2005">
        <f t="shared" si="26"/>
        <v>6938.25</v>
      </c>
      <c r="Q255" s="2005">
        <f t="shared" si="26"/>
        <v>6829.5</v>
      </c>
      <c r="R255" s="2005">
        <f t="shared" si="26"/>
        <v>7207.95</v>
      </c>
      <c r="S255" s="2005">
        <f t="shared" si="26"/>
        <v>7982.25</v>
      </c>
      <c r="T255" s="2005">
        <f t="shared" si="26"/>
        <v>0</v>
      </c>
      <c r="U255" s="2005">
        <f t="shared" si="26"/>
        <v>0</v>
      </c>
      <c r="V255" s="3150">
        <f t="shared" si="26"/>
        <v>0</v>
      </c>
      <c r="Z255" s="395"/>
    </row>
    <row r="256" spans="1:28">
      <c r="A256" s="2048" t="s">
        <v>1163</v>
      </c>
      <c r="B256" s="1999"/>
      <c r="C256" s="397"/>
      <c r="D256" s="397"/>
      <c r="E256" s="397"/>
      <c r="F256" s="397"/>
      <c r="G256" s="1487"/>
      <c r="H256" s="1487"/>
      <c r="I256" s="1487"/>
      <c r="J256" s="1487"/>
      <c r="K256" s="1487"/>
      <c r="L256" s="1487"/>
      <c r="M256" s="3145"/>
      <c r="N256" s="397"/>
      <c r="O256" s="397"/>
      <c r="P256" s="397"/>
      <c r="Q256" s="1487"/>
      <c r="R256" s="1487"/>
      <c r="S256" s="1487"/>
      <c r="T256" s="1487"/>
      <c r="U256" s="1487"/>
      <c r="V256" s="1489"/>
      <c r="Z256" s="395"/>
    </row>
    <row r="257" spans="1:26">
      <c r="A257" s="1997" t="s">
        <v>1967</v>
      </c>
      <c r="B257" s="583"/>
      <c r="C257" s="397" t="s">
        <v>1230</v>
      </c>
      <c r="D257" s="397"/>
      <c r="E257" s="397"/>
      <c r="F257" s="397"/>
      <c r="G257" s="1487">
        <v>23440.9</v>
      </c>
      <c r="H257" s="1487">
        <v>29388.93</v>
      </c>
      <c r="I257" s="1487">
        <v>41910.83</v>
      </c>
      <c r="J257" s="1487">
        <v>42520.18</v>
      </c>
      <c r="K257" s="1487">
        <v>13183.93</v>
      </c>
      <c r="L257" s="1487">
        <v>21816.639999999999</v>
      </c>
      <c r="M257" s="3145">
        <v>16360.98</v>
      </c>
      <c r="N257" s="3145"/>
      <c r="O257" s="3145"/>
      <c r="P257" s="3145"/>
      <c r="Q257" s="1487"/>
      <c r="R257" s="1487"/>
      <c r="S257" s="1487"/>
      <c r="T257" s="1487"/>
      <c r="U257" s="1487"/>
      <c r="V257" s="1489"/>
      <c r="Z257" s="395"/>
    </row>
    <row r="258" spans="1:26">
      <c r="A258" s="1997" t="s">
        <v>1968</v>
      </c>
      <c r="B258" s="583"/>
      <c r="C258" s="397" t="s">
        <v>1404</v>
      </c>
      <c r="D258" s="397"/>
      <c r="E258" s="397"/>
      <c r="F258" s="397"/>
      <c r="G258" s="1487">
        <v>193.6</v>
      </c>
      <c r="H258" s="1487">
        <v>1231.08</v>
      </c>
      <c r="I258" s="1487">
        <v>0</v>
      </c>
      <c r="J258" s="1487">
        <v>1680.33</v>
      </c>
      <c r="K258" s="1487">
        <v>0</v>
      </c>
      <c r="L258" s="1487">
        <v>0</v>
      </c>
      <c r="M258" s="3145">
        <v>1355.86</v>
      </c>
      <c r="N258" s="3145"/>
      <c r="O258" s="3145"/>
      <c r="P258" s="3145"/>
      <c r="Q258" s="1487"/>
      <c r="R258" s="1487"/>
      <c r="S258" s="1487"/>
      <c r="T258" s="1487"/>
      <c r="U258" s="1487"/>
      <c r="V258" s="1489"/>
      <c r="Z258" s="395"/>
    </row>
    <row r="259" spans="1:26">
      <c r="A259" s="1997" t="s">
        <v>1969</v>
      </c>
      <c r="B259" s="583"/>
      <c r="C259" s="397" t="s">
        <v>1223</v>
      </c>
      <c r="D259" s="397"/>
      <c r="E259" s="397"/>
      <c r="F259" s="397"/>
      <c r="G259" s="1487">
        <v>0</v>
      </c>
      <c r="H259" s="1487">
        <v>863.94</v>
      </c>
      <c r="I259" s="1487">
        <v>0</v>
      </c>
      <c r="J259" s="1487">
        <v>0</v>
      </c>
      <c r="K259" s="1487">
        <v>0</v>
      </c>
      <c r="L259" s="1487">
        <v>0</v>
      </c>
      <c r="M259" s="3145">
        <v>0</v>
      </c>
      <c r="N259" s="3145"/>
      <c r="O259" s="3145"/>
      <c r="P259" s="3145"/>
      <c r="Q259" s="1487"/>
      <c r="R259" s="1487"/>
      <c r="S259" s="1487"/>
      <c r="T259" s="1487"/>
      <c r="U259" s="1487"/>
      <c r="V259" s="1489"/>
      <c r="Z259" s="395"/>
    </row>
    <row r="260" spans="1:26">
      <c r="A260" s="1997" t="s">
        <v>1970</v>
      </c>
      <c r="B260" s="583"/>
      <c r="C260" s="397" t="s">
        <v>1225</v>
      </c>
      <c r="D260" s="397"/>
      <c r="E260" s="397"/>
      <c r="F260" s="397"/>
      <c r="G260" s="1487">
        <v>4259.04</v>
      </c>
      <c r="H260" s="1487">
        <v>3549.2</v>
      </c>
      <c r="I260" s="1487">
        <v>0</v>
      </c>
      <c r="J260" s="1487">
        <v>0</v>
      </c>
      <c r="K260" s="1487">
        <v>0</v>
      </c>
      <c r="L260" s="1487">
        <v>5221.99</v>
      </c>
      <c r="M260" s="3145">
        <v>0</v>
      </c>
      <c r="N260" s="3145"/>
      <c r="O260" s="3145"/>
      <c r="P260" s="3145"/>
      <c r="Q260" s="1487"/>
      <c r="R260" s="1487"/>
      <c r="S260" s="1487"/>
      <c r="T260" s="1487"/>
      <c r="U260" s="1487"/>
      <c r="V260" s="1489"/>
      <c r="Z260" s="395"/>
    </row>
    <row r="261" spans="1:26">
      <c r="A261" s="1997" t="s">
        <v>1971</v>
      </c>
      <c r="B261" s="583"/>
      <c r="C261" s="397" t="s">
        <v>1230</v>
      </c>
      <c r="D261" s="397"/>
      <c r="E261" s="397"/>
      <c r="F261" s="397"/>
      <c r="G261" s="1487">
        <v>110892</v>
      </c>
      <c r="H261" s="1487">
        <v>121798</v>
      </c>
      <c r="I261" s="1487">
        <v>121798</v>
      </c>
      <c r="J261" s="1487">
        <v>119072</v>
      </c>
      <c r="K261" s="1487">
        <v>124525</v>
      </c>
      <c r="L261" s="1487">
        <v>119981</v>
      </c>
      <c r="M261" s="3145">
        <v>130888</v>
      </c>
      <c r="N261" s="3145">
        <f>20*10907</f>
        <v>218140</v>
      </c>
      <c r="O261" s="3145">
        <f>18*10907</f>
        <v>196326</v>
      </c>
      <c r="P261" s="3145">
        <v>196326</v>
      </c>
      <c r="Q261" s="1487">
        <v>196326</v>
      </c>
      <c r="R261" s="1487">
        <v>196326</v>
      </c>
      <c r="S261" s="1487">
        <v>196326</v>
      </c>
      <c r="T261" s="1487"/>
      <c r="U261" s="1487"/>
      <c r="V261" s="1489"/>
      <c r="Z261" s="395"/>
    </row>
    <row r="262" spans="1:26">
      <c r="A262" s="1997" t="s">
        <v>1972</v>
      </c>
      <c r="B262" s="583"/>
      <c r="C262" s="397" t="s">
        <v>1232</v>
      </c>
      <c r="D262" s="397"/>
      <c r="E262" s="397"/>
      <c r="F262" s="397"/>
      <c r="G262" s="1487">
        <v>83.3</v>
      </c>
      <c r="H262" s="1487">
        <v>85.32</v>
      </c>
      <c r="I262" s="1487">
        <v>85.74</v>
      </c>
      <c r="J262" s="1487">
        <v>86.58</v>
      </c>
      <c r="K262" s="1487">
        <v>90.36</v>
      </c>
      <c r="L262" s="1487">
        <v>383.4</v>
      </c>
      <c r="M262" s="3145">
        <v>1106.8900000000001</v>
      </c>
      <c r="N262" s="3145"/>
      <c r="O262" s="3145"/>
      <c r="P262" s="3145"/>
      <c r="Q262" s="1487"/>
      <c r="R262" s="1487"/>
      <c r="S262" s="1487"/>
      <c r="T262" s="1487"/>
      <c r="U262" s="1487"/>
      <c r="V262" s="1489"/>
      <c r="Z262" s="395"/>
    </row>
    <row r="263" spans="1:26">
      <c r="A263" s="1997" t="s">
        <v>7398</v>
      </c>
      <c r="B263" s="583">
        <v>740100</v>
      </c>
      <c r="C263" s="397" t="s">
        <v>7399</v>
      </c>
      <c r="D263" s="397"/>
      <c r="E263" s="397"/>
      <c r="F263" s="397"/>
      <c r="G263" s="1487"/>
      <c r="H263" s="1487"/>
      <c r="I263" s="1487"/>
      <c r="J263" s="1487"/>
      <c r="K263" s="1487"/>
      <c r="L263" s="1487"/>
      <c r="M263" s="3145"/>
      <c r="N263" s="3145"/>
      <c r="O263" s="3145"/>
      <c r="P263" s="3145"/>
      <c r="Q263" s="1487"/>
      <c r="R263" s="1487"/>
      <c r="S263" s="1487"/>
      <c r="T263" s="1487">
        <v>11931.21</v>
      </c>
      <c r="U263" s="1487"/>
      <c r="V263" s="1489"/>
      <c r="Z263" s="395"/>
    </row>
    <row r="264" spans="1:26">
      <c r="A264" s="1997" t="s">
        <v>1973</v>
      </c>
      <c r="B264" s="583"/>
      <c r="C264" s="397" t="s">
        <v>1227</v>
      </c>
      <c r="D264" s="397"/>
      <c r="E264" s="397"/>
      <c r="F264" s="397"/>
      <c r="G264" s="1487"/>
      <c r="H264" s="1487"/>
      <c r="I264" s="1487"/>
      <c r="J264" s="1487"/>
      <c r="K264" s="1487"/>
      <c r="L264" s="1487"/>
      <c r="M264" s="3145"/>
      <c r="N264" s="3145">
        <v>1145.94</v>
      </c>
      <c r="O264" s="3145">
        <v>1156.32</v>
      </c>
      <c r="P264" s="3145">
        <v>1105.2</v>
      </c>
      <c r="Q264" s="1487">
        <v>1139.04</v>
      </c>
      <c r="R264" s="1487">
        <v>1168.56</v>
      </c>
      <c r="S264" s="1487">
        <v>1179.3599999999999</v>
      </c>
      <c r="T264" s="1487"/>
      <c r="U264" s="1487"/>
      <c r="V264" s="1489"/>
      <c r="Z264" s="395"/>
    </row>
    <row r="265" spans="1:26">
      <c r="A265" s="1997" t="s">
        <v>1974</v>
      </c>
      <c r="B265" s="583"/>
      <c r="C265" s="397" t="s">
        <v>1230</v>
      </c>
      <c r="D265" s="397"/>
      <c r="E265" s="397"/>
      <c r="F265" s="397"/>
      <c r="G265" s="1487">
        <v>10907</v>
      </c>
      <c r="H265" s="1487">
        <v>10907</v>
      </c>
      <c r="I265" s="1487">
        <v>10907</v>
      </c>
      <c r="J265" s="1487">
        <v>21815</v>
      </c>
      <c r="K265" s="1487">
        <v>21815</v>
      </c>
      <c r="L265" s="1487">
        <v>21815</v>
      </c>
      <c r="M265" s="3145">
        <v>21815</v>
      </c>
      <c r="N265" s="3145"/>
      <c r="O265" s="3145"/>
      <c r="P265" s="3145"/>
      <c r="Q265" s="1487"/>
      <c r="R265" s="1487"/>
      <c r="S265" s="1487"/>
      <c r="T265" s="1487"/>
      <c r="U265" s="1487"/>
      <c r="V265" s="1489"/>
      <c r="Z265" s="395"/>
    </row>
    <row r="266" spans="1:26">
      <c r="A266" s="2046"/>
      <c r="B266" s="2064"/>
      <c r="C266" s="2047" t="s">
        <v>1181</v>
      </c>
      <c r="D266" s="2047"/>
      <c r="E266" s="2047"/>
      <c r="F266" s="2047"/>
      <c r="G266" s="2005">
        <f t="shared" ref="G266:V266" si="27">SUM(G257:G265)</f>
        <v>149775.84</v>
      </c>
      <c r="H266" s="2005">
        <f t="shared" si="27"/>
        <v>167823.47</v>
      </c>
      <c r="I266" s="2005">
        <f t="shared" si="27"/>
        <v>174701.57</v>
      </c>
      <c r="J266" s="2005">
        <f t="shared" si="27"/>
        <v>185174.09</v>
      </c>
      <c r="K266" s="2005">
        <f t="shared" si="27"/>
        <v>159614.28999999998</v>
      </c>
      <c r="L266" s="2005">
        <f t="shared" si="27"/>
        <v>169218.03</v>
      </c>
      <c r="M266" s="2005">
        <f t="shared" si="27"/>
        <v>171526.73</v>
      </c>
      <c r="N266" s="2005">
        <f t="shared" si="27"/>
        <v>219285.94</v>
      </c>
      <c r="O266" s="2005">
        <f t="shared" si="27"/>
        <v>197482.32</v>
      </c>
      <c r="P266" s="2005">
        <f t="shared" si="27"/>
        <v>197431.2</v>
      </c>
      <c r="Q266" s="2005">
        <f t="shared" si="27"/>
        <v>197465.04</v>
      </c>
      <c r="R266" s="2005">
        <f t="shared" si="27"/>
        <v>197494.56</v>
      </c>
      <c r="S266" s="2005">
        <f t="shared" si="27"/>
        <v>197505.36</v>
      </c>
      <c r="T266" s="2005">
        <f t="shared" si="27"/>
        <v>11931.21</v>
      </c>
      <c r="U266" s="2005">
        <f t="shared" si="27"/>
        <v>0</v>
      </c>
      <c r="V266" s="3150">
        <f t="shared" si="27"/>
        <v>0</v>
      </c>
      <c r="Z266" s="395"/>
    </row>
    <row r="267" spans="1:26">
      <c r="A267" s="2048" t="s">
        <v>47</v>
      </c>
      <c r="B267" s="1999"/>
      <c r="C267" s="397"/>
      <c r="D267" s="397"/>
      <c r="E267" s="397"/>
      <c r="F267" s="397"/>
      <c r="G267" s="1487"/>
      <c r="H267" s="1487"/>
      <c r="I267" s="1487"/>
      <c r="J267" s="1487"/>
      <c r="K267" s="1487"/>
      <c r="L267" s="1487"/>
      <c r="M267" s="1487"/>
      <c r="N267" s="1487"/>
      <c r="O267" s="1487"/>
      <c r="P267" s="1487"/>
      <c r="Q267" s="1487"/>
      <c r="R267" s="1487"/>
      <c r="S267" s="1487"/>
      <c r="T267" s="1487"/>
      <c r="U267" s="1487"/>
      <c r="V267" s="1487"/>
      <c r="Z267" s="395"/>
    </row>
    <row r="268" spans="1:26">
      <c r="A268" s="1997"/>
      <c r="B268" s="583"/>
      <c r="C268" s="397"/>
      <c r="D268" s="397"/>
      <c r="E268" s="397"/>
      <c r="F268" s="397"/>
      <c r="G268" s="1487"/>
      <c r="H268" s="1487"/>
      <c r="I268" s="1487"/>
      <c r="J268" s="1487"/>
      <c r="K268" s="1487"/>
      <c r="L268" s="1487"/>
      <c r="M268" s="1487"/>
      <c r="N268" s="1487"/>
      <c r="O268" s="1487"/>
      <c r="P268" s="1487"/>
      <c r="Q268" s="1487"/>
      <c r="R268" s="1487"/>
      <c r="S268" s="1487"/>
      <c r="T268" s="1487"/>
      <c r="U268" s="1487"/>
      <c r="V268" s="1487"/>
      <c r="Z268" s="395"/>
    </row>
    <row r="269" spans="1:26">
      <c r="A269" s="2046"/>
      <c r="B269" s="2064"/>
      <c r="C269" s="2047" t="s">
        <v>1185</v>
      </c>
      <c r="D269" s="2047"/>
      <c r="E269" s="2047"/>
      <c r="F269" s="2047"/>
      <c r="G269" s="2005">
        <f t="shared" ref="G269:L269" si="28">SUM(G268)</f>
        <v>0</v>
      </c>
      <c r="H269" s="2005">
        <f t="shared" si="28"/>
        <v>0</v>
      </c>
      <c r="I269" s="2005">
        <f t="shared" si="28"/>
        <v>0</v>
      </c>
      <c r="J269" s="2005">
        <f t="shared" si="28"/>
        <v>0</v>
      </c>
      <c r="K269" s="2005">
        <f t="shared" si="28"/>
        <v>0</v>
      </c>
      <c r="L269" s="2005">
        <f t="shared" si="28"/>
        <v>0</v>
      </c>
      <c r="M269" s="2005">
        <f t="shared" ref="M269:R269" si="29">SUM(M268)</f>
        <v>0</v>
      </c>
      <c r="N269" s="2005">
        <f t="shared" si="29"/>
        <v>0</v>
      </c>
      <c r="O269" s="2005">
        <f t="shared" si="29"/>
        <v>0</v>
      </c>
      <c r="P269" s="2005">
        <f t="shared" si="29"/>
        <v>0</v>
      </c>
      <c r="Q269" s="2005">
        <f t="shared" si="29"/>
        <v>0</v>
      </c>
      <c r="R269" s="2005">
        <f t="shared" si="29"/>
        <v>0</v>
      </c>
      <c r="S269" s="2005">
        <f>SUM(S268)</f>
        <v>0</v>
      </c>
      <c r="T269" s="2005">
        <f>SUM(T268)</f>
        <v>0</v>
      </c>
      <c r="U269" s="2005">
        <f>SUM(U268)</f>
        <v>0</v>
      </c>
      <c r="V269" s="3150">
        <f>SUM(V268)</f>
        <v>0</v>
      </c>
      <c r="Z269" s="395"/>
    </row>
    <row r="270" spans="1:26">
      <c r="A270" s="1997"/>
      <c r="B270" s="583"/>
      <c r="C270" s="397"/>
      <c r="D270" s="397"/>
      <c r="E270" s="397"/>
      <c r="F270" s="397"/>
      <c r="G270" s="1487"/>
      <c r="H270" s="1487"/>
      <c r="I270" s="1487"/>
      <c r="J270" s="1487"/>
      <c r="K270" s="1487"/>
      <c r="L270" s="1487"/>
      <c r="M270" s="1487"/>
      <c r="N270" s="1487"/>
      <c r="O270" s="1487"/>
      <c r="P270" s="1487"/>
      <c r="Q270" s="1487"/>
      <c r="R270" s="1487"/>
      <c r="S270" s="1487"/>
      <c r="T270" s="1487"/>
      <c r="U270" s="1487"/>
      <c r="V270" s="1487"/>
      <c r="Z270" s="395"/>
    </row>
    <row r="271" spans="1:26">
      <c r="A271" s="2021"/>
      <c r="B271" s="2069"/>
      <c r="C271" s="2022" t="s">
        <v>1234</v>
      </c>
      <c r="D271" s="2022"/>
      <c r="E271" s="2022"/>
      <c r="F271" s="2022"/>
      <c r="G271" s="2009">
        <f t="shared" ref="G271:V271" si="30">G255+G266+G269</f>
        <v>155251.74</v>
      </c>
      <c r="H271" s="2009">
        <f t="shared" si="30"/>
        <v>172753.07</v>
      </c>
      <c r="I271" s="2009">
        <f t="shared" si="30"/>
        <v>180423.22</v>
      </c>
      <c r="J271" s="2009">
        <f t="shared" si="30"/>
        <v>189290.38</v>
      </c>
      <c r="K271" s="2009">
        <f t="shared" si="30"/>
        <v>167659.71999999997</v>
      </c>
      <c r="L271" s="2009">
        <f t="shared" si="30"/>
        <v>175452.18</v>
      </c>
      <c r="M271" s="2009">
        <f t="shared" si="30"/>
        <v>177314.38</v>
      </c>
      <c r="N271" s="2009">
        <f t="shared" si="30"/>
        <v>227082.59</v>
      </c>
      <c r="O271" s="2009">
        <f t="shared" si="30"/>
        <v>204266.87</v>
      </c>
      <c r="P271" s="2009">
        <f t="shared" si="30"/>
        <v>204369.45</v>
      </c>
      <c r="Q271" s="2009">
        <f t="shared" si="30"/>
        <v>204294.54</v>
      </c>
      <c r="R271" s="2009">
        <f t="shared" si="30"/>
        <v>204702.51</v>
      </c>
      <c r="S271" s="2009">
        <f t="shared" si="30"/>
        <v>205487.61</v>
      </c>
      <c r="T271" s="2009">
        <f t="shared" si="30"/>
        <v>11931.21</v>
      </c>
      <c r="U271" s="2009">
        <f t="shared" si="30"/>
        <v>0</v>
      </c>
      <c r="V271" s="2070">
        <f t="shared" si="30"/>
        <v>0</v>
      </c>
      <c r="Z271" s="395"/>
    </row>
    <row r="272" spans="1:26">
      <c r="A272" s="1633"/>
      <c r="B272" s="1633"/>
      <c r="C272" s="395"/>
      <c r="D272" s="395"/>
      <c r="E272" s="395"/>
      <c r="F272" s="395"/>
      <c r="M272" s="1974"/>
      <c r="N272" s="395"/>
      <c r="O272" s="395"/>
      <c r="P272" s="395"/>
      <c r="Z272" s="395"/>
    </row>
    <row r="273" spans="1:26">
      <c r="A273" s="1633"/>
      <c r="B273" s="1633"/>
      <c r="C273" s="395"/>
      <c r="D273" s="395"/>
      <c r="E273" s="395"/>
      <c r="F273" s="395"/>
      <c r="M273" s="1974"/>
      <c r="N273" s="395"/>
      <c r="O273" s="395"/>
      <c r="P273" s="395"/>
      <c r="Z273" s="395"/>
    </row>
    <row r="274" spans="1:26">
      <c r="A274" s="1633"/>
      <c r="B274" s="1633"/>
      <c r="C274" s="395"/>
      <c r="D274" s="395"/>
      <c r="E274" s="395"/>
      <c r="F274" s="395"/>
      <c r="N274" s="395"/>
      <c r="O274" s="395"/>
      <c r="P274" s="395"/>
      <c r="Z274" s="395"/>
    </row>
  </sheetData>
  <mergeCells count="1">
    <mergeCell ref="A1:L1"/>
  </mergeCells>
  <hyperlinks>
    <hyperlink ref="A1" location="GLOBAAL!A1" display="Cultuur &amp; Archief" xr:uid="{00000000-0004-0000-3B00-000000000000}"/>
    <hyperlink ref="A1:L1" location="FINANCIËN!A1" display="Groendienst" xr:uid="{00000000-0004-0000-3B00-000001000000}"/>
  </hyperlinks>
  <pageMargins left="0.70866141732283472" right="0.70866141732283472" top="0.74803149606299213" bottom="0.74803149606299213" header="0.31496062992125984" footer="0.31496062992125984"/>
  <pageSetup paperSize="9" orientation="landscape" r:id="rId1"/>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EBD531"/>
  </sheetPr>
  <dimension ref="A1:AK190"/>
  <sheetViews>
    <sheetView workbookViewId="0">
      <pane xSplit="7" ySplit="3" topLeftCell="H4" activePane="bottomRight" state="frozen"/>
      <selection pane="topRight" activeCell="H1" sqref="H1"/>
      <selection pane="bottomLeft" activeCell="A4" sqref="A4"/>
      <selection pane="bottomRight" sqref="A1:M1"/>
    </sheetView>
  </sheetViews>
  <sheetFormatPr defaultColWidth="9.140625" defaultRowHeight="12.75"/>
  <cols>
    <col min="1" max="2" width="16.28515625" style="395" customWidth="1"/>
    <col min="3" max="3" width="10" style="1965" customWidth="1"/>
    <col min="4" max="4" width="10.42578125" style="1965" customWidth="1"/>
    <col min="5" max="5" width="11.7109375" style="1965" bestFit="1" customWidth="1"/>
    <col min="6" max="6" width="9.28515625" style="1965" bestFit="1" customWidth="1"/>
    <col min="7" max="7" width="10" style="1965" customWidth="1"/>
    <col min="8" max="8" width="11.85546875" style="1965" bestFit="1" customWidth="1"/>
    <col min="9" max="9" width="13.5703125" style="1965" bestFit="1" customWidth="1"/>
    <col min="10" max="13" width="11.85546875" style="1965" bestFit="1" customWidth="1"/>
    <col min="14" max="14" width="13.42578125" style="1965" bestFit="1" customWidth="1"/>
    <col min="15" max="18" width="12.28515625" style="1965" bestFit="1" customWidth="1"/>
    <col min="19" max="19" width="12.7109375" style="1965" customWidth="1"/>
    <col min="20" max="22" width="11.7109375" style="1965" bestFit="1" customWidth="1"/>
    <col min="23" max="23" width="10.28515625" style="1965" bestFit="1" customWidth="1"/>
    <col min="24" max="26" width="9.7109375" style="1965" bestFit="1" customWidth="1"/>
    <col min="27" max="37" width="9.140625" style="1965"/>
    <col min="38" max="16384" width="9.140625" style="395"/>
  </cols>
  <sheetData>
    <row r="1" spans="1:37" ht="21">
      <c r="A1" s="4829" t="s">
        <v>1513</v>
      </c>
      <c r="B1" s="4830"/>
      <c r="C1" s="4830"/>
      <c r="D1" s="4830"/>
      <c r="E1" s="4830"/>
      <c r="F1" s="4830"/>
      <c r="G1" s="4830"/>
      <c r="H1" s="4830"/>
      <c r="I1" s="4830"/>
      <c r="J1" s="4830"/>
      <c r="K1" s="4830"/>
      <c r="L1" s="4830"/>
      <c r="M1" s="4830"/>
    </row>
    <row r="2" spans="1:37" ht="13.5" thickBot="1">
      <c r="A2" s="1966"/>
      <c r="B2" s="1966"/>
    </row>
    <row r="3" spans="1:37" s="3144" customFormat="1" ht="18" customHeight="1" thickBot="1">
      <c r="A3" s="1886"/>
      <c r="B3" s="1887"/>
      <c r="C3" s="1967">
        <v>2007</v>
      </c>
      <c r="D3" s="1967">
        <v>2008</v>
      </c>
      <c r="E3" s="1967">
        <v>2009</v>
      </c>
      <c r="F3" s="1967">
        <v>2010</v>
      </c>
      <c r="G3" s="1967">
        <v>2011</v>
      </c>
      <c r="H3" s="1967">
        <v>2012</v>
      </c>
      <c r="I3" s="1967">
        <v>2013</v>
      </c>
      <c r="J3" s="1967">
        <v>2014</v>
      </c>
      <c r="K3" s="1967">
        <v>2015</v>
      </c>
      <c r="L3" s="1967">
        <v>2016</v>
      </c>
      <c r="M3" s="1967">
        <v>2017</v>
      </c>
      <c r="N3" s="1967">
        <v>2018</v>
      </c>
      <c r="O3" s="1967">
        <v>2019</v>
      </c>
      <c r="P3" s="1967">
        <v>2020</v>
      </c>
      <c r="Q3" s="1967">
        <v>2021</v>
      </c>
      <c r="S3" s="3146"/>
      <c r="T3" s="3146"/>
      <c r="U3" s="3146"/>
      <c r="V3" s="3146"/>
      <c r="W3" s="3146"/>
      <c r="X3" s="3146"/>
      <c r="Y3" s="3146"/>
      <c r="Z3" s="3146"/>
      <c r="AA3" s="3143"/>
      <c r="AB3" s="3143"/>
      <c r="AC3" s="3143"/>
      <c r="AD3" s="3143"/>
      <c r="AE3" s="3143"/>
      <c r="AF3" s="3143"/>
      <c r="AG3" s="3143"/>
      <c r="AH3" s="3143"/>
      <c r="AI3" s="3143"/>
      <c r="AJ3" s="3143"/>
      <c r="AK3" s="3143"/>
    </row>
    <row r="4" spans="1:37">
      <c r="A4" s="1205" t="s">
        <v>986</v>
      </c>
      <c r="B4" s="397"/>
      <c r="C4" s="1969">
        <f t="shared" ref="C4:N4" si="0">H110</f>
        <v>1110904.17</v>
      </c>
      <c r="D4" s="1969">
        <f t="shared" si="0"/>
        <v>1143563.8399999999</v>
      </c>
      <c r="E4" s="1969">
        <f t="shared" si="0"/>
        <v>1287078.8800000001</v>
      </c>
      <c r="F4" s="1969">
        <f t="shared" si="0"/>
        <v>1372882.39</v>
      </c>
      <c r="G4" s="1969">
        <f t="shared" si="0"/>
        <v>1405699.76</v>
      </c>
      <c r="H4" s="1969">
        <f t="shared" si="0"/>
        <v>1463292.9800000002</v>
      </c>
      <c r="I4" s="1969">
        <f t="shared" si="0"/>
        <v>1446648.02</v>
      </c>
      <c r="J4" s="1969">
        <f t="shared" si="0"/>
        <v>1419371.5319999999</v>
      </c>
      <c r="K4" s="1969">
        <f t="shared" si="0"/>
        <v>1482391.8319999992</v>
      </c>
      <c r="L4" s="1969">
        <f t="shared" si="0"/>
        <v>1491575.3939999999</v>
      </c>
      <c r="M4" s="1969">
        <f t="shared" si="0"/>
        <v>1462227.6740000001</v>
      </c>
      <c r="N4" s="2609">
        <f t="shared" si="0"/>
        <v>1478106.584</v>
      </c>
      <c r="O4" s="2609">
        <f>T110</f>
        <v>1451168.9619999998</v>
      </c>
      <c r="P4" s="2609">
        <f>U110</f>
        <v>1559487.5119999999</v>
      </c>
      <c r="Q4" s="2609">
        <f>V110</f>
        <v>1583084.0699999996</v>
      </c>
      <c r="R4" s="395"/>
      <c r="S4" s="3147"/>
      <c r="T4" s="3147"/>
      <c r="U4" s="3147"/>
      <c r="V4" s="3147"/>
      <c r="W4" s="3147"/>
      <c r="X4" s="3147"/>
      <c r="Y4" s="3147"/>
      <c r="Z4" s="3147"/>
    </row>
    <row r="5" spans="1:37">
      <c r="A5" s="1205" t="s">
        <v>987</v>
      </c>
      <c r="B5" s="397"/>
      <c r="C5" s="1969">
        <f t="shared" ref="C5:N5" si="1">H187</f>
        <v>1017536.2100000001</v>
      </c>
      <c r="D5" s="1969">
        <f t="shared" si="1"/>
        <v>1027599.18</v>
      </c>
      <c r="E5" s="1969">
        <f t="shared" si="1"/>
        <v>1183617.4900000002</v>
      </c>
      <c r="F5" s="1969">
        <f t="shared" si="1"/>
        <v>1238952.6399999997</v>
      </c>
      <c r="G5" s="1969">
        <f t="shared" si="1"/>
        <v>1250712.8499999999</v>
      </c>
      <c r="H5" s="1969">
        <f t="shared" si="1"/>
        <v>1314666.81</v>
      </c>
      <c r="I5" s="1969">
        <f t="shared" si="1"/>
        <v>1285646.7599999998</v>
      </c>
      <c r="J5" s="1969">
        <f t="shared" si="1"/>
        <v>1286176.07</v>
      </c>
      <c r="K5" s="1969">
        <f t="shared" si="1"/>
        <v>1312688.8700000001</v>
      </c>
      <c r="L5" s="1969">
        <f t="shared" si="1"/>
        <v>1295048.82</v>
      </c>
      <c r="M5" s="1969">
        <f t="shared" si="1"/>
        <v>1320273.53</v>
      </c>
      <c r="N5" s="1969">
        <f t="shared" si="1"/>
        <v>1304886.77</v>
      </c>
      <c r="O5" s="1969">
        <f>T187</f>
        <v>1331890.6900000002</v>
      </c>
      <c r="P5" s="1969">
        <f>U187</f>
        <v>1323442.3800000001</v>
      </c>
      <c r="Q5" s="1969">
        <f>V187</f>
        <v>1340805.4400000002</v>
      </c>
      <c r="R5" s="395"/>
      <c r="S5" s="3147"/>
      <c r="T5" s="3147"/>
      <c r="U5" s="3147"/>
      <c r="V5" s="3147"/>
      <c r="W5" s="3147"/>
      <c r="X5" s="3147"/>
      <c r="Y5" s="3147"/>
      <c r="Z5" s="3147"/>
    </row>
    <row r="6" spans="1:37">
      <c r="A6" s="1205" t="s">
        <v>988</v>
      </c>
      <c r="B6" s="397"/>
      <c r="C6" s="1969">
        <f>C5-C4</f>
        <v>-93367.959999999846</v>
      </c>
      <c r="D6" s="1969">
        <f t="shared" ref="D6:I6" si="2">D5-D4</f>
        <v>-115964.6599999998</v>
      </c>
      <c r="E6" s="1969">
        <f t="shared" si="2"/>
        <v>-103461.3899999999</v>
      </c>
      <c r="F6" s="1969">
        <f t="shared" si="2"/>
        <v>-133929.75000000023</v>
      </c>
      <c r="G6" s="1969">
        <f t="shared" si="2"/>
        <v>-154986.91000000015</v>
      </c>
      <c r="H6" s="1969">
        <f t="shared" si="2"/>
        <v>-148626.17000000016</v>
      </c>
      <c r="I6" s="1969">
        <f t="shared" si="2"/>
        <v>-161001.26000000024</v>
      </c>
      <c r="J6" s="1969">
        <f t="shared" ref="J6:P6" si="3">J5-J4</f>
        <v>-133195.46199999982</v>
      </c>
      <c r="K6" s="1969">
        <f t="shared" si="3"/>
        <v>-169702.96199999913</v>
      </c>
      <c r="L6" s="1969">
        <f t="shared" si="3"/>
        <v>-196526.57399999979</v>
      </c>
      <c r="M6" s="1969">
        <f t="shared" si="3"/>
        <v>-141954.14400000009</v>
      </c>
      <c r="N6" s="1969">
        <f t="shared" si="3"/>
        <v>-173219.81400000001</v>
      </c>
      <c r="O6" s="1969">
        <f t="shared" si="3"/>
        <v>-119278.27199999965</v>
      </c>
      <c r="P6" s="1969">
        <f t="shared" si="3"/>
        <v>-236045.13199999975</v>
      </c>
      <c r="Q6" s="1969">
        <f t="shared" ref="Q6" si="4">Q5-Q4</f>
        <v>-242278.62999999942</v>
      </c>
      <c r="R6" s="395"/>
      <c r="S6" s="3147"/>
      <c r="T6" s="3147"/>
      <c r="U6" s="3147"/>
      <c r="V6" s="3147"/>
      <c r="W6" s="3147"/>
      <c r="X6" s="3147"/>
      <c r="Y6" s="3147"/>
      <c r="Z6" s="3147"/>
    </row>
    <row r="7" spans="1:37">
      <c r="A7" s="1205"/>
      <c r="B7" s="397"/>
      <c r="C7" s="1969"/>
      <c r="D7" s="1969"/>
      <c r="E7" s="1969"/>
      <c r="F7" s="1969"/>
      <c r="G7" s="1969"/>
      <c r="H7" s="1969"/>
      <c r="I7" s="1969"/>
      <c r="J7" s="1969"/>
      <c r="K7" s="1969"/>
      <c r="L7" s="1969"/>
      <c r="M7" s="1969"/>
      <c r="N7" s="1969"/>
      <c r="O7" s="1969"/>
      <c r="P7" s="1969"/>
      <c r="Q7" s="1969"/>
      <c r="R7" s="395"/>
      <c r="S7" s="3147"/>
      <c r="T7" s="3147"/>
      <c r="U7" s="3147"/>
      <c r="V7" s="3147"/>
      <c r="W7" s="3147"/>
      <c r="X7" s="3147"/>
      <c r="Y7" s="3147"/>
      <c r="Z7" s="3147"/>
    </row>
    <row r="8" spans="1:37">
      <c r="A8" s="1205" t="s">
        <v>989</v>
      </c>
      <c r="B8" s="397"/>
      <c r="C8" s="1969">
        <f t="shared" ref="C8:N8" si="5">H58</f>
        <v>1030854.6</v>
      </c>
      <c r="D8" s="1969">
        <f t="shared" si="5"/>
        <v>1051509.1599999999</v>
      </c>
      <c r="E8" s="1969">
        <f t="shared" si="5"/>
        <v>1194677.6400000001</v>
      </c>
      <c r="F8" s="1969">
        <f t="shared" si="5"/>
        <v>1275521.81</v>
      </c>
      <c r="G8" s="1969">
        <f t="shared" si="5"/>
        <v>1291084.27</v>
      </c>
      <c r="H8" s="1969">
        <f t="shared" si="5"/>
        <v>1351236.2400000002</v>
      </c>
      <c r="I8" s="1969">
        <f t="shared" si="5"/>
        <v>1337850.79</v>
      </c>
      <c r="J8" s="1969">
        <f t="shared" si="5"/>
        <v>1306175.7499999998</v>
      </c>
      <c r="K8" s="1969">
        <f t="shared" si="5"/>
        <v>1382311.7599999993</v>
      </c>
      <c r="L8" s="1969">
        <f t="shared" si="5"/>
        <v>1384447.4</v>
      </c>
      <c r="M8" s="1969">
        <f t="shared" si="5"/>
        <v>1372988.98</v>
      </c>
      <c r="N8" s="1969">
        <f t="shared" si="5"/>
        <v>1360777.84</v>
      </c>
      <c r="O8" s="1969">
        <f>T58</f>
        <v>1348108.2799999998</v>
      </c>
      <c r="P8" s="1969">
        <f>U58</f>
        <v>1361647.44</v>
      </c>
      <c r="Q8" s="1969">
        <f>V58</f>
        <v>1376527.6499999997</v>
      </c>
      <c r="R8" s="395"/>
      <c r="S8" s="3147"/>
      <c r="T8" s="3147"/>
      <c r="U8" s="3147"/>
      <c r="V8" s="3147"/>
      <c r="W8" s="3147"/>
      <c r="X8" s="3147"/>
      <c r="Y8" s="3147"/>
      <c r="Z8" s="3147"/>
    </row>
    <row r="9" spans="1:37">
      <c r="A9" s="1205" t="s">
        <v>990</v>
      </c>
      <c r="B9" s="397"/>
      <c r="C9" s="1969">
        <f t="shared" ref="C9:N9" si="6">H97</f>
        <v>73434.400000000009</v>
      </c>
      <c r="D9" s="1969">
        <f t="shared" si="6"/>
        <v>81299.47</v>
      </c>
      <c r="E9" s="1969">
        <f t="shared" si="6"/>
        <v>80085.670000000013</v>
      </c>
      <c r="F9" s="1969">
        <f t="shared" si="6"/>
        <v>79248.69</v>
      </c>
      <c r="G9" s="1969">
        <f t="shared" si="6"/>
        <v>84312.08</v>
      </c>
      <c r="H9" s="1969">
        <f t="shared" si="6"/>
        <v>76323</v>
      </c>
      <c r="I9" s="1969">
        <f t="shared" si="6"/>
        <v>82523.819999999992</v>
      </c>
      <c r="J9" s="1969">
        <f t="shared" si="6"/>
        <v>86835.520000000004</v>
      </c>
      <c r="K9" s="1969">
        <f t="shared" si="6"/>
        <v>79011.429999999993</v>
      </c>
      <c r="L9" s="1969">
        <f t="shared" si="6"/>
        <v>95667.189999999988</v>
      </c>
      <c r="M9" s="1969">
        <f t="shared" si="6"/>
        <v>80826.100000000006</v>
      </c>
      <c r="N9" s="1969">
        <f t="shared" si="6"/>
        <v>80347.149999999994</v>
      </c>
      <c r="O9" s="1969">
        <f>T97</f>
        <v>86666.76</v>
      </c>
      <c r="P9" s="1969">
        <f>U97</f>
        <v>55707.490000000013</v>
      </c>
      <c r="Q9" s="1969">
        <f>V97</f>
        <v>71124.66</v>
      </c>
      <c r="R9" s="395"/>
      <c r="S9" s="3147"/>
      <c r="T9" s="3147"/>
      <c r="U9" s="3147"/>
      <c r="V9" s="3147"/>
      <c r="W9" s="3147"/>
      <c r="X9" s="3147"/>
      <c r="Y9" s="3147"/>
      <c r="Z9" s="3147"/>
    </row>
    <row r="10" spans="1:37">
      <c r="A10" s="1205" t="s">
        <v>991</v>
      </c>
      <c r="B10" s="397"/>
      <c r="C10" s="1969">
        <f t="shared" ref="C10:N10" si="7">H104</f>
        <v>6615.17</v>
      </c>
      <c r="D10" s="1969">
        <f t="shared" si="7"/>
        <v>6177.8</v>
      </c>
      <c r="E10" s="1969">
        <f t="shared" si="7"/>
        <v>6084.7</v>
      </c>
      <c r="F10" s="1969">
        <f t="shared" si="7"/>
        <v>6380.48</v>
      </c>
      <c r="G10" s="1969">
        <f t="shared" si="7"/>
        <v>6664.18</v>
      </c>
      <c r="H10" s="1969">
        <f t="shared" si="7"/>
        <v>8056.9500000000007</v>
      </c>
      <c r="I10" s="1969">
        <f t="shared" si="7"/>
        <v>2270.7600000000002</v>
      </c>
      <c r="J10" s="1969">
        <f t="shared" si="7"/>
        <v>2017.27</v>
      </c>
      <c r="K10" s="1969">
        <f t="shared" si="7"/>
        <v>1980.3899999999999</v>
      </c>
      <c r="L10" s="1969">
        <f t="shared" si="7"/>
        <v>1985.54</v>
      </c>
      <c r="M10" s="1969">
        <f t="shared" si="7"/>
        <v>1966.0900000000001</v>
      </c>
      <c r="N10" s="1969">
        <f t="shared" si="7"/>
        <v>28896.799999999999</v>
      </c>
      <c r="O10" s="1969">
        <f>T104</f>
        <v>1654.28</v>
      </c>
      <c r="P10" s="1969">
        <f>U104</f>
        <v>10272.27</v>
      </c>
      <c r="Q10" s="1969">
        <f>V104</f>
        <v>1780.76</v>
      </c>
      <c r="R10" s="395"/>
      <c r="S10" s="3147"/>
      <c r="T10" s="3147"/>
      <c r="U10" s="3147"/>
      <c r="V10" s="3147"/>
      <c r="W10" s="3147"/>
      <c r="X10" s="3147"/>
      <c r="Y10" s="3147"/>
      <c r="Z10" s="3147"/>
    </row>
    <row r="11" spans="1:37" ht="13.5" thickBot="1">
      <c r="A11" s="1205" t="s">
        <v>47</v>
      </c>
      <c r="B11" s="397"/>
      <c r="C11" s="1969">
        <f t="shared" ref="C11:N11" si="8">H109</f>
        <v>0</v>
      </c>
      <c r="D11" s="1969">
        <f t="shared" si="8"/>
        <v>4577.41</v>
      </c>
      <c r="E11" s="1969">
        <f t="shared" si="8"/>
        <v>6230.87</v>
      </c>
      <c r="F11" s="1969">
        <f t="shared" si="8"/>
        <v>11731.41</v>
      </c>
      <c r="G11" s="1969">
        <f t="shared" si="8"/>
        <v>23639.23</v>
      </c>
      <c r="H11" s="1969">
        <f t="shared" si="8"/>
        <v>27676.79</v>
      </c>
      <c r="I11" s="1969">
        <f t="shared" si="8"/>
        <v>24002.65</v>
      </c>
      <c r="J11" s="1969">
        <f t="shared" si="8"/>
        <v>24342.991999999998</v>
      </c>
      <c r="K11" s="1969">
        <f t="shared" si="8"/>
        <v>19088.252</v>
      </c>
      <c r="L11" s="1969">
        <f t="shared" si="8"/>
        <v>9475.2639999999992</v>
      </c>
      <c r="M11" s="1969">
        <f t="shared" si="8"/>
        <v>6446.5040000000008</v>
      </c>
      <c r="N11" s="2610">
        <f t="shared" si="8"/>
        <v>8084.7939999999999</v>
      </c>
      <c r="O11" s="2610">
        <f>T109</f>
        <v>14739.641999999998</v>
      </c>
      <c r="P11" s="2610">
        <f>U109</f>
        <v>131860.31199999998</v>
      </c>
      <c r="Q11" s="2610">
        <f>V109</f>
        <v>133651</v>
      </c>
      <c r="R11" s="395"/>
      <c r="S11" s="3147"/>
      <c r="T11" s="3147"/>
      <c r="U11" s="3147"/>
      <c r="V11" s="3147"/>
      <c r="W11" s="3147"/>
      <c r="X11" s="3147"/>
      <c r="Y11" s="3147"/>
      <c r="Z11" s="3147"/>
    </row>
    <row r="12" spans="1:37" ht="18" customHeight="1" thickBot="1">
      <c r="A12" s="1891" t="s">
        <v>8</v>
      </c>
      <c r="B12" s="1979"/>
      <c r="C12" s="1970">
        <f>SUM(C8:C11)</f>
        <v>1110904.17</v>
      </c>
      <c r="D12" s="1970">
        <f t="shared" ref="D12:I12" si="9">SUM(D8:D11)</f>
        <v>1143563.8399999999</v>
      </c>
      <c r="E12" s="1970">
        <f t="shared" si="9"/>
        <v>1287078.8800000001</v>
      </c>
      <c r="F12" s="1970">
        <f t="shared" si="9"/>
        <v>1372882.39</v>
      </c>
      <c r="G12" s="1970">
        <f t="shared" si="9"/>
        <v>1405699.76</v>
      </c>
      <c r="H12" s="1970">
        <f t="shared" si="9"/>
        <v>1463292.9800000002</v>
      </c>
      <c r="I12" s="1970">
        <f t="shared" si="9"/>
        <v>1446648.02</v>
      </c>
      <c r="J12" s="1970">
        <f t="shared" ref="J12:Q12" si="10">SUM(J8:J11)</f>
        <v>1419371.5319999999</v>
      </c>
      <c r="K12" s="1970">
        <f t="shared" si="10"/>
        <v>1482391.8319999992</v>
      </c>
      <c r="L12" s="1970">
        <f t="shared" si="10"/>
        <v>1491575.3939999999</v>
      </c>
      <c r="M12" s="1970">
        <f t="shared" si="10"/>
        <v>1462227.6740000001</v>
      </c>
      <c r="N12" s="1970">
        <f t="shared" si="10"/>
        <v>1478106.584</v>
      </c>
      <c r="O12" s="1970">
        <f t="shared" si="10"/>
        <v>1451168.9619999998</v>
      </c>
      <c r="P12" s="1970">
        <f t="shared" si="10"/>
        <v>1559487.5119999999</v>
      </c>
      <c r="Q12" s="1970">
        <f t="shared" si="10"/>
        <v>1583084.0699999996</v>
      </c>
      <c r="R12" s="395"/>
      <c r="S12" s="3147"/>
      <c r="T12" s="3147"/>
      <c r="U12" s="3147"/>
      <c r="V12" s="3147"/>
      <c r="W12" s="3147"/>
      <c r="X12" s="3147"/>
      <c r="Y12" s="3147"/>
      <c r="Z12" s="3147"/>
    </row>
    <row r="13" spans="1:37">
      <c r="N13" s="1487"/>
      <c r="O13" s="1487"/>
      <c r="P13" s="1487"/>
    </row>
    <row r="14" spans="1:37">
      <c r="A14" s="395" t="s">
        <v>993</v>
      </c>
      <c r="D14" s="1965">
        <f>(D8/C8)*100-100</f>
        <v>2.0036346541985495</v>
      </c>
      <c r="E14" s="1965">
        <f t="shared" ref="E14:N15" si="11">(E8/D8)*100-100</f>
        <v>13.615523805803107</v>
      </c>
      <c r="F14" s="1965">
        <f t="shared" si="11"/>
        <v>6.7670279658033934</v>
      </c>
      <c r="G14" s="1965">
        <f t="shared" si="11"/>
        <v>1.2200857623908377</v>
      </c>
      <c r="H14" s="1965">
        <f t="shared" si="11"/>
        <v>4.659027408025068</v>
      </c>
      <c r="I14" s="1965">
        <f t="shared" si="11"/>
        <v>-0.99060768233985641</v>
      </c>
      <c r="J14" s="1965">
        <f t="shared" si="11"/>
        <v>-2.3676063307478614</v>
      </c>
      <c r="K14" s="1965">
        <f t="shared" si="11"/>
        <v>5.8289253953765154</v>
      </c>
      <c r="L14" s="1965">
        <f t="shared" si="11"/>
        <v>0.15449770896837833</v>
      </c>
      <c r="M14" s="1965">
        <f t="shared" si="11"/>
        <v>-0.8276529682528917</v>
      </c>
      <c r="N14" s="1965">
        <f t="shared" si="11"/>
        <v>-0.88938368609483121</v>
      </c>
      <c r="O14" s="1965">
        <f t="shared" ref="O14:Q15" si="12">(O8/N8)*100-100</f>
        <v>-0.93105278669149527</v>
      </c>
      <c r="P14" s="1965">
        <f t="shared" si="12"/>
        <v>1.0043080515758049</v>
      </c>
      <c r="Q14" s="1965">
        <f t="shared" si="12"/>
        <v>1.0928093104628971</v>
      </c>
      <c r="R14" s="395"/>
    </row>
    <row r="15" spans="1:37">
      <c r="A15" s="395" t="s">
        <v>994</v>
      </c>
      <c r="D15" s="1965">
        <f>(D9/C9)*100-100</f>
        <v>10.710334666042058</v>
      </c>
      <c r="E15" s="1965">
        <f t="shared" si="11"/>
        <v>-1.4929986628448972</v>
      </c>
      <c r="F15" s="1965">
        <f t="shared" si="11"/>
        <v>-1.0451058223025456</v>
      </c>
      <c r="G15" s="1965">
        <f t="shared" si="11"/>
        <v>6.3892412606441695</v>
      </c>
      <c r="H15" s="1965">
        <f t="shared" si="11"/>
        <v>-9.475605393675508</v>
      </c>
      <c r="I15" s="1965">
        <f t="shared" si="11"/>
        <v>8.1244447938367159</v>
      </c>
      <c r="J15" s="1965">
        <f t="shared" si="11"/>
        <v>5.2247944896394785</v>
      </c>
      <c r="K15" s="1965">
        <f t="shared" si="11"/>
        <v>-9.0102414311563024</v>
      </c>
      <c r="L15" s="1965">
        <f t="shared" si="11"/>
        <v>21.080190549645778</v>
      </c>
      <c r="M15" s="1965">
        <f t="shared" si="11"/>
        <v>-15.513249631352181</v>
      </c>
      <c r="N15" s="1965">
        <f t="shared" si="11"/>
        <v>-0.59256848963393338</v>
      </c>
      <c r="O15" s="1965">
        <f t="shared" si="12"/>
        <v>7.8653816594614625</v>
      </c>
      <c r="P15" s="1965">
        <f t="shared" si="12"/>
        <v>-35.722196145327217</v>
      </c>
      <c r="Q15" s="1965">
        <f t="shared" si="12"/>
        <v>27.675219256871912</v>
      </c>
      <c r="R15" s="395"/>
    </row>
    <row r="16" spans="1:37">
      <c r="A16" s="395" t="s">
        <v>995</v>
      </c>
      <c r="D16" s="1965" t="e">
        <f>(D11/C11)*100-100</f>
        <v>#DIV/0!</v>
      </c>
      <c r="E16" s="1965">
        <f t="shared" ref="E16:N16" si="13">(E11/D11)*100-100</f>
        <v>36.122173893096743</v>
      </c>
      <c r="F16" s="1965">
        <f t="shared" si="13"/>
        <v>88.278843885364324</v>
      </c>
      <c r="G16" s="1965">
        <f t="shared" si="13"/>
        <v>101.50374081205925</v>
      </c>
      <c r="H16" s="1965">
        <f t="shared" si="13"/>
        <v>17.079913347431372</v>
      </c>
      <c r="I16" s="1965">
        <f t="shared" si="13"/>
        <v>-13.275166664920306</v>
      </c>
      <c r="J16" s="1965">
        <f t="shared" si="13"/>
        <v>1.4179351029990386</v>
      </c>
      <c r="K16" s="1965">
        <f t="shared" si="13"/>
        <v>-21.586253653618243</v>
      </c>
      <c r="L16" s="1965">
        <f t="shared" si="13"/>
        <v>-50.360755924638887</v>
      </c>
      <c r="M16" s="1965">
        <f t="shared" si="13"/>
        <v>-31.9649141174325</v>
      </c>
      <c r="N16" s="1965">
        <f t="shared" si="13"/>
        <v>25.413619537038983</v>
      </c>
      <c r="O16" s="1965">
        <f>(O11/N11)*100-100</f>
        <v>82.313142425150204</v>
      </c>
      <c r="P16" s="1965">
        <f>(P11/O11)*100-100</f>
        <v>794.59643592429177</v>
      </c>
      <c r="Q16" s="1965">
        <f>(Q11/P11)*100-100</f>
        <v>1.358018931427992</v>
      </c>
      <c r="R16" s="395"/>
    </row>
    <row r="19" spans="1:29">
      <c r="A19" s="1569" t="s">
        <v>7093</v>
      </c>
      <c r="B19" s="1569"/>
      <c r="C19" s="395"/>
      <c r="D19" s="395"/>
      <c r="E19" s="395"/>
      <c r="F19" s="395"/>
      <c r="G19" s="395"/>
      <c r="O19" s="395"/>
      <c r="P19" s="395"/>
      <c r="Q19" s="395"/>
      <c r="AA19" s="395"/>
      <c r="AB19" s="395"/>
      <c r="AC19" s="395"/>
    </row>
    <row r="20" spans="1:29">
      <c r="A20" s="1633"/>
      <c r="B20" s="1633"/>
      <c r="C20" s="395"/>
      <c r="D20" s="395"/>
      <c r="E20" s="395"/>
      <c r="F20" s="395"/>
      <c r="G20" s="395"/>
      <c r="O20" s="395"/>
      <c r="P20" s="395"/>
      <c r="Q20" s="395"/>
      <c r="AA20" s="395"/>
      <c r="AB20" s="395"/>
      <c r="AC20" s="395"/>
    </row>
    <row r="21" spans="1:29">
      <c r="A21" s="1989" t="s">
        <v>623</v>
      </c>
      <c r="B21" s="1991"/>
      <c r="C21" s="1991" t="s">
        <v>1002</v>
      </c>
      <c r="D21" s="1991"/>
      <c r="E21" s="1991"/>
      <c r="F21" s="1991"/>
      <c r="G21" s="1991"/>
      <c r="H21" s="1990">
        <v>2007</v>
      </c>
      <c r="I21" s="1990">
        <v>2008</v>
      </c>
      <c r="J21" s="1990">
        <v>2009</v>
      </c>
      <c r="K21" s="1990">
        <v>2010</v>
      </c>
      <c r="L21" s="1990">
        <v>2011</v>
      </c>
      <c r="M21" s="1990">
        <v>2012</v>
      </c>
      <c r="N21" s="1990">
        <v>2013</v>
      </c>
      <c r="O21" s="1990">
        <v>2014</v>
      </c>
      <c r="P21" s="1990">
        <v>2015</v>
      </c>
      <c r="Q21" s="1990">
        <v>2016</v>
      </c>
      <c r="R21" s="1990">
        <v>2017</v>
      </c>
      <c r="S21" s="1990">
        <v>2018</v>
      </c>
      <c r="T21" s="1990">
        <v>2019</v>
      </c>
      <c r="U21" s="1990">
        <v>2020</v>
      </c>
      <c r="V21" s="1990">
        <v>2021</v>
      </c>
      <c r="W21" s="2050">
        <v>2022</v>
      </c>
      <c r="X21" s="1973"/>
      <c r="Y21" s="1973"/>
      <c r="Z21" s="1973"/>
      <c r="AA21" s="1633"/>
      <c r="AB21" s="1633"/>
      <c r="AC21" s="1633"/>
    </row>
    <row r="22" spans="1:29">
      <c r="A22" s="1984" t="s">
        <v>1003</v>
      </c>
      <c r="B22" s="1985"/>
      <c r="C22" s="1986"/>
      <c r="D22" s="1986"/>
      <c r="E22" s="1986"/>
      <c r="F22" s="1986"/>
      <c r="G22" s="1986"/>
      <c r="H22" s="1987"/>
      <c r="I22" s="1987"/>
      <c r="J22" s="1987"/>
      <c r="K22" s="1987"/>
      <c r="L22" s="1987"/>
      <c r="M22" s="1987"/>
      <c r="N22" s="1987"/>
      <c r="O22" s="1986"/>
      <c r="P22" s="1986"/>
      <c r="Q22" s="1986"/>
      <c r="R22" s="1987"/>
      <c r="S22" s="1987"/>
      <c r="T22" s="1987"/>
      <c r="U22" s="1987"/>
      <c r="V22" s="1987"/>
      <c r="W22" s="1988"/>
      <c r="AA22" s="395"/>
      <c r="AB22" s="395"/>
      <c r="AC22" s="395"/>
    </row>
    <row r="23" spans="1:29">
      <c r="A23" s="1993" t="s">
        <v>1004</v>
      </c>
      <c r="B23" s="1994"/>
      <c r="C23" s="1995"/>
      <c r="D23" s="1995"/>
      <c r="E23" s="1995"/>
      <c r="F23" s="1995"/>
      <c r="G23" s="1996"/>
      <c r="H23" s="1487"/>
      <c r="I23" s="1487"/>
      <c r="J23" s="1487"/>
      <c r="K23" s="1487"/>
      <c r="L23" s="1487"/>
      <c r="M23" s="1487"/>
      <c r="N23" s="1487"/>
      <c r="O23" s="397"/>
      <c r="P23" s="397"/>
      <c r="Q23" s="397"/>
      <c r="R23" s="1487"/>
      <c r="S23" s="1487"/>
      <c r="T23" s="1487"/>
      <c r="U23" s="1487"/>
      <c r="V23" s="1487"/>
      <c r="W23" s="1489"/>
      <c r="AA23" s="395"/>
      <c r="AB23" s="395"/>
      <c r="AC23" s="395"/>
    </row>
    <row r="24" spans="1:29">
      <c r="A24" s="1997" t="s">
        <v>1514</v>
      </c>
      <c r="B24" s="583"/>
      <c r="C24" s="397" t="s">
        <v>1515</v>
      </c>
      <c r="D24" s="397"/>
      <c r="E24" s="397"/>
      <c r="F24" s="397"/>
      <c r="G24" s="1998"/>
      <c r="H24" s="1487">
        <v>50734.52</v>
      </c>
      <c r="I24" s="1487">
        <v>53327.71</v>
      </c>
      <c r="J24" s="1487">
        <v>36096.74</v>
      </c>
      <c r="K24" s="1487">
        <v>37843.32</v>
      </c>
      <c r="L24" s="1487">
        <v>49254.29</v>
      </c>
      <c r="M24" s="1487">
        <v>56032.21</v>
      </c>
      <c r="N24" s="1487">
        <v>58908.36</v>
      </c>
      <c r="O24" s="1487">
        <v>71853.649999999994</v>
      </c>
      <c r="P24" s="1487">
        <v>73378.679999999993</v>
      </c>
      <c r="Q24" s="1487">
        <v>295.83</v>
      </c>
      <c r="R24" s="1487"/>
      <c r="S24" s="1487"/>
      <c r="T24" s="1487"/>
      <c r="U24" s="1487"/>
      <c r="V24" s="1487"/>
      <c r="W24" s="1489"/>
      <c r="AA24" s="395"/>
      <c r="AB24" s="395"/>
      <c r="AC24" s="395"/>
    </row>
    <row r="25" spans="1:29">
      <c r="A25" s="1997" t="s">
        <v>1516</v>
      </c>
      <c r="B25" s="583"/>
      <c r="C25" s="397" t="s">
        <v>1265</v>
      </c>
      <c r="D25" s="397"/>
      <c r="E25" s="397"/>
      <c r="F25" s="397"/>
      <c r="G25" s="1998"/>
      <c r="H25" s="1487">
        <v>5619.95</v>
      </c>
      <c r="I25" s="1487">
        <v>7633.35</v>
      </c>
      <c r="J25" s="1487">
        <v>4186.05</v>
      </c>
      <c r="K25" s="1487">
        <v>4682.03</v>
      </c>
      <c r="L25" s="1487">
        <v>3774.26</v>
      </c>
      <c r="M25" s="1487">
        <v>4016.7</v>
      </c>
      <c r="N25" s="1487">
        <v>6124.79</v>
      </c>
      <c r="O25" s="1487">
        <v>5210.74</v>
      </c>
      <c r="P25" s="1487">
        <v>5485.09</v>
      </c>
      <c r="Q25" s="1487">
        <v>1234.7</v>
      </c>
      <c r="R25" s="1487"/>
      <c r="S25" s="1487"/>
      <c r="T25" s="1487"/>
      <c r="U25" s="1487"/>
      <c r="V25" s="1487"/>
      <c r="W25" s="1489"/>
      <c r="AA25" s="395"/>
      <c r="AB25" s="395"/>
      <c r="AC25" s="395"/>
    </row>
    <row r="26" spans="1:29">
      <c r="A26" s="1997" t="s">
        <v>1517</v>
      </c>
      <c r="B26" s="583"/>
      <c r="C26" s="397" t="s">
        <v>1016</v>
      </c>
      <c r="D26" s="397"/>
      <c r="E26" s="397"/>
      <c r="F26" s="397"/>
      <c r="G26" s="1998"/>
      <c r="H26" s="1487"/>
      <c r="I26" s="1487"/>
      <c r="J26" s="1487"/>
      <c r="K26" s="1487"/>
      <c r="L26" s="1487"/>
      <c r="M26" s="1487"/>
      <c r="N26" s="1487"/>
      <c r="O26" s="1487">
        <v>5447.14</v>
      </c>
      <c r="P26" s="1487">
        <v>5522.69</v>
      </c>
      <c r="Q26" s="1487"/>
      <c r="R26" s="1487"/>
      <c r="S26" s="1487"/>
      <c r="T26" s="1487"/>
      <c r="U26" s="1487"/>
      <c r="V26" s="1487"/>
      <c r="W26" s="1489"/>
      <c r="AA26" s="395"/>
      <c r="AB26" s="395"/>
      <c r="AC26" s="395"/>
    </row>
    <row r="27" spans="1:29">
      <c r="A27" s="1997" t="s">
        <v>1518</v>
      </c>
      <c r="B27" s="583">
        <v>620200</v>
      </c>
      <c r="C27" s="397" t="s">
        <v>1292</v>
      </c>
      <c r="D27" s="397"/>
      <c r="E27" s="397"/>
      <c r="F27" s="397"/>
      <c r="G27" s="1998"/>
      <c r="H27" s="1487">
        <v>2775.38</v>
      </c>
      <c r="I27" s="1487">
        <v>3648.56</v>
      </c>
      <c r="J27" s="1487">
        <v>3938.69</v>
      </c>
      <c r="K27" s="1487">
        <v>7471.97</v>
      </c>
      <c r="L27" s="1487">
        <v>10632.77</v>
      </c>
      <c r="M27" s="1487">
        <v>12026.86</v>
      </c>
      <c r="N27" s="1487">
        <v>10521.88</v>
      </c>
      <c r="O27" s="1487">
        <v>10970.17</v>
      </c>
      <c r="P27" s="1487">
        <v>18446.599999999999</v>
      </c>
      <c r="Q27" s="1487">
        <v>81964.460000000006</v>
      </c>
      <c r="R27" s="1487">
        <v>61476.24</v>
      </c>
      <c r="S27" s="1487">
        <v>62544.31</v>
      </c>
      <c r="T27" s="1487">
        <v>47555.21</v>
      </c>
      <c r="U27" s="1487">
        <v>69519.19</v>
      </c>
      <c r="V27" s="1487">
        <v>73347.429999999993</v>
      </c>
      <c r="W27" s="1489"/>
      <c r="AA27" s="395"/>
      <c r="AB27" s="395"/>
      <c r="AC27" s="395"/>
    </row>
    <row r="28" spans="1:29">
      <c r="A28" s="1997" t="s">
        <v>1519</v>
      </c>
      <c r="B28" s="583"/>
      <c r="C28" s="397" t="s">
        <v>1020</v>
      </c>
      <c r="D28" s="397"/>
      <c r="E28" s="397"/>
      <c r="F28" s="397"/>
      <c r="G28" s="1998"/>
      <c r="H28" s="1487"/>
      <c r="I28" s="1487"/>
      <c r="J28" s="1487"/>
      <c r="K28" s="1487"/>
      <c r="L28" s="1487"/>
      <c r="M28" s="1487"/>
      <c r="N28" s="1487"/>
      <c r="O28" s="1487">
        <v>746.82</v>
      </c>
      <c r="P28" s="1487">
        <v>811.7</v>
      </c>
      <c r="Q28" s="1487">
        <v>5210.17</v>
      </c>
      <c r="R28" s="1487">
        <v>5797.57</v>
      </c>
      <c r="S28" s="1487">
        <v>5082.34</v>
      </c>
      <c r="T28" s="1487">
        <v>5092.93</v>
      </c>
      <c r="U28" s="1487"/>
      <c r="V28" s="1487"/>
      <c r="W28" s="1489"/>
      <c r="AA28" s="395"/>
      <c r="AB28" s="395"/>
      <c r="AC28" s="395"/>
    </row>
    <row r="29" spans="1:29">
      <c r="A29" s="1997" t="s">
        <v>1520</v>
      </c>
      <c r="B29" s="583"/>
      <c r="C29" s="397" t="s">
        <v>1022</v>
      </c>
      <c r="D29" s="397"/>
      <c r="E29" s="397"/>
      <c r="F29" s="397"/>
      <c r="G29" s="1998"/>
      <c r="H29" s="1487"/>
      <c r="I29" s="1487"/>
      <c r="J29" s="1487"/>
      <c r="K29" s="1487"/>
      <c r="L29" s="1487"/>
      <c r="M29" s="1487"/>
      <c r="N29" s="1487"/>
      <c r="O29" s="1487">
        <v>688.63</v>
      </c>
      <c r="P29" s="1487">
        <v>1219.32</v>
      </c>
      <c r="Q29" s="1487">
        <v>6224.79</v>
      </c>
      <c r="R29" s="1487">
        <v>4419.6899999999996</v>
      </c>
      <c r="S29" s="1487">
        <v>4113.3100000000004</v>
      </c>
      <c r="T29" s="1487">
        <v>3489.19</v>
      </c>
      <c r="U29" s="1487"/>
      <c r="V29" s="1487"/>
      <c r="W29" s="1489"/>
      <c r="AA29" s="395"/>
      <c r="AB29" s="395"/>
      <c r="AC29" s="395"/>
    </row>
    <row r="30" spans="1:29">
      <c r="A30" s="1997" t="s">
        <v>1521</v>
      </c>
      <c r="B30" s="583">
        <v>620700</v>
      </c>
      <c r="C30" s="397" t="s">
        <v>1522</v>
      </c>
      <c r="D30" s="397"/>
      <c r="E30" s="397"/>
      <c r="F30" s="397"/>
      <c r="G30" s="1998"/>
      <c r="H30" s="1487">
        <v>86368.85</v>
      </c>
      <c r="I30" s="1487">
        <v>90224.84</v>
      </c>
      <c r="J30" s="1487">
        <v>94594.08</v>
      </c>
      <c r="K30" s="1487">
        <v>93626.97</v>
      </c>
      <c r="L30" s="1487">
        <v>94064.01</v>
      </c>
      <c r="M30" s="1487">
        <v>91878</v>
      </c>
      <c r="N30" s="1487">
        <v>94557.02</v>
      </c>
      <c r="O30" s="1487">
        <v>73265.42</v>
      </c>
      <c r="P30" s="1487">
        <v>88638.26</v>
      </c>
      <c r="Q30" s="1487">
        <v>88824.08</v>
      </c>
      <c r="R30" s="1487">
        <v>87198.96</v>
      </c>
      <c r="S30" s="1487">
        <v>81308.149999999994</v>
      </c>
      <c r="T30" s="1487">
        <v>64302.89</v>
      </c>
      <c r="U30" s="1487">
        <v>71667.17</v>
      </c>
      <c r="V30" s="1487">
        <v>77030.98</v>
      </c>
      <c r="W30" s="1489"/>
      <c r="AA30" s="395"/>
      <c r="AB30" s="395"/>
      <c r="AC30" s="395"/>
    </row>
    <row r="31" spans="1:29">
      <c r="A31" s="1997" t="s">
        <v>1523</v>
      </c>
      <c r="B31" s="583"/>
      <c r="C31" s="397" t="s">
        <v>1524</v>
      </c>
      <c r="D31" s="397"/>
      <c r="E31" s="397"/>
      <c r="F31" s="397"/>
      <c r="G31" s="1998"/>
      <c r="H31" s="1487">
        <v>2824.78</v>
      </c>
      <c r="I31" s="1487">
        <v>3004.52</v>
      </c>
      <c r="J31" s="1487">
        <v>3050.34</v>
      </c>
      <c r="K31" s="1487">
        <v>3322.57</v>
      </c>
      <c r="L31" s="1487">
        <v>5701.45</v>
      </c>
      <c r="M31" s="1487">
        <v>5282.66</v>
      </c>
      <c r="N31" s="1487">
        <v>6039.76</v>
      </c>
      <c r="O31" s="1487">
        <v>16762.38</v>
      </c>
      <c r="P31" s="1487">
        <v>2315.7600000000002</v>
      </c>
      <c r="Q31" s="1487">
        <v>6542.25</v>
      </c>
      <c r="R31" s="1487">
        <v>6641.45</v>
      </c>
      <c r="S31" s="1487">
        <v>6683.03</v>
      </c>
      <c r="T31" s="1487">
        <v>4954.38</v>
      </c>
      <c r="U31" s="1487"/>
      <c r="V31" s="1487"/>
      <c r="W31" s="1489"/>
      <c r="AA31" s="395"/>
      <c r="AB31" s="395"/>
      <c r="AC31" s="395"/>
    </row>
    <row r="32" spans="1:29">
      <c r="A32" s="1997" t="s">
        <v>1525</v>
      </c>
      <c r="B32" s="583"/>
      <c r="C32" s="397" t="s">
        <v>1426</v>
      </c>
      <c r="D32" s="397"/>
      <c r="E32" s="397"/>
      <c r="F32" s="397"/>
      <c r="G32" s="1998"/>
      <c r="H32" s="1487"/>
      <c r="I32" s="1487"/>
      <c r="J32" s="1487"/>
      <c r="K32" s="1487"/>
      <c r="L32" s="1487"/>
      <c r="M32" s="1487"/>
      <c r="N32" s="1487"/>
      <c r="O32" s="1487">
        <v>5125.6499999999996</v>
      </c>
      <c r="P32" s="1487">
        <v>4858.28</v>
      </c>
      <c r="Q32" s="1487">
        <v>4972.26</v>
      </c>
      <c r="R32" s="1487">
        <v>4834.1099999999997</v>
      </c>
      <c r="S32" s="1487">
        <v>3952.66</v>
      </c>
      <c r="T32" s="1487">
        <v>3547.36</v>
      </c>
      <c r="U32" s="1487"/>
      <c r="V32" s="1487"/>
      <c r="W32" s="1489"/>
      <c r="AA32" s="395"/>
      <c r="AB32" s="395"/>
      <c r="AC32" s="395"/>
    </row>
    <row r="33" spans="1:29">
      <c r="A33" s="1997" t="s">
        <v>1526</v>
      </c>
      <c r="B33" s="583">
        <v>620800</v>
      </c>
      <c r="C33" s="397" t="s">
        <v>1527</v>
      </c>
      <c r="D33" s="397"/>
      <c r="E33" s="397"/>
      <c r="F33" s="397"/>
      <c r="G33" s="1998"/>
      <c r="H33" s="1487">
        <v>828941</v>
      </c>
      <c r="I33" s="1487">
        <v>839885</v>
      </c>
      <c r="J33" s="1487">
        <v>988535</v>
      </c>
      <c r="K33" s="1487">
        <v>1054371</v>
      </c>
      <c r="L33" s="1487">
        <v>1052366</v>
      </c>
      <c r="M33" s="1487">
        <v>1110571</v>
      </c>
      <c r="N33" s="1487">
        <v>1087456</v>
      </c>
      <c r="O33" s="1487">
        <v>1087456</v>
      </c>
      <c r="P33" s="1487">
        <v>1108956</v>
      </c>
      <c r="Q33" s="1487">
        <v>1119828</v>
      </c>
      <c r="R33" s="1487">
        <v>1142224</v>
      </c>
      <c r="S33" s="1487">
        <v>1142224</v>
      </c>
      <c r="T33" s="1487">
        <v>1170780</v>
      </c>
      <c r="U33" s="1487">
        <v>1170780</v>
      </c>
      <c r="V33" s="1487">
        <v>1170780</v>
      </c>
      <c r="W33" s="1489"/>
      <c r="AA33" s="395"/>
      <c r="AB33" s="395"/>
      <c r="AC33" s="395"/>
    </row>
    <row r="34" spans="1:29">
      <c r="A34" s="1997" t="s">
        <v>1528</v>
      </c>
      <c r="B34" s="583"/>
      <c r="C34" s="397" t="s">
        <v>1529</v>
      </c>
      <c r="D34" s="397"/>
      <c r="E34" s="397"/>
      <c r="F34" s="397"/>
      <c r="G34" s="1998"/>
      <c r="H34" s="1487">
        <v>6062.98</v>
      </c>
      <c r="I34" s="1487">
        <v>22844.01</v>
      </c>
      <c r="J34" s="1487">
        <v>3577.04</v>
      </c>
      <c r="K34" s="1487">
        <v>2104.2399999999998</v>
      </c>
      <c r="L34" s="1487">
        <v>3057.85</v>
      </c>
      <c r="M34" s="1487">
        <v>2495.84</v>
      </c>
      <c r="N34" s="1487">
        <v>4658.08</v>
      </c>
      <c r="O34" s="1487">
        <v>4492</v>
      </c>
      <c r="P34" s="1487">
        <v>24366.880000000001</v>
      </c>
      <c r="Q34" s="1487">
        <v>92</v>
      </c>
      <c r="R34" s="1487"/>
      <c r="S34" s="1487"/>
      <c r="T34" s="1487"/>
      <c r="U34" s="1487"/>
      <c r="V34" s="1487"/>
      <c r="W34" s="1489"/>
      <c r="AA34" s="395"/>
      <c r="AB34" s="395"/>
      <c r="AC34" s="395"/>
    </row>
    <row r="35" spans="1:29">
      <c r="A35" s="1997" t="s">
        <v>1530</v>
      </c>
      <c r="B35" s="583">
        <v>621200</v>
      </c>
      <c r="C35" s="397" t="s">
        <v>1531</v>
      </c>
      <c r="D35" s="397"/>
      <c r="E35" s="397"/>
      <c r="F35" s="397"/>
      <c r="G35" s="1998"/>
      <c r="H35" s="1487">
        <v>1488.77</v>
      </c>
      <c r="I35" s="1487">
        <v>1518.54</v>
      </c>
      <c r="J35" s="1487">
        <v>1953.91</v>
      </c>
      <c r="K35" s="1487">
        <v>3627</v>
      </c>
      <c r="L35" s="1487">
        <v>4945.12</v>
      </c>
      <c r="M35" s="1487">
        <v>4925.32</v>
      </c>
      <c r="N35" s="1487">
        <v>4713</v>
      </c>
      <c r="O35" s="1487">
        <v>5173.5200000000004</v>
      </c>
      <c r="P35" s="1487">
        <v>8803.4599999999991</v>
      </c>
      <c r="Q35" s="1487">
        <v>29256.639999999999</v>
      </c>
      <c r="R35" s="1487">
        <v>21739.73</v>
      </c>
      <c r="S35" s="1487">
        <v>20329.88</v>
      </c>
      <c r="T35" s="1487">
        <v>16068.64</v>
      </c>
      <c r="U35" s="1487">
        <v>20102.32</v>
      </c>
      <c r="V35" s="1487">
        <v>21256.99</v>
      </c>
      <c r="W35" s="1489"/>
      <c r="AA35" s="395"/>
      <c r="AB35" s="395"/>
      <c r="AC35" s="395"/>
    </row>
    <row r="36" spans="1:29">
      <c r="A36" s="1997" t="s">
        <v>1532</v>
      </c>
      <c r="B36" s="583">
        <v>621700</v>
      </c>
      <c r="C36" s="397" t="s">
        <v>1533</v>
      </c>
      <c r="D36" s="397"/>
      <c r="E36" s="397"/>
      <c r="F36" s="397"/>
      <c r="G36" s="1998"/>
      <c r="H36" s="1487">
        <v>20156.25</v>
      </c>
      <c r="I36" s="1487">
        <v>5181.9399999999996</v>
      </c>
      <c r="J36" s="1487">
        <v>25391.89</v>
      </c>
      <c r="K36" s="1487">
        <v>25391.48</v>
      </c>
      <c r="L36" s="1487">
        <v>22484.63</v>
      </c>
      <c r="M36" s="1487">
        <v>22356.35</v>
      </c>
      <c r="N36" s="1487">
        <v>26943.42</v>
      </c>
      <c r="O36" s="1487">
        <v>10349.41</v>
      </c>
      <c r="P36" s="1487">
        <v>29917.9</v>
      </c>
      <c r="Q36" s="1487">
        <v>30194.240000000002</v>
      </c>
      <c r="R36" s="1487">
        <v>29887.55</v>
      </c>
      <c r="S36" s="1487">
        <v>27143.58</v>
      </c>
      <c r="T36" s="1487">
        <v>18611.060000000001</v>
      </c>
      <c r="U36" s="1487">
        <v>20321.21</v>
      </c>
      <c r="V36" s="1487">
        <v>20913.419999999998</v>
      </c>
      <c r="W36" s="1489"/>
      <c r="AA36" s="395"/>
      <c r="AB36" s="395"/>
      <c r="AC36" s="395"/>
    </row>
    <row r="37" spans="1:29">
      <c r="A37" s="1997" t="s">
        <v>1534</v>
      </c>
      <c r="B37" s="583"/>
      <c r="C37" s="397" t="s">
        <v>1438</v>
      </c>
      <c r="D37" s="397"/>
      <c r="E37" s="397"/>
      <c r="F37" s="397"/>
      <c r="G37" s="1998"/>
      <c r="H37" s="1487"/>
      <c r="I37" s="1487"/>
      <c r="J37" s="1487"/>
      <c r="K37" s="1487"/>
      <c r="L37" s="1487"/>
      <c r="M37" s="1487"/>
      <c r="N37" s="1487"/>
      <c r="O37" s="1487">
        <v>1483.18</v>
      </c>
      <c r="P37" s="1487">
        <v>38.15</v>
      </c>
      <c r="Q37" s="1487"/>
      <c r="R37" s="1487"/>
      <c r="S37" s="1487"/>
      <c r="T37" s="1487"/>
      <c r="U37" s="1487"/>
      <c r="V37" s="1487"/>
      <c r="W37" s="1489"/>
      <c r="AA37" s="395"/>
      <c r="AB37" s="395"/>
      <c r="AC37" s="395"/>
    </row>
    <row r="38" spans="1:29">
      <c r="A38" s="1997" t="s">
        <v>1535</v>
      </c>
      <c r="B38" s="583">
        <v>622200</v>
      </c>
      <c r="C38" s="397" t="s">
        <v>1442</v>
      </c>
      <c r="D38" s="397"/>
      <c r="E38" s="397"/>
      <c r="F38" s="397"/>
      <c r="G38" s="1998"/>
      <c r="H38" s="1487"/>
      <c r="I38" s="1487"/>
      <c r="J38" s="1487"/>
      <c r="K38" s="1487"/>
      <c r="L38" s="1487"/>
      <c r="M38" s="1487"/>
      <c r="N38" s="1487"/>
      <c r="O38" s="1487">
        <v>335.95</v>
      </c>
      <c r="P38" s="1487">
        <v>16.88</v>
      </c>
      <c r="Q38" s="1487">
        <v>133.13</v>
      </c>
      <c r="R38" s="1487"/>
      <c r="S38" s="1487"/>
      <c r="T38" s="1487">
        <v>1525.75</v>
      </c>
      <c r="U38" s="1487">
        <v>1390.38</v>
      </c>
      <c r="V38" s="1487">
        <v>2200.42</v>
      </c>
      <c r="W38" s="1489"/>
      <c r="AA38" s="395"/>
      <c r="AB38" s="395"/>
      <c r="AC38" s="395"/>
    </row>
    <row r="39" spans="1:29">
      <c r="A39" s="1997" t="s">
        <v>1536</v>
      </c>
      <c r="B39" s="583"/>
      <c r="C39" s="397" t="s">
        <v>1537</v>
      </c>
      <c r="D39" s="397"/>
      <c r="E39" s="397"/>
      <c r="F39" s="397"/>
      <c r="G39" s="1998"/>
      <c r="H39" s="1487"/>
      <c r="I39" s="1487"/>
      <c r="J39" s="1487"/>
      <c r="K39" s="1487"/>
      <c r="L39" s="1487"/>
      <c r="M39" s="1487"/>
      <c r="N39" s="1487"/>
      <c r="O39" s="1487">
        <v>341.05</v>
      </c>
      <c r="P39" s="1487">
        <v>32.92</v>
      </c>
      <c r="Q39" s="1487"/>
      <c r="R39" s="1487"/>
      <c r="S39" s="1487"/>
      <c r="T39" s="1487"/>
      <c r="U39" s="1487"/>
      <c r="V39" s="1487"/>
      <c r="W39" s="1489"/>
      <c r="AA39" s="395"/>
      <c r="AB39" s="395"/>
      <c r="AC39" s="395"/>
    </row>
    <row r="40" spans="1:29">
      <c r="A40" s="1997" t="s">
        <v>1538</v>
      </c>
      <c r="B40" s="583">
        <v>623200</v>
      </c>
      <c r="C40" s="397" t="s">
        <v>1539</v>
      </c>
      <c r="D40" s="397"/>
      <c r="E40" s="397"/>
      <c r="F40" s="397"/>
      <c r="G40" s="1998"/>
      <c r="H40" s="1487">
        <v>0</v>
      </c>
      <c r="I40" s="1487">
        <v>0</v>
      </c>
      <c r="J40" s="1487">
        <v>7823.52</v>
      </c>
      <c r="K40" s="1487">
        <v>6206.21</v>
      </c>
      <c r="L40" s="1487">
        <v>6880.97</v>
      </c>
      <c r="M40" s="1487">
        <v>5830.09</v>
      </c>
      <c r="N40" s="1487">
        <v>6638.97</v>
      </c>
      <c r="O40" s="1487">
        <v>1219.8900000000001</v>
      </c>
      <c r="P40" s="1487">
        <v>4731.78</v>
      </c>
      <c r="Q40" s="1487">
        <v>3995.08</v>
      </c>
      <c r="R40" s="1487">
        <v>5161.8</v>
      </c>
      <c r="S40" s="1487">
        <v>5093</v>
      </c>
      <c r="T40" s="1487">
        <v>10756.72</v>
      </c>
      <c r="U40" s="1487">
        <v>4421.33</v>
      </c>
      <c r="V40" s="1487">
        <v>8136.29</v>
      </c>
      <c r="W40" s="1489"/>
      <c r="AA40" s="395"/>
      <c r="AB40" s="395"/>
      <c r="AC40" s="395"/>
    </row>
    <row r="41" spans="1:29">
      <c r="A41" s="1997" t="s">
        <v>1540</v>
      </c>
      <c r="B41" s="583">
        <v>623100</v>
      </c>
      <c r="C41" s="397" t="s">
        <v>1289</v>
      </c>
      <c r="D41" s="397"/>
      <c r="E41" s="397"/>
      <c r="F41" s="397"/>
      <c r="G41" s="1998"/>
      <c r="H41" s="1487">
        <v>2122.3000000000002</v>
      </c>
      <c r="I41" s="1487">
        <v>1887.2</v>
      </c>
      <c r="J41" s="1487">
        <v>2260</v>
      </c>
      <c r="K41" s="1487">
        <v>2820</v>
      </c>
      <c r="L41" s="1487">
        <v>3050</v>
      </c>
      <c r="M41" s="1487">
        <v>4075</v>
      </c>
      <c r="N41" s="1487">
        <v>3591.5</v>
      </c>
      <c r="O41" s="1487">
        <v>4147</v>
      </c>
      <c r="P41" s="1487">
        <v>4147</v>
      </c>
      <c r="Q41" s="1487">
        <v>4717</v>
      </c>
      <c r="R41" s="1487">
        <v>3300</v>
      </c>
      <c r="S41" s="1487">
        <v>2082</v>
      </c>
      <c r="T41" s="1487">
        <v>1152</v>
      </c>
      <c r="U41" s="1487">
        <v>3050.12</v>
      </c>
      <c r="V41" s="1487">
        <v>2552.48</v>
      </c>
      <c r="W41" s="1489"/>
      <c r="AA41" s="395"/>
      <c r="AB41" s="395"/>
      <c r="AC41" s="395"/>
    </row>
    <row r="42" spans="1:29">
      <c r="A42" s="1997" t="s">
        <v>1541</v>
      </c>
      <c r="B42" s="583">
        <v>623000</v>
      </c>
      <c r="C42" s="397" t="s">
        <v>1542</v>
      </c>
      <c r="D42" s="397"/>
      <c r="E42" s="397"/>
      <c r="F42" s="397"/>
      <c r="G42" s="1998"/>
      <c r="H42" s="1487">
        <v>1425</v>
      </c>
      <c r="I42" s="1487">
        <v>1145.26</v>
      </c>
      <c r="J42" s="1487">
        <v>1276.23</v>
      </c>
      <c r="K42" s="1487">
        <v>0</v>
      </c>
      <c r="L42" s="1487">
        <v>200</v>
      </c>
      <c r="M42" s="1487">
        <v>0</v>
      </c>
      <c r="N42" s="1487">
        <v>235.6</v>
      </c>
      <c r="O42" s="1487">
        <v>1107.1500000000001</v>
      </c>
      <c r="P42" s="1487">
        <v>624.41</v>
      </c>
      <c r="Q42" s="1487">
        <v>962.77</v>
      </c>
      <c r="R42" s="1487">
        <v>307.88</v>
      </c>
      <c r="S42" s="1487">
        <v>221.58</v>
      </c>
      <c r="T42" s="1487">
        <v>272.14999999999998</v>
      </c>
      <c r="U42" s="1487">
        <v>395.72</v>
      </c>
      <c r="V42" s="1487">
        <v>309.64</v>
      </c>
      <c r="W42" s="1489"/>
      <c r="AA42" s="395"/>
      <c r="AB42" s="395"/>
      <c r="AC42" s="395"/>
    </row>
    <row r="43" spans="1:29">
      <c r="A43" s="1997" t="s">
        <v>1543</v>
      </c>
      <c r="B43" s="583"/>
      <c r="C43" s="397" t="s">
        <v>1515</v>
      </c>
      <c r="D43" s="397"/>
      <c r="E43" s="397"/>
      <c r="F43" s="397"/>
      <c r="G43" s="1998"/>
      <c r="H43" s="1487">
        <v>13952.89</v>
      </c>
      <c r="I43" s="1487">
        <v>14694.99</v>
      </c>
      <c r="J43" s="1487">
        <v>15656.52</v>
      </c>
      <c r="K43" s="1487">
        <v>25839.9</v>
      </c>
      <c r="L43" s="1487">
        <v>17732.3</v>
      </c>
      <c r="M43" s="1487">
        <v>15831.78</v>
      </c>
      <c r="N43" s="1487">
        <v>17655.22</v>
      </c>
      <c r="O43" s="1487"/>
      <c r="P43" s="1487"/>
      <c r="Q43" s="1487"/>
      <c r="R43" s="1487"/>
      <c r="S43" s="1487"/>
      <c r="T43" s="1487"/>
      <c r="U43" s="1487"/>
      <c r="V43" s="1487"/>
      <c r="W43" s="1489"/>
      <c r="AA43" s="395"/>
      <c r="AB43" s="395"/>
      <c r="AC43" s="395"/>
    </row>
    <row r="44" spans="1:29">
      <c r="A44" s="1997" t="s">
        <v>1544</v>
      </c>
      <c r="B44" s="583"/>
      <c r="C44" s="397" t="s">
        <v>1522</v>
      </c>
      <c r="D44" s="397"/>
      <c r="E44" s="397"/>
      <c r="F44" s="397"/>
      <c r="G44" s="1998"/>
      <c r="H44" s="1487">
        <v>0</v>
      </c>
      <c r="I44" s="1487">
        <v>0</v>
      </c>
      <c r="J44" s="1487">
        <v>0</v>
      </c>
      <c r="K44" s="1487">
        <v>0</v>
      </c>
      <c r="L44" s="1487">
        <v>0</v>
      </c>
      <c r="M44" s="1487">
        <v>0</v>
      </c>
      <c r="N44" s="1487">
        <v>0</v>
      </c>
      <c r="O44" s="1487"/>
      <c r="P44" s="1487"/>
      <c r="Q44" s="1487"/>
      <c r="R44" s="1487"/>
      <c r="S44" s="1487"/>
      <c r="T44" s="1487"/>
      <c r="U44" s="1487"/>
      <c r="V44" s="1487"/>
      <c r="W44" s="1489"/>
      <c r="AA44" s="395"/>
      <c r="AB44" s="395"/>
      <c r="AC44" s="395"/>
    </row>
    <row r="45" spans="1:29">
      <c r="A45" s="1997" t="s">
        <v>1545</v>
      </c>
      <c r="B45" s="583"/>
      <c r="C45" s="397" t="s">
        <v>1265</v>
      </c>
      <c r="D45" s="397"/>
      <c r="E45" s="397"/>
      <c r="F45" s="397"/>
      <c r="G45" s="1998"/>
      <c r="H45" s="1487">
        <v>889.61</v>
      </c>
      <c r="I45" s="1487">
        <v>1038.3800000000001</v>
      </c>
      <c r="J45" s="1487">
        <v>1091.6099999999999</v>
      </c>
      <c r="K45" s="1487">
        <v>0</v>
      </c>
      <c r="L45" s="1487">
        <v>1933.74</v>
      </c>
      <c r="M45" s="1487">
        <v>3699.87</v>
      </c>
      <c r="N45" s="1487">
        <v>1278.19</v>
      </c>
      <c r="O45" s="1487"/>
      <c r="P45" s="1487"/>
      <c r="Q45" s="1487"/>
      <c r="R45" s="1487"/>
      <c r="S45" s="1487"/>
      <c r="T45" s="1487"/>
      <c r="U45" s="1487"/>
      <c r="V45" s="1487"/>
      <c r="W45" s="1489"/>
      <c r="AA45" s="395"/>
      <c r="AB45" s="395"/>
      <c r="AC45" s="395"/>
    </row>
    <row r="46" spans="1:29">
      <c r="A46" s="1997" t="s">
        <v>1546</v>
      </c>
      <c r="B46" s="583"/>
      <c r="C46" s="397" t="s">
        <v>1547</v>
      </c>
      <c r="D46" s="397"/>
      <c r="E46" s="397"/>
      <c r="F46" s="397"/>
      <c r="G46" s="1998"/>
      <c r="H46" s="1487">
        <v>0</v>
      </c>
      <c r="I46" s="1487">
        <v>0</v>
      </c>
      <c r="J46" s="1487">
        <v>0</v>
      </c>
      <c r="K46" s="1487">
        <v>0</v>
      </c>
      <c r="L46" s="1487">
        <v>0</v>
      </c>
      <c r="M46" s="1487">
        <v>0</v>
      </c>
      <c r="N46" s="1487">
        <v>0</v>
      </c>
      <c r="O46" s="1487"/>
      <c r="P46" s="1487"/>
      <c r="Q46" s="1487"/>
      <c r="R46" s="1487"/>
      <c r="S46" s="1487"/>
      <c r="T46" s="1487"/>
      <c r="U46" s="1487"/>
      <c r="V46" s="1487"/>
      <c r="W46" s="1489"/>
      <c r="AA46" s="395"/>
      <c r="AB46" s="395"/>
      <c r="AC46" s="395"/>
    </row>
    <row r="47" spans="1:29">
      <c r="A47" s="1997" t="s">
        <v>1548</v>
      </c>
      <c r="B47" s="583"/>
      <c r="C47" s="397" t="s">
        <v>1529</v>
      </c>
      <c r="D47" s="397"/>
      <c r="E47" s="397"/>
      <c r="F47" s="397"/>
      <c r="G47" s="1998"/>
      <c r="H47" s="1487">
        <v>0</v>
      </c>
      <c r="I47" s="1487">
        <v>0</v>
      </c>
      <c r="J47" s="1487">
        <v>289.48</v>
      </c>
      <c r="K47" s="1487">
        <v>1493.43</v>
      </c>
      <c r="L47" s="1487">
        <v>2052.58</v>
      </c>
      <c r="M47" s="1487">
        <v>2023.84</v>
      </c>
      <c r="N47" s="1487">
        <v>1396.05</v>
      </c>
      <c r="O47" s="1487"/>
      <c r="P47" s="1487"/>
      <c r="Q47" s="1487"/>
      <c r="R47" s="1487"/>
      <c r="S47" s="1487"/>
      <c r="T47" s="1487"/>
      <c r="U47" s="1487"/>
      <c r="V47" s="1487"/>
      <c r="W47" s="1489"/>
      <c r="AA47" s="395"/>
      <c r="AB47" s="395"/>
      <c r="AC47" s="395"/>
    </row>
    <row r="48" spans="1:29">
      <c r="A48" s="1997" t="s">
        <v>1549</v>
      </c>
      <c r="B48" s="583"/>
      <c r="C48" s="397" t="s">
        <v>1550</v>
      </c>
      <c r="D48" s="397"/>
      <c r="E48" s="397"/>
      <c r="F48" s="397"/>
      <c r="G48" s="1998"/>
      <c r="H48" s="1487">
        <v>6084.02</v>
      </c>
      <c r="I48" s="1487">
        <v>4446.03</v>
      </c>
      <c r="J48" s="1487">
        <v>3990.28</v>
      </c>
      <c r="K48" s="1487">
        <v>4614.5</v>
      </c>
      <c r="L48" s="1487">
        <v>5159.3</v>
      </c>
      <c r="M48" s="1487">
        <v>5596.76</v>
      </c>
      <c r="N48" s="1487">
        <v>5853.48</v>
      </c>
      <c r="O48" s="1487"/>
      <c r="P48" s="1487"/>
      <c r="Q48" s="1487"/>
      <c r="R48" s="1487"/>
      <c r="S48" s="1487"/>
      <c r="T48" s="1487"/>
      <c r="U48" s="1487"/>
      <c r="V48" s="1487"/>
      <c r="W48" s="1489"/>
      <c r="AA48" s="395"/>
      <c r="AB48" s="395"/>
      <c r="AC48" s="395"/>
    </row>
    <row r="49" spans="1:29">
      <c r="A49" s="1997" t="s">
        <v>1551</v>
      </c>
      <c r="B49" s="583"/>
      <c r="C49" s="397" t="s">
        <v>1063</v>
      </c>
      <c r="D49" s="397"/>
      <c r="E49" s="397"/>
      <c r="F49" s="397"/>
      <c r="G49" s="1998"/>
      <c r="H49" s="1487">
        <v>0</v>
      </c>
      <c r="I49" s="1487">
        <v>0</v>
      </c>
      <c r="J49" s="1487">
        <v>0</v>
      </c>
      <c r="K49" s="1487">
        <v>0</v>
      </c>
      <c r="L49" s="1487">
        <v>1104.54</v>
      </c>
      <c r="M49" s="1487">
        <v>1187.3900000000001</v>
      </c>
      <c r="N49" s="1487">
        <v>0</v>
      </c>
      <c r="O49" s="1487"/>
      <c r="P49" s="1487"/>
      <c r="Q49" s="1487"/>
      <c r="R49" s="1487"/>
      <c r="S49" s="1487"/>
      <c r="T49" s="1487"/>
      <c r="U49" s="1487"/>
      <c r="V49" s="1487"/>
      <c r="W49" s="1489"/>
      <c r="AA49" s="395"/>
      <c r="AB49" s="395"/>
      <c r="AC49" s="395"/>
    </row>
    <row r="50" spans="1:29">
      <c r="A50" s="1997" t="s">
        <v>1552</v>
      </c>
      <c r="B50" s="583"/>
      <c r="C50" s="397" t="s">
        <v>1063</v>
      </c>
      <c r="D50" s="397"/>
      <c r="E50" s="397"/>
      <c r="F50" s="397"/>
      <c r="G50" s="1998"/>
      <c r="H50" s="1487">
        <v>0</v>
      </c>
      <c r="I50" s="1487">
        <v>0</v>
      </c>
      <c r="J50" s="1487">
        <v>0</v>
      </c>
      <c r="K50" s="1487">
        <v>0</v>
      </c>
      <c r="L50" s="1487">
        <v>2537.9299999999998</v>
      </c>
      <c r="M50" s="1487">
        <v>1131.18</v>
      </c>
      <c r="N50" s="1487">
        <v>0</v>
      </c>
      <c r="O50" s="1487"/>
      <c r="P50" s="1487"/>
      <c r="Q50" s="1487"/>
      <c r="R50" s="1487"/>
      <c r="S50" s="1487"/>
      <c r="T50" s="1487"/>
      <c r="U50" s="1487"/>
      <c r="V50" s="1487"/>
      <c r="W50" s="1489"/>
      <c r="AA50" s="395"/>
      <c r="AB50" s="395"/>
      <c r="AC50" s="395"/>
    </row>
    <row r="51" spans="1:29">
      <c r="A51" s="1997" t="s">
        <v>1553</v>
      </c>
      <c r="B51" s="583"/>
      <c r="C51" s="397" t="s">
        <v>1063</v>
      </c>
      <c r="D51" s="397"/>
      <c r="E51" s="397"/>
      <c r="F51" s="397"/>
      <c r="G51" s="1998"/>
      <c r="H51" s="1487">
        <v>0</v>
      </c>
      <c r="I51" s="1487">
        <v>0</v>
      </c>
      <c r="J51" s="1487">
        <v>0</v>
      </c>
      <c r="K51" s="1487">
        <v>0</v>
      </c>
      <c r="L51" s="1487">
        <v>1693.63</v>
      </c>
      <c r="M51" s="1487">
        <v>604.77</v>
      </c>
      <c r="N51" s="1487">
        <v>0</v>
      </c>
      <c r="O51" s="1487"/>
      <c r="P51" s="1487"/>
      <c r="Q51" s="1487"/>
      <c r="R51" s="1487"/>
      <c r="S51" s="1487"/>
      <c r="T51" s="1487"/>
      <c r="U51" s="1487"/>
      <c r="V51" s="1487"/>
      <c r="W51" s="1489"/>
      <c r="AA51" s="395"/>
      <c r="AB51" s="395"/>
      <c r="AC51" s="395"/>
    </row>
    <row r="52" spans="1:29">
      <c r="A52" s="1997" t="s">
        <v>1554</v>
      </c>
      <c r="B52" s="583"/>
      <c r="C52" s="397" t="s">
        <v>1310</v>
      </c>
      <c r="D52" s="397"/>
      <c r="E52" s="397"/>
      <c r="F52" s="397"/>
      <c r="G52" s="1998"/>
      <c r="H52" s="1487">
        <v>0</v>
      </c>
      <c r="I52" s="1487">
        <v>0</v>
      </c>
      <c r="J52" s="1487">
        <v>0</v>
      </c>
      <c r="K52" s="1487">
        <v>0</v>
      </c>
      <c r="L52" s="1487">
        <v>304.89</v>
      </c>
      <c r="M52" s="1487">
        <v>414.15</v>
      </c>
      <c r="N52" s="1487">
        <v>249.2</v>
      </c>
      <c r="O52" s="1487"/>
      <c r="P52" s="1487"/>
      <c r="Q52" s="1487"/>
      <c r="R52" s="1487"/>
      <c r="S52" s="1487"/>
      <c r="T52" s="1487"/>
      <c r="U52" s="1487"/>
      <c r="V52" s="1487"/>
      <c r="W52" s="1489"/>
      <c r="AA52" s="395"/>
      <c r="AB52" s="395"/>
      <c r="AC52" s="395"/>
    </row>
    <row r="53" spans="1:29">
      <c r="A53" s="1997" t="s">
        <v>1555</v>
      </c>
      <c r="B53" s="583"/>
      <c r="C53" s="397" t="s">
        <v>1310</v>
      </c>
      <c r="D53" s="397"/>
      <c r="E53" s="397"/>
      <c r="F53" s="397"/>
      <c r="G53" s="1998"/>
      <c r="H53" s="1487">
        <v>0</v>
      </c>
      <c r="I53" s="1487">
        <v>0</v>
      </c>
      <c r="J53" s="1487">
        <v>5.36</v>
      </c>
      <c r="K53" s="1487">
        <v>37.79</v>
      </c>
      <c r="L53" s="1487">
        <v>43.8</v>
      </c>
      <c r="M53" s="1487">
        <v>31.99</v>
      </c>
      <c r="N53" s="1487">
        <v>46.1</v>
      </c>
      <c r="O53" s="1487"/>
      <c r="P53" s="1487"/>
      <c r="Q53" s="1487"/>
      <c r="R53" s="1487"/>
      <c r="S53" s="1487"/>
      <c r="T53" s="1487"/>
      <c r="U53" s="1487"/>
      <c r="V53" s="1487"/>
      <c r="W53" s="1489"/>
      <c r="AA53" s="395"/>
      <c r="AB53" s="395"/>
      <c r="AC53" s="395"/>
    </row>
    <row r="54" spans="1:29">
      <c r="A54" s="1997" t="s">
        <v>1556</v>
      </c>
      <c r="B54" s="583"/>
      <c r="C54" s="397" t="s">
        <v>1310</v>
      </c>
      <c r="D54" s="397"/>
      <c r="E54" s="397"/>
      <c r="F54" s="397"/>
      <c r="G54" s="1998"/>
      <c r="H54" s="1487">
        <v>0</v>
      </c>
      <c r="I54" s="1487">
        <v>0</v>
      </c>
      <c r="J54" s="1487">
        <v>4.3600000000000003</v>
      </c>
      <c r="K54" s="1487">
        <v>9.49</v>
      </c>
      <c r="L54" s="1487">
        <v>16.8</v>
      </c>
      <c r="M54" s="1487">
        <v>64.260000000000005</v>
      </c>
      <c r="N54" s="1487">
        <v>82.75</v>
      </c>
      <c r="O54" s="1487"/>
      <c r="P54" s="1487"/>
      <c r="Q54" s="1487"/>
      <c r="R54" s="1487"/>
      <c r="S54" s="1487"/>
      <c r="T54" s="1487"/>
      <c r="U54" s="1487"/>
      <c r="V54" s="1487"/>
      <c r="W54" s="1489"/>
      <c r="AA54" s="395"/>
      <c r="AB54" s="395"/>
      <c r="AC54" s="395"/>
    </row>
    <row r="55" spans="1:29">
      <c r="A55" s="1997" t="s">
        <v>1557</v>
      </c>
      <c r="B55" s="583"/>
      <c r="C55" s="397" t="s">
        <v>1542</v>
      </c>
      <c r="D55" s="397"/>
      <c r="E55" s="397"/>
      <c r="F55" s="397"/>
      <c r="G55" s="1998"/>
      <c r="H55" s="1487">
        <v>400</v>
      </c>
      <c r="I55" s="1487">
        <v>300</v>
      </c>
      <c r="J55" s="1487">
        <v>245</v>
      </c>
      <c r="K55" s="1487">
        <v>1419.29</v>
      </c>
      <c r="L55" s="1487">
        <v>1408.5</v>
      </c>
      <c r="M55" s="1487">
        <v>0</v>
      </c>
      <c r="N55" s="1487">
        <v>257.70999999999998</v>
      </c>
      <c r="O55" s="1487"/>
      <c r="P55" s="1487"/>
      <c r="Q55" s="1487"/>
      <c r="R55" s="1487"/>
      <c r="S55" s="1487"/>
      <c r="T55" s="1487"/>
      <c r="U55" s="1487"/>
      <c r="V55" s="1487"/>
      <c r="W55" s="1489"/>
      <c r="AA55" s="395"/>
      <c r="AB55" s="395"/>
      <c r="AC55" s="395"/>
    </row>
    <row r="56" spans="1:29">
      <c r="A56" s="1997" t="s">
        <v>1558</v>
      </c>
      <c r="B56" s="583"/>
      <c r="C56" s="397" t="s">
        <v>1542</v>
      </c>
      <c r="D56" s="397"/>
      <c r="E56" s="397"/>
      <c r="F56" s="397"/>
      <c r="G56" s="1998"/>
      <c r="H56" s="1487">
        <v>771.98</v>
      </c>
      <c r="I56" s="1487">
        <v>491</v>
      </c>
      <c r="J56" s="1487">
        <v>481.67</v>
      </c>
      <c r="K56" s="1487">
        <v>390.03</v>
      </c>
      <c r="L56" s="1487">
        <v>462.96</v>
      </c>
      <c r="M56" s="1487">
        <v>907.68</v>
      </c>
      <c r="N56" s="1487">
        <v>367.69</v>
      </c>
      <c r="O56" s="1487"/>
      <c r="P56" s="1487"/>
      <c r="Q56" s="1487"/>
      <c r="R56" s="1487"/>
      <c r="S56" s="1487"/>
      <c r="T56" s="1487"/>
      <c r="U56" s="1487"/>
      <c r="V56" s="1487"/>
      <c r="W56" s="1489"/>
      <c r="AA56" s="395"/>
      <c r="AB56" s="395"/>
      <c r="AC56" s="395"/>
    </row>
    <row r="57" spans="1:29">
      <c r="A57" s="1997" t="s">
        <v>1559</v>
      </c>
      <c r="B57" s="583"/>
      <c r="C57" s="397" t="s">
        <v>1069</v>
      </c>
      <c r="D57" s="397"/>
      <c r="E57" s="397"/>
      <c r="F57" s="397"/>
      <c r="G57" s="1998"/>
      <c r="H57" s="1487">
        <v>236.32</v>
      </c>
      <c r="I57" s="1487">
        <v>237.83</v>
      </c>
      <c r="J57" s="1487">
        <v>229.87</v>
      </c>
      <c r="K57" s="1487">
        <v>250.59</v>
      </c>
      <c r="L57" s="1487">
        <v>221.95</v>
      </c>
      <c r="M57" s="1487">
        <v>252.54</v>
      </c>
      <c r="N57" s="1487">
        <v>276.02</v>
      </c>
      <c r="O57" s="1487"/>
      <c r="P57" s="1487"/>
      <c r="Q57" s="1487"/>
      <c r="R57" s="1487"/>
      <c r="S57" s="1487"/>
      <c r="T57" s="1487"/>
      <c r="U57" s="1487"/>
      <c r="V57" s="1487"/>
      <c r="W57" s="1489"/>
      <c r="AA57" s="395"/>
      <c r="AB57" s="395"/>
      <c r="AC57" s="395"/>
    </row>
    <row r="58" spans="1:29">
      <c r="A58" s="2046"/>
      <c r="B58" s="2064"/>
      <c r="C58" s="2047" t="s">
        <v>1083</v>
      </c>
      <c r="D58" s="2047"/>
      <c r="E58" s="2047"/>
      <c r="F58" s="2047"/>
      <c r="G58" s="2047"/>
      <c r="H58" s="2005">
        <f t="shared" ref="H58:R58" si="14">SUM(H24:H57)</f>
        <v>1030854.6</v>
      </c>
      <c r="I58" s="2005">
        <f t="shared" si="14"/>
        <v>1051509.1599999999</v>
      </c>
      <c r="J58" s="2005">
        <f t="shared" si="14"/>
        <v>1194677.6400000001</v>
      </c>
      <c r="K58" s="2005">
        <f t="shared" si="14"/>
        <v>1275521.81</v>
      </c>
      <c r="L58" s="2005">
        <f t="shared" si="14"/>
        <v>1291084.27</v>
      </c>
      <c r="M58" s="2005">
        <f t="shared" si="14"/>
        <v>1351236.2400000002</v>
      </c>
      <c r="N58" s="2005">
        <f t="shared" si="14"/>
        <v>1337850.79</v>
      </c>
      <c r="O58" s="2005">
        <f t="shared" si="14"/>
        <v>1306175.7499999998</v>
      </c>
      <c r="P58" s="2005">
        <f t="shared" si="14"/>
        <v>1382311.7599999993</v>
      </c>
      <c r="Q58" s="2005">
        <f t="shared" si="14"/>
        <v>1384447.4</v>
      </c>
      <c r="R58" s="2005">
        <f t="shared" si="14"/>
        <v>1372988.98</v>
      </c>
      <c r="S58" s="2005">
        <f>SUM(S24:S57)</f>
        <v>1360777.84</v>
      </c>
      <c r="T58" s="2005">
        <f>SUM(T24:T57)</f>
        <v>1348108.2799999998</v>
      </c>
      <c r="U58" s="2005">
        <f>SUM(U24:U57)</f>
        <v>1361647.44</v>
      </c>
      <c r="V58" s="2005">
        <f>SUM(V24:V57)</f>
        <v>1376527.6499999997</v>
      </c>
      <c r="W58" s="3150">
        <f>SUM(W24:W57)</f>
        <v>0</v>
      </c>
      <c r="AA58" s="395"/>
      <c r="AB58" s="395"/>
      <c r="AC58" s="395"/>
    </row>
    <row r="59" spans="1:29">
      <c r="A59" s="1993" t="s">
        <v>990</v>
      </c>
      <c r="B59" s="1994"/>
      <c r="C59" s="1995"/>
      <c r="D59" s="1995"/>
      <c r="E59" s="1995"/>
      <c r="F59" s="1995"/>
      <c r="G59" s="1996"/>
      <c r="H59" s="1487"/>
      <c r="I59" s="1487"/>
      <c r="J59" s="1487"/>
      <c r="K59" s="1487"/>
      <c r="L59" s="1487"/>
      <c r="M59" s="1487"/>
      <c r="N59" s="1487"/>
      <c r="O59" s="397"/>
      <c r="P59" s="397"/>
      <c r="Q59" s="397"/>
      <c r="R59" s="1487"/>
      <c r="S59" s="1487"/>
      <c r="T59" s="1487"/>
      <c r="U59" s="1487"/>
      <c r="V59" s="1487"/>
      <c r="W59" s="1489"/>
      <c r="AA59" s="395"/>
      <c r="AB59" s="395"/>
      <c r="AC59" s="395"/>
    </row>
    <row r="60" spans="1:29">
      <c r="A60" s="1997" t="s">
        <v>1560</v>
      </c>
      <c r="B60" s="583">
        <v>610000</v>
      </c>
      <c r="C60" s="1487" t="s">
        <v>1561</v>
      </c>
      <c r="D60" s="1487"/>
      <c r="E60" s="1487"/>
      <c r="F60" s="1487"/>
      <c r="G60" s="1489"/>
      <c r="H60" s="1487">
        <v>6060.68</v>
      </c>
      <c r="I60" s="1487">
        <v>6060.68</v>
      </c>
      <c r="J60" s="1487">
        <v>6275.24</v>
      </c>
      <c r="K60" s="1487">
        <v>6275.24</v>
      </c>
      <c r="L60" s="1487">
        <v>6275.24</v>
      </c>
      <c r="M60" s="1487">
        <v>6275.24</v>
      </c>
      <c r="N60" s="1487">
        <v>6275.24</v>
      </c>
      <c r="O60" s="1487">
        <v>4706.43</v>
      </c>
      <c r="P60" s="1487">
        <v>6275.24</v>
      </c>
      <c r="Q60" s="1487">
        <v>11263.24</v>
      </c>
      <c r="R60" s="1487">
        <v>8719.24</v>
      </c>
      <c r="S60" s="1487">
        <v>9635.24</v>
      </c>
      <c r="T60" s="1487">
        <v>10263.24</v>
      </c>
      <c r="U60" s="1487">
        <v>8606.59</v>
      </c>
      <c r="V60" s="1487">
        <v>6275.24</v>
      </c>
      <c r="W60" s="1489"/>
      <c r="AA60" s="395"/>
      <c r="AB60" s="395"/>
      <c r="AC60" s="395"/>
    </row>
    <row r="61" spans="1:29">
      <c r="A61" s="1997"/>
      <c r="B61" s="583">
        <v>602100</v>
      </c>
      <c r="C61" s="1487" t="s">
        <v>7357</v>
      </c>
      <c r="D61" s="1487"/>
      <c r="E61" s="1487"/>
      <c r="F61" s="1487"/>
      <c r="G61" s="1489"/>
      <c r="H61" s="1487"/>
      <c r="I61" s="1487"/>
      <c r="J61" s="1487"/>
      <c r="K61" s="1487"/>
      <c r="L61" s="1487"/>
      <c r="M61" s="1487"/>
      <c r="N61" s="1487"/>
      <c r="O61" s="1487"/>
      <c r="P61" s="1487"/>
      <c r="Q61" s="1487"/>
      <c r="R61" s="1487"/>
      <c r="S61" s="1487"/>
      <c r="T61" s="1487"/>
      <c r="U61" s="1487">
        <v>888.41</v>
      </c>
      <c r="V61" s="1487">
        <v>1647.06</v>
      </c>
      <c r="W61" s="1489"/>
      <c r="AA61" s="395"/>
      <c r="AB61" s="395"/>
      <c r="AC61" s="395"/>
    </row>
    <row r="62" spans="1:29">
      <c r="A62" s="1997" t="s">
        <v>1562</v>
      </c>
      <c r="B62" s="583">
        <v>610300</v>
      </c>
      <c r="C62" s="397" t="s">
        <v>1318</v>
      </c>
      <c r="D62" s="397"/>
      <c r="E62" s="397"/>
      <c r="F62" s="397"/>
      <c r="G62" s="1998"/>
      <c r="H62" s="1487">
        <v>1913.3</v>
      </c>
      <c r="I62" s="1487">
        <v>2842.67</v>
      </c>
      <c r="J62" s="1487">
        <v>3659.55</v>
      </c>
      <c r="K62" s="1487">
        <v>1482.09</v>
      </c>
      <c r="L62" s="1487">
        <v>3460.48</v>
      </c>
      <c r="M62" s="1487">
        <v>1907.21</v>
      </c>
      <c r="N62" s="1487">
        <v>2173.9699999999998</v>
      </c>
      <c r="O62" s="1487">
        <v>2291.9299999999998</v>
      </c>
      <c r="P62" s="1487">
        <v>890.24</v>
      </c>
      <c r="Q62" s="1487">
        <v>3737.94</v>
      </c>
      <c r="R62" s="1487">
        <v>4276.91</v>
      </c>
      <c r="S62" s="1487">
        <v>4778.67</v>
      </c>
      <c r="T62" s="1487">
        <v>2970.12</v>
      </c>
      <c r="U62" s="1487">
        <v>2272.08</v>
      </c>
      <c r="V62" s="1487">
        <v>5460.38</v>
      </c>
      <c r="W62" s="1489"/>
      <c r="AA62" s="395"/>
      <c r="AB62" s="395"/>
      <c r="AC62" s="395"/>
    </row>
    <row r="63" spans="1:29">
      <c r="A63" s="1997" t="s">
        <v>1563</v>
      </c>
      <c r="B63" s="583"/>
      <c r="C63" s="397" t="s">
        <v>1320</v>
      </c>
      <c r="D63" s="397"/>
      <c r="E63" s="397"/>
      <c r="F63" s="397"/>
      <c r="G63" s="1998"/>
      <c r="H63" s="1487">
        <v>986.8</v>
      </c>
      <c r="I63" s="1487">
        <v>286.52</v>
      </c>
      <c r="J63" s="1487">
        <v>708.53</v>
      </c>
      <c r="K63" s="1487">
        <v>2374.0300000000002</v>
      </c>
      <c r="L63" s="1487">
        <v>1423.73</v>
      </c>
      <c r="M63" s="1487">
        <v>389.04</v>
      </c>
      <c r="N63" s="1487">
        <v>1825.02</v>
      </c>
      <c r="O63" s="1487">
        <v>370.26</v>
      </c>
      <c r="P63" s="1487">
        <v>1832.75</v>
      </c>
      <c r="Q63" s="1487">
        <v>1836.78</v>
      </c>
      <c r="R63" s="1487">
        <v>4567</v>
      </c>
      <c r="S63" s="1487">
        <v>2127.66</v>
      </c>
      <c r="T63" s="1487">
        <v>1493.4</v>
      </c>
      <c r="U63" s="1487"/>
      <c r="V63" s="1487"/>
      <c r="W63" s="1489"/>
      <c r="AA63" s="395"/>
      <c r="AB63" s="395"/>
      <c r="AC63" s="395"/>
    </row>
    <row r="64" spans="1:29">
      <c r="A64" s="1997" t="s">
        <v>1564</v>
      </c>
      <c r="B64" s="583">
        <v>611000</v>
      </c>
      <c r="C64" s="397" t="s">
        <v>1322</v>
      </c>
      <c r="D64" s="397"/>
      <c r="E64" s="397"/>
      <c r="F64" s="397"/>
      <c r="G64" s="1998"/>
      <c r="H64" s="1487">
        <v>5480.66</v>
      </c>
      <c r="I64" s="1487">
        <v>6553.96</v>
      </c>
      <c r="J64" s="1487">
        <v>7028.26</v>
      </c>
      <c r="K64" s="1487">
        <v>6079.56</v>
      </c>
      <c r="L64" s="1487">
        <v>6364.45</v>
      </c>
      <c r="M64" s="1487">
        <v>5610.91</v>
      </c>
      <c r="N64" s="1487">
        <v>5855.37</v>
      </c>
      <c r="O64" s="1487">
        <v>6754.72</v>
      </c>
      <c r="P64" s="1487">
        <v>5331.11</v>
      </c>
      <c r="Q64" s="1487">
        <v>8046.77</v>
      </c>
      <c r="R64" s="1487">
        <v>7643.95</v>
      </c>
      <c r="S64" s="1487">
        <v>11072.08</v>
      </c>
      <c r="T64" s="1487">
        <v>4915.47</v>
      </c>
      <c r="U64" s="1487">
        <v>6412.08</v>
      </c>
      <c r="V64" s="1487">
        <v>6322.11</v>
      </c>
      <c r="W64" s="1489"/>
      <c r="AA64" s="395"/>
      <c r="AB64" s="395"/>
      <c r="AC64" s="395"/>
    </row>
    <row r="65" spans="1:29">
      <c r="A65" s="1997" t="s">
        <v>1565</v>
      </c>
      <c r="B65" s="583">
        <v>611100</v>
      </c>
      <c r="C65" s="397" t="s">
        <v>1324</v>
      </c>
      <c r="D65" s="397"/>
      <c r="E65" s="397"/>
      <c r="F65" s="397"/>
      <c r="G65" s="1998"/>
      <c r="H65" s="1487">
        <v>16206.5</v>
      </c>
      <c r="I65" s="1487">
        <v>21963.47</v>
      </c>
      <c r="J65" s="1487">
        <v>27108.560000000001</v>
      </c>
      <c r="K65" s="1487">
        <v>24849.14</v>
      </c>
      <c r="L65" s="1487">
        <v>26060.25</v>
      </c>
      <c r="M65" s="1487">
        <v>21758.34</v>
      </c>
      <c r="N65" s="1487">
        <v>23041.49</v>
      </c>
      <c r="O65" s="1487">
        <v>22145.19</v>
      </c>
      <c r="P65" s="1487">
        <v>20033.04</v>
      </c>
      <c r="Q65" s="1487">
        <v>17265.43</v>
      </c>
      <c r="R65" s="1487">
        <v>16606.849999999999</v>
      </c>
      <c r="S65" s="1487">
        <v>16022.08</v>
      </c>
      <c r="T65" s="1487">
        <v>13864.52</v>
      </c>
      <c r="U65" s="1487">
        <v>6359.1</v>
      </c>
      <c r="V65" s="1487">
        <v>15283.37</v>
      </c>
      <c r="W65" s="1489"/>
      <c r="AA65" s="395"/>
      <c r="AB65" s="395"/>
      <c r="AC65" s="395"/>
    </row>
    <row r="66" spans="1:29">
      <c r="A66" s="1997" t="s">
        <v>1566</v>
      </c>
      <c r="B66" s="583">
        <v>611300</v>
      </c>
      <c r="C66" s="397" t="s">
        <v>1375</v>
      </c>
      <c r="D66" s="397"/>
      <c r="E66" s="397"/>
      <c r="F66" s="397"/>
      <c r="G66" s="1998"/>
      <c r="H66" s="1487">
        <v>1332.83</v>
      </c>
      <c r="I66" s="1487">
        <v>1329.01</v>
      </c>
      <c r="J66" s="1487">
        <v>1066.6199999999999</v>
      </c>
      <c r="K66" s="1487">
        <v>847.76</v>
      </c>
      <c r="L66" s="1487">
        <v>1439.13</v>
      </c>
      <c r="M66" s="1487">
        <v>1610.83</v>
      </c>
      <c r="N66" s="1487">
        <v>2082.5500000000002</v>
      </c>
      <c r="O66" s="1487">
        <v>1159.6400000000001</v>
      </c>
      <c r="P66" s="1487">
        <v>2572.83</v>
      </c>
      <c r="Q66" s="1487">
        <v>1377.46</v>
      </c>
      <c r="R66" s="1487">
        <v>1656.78</v>
      </c>
      <c r="S66" s="1487">
        <v>1018.9</v>
      </c>
      <c r="T66" s="1487">
        <v>381.54</v>
      </c>
      <c r="U66" s="1487">
        <v>550.26</v>
      </c>
      <c r="V66" s="1487">
        <v>476.73</v>
      </c>
      <c r="W66" s="1489"/>
      <c r="AA66" s="395"/>
      <c r="AB66" s="395"/>
      <c r="AC66" s="395"/>
    </row>
    <row r="67" spans="1:29">
      <c r="A67" s="1997" t="s">
        <v>1567</v>
      </c>
      <c r="B67" s="583">
        <v>612000</v>
      </c>
      <c r="C67" s="397" t="s">
        <v>1326</v>
      </c>
      <c r="D67" s="397"/>
      <c r="E67" s="397"/>
      <c r="F67" s="397"/>
      <c r="G67" s="1998"/>
      <c r="H67" s="1487">
        <v>2183.46</v>
      </c>
      <c r="I67" s="1487">
        <v>2240.7399999999998</v>
      </c>
      <c r="J67" s="1487">
        <v>2341.8200000000002</v>
      </c>
      <c r="K67" s="1487">
        <v>2257.63</v>
      </c>
      <c r="L67" s="1487">
        <v>2325</v>
      </c>
      <c r="M67" s="1487">
        <v>1584.26</v>
      </c>
      <c r="N67" s="1487">
        <v>1638.14</v>
      </c>
      <c r="O67" s="1487">
        <v>2129.67</v>
      </c>
      <c r="P67" s="1487">
        <v>2146.96</v>
      </c>
      <c r="Q67" s="1487">
        <v>2139.1</v>
      </c>
      <c r="R67" s="1487">
        <v>1750.21</v>
      </c>
      <c r="S67" s="1487">
        <v>1393.26</v>
      </c>
      <c r="T67" s="1487">
        <v>1278.07</v>
      </c>
      <c r="U67" s="1487">
        <v>1198.02</v>
      </c>
      <c r="V67" s="1487">
        <v>1233.98</v>
      </c>
      <c r="W67" s="1489"/>
      <c r="AA67" s="395"/>
      <c r="AB67" s="395"/>
      <c r="AC67" s="395"/>
    </row>
    <row r="68" spans="1:29">
      <c r="A68" s="1997" t="s">
        <v>1568</v>
      </c>
      <c r="B68" s="583">
        <v>612100</v>
      </c>
      <c r="C68" s="397" t="s">
        <v>1365</v>
      </c>
      <c r="D68" s="397"/>
      <c r="E68" s="397"/>
      <c r="F68" s="397"/>
      <c r="G68" s="1998"/>
      <c r="H68" s="1487">
        <v>1328.17</v>
      </c>
      <c r="I68" s="1487">
        <v>1400</v>
      </c>
      <c r="J68" s="1487">
        <v>1116.75</v>
      </c>
      <c r="K68" s="1487">
        <v>1172.0999999999999</v>
      </c>
      <c r="L68" s="1487">
        <v>1131.51</v>
      </c>
      <c r="M68" s="1487">
        <v>1096.28</v>
      </c>
      <c r="N68" s="1487">
        <v>623.49</v>
      </c>
      <c r="O68" s="1487">
        <v>944.06</v>
      </c>
      <c r="P68" s="1487">
        <v>1276.3</v>
      </c>
      <c r="Q68" s="1487">
        <v>950.3</v>
      </c>
      <c r="R68" s="1487">
        <v>950.3</v>
      </c>
      <c r="S68" s="1487">
        <v>857.97</v>
      </c>
      <c r="T68" s="1487">
        <v>837</v>
      </c>
      <c r="U68" s="1487">
        <v>607.84</v>
      </c>
      <c r="V68" s="1487">
        <v>722.25</v>
      </c>
      <c r="W68" s="1489"/>
      <c r="AA68" s="395"/>
      <c r="AB68" s="395"/>
      <c r="AC68" s="395"/>
    </row>
    <row r="69" spans="1:29">
      <c r="A69" s="1997" t="s">
        <v>1569</v>
      </c>
      <c r="B69" s="583">
        <v>616100</v>
      </c>
      <c r="C69" s="397" t="s">
        <v>1570</v>
      </c>
      <c r="D69" s="397"/>
      <c r="E69" s="397"/>
      <c r="F69" s="397"/>
      <c r="G69" s="1998"/>
      <c r="H69" s="1487">
        <v>5316.03</v>
      </c>
      <c r="I69" s="1487">
        <v>5694.67</v>
      </c>
      <c r="J69" s="1487">
        <v>6188.5</v>
      </c>
      <c r="K69" s="1487">
        <v>5675.55</v>
      </c>
      <c r="L69" s="1487">
        <v>7974.47</v>
      </c>
      <c r="M69" s="1487">
        <v>6686.61</v>
      </c>
      <c r="N69" s="1487">
        <v>7402.24</v>
      </c>
      <c r="O69" s="1487">
        <v>6888.62</v>
      </c>
      <c r="P69" s="1487">
        <v>6588.54</v>
      </c>
      <c r="Q69" s="1487">
        <v>8018.89</v>
      </c>
      <c r="R69" s="1487">
        <v>5823.46</v>
      </c>
      <c r="S69" s="1487">
        <v>6528.35</v>
      </c>
      <c r="T69" s="1487">
        <v>1957.08</v>
      </c>
      <c r="U69" s="1487">
        <v>562.55999999999995</v>
      </c>
      <c r="V69" s="1487">
        <v>498.64</v>
      </c>
      <c r="W69" s="1489"/>
      <c r="AA69" s="395"/>
      <c r="AB69" s="395"/>
      <c r="AC69" s="395"/>
    </row>
    <row r="70" spans="1:29">
      <c r="A70" s="1997" t="s">
        <v>1571</v>
      </c>
      <c r="B70" s="583">
        <v>616900</v>
      </c>
      <c r="C70" s="397" t="s">
        <v>1092</v>
      </c>
      <c r="D70" s="397"/>
      <c r="E70" s="397"/>
      <c r="F70" s="397"/>
      <c r="G70" s="1998"/>
      <c r="H70" s="1487">
        <v>3205.1</v>
      </c>
      <c r="I70" s="1487">
        <v>2991.44</v>
      </c>
      <c r="J70" s="1487">
        <v>2894.62</v>
      </c>
      <c r="K70" s="1487">
        <v>3139.25</v>
      </c>
      <c r="L70" s="1487">
        <v>3265.84</v>
      </c>
      <c r="M70" s="1487">
        <v>3046.7</v>
      </c>
      <c r="N70" s="1487">
        <v>3118.52</v>
      </c>
      <c r="O70" s="1487"/>
      <c r="P70" s="1487">
        <v>696.4</v>
      </c>
      <c r="Q70" s="1487">
        <v>330.84</v>
      </c>
      <c r="R70" s="1487">
        <v>340.58</v>
      </c>
      <c r="S70" s="1487">
        <v>572.25</v>
      </c>
      <c r="T70" s="1487">
        <v>350.31</v>
      </c>
      <c r="U70" s="1487">
        <v>360.04</v>
      </c>
      <c r="V70" s="1487">
        <v>369.77</v>
      </c>
      <c r="W70" s="1489"/>
      <c r="AA70" s="395"/>
      <c r="AB70" s="395"/>
      <c r="AC70" s="395"/>
    </row>
    <row r="71" spans="1:29">
      <c r="A71" s="1997" t="s">
        <v>1572</v>
      </c>
      <c r="B71" s="583"/>
      <c r="C71" s="397" t="s">
        <v>1484</v>
      </c>
      <c r="D71" s="397"/>
      <c r="E71" s="397"/>
      <c r="F71" s="397"/>
      <c r="G71" s="1998"/>
      <c r="H71" s="1487"/>
      <c r="I71" s="1487"/>
      <c r="J71" s="1487"/>
      <c r="K71" s="1487"/>
      <c r="L71" s="1487"/>
      <c r="M71" s="1487"/>
      <c r="N71" s="1487"/>
      <c r="O71" s="1487">
        <v>45.3</v>
      </c>
      <c r="P71" s="1487"/>
      <c r="Q71" s="1487"/>
      <c r="R71" s="1487"/>
      <c r="S71" s="1487"/>
      <c r="T71" s="1487"/>
      <c r="U71" s="1487"/>
      <c r="V71" s="1487"/>
      <c r="W71" s="1489"/>
      <c r="AA71" s="395"/>
      <c r="AB71" s="395"/>
      <c r="AC71" s="395"/>
    </row>
    <row r="72" spans="1:29">
      <c r="A72" s="1997" t="s">
        <v>1573</v>
      </c>
      <c r="B72" s="583">
        <v>615000</v>
      </c>
      <c r="C72" s="397" t="s">
        <v>1096</v>
      </c>
      <c r="D72" s="397"/>
      <c r="E72" s="397"/>
      <c r="F72" s="397"/>
      <c r="G72" s="1998"/>
      <c r="H72" s="1487">
        <v>1476.28</v>
      </c>
      <c r="I72" s="1487">
        <v>3613.62</v>
      </c>
      <c r="J72" s="1487">
        <v>3886.83</v>
      </c>
      <c r="K72" s="1487">
        <v>3105.65</v>
      </c>
      <c r="L72" s="1487">
        <v>1807.74</v>
      </c>
      <c r="M72" s="1487">
        <v>1890.81</v>
      </c>
      <c r="N72" s="1487">
        <v>1713.7</v>
      </c>
      <c r="O72" s="1487">
        <v>1980.15</v>
      </c>
      <c r="P72" s="1487">
        <v>1925.02</v>
      </c>
      <c r="Q72" s="1487">
        <v>2047.81</v>
      </c>
      <c r="R72" s="1487">
        <v>1117.81</v>
      </c>
      <c r="S72" s="1487">
        <v>1398.13</v>
      </c>
      <c r="T72" s="1487">
        <v>1857.51</v>
      </c>
      <c r="U72" s="1487">
        <v>1070.5999999999999</v>
      </c>
      <c r="V72" s="1487">
        <v>1195.7</v>
      </c>
      <c r="W72" s="1489"/>
      <c r="AA72" s="395"/>
      <c r="AB72" s="395"/>
      <c r="AC72" s="395"/>
    </row>
    <row r="73" spans="1:29">
      <c r="A73" s="1997" t="s">
        <v>1574</v>
      </c>
      <c r="B73" s="583">
        <v>615310</v>
      </c>
      <c r="C73" s="397" t="s">
        <v>1098</v>
      </c>
      <c r="D73" s="397"/>
      <c r="E73" s="397"/>
      <c r="F73" s="397"/>
      <c r="G73" s="1998"/>
      <c r="H73" s="1487">
        <v>397.83</v>
      </c>
      <c r="I73" s="1487">
        <v>226.1</v>
      </c>
      <c r="J73" s="1487">
        <v>218.98</v>
      </c>
      <c r="K73" s="1487">
        <v>507.33</v>
      </c>
      <c r="L73" s="1487">
        <v>577.39</v>
      </c>
      <c r="M73" s="1487">
        <v>342.78</v>
      </c>
      <c r="N73" s="1487">
        <v>408.73</v>
      </c>
      <c r="O73" s="1487">
        <v>400.12</v>
      </c>
      <c r="P73" s="1487">
        <v>348.52</v>
      </c>
      <c r="Q73" s="1487">
        <v>276.31</v>
      </c>
      <c r="R73" s="1487">
        <v>645.14</v>
      </c>
      <c r="S73" s="1487">
        <v>999.84</v>
      </c>
      <c r="T73" s="1487">
        <v>599.80999999999995</v>
      </c>
      <c r="U73" s="1487">
        <v>578.03</v>
      </c>
      <c r="V73" s="1487">
        <v>494.24</v>
      </c>
      <c r="W73" s="1489"/>
      <c r="AA73" s="395"/>
      <c r="AB73" s="395"/>
      <c r="AC73" s="395"/>
    </row>
    <row r="74" spans="1:29">
      <c r="A74" s="1997" t="s">
        <v>1575</v>
      </c>
      <c r="B74" s="583"/>
      <c r="C74" s="397" t="s">
        <v>1100</v>
      </c>
      <c r="D74" s="397"/>
      <c r="E74" s="397"/>
      <c r="F74" s="397"/>
      <c r="G74" s="1998"/>
      <c r="H74" s="1487">
        <v>3136.97</v>
      </c>
      <c r="I74" s="1487">
        <v>3483.3</v>
      </c>
      <c r="J74" s="1487">
        <v>3828.25</v>
      </c>
      <c r="K74" s="1487">
        <v>3918.51</v>
      </c>
      <c r="L74" s="1487">
        <v>3879.16</v>
      </c>
      <c r="M74" s="1487">
        <v>3870.91</v>
      </c>
      <c r="N74" s="1487">
        <v>4268.3</v>
      </c>
      <c r="O74" s="1487">
        <v>3889.8</v>
      </c>
      <c r="P74" s="1487">
        <v>3901.4</v>
      </c>
      <c r="Q74" s="1487">
        <v>3467.93</v>
      </c>
      <c r="R74" s="1487">
        <v>2338.84</v>
      </c>
      <c r="S74" s="1487">
        <v>82.68</v>
      </c>
      <c r="T74" s="1487"/>
      <c r="U74" s="1487"/>
      <c r="V74" s="1487"/>
      <c r="W74" s="1489"/>
      <c r="AA74" s="395"/>
      <c r="AB74" s="395"/>
      <c r="AC74" s="395"/>
    </row>
    <row r="75" spans="1:29">
      <c r="A75" s="1997" t="s">
        <v>1576</v>
      </c>
      <c r="B75" s="583">
        <v>615100</v>
      </c>
      <c r="C75" s="397" t="s">
        <v>1102</v>
      </c>
      <c r="D75" s="397"/>
      <c r="E75" s="397"/>
      <c r="F75" s="397"/>
      <c r="G75" s="1998"/>
      <c r="H75" s="1487">
        <v>1164.8900000000001</v>
      </c>
      <c r="I75" s="1487">
        <v>1201.6099999999999</v>
      </c>
      <c r="J75" s="1487">
        <v>1120.9100000000001</v>
      </c>
      <c r="K75" s="1487">
        <v>1023.42</v>
      </c>
      <c r="L75" s="1487">
        <v>875.71</v>
      </c>
      <c r="M75" s="1487">
        <v>911.84</v>
      </c>
      <c r="N75" s="1487">
        <v>1744.26</v>
      </c>
      <c r="O75" s="1487">
        <v>2684.7</v>
      </c>
      <c r="P75" s="1487">
        <v>2149</v>
      </c>
      <c r="Q75" s="1487">
        <v>2590.35</v>
      </c>
      <c r="R75" s="1487">
        <v>1628.2</v>
      </c>
      <c r="S75" s="1487">
        <v>1514.7</v>
      </c>
      <c r="T75" s="1487">
        <v>1793.38</v>
      </c>
      <c r="U75" s="1487">
        <v>275.72000000000003</v>
      </c>
      <c r="V75" s="1487">
        <v>1705.16</v>
      </c>
      <c r="W75" s="1489"/>
      <c r="AA75" s="395"/>
      <c r="AB75" s="395"/>
      <c r="AC75" s="395"/>
    </row>
    <row r="76" spans="1:29">
      <c r="A76" s="1997" t="s">
        <v>1577</v>
      </c>
      <c r="B76" s="583">
        <v>615400</v>
      </c>
      <c r="C76" s="397" t="s">
        <v>1578</v>
      </c>
      <c r="D76" s="397"/>
      <c r="E76" s="397"/>
      <c r="F76" s="397"/>
      <c r="G76" s="1998"/>
      <c r="H76" s="1487"/>
      <c r="I76" s="1487"/>
      <c r="J76" s="1487"/>
      <c r="K76" s="1487"/>
      <c r="L76" s="1487"/>
      <c r="M76" s="1487"/>
      <c r="N76" s="1487"/>
      <c r="O76" s="1487">
        <v>7874.64</v>
      </c>
      <c r="P76" s="1487">
        <v>3674.92</v>
      </c>
      <c r="Q76" s="1487">
        <v>2720.15</v>
      </c>
      <c r="R76" s="1487">
        <v>2539.83</v>
      </c>
      <c r="S76" s="1487">
        <v>5562.02</v>
      </c>
      <c r="T76" s="1487">
        <v>4271.91</v>
      </c>
      <c r="U76" s="1487">
        <v>609.13</v>
      </c>
      <c r="V76" s="1487">
        <v>387.8</v>
      </c>
      <c r="W76" s="1489"/>
      <c r="AA76" s="395"/>
      <c r="AB76" s="395"/>
      <c r="AC76" s="395"/>
    </row>
    <row r="77" spans="1:29">
      <c r="A77" s="1997"/>
      <c r="B77" s="583">
        <v>613000</v>
      </c>
      <c r="C77" s="397" t="s">
        <v>7395</v>
      </c>
      <c r="D77" s="397"/>
      <c r="E77" s="397"/>
      <c r="F77" s="397"/>
      <c r="G77" s="1998"/>
      <c r="H77" s="1487"/>
      <c r="I77" s="1487"/>
      <c r="J77" s="1487"/>
      <c r="K77" s="1487"/>
      <c r="L77" s="1487"/>
      <c r="M77" s="1487"/>
      <c r="N77" s="1487"/>
      <c r="O77" s="1487"/>
      <c r="P77" s="1487"/>
      <c r="Q77" s="1487"/>
      <c r="R77" s="1487"/>
      <c r="S77" s="1487"/>
      <c r="T77" s="1487"/>
      <c r="U77" s="1487">
        <v>2218.08</v>
      </c>
      <c r="V77" s="1487">
        <v>2224.4499999999998</v>
      </c>
      <c r="W77" s="1489"/>
      <c r="AA77" s="395"/>
      <c r="AB77" s="395"/>
      <c r="AC77" s="395"/>
    </row>
    <row r="78" spans="1:29">
      <c r="A78" s="1997" t="s">
        <v>1579</v>
      </c>
      <c r="B78" s="583">
        <v>613010</v>
      </c>
      <c r="C78" s="397" t="s">
        <v>1138</v>
      </c>
      <c r="D78" s="397"/>
      <c r="E78" s="397"/>
      <c r="F78" s="397"/>
      <c r="G78" s="1998"/>
      <c r="H78" s="1487">
        <v>3269.15</v>
      </c>
      <c r="I78" s="1487">
        <v>2907.24</v>
      </c>
      <c r="J78" s="1487">
        <v>2053.36</v>
      </c>
      <c r="K78" s="1487">
        <v>2071.89</v>
      </c>
      <c r="L78" s="1487">
        <v>2100.4</v>
      </c>
      <c r="M78" s="1487">
        <v>2063.4</v>
      </c>
      <c r="N78" s="1487">
        <v>2824.22</v>
      </c>
      <c r="O78" s="1487">
        <v>3206.64</v>
      </c>
      <c r="P78" s="1487">
        <v>3378.99</v>
      </c>
      <c r="Q78" s="1487">
        <v>2628.64</v>
      </c>
      <c r="R78" s="1487">
        <v>2969.99</v>
      </c>
      <c r="S78" s="1487">
        <v>2271.48</v>
      </c>
      <c r="T78" s="1487">
        <v>1348.74</v>
      </c>
      <c r="U78" s="1487">
        <v>3155.67</v>
      </c>
      <c r="V78" s="1487">
        <v>1415.5</v>
      </c>
      <c r="W78" s="1489"/>
      <c r="AA78" s="395"/>
      <c r="AB78" s="395"/>
      <c r="AC78" s="395"/>
    </row>
    <row r="79" spans="1:29">
      <c r="A79" s="1997" t="s">
        <v>1580</v>
      </c>
      <c r="B79" s="583"/>
      <c r="C79" s="397" t="s">
        <v>1581</v>
      </c>
      <c r="D79" s="397"/>
      <c r="E79" s="397"/>
      <c r="F79" s="397"/>
      <c r="G79" s="1998"/>
      <c r="H79" s="1487">
        <v>910.93</v>
      </c>
      <c r="I79" s="1487">
        <v>910.93</v>
      </c>
      <c r="J79" s="1487">
        <v>1618.29</v>
      </c>
      <c r="K79" s="1487">
        <v>2850.3</v>
      </c>
      <c r="L79" s="1487">
        <v>2736.44</v>
      </c>
      <c r="M79" s="1487">
        <v>2812.83</v>
      </c>
      <c r="N79" s="1487">
        <v>3026.33</v>
      </c>
      <c r="O79" s="1487">
        <v>3095.8</v>
      </c>
      <c r="P79" s="1487">
        <v>4767.7700000000004</v>
      </c>
      <c r="Q79" s="1487">
        <v>10802.3</v>
      </c>
      <c r="R79" s="1487">
        <v>1285.6500000000001</v>
      </c>
      <c r="S79" s="1487">
        <v>1858.39</v>
      </c>
      <c r="T79" s="1487">
        <v>12928.87</v>
      </c>
      <c r="U79" s="1487"/>
      <c r="V79" s="1487"/>
      <c r="W79" s="1489"/>
      <c r="AA79" s="395"/>
      <c r="AB79" s="395"/>
      <c r="AC79" s="395"/>
    </row>
    <row r="80" spans="1:29">
      <c r="A80" s="1997" t="s">
        <v>1582</v>
      </c>
      <c r="B80" s="583">
        <v>613100</v>
      </c>
      <c r="C80" s="397" t="s">
        <v>7404</v>
      </c>
      <c r="D80" s="397"/>
      <c r="E80" s="397"/>
      <c r="F80" s="397"/>
      <c r="G80" s="1998"/>
      <c r="H80" s="1487"/>
      <c r="I80" s="1487"/>
      <c r="J80" s="1487"/>
      <c r="K80" s="1487"/>
      <c r="L80" s="1487"/>
      <c r="M80" s="1487"/>
      <c r="N80" s="1487"/>
      <c r="O80" s="1487">
        <v>405.6</v>
      </c>
      <c r="P80" s="1487">
        <v>408.39</v>
      </c>
      <c r="Q80" s="1487">
        <v>410.31</v>
      </c>
      <c r="R80" s="1487">
        <v>0</v>
      </c>
      <c r="S80" s="1487">
        <v>0</v>
      </c>
      <c r="T80" s="1487">
        <v>296.38</v>
      </c>
      <c r="U80" s="1487">
        <v>771.65</v>
      </c>
      <c r="V80" s="1487"/>
      <c r="W80" s="1489"/>
      <c r="AA80" s="395"/>
      <c r="AB80" s="395"/>
      <c r="AC80" s="395"/>
    </row>
    <row r="81" spans="1:29">
      <c r="A81" s="1997"/>
      <c r="B81" s="583">
        <v>613110</v>
      </c>
      <c r="C81" s="397" t="s">
        <v>7403</v>
      </c>
      <c r="D81" s="397"/>
      <c r="E81" s="397"/>
      <c r="F81" s="397"/>
      <c r="G81" s="1998"/>
      <c r="H81" s="1487"/>
      <c r="I81" s="1487"/>
      <c r="J81" s="1487"/>
      <c r="K81" s="1487"/>
      <c r="L81" s="1487"/>
      <c r="M81" s="1487"/>
      <c r="N81" s="1487"/>
      <c r="O81" s="1487"/>
      <c r="P81" s="1487"/>
      <c r="Q81" s="1487"/>
      <c r="R81" s="1487"/>
      <c r="S81" s="1487"/>
      <c r="T81" s="1487"/>
      <c r="U81" s="1487">
        <v>2278.25</v>
      </c>
      <c r="V81" s="1487">
        <v>2322.9899999999998</v>
      </c>
      <c r="W81" s="1489"/>
      <c r="AA81" s="395"/>
      <c r="AB81" s="395"/>
      <c r="AC81" s="395"/>
    </row>
    <row r="82" spans="1:29">
      <c r="A82" s="1997" t="s">
        <v>1583</v>
      </c>
      <c r="B82" s="583"/>
      <c r="C82" s="397" t="s">
        <v>1584</v>
      </c>
      <c r="D82" s="397"/>
      <c r="E82" s="397"/>
      <c r="F82" s="397"/>
      <c r="G82" s="1998"/>
      <c r="H82" s="1487"/>
      <c r="I82" s="1487"/>
      <c r="J82" s="1487"/>
      <c r="K82" s="1487"/>
      <c r="L82" s="1487"/>
      <c r="M82" s="1487"/>
      <c r="N82" s="1487"/>
      <c r="O82" s="1487">
        <v>4461.5</v>
      </c>
      <c r="P82" s="1487">
        <v>2890.05</v>
      </c>
      <c r="Q82" s="1487">
        <v>3279.06</v>
      </c>
      <c r="R82" s="1487">
        <v>3112.72</v>
      </c>
      <c r="S82" s="1487">
        <v>2888.78</v>
      </c>
      <c r="T82" s="1487">
        <v>4222.96</v>
      </c>
      <c r="U82" s="1487"/>
      <c r="V82" s="1487"/>
      <c r="W82" s="1489"/>
      <c r="AA82" s="395"/>
      <c r="AB82" s="395"/>
      <c r="AC82" s="395"/>
    </row>
    <row r="83" spans="1:29">
      <c r="A83" s="1997" t="s">
        <v>1585</v>
      </c>
      <c r="B83" s="583">
        <v>615700</v>
      </c>
      <c r="C83" s="397" t="s">
        <v>1109</v>
      </c>
      <c r="D83" s="397"/>
      <c r="E83" s="397"/>
      <c r="F83" s="397"/>
      <c r="G83" s="1998"/>
      <c r="H83" s="1487">
        <v>2778.24</v>
      </c>
      <c r="I83" s="1487">
        <v>1395.46</v>
      </c>
      <c r="J83" s="1487">
        <v>890.99</v>
      </c>
      <c r="K83" s="1487">
        <v>1506.41</v>
      </c>
      <c r="L83" s="1487">
        <v>2483.66</v>
      </c>
      <c r="M83" s="1487">
        <v>2357.42</v>
      </c>
      <c r="N83" s="1487">
        <v>2983.99</v>
      </c>
      <c r="O83" s="1487">
        <v>3302.98</v>
      </c>
      <c r="P83" s="1487">
        <v>761.75</v>
      </c>
      <c r="Q83" s="1487">
        <v>3239.72</v>
      </c>
      <c r="R83" s="1487">
        <v>3057.53</v>
      </c>
      <c r="S83" s="1487">
        <v>1496.79</v>
      </c>
      <c r="T83" s="1487">
        <v>1984.18</v>
      </c>
      <c r="U83" s="1487">
        <v>640.98</v>
      </c>
      <c r="V83" s="1487">
        <v>1528.64</v>
      </c>
      <c r="W83" s="1489"/>
      <c r="AA83" s="395"/>
      <c r="AB83" s="395"/>
      <c r="AC83" s="395"/>
    </row>
    <row r="84" spans="1:29">
      <c r="A84" s="1997" t="s">
        <v>1586</v>
      </c>
      <c r="B84" s="583"/>
      <c r="C84" s="397" t="s">
        <v>1345</v>
      </c>
      <c r="D84" s="397"/>
      <c r="E84" s="397"/>
      <c r="F84" s="397"/>
      <c r="G84" s="1998"/>
      <c r="H84" s="1487"/>
      <c r="I84" s="1487"/>
      <c r="J84" s="1487"/>
      <c r="K84" s="1487"/>
      <c r="L84" s="1487"/>
      <c r="M84" s="1487"/>
      <c r="N84" s="1487"/>
      <c r="O84" s="1487">
        <v>180</v>
      </c>
      <c r="P84" s="1487"/>
      <c r="Q84" s="1487">
        <v>949.6</v>
      </c>
      <c r="R84" s="1487">
        <v>182</v>
      </c>
      <c r="S84" s="1487">
        <v>153</v>
      </c>
      <c r="T84" s="1487">
        <v>412.5</v>
      </c>
      <c r="U84" s="1487"/>
      <c r="V84" s="1487"/>
      <c r="W84" s="1489"/>
      <c r="AA84" s="395"/>
      <c r="AB84" s="395"/>
      <c r="AC84" s="395"/>
    </row>
    <row r="85" spans="1:29">
      <c r="A85" s="1997" t="s">
        <v>1587</v>
      </c>
      <c r="B85" s="583">
        <v>615610</v>
      </c>
      <c r="C85" s="397" t="s">
        <v>1111</v>
      </c>
      <c r="D85" s="397"/>
      <c r="E85" s="397"/>
      <c r="F85" s="397"/>
      <c r="G85" s="1998"/>
      <c r="H85" s="1487">
        <v>7336.54</v>
      </c>
      <c r="I85" s="1487">
        <v>7479.91</v>
      </c>
      <c r="J85" s="1487">
        <v>344.25</v>
      </c>
      <c r="K85" s="1487">
        <v>380.26</v>
      </c>
      <c r="L85" s="1487">
        <v>281.97000000000003</v>
      </c>
      <c r="M85" s="1487">
        <v>291.20999999999998</v>
      </c>
      <c r="N85" s="1487">
        <v>576.01</v>
      </c>
      <c r="O85" s="1487">
        <v>2978.93</v>
      </c>
      <c r="P85" s="1487">
        <v>539.63</v>
      </c>
      <c r="Q85" s="1487">
        <v>511.12</v>
      </c>
      <c r="R85" s="1487">
        <v>763.19</v>
      </c>
      <c r="S85" s="1487">
        <v>80.27</v>
      </c>
      <c r="T85" s="1487">
        <v>1427.41</v>
      </c>
      <c r="U85" s="1487">
        <v>1336.35</v>
      </c>
      <c r="V85" s="1487">
        <v>926.95</v>
      </c>
      <c r="W85" s="1489"/>
      <c r="AA85" s="395"/>
      <c r="AB85" s="395"/>
      <c r="AC85" s="395"/>
    </row>
    <row r="86" spans="1:29">
      <c r="A86" s="1997" t="s">
        <v>1588</v>
      </c>
      <c r="B86" s="583">
        <v>614700</v>
      </c>
      <c r="C86" s="397" t="s">
        <v>1589</v>
      </c>
      <c r="D86" s="397"/>
      <c r="E86" s="397"/>
      <c r="F86" s="397"/>
      <c r="G86" s="1998"/>
      <c r="H86" s="1487">
        <v>396.16</v>
      </c>
      <c r="I86" s="1487">
        <v>150</v>
      </c>
      <c r="J86" s="1487">
        <v>230</v>
      </c>
      <c r="K86" s="1487">
        <v>433.93</v>
      </c>
      <c r="L86" s="1487">
        <v>435.25</v>
      </c>
      <c r="M86" s="1487">
        <v>515.20000000000005</v>
      </c>
      <c r="N86" s="1487">
        <v>150</v>
      </c>
      <c r="O86" s="1487">
        <v>150</v>
      </c>
      <c r="P86" s="1487">
        <v>386.59</v>
      </c>
      <c r="Q86" s="1487">
        <v>150</v>
      </c>
      <c r="R86" s="1487">
        <v>650.27</v>
      </c>
      <c r="S86" s="1487">
        <v>150</v>
      </c>
      <c r="T86" s="1487">
        <v>150</v>
      </c>
      <c r="U86" s="1487">
        <v>150</v>
      </c>
      <c r="V86" s="1487">
        <v>200</v>
      </c>
      <c r="W86" s="1489"/>
      <c r="AA86" s="395"/>
      <c r="AB86" s="395"/>
      <c r="AC86" s="395"/>
    </row>
    <row r="87" spans="1:29">
      <c r="A87" s="1997" t="s">
        <v>1590</v>
      </c>
      <c r="B87" s="583">
        <v>602000</v>
      </c>
      <c r="C87" s="397" t="s">
        <v>7402</v>
      </c>
      <c r="D87" s="397"/>
      <c r="E87" s="397"/>
      <c r="F87" s="397"/>
      <c r="G87" s="1998"/>
      <c r="H87" s="1487">
        <v>1322.63</v>
      </c>
      <c r="I87" s="1487">
        <v>2059.17</v>
      </c>
      <c r="J87" s="1487">
        <v>463.9</v>
      </c>
      <c r="K87" s="1487">
        <v>1638.07</v>
      </c>
      <c r="L87" s="1487">
        <v>1683.85</v>
      </c>
      <c r="M87" s="1487">
        <v>2635.02</v>
      </c>
      <c r="N87" s="1487">
        <v>1431.84</v>
      </c>
      <c r="O87" s="1487">
        <v>1258.45</v>
      </c>
      <c r="P87" s="1487">
        <v>2050.62</v>
      </c>
      <c r="Q87" s="1487">
        <v>2434.73</v>
      </c>
      <c r="R87" s="1487">
        <v>2918.47</v>
      </c>
      <c r="S87" s="1487">
        <v>2022.49</v>
      </c>
      <c r="T87" s="1487">
        <v>4016.99</v>
      </c>
      <c r="U87" s="1487">
        <v>5013.0200000000004</v>
      </c>
      <c r="V87" s="1487">
        <v>3934.19</v>
      </c>
      <c r="W87" s="1489"/>
      <c r="AA87" s="395"/>
      <c r="AB87" s="395"/>
      <c r="AC87" s="395"/>
    </row>
    <row r="88" spans="1:29">
      <c r="A88" s="1997" t="s">
        <v>1591</v>
      </c>
      <c r="B88" s="583"/>
      <c r="C88" s="397" t="s">
        <v>1348</v>
      </c>
      <c r="D88" s="397"/>
      <c r="E88" s="397"/>
      <c r="F88" s="397"/>
      <c r="G88" s="1998"/>
      <c r="H88" s="1487"/>
      <c r="I88" s="1487"/>
      <c r="J88" s="1487"/>
      <c r="K88" s="1487"/>
      <c r="L88" s="1487"/>
      <c r="M88" s="1487"/>
      <c r="N88" s="1487"/>
      <c r="O88" s="1487"/>
      <c r="P88" s="1487"/>
      <c r="Q88" s="1487">
        <v>299</v>
      </c>
      <c r="R88" s="1487">
        <v>0</v>
      </c>
      <c r="S88" s="1487">
        <v>0</v>
      </c>
      <c r="T88" s="1487"/>
      <c r="U88" s="1487"/>
      <c r="V88" s="1487"/>
      <c r="W88" s="1489"/>
      <c r="AA88" s="395"/>
      <c r="AB88" s="395"/>
      <c r="AC88" s="395"/>
    </row>
    <row r="89" spans="1:29">
      <c r="A89" s="1997" t="s">
        <v>1592</v>
      </c>
      <c r="B89" s="583">
        <v>615300</v>
      </c>
      <c r="C89" s="397" t="s">
        <v>1113</v>
      </c>
      <c r="D89" s="397"/>
      <c r="E89" s="397"/>
      <c r="F89" s="397"/>
      <c r="G89" s="1998"/>
      <c r="H89" s="1487">
        <v>293.95999999999998</v>
      </c>
      <c r="I89" s="1487">
        <v>297.24</v>
      </c>
      <c r="J89" s="1487">
        <v>313.27999999999997</v>
      </c>
      <c r="K89" s="1487">
        <v>326.72000000000003</v>
      </c>
      <c r="L89" s="1487">
        <v>344.05</v>
      </c>
      <c r="M89" s="1487">
        <v>364.51</v>
      </c>
      <c r="N89" s="1487">
        <v>378.91</v>
      </c>
      <c r="O89" s="1487">
        <v>382.31</v>
      </c>
      <c r="P89" s="1487">
        <v>392.39</v>
      </c>
      <c r="Q89" s="1487">
        <v>395.5</v>
      </c>
      <c r="R89" s="1487">
        <v>572.96</v>
      </c>
      <c r="S89" s="1487">
        <v>419.64</v>
      </c>
      <c r="T89" s="1487">
        <v>467.7</v>
      </c>
      <c r="U89" s="1487">
        <v>1521.18</v>
      </c>
      <c r="V89" s="1487">
        <v>1348.34</v>
      </c>
      <c r="W89" s="1489"/>
      <c r="AA89" s="395"/>
      <c r="AB89" s="395"/>
      <c r="AC89" s="395"/>
    </row>
    <row r="90" spans="1:29">
      <c r="A90" s="1997" t="s">
        <v>1593</v>
      </c>
      <c r="B90" s="583">
        <v>615620</v>
      </c>
      <c r="C90" s="397" t="s">
        <v>1115</v>
      </c>
      <c r="D90" s="397"/>
      <c r="E90" s="397"/>
      <c r="F90" s="397"/>
      <c r="G90" s="1998"/>
      <c r="H90" s="1487">
        <v>50</v>
      </c>
      <c r="I90" s="1487">
        <v>866</v>
      </c>
      <c r="J90" s="1487">
        <v>819</v>
      </c>
      <c r="K90" s="1487">
        <v>1217.5</v>
      </c>
      <c r="L90" s="1487">
        <v>1784.23</v>
      </c>
      <c r="M90" s="1487">
        <v>977.5</v>
      </c>
      <c r="N90" s="1487">
        <v>1701.7</v>
      </c>
      <c r="O90" s="1487">
        <v>895</v>
      </c>
      <c r="P90" s="1487">
        <v>1130.1500000000001</v>
      </c>
      <c r="Q90" s="1487">
        <v>618.63</v>
      </c>
      <c r="R90" s="1487">
        <v>1110</v>
      </c>
      <c r="S90" s="1487">
        <v>100</v>
      </c>
      <c r="T90" s="1487">
        <v>1975</v>
      </c>
      <c r="U90" s="1487">
        <v>1000.9</v>
      </c>
      <c r="V90" s="1487">
        <v>1948.75</v>
      </c>
      <c r="W90" s="1489"/>
      <c r="AA90" s="395"/>
      <c r="AB90" s="395"/>
      <c r="AC90" s="395"/>
    </row>
    <row r="91" spans="1:29">
      <c r="A91" s="1997" t="s">
        <v>1594</v>
      </c>
      <c r="B91" s="583"/>
      <c r="C91" s="397" t="s">
        <v>1595</v>
      </c>
      <c r="D91" s="397"/>
      <c r="E91" s="397"/>
      <c r="F91" s="397"/>
      <c r="G91" s="1998"/>
      <c r="H91" s="1487">
        <v>1882.54</v>
      </c>
      <c r="I91" s="1487">
        <v>1588.9</v>
      </c>
      <c r="J91" s="1487">
        <v>909.35</v>
      </c>
      <c r="K91" s="1487">
        <v>3845.27</v>
      </c>
      <c r="L91" s="1487">
        <v>908.85</v>
      </c>
      <c r="M91" s="1487">
        <v>2028.71</v>
      </c>
      <c r="N91" s="1487">
        <v>2144.3200000000002</v>
      </c>
      <c r="O91" s="1487">
        <v>2125.14</v>
      </c>
      <c r="P91" s="1487">
        <v>2611.0700000000002</v>
      </c>
      <c r="Q91" s="1487">
        <v>3829.22</v>
      </c>
      <c r="R91" s="1487">
        <v>3034.69</v>
      </c>
      <c r="S91" s="1487">
        <v>4283.8100000000004</v>
      </c>
      <c r="T91" s="1487">
        <v>1291.19</v>
      </c>
      <c r="U91" s="1487"/>
      <c r="V91" s="1487"/>
      <c r="W91" s="1489"/>
      <c r="AA91" s="395"/>
      <c r="AB91" s="395"/>
      <c r="AC91" s="395"/>
    </row>
    <row r="92" spans="1:29">
      <c r="A92" s="1997" t="s">
        <v>1596</v>
      </c>
      <c r="B92" s="583">
        <v>614900</v>
      </c>
      <c r="C92" s="397" t="s">
        <v>1597</v>
      </c>
      <c r="D92" s="397"/>
      <c r="E92" s="397"/>
      <c r="F92" s="397"/>
      <c r="G92" s="1998"/>
      <c r="H92" s="1487"/>
      <c r="I92" s="1487"/>
      <c r="J92" s="1487"/>
      <c r="K92" s="1487"/>
      <c r="L92" s="1487"/>
      <c r="M92" s="1487"/>
      <c r="N92" s="1487"/>
      <c r="O92" s="1487">
        <v>55</v>
      </c>
      <c r="P92" s="1487"/>
      <c r="Q92" s="1487"/>
      <c r="R92" s="1487">
        <v>495</v>
      </c>
      <c r="S92" s="1487">
        <v>991</v>
      </c>
      <c r="T92" s="1487">
        <v>9246.25</v>
      </c>
      <c r="U92" s="1487">
        <v>6680.27</v>
      </c>
      <c r="V92" s="1487">
        <v>12706.12</v>
      </c>
      <c r="W92" s="1489"/>
      <c r="AA92" s="395"/>
      <c r="AB92" s="395"/>
      <c r="AC92" s="395"/>
    </row>
    <row r="93" spans="1:29">
      <c r="A93" s="1997" t="s">
        <v>1598</v>
      </c>
      <c r="B93" s="583">
        <v>640900</v>
      </c>
      <c r="C93" s="397" t="s">
        <v>1599</v>
      </c>
      <c r="D93" s="397"/>
      <c r="E93" s="397"/>
      <c r="F93" s="397"/>
      <c r="G93" s="1998"/>
      <c r="H93" s="1487"/>
      <c r="I93" s="1487"/>
      <c r="J93" s="1487"/>
      <c r="K93" s="1487"/>
      <c r="L93" s="1487"/>
      <c r="M93" s="1487"/>
      <c r="N93" s="1487"/>
      <c r="O93" s="1487">
        <v>72.94</v>
      </c>
      <c r="P93" s="1487">
        <v>51.76</v>
      </c>
      <c r="Q93" s="1487">
        <v>50.06</v>
      </c>
      <c r="R93" s="1487">
        <v>68.53</v>
      </c>
      <c r="S93" s="1487">
        <v>67.67</v>
      </c>
      <c r="T93" s="1487">
        <v>65.23</v>
      </c>
      <c r="U93" s="1487">
        <v>62.08</v>
      </c>
      <c r="V93" s="1487">
        <v>59.96</v>
      </c>
      <c r="W93" s="1489"/>
      <c r="AA93" s="395"/>
      <c r="AB93" s="395"/>
      <c r="AC93" s="395"/>
    </row>
    <row r="94" spans="1:29">
      <c r="A94" s="1997"/>
      <c r="B94" s="583">
        <v>659000</v>
      </c>
      <c r="C94" s="397" t="s">
        <v>7353</v>
      </c>
      <c r="D94" s="397"/>
      <c r="E94" s="397"/>
      <c r="F94" s="397"/>
      <c r="G94" s="1998"/>
      <c r="H94" s="1487"/>
      <c r="I94" s="1487"/>
      <c r="J94" s="1487"/>
      <c r="K94" s="1487"/>
      <c r="L94" s="1487"/>
      <c r="M94" s="1487"/>
      <c r="N94" s="1487"/>
      <c r="O94" s="1487"/>
      <c r="P94" s="1487"/>
      <c r="Q94" s="1487"/>
      <c r="R94" s="1487"/>
      <c r="S94" s="1487"/>
      <c r="T94" s="1487"/>
      <c r="U94" s="1487">
        <v>528.6</v>
      </c>
      <c r="V94" s="1487">
        <v>436.34</v>
      </c>
      <c r="W94" s="1489"/>
      <c r="AA94" s="395"/>
      <c r="AB94" s="395"/>
      <c r="AC94" s="395"/>
    </row>
    <row r="95" spans="1:29">
      <c r="A95" s="1997" t="s">
        <v>1600</v>
      </c>
      <c r="B95" s="583"/>
      <c r="C95" s="397" t="s">
        <v>1130</v>
      </c>
      <c r="D95" s="397"/>
      <c r="E95" s="397"/>
      <c r="F95" s="397"/>
      <c r="G95" s="1998"/>
      <c r="H95" s="1487">
        <v>4734.46</v>
      </c>
      <c r="I95" s="1487">
        <v>3344.3</v>
      </c>
      <c r="J95" s="1487">
        <v>3865.82</v>
      </c>
      <c r="K95" s="1487">
        <v>2112.58</v>
      </c>
      <c r="L95" s="1487">
        <v>4528.28</v>
      </c>
      <c r="M95" s="1487">
        <v>4668.1899999999996</v>
      </c>
      <c r="N95" s="1487">
        <v>4996.4799999999996</v>
      </c>
      <c r="O95" s="1487"/>
      <c r="P95" s="1487"/>
      <c r="Q95" s="1487"/>
      <c r="R95" s="1487"/>
      <c r="S95" s="1487"/>
      <c r="T95" s="1487"/>
      <c r="U95" s="1487"/>
      <c r="V95" s="1487"/>
      <c r="W95" s="1489"/>
      <c r="AA95" s="395"/>
      <c r="AB95" s="395"/>
      <c r="AC95" s="395"/>
    </row>
    <row r="96" spans="1:29">
      <c r="A96" s="1997" t="s">
        <v>1601</v>
      </c>
      <c r="B96" s="583"/>
      <c r="C96" s="397" t="s">
        <v>1602</v>
      </c>
      <c r="D96" s="397"/>
      <c r="E96" s="397"/>
      <c r="F96" s="397"/>
      <c r="G96" s="1998"/>
      <c r="H96" s="1487">
        <v>270.29000000000002</v>
      </c>
      <c r="I96" s="1487">
        <v>412.53</v>
      </c>
      <c r="J96" s="1487">
        <v>1134.01</v>
      </c>
      <c r="K96" s="1487">
        <v>158.5</v>
      </c>
      <c r="L96" s="1487">
        <v>165</v>
      </c>
      <c r="M96" s="1487">
        <v>627.25</v>
      </c>
      <c r="N96" s="1487">
        <v>139</v>
      </c>
      <c r="O96" s="1487"/>
      <c r="P96" s="1487"/>
      <c r="Q96" s="1487"/>
      <c r="R96" s="1487"/>
      <c r="S96" s="1487"/>
      <c r="T96" s="1487"/>
      <c r="U96" s="1487"/>
      <c r="V96" s="1487"/>
      <c r="W96" s="1489"/>
      <c r="AA96" s="395"/>
      <c r="AB96" s="395"/>
      <c r="AC96" s="395"/>
    </row>
    <row r="97" spans="1:29">
      <c r="A97" s="2046"/>
      <c r="B97" s="2064"/>
      <c r="C97" s="2047" t="s">
        <v>1162</v>
      </c>
      <c r="D97" s="2047"/>
      <c r="E97" s="2047"/>
      <c r="F97" s="2047"/>
      <c r="G97" s="2047"/>
      <c r="H97" s="2005">
        <f t="shared" ref="H97:W97" si="15">SUM(H60:H96)</f>
        <v>73434.400000000009</v>
      </c>
      <c r="I97" s="2005">
        <f t="shared" si="15"/>
        <v>81299.47</v>
      </c>
      <c r="J97" s="2005">
        <f t="shared" si="15"/>
        <v>80085.670000000013</v>
      </c>
      <c r="K97" s="2005">
        <f t="shared" si="15"/>
        <v>79248.69</v>
      </c>
      <c r="L97" s="2005">
        <f t="shared" si="15"/>
        <v>84312.08</v>
      </c>
      <c r="M97" s="2005">
        <f t="shared" si="15"/>
        <v>76323</v>
      </c>
      <c r="N97" s="2005">
        <f t="shared" si="15"/>
        <v>82523.819999999992</v>
      </c>
      <c r="O97" s="2005">
        <f t="shared" si="15"/>
        <v>86835.520000000004</v>
      </c>
      <c r="P97" s="2005">
        <f t="shared" si="15"/>
        <v>79011.429999999993</v>
      </c>
      <c r="Q97" s="2005">
        <f t="shared" si="15"/>
        <v>95667.189999999988</v>
      </c>
      <c r="R97" s="2005">
        <f t="shared" si="15"/>
        <v>80826.100000000006</v>
      </c>
      <c r="S97" s="2005">
        <f t="shared" si="15"/>
        <v>80347.149999999994</v>
      </c>
      <c r="T97" s="2005">
        <f t="shared" si="15"/>
        <v>86666.76</v>
      </c>
      <c r="U97" s="2005">
        <f t="shared" si="15"/>
        <v>55707.490000000013</v>
      </c>
      <c r="V97" s="2005">
        <f t="shared" si="15"/>
        <v>71124.66</v>
      </c>
      <c r="W97" s="3150">
        <f t="shared" si="15"/>
        <v>0</v>
      </c>
      <c r="AA97" s="395"/>
      <c r="AB97" s="395"/>
      <c r="AC97" s="395"/>
    </row>
    <row r="98" spans="1:29">
      <c r="A98" s="1993" t="s">
        <v>1163</v>
      </c>
      <c r="B98" s="1994"/>
      <c r="C98" s="1995"/>
      <c r="D98" s="1995"/>
      <c r="E98" s="1995"/>
      <c r="F98" s="1995"/>
      <c r="G98" s="1996"/>
      <c r="H98" s="1487"/>
      <c r="I98" s="1487"/>
      <c r="J98" s="1487"/>
      <c r="K98" s="1487"/>
      <c r="L98" s="1487"/>
      <c r="M98" s="1487"/>
      <c r="N98" s="1487"/>
      <c r="O98" s="397"/>
      <c r="P98" s="397"/>
      <c r="Q98" s="397"/>
      <c r="R98" s="1487"/>
      <c r="S98" s="1487"/>
      <c r="T98" s="1487"/>
      <c r="U98" s="1487"/>
      <c r="V98" s="1487"/>
      <c r="W98" s="1489"/>
      <c r="AA98" s="395"/>
      <c r="AB98" s="395"/>
      <c r="AC98" s="395"/>
    </row>
    <row r="99" spans="1:29">
      <c r="A99" s="1997" t="s">
        <v>1603</v>
      </c>
      <c r="B99" s="583"/>
      <c r="C99" s="397" t="s">
        <v>1604</v>
      </c>
      <c r="D99" s="397"/>
      <c r="E99" s="397"/>
      <c r="F99" s="397"/>
      <c r="G99" s="1998"/>
      <c r="H99" s="1487">
        <v>438.36</v>
      </c>
      <c r="I99" s="1487">
        <v>0</v>
      </c>
      <c r="J99" s="1487">
        <v>0</v>
      </c>
      <c r="K99" s="1487">
        <v>0</v>
      </c>
      <c r="L99" s="1487">
        <v>0</v>
      </c>
      <c r="M99" s="1487">
        <v>0</v>
      </c>
      <c r="N99" s="1487">
        <v>0</v>
      </c>
      <c r="O99" s="1487"/>
      <c r="P99" s="1487"/>
      <c r="Q99" s="1487"/>
      <c r="R99" s="1487"/>
      <c r="S99" s="1487"/>
      <c r="T99" s="1487"/>
      <c r="U99" s="1487"/>
      <c r="V99" s="1487"/>
      <c r="W99" s="1489"/>
      <c r="AA99" s="395"/>
      <c r="AB99" s="395"/>
      <c r="AC99" s="395"/>
    </row>
    <row r="100" spans="1:29">
      <c r="A100" s="1997" t="s">
        <v>1605</v>
      </c>
      <c r="B100" s="583">
        <v>649000</v>
      </c>
      <c r="C100" s="397" t="s">
        <v>1606</v>
      </c>
      <c r="D100" s="397"/>
      <c r="E100" s="397"/>
      <c r="F100" s="397"/>
      <c r="G100" s="1998"/>
      <c r="H100" s="1487"/>
      <c r="I100" s="1487"/>
      <c r="J100" s="1487"/>
      <c r="K100" s="1487"/>
      <c r="L100" s="1487"/>
      <c r="M100" s="1487">
        <v>1400</v>
      </c>
      <c r="N100" s="1487">
        <v>1400</v>
      </c>
      <c r="O100" s="1487">
        <v>1400</v>
      </c>
      <c r="P100" s="1487">
        <v>1400</v>
      </c>
      <c r="Q100" s="1487">
        <v>1400</v>
      </c>
      <c r="R100" s="1487">
        <v>1400</v>
      </c>
      <c r="S100" s="1487">
        <v>1400</v>
      </c>
      <c r="T100" s="1487">
        <v>1400</v>
      </c>
      <c r="U100" s="1487">
        <v>1400</v>
      </c>
      <c r="V100" s="1487">
        <v>1400</v>
      </c>
      <c r="W100" s="1489"/>
      <c r="AA100" s="395"/>
      <c r="AB100" s="395"/>
      <c r="AC100" s="395"/>
    </row>
    <row r="101" spans="1:29">
      <c r="A101" s="1997" t="s">
        <v>1607</v>
      </c>
      <c r="B101" s="583">
        <v>649100</v>
      </c>
      <c r="C101" s="397" t="s">
        <v>1608</v>
      </c>
      <c r="D101" s="397"/>
      <c r="E101" s="397"/>
      <c r="F101" s="397"/>
      <c r="G101" s="1998"/>
      <c r="H101" s="1487"/>
      <c r="I101" s="1487"/>
      <c r="J101" s="1487"/>
      <c r="K101" s="1487"/>
      <c r="L101" s="1487"/>
      <c r="M101" s="1487"/>
      <c r="N101" s="1487"/>
      <c r="O101" s="1487"/>
      <c r="P101" s="1487"/>
      <c r="Q101" s="1487"/>
      <c r="R101" s="1487"/>
      <c r="S101" s="1487">
        <v>26895.03</v>
      </c>
      <c r="T101" s="1487"/>
      <c r="U101" s="1487">
        <v>8491</v>
      </c>
      <c r="V101" s="1487"/>
      <c r="W101" s="1489"/>
      <c r="AA101" s="395"/>
      <c r="AB101" s="395"/>
      <c r="AC101" s="395"/>
    </row>
    <row r="102" spans="1:29">
      <c r="A102" s="1997" t="s">
        <v>1609</v>
      </c>
      <c r="B102" s="583">
        <v>623400</v>
      </c>
      <c r="C102" s="397" t="s">
        <v>1178</v>
      </c>
      <c r="D102" s="397"/>
      <c r="E102" s="397"/>
      <c r="F102" s="397"/>
      <c r="G102" s="1998"/>
      <c r="H102" s="1487">
        <v>744.8</v>
      </c>
      <c r="I102" s="1487">
        <v>744.8</v>
      </c>
      <c r="J102" s="1487">
        <v>651.70000000000005</v>
      </c>
      <c r="K102" s="1487">
        <v>651.70000000000005</v>
      </c>
      <c r="L102" s="1487">
        <v>791.35</v>
      </c>
      <c r="M102" s="1487">
        <v>837.9</v>
      </c>
      <c r="N102" s="1487">
        <v>870.76</v>
      </c>
      <c r="O102" s="1487">
        <v>617.27</v>
      </c>
      <c r="P102" s="1487">
        <v>580.39</v>
      </c>
      <c r="Q102" s="1487">
        <v>585.54</v>
      </c>
      <c r="R102" s="1487">
        <v>566.09</v>
      </c>
      <c r="S102" s="1487">
        <v>601.77</v>
      </c>
      <c r="T102" s="1487">
        <v>254.28</v>
      </c>
      <c r="U102" s="1487">
        <v>381.27</v>
      </c>
      <c r="V102" s="1487">
        <v>380.76</v>
      </c>
      <c r="W102" s="1489"/>
      <c r="AA102" s="395"/>
      <c r="AB102" s="395"/>
      <c r="AC102" s="395"/>
    </row>
    <row r="103" spans="1:29">
      <c r="A103" s="2000" t="s">
        <v>1610</v>
      </c>
      <c r="B103" s="2044"/>
      <c r="C103" s="1518" t="s">
        <v>1611</v>
      </c>
      <c r="D103" s="1518"/>
      <c r="E103" s="1518"/>
      <c r="F103" s="1518"/>
      <c r="G103" s="1520"/>
      <c r="H103" s="1487">
        <v>5432.01</v>
      </c>
      <c r="I103" s="1487">
        <v>5433</v>
      </c>
      <c r="J103" s="1487">
        <v>5433</v>
      </c>
      <c r="K103" s="1487">
        <v>5728.78</v>
      </c>
      <c r="L103" s="1487">
        <v>5872.83</v>
      </c>
      <c r="M103" s="1487">
        <v>5819.05</v>
      </c>
      <c r="N103" s="1487">
        <v>0</v>
      </c>
      <c r="O103" s="1487"/>
      <c r="P103" s="1487"/>
      <c r="Q103" s="1487"/>
      <c r="R103" s="1487"/>
      <c r="S103" s="1487"/>
      <c r="T103" s="1487"/>
      <c r="U103" s="1487"/>
      <c r="V103" s="1487"/>
      <c r="W103" s="1489"/>
      <c r="AA103" s="395"/>
      <c r="AB103" s="395"/>
      <c r="AC103" s="395"/>
    </row>
    <row r="104" spans="1:29">
      <c r="A104" s="2046"/>
      <c r="B104" s="2064"/>
      <c r="C104" s="2047" t="s">
        <v>1181</v>
      </c>
      <c r="D104" s="2047"/>
      <c r="E104" s="2047"/>
      <c r="F104" s="2047"/>
      <c r="G104" s="2047"/>
      <c r="H104" s="2005">
        <f t="shared" ref="H104:W104" si="16">SUM(H99:H103)</f>
        <v>6615.17</v>
      </c>
      <c r="I104" s="2005">
        <f t="shared" si="16"/>
        <v>6177.8</v>
      </c>
      <c r="J104" s="2005">
        <f t="shared" si="16"/>
        <v>6084.7</v>
      </c>
      <c r="K104" s="2005">
        <f t="shared" si="16"/>
        <v>6380.48</v>
      </c>
      <c r="L104" s="2005">
        <f t="shared" si="16"/>
        <v>6664.18</v>
      </c>
      <c r="M104" s="2005">
        <f t="shared" si="16"/>
        <v>8056.9500000000007</v>
      </c>
      <c r="N104" s="2005">
        <f t="shared" si="16"/>
        <v>2270.7600000000002</v>
      </c>
      <c r="O104" s="2005">
        <f t="shared" si="16"/>
        <v>2017.27</v>
      </c>
      <c r="P104" s="2005">
        <f t="shared" si="16"/>
        <v>1980.3899999999999</v>
      </c>
      <c r="Q104" s="2005">
        <f t="shared" si="16"/>
        <v>1985.54</v>
      </c>
      <c r="R104" s="2005">
        <f t="shared" si="16"/>
        <v>1966.0900000000001</v>
      </c>
      <c r="S104" s="2005">
        <f t="shared" si="16"/>
        <v>28896.799999999999</v>
      </c>
      <c r="T104" s="2005">
        <f t="shared" si="16"/>
        <v>1654.28</v>
      </c>
      <c r="U104" s="2005">
        <f t="shared" si="16"/>
        <v>10272.27</v>
      </c>
      <c r="V104" s="2005">
        <f t="shared" si="16"/>
        <v>1780.76</v>
      </c>
      <c r="W104" s="3150">
        <f t="shared" si="16"/>
        <v>0</v>
      </c>
      <c r="AA104" s="395"/>
      <c r="AB104" s="395"/>
      <c r="AC104" s="395"/>
    </row>
    <row r="105" spans="1:29">
      <c r="A105" s="1993" t="s">
        <v>47</v>
      </c>
      <c r="B105" s="1994"/>
      <c r="C105" s="1995"/>
      <c r="D105" s="1995"/>
      <c r="E105" s="1995"/>
      <c r="F105" s="1995"/>
      <c r="G105" s="1996"/>
      <c r="H105" s="1487"/>
      <c r="I105" s="1487"/>
      <c r="J105" s="1487"/>
      <c r="K105" s="1487"/>
      <c r="L105" s="1487"/>
      <c r="M105" s="1487"/>
      <c r="N105" s="1487"/>
      <c r="O105" s="397"/>
      <c r="P105" s="397"/>
      <c r="Q105" s="397"/>
      <c r="R105" s="1487"/>
      <c r="S105" s="1487"/>
      <c r="T105" s="1487"/>
      <c r="U105" s="1487"/>
      <c r="V105" s="1487"/>
      <c r="W105" s="1489"/>
      <c r="AA105" s="395"/>
      <c r="AB105" s="395"/>
      <c r="AC105" s="395"/>
    </row>
    <row r="106" spans="1:29">
      <c r="A106" s="1997"/>
      <c r="B106" s="583"/>
      <c r="C106" s="397" t="s">
        <v>1182</v>
      </c>
      <c r="D106" s="397"/>
      <c r="E106" s="397"/>
      <c r="F106" s="397"/>
      <c r="G106" s="1998"/>
      <c r="H106" s="1487"/>
      <c r="I106" s="1487"/>
      <c r="J106" s="1487"/>
      <c r="K106" s="1487"/>
      <c r="L106" s="1487"/>
      <c r="M106" s="1487"/>
      <c r="N106" s="1487"/>
      <c r="O106" s="1487"/>
      <c r="P106" s="1487"/>
      <c r="Q106" s="397"/>
      <c r="R106" s="1487"/>
      <c r="S106" s="1487"/>
      <c r="T106" s="1487"/>
      <c r="U106" s="1487"/>
      <c r="V106" s="1487"/>
      <c r="W106" s="1489"/>
      <c r="AA106" s="395"/>
      <c r="AB106" s="395"/>
      <c r="AC106" s="395"/>
    </row>
    <row r="107" spans="1:29">
      <c r="A107" s="1997"/>
      <c r="B107" s="583"/>
      <c r="C107" s="397" t="s">
        <v>1183</v>
      </c>
      <c r="D107" s="397"/>
      <c r="E107" s="397"/>
      <c r="F107" s="397"/>
      <c r="G107" s="1998"/>
      <c r="H107" s="1487"/>
      <c r="I107" s="1487"/>
      <c r="J107" s="1487"/>
      <c r="K107" s="1487"/>
      <c r="L107" s="1487"/>
      <c r="M107" s="1487"/>
      <c r="N107" s="1487"/>
      <c r="O107" s="1487"/>
      <c r="P107" s="1487"/>
      <c r="Q107" s="397"/>
      <c r="R107" s="1487"/>
      <c r="S107" s="1487"/>
      <c r="T107" s="1487"/>
      <c r="U107" s="1487"/>
      <c r="V107" s="1487"/>
      <c r="W107" s="1489"/>
      <c r="AA107" s="395"/>
      <c r="AB107" s="395"/>
      <c r="AC107" s="395"/>
    </row>
    <row r="108" spans="1:29">
      <c r="A108" s="2000"/>
      <c r="B108" s="2044"/>
      <c r="C108" s="2001" t="s">
        <v>1184</v>
      </c>
      <c r="D108" s="2001"/>
      <c r="E108" s="2001"/>
      <c r="F108" s="2001"/>
      <c r="G108" s="2002"/>
      <c r="H108" s="1487"/>
      <c r="I108" s="1487">
        <f>I157</f>
        <v>4577.41</v>
      </c>
      <c r="J108" s="1487">
        <f>J157</f>
        <v>6230.87</v>
      </c>
      <c r="K108" s="1487">
        <f t="shared" ref="K108:W108" si="17">K157</f>
        <v>11731.41</v>
      </c>
      <c r="L108" s="1487">
        <f t="shared" si="17"/>
        <v>23639.23</v>
      </c>
      <c r="M108" s="1487">
        <f t="shared" si="17"/>
        <v>27676.79</v>
      </c>
      <c r="N108" s="1487">
        <f t="shared" si="17"/>
        <v>24002.65</v>
      </c>
      <c r="O108" s="1487">
        <f t="shared" si="17"/>
        <v>24342.991999999998</v>
      </c>
      <c r="P108" s="1487">
        <f t="shared" si="17"/>
        <v>19088.252</v>
      </c>
      <c r="Q108" s="1487">
        <f t="shared" si="17"/>
        <v>9475.2639999999992</v>
      </c>
      <c r="R108" s="1487">
        <f t="shared" si="17"/>
        <v>6446.5040000000008</v>
      </c>
      <c r="S108" s="1487">
        <f t="shared" si="17"/>
        <v>8084.7939999999999</v>
      </c>
      <c r="T108" s="1487">
        <f t="shared" si="17"/>
        <v>14739.641999999998</v>
      </c>
      <c r="U108" s="1487">
        <f t="shared" si="17"/>
        <v>131860.31199999998</v>
      </c>
      <c r="V108" s="1487">
        <f t="shared" si="17"/>
        <v>133651</v>
      </c>
      <c r="W108" s="1489">
        <f t="shared" si="17"/>
        <v>132642.20000000001</v>
      </c>
      <c r="AA108" s="395"/>
      <c r="AB108" s="395"/>
      <c r="AC108" s="395"/>
    </row>
    <row r="109" spans="1:29">
      <c r="A109" s="2046"/>
      <c r="B109" s="2064"/>
      <c r="C109" s="2047" t="s">
        <v>1185</v>
      </c>
      <c r="D109" s="2047"/>
      <c r="E109" s="2047"/>
      <c r="F109" s="2047"/>
      <c r="G109" s="2047"/>
      <c r="H109" s="2005">
        <f t="shared" ref="H109:P109" si="18">SUM(H106:H108)</f>
        <v>0</v>
      </c>
      <c r="I109" s="2005">
        <f t="shared" si="18"/>
        <v>4577.41</v>
      </c>
      <c r="J109" s="2005">
        <f t="shared" si="18"/>
        <v>6230.87</v>
      </c>
      <c r="K109" s="2005">
        <f t="shared" si="18"/>
        <v>11731.41</v>
      </c>
      <c r="L109" s="2005">
        <f t="shared" si="18"/>
        <v>23639.23</v>
      </c>
      <c r="M109" s="2005">
        <f t="shared" si="18"/>
        <v>27676.79</v>
      </c>
      <c r="N109" s="2005">
        <f t="shared" si="18"/>
        <v>24002.65</v>
      </c>
      <c r="O109" s="2005">
        <f t="shared" si="18"/>
        <v>24342.991999999998</v>
      </c>
      <c r="P109" s="2005">
        <f t="shared" si="18"/>
        <v>19088.252</v>
      </c>
      <c r="Q109" s="2005">
        <f t="shared" ref="Q109:W109" si="19">SUM(Q106:Q108)</f>
        <v>9475.2639999999992</v>
      </c>
      <c r="R109" s="2005">
        <f t="shared" si="19"/>
        <v>6446.5040000000008</v>
      </c>
      <c r="S109" s="2005">
        <f t="shared" si="19"/>
        <v>8084.7939999999999</v>
      </c>
      <c r="T109" s="2005">
        <f t="shared" si="19"/>
        <v>14739.641999999998</v>
      </c>
      <c r="U109" s="2005">
        <f t="shared" si="19"/>
        <v>131860.31199999998</v>
      </c>
      <c r="V109" s="2005">
        <f t="shared" si="19"/>
        <v>133651</v>
      </c>
      <c r="W109" s="3150">
        <f t="shared" si="19"/>
        <v>132642.20000000001</v>
      </c>
      <c r="AA109" s="395"/>
      <c r="AB109" s="395"/>
      <c r="AC109" s="395"/>
    </row>
    <row r="110" spans="1:29">
      <c r="A110" s="2021"/>
      <c r="B110" s="2069"/>
      <c r="C110" s="2022" t="s">
        <v>1186</v>
      </c>
      <c r="D110" s="2022"/>
      <c r="E110" s="2022"/>
      <c r="F110" s="2022"/>
      <c r="G110" s="2022"/>
      <c r="H110" s="2009">
        <f t="shared" ref="H110:S110" si="20">H58+H97+H104+H109</f>
        <v>1110904.17</v>
      </c>
      <c r="I110" s="2009">
        <f t="shared" si="20"/>
        <v>1143563.8399999999</v>
      </c>
      <c r="J110" s="2009">
        <f t="shared" si="20"/>
        <v>1287078.8800000001</v>
      </c>
      <c r="K110" s="2009">
        <f t="shared" si="20"/>
        <v>1372882.39</v>
      </c>
      <c r="L110" s="2009">
        <f t="shared" si="20"/>
        <v>1405699.76</v>
      </c>
      <c r="M110" s="2009">
        <f t="shared" si="20"/>
        <v>1463292.9800000002</v>
      </c>
      <c r="N110" s="2009">
        <f t="shared" si="20"/>
        <v>1446648.02</v>
      </c>
      <c r="O110" s="2009">
        <f t="shared" si="20"/>
        <v>1419371.5319999999</v>
      </c>
      <c r="P110" s="2009">
        <f t="shared" si="20"/>
        <v>1482391.8319999992</v>
      </c>
      <c r="Q110" s="2009">
        <f t="shared" si="20"/>
        <v>1491575.3939999999</v>
      </c>
      <c r="R110" s="2009">
        <f t="shared" si="20"/>
        <v>1462227.6740000001</v>
      </c>
      <c r="S110" s="2009">
        <f t="shared" si="20"/>
        <v>1478106.584</v>
      </c>
      <c r="T110" s="2009">
        <f>T58+T97+T104+T109</f>
        <v>1451168.9619999998</v>
      </c>
      <c r="U110" s="2009">
        <f>U58+U97+U104+U109</f>
        <v>1559487.5119999999</v>
      </c>
      <c r="V110" s="2009">
        <f>V58+V97+V104+V109</f>
        <v>1583084.0699999996</v>
      </c>
      <c r="W110" s="2070">
        <f>W58+W97+W104+W109</f>
        <v>132642.20000000001</v>
      </c>
      <c r="AA110" s="395"/>
      <c r="AB110" s="395"/>
      <c r="AC110" s="395"/>
    </row>
    <row r="111" spans="1:29">
      <c r="A111" s="1984" t="s">
        <v>1187</v>
      </c>
      <c r="B111" s="1985"/>
      <c r="C111" s="1986"/>
      <c r="D111" s="1986"/>
      <c r="E111" s="1986"/>
      <c r="F111" s="1986"/>
      <c r="G111" s="1986"/>
      <c r="H111" s="2013">
        <v>2007</v>
      </c>
      <c r="I111" s="2013">
        <v>2008</v>
      </c>
      <c r="J111" s="2013">
        <v>2009</v>
      </c>
      <c r="K111" s="2013">
        <v>2010</v>
      </c>
      <c r="L111" s="2013">
        <v>2011</v>
      </c>
      <c r="M111" s="2013">
        <v>2012</v>
      </c>
      <c r="N111" s="2013">
        <v>2013</v>
      </c>
      <c r="O111" s="2013">
        <v>2014</v>
      </c>
      <c r="P111" s="2013">
        <v>2015</v>
      </c>
      <c r="Q111" s="2013">
        <v>2016</v>
      </c>
      <c r="R111" s="2013">
        <v>2017</v>
      </c>
      <c r="S111" s="2013">
        <v>2018</v>
      </c>
      <c r="T111" s="2013">
        <v>2019</v>
      </c>
      <c r="U111" s="2013">
        <v>2020</v>
      </c>
      <c r="V111" s="2013">
        <v>2021</v>
      </c>
      <c r="W111" s="2014">
        <v>2022</v>
      </c>
      <c r="AA111" s="395"/>
      <c r="AB111" s="395"/>
      <c r="AC111" s="395"/>
    </row>
    <row r="112" spans="1:29">
      <c r="A112" s="583"/>
      <c r="B112" s="583"/>
      <c r="C112" s="397" t="s">
        <v>1612</v>
      </c>
      <c r="D112" s="397"/>
      <c r="E112" s="397"/>
      <c r="F112" s="397"/>
      <c r="G112" s="1996"/>
      <c r="H112" s="1487">
        <v>14000</v>
      </c>
      <c r="I112" s="1487">
        <v>8267.2900000000009</v>
      </c>
      <c r="J112" s="1487">
        <v>7000</v>
      </c>
      <c r="K112" s="1487">
        <v>0</v>
      </c>
      <c r="L112" s="1487">
        <v>0</v>
      </c>
      <c r="M112" s="1487"/>
      <c r="N112" s="1487"/>
      <c r="O112" s="1487"/>
      <c r="P112" s="1487"/>
      <c r="Q112" s="1487"/>
      <c r="R112" s="1487"/>
      <c r="S112" s="1487"/>
      <c r="T112" s="1487"/>
      <c r="U112" s="1487"/>
      <c r="V112" s="1487"/>
      <c r="W112" s="1489"/>
      <c r="AA112" s="395"/>
      <c r="AB112" s="395"/>
      <c r="AC112" s="395"/>
    </row>
    <row r="113" spans="1:29">
      <c r="A113" s="583"/>
      <c r="B113" s="583"/>
      <c r="C113" s="397" t="s">
        <v>2431</v>
      </c>
      <c r="D113" s="397"/>
      <c r="E113" s="397"/>
      <c r="F113" s="397"/>
      <c r="G113" s="1998"/>
      <c r="H113" s="1487"/>
      <c r="I113" s="1487"/>
      <c r="J113" s="1487"/>
      <c r="K113" s="1487"/>
      <c r="L113" s="1487"/>
      <c r="M113" s="1487"/>
      <c r="N113" s="1487"/>
      <c r="O113" s="1487"/>
      <c r="P113" s="1487"/>
      <c r="Q113" s="1487"/>
      <c r="R113" s="1487"/>
      <c r="S113" s="1487"/>
      <c r="T113" s="1487">
        <v>210085.71</v>
      </c>
      <c r="U113" s="1487">
        <v>3458240.7</v>
      </c>
      <c r="V113" s="1487">
        <v>91149.52</v>
      </c>
      <c r="W113" s="1489"/>
      <c r="AA113" s="395"/>
      <c r="AB113" s="395"/>
      <c r="AC113" s="395"/>
    </row>
    <row r="114" spans="1:29">
      <c r="A114" s="583"/>
      <c r="B114" s="583"/>
      <c r="C114" s="397" t="s">
        <v>1189</v>
      </c>
      <c r="D114" s="397"/>
      <c r="E114" s="397"/>
      <c r="F114" s="397"/>
      <c r="G114" s="1998"/>
      <c r="H114" s="1487">
        <v>8708.59</v>
      </c>
      <c r="I114" s="1487"/>
      <c r="J114" s="1487">
        <v>19575</v>
      </c>
      <c r="K114" s="1487">
        <v>40500</v>
      </c>
      <c r="L114" s="1487">
        <v>17374.14</v>
      </c>
      <c r="M114" s="1487">
        <v>18359.86</v>
      </c>
      <c r="N114" s="1487">
        <v>3267</v>
      </c>
      <c r="O114" s="1487">
        <v>9969.01</v>
      </c>
      <c r="P114" s="1487">
        <v>1229</v>
      </c>
      <c r="Q114" s="1487">
        <v>8420</v>
      </c>
      <c r="R114" s="1487">
        <v>5044</v>
      </c>
      <c r="S114" s="1487">
        <v>12707.79</v>
      </c>
      <c r="T114" s="1487">
        <v>8228.93</v>
      </c>
      <c r="U114" s="1487">
        <v>10459.01</v>
      </c>
      <c r="V114" s="1487">
        <v>5236</v>
      </c>
      <c r="W114" s="1489"/>
      <c r="AA114" s="395"/>
      <c r="AB114" s="395"/>
      <c r="AC114" s="395"/>
    </row>
    <row r="115" spans="1:29">
      <c r="A115" s="583"/>
      <c r="B115" s="583"/>
      <c r="C115" s="397" t="s">
        <v>1381</v>
      </c>
      <c r="D115" s="397"/>
      <c r="E115" s="397"/>
      <c r="F115" s="397"/>
      <c r="G115" s="1998"/>
      <c r="H115" s="1487">
        <v>7750</v>
      </c>
      <c r="I115" s="1487"/>
      <c r="J115" s="1487"/>
      <c r="K115" s="1487">
        <v>476.74</v>
      </c>
      <c r="L115" s="1487">
        <v>628.23</v>
      </c>
      <c r="M115" s="1487"/>
      <c r="N115" s="1487"/>
      <c r="O115" s="397"/>
      <c r="P115" s="397"/>
      <c r="Q115" s="1487">
        <v>6108.32</v>
      </c>
      <c r="R115" s="1487"/>
      <c r="S115" s="1487"/>
      <c r="T115" s="1487"/>
      <c r="U115" s="1487"/>
      <c r="V115" s="1487"/>
      <c r="W115" s="1489"/>
      <c r="AA115" s="395"/>
      <c r="AB115" s="395"/>
      <c r="AC115" s="395"/>
    </row>
    <row r="116" spans="1:29">
      <c r="A116" s="583"/>
      <c r="B116" s="583"/>
      <c r="C116" s="397" t="s">
        <v>1498</v>
      </c>
      <c r="D116" s="397"/>
      <c r="E116" s="397"/>
      <c r="F116" s="397"/>
      <c r="G116" s="2002"/>
      <c r="H116" s="1487">
        <v>1499</v>
      </c>
      <c r="I116" s="1487"/>
      <c r="J116" s="1487">
        <v>927.72</v>
      </c>
      <c r="K116" s="1487">
        <v>560</v>
      </c>
      <c r="L116" s="1487">
        <v>0</v>
      </c>
      <c r="M116" s="1487">
        <v>1827.93</v>
      </c>
      <c r="N116" s="1487">
        <v>1249.3599999999999</v>
      </c>
      <c r="O116" s="397"/>
      <c r="P116" s="397"/>
      <c r="Q116" s="397"/>
      <c r="R116" s="1487"/>
      <c r="S116" s="1487"/>
      <c r="T116" s="1487"/>
      <c r="U116" s="1487"/>
      <c r="V116" s="1487"/>
      <c r="W116" s="1489"/>
      <c r="AA116" s="395"/>
      <c r="AB116" s="395"/>
      <c r="AC116" s="395"/>
    </row>
    <row r="117" spans="1:29">
      <c r="A117" s="2021"/>
      <c r="B117" s="2069"/>
      <c r="C117" s="2022" t="s">
        <v>1192</v>
      </c>
      <c r="D117" s="2022"/>
      <c r="E117" s="2022"/>
      <c r="F117" s="2022"/>
      <c r="G117" s="2022"/>
      <c r="H117" s="2009">
        <f t="shared" ref="H117:W117" si="21">SUM(H112:H116)</f>
        <v>31957.59</v>
      </c>
      <c r="I117" s="2009">
        <f t="shared" si="21"/>
        <v>8267.2900000000009</v>
      </c>
      <c r="J117" s="2009">
        <f t="shared" si="21"/>
        <v>27502.720000000001</v>
      </c>
      <c r="K117" s="2009">
        <f t="shared" si="21"/>
        <v>41536.74</v>
      </c>
      <c r="L117" s="2009">
        <f t="shared" si="21"/>
        <v>18002.37</v>
      </c>
      <c r="M117" s="2009">
        <f t="shared" si="21"/>
        <v>20187.79</v>
      </c>
      <c r="N117" s="2009">
        <f t="shared" si="21"/>
        <v>4516.3599999999997</v>
      </c>
      <c r="O117" s="2009">
        <f t="shared" si="21"/>
        <v>9969.01</v>
      </c>
      <c r="P117" s="2009">
        <f t="shared" si="21"/>
        <v>1229</v>
      </c>
      <c r="Q117" s="2009">
        <f t="shared" si="21"/>
        <v>14528.32</v>
      </c>
      <c r="R117" s="2009">
        <f t="shared" si="21"/>
        <v>5044</v>
      </c>
      <c r="S117" s="2009">
        <f t="shared" si="21"/>
        <v>12707.79</v>
      </c>
      <c r="T117" s="2009">
        <f t="shared" si="21"/>
        <v>218314.63999999998</v>
      </c>
      <c r="U117" s="2009">
        <f t="shared" si="21"/>
        <v>3468699.71</v>
      </c>
      <c r="V117" s="2009">
        <f t="shared" si="21"/>
        <v>96385.52</v>
      </c>
      <c r="W117" s="2070">
        <f t="shared" si="21"/>
        <v>0</v>
      </c>
      <c r="AA117" s="395"/>
      <c r="AB117" s="395"/>
      <c r="AC117" s="395"/>
    </row>
    <row r="118" spans="1:29">
      <c r="A118" s="1633"/>
      <c r="B118" s="1633"/>
      <c r="C118" s="395"/>
      <c r="D118" s="395"/>
      <c r="E118" s="395"/>
      <c r="F118" s="395"/>
      <c r="G118" s="395"/>
      <c r="O118" s="395"/>
      <c r="P118" s="395"/>
      <c r="Q118" s="395"/>
      <c r="AA118" s="395"/>
      <c r="AB118" s="395"/>
      <c r="AC118" s="395"/>
    </row>
    <row r="119" spans="1:29">
      <c r="A119" s="380"/>
      <c r="B119" s="380"/>
      <c r="C119" s="395"/>
      <c r="D119" s="1570"/>
      <c r="E119" s="1570"/>
      <c r="F119" s="1570"/>
      <c r="G119" s="1570"/>
      <c r="O119" s="395"/>
      <c r="P119" s="395"/>
      <c r="Q119" s="395"/>
      <c r="AA119" s="395"/>
      <c r="AB119" s="395"/>
      <c r="AC119" s="395"/>
    </row>
    <row r="120" spans="1:29">
      <c r="A120" s="2795" t="s">
        <v>1613</v>
      </c>
      <c r="B120" s="2026"/>
      <c r="C120" s="2027"/>
      <c r="D120" s="2027"/>
      <c r="E120" s="2027"/>
      <c r="F120" s="2027" t="s">
        <v>1194</v>
      </c>
      <c r="G120" s="2028" t="s">
        <v>1195</v>
      </c>
      <c r="H120" s="1990">
        <v>2007</v>
      </c>
      <c r="I120" s="1990">
        <v>2008</v>
      </c>
      <c r="J120" s="1990">
        <v>2009</v>
      </c>
      <c r="K120" s="1990">
        <v>2010</v>
      </c>
      <c r="L120" s="1990">
        <v>2011</v>
      </c>
      <c r="M120" s="1990">
        <v>2012</v>
      </c>
      <c r="N120" s="1990">
        <v>2013</v>
      </c>
      <c r="O120" s="1990">
        <v>2014</v>
      </c>
      <c r="P120" s="1990">
        <v>2015</v>
      </c>
      <c r="Q120" s="1990">
        <v>2016</v>
      </c>
      <c r="R120" s="1990">
        <v>2017</v>
      </c>
      <c r="S120" s="1990">
        <v>2018</v>
      </c>
      <c r="T120" s="1990">
        <v>2019</v>
      </c>
      <c r="U120" s="1990">
        <v>2020</v>
      </c>
      <c r="V120" s="1990">
        <v>2021</v>
      </c>
      <c r="W120" s="1990">
        <v>2022</v>
      </c>
      <c r="X120" s="3148"/>
      <c r="Y120" s="395"/>
      <c r="Z120" s="395"/>
      <c r="AA120" s="395"/>
      <c r="AB120" s="395"/>
      <c r="AC120" s="395"/>
    </row>
    <row r="121" spans="1:29">
      <c r="A121" s="3830"/>
      <c r="B121" s="3835"/>
      <c r="C121" s="3832"/>
      <c r="D121" s="3832"/>
      <c r="E121" s="3832"/>
      <c r="F121" s="3832"/>
      <c r="G121" s="3833"/>
      <c r="H121" s="3834"/>
      <c r="I121" s="3834"/>
      <c r="J121" s="3834"/>
      <c r="K121" s="3834"/>
      <c r="L121" s="3834"/>
      <c r="M121" s="3834"/>
      <c r="N121" s="3834"/>
      <c r="O121" s="3834"/>
      <c r="P121" s="3834"/>
      <c r="Q121" s="3834"/>
      <c r="R121" s="3834"/>
      <c r="S121" s="2040"/>
      <c r="T121" s="2040"/>
      <c r="U121" s="2040"/>
      <c r="V121" s="2040"/>
      <c r="W121" s="3139"/>
      <c r="X121" s="3148"/>
      <c r="Y121" s="395"/>
      <c r="Z121" s="395"/>
      <c r="AA121" s="395"/>
      <c r="AB121" s="395"/>
      <c r="AC121" s="395"/>
    </row>
    <row r="122" spans="1:29">
      <c r="A122" s="3836">
        <v>2021</v>
      </c>
      <c r="B122" s="3835"/>
      <c r="C122" s="397" t="s">
        <v>2431</v>
      </c>
      <c r="D122" s="3832"/>
      <c r="E122" s="1487">
        <v>91149.52</v>
      </c>
      <c r="F122" s="2039" t="s">
        <v>1953</v>
      </c>
      <c r="G122" s="2040">
        <f>E122/30</f>
        <v>3038.3173333333334</v>
      </c>
      <c r="H122" s="3834"/>
      <c r="I122" s="3834"/>
      <c r="J122" s="3834"/>
      <c r="K122" s="3834"/>
      <c r="L122" s="3834"/>
      <c r="M122" s="3834"/>
      <c r="N122" s="3834"/>
      <c r="O122" s="3834"/>
      <c r="P122" s="3834"/>
      <c r="Q122" s="3834"/>
      <c r="R122" s="3834"/>
      <c r="S122" s="2040"/>
      <c r="T122" s="2040"/>
      <c r="U122" s="2040"/>
      <c r="V122" s="2040">
        <v>3038.32</v>
      </c>
      <c r="W122" s="2059">
        <v>3038.32</v>
      </c>
      <c r="X122" s="3148"/>
      <c r="Y122" s="395"/>
      <c r="Z122" s="395"/>
      <c r="AA122" s="395"/>
      <c r="AB122" s="395"/>
      <c r="AC122" s="395"/>
    </row>
    <row r="123" spans="1:29">
      <c r="A123" s="3830"/>
      <c r="B123" s="3835"/>
      <c r="C123" s="397" t="s">
        <v>1614</v>
      </c>
      <c r="D123" s="3832"/>
      <c r="E123" s="1487">
        <v>5236</v>
      </c>
      <c r="F123" s="2039" t="s">
        <v>1197</v>
      </c>
      <c r="G123" s="2040">
        <f>E123/5</f>
        <v>1047.2</v>
      </c>
      <c r="H123" s="3834"/>
      <c r="I123" s="3834"/>
      <c r="J123" s="3834"/>
      <c r="K123" s="3834"/>
      <c r="L123" s="3834"/>
      <c r="M123" s="3834"/>
      <c r="N123" s="3834"/>
      <c r="O123" s="3834"/>
      <c r="P123" s="3834"/>
      <c r="Q123" s="3834"/>
      <c r="R123" s="3834"/>
      <c r="S123" s="2040"/>
      <c r="T123" s="2040"/>
      <c r="U123" s="2040"/>
      <c r="V123" s="2040">
        <v>1047.2</v>
      </c>
      <c r="W123" s="2059">
        <v>1047.2</v>
      </c>
      <c r="X123" s="3148"/>
      <c r="Y123" s="395"/>
      <c r="Z123" s="395"/>
      <c r="AA123" s="395"/>
      <c r="AB123" s="395"/>
      <c r="AC123" s="395"/>
    </row>
    <row r="124" spans="1:29">
      <c r="A124" s="3836">
        <v>2020</v>
      </c>
      <c r="B124" s="3835"/>
      <c r="C124" s="397" t="s">
        <v>2431</v>
      </c>
      <c r="D124" s="3832"/>
      <c r="E124" s="1487">
        <v>3458240.2</v>
      </c>
      <c r="F124" s="2039" t="s">
        <v>1953</v>
      </c>
      <c r="G124" s="2040">
        <f>E124/30</f>
        <v>115274.67333333334</v>
      </c>
      <c r="H124" s="3834"/>
      <c r="I124" s="3834"/>
      <c r="J124" s="3834"/>
      <c r="K124" s="3834"/>
      <c r="L124" s="3834"/>
      <c r="M124" s="3834"/>
      <c r="N124" s="3834"/>
      <c r="O124" s="3834"/>
      <c r="P124" s="3834"/>
      <c r="Q124" s="3834"/>
      <c r="R124" s="3834"/>
      <c r="S124" s="2040"/>
      <c r="T124" s="2040"/>
      <c r="U124" s="2040">
        <v>115274.67</v>
      </c>
      <c r="V124" s="2040">
        <v>115274.67</v>
      </c>
      <c r="W124" s="2059">
        <v>115274.67</v>
      </c>
      <c r="X124" s="3148"/>
      <c r="Y124" s="395"/>
      <c r="Z124" s="395"/>
      <c r="AA124" s="395"/>
      <c r="AB124" s="395"/>
      <c r="AC124" s="395"/>
    </row>
    <row r="125" spans="1:29">
      <c r="A125" s="3830"/>
      <c r="B125" s="3835"/>
      <c r="C125" s="397" t="s">
        <v>1614</v>
      </c>
      <c r="D125" s="3832"/>
      <c r="E125" s="1487">
        <v>10459.01</v>
      </c>
      <c r="F125" s="2039" t="s">
        <v>1197</v>
      </c>
      <c r="G125" s="2040">
        <f>E125/5</f>
        <v>2091.8020000000001</v>
      </c>
      <c r="H125" s="3834"/>
      <c r="I125" s="3834"/>
      <c r="J125" s="3834"/>
      <c r="K125" s="3834"/>
      <c r="L125" s="3834"/>
      <c r="M125" s="3834"/>
      <c r="N125" s="3834"/>
      <c r="O125" s="3834"/>
      <c r="P125" s="3834"/>
      <c r="Q125" s="3834"/>
      <c r="R125" s="3834"/>
      <c r="S125" s="2040"/>
      <c r="T125" s="2040"/>
      <c r="U125" s="2040">
        <v>2091.8000000000002</v>
      </c>
      <c r="V125" s="2040">
        <v>2091.8000000000002</v>
      </c>
      <c r="W125" s="2059">
        <v>2091.8000000000002</v>
      </c>
      <c r="X125" s="3148"/>
      <c r="Y125" s="395"/>
      <c r="Z125" s="395"/>
      <c r="AA125" s="395"/>
      <c r="AB125" s="395"/>
      <c r="AC125" s="395"/>
    </row>
    <row r="126" spans="1:29">
      <c r="A126" s="2037">
        <v>2019</v>
      </c>
      <c r="B126" s="3816"/>
      <c r="C126" s="397" t="s">
        <v>2431</v>
      </c>
      <c r="D126" s="3832"/>
      <c r="E126" s="1487">
        <v>210085.71</v>
      </c>
      <c r="F126" s="2039" t="s">
        <v>1953</v>
      </c>
      <c r="G126" s="2040">
        <f>E126/30</f>
        <v>7002.857</v>
      </c>
      <c r="H126" s="3834"/>
      <c r="I126" s="3834"/>
      <c r="J126" s="3834"/>
      <c r="K126" s="3834"/>
      <c r="L126" s="3834"/>
      <c r="M126" s="3834"/>
      <c r="N126" s="3834"/>
      <c r="O126" s="3834"/>
      <c r="P126" s="3834"/>
      <c r="Q126" s="3834"/>
      <c r="R126" s="3834"/>
      <c r="S126" s="2040"/>
      <c r="T126" s="2040">
        <v>7002.86</v>
      </c>
      <c r="U126" s="2040">
        <v>7002.86</v>
      </c>
      <c r="V126" s="2040">
        <v>7002.86</v>
      </c>
      <c r="W126" s="2059">
        <v>7002.86</v>
      </c>
      <c r="X126" s="3148"/>
      <c r="Y126" s="395"/>
      <c r="Z126" s="395"/>
      <c r="AA126" s="395"/>
      <c r="AB126" s="395"/>
      <c r="AC126" s="395"/>
    </row>
    <row r="127" spans="1:29">
      <c r="A127" s="3830"/>
      <c r="B127" s="3835"/>
      <c r="C127" s="397" t="s">
        <v>1614</v>
      </c>
      <c r="D127" s="3832"/>
      <c r="E127" s="1487">
        <v>8228.93</v>
      </c>
      <c r="F127" s="2039" t="s">
        <v>1197</v>
      </c>
      <c r="G127" s="2040">
        <f>E127/5</f>
        <v>1645.7860000000001</v>
      </c>
      <c r="H127" s="3834"/>
      <c r="I127" s="3834"/>
      <c r="J127" s="3834"/>
      <c r="K127" s="3834"/>
      <c r="L127" s="3834"/>
      <c r="M127" s="3834"/>
      <c r="N127" s="3834"/>
      <c r="O127" s="3834"/>
      <c r="P127" s="3834"/>
      <c r="Q127" s="3834"/>
      <c r="R127" s="3834"/>
      <c r="S127" s="2040"/>
      <c r="T127" s="2040">
        <v>1645.79</v>
      </c>
      <c r="U127" s="2040">
        <v>1645.79</v>
      </c>
      <c r="V127" s="2040">
        <v>1645.79</v>
      </c>
      <c r="W127" s="2059">
        <v>1645.79</v>
      </c>
      <c r="X127" s="3148"/>
      <c r="Y127" s="395"/>
      <c r="Z127" s="395"/>
      <c r="AA127" s="395"/>
      <c r="AB127" s="395"/>
      <c r="AC127" s="395"/>
    </row>
    <row r="128" spans="1:29">
      <c r="A128" s="2037">
        <v>2018</v>
      </c>
      <c r="B128" s="3816"/>
      <c r="C128" s="397" t="s">
        <v>1614</v>
      </c>
      <c r="D128" s="397"/>
      <c r="E128" s="1487">
        <v>12707.79</v>
      </c>
      <c r="F128" s="2039" t="s">
        <v>1197</v>
      </c>
      <c r="G128" s="2040">
        <f>E128/5</f>
        <v>2541.558</v>
      </c>
      <c r="H128" s="3021"/>
      <c r="I128" s="3021"/>
      <c r="J128" s="3021"/>
      <c r="K128" s="3021"/>
      <c r="L128" s="3021"/>
      <c r="M128" s="3021"/>
      <c r="N128" s="2040"/>
      <c r="O128" s="2040"/>
      <c r="P128" s="2040"/>
      <c r="Q128" s="2040"/>
      <c r="R128" s="2040"/>
      <c r="S128" s="2040">
        <v>2541.56</v>
      </c>
      <c r="T128" s="2040">
        <v>2541.56</v>
      </c>
      <c r="U128" s="2040">
        <v>2541.56</v>
      </c>
      <c r="V128" s="2040">
        <v>2541.56</v>
      </c>
      <c r="W128" s="2059">
        <v>2541.56</v>
      </c>
      <c r="X128" s="397"/>
      <c r="Y128" s="395"/>
      <c r="Z128" s="395"/>
      <c r="AA128" s="1975"/>
      <c r="AB128" s="395"/>
      <c r="AC128" s="395"/>
    </row>
    <row r="129" spans="1:29">
      <c r="A129" s="2037">
        <v>2017</v>
      </c>
      <c r="B129" s="3816"/>
      <c r="C129" s="397" t="s">
        <v>1614</v>
      </c>
      <c r="D129" s="397"/>
      <c r="E129" s="1487">
        <v>5044</v>
      </c>
      <c r="F129" s="2039" t="s">
        <v>1197</v>
      </c>
      <c r="G129" s="2040">
        <f>E129/5</f>
        <v>1008.8</v>
      </c>
      <c r="H129" s="3021"/>
      <c r="I129" s="3021"/>
      <c r="J129" s="3021"/>
      <c r="K129" s="3021"/>
      <c r="L129" s="3021"/>
      <c r="M129" s="3021"/>
      <c r="N129" s="2040"/>
      <c r="O129" s="2040"/>
      <c r="P129" s="2040"/>
      <c r="Q129" s="2040"/>
      <c r="R129" s="2040">
        <v>1008.8</v>
      </c>
      <c r="S129" s="2040">
        <v>1008.8</v>
      </c>
      <c r="T129" s="2040">
        <v>1008.8</v>
      </c>
      <c r="U129" s="2040">
        <v>1008.8</v>
      </c>
      <c r="V129" s="2040">
        <v>1008.8</v>
      </c>
      <c r="W129" s="2059"/>
      <c r="X129" s="395"/>
      <c r="Y129" s="395"/>
      <c r="Z129" s="395"/>
      <c r="AA129" s="1975"/>
      <c r="AB129" s="395"/>
      <c r="AC129" s="395"/>
    </row>
    <row r="130" spans="1:29">
      <c r="A130" s="2037">
        <v>2016</v>
      </c>
      <c r="B130" s="3816"/>
      <c r="C130" s="397" t="s">
        <v>1614</v>
      </c>
      <c r="D130" s="397"/>
      <c r="E130" s="1487">
        <v>8420</v>
      </c>
      <c r="F130" s="2039" t="s">
        <v>1197</v>
      </c>
      <c r="G130" s="2040">
        <f>E130/5</f>
        <v>1684</v>
      </c>
      <c r="H130" s="3021"/>
      <c r="I130" s="3021"/>
      <c r="J130" s="3021"/>
      <c r="K130" s="3021"/>
      <c r="L130" s="3021"/>
      <c r="M130" s="3021"/>
      <c r="N130" s="2040"/>
      <c r="O130" s="2040"/>
      <c r="P130" s="2040"/>
      <c r="Q130" s="2040">
        <f>G130</f>
        <v>1684</v>
      </c>
      <c r="R130" s="2040">
        <f>G130</f>
        <v>1684</v>
      </c>
      <c r="S130" s="2040">
        <f>G130</f>
        <v>1684</v>
      </c>
      <c r="T130" s="2040">
        <f>G130</f>
        <v>1684</v>
      </c>
      <c r="U130" s="2040">
        <f>G130</f>
        <v>1684</v>
      </c>
      <c r="V130" s="2040"/>
      <c r="W130" s="2059"/>
      <c r="X130" s="395"/>
      <c r="Y130" s="395"/>
      <c r="Z130" s="395"/>
      <c r="AA130" s="1975"/>
      <c r="AB130" s="395"/>
      <c r="AC130" s="395"/>
    </row>
    <row r="131" spans="1:29">
      <c r="A131" s="2037"/>
      <c r="B131" s="3816"/>
      <c r="C131" s="397" t="s">
        <v>1381</v>
      </c>
      <c r="D131" s="397"/>
      <c r="E131" s="1487">
        <v>6108.32</v>
      </c>
      <c r="F131" s="2039" t="s">
        <v>1198</v>
      </c>
      <c r="G131" s="2040">
        <f>E131/10</f>
        <v>610.83199999999999</v>
      </c>
      <c r="H131" s="3021"/>
      <c r="I131" s="3021"/>
      <c r="J131" s="3021"/>
      <c r="K131" s="3021"/>
      <c r="L131" s="3021"/>
      <c r="M131" s="3021"/>
      <c r="N131" s="2040"/>
      <c r="O131" s="2040"/>
      <c r="P131" s="2040"/>
      <c r="Q131" s="2040">
        <f>G131</f>
        <v>610.83199999999999</v>
      </c>
      <c r="R131" s="2040">
        <f>G131</f>
        <v>610.83199999999999</v>
      </c>
      <c r="S131" s="2040">
        <f>G131</f>
        <v>610.83199999999999</v>
      </c>
      <c r="T131" s="2040">
        <f>G131</f>
        <v>610.83199999999999</v>
      </c>
      <c r="U131" s="2040">
        <f>G131</f>
        <v>610.83199999999999</v>
      </c>
      <c r="V131" s="2040"/>
      <c r="W131" s="2059"/>
      <c r="X131" s="395"/>
      <c r="Y131" s="395"/>
      <c r="Z131" s="395"/>
      <c r="AA131" s="1975"/>
      <c r="AB131" s="395"/>
      <c r="AC131" s="395"/>
    </row>
    <row r="132" spans="1:29">
      <c r="A132" s="2037">
        <v>2015</v>
      </c>
      <c r="B132" s="3816"/>
      <c r="C132" s="397" t="s">
        <v>1614</v>
      </c>
      <c r="D132" s="397"/>
      <c r="E132" s="1487">
        <v>1229</v>
      </c>
      <c r="F132" s="2039" t="s">
        <v>1197</v>
      </c>
      <c r="G132" s="2040">
        <f>E132/5</f>
        <v>245.8</v>
      </c>
      <c r="H132" s="3021"/>
      <c r="I132" s="3021"/>
      <c r="J132" s="3021"/>
      <c r="K132" s="3021"/>
      <c r="L132" s="3021"/>
      <c r="M132" s="3021"/>
      <c r="N132" s="3021"/>
      <c r="O132" s="2040"/>
      <c r="P132" s="2040">
        <f>G132</f>
        <v>245.8</v>
      </c>
      <c r="Q132" s="2040">
        <f>G132</f>
        <v>245.8</v>
      </c>
      <c r="R132" s="2040">
        <f>G132</f>
        <v>245.8</v>
      </c>
      <c r="S132" s="2040">
        <f>G132</f>
        <v>245.8</v>
      </c>
      <c r="T132" s="2040">
        <f>G132</f>
        <v>245.8</v>
      </c>
      <c r="U132" s="2040"/>
      <c r="V132" s="2040"/>
      <c r="W132" s="2059"/>
      <c r="X132" s="395"/>
      <c r="Y132" s="395"/>
      <c r="Z132" s="395"/>
      <c r="AA132" s="395"/>
      <c r="AB132" s="395"/>
      <c r="AC132" s="395"/>
    </row>
    <row r="133" spans="1:29">
      <c r="A133" s="2037">
        <v>2014</v>
      </c>
      <c r="B133" s="3816"/>
      <c r="C133" s="397" t="s">
        <v>1614</v>
      </c>
      <c r="D133" s="397"/>
      <c r="E133" s="1487">
        <v>9969.01</v>
      </c>
      <c r="F133" s="2039" t="s">
        <v>1197</v>
      </c>
      <c r="G133" s="2040">
        <f>E133/5</f>
        <v>1993.8020000000001</v>
      </c>
      <c r="H133" s="3021"/>
      <c r="I133" s="3021"/>
      <c r="J133" s="3021"/>
      <c r="K133" s="3021"/>
      <c r="L133" s="3021"/>
      <c r="M133" s="3021"/>
      <c r="N133" s="2040"/>
      <c r="O133" s="2040">
        <f>G133</f>
        <v>1993.8020000000001</v>
      </c>
      <c r="P133" s="2040">
        <f>G133</f>
        <v>1993.8020000000001</v>
      </c>
      <c r="Q133" s="2040">
        <f>G133</f>
        <v>1993.8020000000001</v>
      </c>
      <c r="R133" s="2040">
        <f>G133</f>
        <v>1993.8020000000001</v>
      </c>
      <c r="S133" s="2040">
        <f>G133</f>
        <v>1993.8020000000001</v>
      </c>
      <c r="T133" s="2040"/>
      <c r="U133" s="2040"/>
      <c r="V133" s="2040"/>
      <c r="W133" s="2059"/>
      <c r="X133" s="395"/>
      <c r="Y133" s="395"/>
      <c r="Z133" s="395"/>
      <c r="AA133" s="395"/>
      <c r="AB133" s="395"/>
      <c r="AC133" s="395"/>
    </row>
    <row r="134" spans="1:29">
      <c r="A134" s="2037">
        <v>2013</v>
      </c>
      <c r="B134" s="3816"/>
      <c r="C134" s="397" t="s">
        <v>1615</v>
      </c>
      <c r="D134" s="397"/>
      <c r="E134" s="1487">
        <v>1249.3599999999999</v>
      </c>
      <c r="F134" s="2039" t="s">
        <v>1197</v>
      </c>
      <c r="G134" s="2040">
        <f>E136/5</f>
        <v>903.27199999999993</v>
      </c>
      <c r="H134" s="2040"/>
      <c r="I134" s="2040"/>
      <c r="J134" s="2040"/>
      <c r="K134" s="2040"/>
      <c r="L134" s="2040"/>
      <c r="M134" s="2040"/>
      <c r="N134" s="2040">
        <v>903.27</v>
      </c>
      <c r="O134" s="2040">
        <v>903.27</v>
      </c>
      <c r="P134" s="2040">
        <v>903.27</v>
      </c>
      <c r="Q134" s="2040">
        <v>903.27</v>
      </c>
      <c r="R134" s="2040">
        <v>903.27</v>
      </c>
      <c r="S134" s="2040"/>
      <c r="T134" s="2040"/>
      <c r="U134" s="2040"/>
      <c r="V134" s="1487"/>
      <c r="W134" s="1489"/>
      <c r="X134" s="395"/>
      <c r="Y134" s="395"/>
      <c r="Z134" s="395"/>
      <c r="AA134" s="395"/>
      <c r="AB134" s="395"/>
      <c r="AC134" s="395"/>
    </row>
    <row r="135" spans="1:29">
      <c r="A135" s="2037"/>
      <c r="B135" s="3816"/>
      <c r="C135" s="397" t="s">
        <v>1189</v>
      </c>
      <c r="D135" s="397"/>
      <c r="E135" s="1487">
        <v>3267</v>
      </c>
      <c r="F135" s="1487"/>
      <c r="G135" s="2039"/>
      <c r="H135" s="3021"/>
      <c r="I135" s="3021"/>
      <c r="J135" s="3021"/>
      <c r="K135" s="3021"/>
      <c r="L135" s="3021"/>
      <c r="M135" s="3021"/>
      <c r="N135" s="3021"/>
      <c r="O135" s="2076"/>
      <c r="P135" s="2076"/>
      <c r="Q135" s="2076"/>
      <c r="R135" s="2076"/>
      <c r="S135" s="2076"/>
      <c r="T135" s="1487"/>
      <c r="U135" s="1487"/>
      <c r="V135" s="1487"/>
      <c r="W135" s="1489"/>
      <c r="X135" s="395"/>
      <c r="Y135" s="395"/>
      <c r="Z135" s="395"/>
      <c r="AA135" s="395"/>
      <c r="AB135" s="395"/>
      <c r="AC135" s="395"/>
    </row>
    <row r="136" spans="1:29">
      <c r="A136" s="2037"/>
      <c r="B136" s="3816"/>
      <c r="C136" s="397"/>
      <c r="D136" s="397"/>
      <c r="E136" s="2042">
        <f>SUM(E134:E135)</f>
        <v>4516.3599999999997</v>
      </c>
      <c r="F136" s="1487"/>
      <c r="G136" s="2039"/>
      <c r="H136" s="3021"/>
      <c r="I136" s="3021"/>
      <c r="J136" s="3021"/>
      <c r="K136" s="3021"/>
      <c r="L136" s="3021"/>
      <c r="M136" s="3021"/>
      <c r="N136" s="3021"/>
      <c r="O136" s="2076"/>
      <c r="P136" s="2076"/>
      <c r="Q136" s="2076"/>
      <c r="R136" s="2076"/>
      <c r="S136" s="2076"/>
      <c r="T136" s="1487"/>
      <c r="U136" s="1487"/>
      <c r="V136" s="1487"/>
      <c r="W136" s="1489"/>
      <c r="X136" s="395"/>
      <c r="Y136" s="395"/>
      <c r="Z136" s="395"/>
      <c r="AA136" s="395"/>
      <c r="AB136" s="395"/>
      <c r="AC136" s="395"/>
    </row>
    <row r="137" spans="1:29">
      <c r="A137" s="2037">
        <v>2012</v>
      </c>
      <c r="B137" s="3816"/>
      <c r="C137" s="397" t="s">
        <v>1615</v>
      </c>
      <c r="D137" s="397"/>
      <c r="E137" s="1487">
        <v>1827.93</v>
      </c>
      <c r="F137" s="2039" t="s">
        <v>1197</v>
      </c>
      <c r="G137" s="2040">
        <f>E139/5</f>
        <v>4037.558</v>
      </c>
      <c r="H137" s="3021"/>
      <c r="I137" s="3021"/>
      <c r="J137" s="3021"/>
      <c r="K137" s="3021"/>
      <c r="L137" s="1487"/>
      <c r="M137" s="1487">
        <v>4037.56</v>
      </c>
      <c r="N137" s="1487">
        <v>4037.56</v>
      </c>
      <c r="O137" s="1487">
        <v>4037.56</v>
      </c>
      <c r="P137" s="1487">
        <v>4037.56</v>
      </c>
      <c r="Q137" s="1487">
        <v>4037.56</v>
      </c>
      <c r="R137" s="1487"/>
      <c r="S137" s="2076"/>
      <c r="T137" s="1487"/>
      <c r="U137" s="1487"/>
      <c r="V137" s="1487"/>
      <c r="W137" s="1489"/>
      <c r="X137" s="395"/>
      <c r="Y137" s="395"/>
      <c r="Z137" s="395"/>
      <c r="AA137" s="395"/>
      <c r="AB137" s="395"/>
      <c r="AC137" s="395"/>
    </row>
    <row r="138" spans="1:29">
      <c r="A138" s="2037"/>
      <c r="B138" s="3816"/>
      <c r="C138" s="397" t="s">
        <v>1189</v>
      </c>
      <c r="D138" s="397"/>
      <c r="E138" s="1487">
        <v>18359.86</v>
      </c>
      <c r="F138" s="1487"/>
      <c r="G138" s="2039"/>
      <c r="H138" s="3021"/>
      <c r="I138" s="3021"/>
      <c r="J138" s="3021"/>
      <c r="K138" s="3021"/>
      <c r="L138" s="1487"/>
      <c r="M138" s="1487"/>
      <c r="N138" s="1487"/>
      <c r="O138" s="1487"/>
      <c r="P138" s="1487"/>
      <c r="Q138" s="1487"/>
      <c r="R138" s="1487"/>
      <c r="S138" s="2076"/>
      <c r="T138" s="1487"/>
      <c r="U138" s="1487"/>
      <c r="V138" s="1487"/>
      <c r="W138" s="1489"/>
      <c r="X138" s="395"/>
      <c r="Y138" s="395"/>
      <c r="Z138" s="395"/>
      <c r="AA138" s="395"/>
      <c r="AB138" s="395"/>
      <c r="AC138" s="395"/>
    </row>
    <row r="139" spans="1:29">
      <c r="A139" s="2037"/>
      <c r="B139" s="3816"/>
      <c r="C139" s="397"/>
      <c r="D139" s="397"/>
      <c r="E139" s="2042">
        <f>SUM(E137:E138)</f>
        <v>20187.79</v>
      </c>
      <c r="F139" s="1487"/>
      <c r="G139" s="2039"/>
      <c r="H139" s="3021"/>
      <c r="I139" s="3021"/>
      <c r="J139" s="3021"/>
      <c r="K139" s="3021"/>
      <c r="L139" s="1487"/>
      <c r="M139" s="1487"/>
      <c r="N139" s="1487"/>
      <c r="O139" s="1487"/>
      <c r="P139" s="1487"/>
      <c r="Q139" s="1487"/>
      <c r="R139" s="1487"/>
      <c r="S139" s="2076"/>
      <c r="T139" s="1487"/>
      <c r="U139" s="1487"/>
      <c r="V139" s="1487"/>
      <c r="W139" s="1489"/>
      <c r="X139" s="395"/>
      <c r="Y139" s="395"/>
      <c r="Z139" s="395"/>
      <c r="AA139" s="395"/>
      <c r="AB139" s="395"/>
      <c r="AC139" s="395"/>
    </row>
    <row r="140" spans="1:29">
      <c r="A140" s="2037">
        <v>2011</v>
      </c>
      <c r="B140" s="3816"/>
      <c r="C140" s="397" t="s">
        <v>1189</v>
      </c>
      <c r="D140" s="397"/>
      <c r="E140" s="1487">
        <v>17374.14</v>
      </c>
      <c r="F140" s="2039" t="s">
        <v>1197</v>
      </c>
      <c r="G140" s="2040">
        <f>E142/5</f>
        <v>3600.4739999999997</v>
      </c>
      <c r="H140" s="3021"/>
      <c r="I140" s="3021"/>
      <c r="J140" s="3021"/>
      <c r="K140" s="3021"/>
      <c r="L140" s="1487">
        <v>3600.47</v>
      </c>
      <c r="M140" s="1487">
        <v>3600.47</v>
      </c>
      <c r="N140" s="1487">
        <v>3600.47</v>
      </c>
      <c r="O140" s="1487">
        <v>3600.47</v>
      </c>
      <c r="P140" s="1487">
        <v>3600.47</v>
      </c>
      <c r="Q140" s="2039"/>
      <c r="R140" s="2039"/>
      <c r="S140" s="2039"/>
      <c r="T140" s="2039"/>
      <c r="U140" s="1487"/>
      <c r="V140" s="1487"/>
      <c r="W140" s="1489"/>
      <c r="X140" s="395"/>
      <c r="Y140" s="395"/>
      <c r="Z140" s="395"/>
      <c r="AA140" s="395"/>
      <c r="AB140" s="395"/>
      <c r="AC140" s="395"/>
    </row>
    <row r="141" spans="1:29">
      <c r="A141" s="2037"/>
      <c r="B141" s="3816"/>
      <c r="C141" s="397" t="s">
        <v>1381</v>
      </c>
      <c r="D141" s="397"/>
      <c r="E141" s="1487">
        <v>628.23</v>
      </c>
      <c r="F141" s="2039"/>
      <c r="G141" s="2040"/>
      <c r="H141" s="3021"/>
      <c r="I141" s="3021"/>
      <c r="J141" s="3021"/>
      <c r="K141" s="3021"/>
      <c r="L141" s="3021"/>
      <c r="M141" s="3021"/>
      <c r="N141" s="3021"/>
      <c r="O141" s="2076"/>
      <c r="P141" s="2039"/>
      <c r="Q141" s="2039"/>
      <c r="R141" s="2039"/>
      <c r="S141" s="2039"/>
      <c r="T141" s="2039"/>
      <c r="U141" s="1487"/>
      <c r="V141" s="1487"/>
      <c r="W141" s="1489"/>
      <c r="X141" s="395"/>
      <c r="Y141" s="395"/>
      <c r="Z141" s="395"/>
      <c r="AA141" s="395"/>
      <c r="AB141" s="395"/>
      <c r="AC141" s="395"/>
    </row>
    <row r="142" spans="1:29">
      <c r="A142" s="2037"/>
      <c r="B142" s="3816"/>
      <c r="C142" s="397"/>
      <c r="D142" s="397"/>
      <c r="E142" s="2043">
        <f>SUM(E140:E141)</f>
        <v>18002.37</v>
      </c>
      <c r="F142" s="2039"/>
      <c r="G142" s="2040"/>
      <c r="H142" s="3021"/>
      <c r="I142" s="3021"/>
      <c r="J142" s="3021"/>
      <c r="K142" s="3021"/>
      <c r="L142" s="3021"/>
      <c r="M142" s="3021"/>
      <c r="N142" s="3021"/>
      <c r="O142" s="2076"/>
      <c r="P142" s="2039"/>
      <c r="Q142" s="2039"/>
      <c r="R142" s="2039"/>
      <c r="S142" s="2039"/>
      <c r="T142" s="2039"/>
      <c r="U142" s="1487"/>
      <c r="V142" s="1487"/>
      <c r="W142" s="1489"/>
      <c r="X142" s="395"/>
      <c r="Y142" s="395"/>
      <c r="Z142" s="395"/>
      <c r="AA142" s="395"/>
      <c r="AB142" s="395"/>
      <c r="AC142" s="395"/>
    </row>
    <row r="143" spans="1:29">
      <c r="A143" s="2037">
        <v>2010</v>
      </c>
      <c r="B143" s="3816"/>
      <c r="C143" s="397" t="s">
        <v>1189</v>
      </c>
      <c r="D143" s="397"/>
      <c r="E143" s="1487">
        <v>40500</v>
      </c>
      <c r="F143" s="2039" t="s">
        <v>1197</v>
      </c>
      <c r="G143" s="1487">
        <f>E146/5</f>
        <v>8307.348</v>
      </c>
      <c r="H143" s="2039"/>
      <c r="I143" s="2039"/>
      <c r="J143" s="2039"/>
      <c r="K143" s="1487"/>
      <c r="L143" s="1487">
        <v>8307.35</v>
      </c>
      <c r="M143" s="1487">
        <v>8307.35</v>
      </c>
      <c r="N143" s="1487">
        <v>8307.35</v>
      </c>
      <c r="O143" s="1487">
        <v>8307.35</v>
      </c>
      <c r="P143" s="1487">
        <v>8307.35</v>
      </c>
      <c r="Q143" s="2039"/>
      <c r="R143" s="2039"/>
      <c r="S143" s="2039"/>
      <c r="T143" s="1487"/>
      <c r="U143" s="1487"/>
      <c r="V143" s="1487"/>
      <c r="W143" s="1489"/>
      <c r="X143" s="395"/>
      <c r="Y143" s="395"/>
      <c r="Z143" s="395"/>
    </row>
    <row r="144" spans="1:29">
      <c r="A144" s="2037"/>
      <c r="B144" s="3816"/>
      <c r="C144" s="397" t="s">
        <v>1381</v>
      </c>
      <c r="D144" s="397"/>
      <c r="E144" s="1487">
        <v>476.74</v>
      </c>
      <c r="F144" s="2039"/>
      <c r="G144" s="1487"/>
      <c r="H144" s="2039"/>
      <c r="I144" s="2039"/>
      <c r="J144" s="2039"/>
      <c r="K144" s="2039"/>
      <c r="L144" s="2039"/>
      <c r="M144" s="2039"/>
      <c r="N144" s="2039"/>
      <c r="O144" s="2039"/>
      <c r="P144" s="2039"/>
      <c r="Q144" s="2039"/>
      <c r="R144" s="2039"/>
      <c r="S144" s="2039"/>
      <c r="T144" s="1487"/>
      <c r="U144" s="1487"/>
      <c r="V144" s="1487"/>
      <c r="W144" s="1489"/>
      <c r="X144" s="395"/>
      <c r="Y144" s="395"/>
      <c r="Z144" s="395"/>
    </row>
    <row r="145" spans="1:29">
      <c r="A145" s="2037"/>
      <c r="B145" s="3816"/>
      <c r="C145" s="397" t="s">
        <v>1498</v>
      </c>
      <c r="D145" s="397"/>
      <c r="E145" s="1487">
        <v>560</v>
      </c>
      <c r="F145" s="2039"/>
      <c r="G145" s="1487"/>
      <c r="H145" s="2039"/>
      <c r="I145" s="2039"/>
      <c r="J145" s="2039"/>
      <c r="K145" s="2039"/>
      <c r="L145" s="2039"/>
      <c r="M145" s="2039"/>
      <c r="N145" s="2039"/>
      <c r="O145" s="2039"/>
      <c r="P145" s="2039"/>
      <c r="Q145" s="2039"/>
      <c r="R145" s="2039"/>
      <c r="S145" s="2039"/>
      <c r="T145" s="1487"/>
      <c r="U145" s="1487"/>
      <c r="V145" s="1487"/>
      <c r="W145" s="1489"/>
      <c r="X145" s="395"/>
      <c r="Y145" s="395"/>
      <c r="Z145" s="395"/>
    </row>
    <row r="146" spans="1:29">
      <c r="A146" s="2037"/>
      <c r="B146" s="3816"/>
      <c r="C146" s="397"/>
      <c r="D146" s="397"/>
      <c r="E146" s="2042">
        <f>SUM(E143:E145)</f>
        <v>41536.74</v>
      </c>
      <c r="F146" s="2039"/>
      <c r="G146" s="1487"/>
      <c r="H146" s="2039"/>
      <c r="I146" s="2039"/>
      <c r="J146" s="2039"/>
      <c r="K146" s="2039"/>
      <c r="L146" s="2039"/>
      <c r="M146" s="2039"/>
      <c r="N146" s="2039"/>
      <c r="O146" s="2039"/>
      <c r="P146" s="2039"/>
      <c r="Q146" s="2039"/>
      <c r="R146" s="2039"/>
      <c r="S146" s="2039"/>
      <c r="T146" s="1487"/>
      <c r="U146" s="1487"/>
      <c r="V146" s="1487"/>
      <c r="W146" s="1489"/>
      <c r="X146" s="395"/>
      <c r="Y146" s="395"/>
      <c r="Z146" s="395"/>
    </row>
    <row r="147" spans="1:29">
      <c r="A147" s="2037">
        <v>2009</v>
      </c>
      <c r="B147" s="3816"/>
      <c r="C147" s="397" t="s">
        <v>1612</v>
      </c>
      <c r="D147" s="397"/>
      <c r="E147" s="1487">
        <v>7000</v>
      </c>
      <c r="F147" s="2039" t="s">
        <v>1197</v>
      </c>
      <c r="G147" s="1487">
        <f>E150/5</f>
        <v>5500.5439999999999</v>
      </c>
      <c r="H147" s="1487"/>
      <c r="I147" s="1487"/>
      <c r="J147" s="1487"/>
      <c r="K147" s="1487">
        <v>5500.54</v>
      </c>
      <c r="L147" s="1487">
        <v>5500.54</v>
      </c>
      <c r="M147" s="1487">
        <v>5500.54</v>
      </c>
      <c r="N147" s="1487">
        <v>5500.54</v>
      </c>
      <c r="O147" s="1487">
        <v>5500.54</v>
      </c>
      <c r="P147" s="1487"/>
      <c r="Q147" s="1487"/>
      <c r="R147" s="1487"/>
      <c r="S147" s="1487"/>
      <c r="T147" s="1487"/>
      <c r="U147" s="1487"/>
      <c r="V147" s="1487"/>
      <c r="W147" s="1489"/>
      <c r="X147" s="395"/>
      <c r="Y147" s="395"/>
      <c r="Z147" s="395"/>
      <c r="AA147" s="395"/>
      <c r="AB147" s="395"/>
      <c r="AC147" s="395"/>
    </row>
    <row r="148" spans="1:29">
      <c r="A148" s="2037"/>
      <c r="B148" s="3816"/>
      <c r="C148" s="397" t="s">
        <v>1189</v>
      </c>
      <c r="D148" s="397"/>
      <c r="E148" s="1487">
        <v>19575</v>
      </c>
      <c r="F148" s="1487"/>
      <c r="G148" s="1487"/>
      <c r="H148" s="1487"/>
      <c r="I148" s="1487"/>
      <c r="J148" s="1487"/>
      <c r="K148" s="1487"/>
      <c r="L148" s="397"/>
      <c r="M148" s="397"/>
      <c r="N148" s="397"/>
      <c r="O148" s="1487"/>
      <c r="P148" s="1487"/>
      <c r="Q148" s="1487"/>
      <c r="R148" s="1487"/>
      <c r="S148" s="1487"/>
      <c r="T148" s="1487"/>
      <c r="U148" s="1487"/>
      <c r="V148" s="1487"/>
      <c r="W148" s="1489"/>
      <c r="X148" s="395"/>
      <c r="Y148" s="395"/>
      <c r="Z148" s="395"/>
      <c r="AA148" s="395"/>
      <c r="AB148" s="395"/>
      <c r="AC148" s="395"/>
    </row>
    <row r="149" spans="1:29">
      <c r="A149" s="2037"/>
      <c r="B149" s="3816"/>
      <c r="C149" s="397" t="s">
        <v>1498</v>
      </c>
      <c r="D149" s="397"/>
      <c r="E149" s="1487">
        <v>927.72</v>
      </c>
      <c r="F149" s="1487"/>
      <c r="G149" s="1487"/>
      <c r="H149" s="1487"/>
      <c r="I149" s="1487"/>
      <c r="J149" s="1487"/>
      <c r="K149" s="1487"/>
      <c r="L149" s="397"/>
      <c r="M149" s="397"/>
      <c r="N149" s="397"/>
      <c r="O149" s="1487"/>
      <c r="P149" s="1487"/>
      <c r="Q149" s="1487"/>
      <c r="R149" s="1487"/>
      <c r="S149" s="1487"/>
      <c r="T149" s="1487"/>
      <c r="U149" s="1487"/>
      <c r="V149" s="1487"/>
      <c r="W149" s="1489"/>
      <c r="X149" s="395"/>
      <c r="Y149" s="395"/>
      <c r="Z149" s="395"/>
      <c r="AA149" s="395"/>
      <c r="AB149" s="395"/>
      <c r="AC149" s="395"/>
    </row>
    <row r="150" spans="1:29">
      <c r="A150" s="2037"/>
      <c r="B150" s="3816"/>
      <c r="C150" s="1487"/>
      <c r="D150" s="397"/>
      <c r="E150" s="2043">
        <f>SUM(E147:E149)</f>
        <v>27502.720000000001</v>
      </c>
      <c r="F150" s="1487"/>
      <c r="G150" s="1487"/>
      <c r="H150" s="1487"/>
      <c r="I150" s="1487"/>
      <c r="J150" s="1487"/>
      <c r="K150" s="1487"/>
      <c r="L150" s="397"/>
      <c r="M150" s="397"/>
      <c r="N150" s="397"/>
      <c r="O150" s="1487"/>
      <c r="P150" s="1487"/>
      <c r="Q150" s="1487"/>
      <c r="R150" s="1487"/>
      <c r="S150" s="1487"/>
      <c r="T150" s="1487"/>
      <c r="U150" s="1487"/>
      <c r="V150" s="1487"/>
      <c r="W150" s="1489"/>
      <c r="X150" s="395"/>
      <c r="Y150" s="395"/>
      <c r="Z150" s="395"/>
      <c r="AA150" s="395"/>
      <c r="AB150" s="395"/>
      <c r="AC150" s="395"/>
    </row>
    <row r="151" spans="1:29">
      <c r="A151" s="2037">
        <v>2008</v>
      </c>
      <c r="B151" s="3816"/>
      <c r="C151" s="397" t="s">
        <v>1612</v>
      </c>
      <c r="D151" s="397"/>
      <c r="E151" s="2042">
        <v>8267.2900000000009</v>
      </c>
      <c r="F151" s="2039" t="s">
        <v>1197</v>
      </c>
      <c r="G151" s="1487">
        <f>E151/5</f>
        <v>1653.4580000000001</v>
      </c>
      <c r="H151" s="1487"/>
      <c r="I151" s="1487"/>
      <c r="J151" s="1487">
        <v>1653.46</v>
      </c>
      <c r="K151" s="1487">
        <v>1653.46</v>
      </c>
      <c r="L151" s="1487">
        <v>1653.46</v>
      </c>
      <c r="M151" s="1487">
        <v>1653.46</v>
      </c>
      <c r="N151" s="1487">
        <v>1653.46</v>
      </c>
      <c r="O151" s="1487"/>
      <c r="P151" s="1487"/>
      <c r="Q151" s="1487"/>
      <c r="R151" s="1487"/>
      <c r="S151" s="1487"/>
      <c r="T151" s="1487"/>
      <c r="U151" s="1487"/>
      <c r="V151" s="1487"/>
      <c r="W151" s="1489"/>
      <c r="X151" s="395"/>
      <c r="Y151" s="395"/>
      <c r="Z151" s="395"/>
      <c r="AA151" s="395"/>
      <c r="AB151" s="395"/>
      <c r="AC151" s="395"/>
    </row>
    <row r="152" spans="1:29">
      <c r="A152" s="2037">
        <v>2007</v>
      </c>
      <c r="B152" s="3816"/>
      <c r="C152" s="397" t="s">
        <v>1612</v>
      </c>
      <c r="D152" s="397"/>
      <c r="E152" s="1487">
        <f>14000-6802.92-2267.64</f>
        <v>4929.4400000000005</v>
      </c>
      <c r="F152" s="2039" t="s">
        <v>1197</v>
      </c>
      <c r="G152" s="1487">
        <f>E156/5</f>
        <v>4577.4059999999999</v>
      </c>
      <c r="H152" s="1487"/>
      <c r="I152" s="1487">
        <v>4577.41</v>
      </c>
      <c r="J152" s="1487">
        <v>4577.41</v>
      </c>
      <c r="K152" s="1487">
        <v>4577.41</v>
      </c>
      <c r="L152" s="1487">
        <v>4577.41</v>
      </c>
      <c r="M152" s="1487">
        <v>4577.41</v>
      </c>
      <c r="N152" s="1487"/>
      <c r="O152" s="1487"/>
      <c r="P152" s="1487"/>
      <c r="Q152" s="1487"/>
      <c r="R152" s="1487"/>
      <c r="S152" s="1487"/>
      <c r="T152" s="1487"/>
      <c r="U152" s="1487"/>
      <c r="V152" s="1487"/>
      <c r="W152" s="1489"/>
      <c r="X152" s="395"/>
      <c r="Y152" s="395"/>
      <c r="Z152" s="395"/>
      <c r="AA152" s="395"/>
      <c r="AB152" s="395"/>
      <c r="AC152" s="395"/>
    </row>
    <row r="153" spans="1:29">
      <c r="A153" s="2037"/>
      <c r="B153" s="3816"/>
      <c r="C153" s="397" t="s">
        <v>1189</v>
      </c>
      <c r="D153" s="397"/>
      <c r="E153" s="1487">
        <v>8708.59</v>
      </c>
      <c r="F153" s="2039"/>
      <c r="G153" s="1487"/>
      <c r="H153" s="1487"/>
      <c r="I153" s="1487"/>
      <c r="J153" s="1487"/>
      <c r="K153" s="1487"/>
      <c r="L153" s="1487"/>
      <c r="M153" s="1487"/>
      <c r="N153" s="1487"/>
      <c r="O153" s="1487"/>
      <c r="P153" s="1487"/>
      <c r="Q153" s="1487"/>
      <c r="R153" s="1487"/>
      <c r="S153" s="1487"/>
      <c r="T153" s="1487"/>
      <c r="U153" s="1487"/>
      <c r="V153" s="1487"/>
      <c r="W153" s="1489"/>
      <c r="X153" s="395"/>
      <c r="Y153" s="395"/>
      <c r="Z153" s="395"/>
      <c r="AA153" s="395"/>
      <c r="AB153" s="395"/>
      <c r="AC153" s="395"/>
    </row>
    <row r="154" spans="1:29">
      <c r="A154" s="2037"/>
      <c r="B154" s="3816"/>
      <c r="C154" s="397" t="s">
        <v>1381</v>
      </c>
      <c r="D154" s="397"/>
      <c r="E154" s="1487">
        <v>7750</v>
      </c>
      <c r="F154" s="2039"/>
      <c r="G154" s="1487"/>
      <c r="H154" s="1487"/>
      <c r="I154" s="1487"/>
      <c r="J154" s="1487"/>
      <c r="K154" s="1487"/>
      <c r="L154" s="1487"/>
      <c r="M154" s="1487"/>
      <c r="N154" s="1487"/>
      <c r="O154" s="1487"/>
      <c r="P154" s="1487"/>
      <c r="Q154" s="1487"/>
      <c r="R154" s="1487"/>
      <c r="S154" s="1487"/>
      <c r="T154" s="1487"/>
      <c r="U154" s="1487"/>
      <c r="V154" s="1487"/>
      <c r="W154" s="1489"/>
      <c r="X154" s="395"/>
      <c r="Y154" s="395"/>
      <c r="Z154" s="395"/>
      <c r="AA154" s="395"/>
      <c r="AB154" s="395"/>
      <c r="AC154" s="395"/>
    </row>
    <row r="155" spans="1:29">
      <c r="A155" s="2037"/>
      <c r="B155" s="3816"/>
      <c r="C155" s="397" t="s">
        <v>1498</v>
      </c>
      <c r="D155" s="397"/>
      <c r="E155" s="1487">
        <v>1499</v>
      </c>
      <c r="F155" s="1487"/>
      <c r="G155" s="1487"/>
      <c r="H155" s="1487"/>
      <c r="I155" s="1487"/>
      <c r="J155" s="1487"/>
      <c r="K155" s="1487"/>
      <c r="L155" s="397"/>
      <c r="M155" s="397"/>
      <c r="N155" s="397"/>
      <c r="O155" s="1487"/>
      <c r="P155" s="1487"/>
      <c r="Q155" s="1487"/>
      <c r="R155" s="1487"/>
      <c r="S155" s="1487"/>
      <c r="T155" s="1487"/>
      <c r="U155" s="1487"/>
      <c r="V155" s="1487"/>
      <c r="W155" s="1489"/>
      <c r="X155" s="395"/>
      <c r="Y155" s="395"/>
      <c r="Z155" s="395"/>
      <c r="AA155" s="395"/>
      <c r="AB155" s="395"/>
      <c r="AC155" s="395"/>
    </row>
    <row r="156" spans="1:29">
      <c r="A156" s="2038"/>
      <c r="B156" s="3816"/>
      <c r="C156" s="397"/>
      <c r="D156" s="397"/>
      <c r="E156" s="2042">
        <f>SUM(E152:E155)</f>
        <v>22887.03</v>
      </c>
      <c r="F156" s="1487"/>
      <c r="G156" s="1487"/>
      <c r="H156" s="1487"/>
      <c r="I156" s="1487"/>
      <c r="J156" s="1487"/>
      <c r="K156" s="1487"/>
      <c r="L156" s="397"/>
      <c r="M156" s="397"/>
      <c r="N156" s="397"/>
      <c r="O156" s="1487"/>
      <c r="P156" s="1487"/>
      <c r="Q156" s="1487"/>
      <c r="R156" s="1487"/>
      <c r="S156" s="1487"/>
      <c r="T156" s="1487"/>
      <c r="U156" s="1487"/>
      <c r="V156" s="1487"/>
      <c r="W156" s="1489"/>
      <c r="X156" s="395"/>
      <c r="Y156" s="395"/>
      <c r="Z156" s="395"/>
      <c r="AA156" s="395"/>
      <c r="AB156" s="395"/>
      <c r="AC156" s="395"/>
    </row>
    <row r="157" spans="1:29">
      <c r="A157" s="2021"/>
      <c r="B157" s="2069"/>
      <c r="C157" s="2022" t="s">
        <v>1201</v>
      </c>
      <c r="D157" s="2010"/>
      <c r="E157" s="2010"/>
      <c r="F157" s="2010"/>
      <c r="G157" s="2009">
        <f>SUM(G140:G156)</f>
        <v>23639.23</v>
      </c>
      <c r="H157" s="2009">
        <f t="shared" ref="H157:R157" si="22">SUM(H128:H156)</f>
        <v>0</v>
      </c>
      <c r="I157" s="2009">
        <f t="shared" si="22"/>
        <v>4577.41</v>
      </c>
      <c r="J157" s="2009">
        <f t="shared" si="22"/>
        <v>6230.87</v>
      </c>
      <c r="K157" s="2009">
        <f t="shared" si="22"/>
        <v>11731.41</v>
      </c>
      <c r="L157" s="2009">
        <f t="shared" si="22"/>
        <v>23639.23</v>
      </c>
      <c r="M157" s="2009">
        <f t="shared" si="22"/>
        <v>27676.79</v>
      </c>
      <c r="N157" s="2009">
        <f t="shared" si="22"/>
        <v>24002.65</v>
      </c>
      <c r="O157" s="2009">
        <f t="shared" si="22"/>
        <v>24342.991999999998</v>
      </c>
      <c r="P157" s="2009">
        <f t="shared" si="22"/>
        <v>19088.252</v>
      </c>
      <c r="Q157" s="2009">
        <f t="shared" si="22"/>
        <v>9475.2639999999992</v>
      </c>
      <c r="R157" s="2009">
        <f t="shared" si="22"/>
        <v>6446.5040000000008</v>
      </c>
      <c r="S157" s="2009">
        <f>SUM(S121:S156)</f>
        <v>8084.7939999999999</v>
      </c>
      <c r="T157" s="2009">
        <f>SUM(T121:T156)</f>
        <v>14739.641999999998</v>
      </c>
      <c r="U157" s="2009">
        <f>SUM(U121:U156)</f>
        <v>131860.31199999998</v>
      </c>
      <c r="V157" s="2009">
        <f>SUM(V121:V156)</f>
        <v>133651</v>
      </c>
      <c r="W157" s="2070">
        <f>SUM(W121:W156)</f>
        <v>132642.20000000001</v>
      </c>
      <c r="X157" s="395"/>
      <c r="Y157" s="395"/>
      <c r="Z157" s="395"/>
      <c r="AA157" s="395"/>
      <c r="AB157" s="395"/>
      <c r="AC157" s="395"/>
    </row>
    <row r="158" spans="1:29">
      <c r="A158" s="1633"/>
      <c r="B158" s="1633"/>
      <c r="C158" s="395"/>
      <c r="D158" s="395"/>
      <c r="E158" s="395"/>
      <c r="F158" s="395"/>
      <c r="G158" s="395"/>
      <c r="O158" s="395"/>
      <c r="P158" s="395"/>
      <c r="Q158" s="395"/>
      <c r="AA158" s="395"/>
      <c r="AB158" s="395"/>
      <c r="AC158" s="395"/>
    </row>
    <row r="159" spans="1:29">
      <c r="A159" s="1633"/>
      <c r="B159" s="1633"/>
      <c r="C159" s="395"/>
      <c r="D159" s="395"/>
      <c r="E159" s="395"/>
      <c r="F159" s="395"/>
      <c r="G159" s="395"/>
      <c r="O159" s="395"/>
      <c r="P159" s="395"/>
      <c r="Q159" s="395"/>
      <c r="AA159" s="395"/>
      <c r="AB159" s="395"/>
      <c r="AC159" s="395"/>
    </row>
    <row r="160" spans="1:29">
      <c r="A160" s="1569" t="s">
        <v>7094</v>
      </c>
      <c r="B160" s="1569"/>
      <c r="C160" s="395"/>
      <c r="D160" s="395"/>
      <c r="E160" s="395"/>
      <c r="F160" s="395"/>
      <c r="G160" s="395"/>
      <c r="O160" s="395"/>
      <c r="P160" s="395"/>
      <c r="Q160" s="395"/>
      <c r="AA160" s="395"/>
    </row>
    <row r="161" spans="1:27">
      <c r="A161" s="1633"/>
      <c r="B161" s="1633"/>
      <c r="C161" s="395"/>
      <c r="D161" s="395"/>
      <c r="E161" s="395"/>
      <c r="F161" s="395"/>
      <c r="G161" s="395"/>
      <c r="O161" s="395"/>
      <c r="P161" s="395"/>
      <c r="Q161" s="395"/>
      <c r="AA161" s="395"/>
    </row>
    <row r="162" spans="1:27">
      <c r="A162" s="2067" t="s">
        <v>623</v>
      </c>
      <c r="B162" s="2068"/>
      <c r="C162" s="2068" t="s">
        <v>1002</v>
      </c>
      <c r="D162" s="2068"/>
      <c r="E162" s="2068"/>
      <c r="F162" s="2068"/>
      <c r="G162" s="2068"/>
      <c r="H162" s="1990">
        <v>2007</v>
      </c>
      <c r="I162" s="1990">
        <v>2008</v>
      </c>
      <c r="J162" s="1990">
        <v>2009</v>
      </c>
      <c r="K162" s="1990">
        <v>2010</v>
      </c>
      <c r="L162" s="1990">
        <v>2011</v>
      </c>
      <c r="M162" s="1990">
        <v>2012</v>
      </c>
      <c r="N162" s="1990">
        <v>2013</v>
      </c>
      <c r="O162" s="1990">
        <v>2014</v>
      </c>
      <c r="P162" s="1990">
        <v>2015</v>
      </c>
      <c r="Q162" s="1990">
        <v>2016</v>
      </c>
      <c r="R162" s="1990">
        <v>2017</v>
      </c>
      <c r="S162" s="1990">
        <v>2018</v>
      </c>
      <c r="T162" s="1990">
        <v>2019</v>
      </c>
      <c r="U162" s="1990">
        <v>2020</v>
      </c>
      <c r="V162" s="1990">
        <v>2021</v>
      </c>
      <c r="W162" s="2050">
        <v>2022</v>
      </c>
      <c r="X162" s="1973"/>
      <c r="Y162" s="1973"/>
      <c r="Z162" s="1973"/>
      <c r="AA162" s="1633"/>
    </row>
    <row r="163" spans="1:27">
      <c r="A163" s="1984" t="s">
        <v>1003</v>
      </c>
      <c r="B163" s="1985"/>
      <c r="C163" s="1986"/>
      <c r="D163" s="1986"/>
      <c r="E163" s="1986"/>
      <c r="F163" s="1986"/>
      <c r="G163" s="1986"/>
      <c r="H163" s="1987"/>
      <c r="I163" s="1987"/>
      <c r="J163" s="1987"/>
      <c r="K163" s="1987"/>
      <c r="L163" s="1987"/>
      <c r="M163" s="1987"/>
      <c r="N163" s="1987"/>
      <c r="O163" s="1986"/>
      <c r="P163" s="1986"/>
      <c r="Q163" s="1986"/>
      <c r="R163" s="1987"/>
      <c r="S163" s="1987"/>
      <c r="T163" s="1987"/>
      <c r="U163" s="1987"/>
      <c r="V163" s="1987"/>
      <c r="W163" s="1988"/>
      <c r="AA163" s="395"/>
    </row>
    <row r="164" spans="1:27">
      <c r="A164" s="2048" t="s">
        <v>1202</v>
      </c>
      <c r="B164" s="1999"/>
      <c r="C164" s="397"/>
      <c r="D164" s="397"/>
      <c r="E164" s="397"/>
      <c r="F164" s="397"/>
      <c r="G164" s="1996"/>
      <c r="H164" s="1487"/>
      <c r="I164" s="1487"/>
      <c r="J164" s="1487"/>
      <c r="K164" s="1487"/>
      <c r="L164" s="1487"/>
      <c r="M164" s="1487"/>
      <c r="N164" s="1487"/>
      <c r="O164" s="397"/>
      <c r="P164" s="397"/>
      <c r="Q164" s="397"/>
      <c r="R164" s="1487"/>
      <c r="S164" s="1487"/>
      <c r="T164" s="1487"/>
      <c r="U164" s="1487"/>
      <c r="V164" s="1487"/>
      <c r="W164" s="1489"/>
      <c r="AA164" s="395"/>
    </row>
    <row r="165" spans="1:27">
      <c r="A165" s="1997" t="s">
        <v>1616</v>
      </c>
      <c r="B165" s="583"/>
      <c r="C165" s="397" t="s">
        <v>1204</v>
      </c>
      <c r="D165" s="397"/>
      <c r="E165" s="397"/>
      <c r="F165" s="397"/>
      <c r="G165" s="1998"/>
      <c r="H165" s="1487">
        <v>0</v>
      </c>
      <c r="I165" s="1487">
        <v>0</v>
      </c>
      <c r="J165" s="1487">
        <v>1245.8699999999999</v>
      </c>
      <c r="K165" s="1487">
        <v>73.34</v>
      </c>
      <c r="L165" s="1487">
        <v>54.07</v>
      </c>
      <c r="M165" s="1487">
        <v>569.08000000000004</v>
      </c>
      <c r="N165" s="1487">
        <v>689.03</v>
      </c>
      <c r="O165" s="1487"/>
      <c r="P165" s="1487"/>
      <c r="Q165" s="1487"/>
      <c r="R165" s="1487"/>
      <c r="S165" s="1487"/>
      <c r="T165" s="1487"/>
      <c r="U165" s="1487"/>
      <c r="V165" s="1487"/>
      <c r="W165" s="1489"/>
      <c r="AA165" s="395"/>
    </row>
    <row r="166" spans="1:27">
      <c r="A166" s="1997" t="s">
        <v>1617</v>
      </c>
      <c r="B166" s="583"/>
      <c r="C166" s="397" t="s">
        <v>1219</v>
      </c>
      <c r="D166" s="397"/>
      <c r="E166" s="397"/>
      <c r="F166" s="397"/>
      <c r="G166" s="1998"/>
      <c r="H166" s="1487">
        <v>742</v>
      </c>
      <c r="I166" s="1487">
        <v>593</v>
      </c>
      <c r="J166" s="1487">
        <v>621</v>
      </c>
      <c r="K166" s="1487">
        <v>282.5</v>
      </c>
      <c r="L166" s="1487">
        <v>877.6</v>
      </c>
      <c r="M166" s="1487">
        <v>182.2</v>
      </c>
      <c r="N166" s="1487">
        <v>201.45</v>
      </c>
      <c r="O166" s="1487"/>
      <c r="P166" s="1487"/>
      <c r="Q166" s="1487"/>
      <c r="R166" s="1487"/>
      <c r="S166" s="1487"/>
      <c r="T166" s="1487"/>
      <c r="U166" s="1487"/>
      <c r="V166" s="1487"/>
      <c r="W166" s="1489"/>
      <c r="AA166" s="395"/>
    </row>
    <row r="167" spans="1:27">
      <c r="A167" s="1997" t="s">
        <v>1618</v>
      </c>
      <c r="B167" s="583"/>
      <c r="C167" s="397" t="s">
        <v>1389</v>
      </c>
      <c r="D167" s="397"/>
      <c r="E167" s="397"/>
      <c r="F167" s="397"/>
      <c r="G167" s="1998"/>
      <c r="H167" s="1487">
        <v>1387</v>
      </c>
      <c r="I167" s="1487">
        <v>1346.8</v>
      </c>
      <c r="J167" s="1487">
        <v>1400.2</v>
      </c>
      <c r="K167" s="1487">
        <v>1916.3</v>
      </c>
      <c r="L167" s="1487">
        <v>2199.4499999999998</v>
      </c>
      <c r="M167" s="1487">
        <v>3649</v>
      </c>
      <c r="N167" s="1487">
        <v>0</v>
      </c>
      <c r="O167" s="1487">
        <v>3532.05</v>
      </c>
      <c r="P167" s="1487">
        <v>4322.75</v>
      </c>
      <c r="Q167" s="1487">
        <v>4180</v>
      </c>
      <c r="R167" s="1487">
        <v>3260</v>
      </c>
      <c r="S167" s="1487">
        <v>3272</v>
      </c>
      <c r="T167" s="1487"/>
      <c r="U167" s="1487"/>
      <c r="V167" s="1487"/>
      <c r="W167" s="1489"/>
      <c r="AA167" s="395"/>
    </row>
    <row r="168" spans="1:27">
      <c r="A168" s="1997" t="s">
        <v>1619</v>
      </c>
      <c r="B168" s="583">
        <v>703000</v>
      </c>
      <c r="C168" s="397" t="s">
        <v>1620</v>
      </c>
      <c r="D168" s="397"/>
      <c r="E168" s="397"/>
      <c r="F168" s="397"/>
      <c r="G168" s="1998"/>
      <c r="H168" s="1487">
        <v>2554.7199999999998</v>
      </c>
      <c r="I168" s="1487">
        <v>0</v>
      </c>
      <c r="J168" s="1487">
        <v>0</v>
      </c>
      <c r="K168" s="1487">
        <v>2512.6</v>
      </c>
      <c r="L168" s="1487">
        <v>0</v>
      </c>
      <c r="M168" s="1487">
        <v>5711.03</v>
      </c>
      <c r="N168" s="1487">
        <v>3070.77</v>
      </c>
      <c r="O168" s="1487"/>
      <c r="P168" s="1487">
        <v>5958.31</v>
      </c>
      <c r="Q168" s="1487"/>
      <c r="R168" s="1487">
        <v>6301.91</v>
      </c>
      <c r="S168" s="1487"/>
      <c r="T168" s="1487">
        <v>115</v>
      </c>
      <c r="U168" s="1487">
        <v>16499</v>
      </c>
      <c r="V168" s="1487">
        <v>503</v>
      </c>
      <c r="W168" s="1489"/>
      <c r="AA168" s="395"/>
    </row>
    <row r="169" spans="1:27">
      <c r="A169" s="1997" t="s">
        <v>7401</v>
      </c>
      <c r="B169" s="583">
        <v>701000</v>
      </c>
      <c r="C169" s="397" t="s">
        <v>1391</v>
      </c>
      <c r="D169" s="397"/>
      <c r="E169" s="397"/>
      <c r="F169" s="397"/>
      <c r="G169" s="1998"/>
      <c r="H169" s="1487"/>
      <c r="I169" s="1487"/>
      <c r="J169" s="1487"/>
      <c r="K169" s="1487"/>
      <c r="L169" s="1487"/>
      <c r="M169" s="1487"/>
      <c r="N169" s="1487"/>
      <c r="O169" s="1487"/>
      <c r="P169" s="1487"/>
      <c r="Q169" s="1487"/>
      <c r="R169" s="1487"/>
      <c r="S169" s="1487"/>
      <c r="T169" s="1487">
        <v>55278.35</v>
      </c>
      <c r="U169" s="1487">
        <v>14329.2</v>
      </c>
      <c r="V169" s="1487">
        <v>23920.51</v>
      </c>
      <c r="W169" s="1489"/>
      <c r="AA169" s="395"/>
    </row>
    <row r="170" spans="1:27">
      <c r="A170" s="1997" t="s">
        <v>1621</v>
      </c>
      <c r="B170" s="583"/>
      <c r="C170" s="397" t="s">
        <v>1206</v>
      </c>
      <c r="D170" s="397"/>
      <c r="E170" s="397"/>
      <c r="F170" s="397"/>
      <c r="G170" s="1998"/>
      <c r="H170" s="1487">
        <v>1069.5</v>
      </c>
      <c r="I170" s="1487">
        <v>35.5</v>
      </c>
      <c r="J170" s="1487">
        <v>1382.5</v>
      </c>
      <c r="K170" s="1487">
        <v>791.75</v>
      </c>
      <c r="L170" s="1487">
        <v>723.75</v>
      </c>
      <c r="M170" s="1487">
        <v>2264.16</v>
      </c>
      <c r="N170" s="1487">
        <v>2373.66</v>
      </c>
      <c r="O170" s="1487">
        <v>2219</v>
      </c>
      <c r="P170" s="1487">
        <v>2119.1799999999998</v>
      </c>
      <c r="Q170" s="1487">
        <v>2475.35</v>
      </c>
      <c r="R170" s="1487">
        <v>2351.1799999999998</v>
      </c>
      <c r="S170" s="1487">
        <v>3082.69</v>
      </c>
      <c r="T170" s="1487"/>
      <c r="U170" s="1487"/>
      <c r="V170" s="1487"/>
      <c r="W170" s="1489"/>
      <c r="AA170" s="395"/>
    </row>
    <row r="171" spans="1:27">
      <c r="A171" s="1997" t="s">
        <v>1622</v>
      </c>
      <c r="B171" s="583">
        <v>700900</v>
      </c>
      <c r="C171" s="397" t="s">
        <v>1213</v>
      </c>
      <c r="D171" s="397"/>
      <c r="E171" s="397"/>
      <c r="F171" s="397"/>
      <c r="G171" s="1998"/>
      <c r="H171" s="1487">
        <v>572.15</v>
      </c>
      <c r="I171" s="1487">
        <v>544.79999999999995</v>
      </c>
      <c r="J171" s="1487">
        <v>515.85</v>
      </c>
      <c r="K171" s="1487">
        <v>722.1</v>
      </c>
      <c r="L171" s="1487">
        <v>498.8</v>
      </c>
      <c r="M171" s="1487">
        <v>707.6</v>
      </c>
      <c r="N171" s="1487">
        <v>705.7</v>
      </c>
      <c r="O171" s="1487"/>
      <c r="P171" s="1487">
        <v>140.36000000000001</v>
      </c>
      <c r="Q171" s="1487"/>
      <c r="R171" s="1487"/>
      <c r="S171" s="1487"/>
      <c r="T171" s="1487"/>
      <c r="U171" s="1487"/>
      <c r="V171" s="1487"/>
      <c r="W171" s="1489"/>
      <c r="AA171" s="395"/>
    </row>
    <row r="172" spans="1:27">
      <c r="A172" s="1997" t="s">
        <v>1623</v>
      </c>
      <c r="B172" s="583"/>
      <c r="C172" s="397" t="s">
        <v>1213</v>
      </c>
      <c r="D172" s="397"/>
      <c r="E172" s="397"/>
      <c r="F172" s="397"/>
      <c r="G172" s="2002"/>
      <c r="H172" s="1487">
        <v>128.4</v>
      </c>
      <c r="I172" s="1487">
        <v>156</v>
      </c>
      <c r="J172" s="1487">
        <v>129.69999999999999</v>
      </c>
      <c r="K172" s="1487">
        <v>172.55</v>
      </c>
      <c r="L172" s="1487">
        <v>435</v>
      </c>
      <c r="M172" s="1487">
        <v>213.15</v>
      </c>
      <c r="N172" s="1487">
        <v>208.8</v>
      </c>
      <c r="O172" s="1487"/>
      <c r="P172" s="1487"/>
      <c r="Q172" s="1487"/>
      <c r="R172" s="1487"/>
      <c r="S172" s="1487"/>
      <c r="T172" s="1487"/>
      <c r="U172" s="1487"/>
      <c r="V172" s="1487"/>
      <c r="W172" s="1489"/>
      <c r="AA172" s="395"/>
    </row>
    <row r="173" spans="1:27">
      <c r="A173" s="2046"/>
      <c r="B173" s="2064"/>
      <c r="C173" s="2047" t="s">
        <v>1221</v>
      </c>
      <c r="D173" s="2047"/>
      <c r="E173" s="2047"/>
      <c r="F173" s="2047"/>
      <c r="G173" s="2047"/>
      <c r="H173" s="2005">
        <f t="shared" ref="H173:W173" si="23">SUM(H165:H172)</f>
        <v>6453.7699999999986</v>
      </c>
      <c r="I173" s="2005">
        <f t="shared" si="23"/>
        <v>2676.1</v>
      </c>
      <c r="J173" s="2005">
        <f t="shared" si="23"/>
        <v>5295.12</v>
      </c>
      <c r="K173" s="2005">
        <f t="shared" si="23"/>
        <v>6471.14</v>
      </c>
      <c r="L173" s="2005">
        <f t="shared" si="23"/>
        <v>4788.67</v>
      </c>
      <c r="M173" s="2005">
        <f t="shared" si="23"/>
        <v>13296.22</v>
      </c>
      <c r="N173" s="2005">
        <f t="shared" si="23"/>
        <v>7249.41</v>
      </c>
      <c r="O173" s="2005">
        <f t="shared" si="23"/>
        <v>5751.05</v>
      </c>
      <c r="P173" s="2005">
        <f t="shared" si="23"/>
        <v>12540.600000000002</v>
      </c>
      <c r="Q173" s="2005">
        <f t="shared" si="23"/>
        <v>6655.35</v>
      </c>
      <c r="R173" s="2005">
        <f t="shared" si="23"/>
        <v>11913.09</v>
      </c>
      <c r="S173" s="2005">
        <f t="shared" si="23"/>
        <v>6354.6900000000005</v>
      </c>
      <c r="T173" s="2005">
        <f t="shared" si="23"/>
        <v>55393.35</v>
      </c>
      <c r="U173" s="2005">
        <f t="shared" si="23"/>
        <v>30828.2</v>
      </c>
      <c r="V173" s="2005">
        <f t="shared" si="23"/>
        <v>24423.51</v>
      </c>
      <c r="W173" s="3150">
        <f t="shared" si="23"/>
        <v>0</v>
      </c>
      <c r="AA173" s="395"/>
    </row>
    <row r="174" spans="1:27">
      <c r="A174" s="2048" t="s">
        <v>1163</v>
      </c>
      <c r="B174" s="1999"/>
      <c r="C174" s="397"/>
      <c r="D174" s="397"/>
      <c r="E174" s="397"/>
      <c r="F174" s="397"/>
      <c r="G174" s="1996"/>
      <c r="H174" s="1487"/>
      <c r="I174" s="1487"/>
      <c r="J174" s="1487"/>
      <c r="K174" s="1487"/>
      <c r="L174" s="1487"/>
      <c r="M174" s="1487"/>
      <c r="N174" s="1487"/>
      <c r="O174" s="397"/>
      <c r="P174" s="397"/>
      <c r="Q174" s="397"/>
      <c r="R174" s="1487"/>
      <c r="S174" s="1487"/>
      <c r="T174" s="1487"/>
      <c r="U174" s="1487"/>
      <c r="V174" s="1487"/>
      <c r="W174" s="1489"/>
      <c r="AA174" s="395"/>
    </row>
    <row r="175" spans="1:27">
      <c r="A175" s="1997" t="s">
        <v>1624</v>
      </c>
      <c r="B175" s="583"/>
      <c r="C175" s="397" t="s">
        <v>1404</v>
      </c>
      <c r="D175" s="397"/>
      <c r="E175" s="397"/>
      <c r="F175" s="397"/>
      <c r="G175" s="1998"/>
      <c r="H175" s="1487"/>
      <c r="I175" s="1487">
        <v>605.25</v>
      </c>
      <c r="J175" s="1487">
        <v>0</v>
      </c>
      <c r="K175" s="1487">
        <v>0</v>
      </c>
      <c r="L175" s="1487">
        <v>0</v>
      </c>
      <c r="M175" s="1487"/>
      <c r="N175" s="1487"/>
      <c r="O175" s="397"/>
      <c r="P175" s="397"/>
      <c r="Q175" s="397"/>
      <c r="R175" s="1487"/>
      <c r="S175" s="1487"/>
      <c r="T175" s="1487"/>
      <c r="U175" s="1487"/>
      <c r="V175" s="1487"/>
      <c r="W175" s="1489"/>
      <c r="AA175" s="395"/>
    </row>
    <row r="176" spans="1:27">
      <c r="A176" s="1997" t="s">
        <v>1625</v>
      </c>
      <c r="B176" s="583">
        <v>740870</v>
      </c>
      <c r="C176" s="397" t="s">
        <v>1626</v>
      </c>
      <c r="D176" s="397"/>
      <c r="E176" s="397"/>
      <c r="F176" s="397"/>
      <c r="G176" s="1998"/>
      <c r="H176" s="1487">
        <v>828941</v>
      </c>
      <c r="I176" s="1487">
        <v>839885</v>
      </c>
      <c r="J176" s="1487">
        <v>988535</v>
      </c>
      <c r="K176" s="1487">
        <v>1054371</v>
      </c>
      <c r="L176" s="1487">
        <v>1052366</v>
      </c>
      <c r="M176" s="1487">
        <v>1110571</v>
      </c>
      <c r="N176" s="1487">
        <v>1087456</v>
      </c>
      <c r="O176" s="1487">
        <v>1087456</v>
      </c>
      <c r="P176" s="1487">
        <v>1108956</v>
      </c>
      <c r="Q176" s="1487">
        <v>1119828</v>
      </c>
      <c r="R176" s="1487">
        <v>1142224</v>
      </c>
      <c r="S176" s="1487">
        <v>1142224</v>
      </c>
      <c r="T176" s="1487">
        <v>1170780</v>
      </c>
      <c r="U176" s="1487">
        <v>1170780</v>
      </c>
      <c r="V176" s="1487">
        <v>1170780</v>
      </c>
      <c r="W176" s="1489"/>
      <c r="AA176" s="395"/>
    </row>
    <row r="177" spans="1:27">
      <c r="A177" s="1997" t="s">
        <v>1627</v>
      </c>
      <c r="B177" s="583">
        <v>740900</v>
      </c>
      <c r="C177" s="397" t="s">
        <v>1628</v>
      </c>
      <c r="D177" s="397"/>
      <c r="E177" s="397"/>
      <c r="F177" s="397"/>
      <c r="G177" s="1998"/>
      <c r="H177" s="1487">
        <v>21340.240000000002</v>
      </c>
      <c r="I177" s="1487">
        <v>15934</v>
      </c>
      <c r="J177" s="1487">
        <v>18298.5</v>
      </c>
      <c r="K177" s="1487">
        <v>14701.45</v>
      </c>
      <c r="L177" s="1487">
        <v>17686.84</v>
      </c>
      <c r="M177" s="1487">
        <v>17196.37</v>
      </c>
      <c r="N177" s="1487">
        <v>16423.7</v>
      </c>
      <c r="O177" s="1487">
        <v>34734.6</v>
      </c>
      <c r="P177" s="1487">
        <v>34029.58</v>
      </c>
      <c r="Q177" s="1487">
        <v>32408.04</v>
      </c>
      <c r="R177" s="1487">
        <v>32173.95</v>
      </c>
      <c r="S177" s="1487">
        <v>38795.71</v>
      </c>
      <c r="T177" s="1487">
        <v>14901.27</v>
      </c>
      <c r="U177" s="1487">
        <v>10355.31</v>
      </c>
      <c r="V177" s="1487">
        <v>30293.86</v>
      </c>
      <c r="W177" s="1489"/>
      <c r="AA177" s="395"/>
    </row>
    <row r="178" spans="1:27">
      <c r="A178" s="1997" t="s">
        <v>1629</v>
      </c>
      <c r="B178" s="583">
        <v>745000</v>
      </c>
      <c r="C178" s="397" t="s">
        <v>1209</v>
      </c>
      <c r="D178" s="397"/>
      <c r="E178" s="397"/>
      <c r="F178" s="397"/>
      <c r="G178" s="1998"/>
      <c r="H178" s="1487"/>
      <c r="I178" s="1487"/>
      <c r="J178" s="1487"/>
      <c r="K178" s="1487"/>
      <c r="L178" s="1487"/>
      <c r="M178" s="1487"/>
      <c r="N178" s="1487"/>
      <c r="O178" s="1487">
        <v>912.05</v>
      </c>
      <c r="P178" s="1487">
        <v>1107.8</v>
      </c>
      <c r="Q178" s="1487">
        <v>864.2</v>
      </c>
      <c r="R178" s="1487">
        <v>574.20000000000005</v>
      </c>
      <c r="S178" s="1487">
        <v>522</v>
      </c>
      <c r="T178" s="1487">
        <v>340.75</v>
      </c>
      <c r="U178" s="1487">
        <v>513.29999999999995</v>
      </c>
      <c r="V178" s="1487">
        <v>545.20000000000005</v>
      </c>
      <c r="W178" s="1489"/>
      <c r="AA178" s="395"/>
    </row>
    <row r="179" spans="1:27">
      <c r="A179" s="1997" t="s">
        <v>1630</v>
      </c>
      <c r="B179" s="583"/>
      <c r="C179" s="397" t="s">
        <v>1230</v>
      </c>
      <c r="D179" s="397"/>
      <c r="E179" s="397"/>
      <c r="F179" s="397"/>
      <c r="G179" s="1998"/>
      <c r="H179" s="1487">
        <v>20906</v>
      </c>
      <c r="I179" s="1487">
        <v>20906</v>
      </c>
      <c r="J179" s="1487">
        <v>20906</v>
      </c>
      <c r="K179" s="1487">
        <v>20906</v>
      </c>
      <c r="L179" s="1487">
        <v>20906</v>
      </c>
      <c r="M179" s="1487">
        <v>20906</v>
      </c>
      <c r="N179" s="1487">
        <v>20906</v>
      </c>
      <c r="O179" s="1487">
        <v>29994.25</v>
      </c>
      <c r="P179" s="1487">
        <v>29994.25</v>
      </c>
      <c r="Q179" s="1487"/>
      <c r="R179" s="1487"/>
      <c r="S179" s="1487"/>
      <c r="T179" s="1487"/>
      <c r="U179" s="1487"/>
      <c r="V179" s="1487"/>
      <c r="W179" s="1489"/>
      <c r="AA179" s="395"/>
    </row>
    <row r="180" spans="1:27">
      <c r="A180" s="1997" t="s">
        <v>1631</v>
      </c>
      <c r="B180" s="583"/>
      <c r="C180" s="397" t="s">
        <v>1230</v>
      </c>
      <c r="D180" s="397"/>
      <c r="E180" s="397"/>
      <c r="F180" s="397"/>
      <c r="G180" s="1998"/>
      <c r="H180" s="1487">
        <v>7499</v>
      </c>
      <c r="I180" s="1487">
        <v>7499</v>
      </c>
      <c r="J180" s="1487">
        <v>7499</v>
      </c>
      <c r="K180" s="1487">
        <v>7499</v>
      </c>
      <c r="L180" s="1487">
        <v>7499</v>
      </c>
      <c r="M180" s="1487">
        <v>7499</v>
      </c>
      <c r="N180" s="1487">
        <v>7499</v>
      </c>
      <c r="O180" s="397"/>
      <c r="P180" s="397"/>
      <c r="Q180" s="397"/>
      <c r="R180" s="1487"/>
      <c r="S180" s="1487"/>
      <c r="T180" s="1487"/>
      <c r="U180" s="1487"/>
      <c r="V180" s="1487"/>
      <c r="W180" s="1489"/>
      <c r="AA180" s="395"/>
    </row>
    <row r="181" spans="1:27">
      <c r="A181" s="1997" t="s">
        <v>1632</v>
      </c>
      <c r="B181" s="583">
        <v>740860</v>
      </c>
      <c r="C181" s="397" t="s">
        <v>1633</v>
      </c>
      <c r="D181" s="397"/>
      <c r="E181" s="397"/>
      <c r="F181" s="397"/>
      <c r="G181" s="1998"/>
      <c r="H181" s="1487">
        <v>118155.92</v>
      </c>
      <c r="I181" s="1487">
        <v>120019.17</v>
      </c>
      <c r="J181" s="1487">
        <v>121594.04</v>
      </c>
      <c r="K181" s="1487">
        <v>122260.92</v>
      </c>
      <c r="L181" s="1487">
        <v>130450.46</v>
      </c>
      <c r="M181" s="1487">
        <v>127116.43</v>
      </c>
      <c r="N181" s="1487">
        <v>128624.16</v>
      </c>
      <c r="O181" s="1487">
        <v>127328.12</v>
      </c>
      <c r="P181" s="1487">
        <v>126060.64</v>
      </c>
      <c r="Q181" s="1487">
        <v>135293.23000000001</v>
      </c>
      <c r="R181" s="1487">
        <v>133388.29</v>
      </c>
      <c r="S181" s="1487">
        <v>116990.37</v>
      </c>
      <c r="T181" s="1487">
        <v>90475.32</v>
      </c>
      <c r="U181" s="1487">
        <v>110965.57</v>
      </c>
      <c r="V181" s="1487">
        <v>114762.87</v>
      </c>
      <c r="W181" s="1489"/>
      <c r="AA181" s="395"/>
    </row>
    <row r="182" spans="1:27">
      <c r="A182" s="1997" t="s">
        <v>1634</v>
      </c>
      <c r="B182" s="583"/>
      <c r="C182" s="397" t="s">
        <v>1635</v>
      </c>
      <c r="D182" s="397"/>
      <c r="E182" s="397"/>
      <c r="F182" s="397"/>
      <c r="G182" s="2002"/>
      <c r="H182" s="1487">
        <v>14240.28</v>
      </c>
      <c r="I182" s="1487">
        <v>20074.66</v>
      </c>
      <c r="J182" s="1487">
        <v>21489.83</v>
      </c>
      <c r="K182" s="1487">
        <v>12743.13</v>
      </c>
      <c r="L182" s="1487">
        <v>17015.88</v>
      </c>
      <c r="M182" s="1487">
        <v>18081.79</v>
      </c>
      <c r="N182" s="1487">
        <v>17488.490000000002</v>
      </c>
      <c r="O182" s="397"/>
      <c r="P182" s="397"/>
      <c r="Q182" s="397"/>
      <c r="R182" s="1487"/>
      <c r="S182" s="1487"/>
      <c r="T182" s="1487"/>
      <c r="U182" s="1487"/>
      <c r="V182" s="1487"/>
      <c r="W182" s="1489"/>
      <c r="AA182" s="395"/>
    </row>
    <row r="183" spans="1:27">
      <c r="A183" s="2046"/>
      <c r="B183" s="2064"/>
      <c r="C183" s="2047" t="s">
        <v>1181</v>
      </c>
      <c r="D183" s="2047"/>
      <c r="E183" s="2047"/>
      <c r="F183" s="2047"/>
      <c r="G183" s="2047"/>
      <c r="H183" s="2005">
        <f>SUM(H176:H182)</f>
        <v>1011082.4400000001</v>
      </c>
      <c r="I183" s="2005">
        <f>SUM(I175:I182)</f>
        <v>1024923.0800000001</v>
      </c>
      <c r="J183" s="2005">
        <f t="shared" ref="J183:S183" si="24">SUM(J176:J182)</f>
        <v>1178322.3700000001</v>
      </c>
      <c r="K183" s="2005">
        <f t="shared" si="24"/>
        <v>1232481.4999999998</v>
      </c>
      <c r="L183" s="2005">
        <f t="shared" si="24"/>
        <v>1245924.18</v>
      </c>
      <c r="M183" s="2005">
        <f t="shared" si="24"/>
        <v>1301370.5900000001</v>
      </c>
      <c r="N183" s="2005">
        <f t="shared" si="24"/>
        <v>1278397.3499999999</v>
      </c>
      <c r="O183" s="2005">
        <f t="shared" si="24"/>
        <v>1280425.02</v>
      </c>
      <c r="P183" s="2005">
        <f t="shared" si="24"/>
        <v>1300148.27</v>
      </c>
      <c r="Q183" s="2005">
        <f t="shared" si="24"/>
        <v>1288393.47</v>
      </c>
      <c r="R183" s="2005">
        <f t="shared" si="24"/>
        <v>1308360.44</v>
      </c>
      <c r="S183" s="2005">
        <f t="shared" si="24"/>
        <v>1298532.08</v>
      </c>
      <c r="T183" s="2005">
        <f>SUM(T176:T182)</f>
        <v>1276497.3400000001</v>
      </c>
      <c r="U183" s="2005">
        <f>SUM(U176:U182)</f>
        <v>1292614.1800000002</v>
      </c>
      <c r="V183" s="2005">
        <f>SUM(V176:V182)</f>
        <v>1316381.9300000002</v>
      </c>
      <c r="W183" s="3150">
        <f>SUM(W176:W182)</f>
        <v>0</v>
      </c>
      <c r="AA183" s="395"/>
    </row>
    <row r="184" spans="1:27">
      <c r="A184" s="2048" t="s">
        <v>47</v>
      </c>
      <c r="B184" s="1999"/>
      <c r="C184" s="397"/>
      <c r="D184" s="397"/>
      <c r="E184" s="397"/>
      <c r="F184" s="397"/>
      <c r="G184" s="1996"/>
      <c r="H184" s="1487"/>
      <c r="I184" s="1487"/>
      <c r="J184" s="1487"/>
      <c r="K184" s="1487"/>
      <c r="L184" s="1487"/>
      <c r="M184" s="1487"/>
      <c r="N184" s="1487"/>
      <c r="O184" s="1487"/>
      <c r="P184" s="1487"/>
      <c r="Q184" s="1487"/>
      <c r="R184" s="1487"/>
      <c r="S184" s="1487"/>
      <c r="T184" s="1487"/>
      <c r="U184" s="1487"/>
      <c r="V184" s="1487"/>
      <c r="W184" s="1489"/>
      <c r="AA184" s="395"/>
    </row>
    <row r="185" spans="1:27">
      <c r="A185" s="1997"/>
      <c r="B185" s="583"/>
      <c r="C185" s="397"/>
      <c r="D185" s="397"/>
      <c r="E185" s="397"/>
      <c r="F185" s="397"/>
      <c r="G185" s="2002"/>
      <c r="H185" s="1487"/>
      <c r="I185" s="1487"/>
      <c r="J185" s="1487"/>
      <c r="K185" s="1487"/>
      <c r="L185" s="1487"/>
      <c r="M185" s="1487"/>
      <c r="N185" s="1487"/>
      <c r="O185" s="1487"/>
      <c r="P185" s="1487"/>
      <c r="Q185" s="1487"/>
      <c r="R185" s="1487"/>
      <c r="S185" s="1487"/>
      <c r="T185" s="1487"/>
      <c r="U185" s="1487"/>
      <c r="V185" s="1487"/>
      <c r="W185" s="1489"/>
      <c r="AA185" s="395"/>
    </row>
    <row r="186" spans="1:27">
      <c r="A186" s="2046"/>
      <c r="B186" s="2064"/>
      <c r="C186" s="2047" t="s">
        <v>1185</v>
      </c>
      <c r="D186" s="2047"/>
      <c r="E186" s="2047"/>
      <c r="F186" s="2047"/>
      <c r="G186" s="2047"/>
      <c r="H186" s="2005">
        <f t="shared" ref="H186:S186" si="25">SUM(H185)</f>
        <v>0</v>
      </c>
      <c r="I186" s="2005">
        <f t="shared" si="25"/>
        <v>0</v>
      </c>
      <c r="J186" s="2005">
        <f t="shared" si="25"/>
        <v>0</v>
      </c>
      <c r="K186" s="2005">
        <f t="shared" si="25"/>
        <v>0</v>
      </c>
      <c r="L186" s="2005">
        <f t="shared" si="25"/>
        <v>0</v>
      </c>
      <c r="M186" s="2005">
        <f t="shared" si="25"/>
        <v>0</v>
      </c>
      <c r="N186" s="2005">
        <f t="shared" si="25"/>
        <v>0</v>
      </c>
      <c r="O186" s="2005">
        <f t="shared" si="25"/>
        <v>0</v>
      </c>
      <c r="P186" s="2005">
        <f t="shared" si="25"/>
        <v>0</v>
      </c>
      <c r="Q186" s="2005">
        <f t="shared" si="25"/>
        <v>0</v>
      </c>
      <c r="R186" s="2005">
        <f t="shared" si="25"/>
        <v>0</v>
      </c>
      <c r="S186" s="2005">
        <f t="shared" si="25"/>
        <v>0</v>
      </c>
      <c r="T186" s="2005">
        <f>SUM(T185)</f>
        <v>0</v>
      </c>
      <c r="U186" s="2005">
        <f>SUM(U185)</f>
        <v>0</v>
      </c>
      <c r="V186" s="2005">
        <f>SUM(V185)</f>
        <v>0</v>
      </c>
      <c r="W186" s="3150">
        <f>SUM(W185)</f>
        <v>0</v>
      </c>
      <c r="AA186" s="395"/>
    </row>
    <row r="187" spans="1:27">
      <c r="A187" s="2021"/>
      <c r="B187" s="2069"/>
      <c r="C187" s="2022" t="s">
        <v>1234</v>
      </c>
      <c r="D187" s="2022"/>
      <c r="E187" s="2022"/>
      <c r="F187" s="2022"/>
      <c r="G187" s="2022"/>
      <c r="H187" s="2009">
        <f t="shared" ref="H187:S187" si="26">H173+H183+H186</f>
        <v>1017536.2100000001</v>
      </c>
      <c r="I187" s="2009">
        <f t="shared" si="26"/>
        <v>1027599.18</v>
      </c>
      <c r="J187" s="2009">
        <f t="shared" si="26"/>
        <v>1183617.4900000002</v>
      </c>
      <c r="K187" s="2009">
        <f t="shared" si="26"/>
        <v>1238952.6399999997</v>
      </c>
      <c r="L187" s="2009">
        <f t="shared" si="26"/>
        <v>1250712.8499999999</v>
      </c>
      <c r="M187" s="2009">
        <f t="shared" si="26"/>
        <v>1314666.81</v>
      </c>
      <c r="N187" s="2009">
        <f t="shared" si="26"/>
        <v>1285646.7599999998</v>
      </c>
      <c r="O187" s="2009">
        <f t="shared" si="26"/>
        <v>1286176.07</v>
      </c>
      <c r="P187" s="2009">
        <f t="shared" si="26"/>
        <v>1312688.8700000001</v>
      </c>
      <c r="Q187" s="2009">
        <f t="shared" si="26"/>
        <v>1295048.82</v>
      </c>
      <c r="R187" s="2009">
        <f t="shared" si="26"/>
        <v>1320273.53</v>
      </c>
      <c r="S187" s="2009">
        <f t="shared" si="26"/>
        <v>1304886.77</v>
      </c>
      <c r="T187" s="2009">
        <f>T173+T183+T186</f>
        <v>1331890.6900000002</v>
      </c>
      <c r="U187" s="2009">
        <f>U173+U183+U186</f>
        <v>1323442.3800000001</v>
      </c>
      <c r="V187" s="2009">
        <f>V173+V183+V186</f>
        <v>1340805.4400000002</v>
      </c>
      <c r="W187" s="2070">
        <f>W173+W183+W186</f>
        <v>0</v>
      </c>
      <c r="AA187" s="395"/>
    </row>
    <row r="188" spans="1:27">
      <c r="A188" s="1633"/>
      <c r="B188" s="1633"/>
      <c r="C188" s="395"/>
      <c r="D188" s="395"/>
      <c r="E188" s="395"/>
      <c r="F188" s="395"/>
      <c r="G188" s="395"/>
      <c r="O188" s="395"/>
      <c r="P188" s="395"/>
      <c r="Q188" s="395"/>
      <c r="AA188" s="395"/>
    </row>
    <row r="189" spans="1:27">
      <c r="A189" s="1633"/>
      <c r="B189" s="1633"/>
      <c r="C189" s="395"/>
      <c r="D189" s="395"/>
      <c r="E189" s="395"/>
      <c r="F189" s="395"/>
      <c r="G189" s="395"/>
      <c r="O189" s="395"/>
      <c r="P189" s="395"/>
      <c r="Q189" s="395"/>
      <c r="AA189" s="395"/>
    </row>
    <row r="190" spans="1:27">
      <c r="A190" s="1633"/>
      <c r="B190" s="1633"/>
      <c r="C190" s="395"/>
      <c r="D190" s="395"/>
      <c r="E190" s="395"/>
      <c r="F190" s="395"/>
      <c r="G190" s="395"/>
      <c r="O190" s="395"/>
      <c r="P190" s="395"/>
      <c r="Q190" s="395"/>
      <c r="AA190" s="395"/>
    </row>
  </sheetData>
  <mergeCells count="1">
    <mergeCell ref="A1:M1"/>
  </mergeCells>
  <hyperlinks>
    <hyperlink ref="A1" location="GLOBAAL!A1" display="SAMWD" xr:uid="{00000000-0004-0000-3C00-000000000000}"/>
    <hyperlink ref="A1:M1" location="FINANCIËN!A1" display="SAMWD" xr:uid="{00000000-0004-0000-3C00-000001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14999847407452621"/>
  </sheetPr>
  <dimension ref="A2:G26"/>
  <sheetViews>
    <sheetView workbookViewId="0">
      <selection activeCell="D5" sqref="D5"/>
    </sheetView>
  </sheetViews>
  <sheetFormatPr defaultColWidth="9.140625" defaultRowHeight="15"/>
  <cols>
    <col min="1" max="1" width="11.85546875" style="4033" customWidth="1"/>
    <col min="2" max="2" width="4.140625" style="4033" customWidth="1"/>
    <col min="3" max="3" width="11.140625" style="4033" customWidth="1"/>
    <col min="4" max="4" width="25.140625" style="4033" customWidth="1"/>
    <col min="5" max="16384" width="9.140625" style="4033"/>
  </cols>
  <sheetData>
    <row r="2" spans="3:7" ht="36">
      <c r="C2" s="4750" t="s">
        <v>106</v>
      </c>
      <c r="D2" s="4750"/>
      <c r="E2" s="4750"/>
      <c r="F2" s="4750"/>
      <c r="G2" s="4036"/>
    </row>
    <row r="3" spans="3:7">
      <c r="D3" s="4060"/>
      <c r="E3" s="4060"/>
      <c r="F3" s="4060"/>
    </row>
    <row r="5" spans="3:7" ht="27" customHeight="1">
      <c r="D5" s="6" t="s">
        <v>83</v>
      </c>
    </row>
    <row r="8" spans="3:7" ht="27" customHeight="1">
      <c r="D8" s="6" t="s">
        <v>108</v>
      </c>
    </row>
    <row r="10" spans="3:7">
      <c r="D10" s="4038"/>
    </row>
    <row r="11" spans="3:7" ht="27" customHeight="1">
      <c r="C11" s="4042"/>
      <c r="D11" s="6" t="s">
        <v>81</v>
      </c>
    </row>
    <row r="12" spans="3:7">
      <c r="C12" s="4042"/>
    </row>
    <row r="13" spans="3:7">
      <c r="D13" s="4038"/>
    </row>
    <row r="14" spans="3:7" ht="27" customHeight="1">
      <c r="D14" s="6" t="s">
        <v>79</v>
      </c>
    </row>
    <row r="15" spans="3:7">
      <c r="D15" s="4038"/>
    </row>
    <row r="16" spans="3:7" ht="15" customHeight="1">
      <c r="D16" s="4038"/>
    </row>
    <row r="17" spans="1:4" ht="27" customHeight="1">
      <c r="D17" s="6" t="s">
        <v>80</v>
      </c>
    </row>
    <row r="18" spans="1:4">
      <c r="D18" s="4038"/>
    </row>
    <row r="19" spans="1:4">
      <c r="D19" s="4038"/>
    </row>
    <row r="20" spans="1:4" ht="27" customHeight="1">
      <c r="D20" s="6" t="s">
        <v>82</v>
      </c>
    </row>
    <row r="24" spans="1:4" s="4039" customFormat="1" ht="18.75">
      <c r="A24" s="4043" t="s">
        <v>7146</v>
      </c>
      <c r="B24" s="4044"/>
    </row>
    <row r="25" spans="1:4" s="4039" customFormat="1" ht="10.5" customHeight="1">
      <c r="A25" s="4043"/>
      <c r="B25" s="4044"/>
    </row>
    <row r="26" spans="1:4" s="4039" customFormat="1" ht="18.75">
      <c r="A26" s="4040" t="s">
        <v>7147</v>
      </c>
      <c r="B26" s="4040"/>
    </row>
  </sheetData>
  <mergeCells count="1">
    <mergeCell ref="C2:F2"/>
  </mergeCells>
  <hyperlinks>
    <hyperlink ref="D14" location="'VT-SPORT'!A1" display="SPORT" xr:uid="{00000000-0004-0000-0400-000000000000}"/>
    <hyperlink ref="D5" location="'VT-BIB'!A1" display="BIBLIOTHEEK" xr:uid="{00000000-0004-0000-0400-000001000000}"/>
    <hyperlink ref="A24:B24" location="BOORDTABELLEN!A1" display="Terug naar overzicht" xr:uid="{00000000-0004-0000-0400-000002000000}"/>
    <hyperlink ref="A26:B26" location="INDELING!A1" display="&gt; &gt; Terug naar indeling" xr:uid="{00000000-0004-0000-0400-000003000000}"/>
    <hyperlink ref="D20" location="'VT-ZWEMBAD'!A1" display="ZWEMBAD" xr:uid="{00000000-0004-0000-0400-000004000000}"/>
    <hyperlink ref="D8" location="'VT-FEEST'!A1" display="FEEST" xr:uid="{00000000-0004-0000-0400-000005000000}"/>
    <hyperlink ref="D17" location="'VT-VISIT VEURNE'!A1" display="VISIT VEURNE" xr:uid="{00000000-0004-0000-0400-000006000000}"/>
    <hyperlink ref="C2:F2" location="BOORDTABELLEN!A1" display="BOORDTABELLEN VRIJE TIJD" xr:uid="{00000000-0004-0000-0400-000007000000}"/>
    <hyperlink ref="D11" location="'VT-JEUGD'!A1" display="JEUGD" xr:uid="{00000000-0004-0000-0400-000008000000}"/>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EBD531"/>
  </sheetPr>
  <dimension ref="A1:AJ146"/>
  <sheetViews>
    <sheetView workbookViewId="0">
      <selection sqref="A1:L1"/>
    </sheetView>
  </sheetViews>
  <sheetFormatPr defaultColWidth="9.140625" defaultRowHeight="12.75"/>
  <cols>
    <col min="1" max="1" width="16.28515625" style="395" customWidth="1"/>
    <col min="2" max="2" width="13.140625" style="1965" customWidth="1"/>
    <col min="3" max="3" width="8.85546875" style="1965" bestFit="1" customWidth="1"/>
    <col min="4" max="4" width="9.42578125" style="1965" customWidth="1"/>
    <col min="5" max="5" width="8.140625" style="1965" bestFit="1" customWidth="1"/>
    <col min="6" max="6" width="9.85546875" style="1965" customWidth="1"/>
    <col min="7" max="7" width="10.7109375" style="1965" bestFit="1" customWidth="1"/>
    <col min="8" max="8" width="12" style="1965" bestFit="1" customWidth="1"/>
    <col min="9" max="13" width="10.7109375" style="1965" bestFit="1" customWidth="1"/>
    <col min="14" max="14" width="12.28515625" style="1965" bestFit="1" customWidth="1"/>
    <col min="15" max="15" width="10.7109375" style="1965" bestFit="1" customWidth="1"/>
    <col min="16" max="16" width="10.85546875" style="1965" bestFit="1" customWidth="1"/>
    <col min="17" max="18" width="10.7109375" style="1965" bestFit="1" customWidth="1"/>
    <col min="19" max="19" width="11.42578125" style="1965" customWidth="1"/>
    <col min="20" max="21" width="9.85546875" style="1965" bestFit="1" customWidth="1"/>
    <col min="22" max="36" width="9.140625" style="1965"/>
    <col min="37" max="16384" width="9.140625" style="395"/>
  </cols>
  <sheetData>
    <row r="1" spans="1:17" ht="21">
      <c r="A1" s="4829" t="s">
        <v>1414</v>
      </c>
      <c r="B1" s="4830"/>
      <c r="C1" s="4830"/>
      <c r="D1" s="4830"/>
      <c r="E1" s="4830"/>
      <c r="F1" s="4830"/>
      <c r="G1" s="4830"/>
      <c r="H1" s="4830"/>
      <c r="I1" s="4830"/>
      <c r="J1" s="4830"/>
      <c r="K1" s="4830"/>
      <c r="L1" s="4830"/>
    </row>
    <row r="2" spans="1:17" ht="13.5" thickBot="1">
      <c r="A2" s="1966"/>
    </row>
    <row r="3" spans="1:17" ht="18" customHeight="1" thickBot="1">
      <c r="A3" s="1886"/>
      <c r="B3" s="1967">
        <v>2007</v>
      </c>
      <c r="C3" s="1967">
        <v>2008</v>
      </c>
      <c r="D3" s="1967">
        <v>2009</v>
      </c>
      <c r="E3" s="1967">
        <v>2010</v>
      </c>
      <c r="F3" s="1967">
        <v>2011</v>
      </c>
      <c r="G3" s="1967">
        <v>2012</v>
      </c>
      <c r="H3" s="1967">
        <v>2013</v>
      </c>
      <c r="I3" s="1967">
        <v>2014</v>
      </c>
      <c r="J3" s="1967">
        <v>2015</v>
      </c>
      <c r="K3" s="1967">
        <v>2016</v>
      </c>
      <c r="L3" s="1967">
        <v>2017</v>
      </c>
      <c r="M3" s="3831">
        <v>2018</v>
      </c>
      <c r="N3" s="1968">
        <v>2019</v>
      </c>
      <c r="O3" s="395"/>
      <c r="P3" s="395"/>
      <c r="Q3" s="395"/>
    </row>
    <row r="4" spans="1:17">
      <c r="A4" s="1205" t="s">
        <v>986</v>
      </c>
      <c r="B4" s="1969">
        <f t="shared" ref="B4:N4" si="0">G90</f>
        <v>217863.61</v>
      </c>
      <c r="C4" s="1969">
        <f t="shared" si="0"/>
        <v>223959.33000000002</v>
      </c>
      <c r="D4" s="1969">
        <f t="shared" si="0"/>
        <v>216149.71</v>
      </c>
      <c r="E4" s="1969">
        <f t="shared" si="0"/>
        <v>207942.81999999995</v>
      </c>
      <c r="F4" s="1969">
        <f t="shared" si="0"/>
        <v>217320.68999999994</v>
      </c>
      <c r="G4" s="1969">
        <f t="shared" si="0"/>
        <v>209091.88800000001</v>
      </c>
      <c r="H4" s="1969">
        <f t="shared" si="0"/>
        <v>246740.76</v>
      </c>
      <c r="I4" s="1969">
        <f t="shared" si="0"/>
        <v>235201.84400000001</v>
      </c>
      <c r="J4" s="1969">
        <f t="shared" si="0"/>
        <v>234588.10400000002</v>
      </c>
      <c r="K4" s="1969">
        <f t="shared" si="0"/>
        <v>254087.59400000001</v>
      </c>
      <c r="L4" s="1969">
        <f t="shared" si="0"/>
        <v>237866.89399999997</v>
      </c>
      <c r="M4" s="1969">
        <f t="shared" si="0"/>
        <v>242523.144</v>
      </c>
      <c r="N4" s="3149">
        <f t="shared" si="0"/>
        <v>252947.97999999998</v>
      </c>
      <c r="O4" s="395"/>
      <c r="P4" s="395"/>
      <c r="Q4" s="395"/>
    </row>
    <row r="5" spans="1:17">
      <c r="A5" s="1205" t="s">
        <v>987</v>
      </c>
      <c r="B5" s="1969">
        <f t="shared" ref="B5:N5" si="1">G143</f>
        <v>186604.08</v>
      </c>
      <c r="C5" s="1969">
        <f t="shared" si="1"/>
        <v>191924.75</v>
      </c>
      <c r="D5" s="1969">
        <f t="shared" si="1"/>
        <v>176390.78</v>
      </c>
      <c r="E5" s="1969">
        <f t="shared" si="1"/>
        <v>178738.2</v>
      </c>
      <c r="F5" s="1969">
        <f t="shared" si="1"/>
        <v>159346.59</v>
      </c>
      <c r="G5" s="1969">
        <f t="shared" si="1"/>
        <v>163315.21000000002</v>
      </c>
      <c r="H5" s="1969">
        <f t="shared" si="1"/>
        <v>186082.4</v>
      </c>
      <c r="I5" s="1969">
        <f t="shared" si="1"/>
        <v>194766.51</v>
      </c>
      <c r="J5" s="1969">
        <f t="shared" si="1"/>
        <v>200605.81</v>
      </c>
      <c r="K5" s="1969">
        <f t="shared" si="1"/>
        <v>191916.61</v>
      </c>
      <c r="L5" s="1969">
        <f t="shared" si="1"/>
        <v>192494.84000000003</v>
      </c>
      <c r="M5" s="1969">
        <f t="shared" si="1"/>
        <v>189857.71000000002</v>
      </c>
      <c r="N5" s="3149">
        <f t="shared" si="1"/>
        <v>184057.86000000002</v>
      </c>
      <c r="O5" s="395"/>
      <c r="P5" s="395"/>
      <c r="Q5" s="395"/>
    </row>
    <row r="6" spans="1:17">
      <c r="A6" s="1205" t="s">
        <v>988</v>
      </c>
      <c r="B6" s="1969">
        <f>B5-B4</f>
        <v>-31259.53</v>
      </c>
      <c r="C6" s="1969">
        <f t="shared" ref="C6:H6" si="2">C5-C4</f>
        <v>-32034.580000000016</v>
      </c>
      <c r="D6" s="1969">
        <f t="shared" si="2"/>
        <v>-39758.929999999993</v>
      </c>
      <c r="E6" s="1969">
        <f t="shared" si="2"/>
        <v>-29204.619999999937</v>
      </c>
      <c r="F6" s="1969">
        <f t="shared" si="2"/>
        <v>-57974.099999999948</v>
      </c>
      <c r="G6" s="1969">
        <f t="shared" si="2"/>
        <v>-45776.677999999985</v>
      </c>
      <c r="H6" s="1969">
        <f t="shared" si="2"/>
        <v>-60658.360000000015</v>
      </c>
      <c r="I6" s="1969">
        <f t="shared" ref="I6:N6" si="3">I5-I4</f>
        <v>-40435.334000000003</v>
      </c>
      <c r="J6" s="1969">
        <f t="shared" si="3"/>
        <v>-33982.294000000024</v>
      </c>
      <c r="K6" s="1969">
        <f t="shared" si="3"/>
        <v>-62170.984000000026</v>
      </c>
      <c r="L6" s="1969">
        <f t="shared" si="3"/>
        <v>-45372.053999999946</v>
      </c>
      <c r="M6" s="1969">
        <f t="shared" si="3"/>
        <v>-52665.433999999979</v>
      </c>
      <c r="N6" s="3149">
        <f t="shared" si="3"/>
        <v>-68890.119999999966</v>
      </c>
      <c r="O6" s="395"/>
      <c r="P6" s="395"/>
      <c r="Q6" s="395"/>
    </row>
    <row r="7" spans="1:17">
      <c r="A7" s="1205"/>
      <c r="B7" s="1969"/>
      <c r="C7" s="1969"/>
      <c r="D7" s="1969"/>
      <c r="E7" s="1969"/>
      <c r="F7" s="1969"/>
      <c r="G7" s="1969"/>
      <c r="H7" s="1969"/>
      <c r="I7" s="1969"/>
      <c r="J7" s="1969"/>
      <c r="K7" s="1969"/>
      <c r="L7" s="1969"/>
      <c r="M7" s="1969"/>
      <c r="N7" s="3149"/>
      <c r="O7" s="395"/>
      <c r="P7" s="395"/>
      <c r="Q7" s="395"/>
    </row>
    <row r="8" spans="1:17">
      <c r="A8" s="1205" t="s">
        <v>989</v>
      </c>
      <c r="B8" s="1969">
        <f t="shared" ref="B8:N8" si="4">G53</f>
        <v>181040.52</v>
      </c>
      <c r="C8" s="1969">
        <f t="shared" si="4"/>
        <v>185582.73</v>
      </c>
      <c r="D8" s="1969">
        <f t="shared" si="4"/>
        <v>171433.02</v>
      </c>
      <c r="E8" s="1969">
        <f t="shared" si="4"/>
        <v>169963.56999999998</v>
      </c>
      <c r="F8" s="1969">
        <f t="shared" si="4"/>
        <v>174868.69999999995</v>
      </c>
      <c r="G8" s="1969">
        <f t="shared" si="4"/>
        <v>167474.43</v>
      </c>
      <c r="H8" s="1969">
        <f t="shared" si="4"/>
        <v>197960.2</v>
      </c>
      <c r="I8" s="1969">
        <f t="shared" si="4"/>
        <v>188798.33</v>
      </c>
      <c r="J8" s="1969">
        <f t="shared" si="4"/>
        <v>195470.51</v>
      </c>
      <c r="K8" s="1969">
        <f t="shared" si="4"/>
        <v>208836.16</v>
      </c>
      <c r="L8" s="1969">
        <f t="shared" si="4"/>
        <v>200421.12999999998</v>
      </c>
      <c r="M8" s="1969">
        <f t="shared" si="4"/>
        <v>203867.86</v>
      </c>
      <c r="N8" s="3149">
        <f t="shared" si="4"/>
        <v>232261.37999999998</v>
      </c>
      <c r="O8" s="395"/>
      <c r="P8" s="395"/>
      <c r="Q8" s="395"/>
    </row>
    <row r="9" spans="1:17">
      <c r="A9" s="1205" t="s">
        <v>990</v>
      </c>
      <c r="B9" s="1969">
        <f t="shared" ref="B9:N9" si="5">G79</f>
        <v>34590.340000000004</v>
      </c>
      <c r="C9" s="1969">
        <f t="shared" si="5"/>
        <v>36352.67</v>
      </c>
      <c r="D9" s="1969">
        <f t="shared" si="5"/>
        <v>41754.17</v>
      </c>
      <c r="E9" s="1969">
        <f t="shared" si="5"/>
        <v>34405.519999999997</v>
      </c>
      <c r="F9" s="1969">
        <f t="shared" si="5"/>
        <v>37995.75</v>
      </c>
      <c r="G9" s="1969">
        <f t="shared" si="5"/>
        <v>36840.39</v>
      </c>
      <c r="H9" s="1969">
        <f t="shared" si="5"/>
        <v>43078.14</v>
      </c>
      <c r="I9" s="1969">
        <f t="shared" si="5"/>
        <v>42926.010000000009</v>
      </c>
      <c r="J9" s="1969">
        <f t="shared" si="5"/>
        <v>36488.589999999997</v>
      </c>
      <c r="K9" s="1969">
        <f t="shared" si="5"/>
        <v>43336.219999999994</v>
      </c>
      <c r="L9" s="1969">
        <f t="shared" si="5"/>
        <v>35635.019999999997</v>
      </c>
      <c r="M9" s="1969">
        <f t="shared" si="5"/>
        <v>37996.520000000011</v>
      </c>
      <c r="N9" s="3149">
        <f t="shared" si="5"/>
        <v>20396.690000000002</v>
      </c>
      <c r="O9" s="395"/>
      <c r="P9" s="395"/>
      <c r="Q9" s="395"/>
    </row>
    <row r="10" spans="1:17">
      <c r="A10" s="1205" t="s">
        <v>991</v>
      </c>
      <c r="B10" s="1969">
        <f t="shared" ref="B10:N10" si="6">G84</f>
        <v>2232.75</v>
      </c>
      <c r="C10" s="1969">
        <f t="shared" si="6"/>
        <v>1685.32</v>
      </c>
      <c r="D10" s="1969">
        <f t="shared" si="6"/>
        <v>1627.71</v>
      </c>
      <c r="E10" s="1969">
        <f t="shared" si="6"/>
        <v>1394.1200000000001</v>
      </c>
      <c r="F10" s="1969">
        <f t="shared" si="6"/>
        <v>1518.9</v>
      </c>
      <c r="G10" s="1969">
        <f t="shared" si="6"/>
        <v>1583.05</v>
      </c>
      <c r="H10" s="1969">
        <f t="shared" si="6"/>
        <v>1694.59</v>
      </c>
      <c r="I10" s="1969">
        <f t="shared" si="6"/>
        <v>94.89</v>
      </c>
      <c r="J10" s="1969">
        <f t="shared" si="6"/>
        <v>91.19</v>
      </c>
      <c r="K10" s="1969">
        <f t="shared" si="6"/>
        <v>135.13</v>
      </c>
      <c r="L10" s="1969">
        <f t="shared" si="6"/>
        <v>150</v>
      </c>
      <c r="M10" s="1969">
        <f t="shared" si="6"/>
        <v>150.44</v>
      </c>
      <c r="N10" s="3149">
        <f t="shared" si="6"/>
        <v>152.57</v>
      </c>
      <c r="O10" s="395"/>
      <c r="P10" s="395"/>
      <c r="Q10" s="395"/>
    </row>
    <row r="11" spans="1:17" ht="13.5" thickBot="1">
      <c r="A11" s="1205" t="s">
        <v>999</v>
      </c>
      <c r="B11" s="1969">
        <f t="shared" ref="B11:N11" si="7">G89</f>
        <v>0</v>
      </c>
      <c r="C11" s="1969">
        <f t="shared" si="7"/>
        <v>338.61</v>
      </c>
      <c r="D11" s="1969">
        <f t="shared" si="7"/>
        <v>1334.81</v>
      </c>
      <c r="E11" s="1969">
        <f t="shared" si="7"/>
        <v>2179.61</v>
      </c>
      <c r="F11" s="1969">
        <f t="shared" si="7"/>
        <v>2937.34</v>
      </c>
      <c r="G11" s="1969">
        <f t="shared" si="7"/>
        <v>3194.0180000000005</v>
      </c>
      <c r="H11" s="1969">
        <f t="shared" si="7"/>
        <v>4007.83</v>
      </c>
      <c r="I11" s="1969">
        <f t="shared" si="7"/>
        <v>3382.6140000000005</v>
      </c>
      <c r="J11" s="1969">
        <f t="shared" si="7"/>
        <v>2537.8140000000003</v>
      </c>
      <c r="K11" s="1969">
        <f t="shared" si="7"/>
        <v>1780.0840000000001</v>
      </c>
      <c r="L11" s="1969">
        <f t="shared" si="7"/>
        <v>1660.7440000000001</v>
      </c>
      <c r="M11" s="1969">
        <f t="shared" si="7"/>
        <v>508.32400000000007</v>
      </c>
      <c r="N11" s="3149">
        <f t="shared" si="7"/>
        <v>137.34</v>
      </c>
      <c r="O11" s="395"/>
      <c r="P11" s="395"/>
      <c r="Q11" s="395"/>
    </row>
    <row r="12" spans="1:17" ht="18" customHeight="1" thickBot="1">
      <c r="A12" s="1891" t="s">
        <v>8</v>
      </c>
      <c r="B12" s="1970">
        <f>SUM(B8:B11)</f>
        <v>217863.61</v>
      </c>
      <c r="C12" s="1970">
        <f t="shared" ref="C12:H12" si="8">SUM(C8:C11)</f>
        <v>223959.33000000002</v>
      </c>
      <c r="D12" s="1970">
        <f t="shared" si="8"/>
        <v>216149.71</v>
      </c>
      <c r="E12" s="1970">
        <f t="shared" si="8"/>
        <v>207942.81999999995</v>
      </c>
      <c r="F12" s="1970">
        <f t="shared" si="8"/>
        <v>217320.68999999994</v>
      </c>
      <c r="G12" s="1970">
        <f t="shared" si="8"/>
        <v>209091.88800000001</v>
      </c>
      <c r="H12" s="1970">
        <f t="shared" si="8"/>
        <v>246740.76</v>
      </c>
      <c r="I12" s="1970">
        <f t="shared" ref="I12:N12" si="9">SUM(I8:I11)</f>
        <v>235201.84400000001</v>
      </c>
      <c r="J12" s="1970">
        <f t="shared" si="9"/>
        <v>234588.10400000002</v>
      </c>
      <c r="K12" s="1970">
        <f t="shared" si="9"/>
        <v>254087.59400000001</v>
      </c>
      <c r="L12" s="1970">
        <f t="shared" si="9"/>
        <v>237866.89399999997</v>
      </c>
      <c r="M12" s="1970">
        <f t="shared" si="9"/>
        <v>242523.144</v>
      </c>
      <c r="N12" s="1971">
        <f t="shared" si="9"/>
        <v>252947.97999999998</v>
      </c>
      <c r="O12" s="395"/>
      <c r="P12" s="395"/>
      <c r="Q12" s="395"/>
    </row>
    <row r="14" spans="1:17">
      <c r="A14" s="395" t="s">
        <v>993</v>
      </c>
      <c r="C14" s="1965">
        <f>(C8/B8)*100-100</f>
        <v>2.5089466159288634</v>
      </c>
      <c r="D14" s="1965">
        <f t="shared" ref="D14:N15" si="10">(D8/C8)*100-100</f>
        <v>-7.6244756179629576</v>
      </c>
      <c r="E14" s="1965">
        <f t="shared" si="10"/>
        <v>-0.85715692344450645</v>
      </c>
      <c r="F14" s="1965">
        <f t="shared" si="10"/>
        <v>2.8859890387098659</v>
      </c>
      <c r="G14" s="1965">
        <f t="shared" si="10"/>
        <v>-4.2284697032687717</v>
      </c>
      <c r="H14" s="1965">
        <f t="shared" si="10"/>
        <v>18.203238548117469</v>
      </c>
      <c r="I14" s="1965">
        <f t="shared" si="10"/>
        <v>-4.6281373730679292</v>
      </c>
      <c r="J14" s="1965">
        <f t="shared" si="10"/>
        <v>3.5340249037160589</v>
      </c>
      <c r="K14" s="1965">
        <f t="shared" si="10"/>
        <v>6.8376810394570526</v>
      </c>
      <c r="L14" s="1965">
        <f t="shared" si="10"/>
        <v>-4.0294889544033197</v>
      </c>
      <c r="M14" s="1965">
        <f t="shared" si="10"/>
        <v>1.7197438214224405</v>
      </c>
      <c r="N14" s="1965">
        <f t="shared" si="10"/>
        <v>13.927413570731545</v>
      </c>
      <c r="O14" s="395"/>
      <c r="P14" s="395"/>
      <c r="Q14" s="395"/>
    </row>
    <row r="15" spans="1:17">
      <c r="A15" s="395" t="s">
        <v>994</v>
      </c>
      <c r="C15" s="1965">
        <f>(C9/B9)*100-100</f>
        <v>5.0948617446373561</v>
      </c>
      <c r="D15" s="1965">
        <f t="shared" si="10"/>
        <v>14.858605984099654</v>
      </c>
      <c r="E15" s="1965">
        <f t="shared" si="10"/>
        <v>-17.5997990140865</v>
      </c>
      <c r="F15" s="1965">
        <f t="shared" si="10"/>
        <v>10.435040656266793</v>
      </c>
      <c r="G15" s="1965">
        <f t="shared" si="10"/>
        <v>-3.0407611377588353</v>
      </c>
      <c r="H15" s="1965">
        <f t="shared" si="10"/>
        <v>16.931824011635072</v>
      </c>
      <c r="I15" s="1965">
        <f t="shared" si="10"/>
        <v>-0.35314895211351427</v>
      </c>
      <c r="J15" s="1965">
        <f t="shared" si="10"/>
        <v>-14.996548712540516</v>
      </c>
      <c r="K15" s="1965">
        <f t="shared" si="10"/>
        <v>18.766496595237044</v>
      </c>
      <c r="L15" s="1965">
        <f t="shared" si="10"/>
        <v>-17.77081619024456</v>
      </c>
      <c r="M15" s="1965">
        <f t="shared" si="10"/>
        <v>6.6269080247464842</v>
      </c>
      <c r="N15" s="1965">
        <f t="shared" si="10"/>
        <v>-46.319584004008796</v>
      </c>
      <c r="O15" s="395"/>
      <c r="P15" s="395"/>
      <c r="Q15" s="395"/>
    </row>
    <row r="16" spans="1:17">
      <c r="A16" s="395" t="s">
        <v>995</v>
      </c>
      <c r="C16" s="1965" t="e">
        <f>(C11/B11)*100-100</f>
        <v>#DIV/0!</v>
      </c>
      <c r="D16" s="1965">
        <f t="shared" ref="D16:N16" si="11">(D11/C11)*100-100</f>
        <v>294.20277014854844</v>
      </c>
      <c r="E16" s="1965">
        <f t="shared" si="11"/>
        <v>63.289906428630303</v>
      </c>
      <c r="F16" s="1965">
        <f t="shared" si="11"/>
        <v>34.764476213634538</v>
      </c>
      <c r="G16" s="1965">
        <f t="shared" si="11"/>
        <v>8.7384504347471079</v>
      </c>
      <c r="H16" s="1965">
        <f t="shared" si="11"/>
        <v>25.479255282844335</v>
      </c>
      <c r="I16" s="1965">
        <f t="shared" si="11"/>
        <v>-15.599863267653561</v>
      </c>
      <c r="J16" s="1965">
        <f t="shared" si="11"/>
        <v>-24.974768034425452</v>
      </c>
      <c r="K16" s="1965">
        <f t="shared" si="11"/>
        <v>-29.857586095750136</v>
      </c>
      <c r="L16" s="1965">
        <f t="shared" si="11"/>
        <v>-6.704178005082909</v>
      </c>
      <c r="M16" s="1965">
        <f t="shared" si="11"/>
        <v>-69.391790667315377</v>
      </c>
      <c r="N16" s="1965">
        <f t="shared" si="11"/>
        <v>-72.981799010080181</v>
      </c>
      <c r="O16" s="395"/>
      <c r="P16" s="395"/>
      <c r="Q16" s="395"/>
    </row>
    <row r="18" spans="1:28">
      <c r="A18" s="1569" t="s">
        <v>7095</v>
      </c>
      <c r="B18" s="395"/>
      <c r="C18" s="395"/>
      <c r="D18" s="395"/>
      <c r="E18" s="395"/>
      <c r="F18" s="395"/>
      <c r="N18" s="395"/>
      <c r="O18" s="395"/>
      <c r="P18" s="395"/>
      <c r="X18" s="395"/>
      <c r="Y18" s="395"/>
      <c r="Z18" s="395"/>
      <c r="AA18" s="395"/>
      <c r="AB18" s="395"/>
    </row>
    <row r="19" spans="1:28">
      <c r="A19" s="1633"/>
      <c r="B19" s="395"/>
      <c r="C19" s="395"/>
      <c r="D19" s="395"/>
      <c r="E19" s="395"/>
      <c r="F19" s="395"/>
      <c r="N19" s="395"/>
      <c r="O19" s="395"/>
      <c r="P19" s="395"/>
      <c r="X19" s="395"/>
      <c r="Y19" s="395"/>
      <c r="Z19" s="395"/>
      <c r="AA19" s="395"/>
      <c r="AB19" s="395"/>
    </row>
    <row r="20" spans="1:28">
      <c r="A20" s="1989" t="s">
        <v>623</v>
      </c>
      <c r="B20" s="1991" t="s">
        <v>1002</v>
      </c>
      <c r="C20" s="1991"/>
      <c r="D20" s="1991"/>
      <c r="E20" s="1991"/>
      <c r="F20" s="1991"/>
      <c r="G20" s="1990">
        <v>2007</v>
      </c>
      <c r="H20" s="1990">
        <v>2008</v>
      </c>
      <c r="I20" s="1990">
        <v>2009</v>
      </c>
      <c r="J20" s="1990">
        <v>2010</v>
      </c>
      <c r="K20" s="1990">
        <v>2011</v>
      </c>
      <c r="L20" s="1990">
        <v>2012</v>
      </c>
      <c r="M20" s="1990">
        <v>2013</v>
      </c>
      <c r="N20" s="1990">
        <v>2014</v>
      </c>
      <c r="O20" s="1990">
        <v>2015</v>
      </c>
      <c r="P20" s="1990">
        <v>2016</v>
      </c>
      <c r="Q20" s="1990">
        <v>2017</v>
      </c>
      <c r="R20" s="1990">
        <v>2018</v>
      </c>
      <c r="S20" s="2050">
        <v>2019</v>
      </c>
      <c r="X20" s="1633"/>
      <c r="Y20" s="1633"/>
      <c r="Z20" s="1633"/>
      <c r="AA20" s="1633"/>
      <c r="AB20" s="1633"/>
    </row>
    <row r="21" spans="1:28">
      <c r="A21" s="1984" t="s">
        <v>1003</v>
      </c>
      <c r="B21" s="1986"/>
      <c r="C21" s="1986"/>
      <c r="D21" s="1986"/>
      <c r="E21" s="1986"/>
      <c r="F21" s="1986"/>
      <c r="G21" s="1987"/>
      <c r="H21" s="1987"/>
      <c r="I21" s="1987"/>
      <c r="J21" s="1987"/>
      <c r="K21" s="1987"/>
      <c r="L21" s="1987"/>
      <c r="M21" s="1987"/>
      <c r="N21" s="1986"/>
      <c r="O21" s="1986"/>
      <c r="P21" s="1986"/>
      <c r="Q21" s="1987"/>
      <c r="R21" s="1987"/>
      <c r="S21" s="1988"/>
      <c r="X21" s="395"/>
      <c r="Y21" s="395"/>
      <c r="Z21" s="395"/>
      <c r="AA21" s="395"/>
      <c r="AB21" s="395"/>
    </row>
    <row r="22" spans="1:28">
      <c r="A22" s="1993" t="s">
        <v>1004</v>
      </c>
      <c r="B22" s="1995"/>
      <c r="C22" s="1995"/>
      <c r="D22" s="1995"/>
      <c r="E22" s="1995"/>
      <c r="F22" s="1996"/>
      <c r="G22" s="1487"/>
      <c r="H22" s="1487"/>
      <c r="I22" s="1487"/>
      <c r="J22" s="1487"/>
      <c r="K22" s="1487"/>
      <c r="L22" s="1487"/>
      <c r="M22" s="1487"/>
      <c r="N22" s="397"/>
      <c r="O22" s="397"/>
      <c r="P22" s="397"/>
      <c r="Q22" s="1487"/>
      <c r="R22" s="1487"/>
      <c r="S22" s="1489"/>
      <c r="X22" s="395"/>
      <c r="Y22" s="395"/>
      <c r="Z22" s="395"/>
      <c r="AA22" s="395"/>
      <c r="AB22" s="395"/>
    </row>
    <row r="23" spans="1:28">
      <c r="A23" s="1997" t="s">
        <v>1415</v>
      </c>
      <c r="B23" s="397" t="s">
        <v>1012</v>
      </c>
      <c r="C23" s="397"/>
      <c r="D23" s="397"/>
      <c r="E23" s="397"/>
      <c r="F23" s="1998"/>
      <c r="G23" s="1487">
        <v>9873.17</v>
      </c>
      <c r="H23" s="1487">
        <v>10285.93</v>
      </c>
      <c r="I23" s="1487">
        <v>11131.63</v>
      </c>
      <c r="J23" s="1487">
        <v>12181.85</v>
      </c>
      <c r="K23" s="1487">
        <v>11703.5</v>
      </c>
      <c r="L23" s="1487">
        <v>12094.13</v>
      </c>
      <c r="M23" s="1487">
        <v>12462.43</v>
      </c>
      <c r="N23" s="1487">
        <v>11595.76</v>
      </c>
      <c r="O23" s="1487">
        <v>11713.35</v>
      </c>
      <c r="P23" s="1487"/>
      <c r="Q23" s="1487"/>
      <c r="R23" s="1487"/>
      <c r="S23" s="1489"/>
      <c r="X23" s="395"/>
      <c r="Y23" s="395"/>
      <c r="Z23" s="395"/>
      <c r="AA23" s="395"/>
      <c r="AB23" s="395"/>
    </row>
    <row r="24" spans="1:28">
      <c r="A24" s="1997" t="s">
        <v>1416</v>
      </c>
      <c r="B24" s="397" t="s">
        <v>1018</v>
      </c>
      <c r="C24" s="397"/>
      <c r="D24" s="397"/>
      <c r="E24" s="397"/>
      <c r="F24" s="1998"/>
      <c r="G24" s="1487"/>
      <c r="H24" s="1487"/>
      <c r="I24" s="1487"/>
      <c r="J24" s="1487"/>
      <c r="K24" s="1487"/>
      <c r="L24" s="1487"/>
      <c r="M24" s="1487"/>
      <c r="N24" s="1487"/>
      <c r="O24" s="1487"/>
      <c r="P24" s="1487">
        <v>12233.42</v>
      </c>
      <c r="Q24" s="1487">
        <v>8.61</v>
      </c>
      <c r="R24" s="1487"/>
      <c r="S24" s="1489"/>
      <c r="X24" s="395"/>
      <c r="Y24" s="395"/>
      <c r="Z24" s="395"/>
      <c r="AA24" s="395"/>
      <c r="AB24" s="395"/>
    </row>
    <row r="25" spans="1:28">
      <c r="A25" s="1997" t="s">
        <v>1417</v>
      </c>
      <c r="B25" s="397" t="s">
        <v>1014</v>
      </c>
      <c r="C25" s="397"/>
      <c r="D25" s="397"/>
      <c r="E25" s="397"/>
      <c r="F25" s="1998"/>
      <c r="G25" s="1487">
        <v>1132.67</v>
      </c>
      <c r="H25" s="1487">
        <v>734.1</v>
      </c>
      <c r="I25" s="1487">
        <v>763.76</v>
      </c>
      <c r="J25" s="1487">
        <v>0</v>
      </c>
      <c r="K25" s="1487">
        <v>834.77</v>
      </c>
      <c r="L25" s="1487">
        <v>868.48</v>
      </c>
      <c r="M25" s="1487">
        <v>893.92</v>
      </c>
      <c r="N25" s="1487">
        <v>893.92</v>
      </c>
      <c r="O25" s="1487">
        <v>896.24</v>
      </c>
      <c r="P25" s="1487">
        <v>515.44000000000005</v>
      </c>
      <c r="Q25" s="1487"/>
      <c r="R25" s="1487"/>
      <c r="S25" s="1489"/>
      <c r="X25" s="395"/>
      <c r="Y25" s="395"/>
      <c r="Z25" s="395"/>
      <c r="AA25" s="395"/>
      <c r="AB25" s="395"/>
    </row>
    <row r="26" spans="1:28">
      <c r="A26" s="1997" t="s">
        <v>1418</v>
      </c>
      <c r="B26" s="397" t="s">
        <v>1016</v>
      </c>
      <c r="C26" s="397"/>
      <c r="D26" s="397"/>
      <c r="E26" s="397"/>
      <c r="F26" s="1998"/>
      <c r="G26" s="1487"/>
      <c r="H26" s="1487"/>
      <c r="I26" s="1487"/>
      <c r="J26" s="1487"/>
      <c r="K26" s="1487"/>
      <c r="L26" s="1487"/>
      <c r="M26" s="1487"/>
      <c r="N26" s="1487">
        <v>795.72</v>
      </c>
      <c r="O26" s="1487">
        <v>801.18</v>
      </c>
      <c r="P26" s="1487"/>
      <c r="Q26" s="1487"/>
      <c r="R26" s="1487"/>
      <c r="S26" s="1489"/>
      <c r="X26" s="395"/>
      <c r="Y26" s="395"/>
      <c r="Z26" s="395"/>
      <c r="AA26" s="395"/>
      <c r="AB26" s="395"/>
    </row>
    <row r="27" spans="1:28">
      <c r="A27" s="1997" t="s">
        <v>1419</v>
      </c>
      <c r="B27" s="397" t="s">
        <v>1020</v>
      </c>
      <c r="C27" s="397"/>
      <c r="D27" s="397"/>
      <c r="E27" s="397"/>
      <c r="F27" s="1998"/>
      <c r="G27" s="1487"/>
      <c r="H27" s="1487"/>
      <c r="I27" s="1487"/>
      <c r="J27" s="1487"/>
      <c r="K27" s="1487"/>
      <c r="L27" s="1487"/>
      <c r="M27" s="1487"/>
      <c r="N27" s="1487"/>
      <c r="O27" s="1487"/>
      <c r="P27" s="1487">
        <v>383.69</v>
      </c>
      <c r="Q27" s="1487">
        <v>2631.4</v>
      </c>
      <c r="R27" s="1487"/>
      <c r="S27" s="1489"/>
      <c r="X27" s="395"/>
      <c r="Y27" s="395"/>
      <c r="Z27" s="395"/>
      <c r="AA27" s="395"/>
      <c r="AB27" s="395"/>
    </row>
    <row r="28" spans="1:28">
      <c r="A28" s="1997" t="s">
        <v>1420</v>
      </c>
      <c r="B28" s="397" t="s">
        <v>1022</v>
      </c>
      <c r="C28" s="397"/>
      <c r="D28" s="397"/>
      <c r="E28" s="397"/>
      <c r="F28" s="1998"/>
      <c r="G28" s="1487"/>
      <c r="H28" s="1487"/>
      <c r="I28" s="1487"/>
      <c r="J28" s="1487"/>
      <c r="K28" s="1487"/>
      <c r="L28" s="1487"/>
      <c r="M28" s="1487"/>
      <c r="N28" s="1487"/>
      <c r="O28" s="1487"/>
      <c r="P28" s="1487">
        <v>807.65</v>
      </c>
      <c r="Q28" s="1487">
        <v>0</v>
      </c>
      <c r="R28" s="1487"/>
      <c r="S28" s="1489"/>
      <c r="X28" s="395"/>
      <c r="Y28" s="395"/>
      <c r="Z28" s="395"/>
      <c r="AA28" s="395"/>
      <c r="AB28" s="395"/>
    </row>
    <row r="29" spans="1:28">
      <c r="A29" s="1997" t="s">
        <v>1421</v>
      </c>
      <c r="B29" s="397" t="s">
        <v>1422</v>
      </c>
      <c r="C29" s="397"/>
      <c r="D29" s="397"/>
      <c r="E29" s="397"/>
      <c r="F29" s="1998"/>
      <c r="G29" s="1487"/>
      <c r="H29" s="1487"/>
      <c r="I29" s="1487"/>
      <c r="J29" s="1487"/>
      <c r="K29" s="1487"/>
      <c r="L29" s="1487"/>
      <c r="M29" s="1487"/>
      <c r="N29" s="1487">
        <v>9693.92</v>
      </c>
      <c r="O29" s="1487">
        <v>2974.6</v>
      </c>
      <c r="P29" s="1487">
        <v>3616.61</v>
      </c>
      <c r="Q29" s="1487">
        <v>3187.88</v>
      </c>
      <c r="R29" s="1487">
        <v>2789.67</v>
      </c>
      <c r="S29" s="1489">
        <v>1875.42</v>
      </c>
      <c r="X29" s="395"/>
      <c r="Y29" s="395"/>
      <c r="Z29" s="395"/>
      <c r="AA29" s="395"/>
      <c r="AB29" s="395"/>
    </row>
    <row r="30" spans="1:28">
      <c r="A30" s="1997" t="s">
        <v>1423</v>
      </c>
      <c r="B30" s="397" t="s">
        <v>1424</v>
      </c>
      <c r="C30" s="397"/>
      <c r="D30" s="397"/>
      <c r="E30" s="397"/>
      <c r="F30" s="1998"/>
      <c r="G30" s="1487"/>
      <c r="H30" s="1487"/>
      <c r="I30" s="1487"/>
      <c r="J30" s="1487"/>
      <c r="K30" s="1487"/>
      <c r="L30" s="1487"/>
      <c r="M30" s="1487"/>
      <c r="N30" s="1487">
        <v>1987.74</v>
      </c>
      <c r="O30" s="1487"/>
      <c r="P30" s="1487">
        <v>231.04</v>
      </c>
      <c r="Q30" s="1487">
        <v>248.07</v>
      </c>
      <c r="R30" s="1487">
        <v>244.48</v>
      </c>
      <c r="S30" s="1489">
        <v>213.99</v>
      </c>
      <c r="X30" s="395"/>
      <c r="Y30" s="395"/>
      <c r="Z30" s="395"/>
      <c r="AA30" s="395"/>
      <c r="AB30" s="395"/>
    </row>
    <row r="31" spans="1:28">
      <c r="A31" s="1997" t="s">
        <v>1425</v>
      </c>
      <c r="B31" s="397" t="s">
        <v>1426</v>
      </c>
      <c r="C31" s="397"/>
      <c r="D31" s="397"/>
      <c r="E31" s="397"/>
      <c r="F31" s="1998"/>
      <c r="G31" s="1487"/>
      <c r="H31" s="1487"/>
      <c r="I31" s="1487"/>
      <c r="J31" s="1487"/>
      <c r="K31" s="1487"/>
      <c r="L31" s="1487"/>
      <c r="M31" s="1487"/>
      <c r="N31" s="1487">
        <v>199.29</v>
      </c>
      <c r="O31" s="1487">
        <v>191.54</v>
      </c>
      <c r="P31" s="1487">
        <v>199.35</v>
      </c>
      <c r="Q31" s="1487">
        <v>200.41</v>
      </c>
      <c r="R31" s="1487"/>
      <c r="S31" s="1489">
        <v>169.49</v>
      </c>
      <c r="X31" s="395"/>
      <c r="Y31" s="395"/>
      <c r="Z31" s="395"/>
      <c r="AA31" s="395"/>
      <c r="AB31" s="395"/>
    </row>
    <row r="32" spans="1:28">
      <c r="A32" s="1997" t="s">
        <v>1427</v>
      </c>
      <c r="B32" s="397" t="s">
        <v>1428</v>
      </c>
      <c r="C32" s="397"/>
      <c r="D32" s="397"/>
      <c r="E32" s="397"/>
      <c r="F32" s="1998"/>
      <c r="G32" s="1487">
        <v>10614.22</v>
      </c>
      <c r="H32" s="1487">
        <v>11088.13</v>
      </c>
      <c r="I32" s="1487">
        <v>11785.73</v>
      </c>
      <c r="J32" s="1487">
        <v>9703.9500000000007</v>
      </c>
      <c r="K32" s="1487">
        <v>21852.21</v>
      </c>
      <c r="L32" s="1487">
        <v>18028.38</v>
      </c>
      <c r="M32" s="1487">
        <v>22071.78</v>
      </c>
      <c r="N32" s="1487">
        <v>876.89</v>
      </c>
      <c r="O32" s="1487">
        <v>10243.799999999999</v>
      </c>
      <c r="P32" s="1487">
        <v>21132.61</v>
      </c>
      <c r="Q32" s="1487">
        <v>24758.05</v>
      </c>
      <c r="R32" s="1487">
        <v>32594.28</v>
      </c>
      <c r="S32" s="1489">
        <v>57522.82</v>
      </c>
      <c r="X32" s="395"/>
      <c r="Y32" s="395"/>
      <c r="Z32" s="395"/>
      <c r="AA32" s="395"/>
      <c r="AB32" s="395"/>
    </row>
    <row r="33" spans="1:28">
      <c r="A33" s="1997" t="s">
        <v>1429</v>
      </c>
      <c r="B33" s="397" t="s">
        <v>1430</v>
      </c>
      <c r="C33" s="397"/>
      <c r="D33" s="397"/>
      <c r="E33" s="397"/>
      <c r="F33" s="1998"/>
      <c r="G33" s="1487">
        <v>155370</v>
      </c>
      <c r="H33" s="1487">
        <v>158502</v>
      </c>
      <c r="I33" s="1487">
        <v>141006</v>
      </c>
      <c r="J33" s="1487">
        <v>143761</v>
      </c>
      <c r="K33" s="1487">
        <v>135277</v>
      </c>
      <c r="L33" s="1487">
        <v>133684</v>
      </c>
      <c r="M33" s="1487">
        <v>159283</v>
      </c>
      <c r="N33" s="1487">
        <v>159283</v>
      </c>
      <c r="O33" s="1487">
        <v>162432</v>
      </c>
      <c r="P33" s="1487">
        <v>164024</v>
      </c>
      <c r="Q33" s="1487">
        <v>167304</v>
      </c>
      <c r="R33" s="1487">
        <v>167304</v>
      </c>
      <c r="S33" s="1489">
        <v>171487</v>
      </c>
      <c r="X33" s="395"/>
      <c r="Y33" s="395"/>
      <c r="Z33" s="395"/>
      <c r="AA33" s="395"/>
      <c r="AB33" s="395"/>
    </row>
    <row r="34" spans="1:28">
      <c r="A34" s="1997" t="s">
        <v>1431</v>
      </c>
      <c r="B34" s="397" t="s">
        <v>1432</v>
      </c>
      <c r="C34" s="397"/>
      <c r="D34" s="397"/>
      <c r="E34" s="397"/>
      <c r="F34" s="1998"/>
      <c r="G34" s="1487">
        <v>577.29999999999995</v>
      </c>
      <c r="H34" s="1487">
        <v>589.38</v>
      </c>
      <c r="I34" s="1487">
        <v>630.49</v>
      </c>
      <c r="J34" s="1487">
        <v>1661.08</v>
      </c>
      <c r="K34" s="1487">
        <v>579.72</v>
      </c>
      <c r="L34" s="1487">
        <v>758.02</v>
      </c>
      <c r="M34" s="1487">
        <v>985.47</v>
      </c>
      <c r="N34" s="1487">
        <v>654.22</v>
      </c>
      <c r="O34" s="1487">
        <v>3806.4</v>
      </c>
      <c r="P34" s="1487"/>
      <c r="Q34" s="1487"/>
      <c r="R34" s="1487"/>
      <c r="S34" s="1489">
        <v>52.71</v>
      </c>
      <c r="X34" s="395"/>
      <c r="Y34" s="395"/>
      <c r="Z34" s="395"/>
      <c r="AA34" s="395"/>
      <c r="AB34" s="395"/>
    </row>
    <row r="35" spans="1:28">
      <c r="A35" s="1997" t="s">
        <v>1433</v>
      </c>
      <c r="B35" s="397" t="s">
        <v>1434</v>
      </c>
      <c r="C35" s="397"/>
      <c r="D35" s="397"/>
      <c r="E35" s="397"/>
      <c r="F35" s="1998"/>
      <c r="G35" s="1487"/>
      <c r="H35" s="1487">
        <v>3000.71</v>
      </c>
      <c r="I35" s="1487">
        <v>1024.3399999999999</v>
      </c>
      <c r="J35" s="1487">
        <v>1212.55</v>
      </c>
      <c r="K35" s="1487">
        <v>138.6</v>
      </c>
      <c r="L35" s="1487">
        <v>247.63</v>
      </c>
      <c r="M35" s="1487">
        <v>1170.2</v>
      </c>
      <c r="N35" s="1487">
        <v>123.95</v>
      </c>
      <c r="O35" s="1487">
        <v>119.16</v>
      </c>
      <c r="P35" s="1487">
        <v>3722.03</v>
      </c>
      <c r="Q35" s="1487">
        <v>580.84</v>
      </c>
      <c r="R35" s="1487"/>
      <c r="S35" s="1489"/>
      <c r="X35" s="395"/>
      <c r="Y35" s="395"/>
      <c r="Z35" s="395"/>
      <c r="AA35" s="395"/>
      <c r="AB35" s="395"/>
    </row>
    <row r="36" spans="1:28">
      <c r="A36" s="1997" t="s">
        <v>1435</v>
      </c>
      <c r="B36" s="397" t="s">
        <v>1436</v>
      </c>
      <c r="C36" s="397"/>
      <c r="D36" s="397"/>
      <c r="E36" s="397"/>
      <c r="F36" s="1998"/>
      <c r="G36" s="1487"/>
      <c r="H36" s="1487"/>
      <c r="I36" s="1487"/>
      <c r="J36" s="1487"/>
      <c r="K36" s="1487"/>
      <c r="L36" s="1487"/>
      <c r="M36" s="1487"/>
      <c r="N36" s="1487">
        <v>1278.2</v>
      </c>
      <c r="O36" s="1487">
        <v>925</v>
      </c>
      <c r="P36" s="1487">
        <v>998.12</v>
      </c>
      <c r="Q36" s="1487">
        <v>991.28</v>
      </c>
      <c r="R36" s="1487">
        <v>920.13</v>
      </c>
      <c r="S36" s="1489">
        <v>583.11</v>
      </c>
      <c r="X36" s="395"/>
      <c r="Y36" s="395"/>
      <c r="Z36" s="395"/>
      <c r="AA36" s="395"/>
      <c r="AB36" s="395"/>
    </row>
    <row r="37" spans="1:28">
      <c r="A37" s="1997" t="s">
        <v>1437</v>
      </c>
      <c r="B37" s="397" t="s">
        <v>1438</v>
      </c>
      <c r="C37" s="397"/>
      <c r="D37" s="397"/>
      <c r="E37" s="397"/>
      <c r="F37" s="1998"/>
      <c r="G37" s="1487"/>
      <c r="H37" s="1487"/>
      <c r="I37" s="1487"/>
      <c r="J37" s="1487"/>
      <c r="K37" s="1487"/>
      <c r="L37" s="1487"/>
      <c r="M37" s="1487"/>
      <c r="N37" s="1487">
        <v>216</v>
      </c>
      <c r="O37" s="1487">
        <v>248.34</v>
      </c>
      <c r="P37" s="1487"/>
      <c r="Q37" s="1487"/>
      <c r="R37" s="1487"/>
      <c r="S37" s="1489"/>
      <c r="X37" s="395"/>
      <c r="Y37" s="395"/>
      <c r="Z37" s="395"/>
      <c r="AA37" s="395"/>
      <c r="AB37" s="395"/>
    </row>
    <row r="38" spans="1:28">
      <c r="A38" s="1997" t="s">
        <v>1439</v>
      </c>
      <c r="B38" s="397" t="s">
        <v>1440</v>
      </c>
      <c r="C38" s="397"/>
      <c r="D38" s="397"/>
      <c r="E38" s="397"/>
      <c r="F38" s="1998"/>
      <c r="G38" s="1487"/>
      <c r="H38" s="1487"/>
      <c r="I38" s="1487"/>
      <c r="J38" s="1487"/>
      <c r="K38" s="1487"/>
      <c r="L38" s="1487"/>
      <c r="M38" s="1487"/>
      <c r="N38" s="1487">
        <v>121</v>
      </c>
      <c r="O38" s="1487">
        <v>121</v>
      </c>
      <c r="P38" s="1487"/>
      <c r="Q38" s="1487"/>
      <c r="R38" s="1487"/>
      <c r="S38" s="1489"/>
      <c r="X38" s="395"/>
      <c r="Y38" s="395"/>
      <c r="Z38" s="395"/>
      <c r="AA38" s="395"/>
      <c r="AB38" s="395"/>
    </row>
    <row r="39" spans="1:28">
      <c r="A39" s="1997" t="s">
        <v>1441</v>
      </c>
      <c r="B39" s="397" t="s">
        <v>1442</v>
      </c>
      <c r="C39" s="397"/>
      <c r="D39" s="397"/>
      <c r="E39" s="397"/>
      <c r="F39" s="1998"/>
      <c r="G39" s="1487"/>
      <c r="H39" s="1487"/>
      <c r="I39" s="1487"/>
      <c r="J39" s="1487"/>
      <c r="K39" s="1487"/>
      <c r="L39" s="1487"/>
      <c r="M39" s="1487"/>
      <c r="N39" s="1487">
        <v>4.33</v>
      </c>
      <c r="O39" s="1487">
        <v>4.17</v>
      </c>
      <c r="P39" s="1487"/>
      <c r="Q39" s="1487"/>
      <c r="R39" s="1487"/>
      <c r="S39" s="1489">
        <v>356.84</v>
      </c>
      <c r="X39" s="395"/>
      <c r="Y39" s="395"/>
      <c r="Z39" s="395"/>
      <c r="AA39" s="395"/>
      <c r="AB39" s="395"/>
    </row>
    <row r="40" spans="1:28">
      <c r="A40" s="1997" t="s">
        <v>1443</v>
      </c>
      <c r="B40" s="397" t="s">
        <v>1444</v>
      </c>
      <c r="C40" s="397"/>
      <c r="D40" s="397"/>
      <c r="E40" s="397"/>
      <c r="F40" s="1998"/>
      <c r="G40" s="1487"/>
      <c r="H40" s="1487"/>
      <c r="I40" s="1487"/>
      <c r="J40" s="1487"/>
      <c r="K40" s="1487"/>
      <c r="L40" s="1487"/>
      <c r="M40" s="1487"/>
      <c r="N40" s="1487"/>
      <c r="O40" s="1487"/>
      <c r="P40" s="1487">
        <v>121</v>
      </c>
      <c r="Q40" s="1487">
        <v>121</v>
      </c>
      <c r="R40" s="1487"/>
      <c r="S40" s="1489"/>
      <c r="X40" s="395"/>
      <c r="Y40" s="395"/>
      <c r="Z40" s="395"/>
      <c r="AA40" s="395"/>
      <c r="AB40" s="395"/>
    </row>
    <row r="41" spans="1:28">
      <c r="A41" s="1997" t="s">
        <v>1445</v>
      </c>
      <c r="B41" s="1487" t="s">
        <v>1446</v>
      </c>
      <c r="C41" s="1487"/>
      <c r="D41" s="1487"/>
      <c r="E41" s="1487"/>
      <c r="F41" s="1489"/>
      <c r="G41" s="1487"/>
      <c r="H41" s="1487"/>
      <c r="I41" s="1487"/>
      <c r="J41" s="1487"/>
      <c r="K41" s="1487"/>
      <c r="L41" s="1487"/>
      <c r="M41" s="1487"/>
      <c r="N41" s="1487"/>
      <c r="O41" s="1487"/>
      <c r="P41" s="1487"/>
      <c r="Q41" s="1487"/>
      <c r="R41" s="1487">
        <v>15.3</v>
      </c>
      <c r="S41" s="1489"/>
      <c r="X41" s="395"/>
      <c r="Y41" s="395"/>
      <c r="Z41" s="395"/>
      <c r="AA41" s="395"/>
      <c r="AB41" s="395"/>
    </row>
    <row r="42" spans="1:28">
      <c r="A42" s="1997" t="s">
        <v>1447</v>
      </c>
      <c r="B42" s="397" t="s">
        <v>1047</v>
      </c>
      <c r="C42" s="397"/>
      <c r="D42" s="397"/>
      <c r="E42" s="397"/>
      <c r="F42" s="1998"/>
      <c r="G42" s="1487">
        <v>343.1</v>
      </c>
      <c r="H42" s="1487">
        <v>342</v>
      </c>
      <c r="I42" s="1487">
        <v>465</v>
      </c>
      <c r="J42" s="1487">
        <v>470</v>
      </c>
      <c r="K42" s="1487">
        <v>440</v>
      </c>
      <c r="L42" s="1487">
        <v>546</v>
      </c>
      <c r="M42" s="1487">
        <v>500.5</v>
      </c>
      <c r="N42" s="1487">
        <v>533.5</v>
      </c>
      <c r="O42" s="1487">
        <v>517</v>
      </c>
      <c r="P42" s="1487">
        <v>397</v>
      </c>
      <c r="Q42" s="1487">
        <v>130.63999999999999</v>
      </c>
      <c r="R42" s="1487"/>
      <c r="S42" s="1489"/>
      <c r="X42" s="395"/>
      <c r="Y42" s="395"/>
      <c r="Z42" s="395"/>
      <c r="AA42" s="395"/>
      <c r="AB42" s="395"/>
    </row>
    <row r="43" spans="1:28">
      <c r="A43" s="1997" t="s">
        <v>1448</v>
      </c>
      <c r="B43" s="397" t="s">
        <v>1067</v>
      </c>
      <c r="C43" s="397"/>
      <c r="D43" s="397"/>
      <c r="E43" s="397"/>
      <c r="F43" s="1998"/>
      <c r="G43" s="1487"/>
      <c r="H43" s="1487"/>
      <c r="I43" s="1487">
        <v>101</v>
      </c>
      <c r="J43" s="1487">
        <v>0</v>
      </c>
      <c r="K43" s="1487">
        <v>300</v>
      </c>
      <c r="L43" s="1487">
        <v>100</v>
      </c>
      <c r="M43" s="1487">
        <v>0</v>
      </c>
      <c r="N43" s="1487">
        <v>523.27</v>
      </c>
      <c r="O43" s="1487">
        <v>476.73</v>
      </c>
      <c r="P43" s="1487">
        <v>454.2</v>
      </c>
      <c r="Q43" s="1487">
        <v>209.99</v>
      </c>
      <c r="R43" s="1487"/>
      <c r="S43" s="1489"/>
      <c r="X43" s="395"/>
      <c r="Y43" s="395"/>
      <c r="Z43" s="395"/>
      <c r="AA43" s="395"/>
      <c r="AB43" s="395"/>
    </row>
    <row r="44" spans="1:28">
      <c r="A44" s="1997" t="s">
        <v>1449</v>
      </c>
      <c r="B44" s="397" t="s">
        <v>1450</v>
      </c>
      <c r="C44" s="397"/>
      <c r="D44" s="397"/>
      <c r="E44" s="397"/>
      <c r="F44" s="1998"/>
      <c r="G44" s="1487"/>
      <c r="H44" s="1487"/>
      <c r="I44" s="1487"/>
      <c r="J44" s="1487"/>
      <c r="K44" s="1487"/>
      <c r="L44" s="1487"/>
      <c r="M44" s="1487"/>
      <c r="N44" s="1487">
        <v>17.62</v>
      </c>
      <c r="O44" s="1487"/>
      <c r="P44" s="1487"/>
      <c r="Q44" s="1487"/>
      <c r="R44" s="1487"/>
      <c r="S44" s="1489"/>
      <c r="X44" s="395"/>
      <c r="Y44" s="395"/>
      <c r="Z44" s="395"/>
      <c r="AA44" s="395"/>
      <c r="AB44" s="395"/>
    </row>
    <row r="45" spans="1:28">
      <c r="A45" s="1997" t="s">
        <v>1451</v>
      </c>
      <c r="B45" s="397" t="s">
        <v>1452</v>
      </c>
      <c r="C45" s="397"/>
      <c r="D45" s="397"/>
      <c r="E45" s="397"/>
      <c r="F45" s="1998"/>
      <c r="G45" s="1487"/>
      <c r="H45" s="1487">
        <v>653.51</v>
      </c>
      <c r="I45" s="1487">
        <v>684.54</v>
      </c>
      <c r="J45" s="1487">
        <v>135.63</v>
      </c>
      <c r="K45" s="1487">
        <v>523.11</v>
      </c>
      <c r="L45" s="1487">
        <v>239.97</v>
      </c>
      <c r="M45" s="1487">
        <v>256.70999999999998</v>
      </c>
      <c r="N45" s="1487"/>
      <c r="O45" s="1487"/>
      <c r="P45" s="1487"/>
      <c r="Q45" s="1487"/>
      <c r="R45" s="1487"/>
      <c r="S45" s="1489"/>
      <c r="X45" s="395"/>
      <c r="Y45" s="395"/>
      <c r="Z45" s="395"/>
      <c r="AA45" s="395"/>
      <c r="AB45" s="395"/>
    </row>
    <row r="46" spans="1:28">
      <c r="A46" s="1997" t="s">
        <v>1453</v>
      </c>
      <c r="B46" s="397" t="s">
        <v>1058</v>
      </c>
      <c r="C46" s="397"/>
      <c r="D46" s="397"/>
      <c r="E46" s="397"/>
      <c r="F46" s="1998"/>
      <c r="G46" s="1487">
        <v>2765.52</v>
      </c>
      <c r="H46" s="1487">
        <v>0</v>
      </c>
      <c r="I46" s="1487">
        <v>2482.0500000000002</v>
      </c>
      <c r="J46" s="1487">
        <v>0</v>
      </c>
      <c r="K46" s="1487">
        <v>1319.63</v>
      </c>
      <c r="L46" s="1487">
        <v>254.77</v>
      </c>
      <c r="M46" s="1487">
        <v>0</v>
      </c>
      <c r="N46" s="1487"/>
      <c r="O46" s="1487"/>
      <c r="P46" s="1487"/>
      <c r="Q46" s="1487"/>
      <c r="R46" s="1487"/>
      <c r="S46" s="1489"/>
      <c r="X46" s="395"/>
      <c r="Y46" s="395"/>
      <c r="Z46" s="395"/>
      <c r="AA46" s="395"/>
      <c r="AB46" s="395"/>
    </row>
    <row r="47" spans="1:28">
      <c r="A47" s="1997" t="s">
        <v>1454</v>
      </c>
      <c r="B47" s="397" t="s">
        <v>1061</v>
      </c>
      <c r="C47" s="397"/>
      <c r="D47" s="397"/>
      <c r="E47" s="397"/>
      <c r="F47" s="1998"/>
      <c r="G47" s="1487"/>
      <c r="H47" s="1487"/>
      <c r="I47" s="1487"/>
      <c r="J47" s="1487"/>
      <c r="K47" s="1487"/>
      <c r="L47" s="1487">
        <v>16</v>
      </c>
      <c r="M47" s="1487">
        <v>0</v>
      </c>
      <c r="N47" s="1487"/>
      <c r="O47" s="1487"/>
      <c r="P47" s="1487"/>
      <c r="Q47" s="1487"/>
      <c r="R47" s="1487"/>
      <c r="S47" s="1489"/>
      <c r="X47" s="395"/>
      <c r="Y47" s="395"/>
      <c r="Z47" s="395"/>
      <c r="AA47" s="395"/>
      <c r="AB47" s="395"/>
    </row>
    <row r="48" spans="1:28">
      <c r="A48" s="1997" t="s">
        <v>1455</v>
      </c>
      <c r="B48" s="397" t="s">
        <v>1061</v>
      </c>
      <c r="C48" s="397"/>
      <c r="D48" s="397"/>
      <c r="E48" s="397"/>
      <c r="F48" s="1998"/>
      <c r="G48" s="1487"/>
      <c r="H48" s="1487"/>
      <c r="I48" s="1487"/>
      <c r="J48" s="1487"/>
      <c r="K48" s="1487">
        <v>637.32000000000005</v>
      </c>
      <c r="L48" s="1487">
        <v>241.66</v>
      </c>
      <c r="M48" s="1487">
        <v>0</v>
      </c>
      <c r="N48" s="1487"/>
      <c r="O48" s="1487"/>
      <c r="P48" s="1487"/>
      <c r="Q48" s="1487"/>
      <c r="R48" s="1487"/>
      <c r="S48" s="1489"/>
      <c r="X48" s="395"/>
      <c r="Y48" s="395"/>
      <c r="Z48" s="395"/>
      <c r="AA48" s="395"/>
      <c r="AB48" s="395"/>
    </row>
    <row r="49" spans="1:28">
      <c r="A49" s="1997" t="s">
        <v>1456</v>
      </c>
      <c r="B49" s="397" t="s">
        <v>1045</v>
      </c>
      <c r="C49" s="397"/>
      <c r="D49" s="397"/>
      <c r="E49" s="397"/>
      <c r="F49" s="1998"/>
      <c r="G49" s="397"/>
      <c r="H49" s="397"/>
      <c r="I49" s="397"/>
      <c r="J49" s="1487">
        <v>18.600000000000001</v>
      </c>
      <c r="K49" s="1487">
        <v>22.77</v>
      </c>
      <c r="L49" s="1487">
        <v>21.6</v>
      </c>
      <c r="M49" s="1487">
        <v>45.6</v>
      </c>
      <c r="N49" s="1487"/>
      <c r="O49" s="1487"/>
      <c r="P49" s="1487"/>
      <c r="Q49" s="1487">
        <v>48.96</v>
      </c>
      <c r="R49" s="1487"/>
      <c r="S49" s="1489"/>
      <c r="X49" s="395"/>
      <c r="Y49" s="395"/>
      <c r="Z49" s="395"/>
      <c r="AA49" s="395"/>
      <c r="AB49" s="395"/>
    </row>
    <row r="50" spans="1:28">
      <c r="A50" s="1997" t="s">
        <v>1457</v>
      </c>
      <c r="B50" s="397" t="s">
        <v>1067</v>
      </c>
      <c r="C50" s="397"/>
      <c r="D50" s="397"/>
      <c r="E50" s="397"/>
      <c r="F50" s="1998"/>
      <c r="G50" s="1487">
        <v>336</v>
      </c>
      <c r="H50" s="1487">
        <v>357</v>
      </c>
      <c r="I50" s="1487">
        <v>1326.01</v>
      </c>
      <c r="J50" s="1487">
        <v>791.08</v>
      </c>
      <c r="K50" s="1487">
        <v>1218.52</v>
      </c>
      <c r="L50" s="1487">
        <v>356.86</v>
      </c>
      <c r="M50" s="1487">
        <v>266.58999999999997</v>
      </c>
      <c r="N50" s="1487"/>
      <c r="O50" s="1487"/>
      <c r="P50" s="1487"/>
      <c r="Q50" s="1487"/>
      <c r="R50" s="1487"/>
      <c r="S50" s="1489"/>
      <c r="X50" s="395"/>
      <c r="Y50" s="395"/>
      <c r="Z50" s="395"/>
      <c r="AA50" s="395"/>
      <c r="AB50" s="395"/>
    </row>
    <row r="51" spans="1:28">
      <c r="A51" s="1997" t="s">
        <v>1458</v>
      </c>
      <c r="B51" s="397" t="s">
        <v>1069</v>
      </c>
      <c r="C51" s="397"/>
      <c r="D51" s="397"/>
      <c r="E51" s="397"/>
      <c r="F51" s="1998"/>
      <c r="G51" s="1487"/>
      <c r="H51" s="1487"/>
      <c r="I51" s="1487">
        <v>0.59</v>
      </c>
      <c r="J51" s="1487">
        <v>0.01</v>
      </c>
      <c r="K51" s="1487">
        <v>0</v>
      </c>
      <c r="L51" s="1487">
        <v>0.98</v>
      </c>
      <c r="M51" s="1487">
        <v>5.3</v>
      </c>
      <c r="N51" s="1487"/>
      <c r="O51" s="1487"/>
      <c r="P51" s="1487"/>
      <c r="Q51" s="1487"/>
      <c r="R51" s="1487"/>
      <c r="S51" s="1489"/>
      <c r="X51" s="395"/>
      <c r="Y51" s="395"/>
      <c r="Z51" s="395"/>
      <c r="AA51" s="395"/>
      <c r="AB51" s="395"/>
    </row>
    <row r="52" spans="1:28">
      <c r="A52" s="1997" t="s">
        <v>1459</v>
      </c>
      <c r="B52" s="397" t="s">
        <v>1069</v>
      </c>
      <c r="C52" s="397"/>
      <c r="D52" s="397"/>
      <c r="E52" s="397"/>
      <c r="F52" s="1998"/>
      <c r="G52" s="1487">
        <v>28.54</v>
      </c>
      <c r="H52" s="1487">
        <v>29.97</v>
      </c>
      <c r="I52" s="1487">
        <v>31.88</v>
      </c>
      <c r="J52" s="1487">
        <v>27.82</v>
      </c>
      <c r="K52" s="1487">
        <v>21.55</v>
      </c>
      <c r="L52" s="1487">
        <v>15.95</v>
      </c>
      <c r="M52" s="1487">
        <v>18.7</v>
      </c>
      <c r="N52" s="1487"/>
      <c r="O52" s="1487"/>
      <c r="P52" s="1487"/>
      <c r="Q52" s="1487"/>
      <c r="R52" s="1487"/>
      <c r="S52" s="1489"/>
      <c r="X52" s="395"/>
      <c r="Y52" s="395"/>
      <c r="Z52" s="395"/>
      <c r="AA52" s="395"/>
      <c r="AB52" s="395"/>
    </row>
    <row r="53" spans="1:28">
      <c r="A53" s="2046"/>
      <c r="B53" s="2047" t="s">
        <v>1083</v>
      </c>
      <c r="C53" s="2047"/>
      <c r="D53" s="2047"/>
      <c r="E53" s="2047"/>
      <c r="F53" s="2047"/>
      <c r="G53" s="2005">
        <f t="shared" ref="G53:Q53" si="12">SUM(G23:G52)</f>
        <v>181040.52</v>
      </c>
      <c r="H53" s="2005">
        <f t="shared" si="12"/>
        <v>185582.73</v>
      </c>
      <c r="I53" s="2005">
        <f t="shared" si="12"/>
        <v>171433.02</v>
      </c>
      <c r="J53" s="2005">
        <f t="shared" si="12"/>
        <v>169963.56999999998</v>
      </c>
      <c r="K53" s="2005">
        <f t="shared" si="12"/>
        <v>174868.69999999995</v>
      </c>
      <c r="L53" s="2005">
        <f t="shared" si="12"/>
        <v>167474.43</v>
      </c>
      <c r="M53" s="2005">
        <f t="shared" si="12"/>
        <v>197960.2</v>
      </c>
      <c r="N53" s="2005">
        <f t="shared" si="12"/>
        <v>188798.33</v>
      </c>
      <c r="O53" s="2005">
        <f t="shared" si="12"/>
        <v>195470.51</v>
      </c>
      <c r="P53" s="2005">
        <f t="shared" si="12"/>
        <v>208836.16</v>
      </c>
      <c r="Q53" s="2005">
        <f t="shared" si="12"/>
        <v>200421.12999999998</v>
      </c>
      <c r="R53" s="2005">
        <f>SUM(R23:R52)</f>
        <v>203867.86</v>
      </c>
      <c r="S53" s="3150">
        <f>SUM(S22:S52)</f>
        <v>232261.37999999998</v>
      </c>
      <c r="X53" s="395"/>
      <c r="Y53" s="395"/>
      <c r="Z53" s="395"/>
      <c r="AA53" s="395"/>
      <c r="AB53" s="395"/>
    </row>
    <row r="54" spans="1:28">
      <c r="A54" s="1993" t="s">
        <v>990</v>
      </c>
      <c r="B54" s="1995"/>
      <c r="C54" s="1995"/>
      <c r="D54" s="1995"/>
      <c r="E54" s="1995"/>
      <c r="F54" s="1996"/>
      <c r="G54" s="1487"/>
      <c r="H54" s="1487"/>
      <c r="I54" s="1487"/>
      <c r="J54" s="1487"/>
      <c r="K54" s="1487"/>
      <c r="L54" s="1487"/>
      <c r="M54" s="1487"/>
      <c r="N54" s="397"/>
      <c r="O54" s="397"/>
      <c r="P54" s="397"/>
      <c r="Q54" s="1487"/>
      <c r="R54" s="1487"/>
      <c r="S54" s="1489"/>
      <c r="X54" s="395"/>
      <c r="Y54" s="395"/>
      <c r="Z54" s="395"/>
      <c r="AA54" s="395"/>
      <c r="AB54" s="395"/>
    </row>
    <row r="55" spans="1:28">
      <c r="A55" s="1997" t="s">
        <v>1460</v>
      </c>
      <c r="B55" s="397" t="s">
        <v>1318</v>
      </c>
      <c r="C55" s="397"/>
      <c r="D55" s="397"/>
      <c r="E55" s="397"/>
      <c r="F55" s="1998"/>
      <c r="G55" s="1487">
        <v>1279.81</v>
      </c>
      <c r="H55" s="1487">
        <v>1500.68</v>
      </c>
      <c r="I55" s="1487">
        <v>1857.7</v>
      </c>
      <c r="J55" s="1487">
        <v>1773.02</v>
      </c>
      <c r="K55" s="1487">
        <v>3064.84</v>
      </c>
      <c r="L55" s="1487">
        <v>1372.2</v>
      </c>
      <c r="M55" s="1487">
        <v>4139.9799999999996</v>
      </c>
      <c r="N55" s="1487">
        <v>2448.13</v>
      </c>
      <c r="O55" s="1487">
        <v>914.03</v>
      </c>
      <c r="P55" s="1487">
        <v>5310.36</v>
      </c>
      <c r="Q55" s="1487">
        <v>4820.99</v>
      </c>
      <c r="R55" s="1487">
        <v>3928.38</v>
      </c>
      <c r="S55" s="1489">
        <v>909.34</v>
      </c>
      <c r="X55" s="395"/>
      <c r="Y55" s="395"/>
      <c r="Z55" s="395"/>
      <c r="AA55" s="395"/>
      <c r="AB55" s="395"/>
    </row>
    <row r="56" spans="1:28">
      <c r="A56" s="1997" t="s">
        <v>1461</v>
      </c>
      <c r="B56" s="397" t="s">
        <v>1322</v>
      </c>
      <c r="C56" s="397"/>
      <c r="D56" s="397"/>
      <c r="E56" s="397"/>
      <c r="F56" s="1998"/>
      <c r="G56" s="1487">
        <v>6677.92</v>
      </c>
      <c r="H56" s="1487">
        <v>7578.51</v>
      </c>
      <c r="I56" s="1487">
        <v>8114.05</v>
      </c>
      <c r="J56" s="1487">
        <v>9964.74</v>
      </c>
      <c r="K56" s="1487">
        <v>8499.7000000000007</v>
      </c>
      <c r="L56" s="1487">
        <v>9463.2099999999991</v>
      </c>
      <c r="M56" s="1487">
        <v>11409.67</v>
      </c>
      <c r="N56" s="1487">
        <v>9198.5400000000009</v>
      </c>
      <c r="O56" s="1487">
        <v>9756.09</v>
      </c>
      <c r="P56" s="1487">
        <v>11619.09</v>
      </c>
      <c r="Q56" s="1487">
        <v>7637.99</v>
      </c>
      <c r="R56" s="1487">
        <v>11466.33</v>
      </c>
      <c r="S56" s="1489">
        <v>8002.34</v>
      </c>
      <c r="X56" s="395"/>
      <c r="Y56" s="395"/>
      <c r="Z56" s="395"/>
      <c r="AA56" s="395"/>
      <c r="AB56" s="395"/>
    </row>
    <row r="57" spans="1:28">
      <c r="A57" s="1997" t="s">
        <v>1462</v>
      </c>
      <c r="B57" s="397" t="s">
        <v>1324</v>
      </c>
      <c r="C57" s="397"/>
      <c r="D57" s="397"/>
      <c r="E57" s="397"/>
      <c r="F57" s="1998"/>
      <c r="G57" s="1487">
        <v>3277.49</v>
      </c>
      <c r="H57" s="1487">
        <v>6557.12</v>
      </c>
      <c r="I57" s="1487">
        <v>6486.32</v>
      </c>
      <c r="J57" s="1487">
        <v>6860.17</v>
      </c>
      <c r="K57" s="1487">
        <v>7577.77</v>
      </c>
      <c r="L57" s="1487">
        <v>5863</v>
      </c>
      <c r="M57" s="1487">
        <v>6600.17</v>
      </c>
      <c r="N57" s="1487">
        <v>5657.01</v>
      </c>
      <c r="O57" s="1487">
        <v>4734.54</v>
      </c>
      <c r="P57" s="1487">
        <v>4561.7299999999996</v>
      </c>
      <c r="Q57" s="1487">
        <v>4782.8100000000004</v>
      </c>
      <c r="R57" s="1487">
        <v>5375.33</v>
      </c>
      <c r="S57" s="1489">
        <v>4289.5600000000004</v>
      </c>
      <c r="X57" s="395"/>
      <c r="Y57" s="395"/>
      <c r="Z57" s="395"/>
      <c r="AA57" s="395"/>
      <c r="AB57" s="395"/>
    </row>
    <row r="58" spans="1:28">
      <c r="A58" s="1997" t="s">
        <v>1463</v>
      </c>
      <c r="B58" s="1487" t="s">
        <v>1375</v>
      </c>
      <c r="C58" s="1487"/>
      <c r="D58" s="1487"/>
      <c r="E58" s="1487"/>
      <c r="F58" s="1489"/>
      <c r="G58" s="1487">
        <v>1258.3399999999999</v>
      </c>
      <c r="H58" s="1487">
        <v>1653.11</v>
      </c>
      <c r="I58" s="1487">
        <v>2575.1799999999998</v>
      </c>
      <c r="J58" s="1487">
        <v>683.58</v>
      </c>
      <c r="K58" s="1487">
        <v>511.48</v>
      </c>
      <c r="L58" s="1487">
        <v>551.6</v>
      </c>
      <c r="M58" s="1487">
        <v>537.49</v>
      </c>
      <c r="N58" s="1487">
        <v>544.71</v>
      </c>
      <c r="O58" s="1487">
        <v>829.16</v>
      </c>
      <c r="P58" s="1487">
        <v>674.77</v>
      </c>
      <c r="Q58" s="1487">
        <v>751.73</v>
      </c>
      <c r="R58" s="1487">
        <v>678.15</v>
      </c>
      <c r="S58" s="1489">
        <v>427.97</v>
      </c>
      <c r="X58" s="395"/>
      <c r="Y58" s="395"/>
      <c r="Z58" s="395"/>
      <c r="AA58" s="395"/>
      <c r="AB58" s="395"/>
    </row>
    <row r="59" spans="1:28">
      <c r="A59" s="1997" t="s">
        <v>1464</v>
      </c>
      <c r="B59" s="397" t="s">
        <v>1326</v>
      </c>
      <c r="C59" s="397"/>
      <c r="D59" s="397"/>
      <c r="E59" s="397"/>
      <c r="F59" s="1998"/>
      <c r="G59" s="1487">
        <v>910.03</v>
      </c>
      <c r="H59" s="1487">
        <v>933.91</v>
      </c>
      <c r="I59" s="1487">
        <v>976.04</v>
      </c>
      <c r="J59" s="1487">
        <v>940.94</v>
      </c>
      <c r="K59" s="1487">
        <v>969.07</v>
      </c>
      <c r="L59" s="1487">
        <v>839.91</v>
      </c>
      <c r="M59" s="1487">
        <v>868.5</v>
      </c>
      <c r="N59" s="1487">
        <v>880.41</v>
      </c>
      <c r="O59" s="1487">
        <v>887.56</v>
      </c>
      <c r="P59" s="1487">
        <v>884.31</v>
      </c>
      <c r="Q59" s="1487">
        <v>723.55</v>
      </c>
      <c r="R59" s="1487">
        <v>738.63</v>
      </c>
      <c r="S59" s="1489">
        <v>616.84</v>
      </c>
      <c r="X59" s="395"/>
      <c r="Y59" s="395"/>
      <c r="Z59" s="395"/>
      <c r="AA59" s="395"/>
      <c r="AB59" s="395"/>
    </row>
    <row r="60" spans="1:28">
      <c r="A60" s="1997" t="s">
        <v>1465</v>
      </c>
      <c r="B60" s="397" t="s">
        <v>1365</v>
      </c>
      <c r="C60" s="397"/>
      <c r="D60" s="397"/>
      <c r="E60" s="397"/>
      <c r="F60" s="1998"/>
      <c r="G60" s="1487">
        <v>54.73</v>
      </c>
      <c r="H60" s="1487">
        <v>107.51</v>
      </c>
      <c r="I60" s="1487">
        <v>56.68</v>
      </c>
      <c r="J60" s="1487">
        <v>104.21</v>
      </c>
      <c r="K60" s="1487">
        <v>36.369999999999997</v>
      </c>
      <c r="L60" s="1487">
        <v>63.5</v>
      </c>
      <c r="M60" s="1487">
        <v>62.4</v>
      </c>
      <c r="N60" s="1487">
        <v>62.04</v>
      </c>
      <c r="O60" s="1487">
        <v>57.27</v>
      </c>
      <c r="P60" s="1487">
        <v>57.27</v>
      </c>
      <c r="Q60" s="1487">
        <v>57.27</v>
      </c>
      <c r="R60" s="1487">
        <v>34.200000000000003</v>
      </c>
      <c r="S60" s="1489"/>
      <c r="X60" s="395"/>
      <c r="Y60" s="395"/>
      <c r="Z60" s="395"/>
      <c r="AA60" s="395"/>
      <c r="AB60" s="395"/>
    </row>
    <row r="61" spans="1:28">
      <c r="A61" s="1997" t="s">
        <v>1466</v>
      </c>
      <c r="B61" s="397" t="s">
        <v>1467</v>
      </c>
      <c r="C61" s="397"/>
      <c r="D61" s="397"/>
      <c r="E61" s="397"/>
      <c r="F61" s="1998"/>
      <c r="G61" s="1487">
        <v>5728.54</v>
      </c>
      <c r="H61" s="1487">
        <v>5053.09</v>
      </c>
      <c r="I61" s="1487">
        <v>6063.84</v>
      </c>
      <c r="J61" s="1487">
        <v>4339.84</v>
      </c>
      <c r="K61" s="1487">
        <v>3591.95</v>
      </c>
      <c r="L61" s="1487">
        <v>3309.22</v>
      </c>
      <c r="M61" s="1487">
        <v>3663.15</v>
      </c>
      <c r="N61" s="1487">
        <v>5080.8500000000004</v>
      </c>
      <c r="O61" s="1487">
        <v>4470.8900000000003</v>
      </c>
      <c r="P61" s="1487">
        <v>4808.84</v>
      </c>
      <c r="Q61" s="1487">
        <v>3591.13</v>
      </c>
      <c r="R61" s="1487">
        <v>3414.21</v>
      </c>
      <c r="S61" s="1489">
        <v>1703.02</v>
      </c>
      <c r="X61" s="395"/>
      <c r="Y61" s="395"/>
      <c r="Z61" s="395"/>
      <c r="AA61" s="395"/>
      <c r="AB61" s="395"/>
    </row>
    <row r="62" spans="1:28">
      <c r="A62" s="1997" t="s">
        <v>1468</v>
      </c>
      <c r="B62" s="397" t="s">
        <v>1096</v>
      </c>
      <c r="C62" s="397"/>
      <c r="D62" s="397"/>
      <c r="E62" s="397"/>
      <c r="F62" s="1998"/>
      <c r="G62" s="1487">
        <v>1090.58</v>
      </c>
      <c r="H62" s="1487">
        <v>821.44</v>
      </c>
      <c r="I62" s="1487">
        <v>844.72</v>
      </c>
      <c r="J62" s="1487">
        <v>248.05</v>
      </c>
      <c r="K62" s="1487">
        <v>1381.33</v>
      </c>
      <c r="L62" s="1487">
        <v>578.25</v>
      </c>
      <c r="M62" s="1487">
        <v>929.48</v>
      </c>
      <c r="N62" s="1487">
        <v>228.06</v>
      </c>
      <c r="O62" s="1487">
        <v>93.86</v>
      </c>
      <c r="P62" s="1487">
        <v>429.28</v>
      </c>
      <c r="Q62" s="1487">
        <v>402.69</v>
      </c>
      <c r="R62" s="1487">
        <v>383.49</v>
      </c>
      <c r="S62" s="1489">
        <v>255.33</v>
      </c>
      <c r="X62" s="395"/>
      <c r="Y62" s="395"/>
      <c r="Z62" s="395"/>
      <c r="AA62" s="395"/>
      <c r="AB62" s="395"/>
    </row>
    <row r="63" spans="1:28">
      <c r="A63" s="1997" t="s">
        <v>1469</v>
      </c>
      <c r="B63" s="397" t="s">
        <v>1098</v>
      </c>
      <c r="C63" s="397"/>
      <c r="D63" s="397"/>
      <c r="E63" s="397"/>
      <c r="F63" s="1998"/>
      <c r="G63" s="1487">
        <v>1237.4000000000001</v>
      </c>
      <c r="H63" s="1487">
        <v>316.88</v>
      </c>
      <c r="I63" s="1487">
        <v>600.63</v>
      </c>
      <c r="J63" s="1487">
        <v>489.24</v>
      </c>
      <c r="K63" s="1487">
        <v>663.77</v>
      </c>
      <c r="L63" s="1487">
        <v>542.03</v>
      </c>
      <c r="M63" s="1487">
        <v>614.76</v>
      </c>
      <c r="N63" s="1487">
        <v>452.59</v>
      </c>
      <c r="O63" s="1487">
        <v>735.48</v>
      </c>
      <c r="P63" s="1487">
        <v>510.48</v>
      </c>
      <c r="Q63" s="1487">
        <v>217</v>
      </c>
      <c r="R63" s="1487">
        <v>339.18</v>
      </c>
      <c r="S63" s="1489">
        <v>251.18</v>
      </c>
      <c r="X63" s="395"/>
      <c r="Y63" s="395"/>
      <c r="Z63" s="395"/>
      <c r="AA63" s="395"/>
      <c r="AB63" s="395"/>
    </row>
    <row r="64" spans="1:28">
      <c r="A64" s="1997" t="s">
        <v>1470</v>
      </c>
      <c r="B64" s="397" t="s">
        <v>1102</v>
      </c>
      <c r="C64" s="397"/>
      <c r="D64" s="397"/>
      <c r="E64" s="397"/>
      <c r="F64" s="1998"/>
      <c r="G64" s="1487">
        <v>1301.77</v>
      </c>
      <c r="H64" s="1487">
        <v>1249.08</v>
      </c>
      <c r="I64" s="1487">
        <v>1351.03</v>
      </c>
      <c r="J64" s="1487">
        <v>1305.1199999999999</v>
      </c>
      <c r="K64" s="1487">
        <v>1323.96</v>
      </c>
      <c r="L64" s="1487">
        <v>1349.21</v>
      </c>
      <c r="M64" s="1487">
        <v>1335.34</v>
      </c>
      <c r="N64" s="1487">
        <v>1552.06</v>
      </c>
      <c r="O64" s="1487">
        <v>1731.59</v>
      </c>
      <c r="P64" s="1487">
        <v>1521.57</v>
      </c>
      <c r="Q64" s="1487">
        <v>1382.09</v>
      </c>
      <c r="R64" s="1487">
        <v>1373.78</v>
      </c>
      <c r="S64" s="1489">
        <v>839.73</v>
      </c>
      <c r="X64" s="395"/>
      <c r="Y64" s="395"/>
      <c r="Z64" s="395"/>
      <c r="AA64" s="395"/>
      <c r="AB64" s="395"/>
    </row>
    <row r="65" spans="1:28">
      <c r="A65" s="1997" t="s">
        <v>1471</v>
      </c>
      <c r="B65" s="397" t="s">
        <v>1138</v>
      </c>
      <c r="C65" s="397"/>
      <c r="D65" s="397"/>
      <c r="E65" s="397"/>
      <c r="F65" s="1998"/>
      <c r="G65" s="1487">
        <v>1806.54</v>
      </c>
      <c r="H65" s="1487">
        <v>1751.14</v>
      </c>
      <c r="I65" s="1487">
        <v>1468.84</v>
      </c>
      <c r="J65" s="1487">
        <v>1487.77</v>
      </c>
      <c r="K65" s="1487">
        <v>1510.65</v>
      </c>
      <c r="L65" s="1487">
        <v>1541.34</v>
      </c>
      <c r="M65" s="1487">
        <v>1450.44</v>
      </c>
      <c r="N65" s="1487">
        <v>1416.07</v>
      </c>
      <c r="O65" s="1487">
        <v>1088.72</v>
      </c>
      <c r="P65" s="1487">
        <v>1243.3499999999999</v>
      </c>
      <c r="Q65" s="1487">
        <v>1335.87</v>
      </c>
      <c r="R65" s="1487">
        <v>738.75</v>
      </c>
      <c r="S65" s="1489">
        <v>216.36</v>
      </c>
      <c r="X65" s="395"/>
      <c r="Y65" s="395"/>
      <c r="Z65" s="395"/>
      <c r="AA65" s="395"/>
      <c r="AB65" s="395"/>
    </row>
    <row r="66" spans="1:28">
      <c r="A66" s="1997" t="s">
        <v>1472</v>
      </c>
      <c r="B66" s="397" t="s">
        <v>1339</v>
      </c>
      <c r="C66" s="397"/>
      <c r="D66" s="397"/>
      <c r="E66" s="397"/>
      <c r="F66" s="1998"/>
      <c r="G66" s="1487">
        <v>30</v>
      </c>
      <c r="H66" s="1487">
        <v>0</v>
      </c>
      <c r="I66" s="1487">
        <v>0</v>
      </c>
      <c r="J66" s="1487">
        <v>112.62</v>
      </c>
      <c r="K66" s="1487">
        <v>0</v>
      </c>
      <c r="L66" s="1487">
        <v>0</v>
      </c>
      <c r="M66" s="1487">
        <v>193.99</v>
      </c>
      <c r="N66" s="1487">
        <v>346.45</v>
      </c>
      <c r="O66" s="1487"/>
      <c r="P66" s="1487">
        <v>424.95</v>
      </c>
      <c r="Q66" s="1487">
        <v>508.25</v>
      </c>
      <c r="R66" s="1487">
        <v>1016.1</v>
      </c>
      <c r="S66" s="1489">
        <v>71.39</v>
      </c>
      <c r="X66" s="395"/>
      <c r="Y66" s="395"/>
      <c r="Z66" s="395"/>
      <c r="AA66" s="395"/>
      <c r="AB66" s="395"/>
    </row>
    <row r="67" spans="1:28">
      <c r="A67" s="1997" t="s">
        <v>1473</v>
      </c>
      <c r="B67" s="397" t="s">
        <v>1111</v>
      </c>
      <c r="C67" s="397"/>
      <c r="D67" s="397"/>
      <c r="E67" s="397"/>
      <c r="F67" s="1998"/>
      <c r="G67" s="1487">
        <v>673.52</v>
      </c>
      <c r="H67" s="1487">
        <v>946.69</v>
      </c>
      <c r="I67" s="1487">
        <v>1023.75</v>
      </c>
      <c r="J67" s="1487">
        <v>235.5</v>
      </c>
      <c r="K67" s="1487">
        <v>987.69</v>
      </c>
      <c r="L67" s="1487">
        <v>2089.71</v>
      </c>
      <c r="M67" s="1487">
        <v>529.33000000000004</v>
      </c>
      <c r="N67" s="1487">
        <v>3932.93</v>
      </c>
      <c r="O67" s="1487">
        <v>1112.28</v>
      </c>
      <c r="P67" s="1487">
        <v>833.92</v>
      </c>
      <c r="Q67" s="1487">
        <v>1316.85</v>
      </c>
      <c r="R67" s="1487">
        <v>946.53</v>
      </c>
      <c r="S67" s="1489">
        <v>864.83</v>
      </c>
      <c r="X67" s="395"/>
      <c r="Y67" s="395"/>
      <c r="Z67" s="395"/>
      <c r="AA67" s="395"/>
      <c r="AB67" s="395"/>
    </row>
    <row r="68" spans="1:28">
      <c r="A68" s="1997" t="s">
        <v>1474</v>
      </c>
      <c r="B68" s="397" t="s">
        <v>1147</v>
      </c>
      <c r="C68" s="397"/>
      <c r="D68" s="397"/>
      <c r="E68" s="397"/>
      <c r="F68" s="1998"/>
      <c r="G68" s="1487">
        <v>5965.97</v>
      </c>
      <c r="H68" s="1487">
        <v>5463.7</v>
      </c>
      <c r="I68" s="1487">
        <v>6785.99</v>
      </c>
      <c r="J68" s="1487">
        <v>3177.86</v>
      </c>
      <c r="K68" s="1487">
        <v>5894.55</v>
      </c>
      <c r="L68" s="1487">
        <v>6588.89</v>
      </c>
      <c r="M68" s="1487">
        <v>7802.16</v>
      </c>
      <c r="N68" s="1487">
        <v>6267.51</v>
      </c>
      <c r="O68" s="1487">
        <v>6019.74</v>
      </c>
      <c r="P68" s="1487">
        <v>5326.84</v>
      </c>
      <c r="Q68" s="1487">
        <v>3772.79</v>
      </c>
      <c r="R68" s="1487">
        <v>3893.17</v>
      </c>
      <c r="S68" s="1489">
        <v>579.6</v>
      </c>
      <c r="X68" s="395"/>
      <c r="Y68" s="395"/>
      <c r="Z68" s="395"/>
      <c r="AA68" s="395"/>
      <c r="AB68" s="395"/>
    </row>
    <row r="69" spans="1:28">
      <c r="A69" s="1997" t="s">
        <v>1475</v>
      </c>
      <c r="B69" s="397" t="s">
        <v>1348</v>
      </c>
      <c r="C69" s="397"/>
      <c r="D69" s="397"/>
      <c r="E69" s="397"/>
      <c r="F69" s="1998"/>
      <c r="G69" s="1487">
        <v>1563</v>
      </c>
      <c r="H69" s="1487">
        <v>1776.95</v>
      </c>
      <c r="I69" s="1487">
        <v>1910.34</v>
      </c>
      <c r="J69" s="1487">
        <v>1599.68</v>
      </c>
      <c r="K69" s="1487">
        <v>1333.39</v>
      </c>
      <c r="L69" s="1487">
        <v>1887.01</v>
      </c>
      <c r="M69" s="1487">
        <v>2054.9</v>
      </c>
      <c r="N69" s="1487">
        <v>2204.5500000000002</v>
      </c>
      <c r="O69" s="1487">
        <v>2301.9</v>
      </c>
      <c r="P69" s="1487">
        <v>2790.24</v>
      </c>
      <c r="Q69" s="1487">
        <v>2282.7199999999998</v>
      </c>
      <c r="R69" s="1487">
        <v>2160.7600000000002</v>
      </c>
      <c r="S69" s="1489">
        <v>766.4</v>
      </c>
      <c r="X69" s="395"/>
      <c r="Y69" s="395"/>
      <c r="Z69" s="395"/>
      <c r="AA69" s="395"/>
      <c r="AB69" s="395"/>
    </row>
    <row r="70" spans="1:28">
      <c r="A70" s="1997" t="s">
        <v>1476</v>
      </c>
      <c r="B70" s="397" t="s">
        <v>1115</v>
      </c>
      <c r="C70" s="397"/>
      <c r="D70" s="397"/>
      <c r="E70" s="397"/>
      <c r="F70" s="1998"/>
      <c r="G70" s="1487">
        <v>685</v>
      </c>
      <c r="H70" s="1487">
        <v>420</v>
      </c>
      <c r="I70" s="1487">
        <v>1437</v>
      </c>
      <c r="J70" s="1487">
        <v>480</v>
      </c>
      <c r="K70" s="1487">
        <v>372.76</v>
      </c>
      <c r="L70" s="1487">
        <v>230</v>
      </c>
      <c r="M70" s="1487">
        <v>175</v>
      </c>
      <c r="N70" s="1487">
        <v>410</v>
      </c>
      <c r="O70" s="1487">
        <v>636.04</v>
      </c>
      <c r="P70" s="1487">
        <v>460</v>
      </c>
      <c r="Q70" s="1487">
        <v>340</v>
      </c>
      <c r="R70" s="1487">
        <v>0</v>
      </c>
      <c r="S70" s="1489"/>
      <c r="X70" s="395"/>
      <c r="Y70" s="395"/>
      <c r="Z70" s="395"/>
      <c r="AA70" s="395"/>
      <c r="AB70" s="395"/>
    </row>
    <row r="71" spans="1:28">
      <c r="A71" s="1997" t="s">
        <v>1477</v>
      </c>
      <c r="B71" s="397" t="s">
        <v>1478</v>
      </c>
      <c r="C71" s="397"/>
      <c r="D71" s="397"/>
      <c r="E71" s="397"/>
      <c r="F71" s="1998"/>
      <c r="G71" s="1487"/>
      <c r="H71" s="1487"/>
      <c r="I71" s="1487"/>
      <c r="J71" s="1487"/>
      <c r="K71" s="1487"/>
      <c r="L71" s="1487"/>
      <c r="M71" s="1487"/>
      <c r="N71" s="1487">
        <v>1905.06</v>
      </c>
      <c r="O71" s="1487">
        <v>961.17</v>
      </c>
      <c r="P71" s="1487">
        <v>1718.91</v>
      </c>
      <c r="Q71" s="1487">
        <v>1520.61</v>
      </c>
      <c r="R71" s="1487">
        <v>1311.76</v>
      </c>
      <c r="S71" s="1489">
        <v>402.49</v>
      </c>
      <c r="X71" s="395"/>
      <c r="Y71" s="395"/>
      <c r="Z71" s="395"/>
      <c r="AA71" s="395"/>
      <c r="AB71" s="395"/>
    </row>
    <row r="72" spans="1:28">
      <c r="A72" s="1997" t="s">
        <v>1479</v>
      </c>
      <c r="B72" s="397" t="s">
        <v>1480</v>
      </c>
      <c r="C72" s="397"/>
      <c r="D72" s="397"/>
      <c r="E72" s="397"/>
      <c r="F72" s="1998"/>
      <c r="G72" s="1487"/>
      <c r="H72" s="1487"/>
      <c r="I72" s="1487"/>
      <c r="J72" s="1487"/>
      <c r="K72" s="1487"/>
      <c r="L72" s="1487"/>
      <c r="M72" s="1487"/>
      <c r="N72" s="1487">
        <v>143.13999999999999</v>
      </c>
      <c r="O72" s="1487">
        <v>143.27000000000001</v>
      </c>
      <c r="P72" s="1487">
        <v>145.1</v>
      </c>
      <c r="Q72" s="1487">
        <v>147.30000000000001</v>
      </c>
      <c r="R72" s="1487">
        <v>169.72</v>
      </c>
      <c r="S72" s="1489">
        <v>173.71</v>
      </c>
      <c r="X72" s="395"/>
      <c r="Y72" s="395"/>
      <c r="Z72" s="395"/>
      <c r="AA72" s="395"/>
      <c r="AB72" s="395"/>
    </row>
    <row r="73" spans="1:28">
      <c r="A73" s="1997" t="s">
        <v>1481</v>
      </c>
      <c r="B73" s="397" t="s">
        <v>1482</v>
      </c>
      <c r="C73" s="397"/>
      <c r="D73" s="397"/>
      <c r="E73" s="397"/>
      <c r="F73" s="1998"/>
      <c r="G73" s="1487">
        <v>64.819999999999993</v>
      </c>
      <c r="H73" s="1487">
        <v>0</v>
      </c>
      <c r="I73" s="1487">
        <v>55.26</v>
      </c>
      <c r="J73" s="1487">
        <v>76.3</v>
      </c>
      <c r="K73" s="1487">
        <v>46.13</v>
      </c>
      <c r="L73" s="1487">
        <v>52.67</v>
      </c>
      <c r="M73" s="1487">
        <v>56.4</v>
      </c>
      <c r="N73" s="1487">
        <v>15</v>
      </c>
      <c r="O73" s="1487">
        <v>15</v>
      </c>
      <c r="P73" s="1487">
        <v>15.21</v>
      </c>
      <c r="Q73" s="1487">
        <v>43.38</v>
      </c>
      <c r="R73" s="1487">
        <v>28.05</v>
      </c>
      <c r="S73" s="1489">
        <v>26.6</v>
      </c>
      <c r="X73" s="395"/>
      <c r="Y73" s="395"/>
      <c r="Z73" s="395"/>
      <c r="AA73" s="395"/>
      <c r="AB73" s="395"/>
    </row>
    <row r="74" spans="1:28">
      <c r="A74" s="1997" t="s">
        <v>1483</v>
      </c>
      <c r="B74" s="397" t="s">
        <v>1484</v>
      </c>
      <c r="C74" s="397"/>
      <c r="D74" s="397"/>
      <c r="E74" s="397"/>
      <c r="F74" s="1998"/>
      <c r="G74" s="1487"/>
      <c r="H74" s="1487"/>
      <c r="I74" s="1487"/>
      <c r="J74" s="1487"/>
      <c r="K74" s="1487"/>
      <c r="L74" s="1487"/>
      <c r="M74" s="1487"/>
      <c r="N74" s="1487">
        <v>180.9</v>
      </c>
      <c r="O74" s="1487"/>
      <c r="P74" s="1487"/>
      <c r="Q74" s="1487"/>
      <c r="R74" s="1487"/>
      <c r="S74" s="1489"/>
      <c r="X74" s="395"/>
      <c r="Y74" s="395"/>
      <c r="Z74" s="395"/>
      <c r="AA74" s="395"/>
      <c r="AB74" s="395"/>
    </row>
    <row r="75" spans="1:28">
      <c r="A75" s="1997" t="s">
        <v>1485</v>
      </c>
      <c r="B75" s="397" t="s">
        <v>1100</v>
      </c>
      <c r="C75" s="397"/>
      <c r="D75" s="397"/>
      <c r="E75" s="397"/>
      <c r="F75" s="1998"/>
      <c r="G75" s="1487">
        <v>49.4</v>
      </c>
      <c r="H75" s="1487">
        <v>108</v>
      </c>
      <c r="I75" s="1487">
        <v>47.2</v>
      </c>
      <c r="J75" s="1487">
        <v>59</v>
      </c>
      <c r="K75" s="1487">
        <v>61</v>
      </c>
      <c r="L75" s="1487">
        <v>0</v>
      </c>
      <c r="M75" s="1487">
        <v>0</v>
      </c>
      <c r="N75" s="1487"/>
      <c r="O75" s="1487"/>
      <c r="P75" s="1487"/>
      <c r="Q75" s="1487"/>
      <c r="R75" s="1487"/>
      <c r="S75" s="1489"/>
      <c r="X75" s="395"/>
      <c r="Y75" s="395"/>
      <c r="Z75" s="395"/>
      <c r="AA75" s="395"/>
      <c r="AB75" s="395"/>
    </row>
    <row r="76" spans="1:28">
      <c r="A76" s="1997" t="s">
        <v>1486</v>
      </c>
      <c r="B76" s="397" t="s">
        <v>1142</v>
      </c>
      <c r="C76" s="397"/>
      <c r="D76" s="397"/>
      <c r="E76" s="397"/>
      <c r="F76" s="1998"/>
      <c r="G76" s="1487">
        <v>112.34</v>
      </c>
      <c r="H76" s="1487">
        <v>114.86</v>
      </c>
      <c r="I76" s="1487">
        <v>99.6</v>
      </c>
      <c r="J76" s="1487">
        <v>467.88</v>
      </c>
      <c r="K76" s="1487">
        <v>169.34</v>
      </c>
      <c r="L76" s="1487">
        <v>186.43</v>
      </c>
      <c r="M76" s="1487">
        <v>142.24</v>
      </c>
      <c r="N76" s="1487"/>
      <c r="O76" s="1487"/>
      <c r="P76" s="1487"/>
      <c r="Q76" s="1487"/>
      <c r="R76" s="1487"/>
      <c r="S76" s="1489"/>
      <c r="X76" s="395"/>
      <c r="Y76" s="395"/>
      <c r="Z76" s="395"/>
      <c r="AA76" s="395"/>
      <c r="AB76" s="395"/>
    </row>
    <row r="77" spans="1:28">
      <c r="A77" s="1997" t="s">
        <v>1487</v>
      </c>
      <c r="B77" s="397" t="s">
        <v>1488</v>
      </c>
      <c r="C77" s="397"/>
      <c r="D77" s="397"/>
      <c r="E77" s="397"/>
      <c r="F77" s="1998"/>
      <c r="G77" s="1487">
        <v>0</v>
      </c>
      <c r="H77" s="1487">
        <v>0</v>
      </c>
      <c r="I77" s="1487">
        <v>0</v>
      </c>
      <c r="J77" s="1487">
        <v>0</v>
      </c>
      <c r="K77" s="1487">
        <v>0</v>
      </c>
      <c r="L77" s="1487">
        <v>332.21</v>
      </c>
      <c r="M77" s="1487">
        <v>512.74</v>
      </c>
      <c r="N77" s="1487"/>
      <c r="O77" s="1487"/>
      <c r="P77" s="1487"/>
      <c r="Q77" s="1487"/>
      <c r="R77" s="1487"/>
      <c r="S77" s="1489"/>
      <c r="X77" s="395"/>
      <c r="Y77" s="395"/>
      <c r="Z77" s="395"/>
      <c r="AA77" s="395"/>
      <c r="AB77" s="395"/>
    </row>
    <row r="78" spans="1:28">
      <c r="A78" s="2000" t="s">
        <v>1489</v>
      </c>
      <c r="B78" s="2001" t="s">
        <v>1320</v>
      </c>
      <c r="C78" s="2001"/>
      <c r="D78" s="2001"/>
      <c r="E78" s="2001"/>
      <c r="F78" s="2002"/>
      <c r="G78" s="1487">
        <v>823.14</v>
      </c>
      <c r="H78" s="1487">
        <v>0</v>
      </c>
      <c r="I78" s="1487">
        <v>0</v>
      </c>
      <c r="J78" s="1487">
        <v>0</v>
      </c>
      <c r="K78" s="1487">
        <v>0</v>
      </c>
      <c r="L78" s="1487">
        <v>0</v>
      </c>
      <c r="M78" s="1487">
        <v>0</v>
      </c>
      <c r="N78" s="1487"/>
      <c r="O78" s="1487"/>
      <c r="P78" s="1487"/>
      <c r="Q78" s="1487"/>
      <c r="R78" s="1487"/>
      <c r="S78" s="1489"/>
      <c r="X78" s="395"/>
      <c r="Y78" s="395"/>
      <c r="Z78" s="395"/>
      <c r="AA78" s="395"/>
      <c r="AB78" s="395"/>
    </row>
    <row r="79" spans="1:28">
      <c r="A79" s="2046"/>
      <c r="B79" s="2047" t="s">
        <v>1162</v>
      </c>
      <c r="C79" s="2047"/>
      <c r="D79" s="2047"/>
      <c r="E79" s="2047"/>
      <c r="F79" s="2047"/>
      <c r="G79" s="2005">
        <f t="shared" ref="G79:R79" si="13">SUM(G55:G78)</f>
        <v>34590.340000000004</v>
      </c>
      <c r="H79" s="2005">
        <f t="shared" si="13"/>
        <v>36352.67</v>
      </c>
      <c r="I79" s="2005">
        <f t="shared" si="13"/>
        <v>41754.17</v>
      </c>
      <c r="J79" s="2005">
        <f t="shared" si="13"/>
        <v>34405.519999999997</v>
      </c>
      <c r="K79" s="2005">
        <f t="shared" si="13"/>
        <v>37995.75</v>
      </c>
      <c r="L79" s="2005">
        <f t="shared" si="13"/>
        <v>36840.39</v>
      </c>
      <c r="M79" s="2005">
        <f t="shared" si="13"/>
        <v>43078.14</v>
      </c>
      <c r="N79" s="2005">
        <f t="shared" si="13"/>
        <v>42926.010000000009</v>
      </c>
      <c r="O79" s="2005">
        <f t="shared" si="13"/>
        <v>36488.589999999997</v>
      </c>
      <c r="P79" s="2005">
        <f t="shared" si="13"/>
        <v>43336.219999999994</v>
      </c>
      <c r="Q79" s="2005">
        <f t="shared" si="13"/>
        <v>35635.019999999997</v>
      </c>
      <c r="R79" s="2005">
        <f t="shared" si="13"/>
        <v>37996.520000000011</v>
      </c>
      <c r="S79" s="3150">
        <f>SUM(S54:S78)</f>
        <v>20396.690000000002</v>
      </c>
      <c r="X79" s="395"/>
      <c r="Y79" s="395"/>
      <c r="Z79" s="395"/>
      <c r="AA79" s="395"/>
      <c r="AB79" s="395"/>
    </row>
    <row r="80" spans="1:28">
      <c r="A80" s="2048" t="s">
        <v>1163</v>
      </c>
      <c r="B80" s="397"/>
      <c r="C80" s="397"/>
      <c r="D80" s="397"/>
      <c r="E80" s="397"/>
      <c r="F80" s="397"/>
      <c r="G80" s="1487"/>
      <c r="H80" s="1487"/>
      <c r="I80" s="1487"/>
      <c r="J80" s="1487"/>
      <c r="K80" s="1487"/>
      <c r="L80" s="1487"/>
      <c r="M80" s="1487"/>
      <c r="N80" s="397"/>
      <c r="O80" s="397"/>
      <c r="P80" s="397"/>
      <c r="Q80" s="1487"/>
      <c r="R80" s="1487"/>
      <c r="S80" s="1489"/>
      <c r="X80" s="395"/>
      <c r="Y80" s="395"/>
      <c r="Z80" s="395"/>
      <c r="AA80" s="395"/>
      <c r="AB80" s="395"/>
    </row>
    <row r="81" spans="1:28">
      <c r="A81" s="1997" t="s">
        <v>1490</v>
      </c>
      <c r="B81" s="397" t="s">
        <v>1165</v>
      </c>
      <c r="C81" s="397"/>
      <c r="D81" s="397"/>
      <c r="E81" s="397"/>
      <c r="F81" s="397"/>
      <c r="G81" s="1487"/>
      <c r="H81" s="1487"/>
      <c r="I81" s="1487"/>
      <c r="J81" s="1487"/>
      <c r="K81" s="1487"/>
      <c r="L81" s="1487">
        <v>360.35</v>
      </c>
      <c r="M81" s="1487"/>
      <c r="N81" s="397"/>
      <c r="O81" s="397"/>
      <c r="P81" s="397"/>
      <c r="Q81" s="1487"/>
      <c r="R81" s="1487"/>
      <c r="S81" s="1489"/>
      <c r="X81" s="395"/>
      <c r="Y81" s="395"/>
      <c r="Z81" s="395"/>
      <c r="AA81" s="395"/>
      <c r="AB81" s="395"/>
    </row>
    <row r="82" spans="1:28">
      <c r="A82" s="1997" t="s">
        <v>1491</v>
      </c>
      <c r="B82" s="397" t="s">
        <v>1492</v>
      </c>
      <c r="C82" s="397"/>
      <c r="D82" s="397"/>
      <c r="E82" s="397"/>
      <c r="F82" s="397"/>
      <c r="G82" s="1487">
        <v>2000</v>
      </c>
      <c r="H82" s="1487">
        <v>1452.57</v>
      </c>
      <c r="I82" s="1487">
        <v>1488.06</v>
      </c>
      <c r="J82" s="1487">
        <v>1254.47</v>
      </c>
      <c r="K82" s="1487">
        <v>1332.7</v>
      </c>
      <c r="L82" s="1487">
        <v>1036.5</v>
      </c>
      <c r="M82" s="1487">
        <v>1501.09</v>
      </c>
      <c r="N82" s="1487"/>
      <c r="O82" s="1487"/>
      <c r="P82" s="1487"/>
      <c r="Q82" s="1487"/>
      <c r="R82" s="1487"/>
      <c r="S82" s="1489"/>
      <c r="X82" s="395"/>
      <c r="Y82" s="395"/>
      <c r="Z82" s="395"/>
      <c r="AA82" s="395"/>
      <c r="AB82" s="395"/>
    </row>
    <row r="83" spans="1:28">
      <c r="A83" s="1997" t="s">
        <v>1493</v>
      </c>
      <c r="B83" s="397" t="s">
        <v>1178</v>
      </c>
      <c r="C83" s="397"/>
      <c r="D83" s="397"/>
      <c r="E83" s="397"/>
      <c r="F83" s="397"/>
      <c r="G83" s="1487">
        <v>232.75</v>
      </c>
      <c r="H83" s="1487">
        <v>232.75</v>
      </c>
      <c r="I83" s="1487">
        <v>139.65</v>
      </c>
      <c r="J83" s="1487">
        <v>139.65</v>
      </c>
      <c r="K83" s="1487">
        <v>186.2</v>
      </c>
      <c r="L83" s="1487">
        <v>186.2</v>
      </c>
      <c r="M83" s="1487">
        <v>193.5</v>
      </c>
      <c r="N83" s="1487">
        <v>94.89</v>
      </c>
      <c r="O83" s="1487">
        <v>91.19</v>
      </c>
      <c r="P83" s="1487">
        <v>135.13</v>
      </c>
      <c r="Q83" s="1487">
        <v>150</v>
      </c>
      <c r="R83" s="1487">
        <v>150.44</v>
      </c>
      <c r="S83" s="1489">
        <v>152.57</v>
      </c>
      <c r="X83" s="395"/>
      <c r="Y83" s="395"/>
      <c r="Z83" s="395"/>
      <c r="AA83" s="395"/>
      <c r="AB83" s="395"/>
    </row>
    <row r="84" spans="1:28">
      <c r="A84" s="2046"/>
      <c r="B84" s="2047" t="s">
        <v>1181</v>
      </c>
      <c r="C84" s="2047"/>
      <c r="D84" s="2047"/>
      <c r="E84" s="2047"/>
      <c r="F84" s="2047"/>
      <c r="G84" s="2005">
        <f t="shared" ref="G84:R84" si="14">SUM(G81:G83)</f>
        <v>2232.75</v>
      </c>
      <c r="H84" s="2005">
        <f t="shared" si="14"/>
        <v>1685.32</v>
      </c>
      <c r="I84" s="2005">
        <f t="shared" si="14"/>
        <v>1627.71</v>
      </c>
      <c r="J84" s="2005">
        <f t="shared" si="14"/>
        <v>1394.1200000000001</v>
      </c>
      <c r="K84" s="2005">
        <f t="shared" si="14"/>
        <v>1518.9</v>
      </c>
      <c r="L84" s="2005">
        <f t="shared" si="14"/>
        <v>1583.05</v>
      </c>
      <c r="M84" s="2005">
        <f t="shared" si="14"/>
        <v>1694.59</v>
      </c>
      <c r="N84" s="2005">
        <f t="shared" si="14"/>
        <v>94.89</v>
      </c>
      <c r="O84" s="2005">
        <f t="shared" si="14"/>
        <v>91.19</v>
      </c>
      <c r="P84" s="2005">
        <f t="shared" si="14"/>
        <v>135.13</v>
      </c>
      <c r="Q84" s="2005">
        <f t="shared" si="14"/>
        <v>150</v>
      </c>
      <c r="R84" s="2005">
        <f t="shared" si="14"/>
        <v>150.44</v>
      </c>
      <c r="S84" s="3150">
        <f>SUM(S83)</f>
        <v>152.57</v>
      </c>
      <c r="X84" s="395"/>
      <c r="Y84" s="395"/>
      <c r="Z84" s="395"/>
      <c r="AA84" s="395"/>
      <c r="AB84" s="395"/>
    </row>
    <row r="85" spans="1:28">
      <c r="A85" s="2048" t="s">
        <v>47</v>
      </c>
      <c r="B85" s="397"/>
      <c r="C85" s="397"/>
      <c r="D85" s="397"/>
      <c r="E85" s="397"/>
      <c r="F85" s="397"/>
      <c r="G85" s="1487"/>
      <c r="H85" s="1487"/>
      <c r="I85" s="1487"/>
      <c r="J85" s="1487"/>
      <c r="K85" s="1487"/>
      <c r="L85" s="1487"/>
      <c r="M85" s="1487"/>
      <c r="N85" s="397"/>
      <c r="O85" s="397"/>
      <c r="P85" s="397"/>
      <c r="Q85" s="1487"/>
      <c r="R85" s="1487"/>
      <c r="S85" s="1489"/>
      <c r="X85" s="395"/>
      <c r="Y85" s="395"/>
      <c r="Z85" s="395"/>
      <c r="AA85" s="395"/>
      <c r="AB85" s="395"/>
    </row>
    <row r="86" spans="1:28">
      <c r="A86" s="1997"/>
      <c r="B86" s="397" t="s">
        <v>1182</v>
      </c>
      <c r="C86" s="397"/>
      <c r="D86" s="397"/>
      <c r="E86" s="397"/>
      <c r="F86" s="397"/>
      <c r="G86" s="1487"/>
      <c r="H86" s="1487"/>
      <c r="I86" s="1487"/>
      <c r="J86" s="1487"/>
      <c r="K86" s="1487"/>
      <c r="L86" s="1487"/>
      <c r="M86" s="1487"/>
      <c r="N86" s="1487"/>
      <c r="O86" s="1487"/>
      <c r="P86" s="397"/>
      <c r="Q86" s="1487"/>
      <c r="R86" s="1487"/>
      <c r="S86" s="1489"/>
      <c r="X86" s="395"/>
      <c r="Y86" s="395"/>
      <c r="Z86" s="395"/>
      <c r="AA86" s="395"/>
      <c r="AB86" s="395"/>
    </row>
    <row r="87" spans="1:28">
      <c r="A87" s="1997"/>
      <c r="B87" s="397" t="s">
        <v>1183</v>
      </c>
      <c r="C87" s="397"/>
      <c r="D87" s="397"/>
      <c r="E87" s="397"/>
      <c r="F87" s="397"/>
      <c r="G87" s="1487"/>
      <c r="H87" s="1487"/>
      <c r="I87" s="1487"/>
      <c r="J87" s="1487"/>
      <c r="K87" s="1487"/>
      <c r="L87" s="1487"/>
      <c r="M87" s="1487"/>
      <c r="N87" s="1487"/>
      <c r="O87" s="1487"/>
      <c r="P87" s="397"/>
      <c r="Q87" s="1487"/>
      <c r="R87" s="1487"/>
      <c r="S87" s="1489"/>
      <c r="X87" s="395"/>
      <c r="Y87" s="395"/>
      <c r="Z87" s="395"/>
      <c r="AA87" s="395"/>
      <c r="AB87" s="395"/>
    </row>
    <row r="88" spans="1:28">
      <c r="A88" s="1997"/>
      <c r="B88" s="397" t="s">
        <v>1184</v>
      </c>
      <c r="C88" s="397"/>
      <c r="D88" s="397"/>
      <c r="E88" s="397"/>
      <c r="F88" s="397"/>
      <c r="G88" s="1487">
        <f t="shared" ref="G88:S88" si="15">G119</f>
        <v>0</v>
      </c>
      <c r="H88" s="1487">
        <f t="shared" si="15"/>
        <v>338.61</v>
      </c>
      <c r="I88" s="1487">
        <f t="shared" si="15"/>
        <v>1334.81</v>
      </c>
      <c r="J88" s="1487">
        <f t="shared" si="15"/>
        <v>2179.61</v>
      </c>
      <c r="K88" s="1487">
        <f t="shared" si="15"/>
        <v>2937.34</v>
      </c>
      <c r="L88" s="1487">
        <f t="shared" si="15"/>
        <v>3194.0180000000005</v>
      </c>
      <c r="M88" s="1487">
        <f t="shared" si="15"/>
        <v>4007.83</v>
      </c>
      <c r="N88" s="1487">
        <f t="shared" si="15"/>
        <v>3382.6140000000005</v>
      </c>
      <c r="O88" s="1487">
        <f t="shared" si="15"/>
        <v>2537.8140000000003</v>
      </c>
      <c r="P88" s="1487">
        <f t="shared" si="15"/>
        <v>1780.0840000000001</v>
      </c>
      <c r="Q88" s="1487">
        <f t="shared" si="15"/>
        <v>1660.7440000000001</v>
      </c>
      <c r="R88" s="1487">
        <f t="shared" si="15"/>
        <v>508.32400000000007</v>
      </c>
      <c r="S88" s="1520">
        <f t="shared" si="15"/>
        <v>137.34</v>
      </c>
      <c r="X88" s="395"/>
      <c r="Y88" s="395"/>
      <c r="Z88" s="395"/>
      <c r="AA88" s="395"/>
      <c r="AB88" s="395"/>
    </row>
    <row r="89" spans="1:28">
      <c r="A89" s="2046"/>
      <c r="B89" s="2047" t="s">
        <v>1185</v>
      </c>
      <c r="C89" s="2047"/>
      <c r="D89" s="2047"/>
      <c r="E89" s="2047"/>
      <c r="F89" s="2047"/>
      <c r="G89" s="2005">
        <f t="shared" ref="G89:R89" si="16">SUM(G86:G88)</f>
        <v>0</v>
      </c>
      <c r="H89" s="2005">
        <f t="shared" si="16"/>
        <v>338.61</v>
      </c>
      <c r="I89" s="2005">
        <f t="shared" si="16"/>
        <v>1334.81</v>
      </c>
      <c r="J89" s="2005">
        <f t="shared" si="16"/>
        <v>2179.61</v>
      </c>
      <c r="K89" s="2005">
        <f t="shared" si="16"/>
        <v>2937.34</v>
      </c>
      <c r="L89" s="2005">
        <f t="shared" si="16"/>
        <v>3194.0180000000005</v>
      </c>
      <c r="M89" s="2005">
        <f t="shared" si="16"/>
        <v>4007.83</v>
      </c>
      <c r="N89" s="2005">
        <f t="shared" si="16"/>
        <v>3382.6140000000005</v>
      </c>
      <c r="O89" s="2005">
        <f t="shared" si="16"/>
        <v>2537.8140000000003</v>
      </c>
      <c r="P89" s="2005">
        <f t="shared" si="16"/>
        <v>1780.0840000000001</v>
      </c>
      <c r="Q89" s="2005">
        <f t="shared" si="16"/>
        <v>1660.7440000000001</v>
      </c>
      <c r="R89" s="2005">
        <f t="shared" si="16"/>
        <v>508.32400000000007</v>
      </c>
      <c r="S89" s="3150">
        <f>SUM(S88)</f>
        <v>137.34</v>
      </c>
      <c r="X89" s="395"/>
      <c r="Y89" s="395"/>
      <c r="Z89" s="395"/>
      <c r="AA89" s="395"/>
      <c r="AB89" s="395"/>
    </row>
    <row r="90" spans="1:28">
      <c r="A90" s="2021"/>
      <c r="B90" s="2022" t="s">
        <v>1186</v>
      </c>
      <c r="C90" s="2022"/>
      <c r="D90" s="2022"/>
      <c r="E90" s="2022"/>
      <c r="F90" s="2022"/>
      <c r="G90" s="2009">
        <f t="shared" ref="G90:S90" si="17">G53+G79+G84+G89</f>
        <v>217863.61</v>
      </c>
      <c r="H90" s="2009">
        <f t="shared" si="17"/>
        <v>223959.33000000002</v>
      </c>
      <c r="I90" s="2009">
        <f t="shared" si="17"/>
        <v>216149.71</v>
      </c>
      <c r="J90" s="2009">
        <f t="shared" si="17"/>
        <v>207942.81999999995</v>
      </c>
      <c r="K90" s="2009">
        <f t="shared" si="17"/>
        <v>217320.68999999994</v>
      </c>
      <c r="L90" s="2009">
        <f t="shared" si="17"/>
        <v>209091.88800000001</v>
      </c>
      <c r="M90" s="2009">
        <f t="shared" si="17"/>
        <v>246740.76</v>
      </c>
      <c r="N90" s="2009">
        <f t="shared" si="17"/>
        <v>235201.84400000001</v>
      </c>
      <c r="O90" s="2009">
        <f t="shared" si="17"/>
        <v>234588.10400000002</v>
      </c>
      <c r="P90" s="2009">
        <f t="shared" si="17"/>
        <v>254087.59400000001</v>
      </c>
      <c r="Q90" s="2009">
        <f t="shared" si="17"/>
        <v>237866.89399999997</v>
      </c>
      <c r="R90" s="2009">
        <f t="shared" si="17"/>
        <v>242523.144</v>
      </c>
      <c r="S90" s="2070">
        <f t="shared" si="17"/>
        <v>252947.97999999998</v>
      </c>
      <c r="X90" s="395"/>
      <c r="Y90" s="395"/>
      <c r="Z90" s="395"/>
      <c r="AA90" s="395"/>
      <c r="AB90" s="395"/>
    </row>
    <row r="91" spans="1:28">
      <c r="A91" s="1984" t="s">
        <v>1187</v>
      </c>
      <c r="B91" s="1986"/>
      <c r="C91" s="1986"/>
      <c r="D91" s="1986"/>
      <c r="E91" s="1986"/>
      <c r="F91" s="1986"/>
      <c r="G91" s="2013">
        <v>2007</v>
      </c>
      <c r="H91" s="2013">
        <v>2008</v>
      </c>
      <c r="I91" s="2013">
        <v>2009</v>
      </c>
      <c r="J91" s="2013">
        <v>2010</v>
      </c>
      <c r="K91" s="2013">
        <v>2011</v>
      </c>
      <c r="L91" s="2013">
        <v>2012</v>
      </c>
      <c r="M91" s="2013">
        <v>2013</v>
      </c>
      <c r="N91" s="2013">
        <v>2014</v>
      </c>
      <c r="O91" s="2013">
        <v>2015</v>
      </c>
      <c r="P91" s="2013">
        <v>2016</v>
      </c>
      <c r="Q91" s="2013">
        <v>2017</v>
      </c>
      <c r="R91" s="2013">
        <v>2018</v>
      </c>
      <c r="S91" s="2014">
        <v>2019</v>
      </c>
      <c r="T91" s="1972"/>
      <c r="U91" s="1972"/>
      <c r="V91" s="1972"/>
      <c r="X91" s="395"/>
      <c r="Y91" s="395"/>
      <c r="Z91" s="395"/>
      <c r="AA91" s="395"/>
      <c r="AB91" s="395"/>
    </row>
    <row r="92" spans="1:28">
      <c r="A92" s="1997"/>
      <c r="B92" s="397" t="s">
        <v>1383</v>
      </c>
      <c r="C92" s="397"/>
      <c r="D92" s="397"/>
      <c r="E92" s="397"/>
      <c r="F92" s="397"/>
      <c r="G92" s="1487">
        <v>299</v>
      </c>
      <c r="H92" s="1487">
        <v>1800</v>
      </c>
      <c r="I92" s="1487">
        <v>2475</v>
      </c>
      <c r="J92" s="1487"/>
      <c r="K92" s="1487"/>
      <c r="L92" s="1487">
        <v>902.39</v>
      </c>
      <c r="M92" s="1487"/>
      <c r="N92" s="1487"/>
      <c r="O92" s="1487"/>
      <c r="P92" s="1487"/>
      <c r="Q92" s="1487"/>
      <c r="R92" s="1487"/>
      <c r="S92" s="1489"/>
      <c r="X92" s="395"/>
      <c r="Y92" s="395"/>
      <c r="Z92" s="395"/>
      <c r="AA92" s="395"/>
      <c r="AB92" s="395"/>
    </row>
    <row r="93" spans="1:28">
      <c r="A93" s="1997"/>
      <c r="B93" s="397" t="s">
        <v>1381</v>
      </c>
      <c r="C93" s="397"/>
      <c r="D93" s="397"/>
      <c r="E93" s="397"/>
      <c r="F93" s="397"/>
      <c r="G93" s="1487">
        <v>142.05000000000001</v>
      </c>
      <c r="H93" s="1487">
        <v>2592</v>
      </c>
      <c r="I93" s="1487">
        <v>749</v>
      </c>
      <c r="J93" s="1487"/>
      <c r="K93" s="1487"/>
      <c r="L93" s="1487"/>
      <c r="M93" s="1487"/>
      <c r="N93" s="1487"/>
      <c r="O93" s="1487"/>
      <c r="P93" s="1487"/>
      <c r="Q93" s="1487"/>
      <c r="R93" s="1487"/>
      <c r="S93" s="1489"/>
      <c r="X93" s="395"/>
      <c r="Y93" s="395"/>
      <c r="Z93" s="395"/>
      <c r="AA93" s="395"/>
      <c r="AB93" s="395"/>
    </row>
    <row r="94" spans="1:28">
      <c r="A94" s="1997"/>
      <c r="B94" s="397" t="s">
        <v>1494</v>
      </c>
      <c r="C94" s="397"/>
      <c r="D94" s="397"/>
      <c r="E94" s="397"/>
      <c r="F94" s="397"/>
      <c r="G94" s="1487">
        <v>1252</v>
      </c>
      <c r="H94" s="1487">
        <v>589</v>
      </c>
      <c r="I94" s="1487">
        <v>1000</v>
      </c>
      <c r="J94" s="1487"/>
      <c r="K94" s="1487"/>
      <c r="L94" s="1487">
        <v>381</v>
      </c>
      <c r="M94" s="1487">
        <v>5762.08</v>
      </c>
      <c r="N94" s="1487">
        <v>1854.92</v>
      </c>
      <c r="O94" s="397"/>
      <c r="P94" s="397"/>
      <c r="Q94" s="1487">
        <f>D101</f>
        <v>686.68</v>
      </c>
      <c r="R94" s="1487"/>
      <c r="S94" s="1489"/>
      <c r="X94" s="395"/>
      <c r="Y94" s="395"/>
      <c r="Z94" s="395"/>
      <c r="AA94" s="395"/>
      <c r="AB94" s="395"/>
    </row>
    <row r="95" spans="1:28">
      <c r="A95" s="1997"/>
      <c r="B95" s="397" t="s">
        <v>1495</v>
      </c>
      <c r="C95" s="397"/>
      <c r="D95" s="397"/>
      <c r="E95" s="397"/>
      <c r="F95" s="397"/>
      <c r="G95" s="1487"/>
      <c r="H95" s="1487"/>
      <c r="I95" s="1487"/>
      <c r="J95" s="1487">
        <v>3788.64</v>
      </c>
      <c r="K95" s="1487"/>
      <c r="L95" s="1487"/>
      <c r="M95" s="1487"/>
      <c r="N95" s="397"/>
      <c r="O95" s="397"/>
      <c r="P95" s="397"/>
      <c r="Q95" s="1487"/>
      <c r="R95" s="1487"/>
      <c r="S95" s="1489"/>
      <c r="X95" s="395"/>
      <c r="Y95" s="395"/>
      <c r="Z95" s="395"/>
      <c r="AA95" s="395"/>
      <c r="AB95" s="395"/>
    </row>
    <row r="96" spans="1:28">
      <c r="A96" s="2021"/>
      <c r="B96" s="2022" t="s">
        <v>1192</v>
      </c>
      <c r="C96" s="2022"/>
      <c r="D96" s="2022"/>
      <c r="E96" s="2022"/>
      <c r="F96" s="2022"/>
      <c r="G96" s="2009">
        <f t="shared" ref="G96:R96" si="18">SUM(G92:G95)</f>
        <v>1693.05</v>
      </c>
      <c r="H96" s="2009">
        <f t="shared" si="18"/>
        <v>4981</v>
      </c>
      <c r="I96" s="2009">
        <f t="shared" si="18"/>
        <v>4224</v>
      </c>
      <c r="J96" s="2009">
        <f t="shared" si="18"/>
        <v>3788.64</v>
      </c>
      <c r="K96" s="2009">
        <f t="shared" si="18"/>
        <v>0</v>
      </c>
      <c r="L96" s="2009">
        <f t="shared" si="18"/>
        <v>1283.3899999999999</v>
      </c>
      <c r="M96" s="2009">
        <f t="shared" si="18"/>
        <v>5762.08</v>
      </c>
      <c r="N96" s="2009">
        <f t="shared" si="18"/>
        <v>1854.92</v>
      </c>
      <c r="O96" s="2009">
        <f t="shared" si="18"/>
        <v>0</v>
      </c>
      <c r="P96" s="2009">
        <f t="shared" si="18"/>
        <v>0</v>
      </c>
      <c r="Q96" s="2009">
        <f t="shared" si="18"/>
        <v>686.68</v>
      </c>
      <c r="R96" s="2009">
        <f t="shared" si="18"/>
        <v>0</v>
      </c>
      <c r="S96" s="2070"/>
      <c r="T96" s="3041"/>
      <c r="U96" s="3041"/>
      <c r="V96" s="3041"/>
      <c r="X96" s="395"/>
      <c r="Y96" s="395"/>
      <c r="Z96" s="395"/>
      <c r="AA96" s="395"/>
      <c r="AB96" s="395"/>
    </row>
    <row r="97" spans="1:28">
      <c r="A97" s="1633"/>
      <c r="B97" s="395"/>
      <c r="C97" s="395"/>
      <c r="D97" s="395"/>
      <c r="E97" s="395"/>
      <c r="F97" s="395"/>
      <c r="N97" s="395"/>
      <c r="O97" s="395"/>
      <c r="P97" s="395"/>
      <c r="X97" s="395"/>
      <c r="Y97" s="395"/>
      <c r="Z97" s="395"/>
      <c r="AA97" s="395"/>
      <c r="AB97" s="395"/>
    </row>
    <row r="98" spans="1:28">
      <c r="A98" s="1633"/>
      <c r="B98" s="395"/>
      <c r="C98" s="395"/>
      <c r="D98" s="395"/>
      <c r="E98" s="395"/>
      <c r="F98" s="395"/>
      <c r="N98" s="395"/>
      <c r="O98" s="395"/>
      <c r="P98" s="395"/>
      <c r="X98" s="395"/>
      <c r="Y98" s="395"/>
      <c r="Z98" s="395"/>
      <c r="AA98" s="395"/>
      <c r="AB98" s="395"/>
    </row>
    <row r="99" spans="1:28">
      <c r="A99" s="380"/>
      <c r="B99" s="395"/>
      <c r="C99" s="1570"/>
      <c r="D99" s="1570"/>
      <c r="E99" s="1570"/>
      <c r="F99" s="1570"/>
      <c r="N99" s="395"/>
      <c r="O99" s="395"/>
      <c r="P99" s="395"/>
      <c r="X99" s="395"/>
      <c r="Y99" s="395"/>
      <c r="Z99" s="395"/>
      <c r="AA99" s="395"/>
      <c r="AB99" s="395"/>
    </row>
    <row r="100" spans="1:28">
      <c r="A100" s="2067"/>
      <c r="B100" s="2026" t="s">
        <v>998</v>
      </c>
      <c r="C100" s="2049"/>
      <c r="D100" s="2027"/>
      <c r="E100" s="2027" t="s">
        <v>1194</v>
      </c>
      <c r="F100" s="2028" t="s">
        <v>1195</v>
      </c>
      <c r="G100" s="1990">
        <v>2007</v>
      </c>
      <c r="H100" s="1990">
        <v>2008</v>
      </c>
      <c r="I100" s="1990">
        <v>2009</v>
      </c>
      <c r="J100" s="1990">
        <v>2010</v>
      </c>
      <c r="K100" s="1990">
        <v>2011</v>
      </c>
      <c r="L100" s="1990">
        <v>2012</v>
      </c>
      <c r="M100" s="1990">
        <v>2013</v>
      </c>
      <c r="N100" s="1990">
        <v>2014</v>
      </c>
      <c r="O100" s="1990">
        <v>2015</v>
      </c>
      <c r="P100" s="1990">
        <v>2016</v>
      </c>
      <c r="Q100" s="1990">
        <v>2017</v>
      </c>
      <c r="R100" s="1990">
        <v>2018</v>
      </c>
      <c r="S100" s="1990">
        <v>2019</v>
      </c>
      <c r="T100" s="1990">
        <v>2020</v>
      </c>
      <c r="U100" s="2050">
        <v>2021</v>
      </c>
      <c r="V100" s="1972"/>
      <c r="W100" s="395"/>
      <c r="X100" s="395"/>
      <c r="Y100" s="395"/>
      <c r="Z100" s="395"/>
      <c r="AA100" s="395"/>
      <c r="AB100" s="395"/>
    </row>
    <row r="101" spans="1:28">
      <c r="A101" s="2037">
        <v>2017</v>
      </c>
      <c r="B101" s="397" t="s">
        <v>1494</v>
      </c>
      <c r="C101" s="397"/>
      <c r="D101" s="1487">
        <v>686.68</v>
      </c>
      <c r="E101" s="2039" t="s">
        <v>1197</v>
      </c>
      <c r="F101" s="2040">
        <f>D101/5</f>
        <v>137.33599999999998</v>
      </c>
      <c r="G101" s="2039"/>
      <c r="H101" s="2039"/>
      <c r="I101" s="2039"/>
      <c r="J101" s="2039"/>
      <c r="K101" s="2039"/>
      <c r="L101" s="2039"/>
      <c r="M101" s="3145"/>
      <c r="N101" s="3145"/>
      <c r="O101" s="3145"/>
      <c r="P101" s="3145"/>
      <c r="Q101" s="3145">
        <v>137.34</v>
      </c>
      <c r="R101" s="3145">
        <v>137.34</v>
      </c>
      <c r="S101" s="3145">
        <v>137.34</v>
      </c>
      <c r="T101" s="3145">
        <v>137.34</v>
      </c>
      <c r="U101" s="3151">
        <v>137.34</v>
      </c>
      <c r="V101" s="395"/>
      <c r="W101" s="395"/>
      <c r="X101" s="395"/>
      <c r="Y101" s="395"/>
      <c r="Z101" s="395"/>
      <c r="AA101" s="395"/>
      <c r="AB101" s="395"/>
    </row>
    <row r="102" spans="1:28">
      <c r="A102" s="2037">
        <v>2014</v>
      </c>
      <c r="B102" s="397" t="s">
        <v>1494</v>
      </c>
      <c r="C102" s="397"/>
      <c r="D102" s="1487">
        <v>1854.92</v>
      </c>
      <c r="E102" s="2039" t="s">
        <v>1197</v>
      </c>
      <c r="F102" s="2040">
        <f>D102/5</f>
        <v>370.98400000000004</v>
      </c>
      <c r="G102" s="2039"/>
      <c r="H102" s="2039"/>
      <c r="I102" s="2039"/>
      <c r="J102" s="2039"/>
      <c r="K102" s="2039"/>
      <c r="L102" s="2039"/>
      <c r="M102" s="3145"/>
      <c r="N102" s="3145">
        <f>F102</f>
        <v>370.98400000000004</v>
      </c>
      <c r="O102" s="3145">
        <f>F102</f>
        <v>370.98400000000004</v>
      </c>
      <c r="P102" s="3145">
        <f>F102</f>
        <v>370.98400000000004</v>
      </c>
      <c r="Q102" s="3145">
        <f>F102</f>
        <v>370.98400000000004</v>
      </c>
      <c r="R102" s="3145">
        <f>F102</f>
        <v>370.98400000000004</v>
      </c>
      <c r="S102" s="3145"/>
      <c r="T102" s="1487"/>
      <c r="U102" s="1998"/>
      <c r="V102" s="395"/>
      <c r="W102" s="395"/>
      <c r="X102" s="395"/>
      <c r="Y102" s="395"/>
      <c r="Z102" s="395"/>
      <c r="AA102" s="395"/>
      <c r="AB102" s="395"/>
    </row>
    <row r="103" spans="1:28">
      <c r="A103" s="2037">
        <v>2013</v>
      </c>
      <c r="B103" s="397" t="s">
        <v>1494</v>
      </c>
      <c r="C103" s="397"/>
      <c r="D103" s="1487">
        <v>5762.08</v>
      </c>
      <c r="E103" s="2039" t="s">
        <v>1197</v>
      </c>
      <c r="F103" s="2040">
        <f>D103/5</f>
        <v>1152.4159999999999</v>
      </c>
      <c r="G103" s="2039"/>
      <c r="H103" s="2039"/>
      <c r="I103" s="2039"/>
      <c r="J103" s="2039"/>
      <c r="K103" s="2039"/>
      <c r="L103" s="2039"/>
      <c r="M103" s="3145">
        <v>1152.42</v>
      </c>
      <c r="N103" s="3145">
        <v>1152.42</v>
      </c>
      <c r="O103" s="3145">
        <v>1152.42</v>
      </c>
      <c r="P103" s="3145">
        <v>1152.42</v>
      </c>
      <c r="Q103" s="3145">
        <v>1152.42</v>
      </c>
      <c r="R103" s="3145"/>
      <c r="S103" s="3145"/>
      <c r="T103" s="1487"/>
      <c r="U103" s="1998"/>
      <c r="V103" s="395"/>
      <c r="W103" s="395"/>
      <c r="X103" s="395"/>
      <c r="Y103" s="395"/>
      <c r="Z103" s="395"/>
      <c r="AA103" s="395"/>
      <c r="AB103" s="395"/>
    </row>
    <row r="104" spans="1:28">
      <c r="A104" s="2037">
        <v>2012</v>
      </c>
      <c r="B104" s="397" t="s">
        <v>1496</v>
      </c>
      <c r="C104" s="397"/>
      <c r="D104" s="1487">
        <v>1283.3900000000001</v>
      </c>
      <c r="E104" s="2039" t="s">
        <v>1197</v>
      </c>
      <c r="F104" s="2040">
        <f>D104/5</f>
        <v>256.678</v>
      </c>
      <c r="G104" s="3021"/>
      <c r="H104" s="3021"/>
      <c r="I104" s="3021"/>
      <c r="J104" s="3021"/>
      <c r="K104" s="3021"/>
      <c r="L104" s="1487">
        <f>D104/5</f>
        <v>256.678</v>
      </c>
      <c r="M104" s="3145">
        <v>256.68</v>
      </c>
      <c r="N104" s="1487">
        <v>256.68</v>
      </c>
      <c r="O104" s="1487">
        <v>256.68</v>
      </c>
      <c r="P104" s="1487">
        <v>256.68</v>
      </c>
      <c r="Q104" s="2076"/>
      <c r="R104" s="2076"/>
      <c r="S104" s="1487"/>
      <c r="T104" s="1487"/>
      <c r="U104" s="1998"/>
      <c r="V104" s="395"/>
      <c r="W104" s="395"/>
      <c r="X104" s="395"/>
      <c r="Y104" s="395"/>
      <c r="Z104" s="395"/>
      <c r="AA104" s="395"/>
      <c r="AB104" s="395"/>
    </row>
    <row r="105" spans="1:28">
      <c r="A105" s="2037">
        <v>2011</v>
      </c>
      <c r="B105" s="397"/>
      <c r="C105" s="397"/>
      <c r="D105" s="2043">
        <v>0</v>
      </c>
      <c r="E105" s="2039"/>
      <c r="F105" s="2040"/>
      <c r="G105" s="3021"/>
      <c r="H105" s="3021"/>
      <c r="I105" s="3021"/>
      <c r="J105" s="3021"/>
      <c r="K105" s="3021"/>
      <c r="L105" s="3021"/>
      <c r="M105" s="3021"/>
      <c r="N105" s="2076"/>
      <c r="O105" s="2039"/>
      <c r="P105" s="2039"/>
      <c r="Q105" s="2039"/>
      <c r="R105" s="2039"/>
      <c r="S105" s="2039"/>
      <c r="T105" s="1487"/>
      <c r="U105" s="1998"/>
      <c r="V105" s="395"/>
      <c r="W105" s="395"/>
      <c r="X105" s="395"/>
      <c r="Y105" s="395"/>
      <c r="Z105" s="395"/>
      <c r="AA105" s="395"/>
      <c r="AB105" s="395"/>
    </row>
    <row r="106" spans="1:28">
      <c r="A106" s="2037">
        <v>2010</v>
      </c>
      <c r="B106" s="397" t="s">
        <v>1497</v>
      </c>
      <c r="C106" s="397"/>
      <c r="D106" s="2042">
        <v>3788.64</v>
      </c>
      <c r="E106" s="2039" t="s">
        <v>1197</v>
      </c>
      <c r="F106" s="2040">
        <f>D106/5</f>
        <v>757.72799999999995</v>
      </c>
      <c r="G106" s="2039"/>
      <c r="H106" s="2039"/>
      <c r="I106" s="2039"/>
      <c r="J106" s="1487"/>
      <c r="K106" s="1487">
        <v>757.73</v>
      </c>
      <c r="L106" s="1487">
        <v>757.73</v>
      </c>
      <c r="M106" s="1487">
        <v>757.73</v>
      </c>
      <c r="N106" s="1487">
        <v>757.73</v>
      </c>
      <c r="O106" s="1487">
        <v>757.73</v>
      </c>
      <c r="P106" s="2039"/>
      <c r="Q106" s="2039"/>
      <c r="R106" s="2039"/>
      <c r="S106" s="1487"/>
      <c r="T106" s="1487"/>
      <c r="U106" s="1489"/>
      <c r="W106" s="395"/>
      <c r="X106" s="395"/>
      <c r="Y106" s="395"/>
    </row>
    <row r="107" spans="1:28">
      <c r="A107" s="2037">
        <v>2009</v>
      </c>
      <c r="B107" s="397" t="s">
        <v>1498</v>
      </c>
      <c r="C107" s="397"/>
      <c r="D107" s="1487">
        <v>2475</v>
      </c>
      <c r="E107" s="2039" t="s">
        <v>1197</v>
      </c>
      <c r="F107" s="1487">
        <f>D110/5</f>
        <v>844.8</v>
      </c>
      <c r="G107" s="1487"/>
      <c r="H107" s="1487"/>
      <c r="I107" s="1487"/>
      <c r="J107" s="1487">
        <v>844.8</v>
      </c>
      <c r="K107" s="1487">
        <v>844.8</v>
      </c>
      <c r="L107" s="397">
        <v>844.8</v>
      </c>
      <c r="M107" s="1487">
        <v>844.8</v>
      </c>
      <c r="N107" s="1487">
        <v>844.8</v>
      </c>
      <c r="O107" s="1487"/>
      <c r="P107" s="1487"/>
      <c r="Q107" s="1487"/>
      <c r="R107" s="1487"/>
      <c r="S107" s="1487"/>
      <c r="T107" s="1487"/>
      <c r="U107" s="1998"/>
      <c r="V107" s="395"/>
      <c r="W107" s="395"/>
      <c r="X107" s="395"/>
      <c r="Y107" s="395"/>
      <c r="Z107" s="395"/>
      <c r="AA107" s="395"/>
      <c r="AB107" s="395"/>
    </row>
    <row r="108" spans="1:28">
      <c r="A108" s="2037"/>
      <c r="B108" s="397" t="s">
        <v>1381</v>
      </c>
      <c r="C108" s="397"/>
      <c r="D108" s="1487">
        <v>749</v>
      </c>
      <c r="E108" s="1487"/>
      <c r="F108" s="1487"/>
      <c r="G108" s="1487"/>
      <c r="H108" s="1487"/>
      <c r="I108" s="1487"/>
      <c r="J108" s="1487"/>
      <c r="K108" s="397"/>
      <c r="L108" s="397"/>
      <c r="M108" s="397"/>
      <c r="N108" s="1487"/>
      <c r="O108" s="1487"/>
      <c r="P108" s="1487"/>
      <c r="Q108" s="1487"/>
      <c r="R108" s="1487"/>
      <c r="S108" s="1487"/>
      <c r="T108" s="1487"/>
      <c r="U108" s="1998"/>
      <c r="V108" s="395"/>
      <c r="W108" s="395"/>
      <c r="X108" s="395"/>
      <c r="Y108" s="395"/>
      <c r="Z108" s="395"/>
      <c r="AA108" s="395"/>
      <c r="AB108" s="395"/>
    </row>
    <row r="109" spans="1:28">
      <c r="A109" s="2037"/>
      <c r="B109" s="397" t="s">
        <v>1494</v>
      </c>
      <c r="C109" s="397"/>
      <c r="D109" s="1487">
        <v>1000</v>
      </c>
      <c r="E109" s="1487"/>
      <c r="F109" s="1487"/>
      <c r="G109" s="1487"/>
      <c r="H109" s="1487"/>
      <c r="I109" s="1487"/>
      <c r="J109" s="1487"/>
      <c r="K109" s="397"/>
      <c r="L109" s="397"/>
      <c r="M109" s="397"/>
      <c r="N109" s="1487"/>
      <c r="O109" s="1487"/>
      <c r="P109" s="1487"/>
      <c r="Q109" s="1487"/>
      <c r="R109" s="1487"/>
      <c r="S109" s="1487"/>
      <c r="T109" s="1487"/>
      <c r="U109" s="1998"/>
      <c r="V109" s="395"/>
      <c r="W109" s="395"/>
      <c r="X109" s="395"/>
      <c r="Y109" s="395"/>
      <c r="Z109" s="395"/>
      <c r="AA109" s="395"/>
      <c r="AB109" s="395"/>
    </row>
    <row r="110" spans="1:28">
      <c r="A110" s="2037"/>
      <c r="B110" s="397"/>
      <c r="C110" s="397"/>
      <c r="D110" s="2043">
        <f>SUM(D107:D109)</f>
        <v>4224</v>
      </c>
      <c r="E110" s="1487"/>
      <c r="F110" s="1487"/>
      <c r="G110" s="1487"/>
      <c r="H110" s="1487"/>
      <c r="I110" s="1487"/>
      <c r="J110" s="1487"/>
      <c r="K110" s="397"/>
      <c r="L110" s="397"/>
      <c r="M110" s="397"/>
      <c r="N110" s="1487"/>
      <c r="O110" s="1487"/>
      <c r="P110" s="1487"/>
      <c r="Q110" s="1487"/>
      <c r="R110" s="1487"/>
      <c r="S110" s="1487"/>
      <c r="T110" s="1487"/>
      <c r="U110" s="1998"/>
      <c r="V110" s="395"/>
      <c r="W110" s="395"/>
      <c r="X110" s="395"/>
      <c r="Y110" s="395"/>
      <c r="Z110" s="395"/>
      <c r="AA110" s="395"/>
      <c r="AB110" s="395"/>
    </row>
    <row r="111" spans="1:28">
      <c r="A111" s="2037">
        <v>2008</v>
      </c>
      <c r="B111" s="397" t="s">
        <v>1498</v>
      </c>
      <c r="C111" s="397"/>
      <c r="D111" s="1487">
        <v>1800</v>
      </c>
      <c r="E111" s="2039" t="s">
        <v>1197</v>
      </c>
      <c r="F111" s="1487">
        <f>D114/5</f>
        <v>996.2</v>
      </c>
      <c r="G111" s="1487"/>
      <c r="H111" s="1487"/>
      <c r="I111" s="1487">
        <v>996.2</v>
      </c>
      <c r="J111" s="1487">
        <v>996.2</v>
      </c>
      <c r="K111" s="1487">
        <v>996.2</v>
      </c>
      <c r="L111" s="1487">
        <v>996.2</v>
      </c>
      <c r="M111" s="1487">
        <v>996.2</v>
      </c>
      <c r="N111" s="1487"/>
      <c r="O111" s="1487"/>
      <c r="P111" s="1487"/>
      <c r="Q111" s="1487"/>
      <c r="R111" s="1487"/>
      <c r="S111" s="1487"/>
      <c r="T111" s="1487"/>
      <c r="U111" s="1998"/>
      <c r="V111" s="395"/>
      <c r="W111" s="395"/>
      <c r="X111" s="395"/>
      <c r="Y111" s="395"/>
      <c r="Z111" s="395"/>
      <c r="AA111" s="395"/>
      <c r="AB111" s="395"/>
    </row>
    <row r="112" spans="1:28">
      <c r="A112" s="2037"/>
      <c r="B112" s="397" t="s">
        <v>1381</v>
      </c>
      <c r="C112" s="397"/>
      <c r="D112" s="1487">
        <v>2592</v>
      </c>
      <c r="E112" s="2039"/>
      <c r="F112" s="1487"/>
      <c r="G112" s="1487"/>
      <c r="H112" s="1487"/>
      <c r="I112" s="1487"/>
      <c r="J112" s="1487"/>
      <c r="K112" s="1487"/>
      <c r="L112" s="1487"/>
      <c r="M112" s="1487"/>
      <c r="N112" s="1487"/>
      <c r="O112" s="1487"/>
      <c r="P112" s="1487"/>
      <c r="Q112" s="1487"/>
      <c r="R112" s="1487"/>
      <c r="S112" s="1487"/>
      <c r="T112" s="1487"/>
      <c r="U112" s="1998"/>
      <c r="V112" s="395"/>
      <c r="W112" s="395"/>
      <c r="X112" s="395"/>
      <c r="Y112" s="395"/>
      <c r="Z112" s="395"/>
      <c r="AA112" s="395"/>
      <c r="AB112" s="395"/>
    </row>
    <row r="113" spans="1:28">
      <c r="A113" s="2037"/>
      <c r="B113" s="397" t="s">
        <v>1494</v>
      </c>
      <c r="C113" s="397"/>
      <c r="D113" s="1487">
        <v>589</v>
      </c>
      <c r="E113" s="1487"/>
      <c r="F113" s="1487"/>
      <c r="G113" s="1487"/>
      <c r="H113" s="1487"/>
      <c r="I113" s="1487"/>
      <c r="J113" s="1487"/>
      <c r="K113" s="397"/>
      <c r="L113" s="397"/>
      <c r="M113" s="397"/>
      <c r="N113" s="1487"/>
      <c r="O113" s="1487"/>
      <c r="P113" s="1487"/>
      <c r="Q113" s="1487"/>
      <c r="R113" s="1487"/>
      <c r="S113" s="1487"/>
      <c r="T113" s="1487"/>
      <c r="U113" s="1998"/>
      <c r="V113" s="395"/>
      <c r="W113" s="395"/>
      <c r="X113" s="395"/>
      <c r="Y113" s="395"/>
      <c r="Z113" s="395"/>
      <c r="AA113" s="395"/>
      <c r="AB113" s="395"/>
    </row>
    <row r="114" spans="1:28">
      <c r="A114" s="2037"/>
      <c r="B114" s="397"/>
      <c r="C114" s="397"/>
      <c r="D114" s="2042">
        <f>SUM(D111:D113)</f>
        <v>4981</v>
      </c>
      <c r="E114" s="1487"/>
      <c r="F114" s="1487"/>
      <c r="G114" s="1487"/>
      <c r="H114" s="1487"/>
      <c r="I114" s="1487"/>
      <c r="J114" s="1487"/>
      <c r="K114" s="397"/>
      <c r="L114" s="397"/>
      <c r="M114" s="397"/>
      <c r="N114" s="1487"/>
      <c r="O114" s="1487"/>
      <c r="P114" s="1487"/>
      <c r="Q114" s="1487"/>
      <c r="R114" s="1487"/>
      <c r="S114" s="1487"/>
      <c r="T114" s="1487"/>
      <c r="U114" s="1998"/>
      <c r="V114" s="395"/>
      <c r="W114" s="395"/>
      <c r="X114" s="395"/>
      <c r="Y114" s="395"/>
      <c r="Z114" s="395"/>
      <c r="AA114" s="395"/>
      <c r="AB114" s="395"/>
    </row>
    <row r="115" spans="1:28">
      <c r="A115" s="2037">
        <v>2007</v>
      </c>
      <c r="B115" s="397" t="s">
        <v>1498</v>
      </c>
      <c r="C115" s="397"/>
      <c r="D115" s="1487">
        <v>299</v>
      </c>
      <c r="E115" s="2039" t="s">
        <v>1197</v>
      </c>
      <c r="F115" s="1487">
        <f>D118/5</f>
        <v>338.61</v>
      </c>
      <c r="G115" s="1487"/>
      <c r="H115" s="1487">
        <v>338.61</v>
      </c>
      <c r="I115" s="1487">
        <v>338.61</v>
      </c>
      <c r="J115" s="1487">
        <v>338.61</v>
      </c>
      <c r="K115" s="1487">
        <v>338.61</v>
      </c>
      <c r="L115" s="1487">
        <v>338.61</v>
      </c>
      <c r="M115" s="1487"/>
      <c r="N115" s="1487"/>
      <c r="O115" s="1487"/>
      <c r="P115" s="1487"/>
      <c r="Q115" s="1487"/>
      <c r="R115" s="1487"/>
      <c r="S115" s="1487"/>
      <c r="T115" s="1487"/>
      <c r="U115" s="1998"/>
      <c r="V115" s="395"/>
      <c r="W115" s="395"/>
      <c r="X115" s="395"/>
      <c r="Y115" s="395"/>
      <c r="Z115" s="395"/>
      <c r="AA115" s="395"/>
      <c r="AB115" s="395"/>
    </row>
    <row r="116" spans="1:28">
      <c r="A116" s="2037"/>
      <c r="B116" s="397" t="s">
        <v>1381</v>
      </c>
      <c r="C116" s="397"/>
      <c r="D116" s="1487">
        <v>142.05000000000001</v>
      </c>
      <c r="E116" s="2039"/>
      <c r="F116" s="1487"/>
      <c r="G116" s="1487"/>
      <c r="H116" s="1487"/>
      <c r="I116" s="1487"/>
      <c r="J116" s="1487"/>
      <c r="K116" s="1487"/>
      <c r="L116" s="1487"/>
      <c r="M116" s="1487"/>
      <c r="N116" s="1487"/>
      <c r="O116" s="1487"/>
      <c r="P116" s="1487"/>
      <c r="Q116" s="1487"/>
      <c r="R116" s="1487"/>
      <c r="S116" s="1487"/>
      <c r="T116" s="1487"/>
      <c r="U116" s="1998"/>
      <c r="V116" s="395"/>
      <c r="W116" s="395"/>
      <c r="X116" s="395"/>
      <c r="Y116" s="395"/>
      <c r="Z116" s="395"/>
      <c r="AA116" s="395"/>
      <c r="AB116" s="395"/>
    </row>
    <row r="117" spans="1:28">
      <c r="A117" s="2037"/>
      <c r="B117" s="397" t="s">
        <v>1494</v>
      </c>
      <c r="C117" s="397"/>
      <c r="D117" s="1487">
        <v>1252</v>
      </c>
      <c r="E117" s="1487"/>
      <c r="F117" s="1487"/>
      <c r="G117" s="1487"/>
      <c r="H117" s="1487"/>
      <c r="I117" s="1487"/>
      <c r="J117" s="1487"/>
      <c r="K117" s="397"/>
      <c r="L117" s="397"/>
      <c r="M117" s="397"/>
      <c r="N117" s="1487"/>
      <c r="O117" s="1487"/>
      <c r="P117" s="1487"/>
      <c r="Q117" s="1487"/>
      <c r="R117" s="1487"/>
      <c r="S117" s="1487"/>
      <c r="T117" s="1487"/>
      <c r="U117" s="1998"/>
      <c r="V117" s="395"/>
      <c r="W117" s="395"/>
      <c r="X117" s="395"/>
      <c r="Y117" s="395"/>
      <c r="Z117" s="395"/>
      <c r="AA117" s="395"/>
      <c r="AB117" s="395"/>
    </row>
    <row r="118" spans="1:28">
      <c r="A118" s="2037"/>
      <c r="B118" s="397"/>
      <c r="C118" s="397"/>
      <c r="D118" s="2042">
        <f>SUM(D115:D117)</f>
        <v>1693.05</v>
      </c>
      <c r="E118" s="1487"/>
      <c r="F118" s="1487"/>
      <c r="G118" s="1487"/>
      <c r="H118" s="1487"/>
      <c r="I118" s="1487"/>
      <c r="J118" s="1487"/>
      <c r="K118" s="397"/>
      <c r="L118" s="397"/>
      <c r="M118" s="397"/>
      <c r="N118" s="1487"/>
      <c r="O118" s="1487"/>
      <c r="P118" s="1487"/>
      <c r="Q118" s="1487"/>
      <c r="R118" s="1487"/>
      <c r="S118" s="1487"/>
      <c r="T118" s="1487"/>
      <c r="U118" s="1998"/>
      <c r="V118" s="395"/>
      <c r="W118" s="395"/>
      <c r="X118" s="395"/>
      <c r="Y118" s="395"/>
      <c r="Z118" s="395"/>
      <c r="AA118" s="395"/>
      <c r="AB118" s="395"/>
    </row>
    <row r="119" spans="1:28">
      <c r="A119" s="2038"/>
      <c r="B119" s="2008" t="s">
        <v>1201</v>
      </c>
      <c r="C119" s="2022"/>
      <c r="D119" s="2010"/>
      <c r="E119" s="2010"/>
      <c r="F119" s="2010"/>
      <c r="G119" s="2009">
        <f>SUM(G105:G118)</f>
        <v>0</v>
      </c>
      <c r="H119" s="2009">
        <f t="shared" ref="H119:U119" si="19">SUM(H101:H118)</f>
        <v>338.61</v>
      </c>
      <c r="I119" s="2009">
        <f t="shared" si="19"/>
        <v>1334.81</v>
      </c>
      <c r="J119" s="2009">
        <f t="shared" si="19"/>
        <v>2179.61</v>
      </c>
      <c r="K119" s="2009">
        <f t="shared" si="19"/>
        <v>2937.34</v>
      </c>
      <c r="L119" s="2009">
        <f t="shared" si="19"/>
        <v>3194.0180000000005</v>
      </c>
      <c r="M119" s="2009">
        <f t="shared" si="19"/>
        <v>4007.83</v>
      </c>
      <c r="N119" s="2009">
        <f t="shared" si="19"/>
        <v>3382.6140000000005</v>
      </c>
      <c r="O119" s="2009">
        <f t="shared" si="19"/>
        <v>2537.8140000000003</v>
      </c>
      <c r="P119" s="2009">
        <f t="shared" si="19"/>
        <v>1780.0840000000001</v>
      </c>
      <c r="Q119" s="2009">
        <f t="shared" si="19"/>
        <v>1660.7440000000001</v>
      </c>
      <c r="R119" s="2009">
        <f t="shared" si="19"/>
        <v>508.32400000000007</v>
      </c>
      <c r="S119" s="2009">
        <f t="shared" si="19"/>
        <v>137.34</v>
      </c>
      <c r="T119" s="2009">
        <f t="shared" si="19"/>
        <v>137.34</v>
      </c>
      <c r="U119" s="2070">
        <f t="shared" si="19"/>
        <v>137.34</v>
      </c>
      <c r="V119" s="3041"/>
      <c r="W119" s="395"/>
      <c r="X119" s="395"/>
      <c r="Y119" s="395"/>
      <c r="Z119" s="395"/>
      <c r="AA119" s="395"/>
      <c r="AB119" s="395"/>
    </row>
    <row r="120" spans="1:28">
      <c r="A120" s="1633"/>
      <c r="B120" s="395"/>
      <c r="C120" s="395"/>
      <c r="D120" s="395"/>
      <c r="E120" s="395"/>
      <c r="F120" s="395"/>
      <c r="N120" s="395"/>
      <c r="O120" s="395"/>
      <c r="P120" s="395"/>
      <c r="X120" s="395"/>
      <c r="Y120" s="395"/>
      <c r="Z120" s="395"/>
      <c r="AA120" s="395"/>
      <c r="AB120" s="395"/>
    </row>
    <row r="121" spans="1:28">
      <c r="A121" s="1633"/>
      <c r="B121" s="395"/>
      <c r="C121" s="395"/>
      <c r="D121" s="395"/>
      <c r="E121" s="395"/>
      <c r="F121" s="395"/>
      <c r="N121" s="395"/>
      <c r="O121" s="395"/>
      <c r="P121" s="395"/>
      <c r="X121" s="395"/>
      <c r="Y121" s="395"/>
      <c r="Z121" s="395"/>
      <c r="AA121" s="395"/>
      <c r="AB121" s="395"/>
    </row>
    <row r="122" spans="1:28">
      <c r="A122" s="1569" t="s">
        <v>7096</v>
      </c>
      <c r="B122" s="395"/>
      <c r="C122" s="395"/>
      <c r="D122" s="395"/>
      <c r="E122" s="395"/>
      <c r="F122" s="395"/>
      <c r="N122" s="395"/>
      <c r="O122" s="395"/>
      <c r="P122" s="395"/>
      <c r="X122" s="395"/>
      <c r="Y122" s="395"/>
      <c r="Z122" s="395"/>
    </row>
    <row r="123" spans="1:28">
      <c r="A123" s="1989" t="s">
        <v>623</v>
      </c>
      <c r="B123" s="1991" t="s">
        <v>1002</v>
      </c>
      <c r="C123" s="1991"/>
      <c r="D123" s="1991"/>
      <c r="E123" s="1991"/>
      <c r="F123" s="1991"/>
      <c r="G123" s="1990">
        <v>2007</v>
      </c>
      <c r="H123" s="1990">
        <v>2008</v>
      </c>
      <c r="I123" s="1990">
        <v>2009</v>
      </c>
      <c r="J123" s="1990">
        <v>2010</v>
      </c>
      <c r="K123" s="1990">
        <v>2011</v>
      </c>
      <c r="L123" s="1990">
        <v>2012</v>
      </c>
      <c r="M123" s="1990">
        <v>2013</v>
      </c>
      <c r="N123" s="1990">
        <v>2014</v>
      </c>
      <c r="O123" s="1990">
        <v>2015</v>
      </c>
      <c r="P123" s="1990">
        <v>2016</v>
      </c>
      <c r="Q123" s="1990">
        <v>2017</v>
      </c>
      <c r="R123" s="1990">
        <v>2018</v>
      </c>
      <c r="S123" s="2050">
        <v>2019</v>
      </c>
      <c r="T123" s="1972"/>
      <c r="U123" s="1972"/>
      <c r="V123" s="1972"/>
      <c r="W123" s="1973"/>
      <c r="X123" s="1633"/>
      <c r="Y123" s="1633"/>
      <c r="Z123" s="1633"/>
    </row>
    <row r="124" spans="1:28">
      <c r="A124" s="1984" t="s">
        <v>1003</v>
      </c>
      <c r="B124" s="1986"/>
      <c r="C124" s="1986"/>
      <c r="D124" s="1986"/>
      <c r="E124" s="1986"/>
      <c r="F124" s="1986"/>
      <c r="G124" s="1987"/>
      <c r="H124" s="1987"/>
      <c r="I124" s="1987"/>
      <c r="J124" s="1987"/>
      <c r="K124" s="1987"/>
      <c r="L124" s="1987"/>
      <c r="M124" s="1987"/>
      <c r="N124" s="1986"/>
      <c r="O124" s="1986"/>
      <c r="P124" s="1986"/>
      <c r="Q124" s="1987"/>
      <c r="R124" s="1987"/>
      <c r="S124" s="1988"/>
      <c r="X124" s="395"/>
      <c r="Y124" s="395"/>
      <c r="Z124" s="395"/>
    </row>
    <row r="125" spans="1:28">
      <c r="A125" s="2048" t="s">
        <v>1202</v>
      </c>
      <c r="B125" s="397"/>
      <c r="C125" s="397"/>
      <c r="D125" s="397"/>
      <c r="E125" s="397"/>
      <c r="F125" s="397"/>
      <c r="G125" s="1487"/>
      <c r="H125" s="1487"/>
      <c r="I125" s="1487"/>
      <c r="J125" s="1487"/>
      <c r="K125" s="1487"/>
      <c r="L125" s="1487"/>
      <c r="M125" s="1487"/>
      <c r="N125" s="397"/>
      <c r="O125" s="397"/>
      <c r="P125" s="397"/>
      <c r="Q125" s="1487"/>
      <c r="R125" s="1487"/>
      <c r="S125" s="1489"/>
      <c r="X125" s="395"/>
      <c r="Y125" s="395"/>
      <c r="Z125" s="395"/>
    </row>
    <row r="126" spans="1:28">
      <c r="A126" s="1997" t="s">
        <v>1499</v>
      </c>
      <c r="B126" s="397" t="s">
        <v>1500</v>
      </c>
      <c r="C126" s="397"/>
      <c r="D126" s="397"/>
      <c r="E126" s="397"/>
      <c r="F126" s="397"/>
      <c r="G126" s="1487">
        <v>1236.31</v>
      </c>
      <c r="H126" s="1487">
        <v>3531.95</v>
      </c>
      <c r="I126" s="1487">
        <v>3472.28</v>
      </c>
      <c r="J126" s="1487">
        <v>3515.24</v>
      </c>
      <c r="K126" s="1487"/>
      <c r="L126" s="1487">
        <v>2802.23</v>
      </c>
      <c r="M126" s="1487"/>
      <c r="N126" s="1487">
        <v>3117.22</v>
      </c>
      <c r="O126" s="1487">
        <v>3101.13</v>
      </c>
      <c r="P126" s="1487">
        <v>3408.29</v>
      </c>
      <c r="Q126" s="1487">
        <v>2721.38</v>
      </c>
      <c r="R126" s="1487">
        <v>3335.91</v>
      </c>
      <c r="S126" s="1489"/>
      <c r="X126" s="395"/>
      <c r="Y126" s="395"/>
      <c r="Z126" s="395"/>
    </row>
    <row r="127" spans="1:28">
      <c r="A127" s="1997" t="s">
        <v>1501</v>
      </c>
      <c r="B127" s="397" t="s">
        <v>1502</v>
      </c>
      <c r="C127" s="397"/>
      <c r="D127" s="397"/>
      <c r="E127" s="397"/>
      <c r="F127" s="397"/>
      <c r="G127" s="1487">
        <v>5.87</v>
      </c>
      <c r="H127" s="1487">
        <v>7.26</v>
      </c>
      <c r="I127" s="1487">
        <v>0</v>
      </c>
      <c r="J127" s="1487">
        <v>0</v>
      </c>
      <c r="K127" s="1487">
        <v>21.53</v>
      </c>
      <c r="L127" s="1487">
        <v>6.84</v>
      </c>
      <c r="M127" s="1487"/>
      <c r="N127" s="1487"/>
      <c r="O127" s="1487"/>
      <c r="P127" s="1487"/>
      <c r="Q127" s="1487"/>
      <c r="R127" s="1487"/>
      <c r="S127" s="1489"/>
      <c r="X127" s="395"/>
      <c r="Y127" s="395"/>
      <c r="Z127" s="395"/>
    </row>
    <row r="128" spans="1:28">
      <c r="A128" s="1997" t="s">
        <v>1503</v>
      </c>
      <c r="B128" s="397" t="s">
        <v>1504</v>
      </c>
      <c r="C128" s="397"/>
      <c r="D128" s="397"/>
      <c r="E128" s="397"/>
      <c r="F128" s="397"/>
      <c r="G128" s="1487">
        <v>5697.96</v>
      </c>
      <c r="H128" s="1487">
        <v>5053.09</v>
      </c>
      <c r="I128" s="1487">
        <v>6063.84</v>
      </c>
      <c r="J128" s="1487">
        <v>4339.84</v>
      </c>
      <c r="K128" s="1487">
        <v>3878.24</v>
      </c>
      <c r="L128" s="1487">
        <v>3564.23</v>
      </c>
      <c r="M128" s="1487">
        <v>1994.8</v>
      </c>
      <c r="N128" s="1487">
        <v>5467.65</v>
      </c>
      <c r="O128" s="1487">
        <v>5592.6</v>
      </c>
      <c r="P128" s="1487">
        <v>4639</v>
      </c>
      <c r="Q128" s="1487">
        <v>6270.3</v>
      </c>
      <c r="R128" s="1487">
        <v>3536</v>
      </c>
      <c r="S128" s="1489">
        <v>2090.1999999999998</v>
      </c>
      <c r="X128" s="395"/>
      <c r="Y128" s="395"/>
      <c r="Z128" s="395"/>
    </row>
    <row r="129" spans="1:26">
      <c r="A129" s="1997" t="s">
        <v>1505</v>
      </c>
      <c r="B129" s="397" t="s">
        <v>1506</v>
      </c>
      <c r="C129" s="397"/>
      <c r="D129" s="397"/>
      <c r="E129" s="397"/>
      <c r="F129" s="397"/>
      <c r="G129" s="1487">
        <v>873</v>
      </c>
      <c r="H129" s="1487">
        <v>848</v>
      </c>
      <c r="I129" s="1487">
        <v>729</v>
      </c>
      <c r="J129" s="1487">
        <v>573.20000000000005</v>
      </c>
      <c r="K129" s="1487">
        <v>688</v>
      </c>
      <c r="L129" s="1487">
        <v>807.1</v>
      </c>
      <c r="M129" s="1487">
        <v>525</v>
      </c>
      <c r="N129" s="1487"/>
      <c r="O129" s="1487"/>
      <c r="P129" s="1487"/>
      <c r="Q129" s="1487"/>
      <c r="R129" s="1487"/>
      <c r="S129" s="1489"/>
      <c r="X129" s="395"/>
      <c r="Y129" s="395"/>
      <c r="Z129" s="395"/>
    </row>
    <row r="130" spans="1:26">
      <c r="A130" s="1997" t="s">
        <v>1507</v>
      </c>
      <c r="B130" s="397" t="s">
        <v>1213</v>
      </c>
      <c r="C130" s="397"/>
      <c r="D130" s="397"/>
      <c r="E130" s="397"/>
      <c r="F130" s="397"/>
      <c r="G130" s="1487">
        <v>0</v>
      </c>
      <c r="H130" s="1487">
        <v>7.2</v>
      </c>
      <c r="I130" s="1487">
        <v>110.4</v>
      </c>
      <c r="J130" s="1487">
        <v>31.9</v>
      </c>
      <c r="K130" s="1487">
        <v>0</v>
      </c>
      <c r="L130" s="1487">
        <v>1039.25</v>
      </c>
      <c r="M130" s="1487">
        <v>295.45</v>
      </c>
      <c r="N130" s="1487">
        <v>1023.95</v>
      </c>
      <c r="O130" s="1487">
        <v>209.95</v>
      </c>
      <c r="P130" s="1487">
        <v>774.35</v>
      </c>
      <c r="Q130" s="1487">
        <v>1064.45</v>
      </c>
      <c r="R130" s="1487">
        <v>519.85</v>
      </c>
      <c r="S130" s="1489">
        <v>110</v>
      </c>
      <c r="X130" s="395"/>
      <c r="Y130" s="395"/>
      <c r="Z130" s="395"/>
    </row>
    <row r="131" spans="1:26">
      <c r="A131" s="1997" t="s">
        <v>1508</v>
      </c>
      <c r="B131" s="397" t="s">
        <v>1209</v>
      </c>
      <c r="C131" s="397"/>
      <c r="D131" s="397"/>
      <c r="E131" s="397"/>
      <c r="F131" s="397"/>
      <c r="G131" s="1487"/>
      <c r="H131" s="1487"/>
      <c r="I131" s="1487"/>
      <c r="J131" s="1487"/>
      <c r="K131" s="1487"/>
      <c r="L131" s="1487"/>
      <c r="M131" s="1487"/>
      <c r="N131" s="1487">
        <v>134.85</v>
      </c>
      <c r="O131" s="1487">
        <v>139.19999999999999</v>
      </c>
      <c r="P131" s="1487">
        <v>130.5</v>
      </c>
      <c r="Q131" s="1487">
        <v>1.45</v>
      </c>
      <c r="R131" s="1487"/>
      <c r="S131" s="1489"/>
      <c r="X131" s="395"/>
      <c r="Y131" s="395"/>
      <c r="Z131" s="395"/>
    </row>
    <row r="132" spans="1:26">
      <c r="A132" s="1997" t="s">
        <v>1509</v>
      </c>
      <c r="B132" s="397" t="s">
        <v>1213</v>
      </c>
      <c r="C132" s="397"/>
      <c r="D132" s="397"/>
      <c r="E132" s="397"/>
      <c r="F132" s="397"/>
      <c r="G132" s="1487">
        <v>84.95</v>
      </c>
      <c r="H132" s="1487">
        <v>102</v>
      </c>
      <c r="I132" s="1487">
        <v>0</v>
      </c>
      <c r="J132" s="1487">
        <v>100.05</v>
      </c>
      <c r="K132" s="1487">
        <v>137.75</v>
      </c>
      <c r="L132" s="1487">
        <v>150.80000000000001</v>
      </c>
      <c r="M132" s="1487">
        <v>134.85</v>
      </c>
      <c r="N132" s="1487"/>
      <c r="O132" s="1487"/>
      <c r="P132" s="1487"/>
      <c r="Q132" s="1487"/>
      <c r="R132" s="1487"/>
      <c r="S132" s="1489"/>
      <c r="X132" s="395"/>
      <c r="Y132" s="395"/>
      <c r="Z132" s="395"/>
    </row>
    <row r="133" spans="1:26">
      <c r="A133" s="2046"/>
      <c r="B133" s="2047" t="s">
        <v>1221</v>
      </c>
      <c r="C133" s="2047"/>
      <c r="D133" s="2047"/>
      <c r="E133" s="2047"/>
      <c r="F133" s="2047"/>
      <c r="G133" s="2005">
        <f t="shared" ref="G133:S133" si="20">SUM(G126:G132)</f>
        <v>7898.0899999999992</v>
      </c>
      <c r="H133" s="2005">
        <f t="shared" si="20"/>
        <v>9549.5</v>
      </c>
      <c r="I133" s="2005">
        <f t="shared" si="20"/>
        <v>10375.52</v>
      </c>
      <c r="J133" s="2005">
        <f t="shared" si="20"/>
        <v>8560.23</v>
      </c>
      <c r="K133" s="2005">
        <f t="shared" si="20"/>
        <v>4725.5200000000004</v>
      </c>
      <c r="L133" s="2005">
        <f t="shared" si="20"/>
        <v>8370.4500000000007</v>
      </c>
      <c r="M133" s="2005">
        <f t="shared" si="20"/>
        <v>2950.1</v>
      </c>
      <c r="N133" s="2005">
        <f t="shared" si="20"/>
        <v>9743.67</v>
      </c>
      <c r="O133" s="2005">
        <f t="shared" si="20"/>
        <v>9042.880000000001</v>
      </c>
      <c r="P133" s="2005">
        <f t="shared" si="20"/>
        <v>8952.14</v>
      </c>
      <c r="Q133" s="2005">
        <f t="shared" si="20"/>
        <v>10057.580000000002</v>
      </c>
      <c r="R133" s="2005">
        <f t="shared" si="20"/>
        <v>7391.76</v>
      </c>
      <c r="S133" s="3150">
        <f t="shared" si="20"/>
        <v>2200.1999999999998</v>
      </c>
      <c r="X133" s="395"/>
      <c r="Y133" s="395"/>
      <c r="Z133" s="395"/>
    </row>
    <row r="134" spans="1:26">
      <c r="A134" s="2048" t="s">
        <v>1163</v>
      </c>
      <c r="B134" s="397"/>
      <c r="C134" s="397"/>
      <c r="D134" s="397"/>
      <c r="E134" s="397"/>
      <c r="F134" s="397"/>
      <c r="G134" s="1487"/>
      <c r="H134" s="1487"/>
      <c r="I134" s="1487"/>
      <c r="J134" s="1487"/>
      <c r="K134" s="1487"/>
      <c r="L134" s="1487"/>
      <c r="M134" s="1487"/>
      <c r="N134" s="397"/>
      <c r="O134" s="397"/>
      <c r="P134" s="397"/>
      <c r="Q134" s="1487"/>
      <c r="R134" s="1487"/>
      <c r="S134" s="1489"/>
      <c r="X134" s="395"/>
      <c r="Y134" s="395"/>
      <c r="Z134" s="395"/>
    </row>
    <row r="135" spans="1:26">
      <c r="A135" s="1997" t="s">
        <v>1510</v>
      </c>
      <c r="B135" s="397" t="s">
        <v>1225</v>
      </c>
      <c r="C135" s="397"/>
      <c r="D135" s="397"/>
      <c r="E135" s="397"/>
      <c r="F135" s="397"/>
      <c r="G135" s="1487">
        <v>155370</v>
      </c>
      <c r="H135" s="1487">
        <v>158502</v>
      </c>
      <c r="I135" s="1487">
        <v>141006</v>
      </c>
      <c r="J135" s="1487">
        <v>143761</v>
      </c>
      <c r="K135" s="1487">
        <v>135277</v>
      </c>
      <c r="L135" s="1487">
        <v>133684</v>
      </c>
      <c r="M135" s="1487">
        <v>159283</v>
      </c>
      <c r="N135" s="1487">
        <v>159283</v>
      </c>
      <c r="O135" s="1487">
        <v>162432</v>
      </c>
      <c r="P135" s="1487">
        <v>167305</v>
      </c>
      <c r="Q135" s="1487">
        <v>167304</v>
      </c>
      <c r="R135" s="1487">
        <v>167304</v>
      </c>
      <c r="S135" s="1489">
        <v>171487</v>
      </c>
      <c r="X135" s="395"/>
      <c r="Y135" s="395"/>
      <c r="Z135" s="395"/>
    </row>
    <row r="136" spans="1:26">
      <c r="A136" s="1997" t="s">
        <v>1511</v>
      </c>
      <c r="B136" s="397" t="s">
        <v>1223</v>
      </c>
      <c r="C136" s="397"/>
      <c r="D136" s="397"/>
      <c r="E136" s="397"/>
      <c r="F136" s="397"/>
      <c r="G136" s="1487">
        <v>18335.990000000002</v>
      </c>
      <c r="H136" s="1487">
        <v>18873.25</v>
      </c>
      <c r="I136" s="1487">
        <v>20009.259999999998</v>
      </c>
      <c r="J136" s="1487">
        <v>22326.97</v>
      </c>
      <c r="K136" s="1487">
        <v>14344.07</v>
      </c>
      <c r="L136" s="1487">
        <v>16260.76</v>
      </c>
      <c r="M136" s="1487">
        <v>18849.3</v>
      </c>
      <c r="N136" s="1487">
        <v>20286.34</v>
      </c>
      <c r="O136" s="1487">
        <v>23677.43</v>
      </c>
      <c r="P136" s="1487">
        <v>15659.47</v>
      </c>
      <c r="Q136" s="1487">
        <v>15133.26</v>
      </c>
      <c r="R136" s="1487">
        <v>15161.95</v>
      </c>
      <c r="S136" s="1489">
        <v>10370.66</v>
      </c>
      <c r="X136" s="395"/>
      <c r="Y136" s="395"/>
      <c r="Z136" s="395"/>
    </row>
    <row r="137" spans="1:26">
      <c r="A137" s="1997" t="s">
        <v>1512</v>
      </c>
      <c r="B137" s="397" t="s">
        <v>1407</v>
      </c>
      <c r="C137" s="397"/>
      <c r="D137" s="397"/>
      <c r="E137" s="397"/>
      <c r="F137" s="397"/>
      <c r="G137" s="1487">
        <v>5000</v>
      </c>
      <c r="H137" s="1487">
        <v>5000</v>
      </c>
      <c r="I137" s="1487">
        <v>5000</v>
      </c>
      <c r="J137" s="1487">
        <v>4090</v>
      </c>
      <c r="K137" s="1487">
        <v>5000</v>
      </c>
      <c r="L137" s="1487">
        <v>5000</v>
      </c>
      <c r="M137" s="1487">
        <v>5000</v>
      </c>
      <c r="N137" s="1487">
        <v>5453.5</v>
      </c>
      <c r="O137" s="1487">
        <v>5453.5</v>
      </c>
      <c r="P137" s="1487"/>
      <c r="Q137" s="1487"/>
      <c r="R137" s="1487"/>
      <c r="S137" s="1489"/>
      <c r="X137" s="395"/>
      <c r="Y137" s="395"/>
      <c r="Z137" s="395"/>
    </row>
    <row r="138" spans="1:26">
      <c r="A138" s="2046"/>
      <c r="B138" s="2047" t="s">
        <v>1181</v>
      </c>
      <c r="C138" s="2047"/>
      <c r="D138" s="2047"/>
      <c r="E138" s="2047"/>
      <c r="F138" s="2047"/>
      <c r="G138" s="2005">
        <f t="shared" ref="G138:S138" si="21">SUM(G135:G137)</f>
        <v>178705.99</v>
      </c>
      <c r="H138" s="2005">
        <f t="shared" si="21"/>
        <v>182375.25</v>
      </c>
      <c r="I138" s="2005">
        <f t="shared" si="21"/>
        <v>166015.26</v>
      </c>
      <c r="J138" s="2005">
        <f t="shared" si="21"/>
        <v>170177.97</v>
      </c>
      <c r="K138" s="2005">
        <f t="shared" si="21"/>
        <v>154621.07</v>
      </c>
      <c r="L138" s="2005">
        <f t="shared" si="21"/>
        <v>154944.76</v>
      </c>
      <c r="M138" s="2005">
        <f t="shared" si="21"/>
        <v>183132.3</v>
      </c>
      <c r="N138" s="2005">
        <f t="shared" si="21"/>
        <v>185022.84</v>
      </c>
      <c r="O138" s="2005">
        <f t="shared" si="21"/>
        <v>191562.93</v>
      </c>
      <c r="P138" s="2005">
        <f t="shared" si="21"/>
        <v>182964.47</v>
      </c>
      <c r="Q138" s="2005">
        <f t="shared" si="21"/>
        <v>182437.26</v>
      </c>
      <c r="R138" s="2005">
        <f t="shared" si="21"/>
        <v>182465.95</v>
      </c>
      <c r="S138" s="3150">
        <f t="shared" si="21"/>
        <v>181857.66</v>
      </c>
      <c r="X138" s="395"/>
      <c r="Y138" s="395"/>
      <c r="Z138" s="395"/>
    </row>
    <row r="139" spans="1:26">
      <c r="A139" s="2048" t="s">
        <v>47</v>
      </c>
      <c r="B139" s="397"/>
      <c r="C139" s="397"/>
      <c r="D139" s="397"/>
      <c r="E139" s="397"/>
      <c r="F139" s="397"/>
      <c r="G139" s="1487"/>
      <c r="H139" s="1487"/>
      <c r="I139" s="1487"/>
      <c r="J139" s="1487"/>
      <c r="K139" s="1487"/>
      <c r="L139" s="1487"/>
      <c r="M139" s="1487"/>
      <c r="N139" s="1487"/>
      <c r="O139" s="1487"/>
      <c r="P139" s="397"/>
      <c r="Q139" s="397"/>
      <c r="R139" s="397"/>
      <c r="S139" s="1489"/>
      <c r="X139" s="395"/>
      <c r="Y139" s="395"/>
      <c r="Z139" s="395"/>
    </row>
    <row r="140" spans="1:26">
      <c r="A140" s="1997"/>
      <c r="B140" s="397"/>
      <c r="C140" s="397"/>
      <c r="D140" s="397"/>
      <c r="E140" s="397"/>
      <c r="F140" s="397"/>
      <c r="G140" s="1487"/>
      <c r="H140" s="1487"/>
      <c r="I140" s="1487"/>
      <c r="J140" s="1487"/>
      <c r="K140" s="1487"/>
      <c r="L140" s="1487"/>
      <c r="M140" s="1487"/>
      <c r="N140" s="1487"/>
      <c r="O140" s="1487"/>
      <c r="P140" s="397"/>
      <c r="Q140" s="397"/>
      <c r="R140" s="397"/>
      <c r="S140" s="1489"/>
      <c r="X140" s="395"/>
      <c r="Y140" s="395"/>
      <c r="Z140" s="395"/>
    </row>
    <row r="141" spans="1:26">
      <c r="A141" s="1997"/>
      <c r="B141" s="397"/>
      <c r="C141" s="397"/>
      <c r="D141" s="397"/>
      <c r="E141" s="397"/>
      <c r="F141" s="397"/>
      <c r="G141" s="1487"/>
      <c r="H141" s="1487"/>
      <c r="I141" s="1487"/>
      <c r="J141" s="1487"/>
      <c r="K141" s="1487"/>
      <c r="L141" s="1487"/>
      <c r="M141" s="1487"/>
      <c r="N141" s="1487"/>
      <c r="O141" s="1487"/>
      <c r="P141" s="397"/>
      <c r="Q141" s="397"/>
      <c r="R141" s="397"/>
      <c r="S141" s="1489"/>
      <c r="X141" s="395"/>
      <c r="Y141" s="395"/>
      <c r="Z141" s="395"/>
    </row>
    <row r="142" spans="1:26">
      <c r="A142" s="2046"/>
      <c r="B142" s="2047" t="s">
        <v>1185</v>
      </c>
      <c r="C142" s="2047"/>
      <c r="D142" s="2047"/>
      <c r="E142" s="2047"/>
      <c r="F142" s="2047"/>
      <c r="G142" s="2005">
        <f t="shared" ref="G142:L142" si="22">SUM(G141)</f>
        <v>0</v>
      </c>
      <c r="H142" s="2005">
        <f t="shared" si="22"/>
        <v>0</v>
      </c>
      <c r="I142" s="2005">
        <f t="shared" si="22"/>
        <v>0</v>
      </c>
      <c r="J142" s="2005">
        <f t="shared" si="22"/>
        <v>0</v>
      </c>
      <c r="K142" s="2005">
        <f t="shared" si="22"/>
        <v>0</v>
      </c>
      <c r="L142" s="2005">
        <f t="shared" si="22"/>
        <v>0</v>
      </c>
      <c r="M142" s="2005">
        <f t="shared" ref="M142:R142" si="23">SUM(M141)</f>
        <v>0</v>
      </c>
      <c r="N142" s="2005">
        <f t="shared" si="23"/>
        <v>0</v>
      </c>
      <c r="O142" s="2005">
        <f t="shared" si="23"/>
        <v>0</v>
      </c>
      <c r="P142" s="2005">
        <f t="shared" si="23"/>
        <v>0</v>
      </c>
      <c r="Q142" s="2005">
        <f t="shared" si="23"/>
        <v>0</v>
      </c>
      <c r="R142" s="2005">
        <f t="shared" si="23"/>
        <v>0</v>
      </c>
      <c r="S142" s="3150">
        <f>SUM(S141)</f>
        <v>0</v>
      </c>
      <c r="X142" s="395"/>
      <c r="Y142" s="395"/>
      <c r="Z142" s="395"/>
    </row>
    <row r="143" spans="1:26">
      <c r="A143" s="2021"/>
      <c r="B143" s="2022" t="s">
        <v>1234</v>
      </c>
      <c r="C143" s="2022"/>
      <c r="D143" s="2022"/>
      <c r="E143" s="2022"/>
      <c r="F143" s="2022"/>
      <c r="G143" s="2009">
        <f t="shared" ref="G143:R143" si="24">G133+G138+G142</f>
        <v>186604.08</v>
      </c>
      <c r="H143" s="2009">
        <f t="shared" si="24"/>
        <v>191924.75</v>
      </c>
      <c r="I143" s="2009">
        <f t="shared" si="24"/>
        <v>176390.78</v>
      </c>
      <c r="J143" s="2009">
        <f t="shared" si="24"/>
        <v>178738.2</v>
      </c>
      <c r="K143" s="2009">
        <f t="shared" si="24"/>
        <v>159346.59</v>
      </c>
      <c r="L143" s="2009">
        <f t="shared" si="24"/>
        <v>163315.21000000002</v>
      </c>
      <c r="M143" s="2009">
        <f t="shared" si="24"/>
        <v>186082.4</v>
      </c>
      <c r="N143" s="2009">
        <f t="shared" si="24"/>
        <v>194766.51</v>
      </c>
      <c r="O143" s="2009">
        <f t="shared" si="24"/>
        <v>200605.81</v>
      </c>
      <c r="P143" s="2009">
        <f t="shared" si="24"/>
        <v>191916.61</v>
      </c>
      <c r="Q143" s="2009">
        <f t="shared" si="24"/>
        <v>192494.84000000003</v>
      </c>
      <c r="R143" s="2009">
        <f t="shared" si="24"/>
        <v>189857.71000000002</v>
      </c>
      <c r="S143" s="2070">
        <f>S133+S138+S142</f>
        <v>184057.86000000002</v>
      </c>
      <c r="X143" s="395"/>
      <c r="Y143" s="395"/>
      <c r="Z143" s="395"/>
    </row>
    <row r="144" spans="1:26">
      <c r="A144" s="1633"/>
      <c r="B144" s="395"/>
      <c r="C144" s="395"/>
      <c r="D144" s="395"/>
      <c r="E144" s="395"/>
      <c r="F144" s="395"/>
      <c r="M144" s="1974"/>
      <c r="N144" s="395"/>
      <c r="O144" s="395"/>
      <c r="P144" s="395"/>
      <c r="X144" s="395"/>
      <c r="Y144" s="395"/>
      <c r="Z144" s="395"/>
    </row>
    <row r="145" spans="1:26">
      <c r="A145" s="1633"/>
      <c r="B145" s="395"/>
      <c r="C145" s="395"/>
      <c r="D145" s="395"/>
      <c r="E145" s="395"/>
      <c r="F145" s="395"/>
      <c r="N145" s="395"/>
      <c r="O145" s="395"/>
      <c r="P145" s="395"/>
      <c r="X145" s="395"/>
      <c r="Y145" s="395"/>
      <c r="Z145" s="395"/>
    </row>
    <row r="146" spans="1:26">
      <c r="A146" s="1633"/>
      <c r="B146" s="395"/>
      <c r="C146" s="395"/>
      <c r="D146" s="395"/>
      <c r="E146" s="395"/>
      <c r="F146" s="395"/>
      <c r="N146" s="395"/>
      <c r="O146" s="395"/>
      <c r="P146" s="395"/>
      <c r="X146" s="395"/>
      <c r="Y146" s="395"/>
      <c r="Z146" s="395"/>
    </row>
  </sheetData>
  <mergeCells count="1">
    <mergeCell ref="A1:L1"/>
  </mergeCells>
  <hyperlinks>
    <hyperlink ref="A1" location="GLOBAAL!A1" display="Gemeenteschool Steenkerke" xr:uid="{00000000-0004-0000-3D00-000000000000}"/>
    <hyperlink ref="A1:L1" location="FINANCIËN!A1" display="Gemeenteschool Steenkerke" xr:uid="{00000000-0004-0000-3D00-000001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EBD531"/>
  </sheetPr>
  <dimension ref="A1:AP598"/>
  <sheetViews>
    <sheetView topLeftCell="A16" workbookViewId="0">
      <pane xSplit="12" ySplit="6" topLeftCell="M22" activePane="bottomRight" state="frozen"/>
      <selection activeCell="A16" sqref="A16"/>
      <selection pane="topRight" activeCell="M16" sqref="M16"/>
      <selection pane="bottomLeft" activeCell="A22" sqref="A22"/>
      <selection pane="bottomRight" activeCell="F35" sqref="F35"/>
    </sheetView>
  </sheetViews>
  <sheetFormatPr defaultColWidth="9.140625" defaultRowHeight="12.75"/>
  <cols>
    <col min="1" max="1" width="17.42578125" style="395" customWidth="1"/>
    <col min="2" max="2" width="14.42578125" style="395" customWidth="1"/>
    <col min="3" max="6" width="11.7109375" style="395" customWidth="1"/>
    <col min="7" max="7" width="13.42578125" style="395" customWidth="1"/>
    <col min="8" max="21" width="11.7109375" style="1965" customWidth="1"/>
    <col min="22" max="23" width="12.28515625" style="1965" bestFit="1" customWidth="1"/>
    <col min="24" max="24" width="11.7109375" style="1965" customWidth="1"/>
    <col min="25" max="26" width="10.85546875" style="1965" customWidth="1"/>
    <col min="27" max="31" width="10.7109375" style="1965" bestFit="1" customWidth="1"/>
    <col min="32" max="42" width="9.140625" style="1965"/>
    <col min="43" max="16384" width="9.140625" style="395"/>
  </cols>
  <sheetData>
    <row r="1" spans="1:22" ht="21">
      <c r="A1" s="4757" t="s">
        <v>1975</v>
      </c>
      <c r="B1" s="4758"/>
      <c r="C1" s="4758"/>
      <c r="D1" s="4758"/>
      <c r="E1" s="4758"/>
      <c r="F1" s="4758"/>
      <c r="G1" s="4758"/>
      <c r="H1" s="4758"/>
      <c r="I1" s="4758"/>
      <c r="J1" s="4758"/>
      <c r="K1" s="4758"/>
      <c r="L1" s="4758"/>
      <c r="M1" s="4758"/>
      <c r="N1" s="4758"/>
      <c r="O1" s="4758"/>
      <c r="P1" s="4758"/>
      <c r="Q1" s="4758"/>
    </row>
    <row r="2" spans="1:22" ht="13.5" thickBot="1"/>
    <row r="3" spans="1:22" ht="18" customHeight="1" thickBot="1">
      <c r="A3" s="1886"/>
      <c r="B3" s="1887"/>
      <c r="C3" s="1887"/>
      <c r="D3" s="1887"/>
      <c r="E3" s="1887"/>
      <c r="F3" s="1887"/>
      <c r="G3" s="1887"/>
      <c r="H3" s="1967">
        <v>2007</v>
      </c>
      <c r="I3" s="1967">
        <v>2008</v>
      </c>
      <c r="J3" s="1967">
        <v>2009</v>
      </c>
      <c r="K3" s="1967">
        <v>2010</v>
      </c>
      <c r="L3" s="1967">
        <v>2011</v>
      </c>
      <c r="M3" s="1967">
        <v>2012</v>
      </c>
      <c r="N3" s="1967">
        <v>2013</v>
      </c>
      <c r="O3" s="1967">
        <v>2014</v>
      </c>
      <c r="P3" s="1967">
        <v>2015</v>
      </c>
      <c r="Q3" s="1967">
        <v>2016</v>
      </c>
      <c r="R3" s="1967">
        <v>2017</v>
      </c>
      <c r="S3" s="1967">
        <v>2018</v>
      </c>
      <c r="T3" s="1967">
        <v>2019</v>
      </c>
      <c r="U3" s="1967">
        <v>2020</v>
      </c>
      <c r="V3" s="1967">
        <v>2021</v>
      </c>
    </row>
    <row r="4" spans="1:22">
      <c r="A4" s="1205" t="s">
        <v>986</v>
      </c>
      <c r="B4" s="397"/>
      <c r="C4" s="397"/>
      <c r="D4" s="397"/>
      <c r="E4" s="397"/>
      <c r="F4" s="397"/>
      <c r="G4" s="397"/>
      <c r="H4" s="1969">
        <f t="shared" ref="H4:V4" si="0">H22+H228+H431</f>
        <v>696080.74899999995</v>
      </c>
      <c r="I4" s="1969">
        <f t="shared" si="0"/>
        <v>767911.62400000007</v>
      </c>
      <c r="J4" s="1969">
        <f t="shared" si="0"/>
        <v>858417.95100000012</v>
      </c>
      <c r="K4" s="1969">
        <f t="shared" si="0"/>
        <v>899682.41400000011</v>
      </c>
      <c r="L4" s="1969">
        <f t="shared" si="0"/>
        <v>905436.73600000003</v>
      </c>
      <c r="M4" s="1969">
        <f t="shared" si="0"/>
        <v>925406.35</v>
      </c>
      <c r="N4" s="1969">
        <f t="shared" si="0"/>
        <v>901458.75600000017</v>
      </c>
      <c r="O4" s="1969">
        <f t="shared" si="0"/>
        <v>871211.37600000016</v>
      </c>
      <c r="P4" s="1969">
        <f t="shared" si="0"/>
        <v>871721.34466666658</v>
      </c>
      <c r="Q4" s="1969">
        <f t="shared" si="0"/>
        <v>921424.23233333323</v>
      </c>
      <c r="R4" s="1969">
        <f t="shared" si="0"/>
        <v>974499.59733333346</v>
      </c>
      <c r="S4" s="1969">
        <f t="shared" si="0"/>
        <v>1085394.9111666668</v>
      </c>
      <c r="T4" s="1969">
        <f t="shared" si="0"/>
        <v>1073320.9441666666</v>
      </c>
      <c r="U4" s="1969">
        <f t="shared" si="0"/>
        <v>928346.55483333336</v>
      </c>
      <c r="V4" s="1969">
        <f t="shared" si="0"/>
        <v>1009761.7358333332</v>
      </c>
    </row>
    <row r="5" spans="1:22">
      <c r="A5" s="1205" t="s">
        <v>987</v>
      </c>
      <c r="B5" s="397"/>
      <c r="C5" s="397"/>
      <c r="D5" s="397"/>
      <c r="E5" s="397"/>
      <c r="F5" s="397"/>
      <c r="G5" s="397"/>
      <c r="H5" s="1969">
        <f t="shared" ref="H5:V5" si="1">H23+H229+H432</f>
        <v>218917.05</v>
      </c>
      <c r="I5" s="1969">
        <f t="shared" si="1"/>
        <v>223514.22</v>
      </c>
      <c r="J5" s="1969">
        <f t="shared" si="1"/>
        <v>240105.37</v>
      </c>
      <c r="K5" s="1969">
        <f t="shared" si="1"/>
        <v>228336.07</v>
      </c>
      <c r="L5" s="1969">
        <f t="shared" si="1"/>
        <v>235648.08000000002</v>
      </c>
      <c r="M5" s="1969">
        <f t="shared" si="1"/>
        <v>265565.34999999998</v>
      </c>
      <c r="N5" s="1969">
        <f t="shared" si="1"/>
        <v>270437.87</v>
      </c>
      <c r="O5" s="1969">
        <f t="shared" si="1"/>
        <v>233245.77000000002</v>
      </c>
      <c r="P5" s="1969">
        <f t="shared" si="1"/>
        <v>213985.57</v>
      </c>
      <c r="Q5" s="1969">
        <f t="shared" si="1"/>
        <v>184624.6</v>
      </c>
      <c r="R5" s="1969">
        <f t="shared" si="1"/>
        <v>165904.31</v>
      </c>
      <c r="S5" s="1969">
        <f t="shared" si="1"/>
        <v>145699.59000000003</v>
      </c>
      <c r="T5" s="1969">
        <f t="shared" si="1"/>
        <v>188596.23</v>
      </c>
      <c r="U5" s="1969">
        <f t="shared" si="1"/>
        <v>105014.45</v>
      </c>
      <c r="V5" s="1969">
        <f t="shared" si="1"/>
        <v>145228.92000000001</v>
      </c>
    </row>
    <row r="6" spans="1:22">
      <c r="A6" s="1205" t="s">
        <v>988</v>
      </c>
      <c r="B6" s="397"/>
      <c r="C6" s="397"/>
      <c r="D6" s="397"/>
      <c r="E6" s="397"/>
      <c r="F6" s="397"/>
      <c r="G6" s="397"/>
      <c r="H6" s="1969">
        <f t="shared" ref="H6:V6" si="2">H24+H230+H433</f>
        <v>-477163.69900000002</v>
      </c>
      <c r="I6" s="1969">
        <f t="shared" si="2"/>
        <v>-544397.4040000001</v>
      </c>
      <c r="J6" s="1969">
        <f t="shared" si="2"/>
        <v>-618312.58100000012</v>
      </c>
      <c r="K6" s="1969">
        <f t="shared" si="2"/>
        <v>-671346.34400000004</v>
      </c>
      <c r="L6" s="1969">
        <f t="shared" si="2"/>
        <v>-669788.65599999996</v>
      </c>
      <c r="M6" s="1969">
        <f t="shared" si="2"/>
        <v>-659841</v>
      </c>
      <c r="N6" s="1969">
        <f t="shared" si="2"/>
        <v>-631020.88600000006</v>
      </c>
      <c r="O6" s="1969">
        <f t="shared" si="2"/>
        <v>-637965.60600000003</v>
      </c>
      <c r="P6" s="1969">
        <f t="shared" si="2"/>
        <v>-657735.77466666664</v>
      </c>
      <c r="Q6" s="1969">
        <f t="shared" si="2"/>
        <v>-736799.63233333325</v>
      </c>
      <c r="R6" s="1969">
        <f t="shared" si="2"/>
        <v>-808595.28733333328</v>
      </c>
      <c r="S6" s="1969">
        <f t="shared" si="2"/>
        <v>-939695.32116666669</v>
      </c>
      <c r="T6" s="1969">
        <f t="shared" si="2"/>
        <v>-884724.71416666661</v>
      </c>
      <c r="U6" s="1969">
        <f t="shared" si="2"/>
        <v>-823332.10483333329</v>
      </c>
      <c r="V6" s="1969">
        <f t="shared" si="2"/>
        <v>-864532.8158333333</v>
      </c>
    </row>
    <row r="7" spans="1:22">
      <c r="A7" s="1205"/>
      <c r="B7" s="397"/>
      <c r="C7" s="397"/>
      <c r="D7" s="397"/>
      <c r="E7" s="397"/>
      <c r="F7" s="397"/>
      <c r="G7" s="397"/>
      <c r="H7" s="1969">
        <f>H25+H231+H434</f>
        <v>0</v>
      </c>
      <c r="I7" s="1969"/>
      <c r="J7" s="1969"/>
      <c r="K7" s="1969"/>
      <c r="L7" s="1969"/>
      <c r="M7" s="1969"/>
      <c r="N7" s="1969"/>
      <c r="O7" s="1969"/>
      <c r="P7" s="1969"/>
      <c r="Q7" s="1969"/>
      <c r="R7" s="1969"/>
      <c r="S7" s="1969"/>
      <c r="T7" s="1969"/>
      <c r="U7" s="1969"/>
      <c r="V7" s="1969"/>
    </row>
    <row r="8" spans="1:22">
      <c r="A8" s="1205" t="s">
        <v>989</v>
      </c>
      <c r="B8" s="397"/>
      <c r="C8" s="397"/>
      <c r="D8" s="397"/>
      <c r="E8" s="397"/>
      <c r="F8" s="397"/>
      <c r="G8" s="397"/>
      <c r="H8" s="1969">
        <f>H26+H232+H435</f>
        <v>372597.60000000003</v>
      </c>
      <c r="I8" s="1969">
        <f t="shared" ref="I8:V8" si="3">I26+I232+I435</f>
        <v>393465.63</v>
      </c>
      <c r="J8" s="1969">
        <f t="shared" si="3"/>
        <v>414184.28000000009</v>
      </c>
      <c r="K8" s="1969">
        <f t="shared" si="3"/>
        <v>426736.03</v>
      </c>
      <c r="L8" s="1969">
        <f t="shared" si="3"/>
        <v>403238.18999999994</v>
      </c>
      <c r="M8" s="1969">
        <f t="shared" si="3"/>
        <v>404090.07999999996</v>
      </c>
      <c r="N8" s="1969">
        <f t="shared" si="3"/>
        <v>404077.14</v>
      </c>
      <c r="O8" s="1969">
        <f t="shared" si="3"/>
        <v>369858.85000000009</v>
      </c>
      <c r="P8" s="1969">
        <f t="shared" si="3"/>
        <v>393384.76000000007</v>
      </c>
      <c r="Q8" s="1969">
        <f t="shared" si="3"/>
        <v>401834.99</v>
      </c>
      <c r="R8" s="1969">
        <f t="shared" si="3"/>
        <v>327321.24</v>
      </c>
      <c r="S8" s="1969">
        <f t="shared" si="3"/>
        <v>348018.01</v>
      </c>
      <c r="T8" s="1969">
        <f t="shared" si="3"/>
        <v>362175.83999999997</v>
      </c>
      <c r="U8" s="1969">
        <f t="shared" si="3"/>
        <v>330392.34000000003</v>
      </c>
      <c r="V8" s="1969">
        <f t="shared" si="3"/>
        <v>341887.70999999996</v>
      </c>
    </row>
    <row r="9" spans="1:22">
      <c r="A9" s="1205" t="s">
        <v>990</v>
      </c>
      <c r="B9" s="397"/>
      <c r="C9" s="397"/>
      <c r="D9" s="397"/>
      <c r="E9" s="397"/>
      <c r="F9" s="397"/>
      <c r="G9" s="397"/>
      <c r="H9" s="1969">
        <f>H27+H233+H436</f>
        <v>245856.64000000004</v>
      </c>
      <c r="I9" s="1969">
        <f t="shared" ref="I9:V9" si="4">I27+I233+I436</f>
        <v>274705.01000000007</v>
      </c>
      <c r="J9" s="1969">
        <f t="shared" si="4"/>
        <v>256742.03000000003</v>
      </c>
      <c r="K9" s="1969">
        <f t="shared" si="4"/>
        <v>274955.30300000001</v>
      </c>
      <c r="L9" s="1969">
        <f t="shared" si="4"/>
        <v>264639.74</v>
      </c>
      <c r="M9" s="1969">
        <f t="shared" si="4"/>
        <v>274003.67</v>
      </c>
      <c r="N9" s="1969">
        <f t="shared" si="4"/>
        <v>268474.70000000007</v>
      </c>
      <c r="O9" s="1969">
        <f t="shared" si="4"/>
        <v>260957.35000000003</v>
      </c>
      <c r="P9" s="1969">
        <f t="shared" si="4"/>
        <v>234910.93</v>
      </c>
      <c r="Q9" s="1969">
        <f t="shared" si="4"/>
        <v>246738.05</v>
      </c>
      <c r="R9" s="1969">
        <f t="shared" si="4"/>
        <v>240517.10000000003</v>
      </c>
      <c r="S9" s="1969">
        <f t="shared" si="4"/>
        <v>306471.89</v>
      </c>
      <c r="T9" s="1969">
        <f t="shared" si="4"/>
        <v>285246.61000000004</v>
      </c>
      <c r="U9" s="1969">
        <f t="shared" si="4"/>
        <v>268369.47000000003</v>
      </c>
      <c r="V9" s="1969">
        <f t="shared" si="4"/>
        <v>347233.94999999995</v>
      </c>
    </row>
    <row r="10" spans="1:22">
      <c r="A10" s="1205" t="s">
        <v>991</v>
      </c>
      <c r="B10" s="397"/>
      <c r="C10" s="397"/>
      <c r="D10" s="397"/>
      <c r="E10" s="397"/>
      <c r="F10" s="397"/>
      <c r="G10" s="397"/>
      <c r="H10" s="1969">
        <f>H28+H234+H437</f>
        <v>35996.29</v>
      </c>
      <c r="I10" s="1969">
        <f t="shared" ref="I10:V10" si="5">I28+I234+I437</f>
        <v>32754.309999999998</v>
      </c>
      <c r="J10" s="1969">
        <f t="shared" si="5"/>
        <v>49744.23</v>
      </c>
      <c r="K10" s="1969">
        <f t="shared" si="5"/>
        <v>47567.03</v>
      </c>
      <c r="L10" s="1969">
        <f t="shared" si="5"/>
        <v>51705.159999999996</v>
      </c>
      <c r="M10" s="1969">
        <f t="shared" si="5"/>
        <v>50725.26</v>
      </c>
      <c r="N10" s="1969">
        <f t="shared" si="5"/>
        <v>49661.1</v>
      </c>
      <c r="O10" s="1969">
        <f t="shared" si="5"/>
        <v>55594.59</v>
      </c>
      <c r="P10" s="1969">
        <f t="shared" si="5"/>
        <v>54216.320000000007</v>
      </c>
      <c r="Q10" s="1969">
        <f t="shared" si="5"/>
        <v>53397.13</v>
      </c>
      <c r="R10" s="1969">
        <f t="shared" si="5"/>
        <v>55612.299999999996</v>
      </c>
      <c r="S10" s="1969">
        <f t="shared" si="5"/>
        <v>49791.600000000013</v>
      </c>
      <c r="T10" s="1969">
        <f t="shared" si="5"/>
        <v>46676.609999999993</v>
      </c>
      <c r="U10" s="1969">
        <f t="shared" si="5"/>
        <v>72847.47</v>
      </c>
      <c r="V10" s="1969">
        <f t="shared" si="5"/>
        <v>43574.7</v>
      </c>
    </row>
    <row r="11" spans="1:22" ht="13.5" thickBot="1">
      <c r="A11" s="1205" t="s">
        <v>47</v>
      </c>
      <c r="B11" s="397"/>
      <c r="C11" s="397"/>
      <c r="D11" s="397"/>
      <c r="E11" s="397"/>
      <c r="F11" s="397"/>
      <c r="G11" s="397"/>
      <c r="H11" s="1969">
        <f>H29+H235+H438</f>
        <v>41630.218999999997</v>
      </c>
      <c r="I11" s="1969">
        <f t="shared" ref="I11:V11" si="6">I29+I235+I438</f>
        <v>66986.673999999999</v>
      </c>
      <c r="J11" s="1969">
        <f t="shared" si="6"/>
        <v>137747.41099999999</v>
      </c>
      <c r="K11" s="1969">
        <f t="shared" si="6"/>
        <v>150424.05100000001</v>
      </c>
      <c r="L11" s="1969">
        <f t="shared" si="6"/>
        <v>185853.64600000001</v>
      </c>
      <c r="M11" s="1969">
        <f t="shared" si="6"/>
        <v>196587.33999999997</v>
      </c>
      <c r="N11" s="1969">
        <f t="shared" si="6"/>
        <v>179245.81599999996</v>
      </c>
      <c r="O11" s="1969">
        <f t="shared" si="6"/>
        <v>184800.58599999998</v>
      </c>
      <c r="P11" s="1969">
        <f t="shared" si="6"/>
        <v>189209.33466666663</v>
      </c>
      <c r="Q11" s="1969">
        <f t="shared" si="6"/>
        <v>219454.06233333331</v>
      </c>
      <c r="R11" s="1969">
        <f t="shared" si="6"/>
        <v>351048.95733333332</v>
      </c>
      <c r="S11" s="1969">
        <f t="shared" si="6"/>
        <v>381113.41116666666</v>
      </c>
      <c r="T11" s="1969">
        <f t="shared" si="6"/>
        <v>379221.88416666666</v>
      </c>
      <c r="U11" s="1969">
        <f t="shared" si="6"/>
        <v>256737.2748333333</v>
      </c>
      <c r="V11" s="1969">
        <f t="shared" si="6"/>
        <v>277065.37583333335</v>
      </c>
    </row>
    <row r="12" spans="1:22" ht="18" customHeight="1" thickBot="1">
      <c r="A12" s="1891" t="s">
        <v>8</v>
      </c>
      <c r="B12" s="1979"/>
      <c r="C12" s="1979"/>
      <c r="D12" s="1979"/>
      <c r="E12" s="1979"/>
      <c r="F12" s="1979"/>
      <c r="G12" s="1979"/>
      <c r="H12" s="1970">
        <f>SUM(H8:H11)</f>
        <v>696080.74900000019</v>
      </c>
      <c r="I12" s="1970">
        <f t="shared" ref="I12:S12" si="7">SUM(I8:I11)</f>
        <v>767911.62400000019</v>
      </c>
      <c r="J12" s="1970">
        <f t="shared" si="7"/>
        <v>858417.951</v>
      </c>
      <c r="K12" s="1970">
        <f t="shared" si="7"/>
        <v>899682.41400000011</v>
      </c>
      <c r="L12" s="1970">
        <f t="shared" si="7"/>
        <v>905436.73600000003</v>
      </c>
      <c r="M12" s="1970">
        <f t="shared" si="7"/>
        <v>925406.35</v>
      </c>
      <c r="N12" s="1970">
        <f t="shared" si="7"/>
        <v>901458.75600000005</v>
      </c>
      <c r="O12" s="1970">
        <f t="shared" si="7"/>
        <v>871211.37600000016</v>
      </c>
      <c r="P12" s="1970">
        <f t="shared" si="7"/>
        <v>871721.34466666658</v>
      </c>
      <c r="Q12" s="1970">
        <f t="shared" si="7"/>
        <v>921424.23233333335</v>
      </c>
      <c r="R12" s="1970">
        <f t="shared" si="7"/>
        <v>974499.59733333346</v>
      </c>
      <c r="S12" s="1970">
        <f t="shared" si="7"/>
        <v>1085394.9111666665</v>
      </c>
      <c r="T12" s="1970">
        <f>SUM(T8:T11)</f>
        <v>1073320.9441666666</v>
      </c>
      <c r="U12" s="1970">
        <f>SUM(U8:U11)</f>
        <v>928346.55483333336</v>
      </c>
      <c r="V12" s="1970">
        <f>SUM(V8:V11)</f>
        <v>1009761.7358333332</v>
      </c>
    </row>
    <row r="13" spans="1:22">
      <c r="A13" s="395" t="s">
        <v>993</v>
      </c>
      <c r="I13" s="1965">
        <f t="shared" ref="I13:S13" si="8">(I8/H8)*100-100</f>
        <v>5.6006882491996635</v>
      </c>
      <c r="J13" s="1965">
        <f t="shared" si="8"/>
        <v>5.2656822909792851</v>
      </c>
      <c r="K13" s="1965">
        <f t="shared" si="8"/>
        <v>3.0304747442370115</v>
      </c>
      <c r="L13" s="1965">
        <f t="shared" si="8"/>
        <v>-5.5064110710314509</v>
      </c>
      <c r="M13" s="1965">
        <f t="shared" si="8"/>
        <v>0.21126223188335302</v>
      </c>
      <c r="N13" s="1965">
        <f t="shared" si="8"/>
        <v>-3.2022562889864048E-3</v>
      </c>
      <c r="O13" s="1965">
        <f t="shared" si="8"/>
        <v>-8.4682568283867568</v>
      </c>
      <c r="P13" s="1965">
        <f t="shared" si="8"/>
        <v>6.3607806058987109</v>
      </c>
      <c r="Q13" s="1965">
        <f t="shared" si="8"/>
        <v>2.1480827066101824</v>
      </c>
      <c r="R13" s="1965">
        <f t="shared" si="8"/>
        <v>-18.543370252550687</v>
      </c>
      <c r="S13" s="1965">
        <f t="shared" si="8"/>
        <v>6.3230757649580056</v>
      </c>
      <c r="T13" s="1965">
        <f t="shared" ref="T13:V14" si="9">(T8/S8)*100-100</f>
        <v>4.0681314165321254</v>
      </c>
      <c r="U13" s="1965">
        <f t="shared" si="9"/>
        <v>-8.7757096111104431</v>
      </c>
      <c r="V13" s="1965">
        <f t="shared" si="9"/>
        <v>3.4793088725967323</v>
      </c>
    </row>
    <row r="14" spans="1:22">
      <c r="A14" s="395" t="s">
        <v>994</v>
      </c>
      <c r="I14" s="1965">
        <f t="shared" ref="I14:S14" si="10">(I9/H9)*100-100</f>
        <v>11.733817724019985</v>
      </c>
      <c r="J14" s="1965">
        <f t="shared" si="10"/>
        <v>-6.5390070607012376</v>
      </c>
      <c r="K14" s="1965">
        <f t="shared" si="10"/>
        <v>7.0939974261323755</v>
      </c>
      <c r="L14" s="1965">
        <f t="shared" si="10"/>
        <v>-3.7517236028722891</v>
      </c>
      <c r="M14" s="1965">
        <f t="shared" si="10"/>
        <v>3.5383688028109503</v>
      </c>
      <c r="N14" s="1965">
        <f t="shared" si="10"/>
        <v>-2.0178452354305705</v>
      </c>
      <c r="O14" s="1965">
        <f t="shared" si="10"/>
        <v>-2.8000217525152351</v>
      </c>
      <c r="P14" s="1965">
        <f t="shared" si="10"/>
        <v>-9.981102275908313</v>
      </c>
      <c r="Q14" s="1965">
        <f t="shared" si="10"/>
        <v>5.0347252892830312</v>
      </c>
      <c r="R14" s="1965">
        <f t="shared" si="10"/>
        <v>-2.5212771196011232</v>
      </c>
      <c r="S14" s="1965">
        <f t="shared" si="10"/>
        <v>27.422079344878171</v>
      </c>
      <c r="T14" s="1965">
        <f t="shared" si="9"/>
        <v>-6.9256857455996936</v>
      </c>
      <c r="U14" s="1965">
        <f t="shared" si="9"/>
        <v>-5.9166838126489978</v>
      </c>
      <c r="V14" s="1965">
        <f t="shared" si="9"/>
        <v>29.386531933010076</v>
      </c>
    </row>
    <row r="15" spans="1:22">
      <c r="A15" s="395" t="s">
        <v>995</v>
      </c>
      <c r="I15" s="1965">
        <f t="shared" ref="I15:S15" si="11">(I11/H11)*100-100</f>
        <v>60.908771582489152</v>
      </c>
      <c r="J15" s="1965">
        <f t="shared" si="11"/>
        <v>105.63405043815129</v>
      </c>
      <c r="K15" s="1965">
        <f t="shared" si="11"/>
        <v>9.2028154344040729</v>
      </c>
      <c r="L15" s="1965">
        <f t="shared" si="11"/>
        <v>23.553145101776309</v>
      </c>
      <c r="M15" s="1965">
        <f t="shared" si="11"/>
        <v>5.7753475549249913</v>
      </c>
      <c r="N15" s="1965">
        <f t="shared" si="11"/>
        <v>-8.8212821842952849</v>
      </c>
      <c r="O15" s="1965">
        <f t="shared" si="11"/>
        <v>3.098967732669422</v>
      </c>
      <c r="P15" s="1965">
        <f t="shared" si="11"/>
        <v>2.38567894295889</v>
      </c>
      <c r="Q15" s="1965">
        <f t="shared" si="11"/>
        <v>15.984796796600605</v>
      </c>
      <c r="R15" s="1965">
        <f t="shared" si="11"/>
        <v>59.964665771425928</v>
      </c>
      <c r="S15" s="1965">
        <f t="shared" si="11"/>
        <v>8.5641769346678416</v>
      </c>
      <c r="T15" s="1965">
        <f>(T11/S11)*100-100</f>
        <v>-0.49631604256845208</v>
      </c>
      <c r="U15" s="1965">
        <f>(U11/T11)*100-100</f>
        <v>-32.298929583795271</v>
      </c>
      <c r="V15" s="1965">
        <f>(V11/U11)*100-100</f>
        <v>7.9178611727480899</v>
      </c>
    </row>
    <row r="19" spans="1:23">
      <c r="A19" s="3152" t="s">
        <v>7097</v>
      </c>
      <c r="B19" s="3152"/>
      <c r="C19" s="1981"/>
      <c r="D19" s="1981"/>
      <c r="E19" s="1981"/>
      <c r="F19" s="1981"/>
      <c r="G19" s="1981"/>
    </row>
    <row r="20" spans="1:23" ht="13.5" thickBot="1">
      <c r="A20" s="1966"/>
      <c r="B20" s="1966"/>
      <c r="C20" s="1966"/>
      <c r="D20" s="1966"/>
      <c r="E20" s="1966"/>
      <c r="F20" s="1966"/>
      <c r="G20" s="1966"/>
    </row>
    <row r="21" spans="1:23" ht="18" customHeight="1" thickBot="1">
      <c r="A21" s="1886"/>
      <c r="B21" s="1887"/>
      <c r="C21" s="1967">
        <v>2002</v>
      </c>
      <c r="D21" s="1967">
        <v>2003</v>
      </c>
      <c r="E21" s="1967">
        <v>2004</v>
      </c>
      <c r="F21" s="1967">
        <v>2005</v>
      </c>
      <c r="G21" s="1967">
        <v>2006</v>
      </c>
      <c r="H21" s="1967">
        <v>2007</v>
      </c>
      <c r="I21" s="1967">
        <v>2008</v>
      </c>
      <c r="J21" s="1967">
        <v>2009</v>
      </c>
      <c r="K21" s="1967">
        <v>2010</v>
      </c>
      <c r="L21" s="1967">
        <v>2011</v>
      </c>
      <c r="M21" s="1967">
        <v>2012</v>
      </c>
      <c r="N21" s="1967">
        <v>2013</v>
      </c>
      <c r="O21" s="1967">
        <v>2014</v>
      </c>
      <c r="P21" s="1967">
        <v>2015</v>
      </c>
      <c r="Q21" s="1967">
        <v>2016</v>
      </c>
      <c r="R21" s="1967">
        <v>2017</v>
      </c>
      <c r="S21" s="1967">
        <v>2018</v>
      </c>
      <c r="T21" s="1967">
        <v>2019</v>
      </c>
      <c r="U21" s="1967">
        <v>2020</v>
      </c>
      <c r="V21" s="3046">
        <v>2021</v>
      </c>
      <c r="W21" s="395"/>
    </row>
    <row r="22" spans="1:23">
      <c r="A22" s="1205" t="s">
        <v>986</v>
      </c>
      <c r="B22" s="397"/>
      <c r="C22" s="1969">
        <f>C135</f>
        <v>302230.53000000003</v>
      </c>
      <c r="D22" s="1969">
        <f>D135</f>
        <v>317592.054</v>
      </c>
      <c r="E22" s="1969">
        <f>E135</f>
        <v>326029.76</v>
      </c>
      <c r="F22" s="1969">
        <f>F135</f>
        <v>315336.93799999997</v>
      </c>
      <c r="G22" s="1969">
        <f>G135</f>
        <v>311589.99800000002</v>
      </c>
      <c r="H22" s="1969">
        <f t="shared" ref="H22:S22" si="12">M135</f>
        <v>417579.64900000003</v>
      </c>
      <c r="I22" s="1969">
        <f t="shared" si="12"/>
        <v>448001.32500000007</v>
      </c>
      <c r="J22" s="1969">
        <f t="shared" si="12"/>
        <v>454704.5450000001</v>
      </c>
      <c r="K22" s="1969">
        <f t="shared" si="12"/>
        <v>450970.33399999997</v>
      </c>
      <c r="L22" s="1969">
        <f t="shared" si="12"/>
        <v>425238.89599999989</v>
      </c>
      <c r="M22" s="1969">
        <f t="shared" si="12"/>
        <v>435545.47</v>
      </c>
      <c r="N22" s="1969">
        <f t="shared" si="12"/>
        <v>420598.38000000006</v>
      </c>
      <c r="O22" s="1969">
        <f t="shared" si="12"/>
        <v>409231.98800000007</v>
      </c>
      <c r="P22" s="1969">
        <f t="shared" si="12"/>
        <v>426197.50399999996</v>
      </c>
      <c r="Q22" s="1969">
        <f t="shared" si="12"/>
        <v>446103.15299999993</v>
      </c>
      <c r="R22" s="1969">
        <f t="shared" si="12"/>
        <v>336683.788</v>
      </c>
      <c r="S22" s="1969">
        <f t="shared" si="12"/>
        <v>371979.53</v>
      </c>
      <c r="T22" s="1969">
        <f>Y135</f>
        <v>357563.21600000001</v>
      </c>
      <c r="U22" s="1969">
        <f>Z135</f>
        <v>318453.26600000006</v>
      </c>
      <c r="V22" s="1969">
        <f>AA135</f>
        <v>345521.47199999995</v>
      </c>
      <c r="W22" s="395"/>
    </row>
    <row r="23" spans="1:23">
      <c r="A23" s="1205" t="s">
        <v>1976</v>
      </c>
      <c r="B23" s="397"/>
      <c r="C23" s="1969">
        <f>C222</f>
        <v>139091.56</v>
      </c>
      <c r="D23" s="1969">
        <f>D222</f>
        <v>134893.47999999998</v>
      </c>
      <c r="E23" s="1969">
        <f>E222</f>
        <v>137212</v>
      </c>
      <c r="F23" s="1969">
        <f>F222</f>
        <v>135136.44</v>
      </c>
      <c r="G23" s="1969">
        <f>G222</f>
        <v>131485.45000000001</v>
      </c>
      <c r="H23" s="1969">
        <f t="shared" ref="H23:S23" si="13">M222</f>
        <v>126435.19</v>
      </c>
      <c r="I23" s="1969">
        <f t="shared" si="13"/>
        <v>122712.64</v>
      </c>
      <c r="J23" s="1969">
        <f t="shared" si="13"/>
        <v>127833.65</v>
      </c>
      <c r="K23" s="1969">
        <f t="shared" si="13"/>
        <v>126258.44</v>
      </c>
      <c r="L23" s="1969">
        <f t="shared" si="13"/>
        <v>121011.29000000001</v>
      </c>
      <c r="M23" s="1969">
        <f t="shared" si="13"/>
        <v>139105.24</v>
      </c>
      <c r="N23" s="1969">
        <f t="shared" si="13"/>
        <v>139891.91999999998</v>
      </c>
      <c r="O23" s="1969">
        <f t="shared" si="13"/>
        <v>123219.1</v>
      </c>
      <c r="P23" s="1969">
        <f t="shared" si="13"/>
        <v>123407.98000000001</v>
      </c>
      <c r="Q23" s="1969">
        <f t="shared" si="13"/>
        <v>125151.64</v>
      </c>
      <c r="R23" s="1969">
        <f t="shared" si="13"/>
        <v>105643.3</v>
      </c>
      <c r="S23" s="1969">
        <f t="shared" si="13"/>
        <v>52731.86</v>
      </c>
      <c r="T23" s="1969">
        <f>Y222</f>
        <v>56289.99</v>
      </c>
      <c r="U23" s="1969">
        <f>Z222</f>
        <v>31829.55</v>
      </c>
      <c r="V23" s="1969">
        <f>AA222</f>
        <v>40155.699999999997</v>
      </c>
      <c r="W23" s="395"/>
    </row>
    <row r="24" spans="1:23">
      <c r="A24" s="1205" t="s">
        <v>1977</v>
      </c>
      <c r="B24" s="397"/>
      <c r="C24" s="1969">
        <f t="shared" ref="C24:H24" si="14">C23-C22</f>
        <v>-163138.97000000003</v>
      </c>
      <c r="D24" s="1969">
        <f t="shared" si="14"/>
        <v>-182698.57400000002</v>
      </c>
      <c r="E24" s="1969">
        <f t="shared" si="14"/>
        <v>-188817.76</v>
      </c>
      <c r="F24" s="1969">
        <f t="shared" si="14"/>
        <v>-180200.49799999996</v>
      </c>
      <c r="G24" s="1969">
        <f t="shared" si="14"/>
        <v>-180104.54800000001</v>
      </c>
      <c r="H24" s="1969">
        <f t="shared" si="14"/>
        <v>-291144.45900000003</v>
      </c>
      <c r="I24" s="1969">
        <f t="shared" ref="I24:S24" si="15">I23-I22</f>
        <v>-325288.68500000006</v>
      </c>
      <c r="J24" s="1969">
        <f t="shared" si="15"/>
        <v>-326870.89500000014</v>
      </c>
      <c r="K24" s="1969">
        <f t="shared" si="15"/>
        <v>-324711.89399999997</v>
      </c>
      <c r="L24" s="1969">
        <f t="shared" si="15"/>
        <v>-304227.60599999991</v>
      </c>
      <c r="M24" s="1969">
        <f t="shared" si="15"/>
        <v>-296440.23</v>
      </c>
      <c r="N24" s="1969">
        <f t="shared" si="15"/>
        <v>-280706.46000000008</v>
      </c>
      <c r="O24" s="1969">
        <f t="shared" si="15"/>
        <v>-286012.88800000004</v>
      </c>
      <c r="P24" s="1969">
        <f t="shared" si="15"/>
        <v>-302789.52399999998</v>
      </c>
      <c r="Q24" s="1969">
        <f t="shared" si="15"/>
        <v>-320951.51299999992</v>
      </c>
      <c r="R24" s="1969">
        <f t="shared" si="15"/>
        <v>-231040.48800000001</v>
      </c>
      <c r="S24" s="1969">
        <f t="shared" si="15"/>
        <v>-319247.67000000004</v>
      </c>
      <c r="T24" s="1969">
        <f>T23-T22</f>
        <v>-301273.22600000002</v>
      </c>
      <c r="U24" s="1969">
        <f>U23-U22</f>
        <v>-286623.71600000007</v>
      </c>
      <c r="V24" s="1969">
        <f>V23-V22</f>
        <v>-305365.77199999994</v>
      </c>
      <c r="W24" s="395"/>
    </row>
    <row r="25" spans="1:23">
      <c r="A25" s="1205"/>
      <c r="B25" s="397"/>
      <c r="C25" s="397"/>
      <c r="D25" s="397"/>
      <c r="E25" s="397"/>
      <c r="F25" s="397"/>
      <c r="G25" s="397"/>
      <c r="H25" s="1969"/>
      <c r="I25" s="1969"/>
      <c r="J25" s="1969"/>
      <c r="K25" s="1969"/>
      <c r="L25" s="1969"/>
      <c r="M25" s="1969"/>
      <c r="N25" s="1969"/>
      <c r="O25" s="1969"/>
      <c r="P25" s="1969"/>
      <c r="Q25" s="1969"/>
      <c r="R25" s="1969"/>
      <c r="S25" s="1969"/>
      <c r="T25" s="1969"/>
      <c r="U25" s="1969"/>
      <c r="V25" s="1969"/>
      <c r="W25" s="395"/>
    </row>
    <row r="26" spans="1:23">
      <c r="A26" s="1205" t="s">
        <v>989</v>
      </c>
      <c r="B26" s="397"/>
      <c r="C26" s="1969">
        <f>C76</f>
        <v>204449.2</v>
      </c>
      <c r="D26" s="1969">
        <f>D76</f>
        <v>211961.34</v>
      </c>
      <c r="E26" s="1969">
        <f>E76</f>
        <v>224681.68999999997</v>
      </c>
      <c r="F26" s="1969">
        <f>F76</f>
        <v>229342.13999999998</v>
      </c>
      <c r="G26" s="1969">
        <f>G76</f>
        <v>229038.71000000002</v>
      </c>
      <c r="H26" s="1969">
        <f t="shared" ref="H26:S26" si="16">M76</f>
        <v>238910.81000000003</v>
      </c>
      <c r="I26" s="1969">
        <f t="shared" si="16"/>
        <v>251313.93000000005</v>
      </c>
      <c r="J26" s="1969">
        <f t="shared" si="16"/>
        <v>267052.09000000008</v>
      </c>
      <c r="K26" s="1969">
        <f t="shared" si="16"/>
        <v>262489.55</v>
      </c>
      <c r="L26" s="1969">
        <f t="shared" si="16"/>
        <v>226451.71999999997</v>
      </c>
      <c r="M26" s="1969">
        <f t="shared" si="16"/>
        <v>231920.97</v>
      </c>
      <c r="N26" s="1969">
        <f t="shared" si="16"/>
        <v>223038.82</v>
      </c>
      <c r="O26" s="1969">
        <f t="shared" si="16"/>
        <v>237971.83000000005</v>
      </c>
      <c r="P26" s="1969">
        <f t="shared" si="16"/>
        <v>262179.27</v>
      </c>
      <c r="Q26" s="1969">
        <f t="shared" si="16"/>
        <v>267597.84999999998</v>
      </c>
      <c r="R26" s="1969">
        <f t="shared" si="16"/>
        <v>184693.73999999996</v>
      </c>
      <c r="S26" s="1969">
        <f t="shared" si="16"/>
        <v>214788.15</v>
      </c>
      <c r="T26" s="1969">
        <f>Y76</f>
        <v>225526.93999999997</v>
      </c>
      <c r="U26" s="1969">
        <f>Z76</f>
        <v>196467.49000000002</v>
      </c>
      <c r="V26" s="1969">
        <f>AA76</f>
        <v>199442.81</v>
      </c>
      <c r="W26" s="395"/>
    </row>
    <row r="27" spans="1:23">
      <c r="A27" s="1205" t="s">
        <v>990</v>
      </c>
      <c r="B27" s="397"/>
      <c r="C27" s="1969">
        <f>C124</f>
        <v>35682.15</v>
      </c>
      <c r="D27" s="1969">
        <f>D124</f>
        <v>49878.28</v>
      </c>
      <c r="E27" s="1969">
        <f>E124</f>
        <v>47013.310000000005</v>
      </c>
      <c r="F27" s="1969">
        <f>F124</f>
        <v>39252.389999999992</v>
      </c>
      <c r="G27" s="1969">
        <f>G124</f>
        <v>42181.94000000001</v>
      </c>
      <c r="H27" s="1969">
        <f t="shared" ref="H27:S27" si="17">M124</f>
        <v>136293.82000000004</v>
      </c>
      <c r="I27" s="1969">
        <f t="shared" si="17"/>
        <v>153683.63000000003</v>
      </c>
      <c r="J27" s="1969">
        <f t="shared" si="17"/>
        <v>136172.64000000001</v>
      </c>
      <c r="K27" s="1969">
        <f t="shared" si="17"/>
        <v>142242.73299999998</v>
      </c>
      <c r="L27" s="1969">
        <f t="shared" si="17"/>
        <v>140631.55999999997</v>
      </c>
      <c r="M27" s="1969">
        <f t="shared" si="17"/>
        <v>147971.57999999999</v>
      </c>
      <c r="N27" s="1969">
        <f t="shared" si="17"/>
        <v>151878.26000000004</v>
      </c>
      <c r="O27" s="1969">
        <f t="shared" si="17"/>
        <v>130932.05000000002</v>
      </c>
      <c r="P27" s="1969">
        <f t="shared" si="17"/>
        <v>121325.08999999998</v>
      </c>
      <c r="Q27" s="1969">
        <f t="shared" si="17"/>
        <v>124180.12999999999</v>
      </c>
      <c r="R27" s="1969">
        <f t="shared" si="17"/>
        <v>109999.76000000002</v>
      </c>
      <c r="S27" s="1969">
        <f t="shared" si="17"/>
        <v>117920.25000000001</v>
      </c>
      <c r="T27" s="1969">
        <f>Y124</f>
        <v>94570.210000000021</v>
      </c>
      <c r="U27" s="1969">
        <f>Z124</f>
        <v>88039.290000000008</v>
      </c>
      <c r="V27" s="1969">
        <f>AA124</f>
        <v>128575.76</v>
      </c>
      <c r="W27" s="395"/>
    </row>
    <row r="28" spans="1:23">
      <c r="A28" s="1205" t="s">
        <v>991</v>
      </c>
      <c r="B28" s="397"/>
      <c r="C28" s="1969">
        <f>C129</f>
        <v>1031.22</v>
      </c>
      <c r="D28" s="1969">
        <f>D129</f>
        <v>753.54</v>
      </c>
      <c r="E28" s="1969">
        <f>E129</f>
        <v>1108.8800000000001</v>
      </c>
      <c r="F28" s="1969">
        <f>F129</f>
        <v>874.15</v>
      </c>
      <c r="G28" s="1969">
        <f>G129</f>
        <v>791.35</v>
      </c>
      <c r="H28" s="1969">
        <f t="shared" ref="H28:S28" si="18">M129</f>
        <v>744.8</v>
      </c>
      <c r="I28" s="1969">
        <f t="shared" si="18"/>
        <v>744.8</v>
      </c>
      <c r="J28" s="1969">
        <f t="shared" si="18"/>
        <v>605.15</v>
      </c>
      <c r="K28" s="1969">
        <f t="shared" si="18"/>
        <v>605.15</v>
      </c>
      <c r="L28" s="1969">
        <f t="shared" si="18"/>
        <v>558.6</v>
      </c>
      <c r="M28" s="1969">
        <f t="shared" si="18"/>
        <v>647.1</v>
      </c>
      <c r="N28" s="1969">
        <f t="shared" si="18"/>
        <v>52</v>
      </c>
      <c r="O28" s="1969">
        <f t="shared" si="18"/>
        <v>332.61</v>
      </c>
      <c r="P28" s="1969">
        <f t="shared" si="18"/>
        <v>401.81</v>
      </c>
      <c r="Q28" s="1969">
        <f t="shared" si="18"/>
        <v>450.42</v>
      </c>
      <c r="R28" s="1969">
        <f t="shared" si="18"/>
        <v>435.45</v>
      </c>
      <c r="S28" s="1969">
        <f t="shared" si="18"/>
        <v>501.48</v>
      </c>
      <c r="T28" s="1969">
        <f>Y129</f>
        <v>305.13</v>
      </c>
      <c r="U28" s="1969">
        <f>Z129</f>
        <v>272.33</v>
      </c>
      <c r="V28" s="1969">
        <f>AA129</f>
        <v>271.97000000000003</v>
      </c>
      <c r="W28" s="395"/>
    </row>
    <row r="29" spans="1:23" ht="13.5" thickBot="1">
      <c r="A29" s="1205" t="s">
        <v>47</v>
      </c>
      <c r="B29" s="397"/>
      <c r="C29" s="1969">
        <f>C134</f>
        <v>61067.96</v>
      </c>
      <c r="D29" s="1969">
        <f>D134</f>
        <v>54998.894</v>
      </c>
      <c r="E29" s="1969">
        <f>E134</f>
        <v>53225.880000000005</v>
      </c>
      <c r="F29" s="1969">
        <f>F134</f>
        <v>45868.258000000002</v>
      </c>
      <c r="G29" s="1969">
        <f>G134</f>
        <v>39577.998</v>
      </c>
      <c r="H29" s="1969">
        <f t="shared" ref="H29:S29" si="19">M134</f>
        <v>41630.218999999997</v>
      </c>
      <c r="I29" s="1969">
        <f t="shared" si="19"/>
        <v>42258.964999999997</v>
      </c>
      <c r="J29" s="1969">
        <f t="shared" si="19"/>
        <v>50874.665000000001</v>
      </c>
      <c r="K29" s="1969">
        <f t="shared" si="19"/>
        <v>45632.901000000005</v>
      </c>
      <c r="L29" s="1969">
        <f t="shared" si="19"/>
        <v>57597.016000000003</v>
      </c>
      <c r="M29" s="1969">
        <f t="shared" si="19"/>
        <v>55005.819999999992</v>
      </c>
      <c r="N29" s="1969">
        <f t="shared" si="19"/>
        <v>45629.299999999996</v>
      </c>
      <c r="O29" s="1969">
        <f t="shared" si="19"/>
        <v>39995.498</v>
      </c>
      <c r="P29" s="1969">
        <f t="shared" si="19"/>
        <v>42291.334000000003</v>
      </c>
      <c r="Q29" s="1969">
        <f t="shared" si="19"/>
        <v>53874.752999999997</v>
      </c>
      <c r="R29" s="1969">
        <f t="shared" si="19"/>
        <v>41554.837999999996</v>
      </c>
      <c r="S29" s="1969">
        <f t="shared" si="19"/>
        <v>38769.649999999994</v>
      </c>
      <c r="T29" s="1969">
        <f>Y134</f>
        <v>37160.936000000002</v>
      </c>
      <c r="U29" s="1969">
        <f>Z134</f>
        <v>33674.156000000003</v>
      </c>
      <c r="V29" s="1969">
        <f>AA134</f>
        <v>17230.932000000001</v>
      </c>
      <c r="W29" s="395"/>
    </row>
    <row r="30" spans="1:23" ht="18" customHeight="1" thickBot="1">
      <c r="A30" s="1891" t="s">
        <v>8</v>
      </c>
      <c r="B30" s="1979"/>
      <c r="C30" s="1970">
        <f t="shared" ref="C30:H30" si="20">SUM(C26:C29)</f>
        <v>302230.53000000003</v>
      </c>
      <c r="D30" s="1970">
        <f t="shared" si="20"/>
        <v>317592.054</v>
      </c>
      <c r="E30" s="1970">
        <f t="shared" si="20"/>
        <v>326029.76</v>
      </c>
      <c r="F30" s="1970">
        <f t="shared" si="20"/>
        <v>315336.93799999997</v>
      </c>
      <c r="G30" s="1970">
        <f t="shared" si="20"/>
        <v>311589.99800000002</v>
      </c>
      <c r="H30" s="1970">
        <f t="shared" si="20"/>
        <v>417579.64900000003</v>
      </c>
      <c r="I30" s="1970">
        <f t="shared" ref="I30:S30" si="21">SUM(I26:I29)</f>
        <v>448001.32500000007</v>
      </c>
      <c r="J30" s="1970">
        <f t="shared" si="21"/>
        <v>454704.5450000001</v>
      </c>
      <c r="K30" s="1970">
        <f t="shared" si="21"/>
        <v>450970.33399999997</v>
      </c>
      <c r="L30" s="1970">
        <f t="shared" si="21"/>
        <v>425238.89599999989</v>
      </c>
      <c r="M30" s="1970">
        <f t="shared" si="21"/>
        <v>435545.47</v>
      </c>
      <c r="N30" s="1970">
        <f t="shared" si="21"/>
        <v>420598.38000000006</v>
      </c>
      <c r="O30" s="1970">
        <f t="shared" si="21"/>
        <v>409231.98800000007</v>
      </c>
      <c r="P30" s="1970">
        <f t="shared" si="21"/>
        <v>426197.50399999996</v>
      </c>
      <c r="Q30" s="1970">
        <f t="shared" si="21"/>
        <v>446103.15299999993</v>
      </c>
      <c r="R30" s="1970">
        <f t="shared" si="21"/>
        <v>336683.788</v>
      </c>
      <c r="S30" s="1983">
        <f t="shared" si="21"/>
        <v>371979.53</v>
      </c>
      <c r="T30" s="1983">
        <f>SUM(T26:T29)</f>
        <v>357563.21600000001</v>
      </c>
      <c r="U30" s="1983">
        <f>SUM(U26:U29)</f>
        <v>318453.26600000006</v>
      </c>
      <c r="V30" s="1983">
        <f>SUM(V26:V29)</f>
        <v>345521.47199999995</v>
      </c>
      <c r="W30" s="395"/>
    </row>
    <row r="31" spans="1:23">
      <c r="A31" s="395" t="s">
        <v>993</v>
      </c>
      <c r="D31" s="1965">
        <f t="shared" ref="D31:S31" si="22">(D26/C26)*100-100</f>
        <v>3.6743308362174929</v>
      </c>
      <c r="E31" s="1965">
        <f t="shared" si="22"/>
        <v>6.0012594749589567</v>
      </c>
      <c r="F31" s="1965">
        <f t="shared" si="22"/>
        <v>2.0742455693652602</v>
      </c>
      <c r="G31" s="1965">
        <f t="shared" si="22"/>
        <v>-0.13230451237612328</v>
      </c>
      <c r="H31" s="1965">
        <f t="shared" si="22"/>
        <v>4.3102321000672674</v>
      </c>
      <c r="I31" s="1965">
        <f t="shared" si="22"/>
        <v>5.1915273318942781</v>
      </c>
      <c r="J31" s="1965">
        <f t="shared" si="22"/>
        <v>6.262350837456566</v>
      </c>
      <c r="K31" s="1965">
        <f t="shared" si="22"/>
        <v>-1.708483165213238</v>
      </c>
      <c r="L31" s="1965">
        <f t="shared" si="22"/>
        <v>-13.729243697511023</v>
      </c>
      <c r="M31" s="1965">
        <f t="shared" si="22"/>
        <v>2.4151947267170328</v>
      </c>
      <c r="N31" s="1965">
        <f t="shared" si="22"/>
        <v>-3.8298175451749756</v>
      </c>
      <c r="O31" s="1965">
        <f t="shared" si="22"/>
        <v>6.6952515261693151</v>
      </c>
      <c r="P31" s="1965">
        <f t="shared" si="22"/>
        <v>10.172397295932029</v>
      </c>
      <c r="Q31" s="1965">
        <f t="shared" si="22"/>
        <v>2.066746161891416</v>
      </c>
      <c r="R31" s="1965">
        <f t="shared" si="22"/>
        <v>-30.980858030062649</v>
      </c>
      <c r="S31" s="1965">
        <f t="shared" si="22"/>
        <v>16.294223074371672</v>
      </c>
      <c r="T31" s="1965">
        <f t="shared" ref="T31:V32" si="23">(T26/S26)*100-100</f>
        <v>4.999712507417172</v>
      </c>
      <c r="U31" s="1965">
        <f t="shared" si="23"/>
        <v>-12.885134698320272</v>
      </c>
      <c r="V31" s="1965">
        <f t="shared" si="23"/>
        <v>1.5144083125406667</v>
      </c>
      <c r="W31" s="395"/>
    </row>
    <row r="32" spans="1:23">
      <c r="A32" s="395" t="s">
        <v>994</v>
      </c>
      <c r="D32" s="1965">
        <f t="shared" ref="D32:S32" si="24">(D27/C27)*100-100</f>
        <v>39.784962509265824</v>
      </c>
      <c r="E32" s="1965">
        <f t="shared" si="24"/>
        <v>-5.7439230061661988</v>
      </c>
      <c r="F32" s="1965">
        <f t="shared" si="24"/>
        <v>-16.507920841991364</v>
      </c>
      <c r="G32" s="1965">
        <f t="shared" si="24"/>
        <v>7.4633671987871679</v>
      </c>
      <c r="H32" s="1965">
        <f t="shared" si="24"/>
        <v>223.10941602022098</v>
      </c>
      <c r="I32" s="1965">
        <f t="shared" si="24"/>
        <v>12.759059801831071</v>
      </c>
      <c r="J32" s="1965">
        <f t="shared" si="24"/>
        <v>-11.394180369112831</v>
      </c>
      <c r="K32" s="1965">
        <f t="shared" si="24"/>
        <v>4.4576450893512458</v>
      </c>
      <c r="L32" s="1965">
        <f t="shared" si="24"/>
        <v>-1.1326926627597942</v>
      </c>
      <c r="M32" s="1965">
        <f t="shared" si="24"/>
        <v>5.219326302005058</v>
      </c>
      <c r="N32" s="1965">
        <f t="shared" si="24"/>
        <v>2.6401556298851716</v>
      </c>
      <c r="O32" s="1965">
        <f t="shared" si="24"/>
        <v>-13.791447176179133</v>
      </c>
      <c r="P32" s="1965">
        <f t="shared" si="24"/>
        <v>-7.3373631589821144</v>
      </c>
      <c r="Q32" s="1965">
        <f t="shared" si="24"/>
        <v>2.3532148214355288</v>
      </c>
      <c r="R32" s="1965">
        <f t="shared" si="24"/>
        <v>-11.419194036920373</v>
      </c>
      <c r="S32" s="1965">
        <f t="shared" si="24"/>
        <v>7.200461164642519</v>
      </c>
      <c r="T32" s="1965">
        <f t="shared" si="23"/>
        <v>-19.801552320318166</v>
      </c>
      <c r="U32" s="1965">
        <f t="shared" si="23"/>
        <v>-6.9058956303470325</v>
      </c>
      <c r="V32" s="1965">
        <f t="shared" si="23"/>
        <v>46.043613027774285</v>
      </c>
      <c r="W32" s="395"/>
    </row>
    <row r="33" spans="1:34">
      <c r="A33" s="395" t="s">
        <v>995</v>
      </c>
      <c r="D33" s="1965">
        <f t="shared" ref="D33:S33" si="25">(D29/C29)*100-100</f>
        <v>-9.9382163740200298</v>
      </c>
      <c r="E33" s="1965">
        <f t="shared" si="25"/>
        <v>-3.2237266443939632</v>
      </c>
      <c r="F33" s="1965">
        <f t="shared" si="25"/>
        <v>-13.823391928888725</v>
      </c>
      <c r="G33" s="1965">
        <f t="shared" si="25"/>
        <v>-13.71375385566202</v>
      </c>
      <c r="H33" s="1965">
        <f t="shared" si="25"/>
        <v>5.1852572229651486</v>
      </c>
      <c r="I33" s="1965">
        <f t="shared" si="25"/>
        <v>1.5103115359542016</v>
      </c>
      <c r="J33" s="1965">
        <f t="shared" si="25"/>
        <v>20.38786326167714</v>
      </c>
      <c r="K33" s="1965">
        <f t="shared" si="25"/>
        <v>-10.303289466377805</v>
      </c>
      <c r="L33" s="1965">
        <f t="shared" si="25"/>
        <v>26.218177538175794</v>
      </c>
      <c r="M33" s="1965">
        <f t="shared" si="25"/>
        <v>-4.4988372314288085</v>
      </c>
      <c r="N33" s="1965">
        <f t="shared" si="25"/>
        <v>-17.046414361243961</v>
      </c>
      <c r="O33" s="1965">
        <f t="shared" si="25"/>
        <v>-12.346895525462799</v>
      </c>
      <c r="P33" s="1965">
        <f t="shared" si="25"/>
        <v>5.7402360635689718</v>
      </c>
      <c r="Q33" s="1965">
        <f t="shared" si="25"/>
        <v>27.389580569863313</v>
      </c>
      <c r="R33" s="1965">
        <f t="shared" si="25"/>
        <v>-22.867696488557456</v>
      </c>
      <c r="S33" s="1965">
        <f t="shared" si="25"/>
        <v>-6.7024397977438923</v>
      </c>
      <c r="T33" s="1965">
        <f>(T29/S29)*100-100</f>
        <v>-4.1494158446103881</v>
      </c>
      <c r="U33" s="1965">
        <f>(U29/T29)*100-100</f>
        <v>-9.3829175885128393</v>
      </c>
      <c r="V33" s="1965">
        <f>(V29/U29)*100-100</f>
        <v>-48.830396818260269</v>
      </c>
      <c r="W33" s="395"/>
    </row>
    <row r="35" spans="1:34">
      <c r="A35" s="1569" t="s">
        <v>7098</v>
      </c>
      <c r="B35" s="1569"/>
      <c r="C35" s="1569"/>
      <c r="D35" s="1569"/>
      <c r="E35" s="1569"/>
      <c r="F35" s="1569"/>
      <c r="G35" s="1569"/>
      <c r="H35" s="395"/>
      <c r="I35" s="395"/>
      <c r="J35" s="395"/>
      <c r="K35" s="395"/>
      <c r="L35" s="395"/>
      <c r="T35" s="395"/>
      <c r="U35" s="395"/>
      <c r="V35" s="395"/>
      <c r="AF35" s="395"/>
      <c r="AG35" s="395"/>
      <c r="AH35" s="395"/>
    </row>
    <row r="36" spans="1:34">
      <c r="A36" s="1633"/>
      <c r="B36" s="1633"/>
      <c r="C36" s="1633"/>
      <c r="D36" s="1633"/>
      <c r="E36" s="1633"/>
      <c r="F36" s="1633"/>
      <c r="G36" s="1633"/>
      <c r="H36" s="395"/>
      <c r="I36" s="395"/>
      <c r="J36" s="395"/>
      <c r="K36" s="395"/>
      <c r="L36" s="395"/>
      <c r="T36" s="395"/>
      <c r="U36" s="395"/>
      <c r="V36" s="395"/>
      <c r="AF36" s="395"/>
      <c r="AG36" s="395"/>
      <c r="AH36" s="395"/>
    </row>
    <row r="37" spans="1:34">
      <c r="A37" s="1989" t="s">
        <v>623</v>
      </c>
      <c r="B37" s="1991"/>
      <c r="C37" s="1990">
        <v>2002</v>
      </c>
      <c r="D37" s="1990">
        <v>2003</v>
      </c>
      <c r="E37" s="1990">
        <v>2004</v>
      </c>
      <c r="F37" s="1990">
        <v>2005</v>
      </c>
      <c r="G37" s="1990">
        <v>2006</v>
      </c>
      <c r="H37" s="1991" t="s">
        <v>1002</v>
      </c>
      <c r="I37" s="1991"/>
      <c r="J37" s="1991"/>
      <c r="K37" s="1991"/>
      <c r="L37" s="1991"/>
      <c r="M37" s="1990">
        <v>2007</v>
      </c>
      <c r="N37" s="1990">
        <v>2008</v>
      </c>
      <c r="O37" s="1991">
        <v>2009</v>
      </c>
      <c r="P37" s="1991">
        <v>2010</v>
      </c>
      <c r="Q37" s="1991">
        <v>2011</v>
      </c>
      <c r="R37" s="1991">
        <v>2012</v>
      </c>
      <c r="S37" s="1991">
        <v>2013</v>
      </c>
      <c r="T37" s="1991">
        <v>2014</v>
      </c>
      <c r="U37" s="1991">
        <v>2015</v>
      </c>
      <c r="V37" s="1991">
        <v>2016</v>
      </c>
      <c r="W37" s="1991">
        <v>2017</v>
      </c>
      <c r="X37" s="1991">
        <v>2018</v>
      </c>
      <c r="Y37" s="1991">
        <v>2019</v>
      </c>
      <c r="Z37" s="1991">
        <v>2020</v>
      </c>
      <c r="AA37" s="1991">
        <v>2021</v>
      </c>
      <c r="AB37" s="1992">
        <v>2022</v>
      </c>
      <c r="AC37" s="1973"/>
      <c r="AD37" s="1973"/>
      <c r="AE37" s="1973"/>
      <c r="AF37" s="1633"/>
      <c r="AG37" s="1633"/>
      <c r="AH37" s="1633"/>
    </row>
    <row r="38" spans="1:34">
      <c r="A38" s="1984" t="s">
        <v>1003</v>
      </c>
      <c r="B38" s="1985"/>
      <c r="C38" s="1985"/>
      <c r="D38" s="1985"/>
      <c r="E38" s="1985"/>
      <c r="F38" s="1985"/>
      <c r="G38" s="1985"/>
      <c r="H38" s="1986"/>
      <c r="I38" s="1986"/>
      <c r="J38" s="1986"/>
      <c r="K38" s="1986"/>
      <c r="L38" s="1986"/>
      <c r="M38" s="1987"/>
      <c r="N38" s="1987"/>
      <c r="O38" s="1986"/>
      <c r="P38" s="1986"/>
      <c r="Q38" s="1986"/>
      <c r="R38" s="1986"/>
      <c r="S38" s="1986"/>
      <c r="T38" s="1987"/>
      <c r="U38" s="1987"/>
      <c r="V38" s="1987"/>
      <c r="W38" s="1987"/>
      <c r="X38" s="1987"/>
      <c r="Y38" s="1987"/>
      <c r="Z38" s="1987"/>
      <c r="AA38" s="1987"/>
      <c r="AB38" s="1988"/>
      <c r="AF38" s="395"/>
      <c r="AG38" s="395"/>
      <c r="AH38" s="395"/>
    </row>
    <row r="39" spans="1:34">
      <c r="A39" s="1993" t="s">
        <v>1004</v>
      </c>
      <c r="B39" s="1994"/>
      <c r="C39" s="1994"/>
      <c r="D39" s="1994"/>
      <c r="E39" s="1994"/>
      <c r="F39" s="1994"/>
      <c r="G39" s="1994"/>
      <c r="H39" s="1995"/>
      <c r="I39" s="1995"/>
      <c r="J39" s="1995"/>
      <c r="K39" s="1995"/>
      <c r="L39" s="1996"/>
      <c r="M39" s="1487"/>
      <c r="N39" s="1487"/>
      <c r="O39" s="397"/>
      <c r="P39" s="397"/>
      <c r="Q39" s="397"/>
      <c r="R39" s="397"/>
      <c r="S39" s="397"/>
      <c r="T39" s="1487"/>
      <c r="U39" s="1487"/>
      <c r="V39" s="1487"/>
      <c r="W39" s="1487"/>
      <c r="X39" s="1487"/>
      <c r="Y39" s="1487"/>
      <c r="Z39" s="1487"/>
      <c r="AA39" s="1487"/>
      <c r="AB39" s="2017"/>
      <c r="AF39" s="395"/>
      <c r="AG39" s="395"/>
      <c r="AH39" s="395"/>
    </row>
    <row r="40" spans="1:34">
      <c r="A40" s="1997" t="s">
        <v>1978</v>
      </c>
      <c r="B40" s="583"/>
      <c r="C40" s="1487"/>
      <c r="D40" s="1487"/>
      <c r="E40" s="1487"/>
      <c r="F40" s="1487"/>
      <c r="G40" s="1487"/>
      <c r="H40" s="397" t="s">
        <v>1979</v>
      </c>
      <c r="I40" s="397"/>
      <c r="J40" s="397"/>
      <c r="K40" s="397"/>
      <c r="L40" s="1998"/>
      <c r="M40" s="1487"/>
      <c r="N40" s="1487"/>
      <c r="O40" s="1487"/>
      <c r="P40" s="1487"/>
      <c r="Q40" s="1487"/>
      <c r="R40" s="1487"/>
      <c r="S40" s="1487"/>
      <c r="T40" s="1487">
        <v>30519.39</v>
      </c>
      <c r="U40" s="1487">
        <v>28299.78</v>
      </c>
      <c r="V40" s="1487">
        <v>27572.69</v>
      </c>
      <c r="W40" s="1487">
        <v>27663.91</v>
      </c>
      <c r="X40" s="1487">
        <v>9894.89</v>
      </c>
      <c r="Y40" s="1487"/>
      <c r="Z40" s="1487"/>
      <c r="AA40" s="1487"/>
      <c r="AB40" s="1489"/>
      <c r="AF40" s="395"/>
      <c r="AG40" s="395"/>
      <c r="AH40" s="395"/>
    </row>
    <row r="41" spans="1:34">
      <c r="A41" s="1997" t="s">
        <v>1980</v>
      </c>
      <c r="B41" s="583"/>
      <c r="C41" s="1487"/>
      <c r="D41" s="1487"/>
      <c r="E41" s="1487"/>
      <c r="F41" s="1487"/>
      <c r="G41" s="1487"/>
      <c r="H41" s="397" t="s">
        <v>1763</v>
      </c>
      <c r="I41" s="397"/>
      <c r="J41" s="397"/>
      <c r="K41" s="397"/>
      <c r="L41" s="1998"/>
      <c r="M41" s="1487"/>
      <c r="N41" s="1487"/>
      <c r="O41" s="1487"/>
      <c r="P41" s="1487"/>
      <c r="Q41" s="1487"/>
      <c r="R41" s="1487"/>
      <c r="S41" s="1487"/>
      <c r="T41" s="1487">
        <v>2552.5300000000002</v>
      </c>
      <c r="U41" s="1487">
        <v>2552.5300000000002</v>
      </c>
      <c r="V41" s="1487">
        <v>2169.65</v>
      </c>
      <c r="W41" s="1487">
        <v>2082.9</v>
      </c>
      <c r="X41" s="1487">
        <v>2832.82</v>
      </c>
      <c r="Y41" s="1487"/>
      <c r="Z41" s="1487"/>
      <c r="AA41" s="1487"/>
      <c r="AB41" s="1489"/>
      <c r="AF41" s="395"/>
      <c r="AG41" s="395"/>
      <c r="AH41" s="395"/>
    </row>
    <row r="42" spans="1:34">
      <c r="A42" s="1997" t="s">
        <v>1981</v>
      </c>
      <c r="B42" s="583"/>
      <c r="C42" s="1487"/>
      <c r="D42" s="1487"/>
      <c r="E42" s="1487"/>
      <c r="F42" s="1487"/>
      <c r="G42" s="1487"/>
      <c r="H42" s="397" t="s">
        <v>1765</v>
      </c>
      <c r="I42" s="397"/>
      <c r="J42" s="397"/>
      <c r="K42" s="397"/>
      <c r="L42" s="1998"/>
      <c r="M42" s="1487"/>
      <c r="N42" s="1487"/>
      <c r="O42" s="1487"/>
      <c r="P42" s="1487"/>
      <c r="Q42" s="1487"/>
      <c r="R42" s="1487"/>
      <c r="S42" s="1487"/>
      <c r="T42" s="1487">
        <v>2093.2199999999998</v>
      </c>
      <c r="U42" s="1487">
        <v>1815.55</v>
      </c>
      <c r="V42" s="1487">
        <v>1692.38</v>
      </c>
      <c r="W42" s="1487">
        <v>1711.08</v>
      </c>
      <c r="X42" s="1487">
        <v>769.3</v>
      </c>
      <c r="Y42" s="1487"/>
      <c r="Z42" s="1487"/>
      <c r="AA42" s="1487"/>
      <c r="AB42" s="1489"/>
      <c r="AF42" s="395"/>
      <c r="AG42" s="395"/>
      <c r="AH42" s="395"/>
    </row>
    <row r="43" spans="1:34">
      <c r="A43" s="1997" t="s">
        <v>1982</v>
      </c>
      <c r="B43" s="583"/>
      <c r="C43" s="1999"/>
      <c r="D43" s="1999"/>
      <c r="E43" s="1999"/>
      <c r="F43" s="1999"/>
      <c r="G43" s="1999"/>
      <c r="H43" s="397" t="s">
        <v>1983</v>
      </c>
      <c r="I43" s="397"/>
      <c r="J43" s="397"/>
      <c r="K43" s="397"/>
      <c r="L43" s="1998"/>
      <c r="M43" s="1487"/>
      <c r="N43" s="1487"/>
      <c r="O43" s="397"/>
      <c r="P43" s="397"/>
      <c r="Q43" s="397"/>
      <c r="R43" s="397"/>
      <c r="S43" s="397"/>
      <c r="T43" s="1487"/>
      <c r="U43" s="1487"/>
      <c r="V43" s="1487"/>
      <c r="W43" s="1487"/>
      <c r="X43" s="1487">
        <v>21.39</v>
      </c>
      <c r="Y43" s="1487"/>
      <c r="Z43" s="1487"/>
      <c r="AA43" s="1487"/>
      <c r="AB43" s="1489"/>
      <c r="AF43" s="395"/>
      <c r="AG43" s="395"/>
      <c r="AH43" s="395"/>
    </row>
    <row r="44" spans="1:34">
      <c r="A44" s="1997" t="s">
        <v>1984</v>
      </c>
      <c r="B44" s="583"/>
      <c r="C44" s="1487"/>
      <c r="D44" s="1487"/>
      <c r="E44" s="1487"/>
      <c r="F44" s="1487"/>
      <c r="G44" s="1487"/>
      <c r="H44" s="397" t="s">
        <v>1012</v>
      </c>
      <c r="I44" s="397"/>
      <c r="J44" s="397"/>
      <c r="K44" s="397"/>
      <c r="L44" s="1998"/>
      <c r="M44" s="1487"/>
      <c r="N44" s="1487"/>
      <c r="O44" s="1487"/>
      <c r="P44" s="1487"/>
      <c r="Q44" s="1487"/>
      <c r="R44" s="1487"/>
      <c r="S44" s="1487"/>
      <c r="T44" s="1487">
        <v>123562.2</v>
      </c>
      <c r="U44" s="1487">
        <v>123327.99</v>
      </c>
      <c r="V44" s="1487">
        <v>331.15</v>
      </c>
      <c r="W44" s="1487"/>
      <c r="X44" s="1487"/>
      <c r="Y44" s="1487"/>
      <c r="Z44" s="1487"/>
      <c r="AA44" s="1487"/>
      <c r="AB44" s="1489"/>
      <c r="AF44" s="395"/>
      <c r="AG44" s="395"/>
      <c r="AH44" s="395"/>
    </row>
    <row r="45" spans="1:34">
      <c r="A45" s="1997" t="s">
        <v>1985</v>
      </c>
      <c r="B45" s="583"/>
      <c r="C45" s="1487"/>
      <c r="D45" s="1487"/>
      <c r="E45" s="1487"/>
      <c r="F45" s="1487"/>
      <c r="G45" s="1487"/>
      <c r="H45" s="397" t="s">
        <v>1265</v>
      </c>
      <c r="I45" s="397"/>
      <c r="J45" s="397"/>
      <c r="K45" s="397"/>
      <c r="L45" s="1998"/>
      <c r="M45" s="1487"/>
      <c r="N45" s="1487"/>
      <c r="O45" s="1487"/>
      <c r="P45" s="1487"/>
      <c r="Q45" s="1487"/>
      <c r="R45" s="1487"/>
      <c r="S45" s="1487"/>
      <c r="T45" s="1487">
        <v>10845.7</v>
      </c>
      <c r="U45" s="1487">
        <v>12265.28</v>
      </c>
      <c r="V45" s="1487"/>
      <c r="W45" s="1487"/>
      <c r="X45" s="1487"/>
      <c r="Y45" s="1487"/>
      <c r="Z45" s="1487"/>
      <c r="AA45" s="1487"/>
      <c r="AB45" s="1489"/>
      <c r="AF45" s="395"/>
      <c r="AG45" s="395"/>
      <c r="AH45" s="395"/>
    </row>
    <row r="46" spans="1:34">
      <c r="A46" s="1997" t="s">
        <v>1986</v>
      </c>
      <c r="B46" s="583"/>
      <c r="C46" s="1487"/>
      <c r="D46" s="1487"/>
      <c r="E46" s="1487"/>
      <c r="F46" s="1487"/>
      <c r="G46" s="1487"/>
      <c r="H46" s="397" t="s">
        <v>1016</v>
      </c>
      <c r="I46" s="397"/>
      <c r="J46" s="397"/>
      <c r="K46" s="397"/>
      <c r="L46" s="1998"/>
      <c r="M46" s="1487"/>
      <c r="N46" s="1487"/>
      <c r="O46" s="1487"/>
      <c r="P46" s="1487"/>
      <c r="Q46" s="1487"/>
      <c r="R46" s="1487"/>
      <c r="S46" s="1487"/>
      <c r="T46" s="1487">
        <v>10140.219999999999</v>
      </c>
      <c r="U46" s="1487">
        <v>9464.68</v>
      </c>
      <c r="V46" s="1487"/>
      <c r="W46" s="1487"/>
      <c r="X46" s="1487"/>
      <c r="Y46" s="1487"/>
      <c r="Z46" s="1487"/>
      <c r="AA46" s="1487"/>
      <c r="AB46" s="1489"/>
      <c r="AF46" s="395"/>
      <c r="AG46" s="395"/>
      <c r="AH46" s="395"/>
    </row>
    <row r="47" spans="1:34">
      <c r="A47" s="1997" t="s">
        <v>1987</v>
      </c>
      <c r="B47" s="583" t="s">
        <v>7409</v>
      </c>
      <c r="C47" s="1487"/>
      <c r="D47" s="1487"/>
      <c r="E47" s="1487"/>
      <c r="F47" s="1487"/>
      <c r="G47" s="1487"/>
      <c r="H47" s="397" t="s">
        <v>1988</v>
      </c>
      <c r="I47" s="397"/>
      <c r="J47" s="397"/>
      <c r="K47" s="397"/>
      <c r="L47" s="1998"/>
      <c r="M47" s="1487"/>
      <c r="N47" s="1487"/>
      <c r="O47" s="1487"/>
      <c r="P47" s="1487"/>
      <c r="Q47" s="1487"/>
      <c r="R47" s="1487"/>
      <c r="S47" s="1487"/>
      <c r="T47" s="1487">
        <v>12963.6</v>
      </c>
      <c r="U47" s="1487">
        <v>12917.12</v>
      </c>
      <c r="V47" s="1487">
        <v>140837.54</v>
      </c>
      <c r="W47" s="1487">
        <v>89120.67</v>
      </c>
      <c r="X47" s="1487">
        <v>126404.79</v>
      </c>
      <c r="Y47" s="1487">
        <v>142781.32</v>
      </c>
      <c r="Z47" s="1487">
        <v>142694.29999999999</v>
      </c>
      <c r="AA47" s="1487">
        <v>144547.54</v>
      </c>
      <c r="AB47" s="1489"/>
      <c r="AF47" s="395"/>
      <c r="AG47" s="395"/>
      <c r="AH47" s="395"/>
    </row>
    <row r="48" spans="1:34">
      <c r="A48" s="1997" t="s">
        <v>1989</v>
      </c>
      <c r="B48" s="583"/>
      <c r="C48" s="1487"/>
      <c r="D48" s="1487"/>
      <c r="E48" s="1487"/>
      <c r="F48" s="1487"/>
      <c r="G48" s="1487"/>
      <c r="H48" s="397" t="s">
        <v>1020</v>
      </c>
      <c r="I48" s="397"/>
      <c r="J48" s="397"/>
      <c r="K48" s="397"/>
      <c r="L48" s="1998"/>
      <c r="M48" s="1487"/>
      <c r="N48" s="1487"/>
      <c r="O48" s="1487"/>
      <c r="P48" s="1487"/>
      <c r="Q48" s="1487"/>
      <c r="R48" s="1487"/>
      <c r="S48" s="1487"/>
      <c r="T48" s="1487">
        <v>993.88</v>
      </c>
      <c r="U48" s="1487">
        <v>993.88</v>
      </c>
      <c r="V48" s="1487">
        <v>11056.44</v>
      </c>
      <c r="W48" s="1487">
        <v>7224.51</v>
      </c>
      <c r="X48" s="1487">
        <v>8968.6299999999992</v>
      </c>
      <c r="Y48" s="1487">
        <v>10986.19</v>
      </c>
      <c r="Z48" s="1487"/>
      <c r="AA48" s="1487"/>
      <c r="AB48" s="1489"/>
      <c r="AF48" s="395"/>
      <c r="AG48" s="395"/>
      <c r="AH48" s="395"/>
    </row>
    <row r="49" spans="1:34">
      <c r="A49" s="1997" t="s">
        <v>1990</v>
      </c>
      <c r="B49" s="583"/>
      <c r="C49" s="1487"/>
      <c r="D49" s="1487"/>
      <c r="E49" s="1487"/>
      <c r="F49" s="1487"/>
      <c r="G49" s="1487"/>
      <c r="H49" s="397" t="s">
        <v>1022</v>
      </c>
      <c r="I49" s="397"/>
      <c r="J49" s="397"/>
      <c r="K49" s="397"/>
      <c r="L49" s="1998"/>
      <c r="M49" s="1487"/>
      <c r="N49" s="1487"/>
      <c r="O49" s="1487"/>
      <c r="P49" s="1487"/>
      <c r="Q49" s="1487"/>
      <c r="R49" s="1487"/>
      <c r="S49" s="1487"/>
      <c r="T49" s="1487">
        <v>954.53</v>
      </c>
      <c r="U49" s="1487">
        <v>962.34</v>
      </c>
      <c r="V49" s="1487">
        <v>10949.32</v>
      </c>
      <c r="W49" s="1487">
        <v>6422.61</v>
      </c>
      <c r="X49" s="1487">
        <v>9495.4</v>
      </c>
      <c r="Y49" s="1487">
        <v>11103.8</v>
      </c>
      <c r="Z49" s="1487"/>
      <c r="AA49" s="1487"/>
      <c r="AB49" s="1489"/>
      <c r="AF49" s="395"/>
      <c r="AG49" s="395"/>
      <c r="AH49" s="395"/>
    </row>
    <row r="50" spans="1:34">
      <c r="A50" s="1997" t="s">
        <v>1991</v>
      </c>
      <c r="B50" s="583"/>
      <c r="C50" s="1999"/>
      <c r="D50" s="1999"/>
      <c r="E50" s="1999"/>
      <c r="F50" s="1999"/>
      <c r="G50" s="1999"/>
      <c r="H50" s="397" t="s">
        <v>1771</v>
      </c>
      <c r="I50" s="397"/>
      <c r="J50" s="397"/>
      <c r="K50" s="397"/>
      <c r="L50" s="1998"/>
      <c r="M50" s="1487"/>
      <c r="N50" s="1487"/>
      <c r="O50" s="397"/>
      <c r="P50" s="397"/>
      <c r="Q50" s="397"/>
      <c r="R50" s="397"/>
      <c r="S50" s="397"/>
      <c r="T50" s="1487"/>
      <c r="U50" s="1487"/>
      <c r="V50" s="1487"/>
      <c r="W50" s="1487"/>
      <c r="X50" s="1487">
        <v>40.47</v>
      </c>
      <c r="Y50" s="1487"/>
      <c r="Z50" s="1487"/>
      <c r="AA50" s="1487"/>
      <c r="AB50" s="1489"/>
      <c r="AF50" s="395"/>
      <c r="AG50" s="395"/>
      <c r="AH50" s="395"/>
    </row>
    <row r="51" spans="1:34">
      <c r="A51" s="1997" t="s">
        <v>1992</v>
      </c>
      <c r="B51" s="583"/>
      <c r="C51" s="1487"/>
      <c r="D51" s="1487"/>
      <c r="E51" s="1487"/>
      <c r="F51" s="1487"/>
      <c r="G51" s="1487"/>
      <c r="H51" s="397" t="s">
        <v>1993</v>
      </c>
      <c r="I51" s="397"/>
      <c r="J51" s="397"/>
      <c r="K51" s="397"/>
      <c r="L51" s="1998"/>
      <c r="M51" s="1487"/>
      <c r="N51" s="1487"/>
      <c r="O51" s="1487"/>
      <c r="P51" s="1487"/>
      <c r="Q51" s="1487"/>
      <c r="R51" s="1487"/>
      <c r="S51" s="1487"/>
      <c r="T51" s="1487">
        <v>5924.06</v>
      </c>
      <c r="U51" s="1487">
        <v>4546.1499999999996</v>
      </c>
      <c r="V51" s="1487">
        <v>4423.3</v>
      </c>
      <c r="W51" s="1487">
        <v>4439.13</v>
      </c>
      <c r="X51" s="1487">
        <v>1597.59</v>
      </c>
      <c r="Y51" s="1487"/>
      <c r="Z51" s="1487"/>
      <c r="AA51" s="1487"/>
      <c r="AB51" s="1489"/>
      <c r="AF51" s="395"/>
      <c r="AG51" s="395"/>
      <c r="AH51" s="395"/>
    </row>
    <row r="52" spans="1:34">
      <c r="A52" s="1997" t="s">
        <v>1994</v>
      </c>
      <c r="B52" s="583"/>
      <c r="C52" s="1487"/>
      <c r="D52" s="1487"/>
      <c r="E52" s="1487"/>
      <c r="F52" s="1487"/>
      <c r="G52" s="1487"/>
      <c r="H52" s="397" t="s">
        <v>1995</v>
      </c>
      <c r="I52" s="397"/>
      <c r="J52" s="397"/>
      <c r="K52" s="397"/>
      <c r="L52" s="1998"/>
      <c r="M52" s="1487"/>
      <c r="N52" s="1487"/>
      <c r="O52" s="1487"/>
      <c r="P52" s="1487"/>
      <c r="Q52" s="1487"/>
      <c r="R52" s="1487"/>
      <c r="S52" s="1487"/>
      <c r="T52" s="1487">
        <v>9488.7199999999993</v>
      </c>
      <c r="U52" s="1487">
        <v>8631.39</v>
      </c>
      <c r="V52" s="1487">
        <v>8205</v>
      </c>
      <c r="W52" s="1487">
        <v>8369.16</v>
      </c>
      <c r="X52" s="1487">
        <v>2863.52</v>
      </c>
      <c r="Y52" s="1487"/>
      <c r="Z52" s="1487"/>
      <c r="AA52" s="1487"/>
      <c r="AB52" s="1489"/>
      <c r="AF52" s="395"/>
      <c r="AG52" s="395"/>
      <c r="AH52" s="395"/>
    </row>
    <row r="53" spans="1:34">
      <c r="A53" s="1997" t="s">
        <v>1996</v>
      </c>
      <c r="B53" s="583"/>
      <c r="C53" s="1487"/>
      <c r="D53" s="1487"/>
      <c r="E53" s="1487"/>
      <c r="F53" s="1487"/>
      <c r="G53" s="1487"/>
      <c r="H53" s="397" t="s">
        <v>1997</v>
      </c>
      <c r="I53" s="397"/>
      <c r="J53" s="397"/>
      <c r="K53" s="397"/>
      <c r="L53" s="1998"/>
      <c r="M53" s="1487"/>
      <c r="N53" s="1487"/>
      <c r="O53" s="1487"/>
      <c r="P53" s="1487"/>
      <c r="Q53" s="1487"/>
      <c r="R53" s="1487"/>
      <c r="S53" s="1487"/>
      <c r="T53" s="1487">
        <v>7203.01</v>
      </c>
      <c r="U53" s="1487">
        <v>40322</v>
      </c>
      <c r="V53" s="1487">
        <v>102.99</v>
      </c>
      <c r="W53" s="1487"/>
      <c r="X53" s="1487"/>
      <c r="Y53" s="1487"/>
      <c r="Z53" s="1487"/>
      <c r="AA53" s="1487"/>
      <c r="AB53" s="1489"/>
      <c r="AF53" s="395"/>
      <c r="AG53" s="395"/>
      <c r="AH53" s="395"/>
    </row>
    <row r="54" spans="1:34">
      <c r="A54" s="1997" t="s">
        <v>1998</v>
      </c>
      <c r="B54" s="583" t="s">
        <v>7410</v>
      </c>
      <c r="C54" s="1487"/>
      <c r="D54" s="1487"/>
      <c r="E54" s="1487"/>
      <c r="F54" s="1487"/>
      <c r="G54" s="1487"/>
      <c r="H54" s="397" t="s">
        <v>1999</v>
      </c>
      <c r="I54" s="397"/>
      <c r="J54" s="397"/>
      <c r="K54" s="397"/>
      <c r="L54" s="1998"/>
      <c r="M54" s="1487"/>
      <c r="N54" s="1487"/>
      <c r="O54" s="1487"/>
      <c r="P54" s="1487"/>
      <c r="Q54" s="1487"/>
      <c r="R54" s="1487"/>
      <c r="S54" s="1487"/>
      <c r="T54" s="1487">
        <v>4353.24</v>
      </c>
      <c r="U54" s="1487">
        <v>4316.4399999999996</v>
      </c>
      <c r="V54" s="1487">
        <v>47231.89</v>
      </c>
      <c r="W54" s="1487">
        <v>29724.55</v>
      </c>
      <c r="X54" s="1487">
        <v>41338.85</v>
      </c>
      <c r="Y54" s="1487">
        <v>46576.32</v>
      </c>
      <c r="Z54" s="1487">
        <v>40640.35</v>
      </c>
      <c r="AA54" s="1487">
        <v>40192.35</v>
      </c>
      <c r="AB54" s="1489"/>
      <c r="AF54" s="395"/>
      <c r="AG54" s="395"/>
      <c r="AH54" s="395"/>
    </row>
    <row r="55" spans="1:34">
      <c r="A55" s="1997" t="s">
        <v>2000</v>
      </c>
      <c r="B55" s="583"/>
      <c r="C55" s="1487"/>
      <c r="D55" s="1487"/>
      <c r="E55" s="1487"/>
      <c r="F55" s="1487"/>
      <c r="G55" s="1487"/>
      <c r="H55" s="397" t="s">
        <v>2001</v>
      </c>
      <c r="I55" s="397"/>
      <c r="J55" s="397"/>
      <c r="K55" s="397"/>
      <c r="L55" s="1998"/>
      <c r="M55" s="1487"/>
      <c r="N55" s="1487"/>
      <c r="O55" s="1487"/>
      <c r="P55" s="1487"/>
      <c r="Q55" s="1487"/>
      <c r="R55" s="1487"/>
      <c r="S55" s="1487"/>
      <c r="T55" s="1487">
        <v>242</v>
      </c>
      <c r="U55" s="1487">
        <v>242</v>
      </c>
      <c r="V55" s="1487">
        <v>495</v>
      </c>
      <c r="W55" s="1487">
        <v>495</v>
      </c>
      <c r="X55" s="1487">
        <v>439.99</v>
      </c>
      <c r="Y55" s="1487"/>
      <c r="Z55" s="1487"/>
      <c r="AA55" s="1487"/>
      <c r="AB55" s="1489"/>
      <c r="AF55" s="395"/>
      <c r="AG55" s="395"/>
      <c r="AH55" s="395"/>
    </row>
    <row r="56" spans="1:34">
      <c r="A56" s="1997" t="s">
        <v>2002</v>
      </c>
      <c r="B56" s="583"/>
      <c r="C56" s="1487"/>
      <c r="D56" s="1487"/>
      <c r="E56" s="1487"/>
      <c r="F56" s="1487"/>
      <c r="G56" s="1487"/>
      <c r="H56" s="397" t="s">
        <v>1037</v>
      </c>
      <c r="I56" s="397"/>
      <c r="J56" s="397"/>
      <c r="K56" s="397"/>
      <c r="L56" s="1998"/>
      <c r="M56" s="1487"/>
      <c r="N56" s="1487"/>
      <c r="O56" s="1487"/>
      <c r="P56" s="1487"/>
      <c r="Q56" s="1487"/>
      <c r="R56" s="1487"/>
      <c r="S56" s="1487"/>
      <c r="T56" s="1487">
        <v>5369.14</v>
      </c>
      <c r="U56" s="1487">
        <v>1421.54</v>
      </c>
      <c r="V56" s="1487">
        <v>6.62</v>
      </c>
      <c r="W56" s="1487"/>
      <c r="X56" s="1487"/>
      <c r="Y56" s="1487"/>
      <c r="Z56" s="1487"/>
      <c r="AA56" s="1487"/>
      <c r="AB56" s="1489"/>
      <c r="AF56" s="395"/>
      <c r="AG56" s="395"/>
      <c r="AH56" s="395"/>
    </row>
    <row r="57" spans="1:34">
      <c r="A57" s="1997" t="s">
        <v>2003</v>
      </c>
      <c r="B57" s="583"/>
      <c r="C57" s="1487"/>
      <c r="D57" s="1487"/>
      <c r="E57" s="1487"/>
      <c r="F57" s="1487"/>
      <c r="G57" s="1487"/>
      <c r="H57" s="397" t="s">
        <v>2004</v>
      </c>
      <c r="I57" s="397"/>
      <c r="J57" s="397"/>
      <c r="K57" s="397"/>
      <c r="L57" s="1998"/>
      <c r="M57" s="1487"/>
      <c r="N57" s="1487"/>
      <c r="O57" s="1487"/>
      <c r="P57" s="1487"/>
      <c r="Q57" s="1487"/>
      <c r="R57" s="1487"/>
      <c r="S57" s="1487"/>
      <c r="T57" s="1487">
        <v>472.31</v>
      </c>
      <c r="U57" s="1487">
        <v>593.30999999999995</v>
      </c>
      <c r="V57" s="1487"/>
      <c r="W57" s="1487"/>
      <c r="X57" s="1487"/>
      <c r="Y57" s="1487"/>
      <c r="Z57" s="1487"/>
      <c r="AA57" s="1487"/>
      <c r="AB57" s="1489"/>
      <c r="AF57" s="395"/>
      <c r="AG57" s="395"/>
      <c r="AH57" s="395"/>
    </row>
    <row r="58" spans="1:34">
      <c r="A58" s="1997" t="s">
        <v>2005</v>
      </c>
      <c r="B58" s="583" t="s">
        <v>7411</v>
      </c>
      <c r="C58" s="1487"/>
      <c r="D58" s="1487"/>
      <c r="E58" s="1487"/>
      <c r="F58" s="1487"/>
      <c r="G58" s="1487"/>
      <c r="H58" s="397" t="s">
        <v>1041</v>
      </c>
      <c r="I58" s="397"/>
      <c r="J58" s="397"/>
      <c r="K58" s="397"/>
      <c r="L58" s="1998"/>
      <c r="M58" s="1487"/>
      <c r="N58" s="1487"/>
      <c r="O58" s="1487"/>
      <c r="P58" s="1487"/>
      <c r="Q58" s="1487"/>
      <c r="R58" s="1487"/>
      <c r="S58" s="1487"/>
      <c r="T58" s="1487">
        <v>618.95000000000005</v>
      </c>
      <c r="U58" s="1487">
        <v>277.55</v>
      </c>
      <c r="V58" s="1487">
        <v>2970.7</v>
      </c>
      <c r="W58" s="1487">
        <v>1698.43</v>
      </c>
      <c r="X58" s="1487">
        <v>1940.39</v>
      </c>
      <c r="Y58" s="1487">
        <v>5710.37</v>
      </c>
      <c r="Z58" s="1487">
        <v>2853.88</v>
      </c>
      <c r="AA58" s="1487">
        <v>5781.9</v>
      </c>
      <c r="AB58" s="1489"/>
      <c r="AF58" s="395"/>
      <c r="AG58" s="395"/>
      <c r="AH58" s="395"/>
    </row>
    <row r="59" spans="1:34">
      <c r="A59" s="1997" t="s">
        <v>2006</v>
      </c>
      <c r="B59" s="583" t="s">
        <v>7412</v>
      </c>
      <c r="C59" s="1487"/>
      <c r="D59" s="1487"/>
      <c r="E59" s="1487"/>
      <c r="F59" s="1487"/>
      <c r="G59" s="1487"/>
      <c r="H59" s="397" t="s">
        <v>1286</v>
      </c>
      <c r="I59" s="397"/>
      <c r="J59" s="397"/>
      <c r="K59" s="397"/>
      <c r="L59" s="1998"/>
      <c r="M59" s="1487"/>
      <c r="N59" s="1487"/>
      <c r="O59" s="1487"/>
      <c r="P59" s="1487"/>
      <c r="Q59" s="1487"/>
      <c r="R59" s="1487"/>
      <c r="S59" s="1487"/>
      <c r="T59" s="1487"/>
      <c r="U59" s="1487"/>
      <c r="V59" s="1487">
        <v>651.05999999999995</v>
      </c>
      <c r="W59" s="1487">
        <v>671</v>
      </c>
      <c r="X59" s="1487">
        <v>308</v>
      </c>
      <c r="Y59" s="1487">
        <v>635.04999999999995</v>
      </c>
      <c r="Z59" s="1487">
        <v>582.17999999999995</v>
      </c>
      <c r="AA59" s="1487">
        <v>700.53</v>
      </c>
      <c r="AB59" s="1489"/>
      <c r="AF59" s="395"/>
      <c r="AG59" s="395"/>
      <c r="AH59" s="395"/>
    </row>
    <row r="60" spans="1:34">
      <c r="A60" s="1997" t="s">
        <v>2007</v>
      </c>
      <c r="B60" s="583" t="s">
        <v>7413</v>
      </c>
      <c r="C60" s="1487"/>
      <c r="D60" s="1487"/>
      <c r="E60" s="1487"/>
      <c r="F60" s="1487"/>
      <c r="G60" s="1487"/>
      <c r="H60" s="397" t="s">
        <v>1045</v>
      </c>
      <c r="I60" s="397"/>
      <c r="J60" s="397"/>
      <c r="K60" s="397"/>
      <c r="L60" s="1998"/>
      <c r="M60" s="1487"/>
      <c r="N60" s="1487"/>
      <c r="O60" s="1487"/>
      <c r="P60" s="1487"/>
      <c r="Q60" s="1487"/>
      <c r="R60" s="1487"/>
      <c r="S60" s="1487"/>
      <c r="T60" s="1487">
        <v>582.66999999999996</v>
      </c>
      <c r="U60" s="1487">
        <v>625.05999999999995</v>
      </c>
      <c r="V60" s="1487">
        <v>565.62</v>
      </c>
      <c r="W60" s="1487">
        <v>699.99</v>
      </c>
      <c r="X60" s="1487">
        <v>631.62</v>
      </c>
      <c r="Y60" s="1487">
        <v>377.37</v>
      </c>
      <c r="Z60" s="1487">
        <v>561.95000000000005</v>
      </c>
      <c r="AA60" s="1487">
        <v>761.46</v>
      </c>
      <c r="AB60" s="1489"/>
      <c r="AF60" s="395"/>
      <c r="AG60" s="395"/>
      <c r="AH60" s="395"/>
    </row>
    <row r="61" spans="1:34">
      <c r="A61" s="1997" t="s">
        <v>2008</v>
      </c>
      <c r="B61" s="583" t="s">
        <v>7414</v>
      </c>
      <c r="C61" s="397"/>
      <c r="D61" s="397"/>
      <c r="E61" s="397"/>
      <c r="F61" s="397"/>
      <c r="G61" s="397"/>
      <c r="H61" s="1487" t="s">
        <v>2009</v>
      </c>
      <c r="I61" s="1487"/>
      <c r="J61" s="1487"/>
      <c r="K61" s="1487"/>
      <c r="L61" s="1489"/>
      <c r="M61" s="1487"/>
      <c r="N61" s="1487"/>
      <c r="O61" s="1487"/>
      <c r="P61" s="1487"/>
      <c r="Q61" s="1487"/>
      <c r="R61" s="1487"/>
      <c r="S61" s="1487"/>
      <c r="T61" s="1487"/>
      <c r="U61" s="1487"/>
      <c r="V61" s="1487"/>
      <c r="W61" s="1487"/>
      <c r="X61" s="1487"/>
      <c r="Y61" s="1487"/>
      <c r="Z61" s="1487"/>
      <c r="AA61" s="1487"/>
      <c r="AB61" s="1489"/>
      <c r="AF61" s="395"/>
      <c r="AG61" s="395"/>
      <c r="AH61" s="395"/>
    </row>
    <row r="62" spans="1:34">
      <c r="A62" s="1997" t="s">
        <v>2010</v>
      </c>
      <c r="B62" s="583" t="s">
        <v>7415</v>
      </c>
      <c r="C62" s="1487"/>
      <c r="D62" s="1487"/>
      <c r="E62" s="1487"/>
      <c r="F62" s="1487"/>
      <c r="G62" s="1487"/>
      <c r="H62" s="397" t="s">
        <v>1047</v>
      </c>
      <c r="I62" s="397"/>
      <c r="J62" s="397"/>
      <c r="K62" s="397"/>
      <c r="L62" s="1998"/>
      <c r="M62" s="1487"/>
      <c r="N62" s="1487"/>
      <c r="O62" s="1487"/>
      <c r="P62" s="1487"/>
      <c r="Q62" s="1487"/>
      <c r="R62" s="1487"/>
      <c r="S62" s="1487"/>
      <c r="T62" s="1487">
        <v>6605.5</v>
      </c>
      <c r="U62" s="1487">
        <v>6369</v>
      </c>
      <c r="V62" s="1487">
        <v>6184</v>
      </c>
      <c r="W62" s="1487">
        <v>3174</v>
      </c>
      <c r="X62" s="1487">
        <v>6096</v>
      </c>
      <c r="Y62" s="1487">
        <v>5808</v>
      </c>
      <c r="Z62" s="1487">
        <v>7513.38</v>
      </c>
      <c r="AA62" s="1487">
        <v>5676.3</v>
      </c>
      <c r="AB62" s="1489"/>
      <c r="AF62" s="395"/>
      <c r="AG62" s="395"/>
      <c r="AH62" s="395"/>
    </row>
    <row r="63" spans="1:34">
      <c r="A63" s="1997" t="s">
        <v>2011</v>
      </c>
      <c r="B63" s="583" t="s">
        <v>7416</v>
      </c>
      <c r="C63" s="1487"/>
      <c r="D63" s="1487"/>
      <c r="E63" s="1487"/>
      <c r="F63" s="1487"/>
      <c r="G63" s="1487"/>
      <c r="H63" s="397" t="s">
        <v>2012</v>
      </c>
      <c r="I63" s="397"/>
      <c r="J63" s="397"/>
      <c r="K63" s="397"/>
      <c r="L63" s="1998"/>
      <c r="M63" s="1487"/>
      <c r="N63" s="1487"/>
      <c r="O63" s="1487"/>
      <c r="P63" s="1487"/>
      <c r="Q63" s="1487"/>
      <c r="R63" s="1487"/>
      <c r="S63" s="1487"/>
      <c r="T63" s="1487">
        <v>2486.96</v>
      </c>
      <c r="U63" s="1487">
        <v>2235.6799999999998</v>
      </c>
      <c r="V63" s="1487">
        <v>2152.5</v>
      </c>
      <c r="W63" s="1487">
        <v>1196.8</v>
      </c>
      <c r="X63" s="1487">
        <v>1144.5</v>
      </c>
      <c r="Y63" s="1487">
        <v>1548.52</v>
      </c>
      <c r="Z63" s="1487">
        <v>1621.45</v>
      </c>
      <c r="AA63" s="1487">
        <v>1782.73</v>
      </c>
      <c r="AB63" s="1489"/>
      <c r="AF63" s="395"/>
      <c r="AG63" s="395"/>
      <c r="AH63" s="395"/>
    </row>
    <row r="64" spans="1:34">
      <c r="A64" s="1997" t="s">
        <v>2013</v>
      </c>
      <c r="B64" s="583"/>
      <c r="C64" s="1487">
        <v>62072.79</v>
      </c>
      <c r="D64" s="1487">
        <v>61798.27</v>
      </c>
      <c r="E64" s="1487">
        <v>62637.73</v>
      </c>
      <c r="F64" s="1487">
        <v>65878.98</v>
      </c>
      <c r="G64" s="1487">
        <v>66149.929999999993</v>
      </c>
      <c r="H64" s="397" t="s">
        <v>1051</v>
      </c>
      <c r="I64" s="397"/>
      <c r="J64" s="397"/>
      <c r="K64" s="397"/>
      <c r="L64" s="1998"/>
      <c r="M64" s="1487">
        <v>67751.92</v>
      </c>
      <c r="N64" s="1487">
        <v>72468.800000000003</v>
      </c>
      <c r="O64" s="1487">
        <v>81489.45</v>
      </c>
      <c r="P64" s="1487">
        <v>76477.990000000005</v>
      </c>
      <c r="Q64" s="1487">
        <v>45503.6</v>
      </c>
      <c r="R64" s="1487">
        <v>47556.18</v>
      </c>
      <c r="S64" s="1487">
        <v>49224.26</v>
      </c>
      <c r="T64" s="1487"/>
      <c r="U64" s="1487"/>
      <c r="V64" s="1487"/>
      <c r="W64" s="1487"/>
      <c r="X64" s="1487"/>
      <c r="Y64" s="1487"/>
      <c r="Z64" s="1487"/>
      <c r="AA64" s="1487"/>
      <c r="AB64" s="1489"/>
      <c r="AF64" s="395"/>
      <c r="AG64" s="395"/>
      <c r="AH64" s="395"/>
    </row>
    <row r="65" spans="1:34">
      <c r="A65" s="1997" t="s">
        <v>2014</v>
      </c>
      <c r="B65" s="583"/>
      <c r="C65" s="1487">
        <v>101390.3</v>
      </c>
      <c r="D65" s="1487">
        <v>104678.19</v>
      </c>
      <c r="E65" s="1487">
        <v>109274.57</v>
      </c>
      <c r="F65" s="1487">
        <v>112711.77</v>
      </c>
      <c r="G65" s="1487">
        <v>111599.57</v>
      </c>
      <c r="H65" s="397" t="s">
        <v>1012</v>
      </c>
      <c r="I65" s="397"/>
      <c r="J65" s="397"/>
      <c r="K65" s="397"/>
      <c r="L65" s="1998"/>
      <c r="M65" s="1487">
        <v>116331.6</v>
      </c>
      <c r="N65" s="1487">
        <v>119480.41</v>
      </c>
      <c r="O65" s="1487">
        <v>123281.49</v>
      </c>
      <c r="P65" s="1487">
        <v>123996.22</v>
      </c>
      <c r="Q65" s="1487">
        <v>134725.76000000001</v>
      </c>
      <c r="R65" s="1487">
        <v>131135.04999999999</v>
      </c>
      <c r="S65" s="1487">
        <v>120190.26</v>
      </c>
      <c r="T65" s="1487"/>
      <c r="U65" s="1487"/>
      <c r="V65" s="1487"/>
      <c r="W65" s="1487"/>
      <c r="X65" s="1487"/>
      <c r="Y65" s="1487"/>
      <c r="Z65" s="1487"/>
      <c r="AA65" s="1487"/>
      <c r="AB65" s="1489"/>
      <c r="AF65" s="395"/>
      <c r="AG65" s="395"/>
      <c r="AH65" s="395"/>
    </row>
    <row r="66" spans="1:34">
      <c r="A66" s="1997" t="s">
        <v>2015</v>
      </c>
      <c r="B66" s="583"/>
      <c r="C66" s="1487">
        <v>2485.8200000000002</v>
      </c>
      <c r="D66" s="1487">
        <v>2507.7800000000002</v>
      </c>
      <c r="E66" s="1487">
        <v>4157.8999999999996</v>
      </c>
      <c r="F66" s="1487">
        <v>4694.96</v>
      </c>
      <c r="G66" s="1487">
        <v>5049.1000000000004</v>
      </c>
      <c r="H66" s="397" t="s">
        <v>1054</v>
      </c>
      <c r="I66" s="397"/>
      <c r="J66" s="397"/>
      <c r="K66" s="397"/>
      <c r="L66" s="1998"/>
      <c r="M66" s="1487">
        <v>4940.66</v>
      </c>
      <c r="N66" s="1487">
        <v>4982.03</v>
      </c>
      <c r="O66" s="1487">
        <v>5473.26</v>
      </c>
      <c r="P66" s="1487">
        <v>10729.59</v>
      </c>
      <c r="Q66" s="1487">
        <v>3219.43</v>
      </c>
      <c r="R66" s="1487">
        <v>3392.33</v>
      </c>
      <c r="S66" s="1487">
        <v>3521.75</v>
      </c>
      <c r="T66" s="1487"/>
      <c r="U66" s="1487"/>
      <c r="V66" s="1487"/>
      <c r="W66" s="1487"/>
      <c r="X66" s="1487"/>
      <c r="Y66" s="1487"/>
      <c r="Z66" s="1487"/>
      <c r="AA66" s="1487"/>
      <c r="AB66" s="1489"/>
      <c r="AF66" s="395"/>
      <c r="AG66" s="395"/>
      <c r="AH66" s="395"/>
    </row>
    <row r="67" spans="1:34">
      <c r="A67" s="1997" t="s">
        <v>2016</v>
      </c>
      <c r="B67" s="583"/>
      <c r="C67" s="1487">
        <v>5606.31</v>
      </c>
      <c r="D67" s="1487">
        <v>5674.37</v>
      </c>
      <c r="E67" s="1487">
        <v>8838.93</v>
      </c>
      <c r="F67" s="1487">
        <v>8801.2800000000007</v>
      </c>
      <c r="G67" s="1487">
        <v>8407.23</v>
      </c>
      <c r="H67" s="397" t="s">
        <v>1014</v>
      </c>
      <c r="I67" s="397"/>
      <c r="J67" s="397"/>
      <c r="K67" s="397"/>
      <c r="L67" s="1998"/>
      <c r="M67" s="1487">
        <v>8613.0400000000009</v>
      </c>
      <c r="N67" s="1487">
        <v>9069.35</v>
      </c>
      <c r="O67" s="1487">
        <v>8588.9699999999993</v>
      </c>
      <c r="P67" s="1487">
        <v>4897.9399999999996</v>
      </c>
      <c r="Q67" s="1487">
        <v>8892.64</v>
      </c>
      <c r="R67" s="1487">
        <v>10014.799999999999</v>
      </c>
      <c r="S67" s="1487">
        <v>10340.870000000001</v>
      </c>
      <c r="T67" s="1487"/>
      <c r="U67" s="1487"/>
      <c r="V67" s="1487"/>
      <c r="W67" s="1487"/>
      <c r="X67" s="1487"/>
      <c r="Y67" s="1487"/>
      <c r="Z67" s="1487"/>
      <c r="AA67" s="1487"/>
      <c r="AB67" s="1489"/>
      <c r="AF67" s="395"/>
      <c r="AG67" s="395"/>
      <c r="AH67" s="395"/>
    </row>
    <row r="68" spans="1:34">
      <c r="A68" s="1997" t="s">
        <v>2017</v>
      </c>
      <c r="B68" s="583"/>
      <c r="C68" s="1487">
        <v>2447.5</v>
      </c>
      <c r="D68" s="1487">
        <v>4357.1000000000004</v>
      </c>
      <c r="E68" s="1487">
        <v>4063.8</v>
      </c>
      <c r="F68" s="1487">
        <v>3912.8</v>
      </c>
      <c r="G68" s="1487">
        <v>4395.8</v>
      </c>
      <c r="H68" s="397" t="s">
        <v>1047</v>
      </c>
      <c r="I68" s="397"/>
      <c r="J68" s="397"/>
      <c r="K68" s="397"/>
      <c r="L68" s="1998"/>
      <c r="M68" s="1487">
        <v>6190.6</v>
      </c>
      <c r="N68" s="1487">
        <v>5353.2</v>
      </c>
      <c r="O68" s="1487">
        <v>8595</v>
      </c>
      <c r="P68" s="1487">
        <v>7920</v>
      </c>
      <c r="Q68" s="1487">
        <v>6340</v>
      </c>
      <c r="R68" s="1487">
        <v>7961.5</v>
      </c>
      <c r="S68" s="1487">
        <v>8244.5</v>
      </c>
      <c r="T68" s="1487"/>
      <c r="U68" s="1487"/>
      <c r="V68" s="1487"/>
      <c r="W68" s="1487"/>
      <c r="X68" s="1487"/>
      <c r="Y68" s="1487"/>
      <c r="Z68" s="1487"/>
      <c r="AA68" s="1487"/>
      <c r="AB68" s="1489"/>
      <c r="AF68" s="395"/>
      <c r="AG68" s="395"/>
      <c r="AH68" s="395"/>
    </row>
    <row r="69" spans="1:34">
      <c r="A69" s="1997" t="s">
        <v>2018</v>
      </c>
      <c r="B69" s="583"/>
      <c r="C69" s="1487">
        <v>9699.8700000000008</v>
      </c>
      <c r="D69" s="1487">
        <v>10649.45</v>
      </c>
      <c r="E69" s="1487">
        <v>12240.53</v>
      </c>
      <c r="F69" s="1487">
        <v>10045.870000000001</v>
      </c>
      <c r="G69" s="1487">
        <v>9994.34</v>
      </c>
      <c r="H69" s="397" t="s">
        <v>1058</v>
      </c>
      <c r="I69" s="397"/>
      <c r="J69" s="397"/>
      <c r="K69" s="397"/>
      <c r="L69" s="1998"/>
      <c r="M69" s="1487">
        <v>10240.58</v>
      </c>
      <c r="N69" s="1487">
        <v>11166.46</v>
      </c>
      <c r="O69" s="1487">
        <v>13837.47</v>
      </c>
      <c r="P69" s="1487">
        <v>12362.99</v>
      </c>
      <c r="Q69" s="1487">
        <v>5326.67</v>
      </c>
      <c r="R69" s="1487">
        <v>10792.7</v>
      </c>
      <c r="S69" s="1487">
        <v>9878.2900000000009</v>
      </c>
      <c r="T69" s="1487"/>
      <c r="U69" s="1487"/>
      <c r="V69" s="1487"/>
      <c r="W69" s="1487"/>
      <c r="X69" s="1487"/>
      <c r="Y69" s="1487"/>
      <c r="Z69" s="1487"/>
      <c r="AA69" s="1487"/>
      <c r="AB69" s="1489"/>
      <c r="AF69" s="395"/>
      <c r="AG69" s="395"/>
      <c r="AH69" s="395"/>
    </row>
    <row r="70" spans="1:34">
      <c r="A70" s="1997" t="s">
        <v>2019</v>
      </c>
      <c r="B70" s="583"/>
      <c r="C70" s="1487">
        <v>5150.5200000000004</v>
      </c>
      <c r="D70" s="1487">
        <v>6112.71</v>
      </c>
      <c r="E70" s="1487">
        <v>7135.8</v>
      </c>
      <c r="F70" s="1487">
        <v>6525.56</v>
      </c>
      <c r="G70" s="1487">
        <v>6386.53</v>
      </c>
      <c r="H70" s="397" t="s">
        <v>1030</v>
      </c>
      <c r="I70" s="397"/>
      <c r="J70" s="397"/>
      <c r="K70" s="397"/>
      <c r="L70" s="1998"/>
      <c r="M70" s="1487">
        <v>7112.5</v>
      </c>
      <c r="N70" s="1487">
        <v>7682.41</v>
      </c>
      <c r="O70" s="1487">
        <v>7134.82</v>
      </c>
      <c r="P70" s="1487">
        <v>6873.91</v>
      </c>
      <c r="Q70" s="1487">
        <v>6912.08</v>
      </c>
      <c r="R70" s="1487">
        <v>7091.09</v>
      </c>
      <c r="S70" s="1487">
        <v>9968.57</v>
      </c>
      <c r="T70" s="1487"/>
      <c r="U70" s="1487"/>
      <c r="V70" s="1487"/>
      <c r="W70" s="1487"/>
      <c r="X70" s="1487"/>
      <c r="Y70" s="1487"/>
      <c r="Z70" s="1487"/>
      <c r="AA70" s="1487"/>
      <c r="AB70" s="1489"/>
      <c r="AF70" s="395"/>
      <c r="AG70" s="395"/>
      <c r="AH70" s="395"/>
    </row>
    <row r="71" spans="1:34">
      <c r="A71" s="1997" t="s">
        <v>2020</v>
      </c>
      <c r="B71" s="583"/>
      <c r="C71" s="1487">
        <v>11642.92</v>
      </c>
      <c r="D71" s="1487">
        <v>12096.44</v>
      </c>
      <c r="E71" s="1487">
        <v>12049.49</v>
      </c>
      <c r="F71" s="1487">
        <v>12329.28</v>
      </c>
      <c r="G71" s="1487">
        <v>12534.04</v>
      </c>
      <c r="H71" s="397" t="s">
        <v>1061</v>
      </c>
      <c r="I71" s="397"/>
      <c r="J71" s="397"/>
      <c r="K71" s="397"/>
      <c r="L71" s="1998"/>
      <c r="M71" s="1487">
        <v>13037.53</v>
      </c>
      <c r="N71" s="1487">
        <v>16464.32</v>
      </c>
      <c r="O71" s="1487">
        <v>13521.72</v>
      </c>
      <c r="P71" s="1487">
        <v>12148.43</v>
      </c>
      <c r="Q71" s="1487">
        <v>8009</v>
      </c>
      <c r="R71" s="1487">
        <v>7931.67</v>
      </c>
      <c r="S71" s="1487">
        <v>8822.84</v>
      </c>
      <c r="T71" s="1487"/>
      <c r="U71" s="1487"/>
      <c r="V71" s="1487"/>
      <c r="W71" s="1487"/>
      <c r="X71" s="1487"/>
      <c r="Y71" s="1487"/>
      <c r="Z71" s="1487"/>
      <c r="AA71" s="1487"/>
      <c r="AB71" s="1489"/>
      <c r="AF71" s="395"/>
      <c r="AG71" s="395"/>
      <c r="AH71" s="395"/>
    </row>
    <row r="72" spans="1:34">
      <c r="A72" s="1997" t="s">
        <v>2021</v>
      </c>
      <c r="B72" s="583"/>
      <c r="C72" s="397"/>
      <c r="D72" s="397"/>
      <c r="E72" s="397"/>
      <c r="F72" s="1487"/>
      <c r="G72" s="1487"/>
      <c r="H72" s="397" t="s">
        <v>1045</v>
      </c>
      <c r="I72" s="397"/>
      <c r="J72" s="397"/>
      <c r="K72" s="397"/>
      <c r="L72" s="1998"/>
      <c r="M72" s="1487"/>
      <c r="N72" s="1487"/>
      <c r="O72" s="1487">
        <v>165.04</v>
      </c>
      <c r="P72" s="1487">
        <v>331.66</v>
      </c>
      <c r="Q72" s="1487">
        <v>337.96</v>
      </c>
      <c r="R72" s="1487">
        <v>366.07</v>
      </c>
      <c r="S72" s="1487">
        <v>408.82</v>
      </c>
      <c r="T72" s="1487"/>
      <c r="U72" s="1487"/>
      <c r="V72" s="1487"/>
      <c r="W72" s="1487"/>
      <c r="X72" s="1487"/>
      <c r="Y72" s="1487"/>
      <c r="Z72" s="1487"/>
      <c r="AA72" s="1487"/>
      <c r="AB72" s="1489"/>
      <c r="AF72" s="395"/>
      <c r="AG72" s="395"/>
      <c r="AH72" s="395"/>
    </row>
    <row r="73" spans="1:34">
      <c r="A73" s="1997" t="s">
        <v>2022</v>
      </c>
      <c r="B73" s="583"/>
      <c r="C73" s="1487"/>
      <c r="D73" s="1487"/>
      <c r="E73" s="1487"/>
      <c r="F73" s="1487"/>
      <c r="G73" s="1487"/>
      <c r="H73" s="397" t="s">
        <v>1045</v>
      </c>
      <c r="I73" s="397"/>
      <c r="J73" s="397"/>
      <c r="K73" s="397"/>
      <c r="L73" s="1998"/>
      <c r="M73" s="1487"/>
      <c r="N73" s="1487"/>
      <c r="O73" s="1487">
        <v>107.59</v>
      </c>
      <c r="P73" s="1487">
        <v>276.99</v>
      </c>
      <c r="Q73" s="1487">
        <v>259.45999999999998</v>
      </c>
      <c r="R73" s="1487">
        <v>430.54</v>
      </c>
      <c r="S73" s="1487">
        <v>455.48</v>
      </c>
      <c r="T73" s="1487"/>
      <c r="U73" s="1487"/>
      <c r="V73" s="1487"/>
      <c r="W73" s="1487"/>
      <c r="X73" s="1487"/>
      <c r="Y73" s="1487"/>
      <c r="Z73" s="1487"/>
      <c r="AA73" s="1487"/>
      <c r="AB73" s="1489"/>
      <c r="AF73" s="395"/>
      <c r="AG73" s="395"/>
      <c r="AH73" s="395"/>
    </row>
    <row r="74" spans="1:34">
      <c r="A74" s="1997" t="s">
        <v>2023</v>
      </c>
      <c r="B74" s="583"/>
      <c r="C74" s="1487">
        <v>3760</v>
      </c>
      <c r="D74" s="1487">
        <v>3830.54</v>
      </c>
      <c r="E74" s="1487">
        <v>4032</v>
      </c>
      <c r="F74" s="1487">
        <v>4177</v>
      </c>
      <c r="G74" s="1487">
        <v>4334</v>
      </c>
      <c r="H74" s="397" t="s">
        <v>1067</v>
      </c>
      <c r="I74" s="397"/>
      <c r="J74" s="397"/>
      <c r="K74" s="397"/>
      <c r="L74" s="1998"/>
      <c r="M74" s="1487">
        <v>4412</v>
      </c>
      <c r="N74" s="1487">
        <v>4405</v>
      </c>
      <c r="O74" s="1487">
        <v>4549.5</v>
      </c>
      <c r="P74" s="1487">
        <v>6190</v>
      </c>
      <c r="Q74" s="1487">
        <v>6699.01</v>
      </c>
      <c r="R74" s="1487">
        <v>5015</v>
      </c>
      <c r="S74" s="1487">
        <v>1722</v>
      </c>
      <c r="T74" s="1487"/>
      <c r="U74" s="1487"/>
      <c r="V74" s="1487"/>
      <c r="W74" s="1487"/>
      <c r="X74" s="1487"/>
      <c r="Y74" s="1487"/>
      <c r="Z74" s="1487"/>
      <c r="AA74" s="1487"/>
      <c r="AB74" s="1489"/>
      <c r="AF74" s="395"/>
      <c r="AG74" s="395"/>
      <c r="AH74" s="395"/>
    </row>
    <row r="75" spans="1:34">
      <c r="A75" s="1997" t="s">
        <v>2024</v>
      </c>
      <c r="B75" s="583"/>
      <c r="C75" s="1487">
        <v>193.17</v>
      </c>
      <c r="D75" s="1487">
        <v>256.49</v>
      </c>
      <c r="E75" s="1487">
        <v>250.94</v>
      </c>
      <c r="F75" s="1487">
        <v>264.64</v>
      </c>
      <c r="G75" s="1487">
        <v>188.17</v>
      </c>
      <c r="H75" s="397" t="s">
        <v>1069</v>
      </c>
      <c r="I75" s="397"/>
      <c r="J75" s="397"/>
      <c r="K75" s="397"/>
      <c r="L75" s="1998"/>
      <c r="M75" s="1487">
        <v>280.38</v>
      </c>
      <c r="N75" s="1487">
        <v>241.95</v>
      </c>
      <c r="O75" s="1487">
        <v>307.77999999999997</v>
      </c>
      <c r="P75" s="1487">
        <v>283.83</v>
      </c>
      <c r="Q75" s="1487">
        <v>226.11</v>
      </c>
      <c r="R75" s="1487">
        <v>234.04</v>
      </c>
      <c r="S75" s="1487">
        <v>261.18</v>
      </c>
      <c r="T75" s="1487"/>
      <c r="U75" s="1487"/>
      <c r="V75" s="1487"/>
      <c r="W75" s="1487"/>
      <c r="X75" s="1487"/>
      <c r="Y75" s="1487"/>
      <c r="Z75" s="1487"/>
      <c r="AA75" s="1487"/>
      <c r="AB75" s="1489"/>
      <c r="AF75" s="395"/>
      <c r="AG75" s="395"/>
      <c r="AH75" s="395"/>
    </row>
    <row r="76" spans="1:34">
      <c r="A76" s="2004" t="s">
        <v>1083</v>
      </c>
      <c r="B76" s="2047"/>
      <c r="C76" s="2005">
        <f>SUM(C64:C75)</f>
        <v>204449.2</v>
      </c>
      <c r="D76" s="2005">
        <f>SUM(D64:D75)</f>
        <v>211961.34</v>
      </c>
      <c r="E76" s="2005">
        <f>SUM(E64:E75)</f>
        <v>224681.68999999997</v>
      </c>
      <c r="F76" s="2005">
        <f>SUM(F64:F75)</f>
        <v>229342.13999999998</v>
      </c>
      <c r="G76" s="2005">
        <f>SUM(G64:G75)</f>
        <v>229038.71000000002</v>
      </c>
      <c r="H76" s="2006"/>
      <c r="I76" s="2006"/>
      <c r="J76" s="2006"/>
      <c r="K76" s="2006"/>
      <c r="L76" s="2006"/>
      <c r="M76" s="2005">
        <f t="shared" ref="M76:W76" si="26">SUM(M38:M75)</f>
        <v>238910.81000000003</v>
      </c>
      <c r="N76" s="2005">
        <f t="shared" si="26"/>
        <v>251313.93000000005</v>
      </c>
      <c r="O76" s="2005">
        <f t="shared" si="26"/>
        <v>267052.09000000008</v>
      </c>
      <c r="P76" s="2005">
        <f t="shared" si="26"/>
        <v>262489.55</v>
      </c>
      <c r="Q76" s="2005">
        <f t="shared" si="26"/>
        <v>226451.71999999997</v>
      </c>
      <c r="R76" s="2005">
        <f t="shared" si="26"/>
        <v>231920.97</v>
      </c>
      <c r="S76" s="2005">
        <f t="shared" si="26"/>
        <v>223038.82</v>
      </c>
      <c r="T76" s="2005">
        <f t="shared" si="26"/>
        <v>237971.83000000005</v>
      </c>
      <c r="U76" s="2005">
        <f t="shared" si="26"/>
        <v>262179.27</v>
      </c>
      <c r="V76" s="2005">
        <f t="shared" si="26"/>
        <v>267597.84999999998</v>
      </c>
      <c r="W76" s="2005">
        <f t="shared" si="26"/>
        <v>184693.73999999996</v>
      </c>
      <c r="X76" s="2005">
        <f>SUM(X38:X75)</f>
        <v>214788.15</v>
      </c>
      <c r="Y76" s="2005">
        <f>SUM(Y38:Y75)</f>
        <v>225526.93999999997</v>
      </c>
      <c r="Z76" s="2005">
        <f>SUM(Z38:Z75)</f>
        <v>196467.49000000002</v>
      </c>
      <c r="AA76" s="2005">
        <f>SUM(AA38:AA75)</f>
        <v>199442.81</v>
      </c>
      <c r="AB76" s="3150">
        <f>SUM(AB38:AB75)</f>
        <v>0</v>
      </c>
      <c r="AF76" s="395"/>
      <c r="AG76" s="395"/>
      <c r="AH76" s="395"/>
    </row>
    <row r="77" spans="1:34">
      <c r="A77" s="1993" t="s">
        <v>990</v>
      </c>
      <c r="B77" s="1994"/>
      <c r="C77" s="1994"/>
      <c r="D77" s="1994"/>
      <c r="E77" s="1994"/>
      <c r="F77" s="1994"/>
      <c r="G77" s="1994"/>
      <c r="H77" s="1995"/>
      <c r="I77" s="1995"/>
      <c r="J77" s="1995"/>
      <c r="K77" s="1995"/>
      <c r="L77" s="1996"/>
      <c r="M77" s="1487"/>
      <c r="N77" s="1487"/>
      <c r="O77" s="1487"/>
      <c r="P77" s="397"/>
      <c r="Q77" s="397"/>
      <c r="R77" s="397"/>
      <c r="S77" s="397"/>
      <c r="T77" s="397"/>
      <c r="U77" s="1487"/>
      <c r="V77" s="1487"/>
      <c r="W77" s="1487"/>
      <c r="X77" s="1487"/>
      <c r="Y77" s="1487"/>
      <c r="Z77" s="1487"/>
      <c r="AA77" s="1487"/>
      <c r="AB77" s="1489"/>
      <c r="AF77" s="395"/>
      <c r="AG77" s="395"/>
      <c r="AH77" s="395"/>
    </row>
    <row r="78" spans="1:34">
      <c r="A78" s="1997" t="s">
        <v>2025</v>
      </c>
      <c r="B78" s="583" t="s">
        <v>7417</v>
      </c>
      <c r="C78" s="1487"/>
      <c r="D78" s="1487"/>
      <c r="E78" s="1487"/>
      <c r="F78" s="1487"/>
      <c r="G78" s="1487"/>
      <c r="H78" s="397" t="s">
        <v>2026</v>
      </c>
      <c r="I78" s="397"/>
      <c r="J78" s="397"/>
      <c r="K78" s="397"/>
      <c r="L78" s="1998"/>
      <c r="M78" s="1487"/>
      <c r="N78" s="1487"/>
      <c r="O78" s="1487"/>
      <c r="P78" s="1487"/>
      <c r="Q78" s="1487"/>
      <c r="R78" s="1487"/>
      <c r="S78" s="1487"/>
      <c r="T78" s="1487">
        <v>2555.67</v>
      </c>
      <c r="U78" s="1487">
        <v>1778.3</v>
      </c>
      <c r="V78" s="1487">
        <v>1714.81</v>
      </c>
      <c r="W78" s="1487">
        <v>1659.15</v>
      </c>
      <c r="X78" s="1487">
        <v>573.5</v>
      </c>
      <c r="Y78" s="1487">
        <v>546.83000000000004</v>
      </c>
      <c r="Z78" s="1487">
        <v>194.93</v>
      </c>
      <c r="AA78" s="1487"/>
      <c r="AB78" s="1489"/>
      <c r="AF78" s="395"/>
      <c r="AG78" s="395"/>
      <c r="AH78" s="395"/>
    </row>
    <row r="79" spans="1:34">
      <c r="A79" s="1997"/>
      <c r="B79" s="583" t="s">
        <v>7418</v>
      </c>
      <c r="C79" s="1487"/>
      <c r="D79" s="1487"/>
      <c r="E79" s="1487"/>
      <c r="F79" s="1487"/>
      <c r="G79" s="1487"/>
      <c r="H79" s="397" t="s">
        <v>7357</v>
      </c>
      <c r="I79" s="397"/>
      <c r="J79" s="397"/>
      <c r="K79" s="397"/>
      <c r="L79" s="1998"/>
      <c r="M79" s="1487"/>
      <c r="N79" s="1487"/>
      <c r="O79" s="1487"/>
      <c r="P79" s="1487"/>
      <c r="Q79" s="1487"/>
      <c r="R79" s="1487"/>
      <c r="S79" s="1487"/>
      <c r="T79" s="1487"/>
      <c r="U79" s="1487"/>
      <c r="V79" s="1487"/>
      <c r="W79" s="1487"/>
      <c r="X79" s="1487"/>
      <c r="Y79" s="1487"/>
      <c r="Z79" s="1487">
        <v>317.58</v>
      </c>
      <c r="AA79" s="1487">
        <v>1487.08</v>
      </c>
      <c r="AB79" s="1489"/>
      <c r="AF79" s="395"/>
      <c r="AG79" s="395"/>
      <c r="AH79" s="395"/>
    </row>
    <row r="80" spans="1:34">
      <c r="A80" s="1997" t="s">
        <v>2027</v>
      </c>
      <c r="B80" s="583" t="s">
        <v>7419</v>
      </c>
      <c r="C80" s="1487"/>
      <c r="D80" s="1487"/>
      <c r="E80" s="1487"/>
      <c r="F80" s="1487"/>
      <c r="G80" s="1487"/>
      <c r="H80" s="397" t="s">
        <v>1832</v>
      </c>
      <c r="I80" s="397"/>
      <c r="J80" s="397"/>
      <c r="K80" s="397"/>
      <c r="L80" s="1998"/>
      <c r="M80" s="1487"/>
      <c r="N80" s="1487"/>
      <c r="O80" s="1487"/>
      <c r="P80" s="1487"/>
      <c r="Q80" s="1487"/>
      <c r="R80" s="1487"/>
      <c r="S80" s="1487"/>
      <c r="T80" s="1487">
        <v>4170.01</v>
      </c>
      <c r="U80" s="1487">
        <v>3928.77</v>
      </c>
      <c r="V80" s="1487">
        <v>6218.18</v>
      </c>
      <c r="W80" s="1487">
        <v>7560.34</v>
      </c>
      <c r="X80" s="1487">
        <v>6543.83</v>
      </c>
      <c r="Y80" s="1487">
        <v>10208.16</v>
      </c>
      <c r="Z80" s="1487">
        <v>14043.59</v>
      </c>
      <c r="AA80" s="1487">
        <v>9186.17</v>
      </c>
      <c r="AB80" s="1489"/>
      <c r="AF80" s="395"/>
      <c r="AG80" s="395"/>
      <c r="AH80" s="395"/>
    </row>
    <row r="81" spans="1:34">
      <c r="A81" s="1997" t="s">
        <v>2028</v>
      </c>
      <c r="B81" s="583"/>
      <c r="C81" s="1487"/>
      <c r="D81" s="1487"/>
      <c r="E81" s="1487"/>
      <c r="F81" s="1487"/>
      <c r="G81" s="1487"/>
      <c r="H81" s="397" t="s">
        <v>2029</v>
      </c>
      <c r="I81" s="397"/>
      <c r="J81" s="397"/>
      <c r="K81" s="397"/>
      <c r="L81" s="1998"/>
      <c r="M81" s="1487"/>
      <c r="N81" s="1487"/>
      <c r="O81" s="1487"/>
      <c r="P81" s="1487"/>
      <c r="Q81" s="1487"/>
      <c r="R81" s="1487"/>
      <c r="S81" s="1487"/>
      <c r="T81" s="1487">
        <v>3961.12</v>
      </c>
      <c r="U81" s="1487">
        <v>1566.93</v>
      </c>
      <c r="V81" s="1487">
        <v>3990.86</v>
      </c>
      <c r="W81" s="1487">
        <v>4561.42</v>
      </c>
      <c r="X81" s="1487">
        <v>5940.07</v>
      </c>
      <c r="Y81" s="1487">
        <v>11102.73</v>
      </c>
      <c r="Z81" s="1487"/>
      <c r="AA81" s="1487"/>
      <c r="AB81" s="1489"/>
      <c r="AF81" s="395"/>
      <c r="AG81" s="395"/>
      <c r="AH81" s="395"/>
    </row>
    <row r="82" spans="1:34">
      <c r="A82" s="1997" t="s">
        <v>2030</v>
      </c>
      <c r="B82" s="583" t="s">
        <v>7420</v>
      </c>
      <c r="C82" s="1487">
        <v>23410.89</v>
      </c>
      <c r="D82" s="1487">
        <v>20597.23</v>
      </c>
      <c r="E82" s="1487">
        <v>25579.27</v>
      </c>
      <c r="F82" s="1487">
        <v>27290.66</v>
      </c>
      <c r="G82" s="1487">
        <v>31205.63</v>
      </c>
      <c r="H82" s="397" t="s">
        <v>1322</v>
      </c>
      <c r="I82" s="397"/>
      <c r="J82" s="397"/>
      <c r="K82" s="397"/>
      <c r="L82" s="1998"/>
      <c r="M82" s="1487">
        <v>35035.29</v>
      </c>
      <c r="N82" s="1487">
        <v>37599.17</v>
      </c>
      <c r="O82" s="1487">
        <v>24646</v>
      </c>
      <c r="P82" s="1487">
        <v>23787.4</v>
      </c>
      <c r="Q82" s="1487">
        <v>23721.05</v>
      </c>
      <c r="R82" s="1487">
        <v>18305.8</v>
      </c>
      <c r="S82" s="1487">
        <v>20139.84</v>
      </c>
      <c r="T82" s="1487">
        <v>20041.599999999999</v>
      </c>
      <c r="U82" s="1487">
        <v>19662.830000000002</v>
      </c>
      <c r="V82" s="1487">
        <v>20553.2</v>
      </c>
      <c r="W82" s="1487">
        <v>15984.96</v>
      </c>
      <c r="X82" s="1487">
        <v>22695.33</v>
      </c>
      <c r="Y82" s="1487">
        <v>13763.53</v>
      </c>
      <c r="Z82" s="1487">
        <v>19059.72</v>
      </c>
      <c r="AA82" s="1487">
        <v>27947.09</v>
      </c>
      <c r="AB82" s="1489"/>
      <c r="AF82" s="395"/>
      <c r="AG82" s="395"/>
      <c r="AH82" s="395"/>
    </row>
    <row r="83" spans="1:34">
      <c r="A83" s="1997" t="s">
        <v>2031</v>
      </c>
      <c r="B83" s="583" t="s">
        <v>7421</v>
      </c>
      <c r="C83" s="1487">
        <v>31056.13</v>
      </c>
      <c r="D83" s="1487">
        <v>27890.61</v>
      </c>
      <c r="E83" s="1487">
        <v>20783</v>
      </c>
      <c r="F83" s="1487">
        <v>26986.54</v>
      </c>
      <c r="G83" s="1487">
        <v>28956.28</v>
      </c>
      <c r="H83" s="397" t="s">
        <v>1324</v>
      </c>
      <c r="I83" s="397"/>
      <c r="J83" s="397"/>
      <c r="K83" s="397"/>
      <c r="L83" s="1998"/>
      <c r="M83" s="1487">
        <v>36894.050000000003</v>
      </c>
      <c r="N83" s="1487">
        <v>53160.17</v>
      </c>
      <c r="O83" s="1487">
        <v>46689.51</v>
      </c>
      <c r="P83" s="1487">
        <v>51823.47</v>
      </c>
      <c r="Q83" s="1487">
        <v>51376.03</v>
      </c>
      <c r="R83" s="1487">
        <v>54077.91</v>
      </c>
      <c r="S83" s="1487">
        <v>59371.87</v>
      </c>
      <c r="T83" s="1487">
        <v>49417.760000000002</v>
      </c>
      <c r="U83" s="1487">
        <v>36838.46</v>
      </c>
      <c r="V83" s="1487">
        <v>41830.01</v>
      </c>
      <c r="W83" s="1487">
        <v>39590.910000000003</v>
      </c>
      <c r="X83" s="1487">
        <v>41076.300000000003</v>
      </c>
      <c r="Y83" s="1487">
        <v>26472.31</v>
      </c>
      <c r="Z83" s="1487">
        <v>20330.29</v>
      </c>
      <c r="AA83" s="1487">
        <v>49775.199999999997</v>
      </c>
      <c r="AB83" s="1489"/>
      <c r="AF83" s="395"/>
      <c r="AG83" s="395"/>
      <c r="AH83" s="395"/>
    </row>
    <row r="84" spans="1:34">
      <c r="A84" s="1997" t="s">
        <v>2032</v>
      </c>
      <c r="B84" s="583" t="s">
        <v>7422</v>
      </c>
      <c r="C84" s="1487">
        <v>7485.52</v>
      </c>
      <c r="D84" s="1487">
        <v>8427.0400000000009</v>
      </c>
      <c r="E84" s="1487">
        <v>9494.06</v>
      </c>
      <c r="F84" s="1487">
        <v>9814.5400000000009</v>
      </c>
      <c r="G84" s="1487">
        <v>11833.42</v>
      </c>
      <c r="H84" s="397" t="s">
        <v>1375</v>
      </c>
      <c r="I84" s="397"/>
      <c r="J84" s="397"/>
      <c r="K84" s="397"/>
      <c r="L84" s="1998"/>
      <c r="M84" s="1487">
        <v>14083.68</v>
      </c>
      <c r="N84" s="1487">
        <v>18051.599999999999</v>
      </c>
      <c r="O84" s="1487">
        <v>19475.53</v>
      </c>
      <c r="P84" s="1487">
        <f>20067.13+91.25</f>
        <v>20158.38</v>
      </c>
      <c r="Q84" s="1487">
        <v>22968.1</v>
      </c>
      <c r="R84" s="1487">
        <v>26710.43</v>
      </c>
      <c r="S84" s="1487">
        <v>25645.64</v>
      </c>
      <c r="T84" s="1487">
        <v>19529.939999999999</v>
      </c>
      <c r="U84" s="1487">
        <v>21111.94</v>
      </c>
      <c r="V84" s="1487">
        <v>17763.89</v>
      </c>
      <c r="W84" s="1487">
        <v>12395.95</v>
      </c>
      <c r="X84" s="1487">
        <v>10005.11</v>
      </c>
      <c r="Y84" s="1487">
        <v>8362.6</v>
      </c>
      <c r="Z84" s="1487">
        <v>6964.36</v>
      </c>
      <c r="AA84" s="1487">
        <v>10377.74</v>
      </c>
      <c r="AB84" s="1489"/>
      <c r="AF84" s="395"/>
      <c r="AG84" s="395"/>
      <c r="AH84" s="395"/>
    </row>
    <row r="85" spans="1:34">
      <c r="A85" s="1997" t="s">
        <v>2033</v>
      </c>
      <c r="B85" s="583" t="s">
        <v>5146</v>
      </c>
      <c r="C85" s="1487"/>
      <c r="D85" s="1487"/>
      <c r="E85" s="1487"/>
      <c r="F85" s="1487"/>
      <c r="G85" s="1487"/>
      <c r="H85" s="397" t="s">
        <v>1678</v>
      </c>
      <c r="I85" s="397"/>
      <c r="J85" s="397"/>
      <c r="K85" s="397"/>
      <c r="L85" s="1998"/>
      <c r="M85" s="1487"/>
      <c r="N85" s="1487"/>
      <c r="O85" s="1487"/>
      <c r="P85" s="1487"/>
      <c r="Q85" s="1487"/>
      <c r="R85" s="1487"/>
      <c r="S85" s="1487"/>
      <c r="T85" s="1487">
        <v>3887.24</v>
      </c>
      <c r="U85" s="1487">
        <v>2921.88</v>
      </c>
      <c r="V85" s="1487">
        <v>2761.18</v>
      </c>
      <c r="W85" s="1487">
        <v>2381.77</v>
      </c>
      <c r="X85" s="1487">
        <v>2431.4699999999998</v>
      </c>
      <c r="Y85" s="1487">
        <v>2030.51</v>
      </c>
      <c r="Z85" s="1487">
        <v>2090.75</v>
      </c>
      <c r="AA85" s="1487">
        <v>2153.5</v>
      </c>
      <c r="AB85" s="1489"/>
      <c r="AF85" s="395"/>
      <c r="AG85" s="395"/>
      <c r="AH85" s="395"/>
    </row>
    <row r="86" spans="1:34">
      <c r="A86" s="1997" t="s">
        <v>7405</v>
      </c>
      <c r="B86" s="583" t="s">
        <v>7423</v>
      </c>
      <c r="C86" s="1487"/>
      <c r="D86" s="1487"/>
      <c r="E86" s="1487"/>
      <c r="F86" s="1487"/>
      <c r="G86" s="1487"/>
      <c r="H86" s="397" t="s">
        <v>7406</v>
      </c>
      <c r="I86" s="397"/>
      <c r="J86" s="397"/>
      <c r="K86" s="397"/>
      <c r="L86" s="1998"/>
      <c r="M86" s="1487"/>
      <c r="N86" s="1487"/>
      <c r="O86" s="1487"/>
      <c r="P86" s="1487"/>
      <c r="Q86" s="1487"/>
      <c r="R86" s="1487"/>
      <c r="S86" s="1487"/>
      <c r="T86" s="1487"/>
      <c r="U86" s="1487"/>
      <c r="V86" s="1487"/>
      <c r="W86" s="1487"/>
      <c r="X86" s="1487"/>
      <c r="Y86" s="1487">
        <v>114.35</v>
      </c>
      <c r="Z86" s="1487">
        <v>561.77</v>
      </c>
      <c r="AA86" s="1487">
        <v>554.5</v>
      </c>
      <c r="AB86" s="1489"/>
      <c r="AF86" s="395"/>
      <c r="AG86" s="395"/>
      <c r="AH86" s="395"/>
    </row>
    <row r="87" spans="1:34">
      <c r="A87" s="1997" t="s">
        <v>2034</v>
      </c>
      <c r="B87" s="583" t="s">
        <v>7424</v>
      </c>
      <c r="C87" s="1487"/>
      <c r="D87" s="1487"/>
      <c r="E87" s="1487"/>
      <c r="F87" s="1487"/>
      <c r="G87" s="1487"/>
      <c r="H87" s="397" t="s">
        <v>7425</v>
      </c>
      <c r="I87" s="397"/>
      <c r="J87" s="397"/>
      <c r="K87" s="397"/>
      <c r="L87" s="1998"/>
      <c r="M87" s="1487"/>
      <c r="N87" s="1487"/>
      <c r="O87" s="1487"/>
      <c r="P87" s="1487"/>
      <c r="Q87" s="1487"/>
      <c r="R87" s="1487"/>
      <c r="S87" s="1487"/>
      <c r="T87" s="1487"/>
      <c r="U87" s="1487">
        <v>1816.04</v>
      </c>
      <c r="V87" s="1487">
        <v>899.25</v>
      </c>
      <c r="W87" s="1487">
        <v>166.8</v>
      </c>
      <c r="X87" s="1487">
        <v>1207.06</v>
      </c>
      <c r="Y87" s="1487">
        <v>984.6</v>
      </c>
      <c r="Z87" s="1487"/>
      <c r="AA87" s="1487">
        <v>528.5</v>
      </c>
      <c r="AB87" s="1489"/>
      <c r="AF87" s="395"/>
      <c r="AG87" s="395"/>
      <c r="AH87" s="395"/>
    </row>
    <row r="88" spans="1:34">
      <c r="A88" s="1997" t="s">
        <v>2035</v>
      </c>
      <c r="B88" s="583"/>
      <c r="C88" s="1487"/>
      <c r="D88" s="1487"/>
      <c r="E88" s="1487"/>
      <c r="F88" s="1487"/>
      <c r="G88" s="1487"/>
      <c r="H88" s="397" t="s">
        <v>2036</v>
      </c>
      <c r="I88" s="397"/>
      <c r="J88" s="397"/>
      <c r="K88" s="397"/>
      <c r="L88" s="1998"/>
      <c r="M88" s="1487"/>
      <c r="N88" s="1487"/>
      <c r="O88" s="1487"/>
      <c r="P88" s="1487"/>
      <c r="Q88" s="1487"/>
      <c r="R88" s="1487"/>
      <c r="S88" s="1487"/>
      <c r="T88" s="1487">
        <v>80.33</v>
      </c>
      <c r="U88" s="1487"/>
      <c r="V88" s="1487"/>
      <c r="W88" s="1487"/>
      <c r="X88" s="1487"/>
      <c r="Y88" s="1487"/>
      <c r="Z88" s="1487"/>
      <c r="AA88" s="1487"/>
      <c r="AB88" s="1489"/>
      <c r="AF88" s="395"/>
      <c r="AG88" s="395"/>
      <c r="AH88" s="395"/>
    </row>
    <row r="89" spans="1:34">
      <c r="A89" s="1997" t="s">
        <v>2037</v>
      </c>
      <c r="B89" s="583" t="s">
        <v>7426</v>
      </c>
      <c r="C89" s="1487"/>
      <c r="D89" s="1487"/>
      <c r="E89" s="1487"/>
      <c r="F89" s="1487"/>
      <c r="G89" s="1487"/>
      <c r="H89" s="397" t="s">
        <v>1096</v>
      </c>
      <c r="I89" s="397"/>
      <c r="J89" s="397"/>
      <c r="K89" s="397"/>
      <c r="L89" s="1998"/>
      <c r="M89" s="1487"/>
      <c r="N89" s="1487"/>
      <c r="O89" s="1487"/>
      <c r="P89" s="1487"/>
      <c r="Q89" s="1487"/>
      <c r="R89" s="1487"/>
      <c r="S89" s="1487"/>
      <c r="T89" s="1487">
        <v>412.08</v>
      </c>
      <c r="U89" s="1487">
        <v>468.06</v>
      </c>
      <c r="V89" s="1487">
        <v>437.15</v>
      </c>
      <c r="W89" s="1487">
        <v>0</v>
      </c>
      <c r="X89" s="1487">
        <v>102.09</v>
      </c>
      <c r="Y89" s="1487">
        <v>149.55000000000001</v>
      </c>
      <c r="Z89" s="1487">
        <v>88.21</v>
      </c>
      <c r="AA89" s="1487">
        <v>71.44</v>
      </c>
      <c r="AB89" s="1489"/>
      <c r="AF89" s="395"/>
      <c r="AG89" s="395"/>
      <c r="AH89" s="395"/>
    </row>
    <row r="90" spans="1:34">
      <c r="A90" s="1997" t="s">
        <v>2038</v>
      </c>
      <c r="B90" s="583" t="s">
        <v>7427</v>
      </c>
      <c r="C90" s="1487"/>
      <c r="D90" s="1487"/>
      <c r="E90" s="1487"/>
      <c r="F90" s="1487"/>
      <c r="G90" s="1487"/>
      <c r="H90" s="397" t="s">
        <v>1102</v>
      </c>
      <c r="I90" s="397"/>
      <c r="J90" s="397"/>
      <c r="K90" s="397"/>
      <c r="L90" s="1998"/>
      <c r="M90" s="1487"/>
      <c r="N90" s="1487"/>
      <c r="O90" s="1487"/>
      <c r="P90" s="1487"/>
      <c r="Q90" s="1487"/>
      <c r="R90" s="1487"/>
      <c r="S90" s="1487"/>
      <c r="T90" s="1487">
        <v>1040.1199999999999</v>
      </c>
      <c r="U90" s="1487">
        <v>972.21</v>
      </c>
      <c r="V90" s="1487">
        <v>983.63</v>
      </c>
      <c r="W90" s="1487">
        <v>279.08999999999997</v>
      </c>
      <c r="X90" s="1487">
        <v>308.26</v>
      </c>
      <c r="Y90" s="1487">
        <v>313.70999999999998</v>
      </c>
      <c r="Z90" s="1487">
        <v>564.38</v>
      </c>
      <c r="AA90" s="1487">
        <v>481.67</v>
      </c>
      <c r="AB90" s="1489"/>
      <c r="AF90" s="395"/>
      <c r="AG90" s="395"/>
      <c r="AH90" s="395"/>
    </row>
    <row r="91" spans="1:34">
      <c r="A91" s="1997" t="s">
        <v>2039</v>
      </c>
      <c r="B91" s="583" t="s">
        <v>7428</v>
      </c>
      <c r="C91" s="1487"/>
      <c r="D91" s="1487"/>
      <c r="E91" s="1487"/>
      <c r="F91" s="1487"/>
      <c r="G91" s="1487"/>
      <c r="H91" s="397" t="s">
        <v>1578</v>
      </c>
      <c r="I91" s="397"/>
      <c r="J91" s="397"/>
      <c r="K91" s="397"/>
      <c r="L91" s="1998"/>
      <c r="M91" s="1487"/>
      <c r="N91" s="1487"/>
      <c r="O91" s="1487"/>
      <c r="P91" s="1487"/>
      <c r="Q91" s="1487"/>
      <c r="R91" s="1487"/>
      <c r="S91" s="1487"/>
      <c r="T91" s="1487">
        <v>800.29</v>
      </c>
      <c r="U91" s="1487">
        <v>172.78</v>
      </c>
      <c r="V91" s="1487">
        <v>172.78</v>
      </c>
      <c r="W91" s="1487">
        <v>235.8</v>
      </c>
      <c r="X91" s="1487">
        <v>43.02</v>
      </c>
      <c r="Y91" s="1487"/>
      <c r="Z91" s="1487"/>
      <c r="AA91" s="1487"/>
      <c r="AB91" s="1489"/>
      <c r="AF91" s="395"/>
      <c r="AG91" s="395"/>
      <c r="AH91" s="395"/>
    </row>
    <row r="92" spans="1:34">
      <c r="A92" s="1997" t="s">
        <v>2040</v>
      </c>
      <c r="B92" s="583" t="s">
        <v>7429</v>
      </c>
      <c r="C92" s="1487"/>
      <c r="D92" s="1487"/>
      <c r="E92" s="1487"/>
      <c r="F92" s="1487"/>
      <c r="G92" s="1487"/>
      <c r="H92" s="397" t="s">
        <v>7395</v>
      </c>
      <c r="I92" s="397"/>
      <c r="J92" s="397"/>
      <c r="K92" s="397"/>
      <c r="L92" s="1998"/>
      <c r="M92" s="1487"/>
      <c r="N92" s="1487"/>
      <c r="O92" s="1487"/>
      <c r="P92" s="1487"/>
      <c r="Q92" s="1487"/>
      <c r="R92" s="1487"/>
      <c r="S92" s="1487"/>
      <c r="T92" s="1487">
        <v>836.05</v>
      </c>
      <c r="U92" s="1487">
        <v>836.08</v>
      </c>
      <c r="V92" s="1487">
        <v>830.88</v>
      </c>
      <c r="W92" s="1487">
        <v>836.05</v>
      </c>
      <c r="X92" s="1487">
        <v>457.21</v>
      </c>
      <c r="Y92" s="1487">
        <v>234.33</v>
      </c>
      <c r="Z92" s="1487">
        <v>6273.68</v>
      </c>
      <c r="AA92" s="1487">
        <v>6217.61</v>
      </c>
      <c r="AB92" s="1489"/>
      <c r="AF92" s="395"/>
      <c r="AG92" s="395"/>
      <c r="AH92" s="395"/>
    </row>
    <row r="93" spans="1:34">
      <c r="A93" s="1997"/>
      <c r="B93" s="583" t="s">
        <v>7430</v>
      </c>
      <c r="C93" s="1487"/>
      <c r="D93" s="1487"/>
      <c r="E93" s="1487"/>
      <c r="F93" s="1487"/>
      <c r="G93" s="1487"/>
      <c r="H93" s="397" t="s">
        <v>7431</v>
      </c>
      <c r="I93" s="397"/>
      <c r="J93" s="397"/>
      <c r="K93" s="397"/>
      <c r="L93" s="1998"/>
      <c r="M93" s="1487"/>
      <c r="N93" s="1487"/>
      <c r="O93" s="1487"/>
      <c r="P93" s="1487"/>
      <c r="Q93" s="1487"/>
      <c r="R93" s="1487"/>
      <c r="S93" s="1487"/>
      <c r="T93" s="1487"/>
      <c r="U93" s="1487"/>
      <c r="V93" s="1487"/>
      <c r="W93" s="1487"/>
      <c r="X93" s="1487"/>
      <c r="Y93" s="1487"/>
      <c r="Z93" s="1487">
        <v>5620.58</v>
      </c>
      <c r="AA93" s="1487">
        <v>4346.42</v>
      </c>
      <c r="AB93" s="1489"/>
      <c r="AF93" s="395"/>
      <c r="AG93" s="395"/>
      <c r="AH93" s="395"/>
    </row>
    <row r="94" spans="1:34">
      <c r="A94" s="1997" t="s">
        <v>2041</v>
      </c>
      <c r="B94" s="583" t="s">
        <v>7432</v>
      </c>
      <c r="C94" s="1487"/>
      <c r="D94" s="1487"/>
      <c r="E94" s="1487"/>
      <c r="F94" s="1487"/>
      <c r="G94" s="1487"/>
      <c r="H94" s="397" t="s">
        <v>1109</v>
      </c>
      <c r="I94" s="397"/>
      <c r="J94" s="397"/>
      <c r="K94" s="397"/>
      <c r="L94" s="1998"/>
      <c r="M94" s="1487"/>
      <c r="N94" s="1487"/>
      <c r="O94" s="1487"/>
      <c r="P94" s="1487"/>
      <c r="Q94" s="1487"/>
      <c r="R94" s="1487"/>
      <c r="S94" s="1487"/>
      <c r="T94" s="1487">
        <v>1743.55</v>
      </c>
      <c r="U94" s="1487">
        <v>1779.49</v>
      </c>
      <c r="V94" s="1487">
        <v>1145.28</v>
      </c>
      <c r="W94" s="1487">
        <v>2151.3200000000002</v>
      </c>
      <c r="X94" s="1487">
        <v>2039.88</v>
      </c>
      <c r="Y94" s="1487">
        <v>1491.02</v>
      </c>
      <c r="Z94" s="1487">
        <v>92.24</v>
      </c>
      <c r="AA94" s="1487">
        <v>1576.07</v>
      </c>
      <c r="AB94" s="1489"/>
      <c r="AF94" s="395"/>
      <c r="AG94" s="395"/>
      <c r="AH94" s="395"/>
    </row>
    <row r="95" spans="1:34">
      <c r="A95" s="1997" t="s">
        <v>2042</v>
      </c>
      <c r="B95" s="583" t="s">
        <v>7433</v>
      </c>
      <c r="C95" s="397"/>
      <c r="D95" s="397"/>
      <c r="E95" s="397"/>
      <c r="F95" s="397"/>
      <c r="G95" s="397"/>
      <c r="H95" s="1487" t="s">
        <v>2043</v>
      </c>
      <c r="I95" s="1487"/>
      <c r="J95" s="1487"/>
      <c r="K95" s="1487"/>
      <c r="L95" s="1489"/>
      <c r="M95" s="1487"/>
      <c r="N95" s="1487"/>
      <c r="O95" s="1487"/>
      <c r="P95" s="1487"/>
      <c r="Q95" s="1487"/>
      <c r="R95" s="1487"/>
      <c r="S95" s="1487"/>
      <c r="T95" s="1487"/>
      <c r="U95" s="1487">
        <v>48.97</v>
      </c>
      <c r="V95" s="1487">
        <v>72.349999999999994</v>
      </c>
      <c r="W95" s="1487">
        <v>18.489999999999998</v>
      </c>
      <c r="X95" s="1487">
        <v>93.55</v>
      </c>
      <c r="Y95" s="1487"/>
      <c r="Z95" s="1487">
        <v>11.55</v>
      </c>
      <c r="AA95" s="1487"/>
      <c r="AB95" s="1489"/>
      <c r="AF95" s="395"/>
      <c r="AG95" s="395"/>
      <c r="AH95" s="395"/>
    </row>
    <row r="96" spans="1:34">
      <c r="A96" s="1997" t="s">
        <v>2044</v>
      </c>
      <c r="B96" s="583" t="s">
        <v>7434</v>
      </c>
      <c r="C96" s="1487"/>
      <c r="D96" s="1487"/>
      <c r="E96" s="1487"/>
      <c r="F96" s="1487"/>
      <c r="G96" s="1487"/>
      <c r="H96" s="397" t="s">
        <v>1087</v>
      </c>
      <c r="I96" s="397"/>
      <c r="J96" s="397"/>
      <c r="K96" s="397"/>
      <c r="L96" s="1998"/>
      <c r="M96" s="1487"/>
      <c r="N96" s="1487"/>
      <c r="O96" s="1487"/>
      <c r="P96" s="1487"/>
      <c r="Q96" s="1487"/>
      <c r="R96" s="1487"/>
      <c r="S96" s="1487"/>
      <c r="T96" s="1487">
        <v>9075.3799999999992</v>
      </c>
      <c r="U96" s="1487">
        <v>12553.36</v>
      </c>
      <c r="V96" s="1487">
        <v>10752.05</v>
      </c>
      <c r="W96" s="1487">
        <v>9410.3700000000008</v>
      </c>
      <c r="X96" s="1487">
        <v>10219.76</v>
      </c>
      <c r="Y96" s="1487">
        <v>8851.32</v>
      </c>
      <c r="Z96" s="1487">
        <v>8059.78</v>
      </c>
      <c r="AA96" s="1487">
        <v>9816.42</v>
      </c>
      <c r="AB96" s="1489"/>
      <c r="AF96" s="395"/>
      <c r="AG96" s="395"/>
      <c r="AH96" s="395"/>
    </row>
    <row r="97" spans="1:34">
      <c r="A97" s="1997" t="s">
        <v>2045</v>
      </c>
      <c r="B97" s="583" t="s">
        <v>7435</v>
      </c>
      <c r="C97" s="1487"/>
      <c r="D97" s="1487"/>
      <c r="E97" s="1487"/>
      <c r="F97" s="1487"/>
      <c r="G97" s="1487"/>
      <c r="H97" s="397" t="s">
        <v>1115</v>
      </c>
      <c r="I97" s="397"/>
      <c r="J97" s="397"/>
      <c r="K97" s="397"/>
      <c r="L97" s="1998"/>
      <c r="M97" s="1487"/>
      <c r="N97" s="1487"/>
      <c r="O97" s="1487"/>
      <c r="P97" s="1487"/>
      <c r="Q97" s="1487"/>
      <c r="R97" s="1487"/>
      <c r="S97" s="1487"/>
      <c r="T97" s="1487">
        <v>150</v>
      </c>
      <c r="U97" s="1487">
        <v>481.15</v>
      </c>
      <c r="V97" s="1487">
        <v>215.01</v>
      </c>
      <c r="W97" s="1487">
        <v>115.02</v>
      </c>
      <c r="X97" s="1487">
        <v>329.99</v>
      </c>
      <c r="Y97" s="1487">
        <v>370</v>
      </c>
      <c r="Z97" s="1487">
        <v>245</v>
      </c>
      <c r="AA97" s="1487">
        <v>305.01</v>
      </c>
      <c r="AB97" s="1489"/>
      <c r="AF97" s="395"/>
      <c r="AG97" s="395"/>
      <c r="AH97" s="395"/>
    </row>
    <row r="98" spans="1:34">
      <c r="A98" s="1997" t="s">
        <v>2046</v>
      </c>
      <c r="B98" s="583" t="s">
        <v>7436</v>
      </c>
      <c r="C98" s="1487"/>
      <c r="D98" s="1487"/>
      <c r="E98" s="1487"/>
      <c r="F98" s="1487"/>
      <c r="G98" s="1487"/>
      <c r="H98" s="397" t="s">
        <v>1849</v>
      </c>
      <c r="I98" s="397"/>
      <c r="J98" s="397"/>
      <c r="K98" s="397"/>
      <c r="L98" s="1998"/>
      <c r="M98" s="1487"/>
      <c r="N98" s="1487"/>
      <c r="O98" s="1487"/>
      <c r="P98" s="1487"/>
      <c r="Q98" s="1487"/>
      <c r="R98" s="1487"/>
      <c r="S98" s="1487"/>
      <c r="T98" s="1487">
        <v>1416.36</v>
      </c>
      <c r="U98" s="1487">
        <v>1424.2</v>
      </c>
      <c r="V98" s="1487">
        <v>303</v>
      </c>
      <c r="W98" s="1487">
        <v>499.69</v>
      </c>
      <c r="X98" s="1487">
        <v>291.61</v>
      </c>
      <c r="Y98" s="1487">
        <v>843.23</v>
      </c>
      <c r="Z98" s="1487">
        <v>907.98</v>
      </c>
      <c r="AA98" s="1487">
        <v>344.16</v>
      </c>
      <c r="AB98" s="1489"/>
      <c r="AF98" s="395"/>
      <c r="AG98" s="395"/>
      <c r="AH98" s="395"/>
    </row>
    <row r="99" spans="1:34">
      <c r="A99" s="1997" t="s">
        <v>2047</v>
      </c>
      <c r="B99" s="583" t="s">
        <v>7437</v>
      </c>
      <c r="C99" s="1487"/>
      <c r="D99" s="1487"/>
      <c r="E99" s="1487"/>
      <c r="F99" s="1487"/>
      <c r="G99" s="1487"/>
      <c r="H99" s="397" t="s">
        <v>1089</v>
      </c>
      <c r="I99" s="397"/>
      <c r="J99" s="397"/>
      <c r="K99" s="397"/>
      <c r="L99" s="1998"/>
      <c r="M99" s="1487"/>
      <c r="N99" s="1487"/>
      <c r="O99" s="1487"/>
      <c r="P99" s="1487"/>
      <c r="Q99" s="1487"/>
      <c r="R99" s="1487"/>
      <c r="S99" s="1487"/>
      <c r="T99" s="1487">
        <v>5640.53</v>
      </c>
      <c r="U99" s="1487">
        <v>6819.59</v>
      </c>
      <c r="V99" s="1487">
        <v>7858.54</v>
      </c>
      <c r="W99" s="1487">
        <v>6476.97</v>
      </c>
      <c r="X99" s="1487">
        <v>7885.62</v>
      </c>
      <c r="Y99" s="1487">
        <v>3423.5</v>
      </c>
      <c r="Z99" s="1487">
        <v>2569.21</v>
      </c>
      <c r="AA99" s="1487">
        <v>3274.93</v>
      </c>
      <c r="AB99" s="1489"/>
      <c r="AF99" s="395"/>
      <c r="AG99" s="395"/>
      <c r="AH99" s="395"/>
    </row>
    <row r="100" spans="1:34">
      <c r="A100" s="1997" t="s">
        <v>2048</v>
      </c>
      <c r="B100" s="583"/>
      <c r="C100" s="1487"/>
      <c r="D100" s="1487"/>
      <c r="E100" s="1487"/>
      <c r="F100" s="1487"/>
      <c r="G100" s="1487"/>
      <c r="H100" s="397" t="s">
        <v>2049</v>
      </c>
      <c r="I100" s="397"/>
      <c r="J100" s="397"/>
      <c r="K100" s="397"/>
      <c r="L100" s="1998"/>
      <c r="M100" s="1487"/>
      <c r="N100" s="1487"/>
      <c r="O100" s="1487"/>
      <c r="P100" s="1487"/>
      <c r="Q100" s="1487"/>
      <c r="R100" s="1487"/>
      <c r="S100" s="1487"/>
      <c r="T100" s="1487">
        <v>6103.69</v>
      </c>
      <c r="U100" s="1487">
        <v>6103.76</v>
      </c>
      <c r="V100" s="1487">
        <v>5634.24</v>
      </c>
      <c r="W100" s="1487">
        <v>5634.24</v>
      </c>
      <c r="X100" s="1487">
        <v>5634.24</v>
      </c>
      <c r="Y100" s="1487">
        <v>5264.58</v>
      </c>
      <c r="Z100" s="1487"/>
      <c r="AA100" s="1487"/>
      <c r="AB100" s="1489"/>
      <c r="AF100" s="395"/>
      <c r="AG100" s="395"/>
      <c r="AH100" s="395"/>
    </row>
    <row r="101" spans="1:34">
      <c r="A101" s="1997" t="s">
        <v>2050</v>
      </c>
      <c r="B101" s="583"/>
      <c r="C101" s="1487"/>
      <c r="D101" s="1487"/>
      <c r="E101" s="1487"/>
      <c r="F101" s="1487"/>
      <c r="G101" s="1487"/>
      <c r="H101" s="397" t="s">
        <v>1864</v>
      </c>
      <c r="I101" s="397"/>
      <c r="J101" s="397"/>
      <c r="K101" s="397"/>
      <c r="L101" s="1998"/>
      <c r="M101" s="1487"/>
      <c r="N101" s="1487"/>
      <c r="O101" s="1487"/>
      <c r="P101" s="1487"/>
      <c r="Q101" s="1487"/>
      <c r="R101" s="1487"/>
      <c r="S101" s="1487"/>
      <c r="T101" s="1487">
        <v>30.08</v>
      </c>
      <c r="U101" s="1487"/>
      <c r="V101" s="1487">
        <v>3.04</v>
      </c>
      <c r="W101" s="1487"/>
      <c r="X101" s="1487"/>
      <c r="Y101" s="1487"/>
      <c r="Z101" s="1487"/>
      <c r="AA101" s="1487"/>
      <c r="AB101" s="1489"/>
      <c r="AF101" s="395"/>
      <c r="AG101" s="395"/>
      <c r="AH101" s="395"/>
    </row>
    <row r="102" spans="1:34">
      <c r="A102" s="1997" t="s">
        <v>2051</v>
      </c>
      <c r="B102" s="583" t="s">
        <v>7438</v>
      </c>
      <c r="C102" s="1487"/>
      <c r="D102" s="1487"/>
      <c r="E102" s="1487"/>
      <c r="F102" s="1487"/>
      <c r="G102" s="1487"/>
      <c r="H102" s="397" t="s">
        <v>1480</v>
      </c>
      <c r="I102" s="397"/>
      <c r="J102" s="397"/>
      <c r="K102" s="397"/>
      <c r="L102" s="1998"/>
      <c r="M102" s="1487"/>
      <c r="N102" s="1487"/>
      <c r="O102" s="1487"/>
      <c r="P102" s="1487"/>
      <c r="Q102" s="1487"/>
      <c r="R102" s="1487"/>
      <c r="S102" s="1487"/>
      <c r="T102" s="1487">
        <v>40.25</v>
      </c>
      <c r="U102" s="1487">
        <v>40.29</v>
      </c>
      <c r="V102" s="1487">
        <v>40.799999999999997</v>
      </c>
      <c r="W102" s="1487">
        <v>41.42</v>
      </c>
      <c r="X102" s="1487">
        <v>42.35</v>
      </c>
      <c r="Y102" s="1487">
        <v>43.35</v>
      </c>
      <c r="Z102" s="1487">
        <v>43.69</v>
      </c>
      <c r="AA102" s="1487">
        <v>44.09</v>
      </c>
      <c r="AB102" s="1489"/>
      <c r="AF102" s="395"/>
      <c r="AG102" s="395"/>
      <c r="AH102" s="395"/>
    </row>
    <row r="103" spans="1:34">
      <c r="A103" s="1997"/>
      <c r="B103" s="583" t="s">
        <v>8079</v>
      </c>
      <c r="C103" s="1487"/>
      <c r="D103" s="1487"/>
      <c r="E103" s="1487"/>
      <c r="F103" s="1487"/>
      <c r="G103" s="1487"/>
      <c r="H103" s="397" t="s">
        <v>7353</v>
      </c>
      <c r="I103" s="397"/>
      <c r="J103" s="397"/>
      <c r="K103" s="397"/>
      <c r="L103" s="1998"/>
      <c r="M103" s="1487"/>
      <c r="N103" s="1487"/>
      <c r="O103" s="1487"/>
      <c r="P103" s="1487"/>
      <c r="Q103" s="1487"/>
      <c r="R103" s="1487"/>
      <c r="S103" s="1487"/>
      <c r="T103" s="1487"/>
      <c r="U103" s="1487"/>
      <c r="V103" s="1487"/>
      <c r="W103" s="1487"/>
      <c r="X103" s="1487"/>
      <c r="Y103" s="1487"/>
      <c r="Z103" s="1487"/>
      <c r="AA103" s="1487">
        <v>88.16</v>
      </c>
      <c r="AB103" s="1489"/>
      <c r="AF103" s="395"/>
      <c r="AG103" s="395"/>
      <c r="AH103" s="395"/>
    </row>
    <row r="104" spans="1:34">
      <c r="A104" s="1997" t="s">
        <v>2052</v>
      </c>
      <c r="B104" s="583"/>
      <c r="C104" s="1487">
        <v>152.63999999999999</v>
      </c>
      <c r="D104" s="1487">
        <v>324.45</v>
      </c>
      <c r="E104" s="1487">
        <v>304.26</v>
      </c>
      <c r="F104" s="1487">
        <v>11.08</v>
      </c>
      <c r="G104" s="1487">
        <v>59.1</v>
      </c>
      <c r="H104" s="397" t="s">
        <v>1111</v>
      </c>
      <c r="I104" s="397"/>
      <c r="J104" s="397"/>
      <c r="K104" s="397"/>
      <c r="L104" s="1998"/>
      <c r="M104" s="1487">
        <v>55.16</v>
      </c>
      <c r="N104" s="1487">
        <v>11.16</v>
      </c>
      <c r="O104" s="1487">
        <v>109.79</v>
      </c>
      <c r="P104" s="1487">
        <v>154.66</v>
      </c>
      <c r="Q104" s="1487">
        <v>192.81</v>
      </c>
      <c r="R104" s="1487">
        <v>57.68</v>
      </c>
      <c r="S104" s="1487">
        <v>37.17</v>
      </c>
      <c r="T104" s="1487"/>
      <c r="U104" s="1487"/>
      <c r="V104" s="1487"/>
      <c r="W104" s="1487"/>
      <c r="X104" s="1487"/>
      <c r="Y104" s="1487"/>
      <c r="Z104" s="1487"/>
      <c r="AA104" s="1487"/>
      <c r="AB104" s="1489"/>
      <c r="AF104" s="395"/>
      <c r="AG104" s="395"/>
      <c r="AH104" s="395"/>
    </row>
    <row r="105" spans="1:34">
      <c r="A105" s="1997" t="s">
        <v>2053</v>
      </c>
      <c r="B105" s="583"/>
      <c r="C105" s="1487">
        <v>1100.8699999999999</v>
      </c>
      <c r="D105" s="1487">
        <v>629.19000000000005</v>
      </c>
      <c r="E105" s="1487">
        <v>805.73</v>
      </c>
      <c r="F105" s="1487">
        <v>405.39</v>
      </c>
      <c r="G105" s="1487">
        <v>863.62</v>
      </c>
      <c r="H105" s="397" t="s">
        <v>1096</v>
      </c>
      <c r="I105" s="397"/>
      <c r="J105" s="397"/>
      <c r="K105" s="397"/>
      <c r="L105" s="1998"/>
      <c r="M105" s="1487">
        <v>841.48</v>
      </c>
      <c r="N105" s="1487">
        <v>461.96</v>
      </c>
      <c r="O105" s="1487">
        <v>735.61</v>
      </c>
      <c r="P105" s="1487">
        <v>108.68</v>
      </c>
      <c r="Q105" s="1487">
        <v>442.4</v>
      </c>
      <c r="R105" s="1487">
        <v>485.97</v>
      </c>
      <c r="S105" s="1487">
        <v>261.45</v>
      </c>
      <c r="T105" s="1487"/>
      <c r="U105" s="1487"/>
      <c r="V105" s="1487"/>
      <c r="W105" s="1487"/>
      <c r="X105" s="1487"/>
      <c r="Y105" s="1487"/>
      <c r="Z105" s="1487"/>
      <c r="AA105" s="1487"/>
      <c r="AB105" s="1489"/>
      <c r="AF105" s="395"/>
      <c r="AG105" s="395"/>
      <c r="AH105" s="395"/>
    </row>
    <row r="106" spans="1:34">
      <c r="A106" s="1997" t="s">
        <v>2054</v>
      </c>
      <c r="B106" s="583"/>
      <c r="C106" s="1487">
        <v>635.36</v>
      </c>
      <c r="D106" s="1487">
        <v>744.08</v>
      </c>
      <c r="E106" s="1487">
        <v>0</v>
      </c>
      <c r="F106" s="1487">
        <v>716.02</v>
      </c>
      <c r="G106" s="1487">
        <v>652.6</v>
      </c>
      <c r="H106" s="397" t="s">
        <v>1130</v>
      </c>
      <c r="I106" s="397"/>
      <c r="J106" s="397"/>
      <c r="K106" s="397"/>
      <c r="L106" s="1998"/>
      <c r="M106" s="1487">
        <v>738.14</v>
      </c>
      <c r="N106" s="1487">
        <v>731.92</v>
      </c>
      <c r="O106" s="1487">
        <v>0</v>
      </c>
      <c r="P106" s="1487">
        <v>1051.8499999999999</v>
      </c>
      <c r="Q106" s="1487">
        <v>691.76</v>
      </c>
      <c r="R106" s="1487">
        <v>718.8</v>
      </c>
      <c r="S106" s="1487">
        <v>1014.22</v>
      </c>
      <c r="T106" s="1487"/>
      <c r="U106" s="1487"/>
      <c r="V106" s="1487"/>
      <c r="W106" s="1487"/>
      <c r="X106" s="1487"/>
      <c r="Y106" s="1487"/>
      <c r="Z106" s="1487"/>
      <c r="AA106" s="1487"/>
      <c r="AB106" s="1489"/>
      <c r="AF106" s="395"/>
      <c r="AG106" s="395"/>
      <c r="AH106" s="395"/>
    </row>
    <row r="107" spans="1:34">
      <c r="A107" s="1997" t="s">
        <v>2055</v>
      </c>
      <c r="B107" s="583"/>
      <c r="C107" s="1487">
        <v>623.78</v>
      </c>
      <c r="D107" s="1487">
        <v>576.9</v>
      </c>
      <c r="E107" s="1487">
        <v>518.70000000000005</v>
      </c>
      <c r="F107" s="1487">
        <v>747.13</v>
      </c>
      <c r="G107" s="1487">
        <v>958.63</v>
      </c>
      <c r="H107" s="397" t="s">
        <v>1100</v>
      </c>
      <c r="I107" s="397"/>
      <c r="J107" s="397"/>
      <c r="K107" s="397"/>
      <c r="L107" s="1998"/>
      <c r="M107" s="1487">
        <v>988.28</v>
      </c>
      <c r="N107" s="1487">
        <v>1011.2</v>
      </c>
      <c r="O107" s="1487">
        <v>825.24</v>
      </c>
      <c r="P107" s="1487">
        <v>478.72</v>
      </c>
      <c r="Q107" s="1487">
        <v>373.59</v>
      </c>
      <c r="R107" s="1487">
        <v>363.62</v>
      </c>
      <c r="S107" s="1487">
        <v>0</v>
      </c>
      <c r="T107" s="1487"/>
      <c r="U107" s="1487"/>
      <c r="V107" s="1487"/>
      <c r="W107" s="1487"/>
      <c r="X107" s="1487"/>
      <c r="Y107" s="1487"/>
      <c r="Z107" s="1487"/>
      <c r="AA107" s="1487"/>
      <c r="AB107" s="1489"/>
      <c r="AF107" s="395"/>
      <c r="AG107" s="395"/>
      <c r="AH107" s="395"/>
    </row>
    <row r="108" spans="1:34">
      <c r="A108" s="1997" t="s">
        <v>2056</v>
      </c>
      <c r="B108" s="583"/>
      <c r="C108" s="1487">
        <v>2292.7600000000002</v>
      </c>
      <c r="D108" s="1487">
        <v>2171.04</v>
      </c>
      <c r="E108" s="1487">
        <v>2024.02</v>
      </c>
      <c r="F108" s="1487">
        <v>2883.01</v>
      </c>
      <c r="G108" s="1487">
        <v>2080.1799999999998</v>
      </c>
      <c r="H108" s="397" t="s">
        <v>1102</v>
      </c>
      <c r="I108" s="397"/>
      <c r="J108" s="397"/>
      <c r="K108" s="397"/>
      <c r="L108" s="1998"/>
      <c r="M108" s="1487">
        <v>2209.64</v>
      </c>
      <c r="N108" s="1487">
        <v>2002.47</v>
      </c>
      <c r="O108" s="1487">
        <v>2119.13</v>
      </c>
      <c r="P108" s="1487">
        <v>2367.65</v>
      </c>
      <c r="Q108" s="1487">
        <v>1374.51</v>
      </c>
      <c r="R108" s="1487">
        <v>1414.75</v>
      </c>
      <c r="S108" s="1487">
        <v>1276.3</v>
      </c>
      <c r="T108" s="1487"/>
      <c r="U108" s="1487"/>
      <c r="V108" s="1487"/>
      <c r="W108" s="1487"/>
      <c r="X108" s="1487"/>
      <c r="Y108" s="1487"/>
      <c r="Z108" s="1487"/>
      <c r="AA108" s="1487"/>
      <c r="AB108" s="1489"/>
      <c r="AF108" s="395"/>
      <c r="AG108" s="395"/>
      <c r="AH108" s="395"/>
    </row>
    <row r="109" spans="1:34">
      <c r="A109" s="1997" t="s">
        <v>2057</v>
      </c>
      <c r="B109" s="583"/>
      <c r="C109" s="1487">
        <v>281.04000000000002</v>
      </c>
      <c r="D109" s="1487">
        <v>544.83000000000004</v>
      </c>
      <c r="E109" s="1487">
        <v>637.04999999999995</v>
      </c>
      <c r="F109" s="1487">
        <v>509.64</v>
      </c>
      <c r="G109" s="1487">
        <v>556.73</v>
      </c>
      <c r="H109" s="397" t="s">
        <v>1138</v>
      </c>
      <c r="I109" s="397"/>
      <c r="J109" s="397"/>
      <c r="K109" s="397"/>
      <c r="L109" s="1998"/>
      <c r="M109" s="1487">
        <v>589.5</v>
      </c>
      <c r="N109" s="1487">
        <v>755.85</v>
      </c>
      <c r="O109" s="1487">
        <v>757.16</v>
      </c>
      <c r="P109" s="1487">
        <v>691.01</v>
      </c>
      <c r="Q109" s="1487">
        <v>801.65</v>
      </c>
      <c r="R109" s="1487">
        <v>715.88</v>
      </c>
      <c r="S109" s="1487">
        <v>1015.02</v>
      </c>
      <c r="T109" s="1487"/>
      <c r="U109" s="1487"/>
      <c r="V109" s="1487"/>
      <c r="W109" s="1487"/>
      <c r="X109" s="1487"/>
      <c r="Y109" s="1487"/>
      <c r="Z109" s="1487"/>
      <c r="AA109" s="1487"/>
      <c r="AB109" s="1489"/>
      <c r="AF109" s="395"/>
      <c r="AG109" s="395"/>
      <c r="AH109" s="395"/>
    </row>
    <row r="110" spans="1:34">
      <c r="A110" s="1997" t="s">
        <v>2058</v>
      </c>
      <c r="B110" s="583"/>
      <c r="C110" s="1487">
        <v>170</v>
      </c>
      <c r="D110" s="1487">
        <v>2178</v>
      </c>
      <c r="E110" s="1487">
        <v>1017</v>
      </c>
      <c r="F110" s="1487">
        <v>125</v>
      </c>
      <c r="G110" s="1487">
        <v>423.33</v>
      </c>
      <c r="H110" s="397" t="s">
        <v>1115</v>
      </c>
      <c r="I110" s="397"/>
      <c r="J110" s="397"/>
      <c r="K110" s="397"/>
      <c r="L110" s="1998"/>
      <c r="M110" s="1487">
        <v>215</v>
      </c>
      <c r="N110" s="1487">
        <v>150</v>
      </c>
      <c r="O110" s="1487">
        <v>180</v>
      </c>
      <c r="P110" s="1487">
        <v>210</v>
      </c>
      <c r="Q110" s="1487">
        <v>258.89999999999998</v>
      </c>
      <c r="R110" s="1487">
        <v>410</v>
      </c>
      <c r="S110" s="1487">
        <v>880.44</v>
      </c>
      <c r="T110" s="1487"/>
      <c r="U110" s="1487"/>
      <c r="V110" s="1487"/>
      <c r="W110" s="1487"/>
      <c r="X110" s="1487"/>
      <c r="Y110" s="1487"/>
      <c r="Z110" s="1487"/>
      <c r="AA110" s="1487"/>
      <c r="AB110" s="1489"/>
      <c r="AF110" s="395"/>
      <c r="AG110" s="395"/>
      <c r="AH110" s="395"/>
    </row>
    <row r="111" spans="1:34">
      <c r="A111" s="1997" t="s">
        <v>2059</v>
      </c>
      <c r="B111" s="583"/>
      <c r="C111" s="1487">
        <v>0</v>
      </c>
      <c r="D111" s="1487">
        <v>88.64</v>
      </c>
      <c r="E111" s="1487">
        <v>0</v>
      </c>
      <c r="F111" s="1487">
        <v>46</v>
      </c>
      <c r="G111" s="1487">
        <v>0</v>
      </c>
      <c r="H111" s="397" t="s">
        <v>2060</v>
      </c>
      <c r="I111" s="397"/>
      <c r="J111" s="397"/>
      <c r="K111" s="397"/>
      <c r="L111" s="1998"/>
      <c r="M111" s="1487">
        <v>0</v>
      </c>
      <c r="N111" s="1487">
        <v>0</v>
      </c>
      <c r="O111" s="1487">
        <v>0</v>
      </c>
      <c r="P111" s="1487">
        <v>0</v>
      </c>
      <c r="Q111" s="1487">
        <v>0</v>
      </c>
      <c r="R111" s="1487">
        <v>0</v>
      </c>
      <c r="S111" s="1487">
        <v>0</v>
      </c>
      <c r="T111" s="1487"/>
      <c r="U111" s="1487"/>
      <c r="V111" s="1487"/>
      <c r="W111" s="1487"/>
      <c r="X111" s="1487"/>
      <c r="Y111" s="1487"/>
      <c r="Z111" s="1487"/>
      <c r="AA111" s="1487"/>
      <c r="AB111" s="1489"/>
      <c r="AF111" s="395"/>
      <c r="AG111" s="395"/>
      <c r="AH111" s="395"/>
    </row>
    <row r="112" spans="1:34">
      <c r="A112" s="1997" t="s">
        <v>2061</v>
      </c>
      <c r="B112" s="583"/>
      <c r="C112" s="1487">
        <v>0</v>
      </c>
      <c r="D112" s="1487">
        <v>0</v>
      </c>
      <c r="E112" s="1487">
        <v>0</v>
      </c>
      <c r="F112" s="1487">
        <v>0</v>
      </c>
      <c r="G112" s="1487">
        <v>0</v>
      </c>
      <c r="H112" s="397" t="s">
        <v>1142</v>
      </c>
      <c r="I112" s="397"/>
      <c r="J112" s="397"/>
      <c r="K112" s="397"/>
      <c r="L112" s="1998"/>
      <c r="M112" s="1487">
        <v>0</v>
      </c>
      <c r="N112" s="1487">
        <v>40.98</v>
      </c>
      <c r="O112" s="1487">
        <v>108</v>
      </c>
      <c r="P112" s="1487">
        <v>54.47</v>
      </c>
      <c r="Q112" s="1487">
        <v>155.49</v>
      </c>
      <c r="R112" s="1487">
        <v>160.69999999999999</v>
      </c>
      <c r="S112" s="1487">
        <v>144.81</v>
      </c>
      <c r="T112" s="1487"/>
      <c r="U112" s="1487"/>
      <c r="V112" s="1487"/>
      <c r="W112" s="1487"/>
      <c r="X112" s="1487"/>
      <c r="Y112" s="1487"/>
      <c r="Z112" s="1487"/>
      <c r="AA112" s="1487"/>
      <c r="AB112" s="1489"/>
      <c r="AF112" s="395"/>
      <c r="AG112" s="395"/>
      <c r="AH112" s="395"/>
    </row>
    <row r="113" spans="1:34">
      <c r="A113" s="1997" t="s">
        <v>2062</v>
      </c>
      <c r="B113" s="583"/>
      <c r="C113" s="1487">
        <v>358.84</v>
      </c>
      <c r="D113" s="1487">
        <v>346.24</v>
      </c>
      <c r="E113" s="1487">
        <v>1369.11</v>
      </c>
      <c r="F113" s="1487">
        <v>902.55</v>
      </c>
      <c r="G113" s="1487">
        <v>1998.85</v>
      </c>
      <c r="H113" s="397" t="s">
        <v>1109</v>
      </c>
      <c r="I113" s="397"/>
      <c r="J113" s="397"/>
      <c r="K113" s="397"/>
      <c r="L113" s="1998"/>
      <c r="M113" s="1487">
        <v>1032.08</v>
      </c>
      <c r="N113" s="1487">
        <v>1566.69</v>
      </c>
      <c r="O113" s="1487">
        <v>668.09</v>
      </c>
      <c r="P113" s="1487">
        <v>858.29</v>
      </c>
      <c r="Q113" s="1487">
        <v>2267.3000000000002</v>
      </c>
      <c r="R113" s="1487">
        <v>2174.1999999999998</v>
      </c>
      <c r="S113" s="1487">
        <v>1774.21</v>
      </c>
      <c r="T113" s="1487"/>
      <c r="U113" s="1487"/>
      <c r="V113" s="1487"/>
      <c r="W113" s="1487"/>
      <c r="X113" s="1487"/>
      <c r="Y113" s="1487"/>
      <c r="Z113" s="1487"/>
      <c r="AA113" s="1487"/>
      <c r="AB113" s="1489"/>
      <c r="AF113" s="395"/>
      <c r="AG113" s="395"/>
      <c r="AH113" s="395"/>
    </row>
    <row r="114" spans="1:34">
      <c r="A114" s="1997" t="s">
        <v>2063</v>
      </c>
      <c r="B114" s="583"/>
      <c r="C114" s="1487">
        <v>1000</v>
      </c>
      <c r="D114" s="1487">
        <v>1080.95</v>
      </c>
      <c r="E114" s="1487">
        <v>2129.2399999999998</v>
      </c>
      <c r="F114" s="1487">
        <v>2010.24</v>
      </c>
      <c r="G114" s="1487">
        <v>1000</v>
      </c>
      <c r="H114" s="397" t="s">
        <v>2064</v>
      </c>
      <c r="I114" s="397"/>
      <c r="J114" s="397"/>
      <c r="K114" s="397"/>
      <c r="L114" s="1998"/>
      <c r="M114" s="1487">
        <v>1601.32</v>
      </c>
      <c r="N114" s="1487">
        <v>2255.25</v>
      </c>
      <c r="O114" s="1487">
        <v>1497.32</v>
      </c>
      <c r="P114" s="1487">
        <v>1653.17</v>
      </c>
      <c r="Q114" s="1487">
        <v>1392.65</v>
      </c>
      <c r="R114" s="1487">
        <v>2331.14</v>
      </c>
      <c r="S114" s="1487">
        <v>1359.57</v>
      </c>
      <c r="T114" s="1487"/>
      <c r="U114" s="1487"/>
      <c r="V114" s="1487"/>
      <c r="W114" s="1487"/>
      <c r="X114" s="1487"/>
      <c r="Y114" s="1487"/>
      <c r="Z114" s="1487"/>
      <c r="AA114" s="1487"/>
      <c r="AB114" s="1489"/>
      <c r="AF114" s="395"/>
      <c r="AG114" s="395"/>
      <c r="AH114" s="395"/>
    </row>
    <row r="115" spans="1:34">
      <c r="A115" s="1997" t="s">
        <v>2065</v>
      </c>
      <c r="B115" s="583"/>
      <c r="C115" s="1487">
        <v>9104.48</v>
      </c>
      <c r="D115" s="1487">
        <v>11569.1</v>
      </c>
      <c r="E115" s="1487">
        <v>16157.72</v>
      </c>
      <c r="F115" s="1487">
        <v>10076.69</v>
      </c>
      <c r="G115" s="1487">
        <v>13349.89</v>
      </c>
      <c r="H115" s="397" t="s">
        <v>1147</v>
      </c>
      <c r="I115" s="397"/>
      <c r="J115" s="397"/>
      <c r="K115" s="397"/>
      <c r="L115" s="1998"/>
      <c r="M115" s="1487">
        <v>15876.53</v>
      </c>
      <c r="N115" s="1487">
        <v>16067.68</v>
      </c>
      <c r="O115" s="1487">
        <v>10238.82</v>
      </c>
      <c r="P115" s="1487">
        <v>14698.87</v>
      </c>
      <c r="Q115" s="1487">
        <v>14160</v>
      </c>
      <c r="R115" s="1487">
        <v>13283.71</v>
      </c>
      <c r="S115" s="1487">
        <v>9720.17</v>
      </c>
      <c r="T115" s="1487"/>
      <c r="U115" s="1487"/>
      <c r="V115" s="1487"/>
      <c r="W115" s="1487"/>
      <c r="X115" s="1487"/>
      <c r="Y115" s="1487"/>
      <c r="Z115" s="1487"/>
      <c r="AA115" s="1487"/>
      <c r="AB115" s="1489"/>
      <c r="AF115" s="395"/>
      <c r="AG115" s="395"/>
      <c r="AH115" s="395"/>
    </row>
    <row r="116" spans="1:34">
      <c r="A116" s="1997" t="s">
        <v>2066</v>
      </c>
      <c r="B116" s="583"/>
      <c r="C116" s="1487">
        <v>0</v>
      </c>
      <c r="D116" s="1487">
        <v>0</v>
      </c>
      <c r="E116" s="1487">
        <v>0</v>
      </c>
      <c r="F116" s="1487">
        <v>0</v>
      </c>
      <c r="G116" s="1487">
        <v>0</v>
      </c>
      <c r="H116" s="397" t="s">
        <v>2067</v>
      </c>
      <c r="I116" s="397"/>
      <c r="J116" s="397"/>
      <c r="K116" s="397"/>
      <c r="L116" s="1998"/>
      <c r="M116" s="1487">
        <v>0</v>
      </c>
      <c r="N116" s="1487">
        <v>0</v>
      </c>
      <c r="O116" s="1487">
        <v>0</v>
      </c>
      <c r="P116" s="1487">
        <v>0</v>
      </c>
      <c r="Q116" s="1487">
        <v>2595.14</v>
      </c>
      <c r="R116" s="1487">
        <v>2346.9699999999998</v>
      </c>
      <c r="S116" s="1487">
        <v>2310.6</v>
      </c>
      <c r="T116" s="1487"/>
      <c r="U116" s="1487"/>
      <c r="V116" s="1487"/>
      <c r="W116" s="1487"/>
      <c r="X116" s="1487"/>
      <c r="Y116" s="1487"/>
      <c r="Z116" s="1487"/>
      <c r="AA116" s="1487"/>
      <c r="AB116" s="1489"/>
      <c r="AF116" s="395"/>
      <c r="AG116" s="395"/>
      <c r="AH116" s="395"/>
    </row>
    <row r="117" spans="1:34">
      <c r="A117" s="1997" t="s">
        <v>2068</v>
      </c>
      <c r="B117" s="583"/>
      <c r="C117" s="1487">
        <v>1483.95</v>
      </c>
      <c r="D117" s="1487">
        <v>3900.31</v>
      </c>
      <c r="E117" s="1487">
        <v>3077.55</v>
      </c>
      <c r="F117" s="1487">
        <v>2881.91</v>
      </c>
      <c r="G117" s="1487">
        <v>2806.43</v>
      </c>
      <c r="H117" s="397" t="s">
        <v>2069</v>
      </c>
      <c r="I117" s="397"/>
      <c r="J117" s="397"/>
      <c r="K117" s="397"/>
      <c r="L117" s="1998"/>
      <c r="M117" s="1487">
        <v>5705.63</v>
      </c>
      <c r="N117" s="1487">
        <v>3765.88</v>
      </c>
      <c r="O117" s="1487">
        <v>3872.58</v>
      </c>
      <c r="P117" s="1487">
        <v>2884.4</v>
      </c>
      <c r="Q117" s="1487">
        <v>3540.34</v>
      </c>
      <c r="R117" s="1487">
        <v>2825.64</v>
      </c>
      <c r="S117" s="1487">
        <v>3291.81</v>
      </c>
      <c r="T117" s="1487"/>
      <c r="U117" s="1487"/>
      <c r="V117" s="1487"/>
      <c r="W117" s="1487"/>
      <c r="X117" s="1487"/>
      <c r="Y117" s="1487"/>
      <c r="Z117" s="1487"/>
      <c r="AA117" s="1487"/>
      <c r="AB117" s="1489"/>
      <c r="AF117" s="395"/>
      <c r="AG117" s="395"/>
      <c r="AH117" s="395"/>
    </row>
    <row r="118" spans="1:34">
      <c r="A118" s="1997" t="s">
        <v>2070</v>
      </c>
      <c r="B118" s="583"/>
      <c r="C118" s="1487">
        <v>6974.64</v>
      </c>
      <c r="D118" s="1487">
        <v>8682.59</v>
      </c>
      <c r="E118" s="1487">
        <v>7353.04</v>
      </c>
      <c r="F118" s="1487">
        <v>8417.76</v>
      </c>
      <c r="G118" s="1487">
        <v>8705.4699999999993</v>
      </c>
      <c r="H118" s="397" t="s">
        <v>1595</v>
      </c>
      <c r="I118" s="397"/>
      <c r="J118" s="397"/>
      <c r="K118" s="397"/>
      <c r="L118" s="1998"/>
      <c r="M118" s="1487">
        <v>10755.16</v>
      </c>
      <c r="N118" s="1487">
        <v>8588.76</v>
      </c>
      <c r="O118" s="1487">
        <v>13729.14</v>
      </c>
      <c r="P118" s="1487">
        <v>10585.57</v>
      </c>
      <c r="Q118" s="1487">
        <v>7392.68</v>
      </c>
      <c r="R118" s="1487">
        <v>12812.67</v>
      </c>
      <c r="S118" s="1487">
        <v>14586.29</v>
      </c>
      <c r="T118" s="1487"/>
      <c r="U118" s="1487"/>
      <c r="V118" s="1487"/>
      <c r="W118" s="1487"/>
      <c r="X118" s="1487"/>
      <c r="Y118" s="1487"/>
      <c r="Z118" s="1487"/>
      <c r="AA118" s="1487"/>
      <c r="AB118" s="1489"/>
      <c r="AF118" s="395"/>
      <c r="AG118" s="395"/>
      <c r="AH118" s="395"/>
    </row>
    <row r="119" spans="1:34">
      <c r="A119" s="1997" t="s">
        <v>2071</v>
      </c>
      <c r="B119" s="583"/>
      <c r="C119" s="1487"/>
      <c r="D119" s="1487"/>
      <c r="E119" s="1487"/>
      <c r="F119" s="1487"/>
      <c r="G119" s="1487"/>
      <c r="H119" s="397" t="s">
        <v>2072</v>
      </c>
      <c r="I119" s="397"/>
      <c r="J119" s="397"/>
      <c r="K119" s="397"/>
      <c r="L119" s="1998"/>
      <c r="M119" s="1487"/>
      <c r="N119" s="1487"/>
      <c r="O119" s="397"/>
      <c r="P119" s="397"/>
      <c r="Q119" s="397"/>
      <c r="R119" s="397"/>
      <c r="S119" s="397"/>
      <c r="T119" s="1487"/>
      <c r="U119" s="1487"/>
      <c r="V119" s="1487"/>
      <c r="W119" s="1487"/>
      <c r="X119" s="1487"/>
      <c r="Y119" s="1487"/>
      <c r="Z119" s="1487"/>
      <c r="AA119" s="1487"/>
      <c r="AB119" s="1489"/>
      <c r="AF119" s="395"/>
      <c r="AG119" s="395"/>
      <c r="AH119" s="395"/>
    </row>
    <row r="120" spans="1:34">
      <c r="A120" s="1997" t="s">
        <v>2073</v>
      </c>
      <c r="B120" s="583"/>
      <c r="C120" s="1487">
        <v>6124.12</v>
      </c>
      <c r="D120" s="1487">
        <v>6835.81</v>
      </c>
      <c r="E120" s="1487">
        <v>6612.25</v>
      </c>
      <c r="F120" s="1487">
        <v>6647.1</v>
      </c>
      <c r="G120" s="1487">
        <v>5565.47</v>
      </c>
      <c r="H120" s="397" t="s">
        <v>1318</v>
      </c>
      <c r="I120" s="397"/>
      <c r="J120" s="397"/>
      <c r="K120" s="397"/>
      <c r="L120" s="1998"/>
      <c r="M120" s="1487">
        <v>6232.69</v>
      </c>
      <c r="N120" s="1487">
        <v>3958.76</v>
      </c>
      <c r="O120" s="1487">
        <v>7080.09</v>
      </c>
      <c r="P120" s="1487">
        <v>7303.57</v>
      </c>
      <c r="Q120" s="1487">
        <v>3788.03</v>
      </c>
      <c r="R120" s="1487">
        <v>5804.56</v>
      </c>
      <c r="S120" s="1487">
        <v>5540.57</v>
      </c>
      <c r="T120" s="1487"/>
      <c r="U120" s="1487"/>
      <c r="V120" s="1487"/>
      <c r="W120" s="1487"/>
      <c r="X120" s="1487"/>
      <c r="Y120" s="1487"/>
      <c r="Z120" s="1487"/>
      <c r="AA120" s="1487"/>
      <c r="AB120" s="1489"/>
      <c r="AF120" s="395"/>
      <c r="AG120" s="395"/>
      <c r="AH120" s="395"/>
    </row>
    <row r="121" spans="1:34">
      <c r="A121" s="1997" t="s">
        <v>2074</v>
      </c>
      <c r="B121" s="583"/>
      <c r="C121" s="1487">
        <v>1728.38</v>
      </c>
      <c r="D121" s="1487">
        <v>2529.2399999999998</v>
      </c>
      <c r="E121" s="1487">
        <v>296.69</v>
      </c>
      <c r="F121" s="1487">
        <v>813.27</v>
      </c>
      <c r="G121" s="1487">
        <v>810.41</v>
      </c>
      <c r="H121" s="397" t="s">
        <v>1320</v>
      </c>
      <c r="I121" s="397"/>
      <c r="J121" s="397"/>
      <c r="K121" s="397"/>
      <c r="L121" s="1998"/>
      <c r="M121" s="1487">
        <v>269.76</v>
      </c>
      <c r="N121" s="1487">
        <v>180.3</v>
      </c>
      <c r="O121" s="1487">
        <v>77.34</v>
      </c>
      <c r="P121" s="1487">
        <v>374.21300000000002</v>
      </c>
      <c r="Q121" s="1487">
        <v>65.34</v>
      </c>
      <c r="R121" s="1487">
        <v>65.34</v>
      </c>
      <c r="S121" s="1487">
        <v>550.83000000000004</v>
      </c>
      <c r="T121" s="1487"/>
      <c r="U121" s="1487"/>
      <c r="V121" s="1487"/>
      <c r="W121" s="1487"/>
      <c r="X121" s="1487"/>
      <c r="Y121" s="1487"/>
      <c r="Z121" s="1487"/>
      <c r="AA121" s="1487"/>
      <c r="AB121" s="1489"/>
      <c r="AF121" s="395"/>
      <c r="AG121" s="395"/>
      <c r="AH121" s="395"/>
    </row>
    <row r="122" spans="1:34">
      <c r="A122" s="1997" t="s">
        <v>2075</v>
      </c>
      <c r="B122" s="583"/>
      <c r="C122" s="1487">
        <v>1851.29</v>
      </c>
      <c r="D122" s="1487">
        <v>1875.33</v>
      </c>
      <c r="E122" s="1487">
        <v>1919.9</v>
      </c>
      <c r="F122" s="1487">
        <v>2022.75</v>
      </c>
      <c r="G122" s="1487">
        <v>2098.16</v>
      </c>
      <c r="H122" s="397" t="s">
        <v>1326</v>
      </c>
      <c r="I122" s="397"/>
      <c r="J122" s="397"/>
      <c r="K122" s="397"/>
      <c r="L122" s="1998"/>
      <c r="M122" s="1487">
        <v>2801.89</v>
      </c>
      <c r="N122" s="1487">
        <v>2875.38</v>
      </c>
      <c r="O122" s="1487">
        <v>3005.1</v>
      </c>
      <c r="P122" s="1487">
        <v>2896.98</v>
      </c>
      <c r="Q122" s="1487">
        <v>2983.48</v>
      </c>
      <c r="R122" s="1487">
        <v>2764.82</v>
      </c>
      <c r="S122" s="1487">
        <v>2858.94</v>
      </c>
      <c r="T122" s="1487"/>
      <c r="U122" s="1487"/>
      <c r="V122" s="1487"/>
      <c r="W122" s="1487"/>
      <c r="X122" s="1487"/>
      <c r="Y122" s="1487"/>
      <c r="Z122" s="1487"/>
      <c r="AA122" s="1487"/>
      <c r="AB122" s="1489"/>
      <c r="AF122" s="395"/>
      <c r="AG122" s="395"/>
      <c r="AH122" s="395"/>
    </row>
    <row r="123" spans="1:34">
      <c r="A123" s="2000" t="s">
        <v>2076</v>
      </c>
      <c r="B123" s="2044"/>
      <c r="C123" s="1518">
        <v>1800</v>
      </c>
      <c r="D123" s="1518">
        <v>5801.58</v>
      </c>
      <c r="E123" s="1518">
        <v>2791.05</v>
      </c>
      <c r="F123" s="1518">
        <v>36.85</v>
      </c>
      <c r="G123" s="1518">
        <v>253.07</v>
      </c>
      <c r="H123" s="2001" t="s">
        <v>1373</v>
      </c>
      <c r="I123" s="2001"/>
      <c r="J123" s="2001"/>
      <c r="K123" s="2001"/>
      <c r="L123" s="2002"/>
      <c r="M123" s="1487">
        <v>368.54</v>
      </c>
      <c r="N123" s="1487">
        <v>448.45</v>
      </c>
      <c r="O123" s="1487">
        <v>358.19</v>
      </c>
      <c r="P123" s="1487">
        <v>101.38</v>
      </c>
      <c r="Q123" s="1487">
        <v>90.31</v>
      </c>
      <c r="R123" s="1487">
        <v>140.99</v>
      </c>
      <c r="S123" s="1487">
        <v>98.51</v>
      </c>
      <c r="T123" s="1487"/>
      <c r="U123" s="1487"/>
      <c r="V123" s="1487"/>
      <c r="W123" s="1487"/>
      <c r="X123" s="1487"/>
      <c r="Y123" s="1487"/>
      <c r="Z123" s="1487"/>
      <c r="AA123" s="1487"/>
      <c r="AB123" s="1489"/>
      <c r="AF123" s="395"/>
      <c r="AG123" s="395"/>
      <c r="AH123" s="395"/>
    </row>
    <row r="124" spans="1:34">
      <c r="A124" s="2004" t="s">
        <v>1162</v>
      </c>
      <c r="B124" s="2047"/>
      <c r="C124" s="2005">
        <f>SUM(C104:C123)</f>
        <v>35682.15</v>
      </c>
      <c r="D124" s="2005">
        <f>SUM(D104:D123)</f>
        <v>49878.28</v>
      </c>
      <c r="E124" s="2005">
        <f>SUM(E104:E123)</f>
        <v>47013.310000000005</v>
      </c>
      <c r="F124" s="2005">
        <f>SUM(F104:F123)</f>
        <v>39252.389999999992</v>
      </c>
      <c r="G124" s="2005">
        <f>SUM(G104:G123)</f>
        <v>42181.94000000001</v>
      </c>
      <c r="H124" s="2006"/>
      <c r="I124" s="2006"/>
      <c r="J124" s="2006"/>
      <c r="K124" s="2006"/>
      <c r="L124" s="2006"/>
      <c r="M124" s="2005">
        <f t="shared" ref="M124:W124" si="27">SUM(M78:M123)</f>
        <v>136293.82000000004</v>
      </c>
      <c r="N124" s="2005">
        <f t="shared" si="27"/>
        <v>153683.63000000003</v>
      </c>
      <c r="O124" s="2005">
        <f t="shared" si="27"/>
        <v>136172.64000000001</v>
      </c>
      <c r="P124" s="2005">
        <f t="shared" si="27"/>
        <v>142242.73299999998</v>
      </c>
      <c r="Q124" s="2005">
        <f t="shared" si="27"/>
        <v>140631.55999999997</v>
      </c>
      <c r="R124" s="2005">
        <f t="shared" si="27"/>
        <v>147971.57999999999</v>
      </c>
      <c r="S124" s="2005">
        <f t="shared" si="27"/>
        <v>151878.26000000004</v>
      </c>
      <c r="T124" s="2005">
        <f t="shared" si="27"/>
        <v>130932.05000000002</v>
      </c>
      <c r="U124" s="2005">
        <f t="shared" si="27"/>
        <v>121325.08999999998</v>
      </c>
      <c r="V124" s="2005">
        <f t="shared" si="27"/>
        <v>124180.12999999999</v>
      </c>
      <c r="W124" s="2005">
        <f t="shared" si="27"/>
        <v>109999.76000000002</v>
      </c>
      <c r="X124" s="2005">
        <f>SUM(X78:X123)</f>
        <v>117920.25000000001</v>
      </c>
      <c r="Y124" s="2005">
        <f>SUM(Y78:Y123)</f>
        <v>94570.210000000021</v>
      </c>
      <c r="Z124" s="2005">
        <f>SUM(Z78:Z123)</f>
        <v>88039.290000000008</v>
      </c>
      <c r="AA124" s="2005">
        <f>SUM(AA78:AA123)</f>
        <v>128575.76</v>
      </c>
      <c r="AB124" s="3150">
        <f>SUM(AB78:AB123)</f>
        <v>0</v>
      </c>
      <c r="AF124" s="395"/>
      <c r="AG124" s="395"/>
      <c r="AH124" s="395"/>
    </row>
    <row r="125" spans="1:34">
      <c r="A125" s="2048" t="s">
        <v>1163</v>
      </c>
      <c r="B125" s="1999"/>
      <c r="C125" s="397"/>
      <c r="D125" s="397"/>
      <c r="E125" s="397"/>
      <c r="F125" s="397"/>
      <c r="G125" s="397"/>
      <c r="H125" s="397"/>
      <c r="I125" s="397"/>
      <c r="J125" s="397"/>
      <c r="K125" s="397"/>
      <c r="L125" s="1996"/>
      <c r="M125" s="1487"/>
      <c r="N125" s="1487"/>
      <c r="O125" s="1487"/>
      <c r="P125" s="397"/>
      <c r="Q125" s="397"/>
      <c r="R125" s="397"/>
      <c r="S125" s="397"/>
      <c r="T125" s="397"/>
      <c r="U125" s="1487"/>
      <c r="V125" s="1487"/>
      <c r="W125" s="1487"/>
      <c r="X125" s="1487"/>
      <c r="Y125" s="1487"/>
      <c r="Z125" s="1487"/>
      <c r="AA125" s="1487"/>
      <c r="AB125" s="1489"/>
      <c r="AF125" s="395"/>
      <c r="AG125" s="395"/>
      <c r="AH125" s="395"/>
    </row>
    <row r="126" spans="1:34">
      <c r="A126" s="1997" t="s">
        <v>2077</v>
      </c>
      <c r="B126" s="583"/>
      <c r="C126" s="1487">
        <v>0</v>
      </c>
      <c r="D126" s="1487">
        <v>0</v>
      </c>
      <c r="E126" s="1487">
        <v>161.56</v>
      </c>
      <c r="F126" s="1487">
        <v>0</v>
      </c>
      <c r="G126" s="1487">
        <v>0</v>
      </c>
      <c r="H126" s="397" t="s">
        <v>1604</v>
      </c>
      <c r="I126" s="397"/>
      <c r="J126" s="397"/>
      <c r="K126" s="397"/>
      <c r="L126" s="1998"/>
      <c r="M126" s="1487">
        <v>0</v>
      </c>
      <c r="N126" s="1487">
        <v>0</v>
      </c>
      <c r="O126" s="1487">
        <v>0</v>
      </c>
      <c r="P126" s="1487">
        <v>0</v>
      </c>
      <c r="Q126" s="1487">
        <v>0</v>
      </c>
      <c r="R126" s="1487">
        <v>88.5</v>
      </c>
      <c r="S126" s="1487">
        <v>52</v>
      </c>
      <c r="T126" s="1487"/>
      <c r="U126" s="1487"/>
      <c r="V126" s="1487"/>
      <c r="W126" s="1487"/>
      <c r="X126" s="1487"/>
      <c r="Y126" s="1487"/>
      <c r="Z126" s="1487"/>
      <c r="AA126" s="1487"/>
      <c r="AB126" s="1489"/>
      <c r="AF126" s="395"/>
      <c r="AG126" s="395"/>
      <c r="AH126" s="395"/>
    </row>
    <row r="127" spans="1:34">
      <c r="A127" s="1997" t="s">
        <v>2078</v>
      </c>
      <c r="B127" s="583" t="s">
        <v>7439</v>
      </c>
      <c r="C127" s="1487"/>
      <c r="D127" s="1487"/>
      <c r="E127" s="1487"/>
      <c r="F127" s="1487"/>
      <c r="G127" s="1487"/>
      <c r="H127" s="397" t="s">
        <v>1178</v>
      </c>
      <c r="I127" s="397"/>
      <c r="J127" s="397"/>
      <c r="K127" s="397"/>
      <c r="L127" s="1998"/>
      <c r="M127" s="1487"/>
      <c r="N127" s="1487"/>
      <c r="O127" s="1487"/>
      <c r="P127" s="1487"/>
      <c r="Q127" s="1487"/>
      <c r="R127" s="1487"/>
      <c r="S127" s="1487"/>
      <c r="T127" s="1487">
        <v>332.61</v>
      </c>
      <c r="U127" s="1487">
        <v>401.81</v>
      </c>
      <c r="V127" s="1487">
        <v>450.42</v>
      </c>
      <c r="W127" s="1487">
        <v>435.45</v>
      </c>
      <c r="X127" s="1487">
        <v>501.48</v>
      </c>
      <c r="Y127" s="1487">
        <v>305.13</v>
      </c>
      <c r="Z127" s="1487">
        <v>272.33</v>
      </c>
      <c r="AA127" s="1487">
        <v>271.97000000000003</v>
      </c>
      <c r="AB127" s="1489"/>
      <c r="AF127" s="395"/>
      <c r="AG127" s="395"/>
      <c r="AH127" s="395"/>
    </row>
    <row r="128" spans="1:34">
      <c r="A128" s="1997" t="s">
        <v>2079</v>
      </c>
      <c r="B128" s="583"/>
      <c r="C128" s="1487">
        <v>1031.22</v>
      </c>
      <c r="D128" s="1487">
        <v>753.54</v>
      </c>
      <c r="E128" s="1487">
        <v>947.32</v>
      </c>
      <c r="F128" s="1487">
        <v>874.15</v>
      </c>
      <c r="G128" s="1487">
        <v>791.35</v>
      </c>
      <c r="H128" s="397" t="s">
        <v>1178</v>
      </c>
      <c r="I128" s="397"/>
      <c r="J128" s="397"/>
      <c r="K128" s="397"/>
      <c r="L128" s="2002"/>
      <c r="M128" s="1487">
        <v>744.8</v>
      </c>
      <c r="N128" s="1487">
        <v>744.8</v>
      </c>
      <c r="O128" s="1487">
        <v>605.15</v>
      </c>
      <c r="P128" s="1487">
        <v>605.15</v>
      </c>
      <c r="Q128" s="1487">
        <v>558.6</v>
      </c>
      <c r="R128" s="1487">
        <v>558.6</v>
      </c>
      <c r="S128" s="1487">
        <v>0</v>
      </c>
      <c r="T128" s="1487"/>
      <c r="U128" s="1487"/>
      <c r="V128" s="1487"/>
      <c r="W128" s="1487"/>
      <c r="X128" s="1487"/>
      <c r="Y128" s="1487"/>
      <c r="Z128" s="1487"/>
      <c r="AA128" s="1487"/>
      <c r="AB128" s="1489"/>
      <c r="AF128" s="395"/>
      <c r="AG128" s="395"/>
      <c r="AH128" s="395"/>
    </row>
    <row r="129" spans="1:34">
      <c r="A129" s="2004" t="s">
        <v>1181</v>
      </c>
      <c r="B129" s="2047"/>
      <c r="C129" s="2005">
        <f>SUM(C128)</f>
        <v>1031.22</v>
      </c>
      <c r="D129" s="2005">
        <f>SUM(D128)</f>
        <v>753.54</v>
      </c>
      <c r="E129" s="2005">
        <f>SUM(E126:E128)</f>
        <v>1108.8800000000001</v>
      </c>
      <c r="F129" s="2005">
        <f>SUM(F128)</f>
        <v>874.15</v>
      </c>
      <c r="G129" s="2005">
        <f>SUM(G128)</f>
        <v>791.35</v>
      </c>
      <c r="H129" s="2006"/>
      <c r="I129" s="2006"/>
      <c r="J129" s="2006"/>
      <c r="K129" s="2006"/>
      <c r="L129" s="2006"/>
      <c r="M129" s="2005">
        <f>SUM(M128)</f>
        <v>744.8</v>
      </c>
      <c r="N129" s="2005">
        <f>SUM(N128)</f>
        <v>744.8</v>
      </c>
      <c r="O129" s="2005">
        <f>SUM(O128)</f>
        <v>605.15</v>
      </c>
      <c r="P129" s="2005">
        <f>SUM(P128)</f>
        <v>605.15</v>
      </c>
      <c r="Q129" s="2005">
        <f>SUM(Q128)</f>
        <v>558.6</v>
      </c>
      <c r="R129" s="2005">
        <f t="shared" ref="R129:AB129" si="28">SUM(R126:R128)</f>
        <v>647.1</v>
      </c>
      <c r="S129" s="2005">
        <f t="shared" si="28"/>
        <v>52</v>
      </c>
      <c r="T129" s="2005">
        <f t="shared" si="28"/>
        <v>332.61</v>
      </c>
      <c r="U129" s="2005">
        <f t="shared" si="28"/>
        <v>401.81</v>
      </c>
      <c r="V129" s="2005">
        <f t="shared" si="28"/>
        <v>450.42</v>
      </c>
      <c r="W129" s="2005">
        <f t="shared" si="28"/>
        <v>435.45</v>
      </c>
      <c r="X129" s="2005">
        <f t="shared" si="28"/>
        <v>501.48</v>
      </c>
      <c r="Y129" s="2005">
        <f t="shared" si="28"/>
        <v>305.13</v>
      </c>
      <c r="Z129" s="2005">
        <f t="shared" si="28"/>
        <v>272.33</v>
      </c>
      <c r="AA129" s="2005">
        <f t="shared" si="28"/>
        <v>271.97000000000003</v>
      </c>
      <c r="AB129" s="3150">
        <f t="shared" si="28"/>
        <v>0</v>
      </c>
      <c r="AF129" s="395"/>
      <c r="AG129" s="395"/>
      <c r="AH129" s="395"/>
    </row>
    <row r="130" spans="1:34">
      <c r="A130" s="2048" t="s">
        <v>47</v>
      </c>
      <c r="B130" s="1999"/>
      <c r="C130" s="1999"/>
      <c r="D130" s="1999"/>
      <c r="E130" s="1999"/>
      <c r="F130" s="1999"/>
      <c r="G130" s="1999"/>
      <c r="H130" s="397"/>
      <c r="I130" s="397"/>
      <c r="J130" s="397"/>
      <c r="K130" s="397"/>
      <c r="L130" s="1996"/>
      <c r="M130" s="1487"/>
      <c r="N130" s="1487"/>
      <c r="O130" s="1487"/>
      <c r="P130" s="397"/>
      <c r="Q130" s="397"/>
      <c r="R130" s="397"/>
      <c r="S130" s="397"/>
      <c r="T130" s="397"/>
      <c r="U130" s="1487"/>
      <c r="V130" s="1487"/>
      <c r="W130" s="1487"/>
      <c r="X130" s="1487"/>
      <c r="Y130" s="1487"/>
      <c r="Z130" s="1487"/>
      <c r="AA130" s="1487"/>
      <c r="AB130" s="1489"/>
      <c r="AF130" s="395"/>
      <c r="AG130" s="395"/>
      <c r="AH130" s="395"/>
    </row>
    <row r="131" spans="1:34">
      <c r="A131" s="1997"/>
      <c r="B131" s="583"/>
      <c r="C131" s="1487">
        <v>52743.75</v>
      </c>
      <c r="D131" s="1487">
        <v>38571.78</v>
      </c>
      <c r="E131" s="1487">
        <v>37438.639999999999</v>
      </c>
      <c r="F131" s="1487">
        <v>25392.69</v>
      </c>
      <c r="G131" s="1487">
        <v>14732.97</v>
      </c>
      <c r="H131" s="397" t="s">
        <v>1182</v>
      </c>
      <c r="I131" s="397"/>
      <c r="J131" s="397"/>
      <c r="K131" s="397"/>
      <c r="L131" s="1998"/>
      <c r="M131" s="1487">
        <v>1801.29</v>
      </c>
      <c r="N131" s="1487">
        <v>0</v>
      </c>
      <c r="O131" s="1487">
        <v>0</v>
      </c>
      <c r="P131" s="1487">
        <v>0</v>
      </c>
      <c r="Q131" s="397"/>
      <c r="R131" s="397"/>
      <c r="S131" s="397"/>
      <c r="T131" s="1487"/>
      <c r="U131" s="1487"/>
      <c r="V131" s="1487"/>
      <c r="W131" s="1487"/>
      <c r="X131" s="1487"/>
      <c r="Y131" s="1487"/>
      <c r="Z131" s="1487"/>
      <c r="AA131" s="1487"/>
      <c r="AB131" s="1489"/>
      <c r="AF131" s="395"/>
      <c r="AG131" s="395"/>
      <c r="AH131" s="395"/>
    </row>
    <row r="132" spans="1:34">
      <c r="A132" s="1997"/>
      <c r="B132" s="583"/>
      <c r="C132" s="1487">
        <v>8324.2099999999991</v>
      </c>
      <c r="D132" s="1487">
        <v>5709.13</v>
      </c>
      <c r="E132" s="1487">
        <v>3765.36</v>
      </c>
      <c r="F132" s="1487">
        <v>1810.26</v>
      </c>
      <c r="G132" s="1487">
        <v>581.71</v>
      </c>
      <c r="H132" s="397" t="s">
        <v>1183</v>
      </c>
      <c r="I132" s="397"/>
      <c r="J132" s="397"/>
      <c r="K132" s="397"/>
      <c r="L132" s="1998"/>
      <c r="M132" s="1487">
        <v>79.180000000000007</v>
      </c>
      <c r="N132" s="1487">
        <v>0</v>
      </c>
      <c r="O132" s="1487">
        <v>0</v>
      </c>
      <c r="P132" s="1487">
        <v>0</v>
      </c>
      <c r="Q132" s="397"/>
      <c r="R132" s="397"/>
      <c r="S132" s="397"/>
      <c r="T132" s="1487"/>
      <c r="U132" s="1487"/>
      <c r="V132" s="1487"/>
      <c r="W132" s="1487"/>
      <c r="X132" s="1487"/>
      <c r="Y132" s="1487"/>
      <c r="Z132" s="1487"/>
      <c r="AA132" s="1487"/>
      <c r="AB132" s="1489"/>
      <c r="AF132" s="395"/>
      <c r="AG132" s="395"/>
      <c r="AH132" s="395"/>
    </row>
    <row r="133" spans="1:34">
      <c r="A133" s="1997"/>
      <c r="B133" s="583"/>
      <c r="C133" s="1487">
        <f>C195</f>
        <v>0</v>
      </c>
      <c r="D133" s="1487">
        <f>D195</f>
        <v>10717.984</v>
      </c>
      <c r="E133" s="1487">
        <f>E195</f>
        <v>12021.880000000001</v>
      </c>
      <c r="F133" s="1487">
        <f>F195</f>
        <v>18665.308000000001</v>
      </c>
      <c r="G133" s="1487">
        <f>G195</f>
        <v>24263.317999999999</v>
      </c>
      <c r="H133" s="397" t="s">
        <v>1184</v>
      </c>
      <c r="I133" s="397"/>
      <c r="J133" s="397"/>
      <c r="K133" s="397"/>
      <c r="L133" s="1998"/>
      <c r="M133" s="1487">
        <f t="shared" ref="M133:X133" si="29">M195</f>
        <v>39749.748999999996</v>
      </c>
      <c r="N133" s="1487">
        <f t="shared" si="29"/>
        <v>42258.964999999997</v>
      </c>
      <c r="O133" s="1487">
        <f t="shared" si="29"/>
        <v>50874.665000000001</v>
      </c>
      <c r="P133" s="1487">
        <f t="shared" si="29"/>
        <v>45632.901000000005</v>
      </c>
      <c r="Q133" s="1487">
        <f t="shared" si="29"/>
        <v>57597.016000000003</v>
      </c>
      <c r="R133" s="1487">
        <f t="shared" si="29"/>
        <v>55005.819999999992</v>
      </c>
      <c r="S133" s="1487">
        <f t="shared" si="29"/>
        <v>45629.299999999996</v>
      </c>
      <c r="T133" s="1487">
        <f t="shared" si="29"/>
        <v>39995.498</v>
      </c>
      <c r="U133" s="1487">
        <f t="shared" si="29"/>
        <v>42291.334000000003</v>
      </c>
      <c r="V133" s="1487">
        <f t="shared" si="29"/>
        <v>53874.752999999997</v>
      </c>
      <c r="W133" s="1487">
        <f t="shared" si="29"/>
        <v>41554.837999999996</v>
      </c>
      <c r="X133" s="1487">
        <f t="shared" si="29"/>
        <v>38769.649999999994</v>
      </c>
      <c r="Y133" s="1487">
        <f>Y195</f>
        <v>37160.936000000002</v>
      </c>
      <c r="Z133" s="1487">
        <f>Z195</f>
        <v>33674.156000000003</v>
      </c>
      <c r="AA133" s="1487">
        <f>AA195</f>
        <v>17230.932000000001</v>
      </c>
      <c r="AB133" s="1489">
        <f>AB195</f>
        <v>17230.93</v>
      </c>
      <c r="AF133" s="395"/>
      <c r="AG133" s="395"/>
      <c r="AH133" s="395"/>
    </row>
    <row r="134" spans="1:34">
      <c r="A134" s="1997"/>
      <c r="B134" s="583"/>
      <c r="C134" s="2042">
        <f>SUM(C131:C133)</f>
        <v>61067.96</v>
      </c>
      <c r="D134" s="2042">
        <f>SUM(D131:D133)</f>
        <v>54998.894</v>
      </c>
      <c r="E134" s="2042">
        <f>SUM(E131:E133)</f>
        <v>53225.880000000005</v>
      </c>
      <c r="F134" s="2042">
        <f>SUM(F131:F133)</f>
        <v>45868.258000000002</v>
      </c>
      <c r="G134" s="2042">
        <f>SUM(G131:G133)</f>
        <v>39577.998</v>
      </c>
      <c r="H134" s="1591" t="s">
        <v>1185</v>
      </c>
      <c r="I134" s="1591"/>
      <c r="J134" s="1591"/>
      <c r="K134" s="1591"/>
      <c r="L134" s="2012"/>
      <c r="M134" s="2042">
        <f t="shared" ref="M134:U134" si="30">SUM(M131:M133)</f>
        <v>41630.218999999997</v>
      </c>
      <c r="N134" s="2042">
        <f t="shared" si="30"/>
        <v>42258.964999999997</v>
      </c>
      <c r="O134" s="2042">
        <f t="shared" si="30"/>
        <v>50874.665000000001</v>
      </c>
      <c r="P134" s="2042">
        <f t="shared" si="30"/>
        <v>45632.901000000005</v>
      </c>
      <c r="Q134" s="2042">
        <f t="shared" si="30"/>
        <v>57597.016000000003</v>
      </c>
      <c r="R134" s="2042">
        <f t="shared" si="30"/>
        <v>55005.819999999992</v>
      </c>
      <c r="S134" s="2042">
        <f t="shared" si="30"/>
        <v>45629.299999999996</v>
      </c>
      <c r="T134" s="2042">
        <f t="shared" si="30"/>
        <v>39995.498</v>
      </c>
      <c r="U134" s="2042">
        <f t="shared" si="30"/>
        <v>42291.334000000003</v>
      </c>
      <c r="V134" s="2042">
        <f t="shared" ref="V134:AB134" si="31">SUM(V131:V133)</f>
        <v>53874.752999999997</v>
      </c>
      <c r="W134" s="2042">
        <f t="shared" si="31"/>
        <v>41554.837999999996</v>
      </c>
      <c r="X134" s="2042">
        <f t="shared" si="31"/>
        <v>38769.649999999994</v>
      </c>
      <c r="Y134" s="2042">
        <f t="shared" si="31"/>
        <v>37160.936000000002</v>
      </c>
      <c r="Z134" s="2042">
        <f t="shared" si="31"/>
        <v>33674.156000000003</v>
      </c>
      <c r="AA134" s="2042">
        <f t="shared" si="31"/>
        <v>17230.932000000001</v>
      </c>
      <c r="AB134" s="3839">
        <f t="shared" si="31"/>
        <v>17230.93</v>
      </c>
      <c r="AF134" s="395"/>
      <c r="AG134" s="395"/>
      <c r="AH134" s="395"/>
    </row>
    <row r="135" spans="1:34">
      <c r="A135" s="2008" t="s">
        <v>1186</v>
      </c>
      <c r="B135" s="2022"/>
      <c r="C135" s="2009">
        <f>C76+C124+C129+C134</f>
        <v>302230.53000000003</v>
      </c>
      <c r="D135" s="2009">
        <f>D76+D124+D129+D134</f>
        <v>317592.054</v>
      </c>
      <c r="E135" s="2009">
        <f>E76+E124+E129+E134</f>
        <v>326029.76</v>
      </c>
      <c r="F135" s="2009">
        <f>F76+F124+F129+F134</f>
        <v>315336.93799999997</v>
      </c>
      <c r="G135" s="2009">
        <f>G76+G124+G129+G134</f>
        <v>311589.99800000002</v>
      </c>
      <c r="H135" s="2010"/>
      <c r="I135" s="2010"/>
      <c r="J135" s="2010"/>
      <c r="K135" s="2010"/>
      <c r="L135" s="2010"/>
      <c r="M135" s="2009">
        <f t="shared" ref="M135:X135" si="32">M76+M124+M129+M134</f>
        <v>417579.64900000003</v>
      </c>
      <c r="N135" s="2009">
        <f t="shared" si="32"/>
        <v>448001.32500000007</v>
      </c>
      <c r="O135" s="2009">
        <f t="shared" si="32"/>
        <v>454704.5450000001</v>
      </c>
      <c r="P135" s="2009">
        <f t="shared" si="32"/>
        <v>450970.33399999997</v>
      </c>
      <c r="Q135" s="2009">
        <f t="shared" si="32"/>
        <v>425238.89599999989</v>
      </c>
      <c r="R135" s="2009">
        <f t="shared" si="32"/>
        <v>435545.47</v>
      </c>
      <c r="S135" s="2009">
        <f t="shared" si="32"/>
        <v>420598.38000000006</v>
      </c>
      <c r="T135" s="2009">
        <f t="shared" si="32"/>
        <v>409231.98800000007</v>
      </c>
      <c r="U135" s="2009">
        <f t="shared" si="32"/>
        <v>426197.50399999996</v>
      </c>
      <c r="V135" s="2009">
        <f t="shared" si="32"/>
        <v>446103.15299999993</v>
      </c>
      <c r="W135" s="2009">
        <f t="shared" si="32"/>
        <v>336683.788</v>
      </c>
      <c r="X135" s="2009">
        <f t="shared" si="32"/>
        <v>371979.53</v>
      </c>
      <c r="Y135" s="2009">
        <f>Y76+Y124+Y129+Y134</f>
        <v>357563.21600000001</v>
      </c>
      <c r="Z135" s="2009">
        <f>Z76+Z124+Z129+Z134</f>
        <v>318453.26600000006</v>
      </c>
      <c r="AA135" s="2009">
        <f>AA76+AA124+AA129+AA134</f>
        <v>345521.47199999995</v>
      </c>
      <c r="AB135" s="2070">
        <f>AB76+AB124+AB129+AB134</f>
        <v>17230.93</v>
      </c>
      <c r="AF135" s="395"/>
      <c r="AG135" s="395"/>
      <c r="AH135" s="395"/>
    </row>
    <row r="136" spans="1:34">
      <c r="A136" s="1984" t="s">
        <v>1187</v>
      </c>
      <c r="B136" s="1985"/>
      <c r="C136" s="1985"/>
      <c r="D136" s="1985"/>
      <c r="E136" s="1985"/>
      <c r="F136" s="1985"/>
      <c r="G136" s="1985"/>
      <c r="H136" s="1986"/>
      <c r="I136" s="1986"/>
      <c r="J136" s="1986"/>
      <c r="K136" s="1986"/>
      <c r="L136" s="1986"/>
      <c r="M136" s="2013">
        <v>2007</v>
      </c>
      <c r="N136" s="2013">
        <v>2008</v>
      </c>
      <c r="O136" s="2013">
        <v>2009</v>
      </c>
      <c r="P136" s="2013">
        <v>2010</v>
      </c>
      <c r="Q136" s="2013">
        <v>2011</v>
      </c>
      <c r="R136" s="2013">
        <v>2012</v>
      </c>
      <c r="S136" s="2013">
        <v>2013</v>
      </c>
      <c r="T136" s="2013">
        <v>2014</v>
      </c>
      <c r="U136" s="2013">
        <v>2015</v>
      </c>
      <c r="V136" s="2013">
        <v>2016</v>
      </c>
      <c r="W136" s="2013">
        <v>2017</v>
      </c>
      <c r="X136" s="2013">
        <v>2018</v>
      </c>
      <c r="Y136" s="2013">
        <v>2019</v>
      </c>
      <c r="Z136" s="2013">
        <v>2020</v>
      </c>
      <c r="AA136" s="2013">
        <v>2021</v>
      </c>
      <c r="AB136" s="2014">
        <v>2022</v>
      </c>
      <c r="AC136" s="1972"/>
      <c r="AF136" s="395"/>
      <c r="AG136" s="395"/>
      <c r="AH136" s="395"/>
    </row>
    <row r="137" spans="1:34">
      <c r="A137" s="2015" t="s">
        <v>2080</v>
      </c>
      <c r="B137" s="2270"/>
      <c r="C137" s="2016">
        <v>95086.37</v>
      </c>
      <c r="D137" s="2016">
        <v>13038.96</v>
      </c>
      <c r="E137" s="2016">
        <v>31798.87</v>
      </c>
      <c r="F137" s="2016">
        <v>27990.05</v>
      </c>
      <c r="G137" s="2016">
        <v>111559.07</v>
      </c>
      <c r="H137" s="1995" t="s">
        <v>2081</v>
      </c>
      <c r="I137" s="1995"/>
      <c r="J137" s="1995"/>
      <c r="K137" s="1995"/>
      <c r="L137" s="1996"/>
      <c r="M137" s="2016">
        <v>14000</v>
      </c>
      <c r="N137" s="2016">
        <v>59002.1</v>
      </c>
      <c r="O137" s="2016">
        <v>0</v>
      </c>
      <c r="P137" s="2016">
        <v>161888.04999999999</v>
      </c>
      <c r="Q137" s="2016">
        <v>3902.08</v>
      </c>
      <c r="R137" s="2016">
        <v>3437.5</v>
      </c>
      <c r="S137" s="2016">
        <v>17568.61</v>
      </c>
      <c r="T137" s="2016"/>
      <c r="U137" s="2016">
        <v>14494.5</v>
      </c>
      <c r="V137" s="2016">
        <v>127023.19</v>
      </c>
      <c r="W137" s="2016">
        <v>5753.2</v>
      </c>
      <c r="X137" s="2016">
        <f>J142</f>
        <v>0</v>
      </c>
      <c r="Y137" s="2016">
        <v>8499.2800000000007</v>
      </c>
      <c r="Z137" s="2016">
        <v>2107.2199999999998</v>
      </c>
      <c r="AA137" s="2016"/>
      <c r="AB137" s="2017"/>
      <c r="AF137" s="395"/>
      <c r="AG137" s="395"/>
      <c r="AH137" s="395"/>
    </row>
    <row r="138" spans="1:34">
      <c r="A138" s="1997" t="s">
        <v>2082</v>
      </c>
      <c r="B138" s="583"/>
      <c r="C138" s="1487">
        <v>1529.94</v>
      </c>
      <c r="D138" s="1487">
        <v>0</v>
      </c>
      <c r="E138" s="1487">
        <v>1418.27</v>
      </c>
      <c r="F138" s="1487">
        <v>0</v>
      </c>
      <c r="G138" s="1487">
        <v>13444.31</v>
      </c>
      <c r="H138" s="397" t="s">
        <v>1189</v>
      </c>
      <c r="I138" s="397"/>
      <c r="J138" s="397"/>
      <c r="K138" s="397"/>
      <c r="L138" s="1998"/>
      <c r="M138" s="1487">
        <v>9109.61</v>
      </c>
      <c r="N138" s="1487">
        <v>3751</v>
      </c>
      <c r="O138" s="1487">
        <v>7008.32</v>
      </c>
      <c r="P138" s="1487">
        <v>2964.5</v>
      </c>
      <c r="Q138" s="1487">
        <v>0</v>
      </c>
      <c r="R138" s="1487">
        <v>13467.44</v>
      </c>
      <c r="S138" s="1487">
        <f>634.04+1050.77</f>
        <v>1684.81</v>
      </c>
      <c r="T138" s="1487">
        <f>1403.47+350.9</f>
        <v>1754.37</v>
      </c>
      <c r="U138" s="1487">
        <v>3993</v>
      </c>
      <c r="V138" s="1487">
        <v>1272.0999999999999</v>
      </c>
      <c r="W138" s="1487"/>
      <c r="X138" s="1487">
        <f>J152</f>
        <v>2942.56</v>
      </c>
      <c r="Y138" s="1487">
        <v>9135.75</v>
      </c>
      <c r="Z138" s="1487"/>
      <c r="AA138" s="1487"/>
      <c r="AB138" s="1489"/>
      <c r="AF138" s="395"/>
      <c r="AG138" s="395"/>
      <c r="AH138" s="395"/>
    </row>
    <row r="139" spans="1:34">
      <c r="A139" s="2008" t="s">
        <v>1192</v>
      </c>
      <c r="B139" s="2022"/>
      <c r="C139" s="2022" t="s">
        <v>1192</v>
      </c>
      <c r="D139" s="2022" t="s">
        <v>1192</v>
      </c>
      <c r="E139" s="2022" t="s">
        <v>1192</v>
      </c>
      <c r="F139" s="2022" t="s">
        <v>1192</v>
      </c>
      <c r="G139" s="2022" t="s">
        <v>1192</v>
      </c>
      <c r="H139" s="2022"/>
      <c r="I139" s="2022"/>
      <c r="J139" s="2022"/>
      <c r="K139" s="2022"/>
      <c r="L139" s="2022"/>
      <c r="M139" s="2009">
        <f t="shared" ref="M139:AB139" si="33">SUM(M137:M138)</f>
        <v>23109.61</v>
      </c>
      <c r="N139" s="2009">
        <f t="shared" si="33"/>
        <v>62753.1</v>
      </c>
      <c r="O139" s="2009">
        <f t="shared" si="33"/>
        <v>7008.32</v>
      </c>
      <c r="P139" s="2009">
        <f t="shared" si="33"/>
        <v>164852.54999999999</v>
      </c>
      <c r="Q139" s="2009">
        <f t="shared" si="33"/>
        <v>3902.08</v>
      </c>
      <c r="R139" s="2009">
        <f t="shared" si="33"/>
        <v>16904.940000000002</v>
      </c>
      <c r="S139" s="2009">
        <f t="shared" si="33"/>
        <v>19253.420000000002</v>
      </c>
      <c r="T139" s="2009">
        <f t="shared" si="33"/>
        <v>1754.37</v>
      </c>
      <c r="U139" s="2009">
        <f t="shared" si="33"/>
        <v>18487.5</v>
      </c>
      <c r="V139" s="2009">
        <f t="shared" si="33"/>
        <v>128295.29000000001</v>
      </c>
      <c r="W139" s="2009">
        <f t="shared" si="33"/>
        <v>5753.2</v>
      </c>
      <c r="X139" s="2009">
        <f t="shared" si="33"/>
        <v>2942.56</v>
      </c>
      <c r="Y139" s="2009">
        <f t="shared" si="33"/>
        <v>17635.03</v>
      </c>
      <c r="Z139" s="2009">
        <f t="shared" si="33"/>
        <v>2107.2199999999998</v>
      </c>
      <c r="AA139" s="2009">
        <f t="shared" si="33"/>
        <v>0</v>
      </c>
      <c r="AB139" s="2070">
        <f t="shared" si="33"/>
        <v>0</v>
      </c>
      <c r="AF139" s="395"/>
      <c r="AG139" s="395"/>
      <c r="AH139" s="395"/>
    </row>
    <row r="140" spans="1:34">
      <c r="A140" s="1633"/>
      <c r="B140" s="1633"/>
      <c r="C140" s="1633"/>
      <c r="D140" s="1633"/>
      <c r="E140" s="1633"/>
      <c r="F140" s="1633"/>
      <c r="G140" s="1633"/>
      <c r="H140" s="395"/>
      <c r="I140" s="395"/>
      <c r="J140" s="395"/>
      <c r="K140" s="395"/>
      <c r="L140" s="395"/>
      <c r="T140" s="395"/>
      <c r="U140" s="395"/>
      <c r="V140" s="395"/>
      <c r="AF140" s="395"/>
      <c r="AG140" s="395"/>
      <c r="AH140" s="395"/>
    </row>
    <row r="141" spans="1:34">
      <c r="A141" s="1989"/>
      <c r="B141" s="1991"/>
      <c r="C141" s="1991"/>
      <c r="D141" s="1991"/>
      <c r="E141" s="1991"/>
      <c r="F141" s="1991"/>
      <c r="G141" s="1991"/>
      <c r="H141" s="2026" t="s">
        <v>2081</v>
      </c>
      <c r="I141" s="2026"/>
      <c r="J141" s="2027"/>
      <c r="K141" s="2027" t="s">
        <v>1194</v>
      </c>
      <c r="L141" s="2028" t="s">
        <v>1195</v>
      </c>
      <c r="M141" s="1990">
        <v>2007</v>
      </c>
      <c r="N141" s="1990">
        <v>2008</v>
      </c>
      <c r="O141" s="1990">
        <v>2009</v>
      </c>
      <c r="P141" s="1990">
        <v>2010</v>
      </c>
      <c r="Q141" s="1990">
        <v>2011</v>
      </c>
      <c r="R141" s="1990">
        <v>2012</v>
      </c>
      <c r="S141" s="1990">
        <v>2013</v>
      </c>
      <c r="T141" s="1990">
        <v>2014</v>
      </c>
      <c r="U141" s="1990">
        <v>2015</v>
      </c>
      <c r="V141" s="1990">
        <v>2016</v>
      </c>
      <c r="W141" s="1990">
        <v>2017</v>
      </c>
      <c r="X141" s="1990">
        <v>2018</v>
      </c>
      <c r="Y141" s="1990">
        <v>2019</v>
      </c>
      <c r="Z141" s="1990">
        <v>2020</v>
      </c>
      <c r="AA141" s="1990">
        <v>2021</v>
      </c>
      <c r="AB141" s="1990">
        <v>2022</v>
      </c>
      <c r="AC141" s="395"/>
      <c r="AD141" s="395"/>
      <c r="AE141" s="1972"/>
      <c r="AF141" s="395"/>
      <c r="AG141" s="395"/>
      <c r="AH141" s="395"/>
    </row>
    <row r="142" spans="1:34">
      <c r="A142" s="2036"/>
      <c r="B142" s="3816"/>
      <c r="C142" s="583"/>
      <c r="D142" s="583"/>
      <c r="E142" s="583"/>
      <c r="F142" s="583"/>
      <c r="G142" s="583"/>
      <c r="H142" s="397"/>
      <c r="I142" s="397"/>
      <c r="J142" s="1487"/>
      <c r="K142" s="2039"/>
      <c r="L142" s="2040"/>
      <c r="M142" s="2041"/>
      <c r="N142" s="2041"/>
      <c r="O142" s="2041"/>
      <c r="P142" s="2041"/>
      <c r="Q142" s="1487"/>
      <c r="R142" s="1487"/>
      <c r="S142" s="1487"/>
      <c r="T142" s="1487"/>
      <c r="U142" s="1487"/>
      <c r="V142" s="1487"/>
      <c r="W142" s="1487"/>
      <c r="X142" s="1487">
        <f>L142</f>
        <v>0</v>
      </c>
      <c r="Y142" s="1487">
        <f>L142</f>
        <v>0</v>
      </c>
      <c r="Z142" s="1487">
        <f>L142</f>
        <v>0</v>
      </c>
      <c r="AA142" s="1487">
        <f>L142</f>
        <v>0</v>
      </c>
      <c r="AB142" s="1998"/>
      <c r="AC142" s="395"/>
      <c r="AD142" s="395"/>
      <c r="AF142" s="395"/>
      <c r="AG142" s="395"/>
      <c r="AH142" s="395"/>
    </row>
    <row r="143" spans="1:34">
      <c r="A143" s="2037"/>
      <c r="B143" s="3816"/>
      <c r="C143" s="583"/>
      <c r="D143" s="583"/>
      <c r="E143" s="583"/>
      <c r="F143" s="583"/>
      <c r="G143" s="583"/>
      <c r="H143" s="397"/>
      <c r="I143" s="397"/>
      <c r="J143" s="1487"/>
      <c r="K143" s="2039"/>
      <c r="L143" s="2040"/>
      <c r="M143" s="2041"/>
      <c r="N143" s="2041"/>
      <c r="O143" s="2041"/>
      <c r="P143" s="2041"/>
      <c r="Q143" s="1487"/>
      <c r="R143" s="1487"/>
      <c r="S143" s="1487"/>
      <c r="T143" s="1487"/>
      <c r="U143" s="1487"/>
      <c r="V143" s="1487"/>
      <c r="W143" s="1487"/>
      <c r="X143" s="1487"/>
      <c r="Y143" s="1487"/>
      <c r="Z143" s="1487"/>
      <c r="AA143" s="1487"/>
      <c r="AB143" s="1998"/>
      <c r="AC143" s="395"/>
      <c r="AD143" s="395"/>
      <c r="AF143" s="395"/>
      <c r="AG143" s="395"/>
      <c r="AH143" s="395"/>
    </row>
    <row r="144" spans="1:34">
      <c r="A144" s="2037"/>
      <c r="B144" s="3816"/>
      <c r="C144" s="583"/>
      <c r="D144" s="583"/>
      <c r="E144" s="583"/>
      <c r="F144" s="583"/>
      <c r="G144" s="583"/>
      <c r="H144" s="397"/>
      <c r="I144" s="397"/>
      <c r="J144" s="1487"/>
      <c r="K144" s="2039"/>
      <c r="L144" s="2040"/>
      <c r="M144" s="2041"/>
      <c r="N144" s="2041"/>
      <c r="O144" s="2041"/>
      <c r="P144" s="2041"/>
      <c r="Q144" s="1487"/>
      <c r="R144" s="1487"/>
      <c r="S144" s="1487"/>
      <c r="T144" s="1487"/>
      <c r="U144" s="1487"/>
      <c r="V144" s="1487"/>
      <c r="W144" s="1487"/>
      <c r="X144" s="1487"/>
      <c r="Y144" s="1487"/>
      <c r="Z144" s="1487"/>
      <c r="AA144" s="1487"/>
      <c r="AB144" s="1998"/>
      <c r="AC144" s="395"/>
      <c r="AD144" s="395"/>
      <c r="AF144" s="395"/>
      <c r="AG144" s="395"/>
      <c r="AH144" s="395"/>
    </row>
    <row r="145" spans="1:34">
      <c r="A145" s="2037"/>
      <c r="B145" s="3816"/>
      <c r="C145" s="583"/>
      <c r="D145" s="583"/>
      <c r="E145" s="583"/>
      <c r="F145" s="583"/>
      <c r="G145" s="583"/>
      <c r="H145" s="397"/>
      <c r="I145" s="397"/>
      <c r="J145" s="1487"/>
      <c r="K145" s="2039"/>
      <c r="L145" s="2040"/>
      <c r="M145" s="2041"/>
      <c r="N145" s="2041"/>
      <c r="O145" s="2041"/>
      <c r="P145" s="2041"/>
      <c r="Q145" s="1487"/>
      <c r="R145" s="1487"/>
      <c r="S145" s="1487"/>
      <c r="T145" s="1487"/>
      <c r="U145" s="1487"/>
      <c r="V145" s="1487"/>
      <c r="W145" s="1487"/>
      <c r="X145" s="1487"/>
      <c r="Y145" s="1487"/>
      <c r="Z145" s="1487"/>
      <c r="AA145" s="1487"/>
      <c r="AB145" s="1998"/>
      <c r="AC145" s="395"/>
      <c r="AD145" s="395"/>
      <c r="AF145" s="395"/>
      <c r="AG145" s="395"/>
      <c r="AH145" s="395"/>
    </row>
    <row r="146" spans="1:34">
      <c r="A146" s="2037"/>
      <c r="B146" s="3816"/>
      <c r="C146" s="583"/>
      <c r="D146" s="583"/>
      <c r="E146" s="583"/>
      <c r="F146" s="583"/>
      <c r="G146" s="583"/>
      <c r="H146" s="397"/>
      <c r="I146" s="397"/>
      <c r="J146" s="1487"/>
      <c r="K146" s="2039"/>
      <c r="L146" s="2040"/>
      <c r="M146" s="2041"/>
      <c r="N146" s="2041"/>
      <c r="O146" s="2041"/>
      <c r="P146" s="2041"/>
      <c r="Q146" s="1487"/>
      <c r="R146" s="1487"/>
      <c r="S146" s="1487"/>
      <c r="T146" s="1487"/>
      <c r="U146" s="1487"/>
      <c r="V146" s="1487"/>
      <c r="W146" s="1487"/>
      <c r="X146" s="1487"/>
      <c r="Y146" s="1487"/>
      <c r="Z146" s="1487"/>
      <c r="AA146" s="1487"/>
      <c r="AB146" s="1998"/>
      <c r="AC146" s="395"/>
      <c r="AD146" s="395"/>
      <c r="AF146" s="395"/>
      <c r="AG146" s="395"/>
      <c r="AH146" s="395"/>
    </row>
    <row r="147" spans="1:34">
      <c r="A147" s="2037"/>
      <c r="B147" s="3816"/>
      <c r="C147" s="583"/>
      <c r="D147" s="583"/>
      <c r="E147" s="583"/>
      <c r="F147" s="583"/>
      <c r="G147" s="583"/>
      <c r="H147" s="397"/>
      <c r="I147" s="397"/>
      <c r="J147" s="1487"/>
      <c r="K147" s="2039"/>
      <c r="L147" s="2040"/>
      <c r="M147" s="2041"/>
      <c r="N147" s="2041"/>
      <c r="O147" s="2041"/>
      <c r="P147" s="2041"/>
      <c r="Q147" s="1487"/>
      <c r="R147" s="1487"/>
      <c r="S147" s="1487"/>
      <c r="T147" s="1487"/>
      <c r="U147" s="1487"/>
      <c r="V147" s="1487"/>
      <c r="W147" s="1487"/>
      <c r="X147" s="1487"/>
      <c r="Y147" s="1487"/>
      <c r="Z147" s="1487"/>
      <c r="AA147" s="1487"/>
      <c r="AB147" s="1998"/>
      <c r="AC147" s="395"/>
      <c r="AD147" s="395"/>
      <c r="AF147" s="395"/>
      <c r="AG147" s="395"/>
      <c r="AH147" s="395"/>
    </row>
    <row r="148" spans="1:34">
      <c r="A148" s="2037">
        <v>2020</v>
      </c>
      <c r="B148" s="3816"/>
      <c r="C148" s="583"/>
      <c r="D148" s="583"/>
      <c r="E148" s="583"/>
      <c r="F148" s="583"/>
      <c r="G148" s="583"/>
      <c r="H148" s="397" t="s">
        <v>1612</v>
      </c>
      <c r="I148" s="397"/>
      <c r="J148" s="1487">
        <v>2107.2199999999998</v>
      </c>
      <c r="K148" s="2039" t="s">
        <v>1198</v>
      </c>
      <c r="L148" s="2040">
        <f>J148/10</f>
        <v>210.72199999999998</v>
      </c>
      <c r="M148" s="2041"/>
      <c r="N148" s="2041"/>
      <c r="O148" s="2041"/>
      <c r="P148" s="2041"/>
      <c r="Q148" s="1487"/>
      <c r="R148" s="1487"/>
      <c r="S148" s="1487"/>
      <c r="T148" s="1487"/>
      <c r="U148" s="1487"/>
      <c r="V148" s="1487"/>
      <c r="W148" s="1487"/>
      <c r="X148" s="1487"/>
      <c r="Y148" s="1487"/>
      <c r="Z148" s="1487">
        <v>210.72</v>
      </c>
      <c r="AA148" s="1487">
        <v>210.72</v>
      </c>
      <c r="AB148" s="1998">
        <v>210.72</v>
      </c>
      <c r="AC148" s="395"/>
      <c r="AD148" s="395"/>
      <c r="AF148" s="395"/>
      <c r="AG148" s="395"/>
      <c r="AH148" s="395"/>
    </row>
    <row r="149" spans="1:34">
      <c r="A149" s="2037">
        <v>2019</v>
      </c>
      <c r="B149" s="3816"/>
      <c r="C149" s="583"/>
      <c r="D149" s="583"/>
      <c r="E149" s="583"/>
      <c r="F149" s="583"/>
      <c r="G149" s="583"/>
      <c r="H149" s="397" t="s">
        <v>1612</v>
      </c>
      <c r="I149" s="397"/>
      <c r="J149" s="1487">
        <v>8499.2800000000007</v>
      </c>
      <c r="K149" s="2039" t="s">
        <v>1198</v>
      </c>
      <c r="L149" s="2040">
        <f>J149/10</f>
        <v>849.92800000000011</v>
      </c>
      <c r="M149" s="2041"/>
      <c r="N149" s="2041"/>
      <c r="O149" s="2041"/>
      <c r="P149" s="2041"/>
      <c r="Q149" s="1487"/>
      <c r="R149" s="1487"/>
      <c r="S149" s="1487"/>
      <c r="T149" s="1487"/>
      <c r="U149" s="1487"/>
      <c r="V149" s="1487"/>
      <c r="W149" s="1487"/>
      <c r="X149" s="1487"/>
      <c r="Y149" s="1487">
        <v>849.93</v>
      </c>
      <c r="Z149" s="1487">
        <v>849.93</v>
      </c>
      <c r="AA149" s="1487">
        <v>849.93</v>
      </c>
      <c r="AB149" s="1998">
        <v>849.93</v>
      </c>
      <c r="AC149" s="395"/>
      <c r="AD149" s="395"/>
      <c r="AF149" s="395"/>
      <c r="AG149" s="395"/>
      <c r="AH149" s="395"/>
    </row>
    <row r="150" spans="1:34">
      <c r="A150" s="2037"/>
      <c r="B150" s="3816"/>
      <c r="C150" s="583"/>
      <c r="D150" s="583"/>
      <c r="E150" s="583"/>
      <c r="F150" s="583"/>
      <c r="G150" s="583"/>
      <c r="H150" s="397" t="s">
        <v>1494</v>
      </c>
      <c r="I150" s="397"/>
      <c r="J150" s="1487">
        <v>9135.75</v>
      </c>
      <c r="K150" s="2039" t="s">
        <v>1197</v>
      </c>
      <c r="L150" s="2040">
        <f>J150/5</f>
        <v>1827.15</v>
      </c>
      <c r="M150" s="2041"/>
      <c r="N150" s="2041"/>
      <c r="O150" s="2041"/>
      <c r="P150" s="2041"/>
      <c r="Q150" s="1487"/>
      <c r="R150" s="1487"/>
      <c r="S150" s="1487"/>
      <c r="T150" s="1487"/>
      <c r="U150" s="1487"/>
      <c r="V150" s="1487"/>
      <c r="W150" s="1487"/>
      <c r="X150" s="1487"/>
      <c r="Y150" s="1487">
        <v>1827.15</v>
      </c>
      <c r="Z150" s="1487">
        <v>1827.15</v>
      </c>
      <c r="AA150" s="1487">
        <v>1827.15</v>
      </c>
      <c r="AB150" s="1998">
        <v>1827.15</v>
      </c>
      <c r="AC150" s="395"/>
      <c r="AD150" s="395"/>
      <c r="AF150" s="395"/>
      <c r="AG150" s="395"/>
      <c r="AH150" s="395"/>
    </row>
    <row r="151" spans="1:34">
      <c r="A151" s="2037">
        <v>2018</v>
      </c>
      <c r="B151" s="3816"/>
      <c r="C151" s="583"/>
      <c r="D151" s="583"/>
      <c r="E151" s="583"/>
      <c r="F151" s="583"/>
      <c r="G151" s="583"/>
      <c r="H151" s="397" t="s">
        <v>1612</v>
      </c>
      <c r="I151" s="397"/>
      <c r="J151" s="1487">
        <v>4769.82</v>
      </c>
      <c r="K151" s="2039" t="s">
        <v>1198</v>
      </c>
      <c r="L151" s="2040">
        <f>J151/10</f>
        <v>476.98199999999997</v>
      </c>
      <c r="M151" s="2041"/>
      <c r="N151" s="2041"/>
      <c r="O151" s="2041"/>
      <c r="P151" s="2041"/>
      <c r="Q151" s="1487"/>
      <c r="R151" s="1487"/>
      <c r="S151" s="1487"/>
      <c r="T151" s="1487"/>
      <c r="U151" s="1487"/>
      <c r="V151" s="1487"/>
      <c r="W151" s="1487"/>
      <c r="X151" s="1487">
        <v>476.98</v>
      </c>
      <c r="Y151" s="1487">
        <v>476.98</v>
      </c>
      <c r="Z151" s="1487">
        <v>476.98</v>
      </c>
      <c r="AA151" s="1487">
        <v>476.98</v>
      </c>
      <c r="AB151" s="1998">
        <v>476.98</v>
      </c>
      <c r="AC151" s="395"/>
      <c r="AD151" s="395"/>
      <c r="AF151" s="395"/>
      <c r="AG151" s="395"/>
      <c r="AH151" s="395"/>
    </row>
    <row r="152" spans="1:34">
      <c r="A152" s="2037"/>
      <c r="B152" s="3816"/>
      <c r="C152" s="583"/>
      <c r="D152" s="583"/>
      <c r="E152" s="583"/>
      <c r="F152" s="583"/>
      <c r="G152" s="583"/>
      <c r="H152" s="397" t="s">
        <v>1494</v>
      </c>
      <c r="I152" s="397"/>
      <c r="J152" s="1487">
        <v>2942.56</v>
      </c>
      <c r="K152" s="2039" t="s">
        <v>1197</v>
      </c>
      <c r="L152" s="2040">
        <f>J152/5</f>
        <v>588.51199999999994</v>
      </c>
      <c r="M152" s="2041"/>
      <c r="N152" s="2041"/>
      <c r="O152" s="2041"/>
      <c r="P152" s="2041"/>
      <c r="Q152" s="1487"/>
      <c r="R152" s="1487"/>
      <c r="S152" s="1487"/>
      <c r="T152" s="1487"/>
      <c r="U152" s="1487"/>
      <c r="V152" s="1487"/>
      <c r="W152" s="1487"/>
      <c r="X152" s="1487">
        <f>L152</f>
        <v>588.51199999999994</v>
      </c>
      <c r="Y152" s="1487">
        <f>L152</f>
        <v>588.51199999999994</v>
      </c>
      <c r="Z152" s="1487">
        <f>L152</f>
        <v>588.51199999999994</v>
      </c>
      <c r="AA152" s="1487">
        <f>L152</f>
        <v>588.51199999999994</v>
      </c>
      <c r="AB152" s="1998">
        <v>588.51</v>
      </c>
      <c r="AC152" s="395"/>
      <c r="AD152" s="395"/>
      <c r="AF152" s="395"/>
      <c r="AG152" s="395"/>
      <c r="AH152" s="395"/>
    </row>
    <row r="153" spans="1:34">
      <c r="A153" s="2037">
        <v>2017</v>
      </c>
      <c r="B153" s="3816"/>
      <c r="C153" s="583"/>
      <c r="D153" s="583"/>
      <c r="E153" s="583"/>
      <c r="F153" s="583"/>
      <c r="G153" s="583"/>
      <c r="H153" s="397" t="s">
        <v>1612</v>
      </c>
      <c r="I153" s="397"/>
      <c r="J153" s="1487">
        <v>5753.2</v>
      </c>
      <c r="K153" s="2039" t="s">
        <v>1198</v>
      </c>
      <c r="L153" s="2040">
        <f>J153/10</f>
        <v>575.31999999999994</v>
      </c>
      <c r="M153" s="2041"/>
      <c r="N153" s="2041"/>
      <c r="O153" s="2041"/>
      <c r="P153" s="2041"/>
      <c r="Q153" s="1487"/>
      <c r="R153" s="1487"/>
      <c r="S153" s="1487"/>
      <c r="T153" s="1487"/>
      <c r="U153" s="1487"/>
      <c r="V153" s="1487"/>
      <c r="W153" s="1487">
        <v>575.32000000000005</v>
      </c>
      <c r="X153" s="1487">
        <v>575.32000000000005</v>
      </c>
      <c r="Y153" s="1487">
        <v>575.32000000000005</v>
      </c>
      <c r="Z153" s="1487">
        <v>575.32000000000005</v>
      </c>
      <c r="AA153" s="1487">
        <v>575.32000000000005</v>
      </c>
      <c r="AB153" s="1998">
        <v>575.32000000000005</v>
      </c>
      <c r="AC153" s="395"/>
      <c r="AD153" s="395"/>
      <c r="AF153" s="395"/>
      <c r="AG153" s="395"/>
      <c r="AH153" s="395"/>
    </row>
    <row r="154" spans="1:34">
      <c r="A154" s="2037">
        <v>2016</v>
      </c>
      <c r="B154" s="3816"/>
      <c r="C154" s="583"/>
      <c r="D154" s="583"/>
      <c r="E154" s="583"/>
      <c r="F154" s="583"/>
      <c r="G154" s="583"/>
      <c r="H154" s="397" t="s">
        <v>1494</v>
      </c>
      <c r="I154" s="397"/>
      <c r="J154" s="1487">
        <v>1272.0999999999999</v>
      </c>
      <c r="K154" s="2039" t="s">
        <v>1197</v>
      </c>
      <c r="L154" s="2040">
        <f>J154/5</f>
        <v>254.42</v>
      </c>
      <c r="M154" s="2041"/>
      <c r="N154" s="2041"/>
      <c r="O154" s="2041"/>
      <c r="P154" s="2041"/>
      <c r="Q154" s="1487"/>
      <c r="R154" s="1487"/>
      <c r="S154" s="1487"/>
      <c r="T154" s="1487"/>
      <c r="U154" s="1487"/>
      <c r="V154" s="1487">
        <f>L154</f>
        <v>254.42</v>
      </c>
      <c r="W154" s="1487">
        <f>L154</f>
        <v>254.42</v>
      </c>
      <c r="X154" s="1487">
        <f>L154</f>
        <v>254.42</v>
      </c>
      <c r="Y154" s="1487">
        <f>L154</f>
        <v>254.42</v>
      </c>
      <c r="Z154" s="1487">
        <f>L154</f>
        <v>254.42</v>
      </c>
      <c r="AA154" s="1487"/>
      <c r="AB154" s="1998"/>
      <c r="AC154" s="395"/>
      <c r="AD154" s="395"/>
      <c r="AF154" s="395"/>
      <c r="AG154" s="395"/>
      <c r="AH154" s="395"/>
    </row>
    <row r="155" spans="1:34">
      <c r="A155" s="2037"/>
      <c r="B155" s="3816"/>
      <c r="C155" s="583"/>
      <c r="D155" s="583"/>
      <c r="E155" s="583"/>
      <c r="F155" s="583"/>
      <c r="G155" s="583"/>
      <c r="H155" s="397" t="s">
        <v>1612</v>
      </c>
      <c r="I155" s="397"/>
      <c r="J155" s="1487">
        <f>11006.16+142450.26-26433.23</f>
        <v>127023.19000000002</v>
      </c>
      <c r="K155" s="2039" t="s">
        <v>1198</v>
      </c>
      <c r="L155" s="2040">
        <f>J155/10</f>
        <v>12702.319000000001</v>
      </c>
      <c r="M155" s="2041"/>
      <c r="N155" s="2041"/>
      <c r="O155" s="2041"/>
      <c r="P155" s="2041"/>
      <c r="Q155" s="1487"/>
      <c r="R155" s="1487"/>
      <c r="S155" s="1487"/>
      <c r="T155" s="1487"/>
      <c r="U155" s="1487"/>
      <c r="V155" s="1487">
        <f>L155</f>
        <v>12702.319000000001</v>
      </c>
      <c r="W155" s="1487">
        <f>L155</f>
        <v>12702.319000000001</v>
      </c>
      <c r="X155" s="1487">
        <f>L155</f>
        <v>12702.319000000001</v>
      </c>
      <c r="Y155" s="1487">
        <f>L155</f>
        <v>12702.319000000001</v>
      </c>
      <c r="Z155" s="1487">
        <f>L155</f>
        <v>12702.319000000001</v>
      </c>
      <c r="AA155" s="1487">
        <v>12702.32</v>
      </c>
      <c r="AB155" s="1998">
        <v>12702.32</v>
      </c>
      <c r="AC155" s="395"/>
      <c r="AD155" s="395"/>
      <c r="AF155" s="395"/>
      <c r="AG155" s="395"/>
      <c r="AH155" s="395"/>
    </row>
    <row r="156" spans="1:34">
      <c r="A156" s="2037"/>
      <c r="B156" s="3816"/>
      <c r="C156" s="583"/>
      <c r="D156" s="583"/>
      <c r="E156" s="583"/>
      <c r="F156" s="583"/>
      <c r="G156" s="583"/>
      <c r="H156" s="397"/>
      <c r="I156" s="397"/>
      <c r="J156" s="2042">
        <f>SUM(J154:J155)</f>
        <v>128295.29000000002</v>
      </c>
      <c r="K156" s="1487"/>
      <c r="L156" s="2039"/>
      <c r="M156" s="2041"/>
      <c r="N156" s="2041"/>
      <c r="O156" s="2041"/>
      <c r="P156" s="2041"/>
      <c r="Q156" s="1487"/>
      <c r="R156" s="1487"/>
      <c r="S156" s="1487"/>
      <c r="T156" s="1487"/>
      <c r="U156" s="1487"/>
      <c r="V156" s="1487"/>
      <c r="W156" s="1487"/>
      <c r="X156" s="1487"/>
      <c r="Y156" s="1487"/>
      <c r="Z156" s="1487"/>
      <c r="AA156" s="1487"/>
      <c r="AB156" s="1998"/>
      <c r="AC156" s="395"/>
      <c r="AD156" s="395"/>
      <c r="AF156" s="395"/>
      <c r="AG156" s="395"/>
      <c r="AH156" s="395"/>
    </row>
    <row r="157" spans="1:34">
      <c r="A157" s="2037">
        <v>2015</v>
      </c>
      <c r="B157" s="3816"/>
      <c r="C157" s="583"/>
      <c r="D157" s="583"/>
      <c r="E157" s="583"/>
      <c r="F157" s="583"/>
      <c r="G157" s="583"/>
      <c r="H157" s="397" t="s">
        <v>1494</v>
      </c>
      <c r="I157" s="397"/>
      <c r="J157" s="1487">
        <v>3993</v>
      </c>
      <c r="K157" s="2039" t="s">
        <v>1197</v>
      </c>
      <c r="L157" s="2040">
        <f>J159/5</f>
        <v>3697.5</v>
      </c>
      <c r="M157" s="2041"/>
      <c r="N157" s="2041"/>
      <c r="O157" s="2041"/>
      <c r="P157" s="2041"/>
      <c r="Q157" s="1487"/>
      <c r="R157" s="1487"/>
      <c r="S157" s="1487"/>
      <c r="T157" s="1487"/>
      <c r="U157" s="1487">
        <f>L157</f>
        <v>3697.5</v>
      </c>
      <c r="V157" s="1487">
        <f>L157</f>
        <v>3697.5</v>
      </c>
      <c r="W157" s="1487">
        <f>L157</f>
        <v>3697.5</v>
      </c>
      <c r="X157" s="1487">
        <f>L157</f>
        <v>3697.5</v>
      </c>
      <c r="Y157" s="1487">
        <f>L157</f>
        <v>3697.5</v>
      </c>
      <c r="Z157" s="1487"/>
      <c r="AA157" s="1487"/>
      <c r="AB157" s="1998"/>
      <c r="AC157" s="395"/>
      <c r="AD157" s="395"/>
      <c r="AF157" s="395"/>
      <c r="AG157" s="395"/>
      <c r="AH157" s="395"/>
    </row>
    <row r="158" spans="1:34">
      <c r="A158" s="2037"/>
      <c r="B158" s="3816"/>
      <c r="C158" s="583"/>
      <c r="D158" s="583"/>
      <c r="E158" s="583"/>
      <c r="F158" s="583"/>
      <c r="G158" s="583"/>
      <c r="H158" s="397" t="s">
        <v>1612</v>
      </c>
      <c r="I158" s="397"/>
      <c r="J158" s="1487">
        <f>1992.78+12501.72</f>
        <v>14494.5</v>
      </c>
      <c r="K158" s="1487"/>
      <c r="L158" s="2039"/>
      <c r="M158" s="2041"/>
      <c r="N158" s="2041"/>
      <c r="O158" s="2041"/>
      <c r="P158" s="2041"/>
      <c r="Q158" s="1487"/>
      <c r="R158" s="1487"/>
      <c r="S158" s="1487"/>
      <c r="T158" s="1487"/>
      <c r="U158" s="1487"/>
      <c r="V158" s="1487"/>
      <c r="W158" s="1487"/>
      <c r="X158" s="1487"/>
      <c r="Y158" s="1487"/>
      <c r="Z158" s="1487"/>
      <c r="AA158" s="1487"/>
      <c r="AB158" s="1998"/>
      <c r="AC158" s="395"/>
      <c r="AD158" s="395"/>
      <c r="AF158" s="395"/>
      <c r="AG158" s="395"/>
      <c r="AH158" s="395"/>
    </row>
    <row r="159" spans="1:34">
      <c r="A159" s="2037"/>
      <c r="B159" s="3816"/>
      <c r="C159" s="583"/>
      <c r="D159" s="583"/>
      <c r="E159" s="583"/>
      <c r="F159" s="583"/>
      <c r="G159" s="583"/>
      <c r="H159" s="397"/>
      <c r="I159" s="397"/>
      <c r="J159" s="2042">
        <f>SUM(J157:J158)</f>
        <v>18487.5</v>
      </c>
      <c r="K159" s="1487"/>
      <c r="L159" s="2039"/>
      <c r="M159" s="2041"/>
      <c r="N159" s="2041"/>
      <c r="O159" s="2041"/>
      <c r="P159" s="2041"/>
      <c r="Q159" s="1487"/>
      <c r="R159" s="1487"/>
      <c r="S159" s="1487"/>
      <c r="T159" s="1487"/>
      <c r="U159" s="1487"/>
      <c r="V159" s="1487"/>
      <c r="W159" s="1487"/>
      <c r="X159" s="1487"/>
      <c r="Y159" s="1487"/>
      <c r="Z159" s="1487"/>
      <c r="AA159" s="1487"/>
      <c r="AB159" s="1998"/>
      <c r="AC159" s="395"/>
      <c r="AD159" s="395"/>
      <c r="AF159" s="395"/>
      <c r="AG159" s="395"/>
      <c r="AH159" s="395"/>
    </row>
    <row r="160" spans="1:34">
      <c r="A160" s="2037">
        <v>2014</v>
      </c>
      <c r="B160" s="3816"/>
      <c r="C160" s="583"/>
      <c r="D160" s="583"/>
      <c r="E160" s="583"/>
      <c r="F160" s="583"/>
      <c r="G160" s="583"/>
      <c r="H160" s="397" t="s">
        <v>1732</v>
      </c>
      <c r="I160" s="397"/>
      <c r="J160" s="1487">
        <v>350.9</v>
      </c>
      <c r="K160" s="2039" t="s">
        <v>1197</v>
      </c>
      <c r="L160" s="2040">
        <f>J162/5</f>
        <v>350.87399999999997</v>
      </c>
      <c r="M160" s="2041"/>
      <c r="N160" s="2041"/>
      <c r="O160" s="2041"/>
      <c r="P160" s="2041"/>
      <c r="Q160" s="1487"/>
      <c r="R160" s="1487"/>
      <c r="S160" s="1487"/>
      <c r="T160" s="1487">
        <f>L160</f>
        <v>350.87399999999997</v>
      </c>
      <c r="U160" s="1487">
        <f>L160</f>
        <v>350.87399999999997</v>
      </c>
      <c r="V160" s="1487">
        <f>L160</f>
        <v>350.87399999999997</v>
      </c>
      <c r="W160" s="1487">
        <f>L160</f>
        <v>350.87399999999997</v>
      </c>
      <c r="X160" s="1487">
        <f>L160</f>
        <v>350.87399999999997</v>
      </c>
      <c r="Y160" s="1487"/>
      <c r="Z160" s="1487"/>
      <c r="AA160" s="1487"/>
      <c r="AB160" s="1998"/>
      <c r="AC160" s="395"/>
      <c r="AD160" s="395"/>
      <c r="AF160" s="395"/>
      <c r="AG160" s="395"/>
      <c r="AH160" s="395"/>
    </row>
    <row r="161" spans="1:34">
      <c r="A161" s="2037"/>
      <c r="B161" s="3816"/>
      <c r="C161" s="583"/>
      <c r="D161" s="583"/>
      <c r="E161" s="583"/>
      <c r="F161" s="583"/>
      <c r="G161" s="583"/>
      <c r="H161" s="397" t="s">
        <v>1494</v>
      </c>
      <c r="I161" s="397"/>
      <c r="J161" s="1487">
        <v>1403.47</v>
      </c>
      <c r="K161" s="1487"/>
      <c r="L161" s="2039"/>
      <c r="M161" s="2041"/>
      <c r="N161" s="2041"/>
      <c r="O161" s="2041"/>
      <c r="P161" s="2041"/>
      <c r="Q161" s="1487"/>
      <c r="R161" s="1487"/>
      <c r="S161" s="1487"/>
      <c r="T161" s="1487"/>
      <c r="U161" s="1487"/>
      <c r="V161" s="1487"/>
      <c r="W161" s="1487"/>
      <c r="X161" s="1487"/>
      <c r="Y161" s="1487"/>
      <c r="Z161" s="1487"/>
      <c r="AA161" s="1487"/>
      <c r="AB161" s="1998"/>
      <c r="AC161" s="395"/>
      <c r="AD161" s="395"/>
      <c r="AF161" s="395"/>
      <c r="AG161" s="395"/>
      <c r="AH161" s="395"/>
    </row>
    <row r="162" spans="1:34">
      <c r="A162" s="2037"/>
      <c r="B162" s="3816"/>
      <c r="C162" s="583"/>
      <c r="D162" s="583"/>
      <c r="E162" s="583"/>
      <c r="F162" s="583"/>
      <c r="G162" s="583"/>
      <c r="H162" s="397"/>
      <c r="I162" s="397"/>
      <c r="J162" s="2042">
        <f>SUM(J160:J161)</f>
        <v>1754.37</v>
      </c>
      <c r="K162" s="1487"/>
      <c r="L162" s="2039"/>
      <c r="M162" s="2041"/>
      <c r="N162" s="2041"/>
      <c r="O162" s="2041"/>
      <c r="P162" s="2041"/>
      <c r="Q162" s="1487"/>
      <c r="R162" s="1487"/>
      <c r="S162" s="1487"/>
      <c r="T162" s="1487"/>
      <c r="U162" s="1487"/>
      <c r="V162" s="1487"/>
      <c r="W162" s="1487"/>
      <c r="X162" s="1487"/>
      <c r="Y162" s="1487"/>
      <c r="Z162" s="1487"/>
      <c r="AA162" s="1487"/>
      <c r="AB162" s="1998"/>
      <c r="AC162" s="395"/>
      <c r="AD162" s="395"/>
      <c r="AF162" s="395"/>
      <c r="AG162" s="395"/>
      <c r="AH162" s="395"/>
    </row>
    <row r="163" spans="1:34">
      <c r="A163" s="2037">
        <v>2013</v>
      </c>
      <c r="B163" s="3816"/>
      <c r="C163" s="583"/>
      <c r="D163" s="583"/>
      <c r="E163" s="583"/>
      <c r="F163" s="583"/>
      <c r="G163" s="583"/>
      <c r="H163" s="397" t="s">
        <v>2081</v>
      </c>
      <c r="I163" s="397"/>
      <c r="J163" s="1487">
        <f>15339.58+2229.03</f>
        <v>17568.61</v>
      </c>
      <c r="K163" s="2039" t="s">
        <v>1197</v>
      </c>
      <c r="L163" s="2040">
        <f>J166/5</f>
        <v>3850.6840000000002</v>
      </c>
      <c r="M163" s="2040"/>
      <c r="N163" s="2040"/>
      <c r="O163" s="2040"/>
      <c r="P163" s="2040"/>
      <c r="Q163" s="2040"/>
      <c r="R163" s="2040"/>
      <c r="S163" s="2040">
        <v>3850.68</v>
      </c>
      <c r="T163" s="2040">
        <v>3850.68</v>
      </c>
      <c r="U163" s="2040">
        <v>3850.68</v>
      </c>
      <c r="V163" s="2040">
        <v>3850.68</v>
      </c>
      <c r="W163" s="1487">
        <v>3850.68</v>
      </c>
      <c r="X163" s="1487"/>
      <c r="Y163" s="1487"/>
      <c r="Z163" s="1487"/>
      <c r="AA163" s="1487"/>
      <c r="AB163" s="1998"/>
      <c r="AC163" s="395"/>
      <c r="AD163" s="395"/>
      <c r="AF163" s="395"/>
      <c r="AG163" s="395"/>
      <c r="AH163" s="395"/>
    </row>
    <row r="164" spans="1:34">
      <c r="A164" s="2037"/>
      <c r="B164" s="3816"/>
      <c r="C164" s="583"/>
      <c r="D164" s="583"/>
      <c r="E164" s="583"/>
      <c r="F164" s="583"/>
      <c r="G164" s="583"/>
      <c r="H164" s="397" t="s">
        <v>1732</v>
      </c>
      <c r="I164" s="397"/>
      <c r="J164" s="1487">
        <v>634.04</v>
      </c>
      <c r="K164" s="2039" t="s">
        <v>1197</v>
      </c>
      <c r="L164" s="2039"/>
      <c r="M164" s="2041"/>
      <c r="N164" s="2041"/>
      <c r="O164" s="2041"/>
      <c r="P164" s="2041"/>
      <c r="Q164" s="1487"/>
      <c r="R164" s="1487"/>
      <c r="S164" s="1487"/>
      <c r="T164" s="1487"/>
      <c r="U164" s="1487"/>
      <c r="V164" s="1487"/>
      <c r="W164" s="1487"/>
      <c r="X164" s="1487"/>
      <c r="Y164" s="1487"/>
      <c r="Z164" s="1487"/>
      <c r="AA164" s="1487"/>
      <c r="AB164" s="1998"/>
      <c r="AC164" s="395"/>
      <c r="AD164" s="395"/>
      <c r="AF164" s="395"/>
      <c r="AG164" s="395"/>
      <c r="AH164" s="395"/>
    </row>
    <row r="165" spans="1:34">
      <c r="A165" s="2037"/>
      <c r="B165" s="3816"/>
      <c r="C165" s="583"/>
      <c r="D165" s="583"/>
      <c r="E165" s="583"/>
      <c r="F165" s="583"/>
      <c r="G165" s="583"/>
      <c r="H165" s="397" t="s">
        <v>1494</v>
      </c>
      <c r="I165" s="397"/>
      <c r="J165" s="1487">
        <v>1050.77</v>
      </c>
      <c r="K165" s="2039" t="s">
        <v>1197</v>
      </c>
      <c r="L165" s="2039"/>
      <c r="M165" s="2041"/>
      <c r="N165" s="2041"/>
      <c r="O165" s="2041"/>
      <c r="P165" s="2041"/>
      <c r="Q165" s="1487"/>
      <c r="R165" s="1487"/>
      <c r="S165" s="1487"/>
      <c r="T165" s="1487"/>
      <c r="U165" s="1487"/>
      <c r="V165" s="1487"/>
      <c r="W165" s="1487"/>
      <c r="X165" s="1487"/>
      <c r="Y165" s="1487"/>
      <c r="Z165" s="1487"/>
      <c r="AA165" s="1487"/>
      <c r="AB165" s="1998"/>
      <c r="AC165" s="395"/>
      <c r="AD165" s="395"/>
      <c r="AF165" s="395"/>
      <c r="AG165" s="395"/>
      <c r="AH165" s="395"/>
    </row>
    <row r="166" spans="1:34">
      <c r="A166" s="2037"/>
      <c r="B166" s="3816"/>
      <c r="C166" s="583"/>
      <c r="D166" s="583"/>
      <c r="E166" s="583"/>
      <c r="F166" s="583"/>
      <c r="G166" s="583"/>
      <c r="H166" s="397"/>
      <c r="I166" s="397"/>
      <c r="J166" s="2042">
        <f>SUM(J163:J165)</f>
        <v>19253.420000000002</v>
      </c>
      <c r="K166" s="1487"/>
      <c r="L166" s="2039"/>
      <c r="M166" s="2041"/>
      <c r="N166" s="2041"/>
      <c r="O166" s="2041"/>
      <c r="P166" s="2041"/>
      <c r="Q166" s="1487"/>
      <c r="R166" s="1487"/>
      <c r="S166" s="1487"/>
      <c r="T166" s="1487"/>
      <c r="U166" s="1487"/>
      <c r="V166" s="1487"/>
      <c r="W166" s="1487"/>
      <c r="X166" s="1487"/>
      <c r="Y166" s="1487"/>
      <c r="Z166" s="1487"/>
      <c r="AA166" s="1487"/>
      <c r="AB166" s="1998"/>
      <c r="AC166" s="395"/>
      <c r="AD166" s="395"/>
      <c r="AF166" s="395"/>
      <c r="AG166" s="395"/>
      <c r="AH166" s="395"/>
    </row>
    <row r="167" spans="1:34">
      <c r="A167" s="2037">
        <v>2012</v>
      </c>
      <c r="B167" s="3816"/>
      <c r="C167" s="583"/>
      <c r="D167" s="583"/>
      <c r="E167" s="583"/>
      <c r="F167" s="583"/>
      <c r="G167" s="583"/>
      <c r="H167" s="397" t="s">
        <v>2081</v>
      </c>
      <c r="I167" s="397"/>
      <c r="J167" s="1487">
        <v>3437.5</v>
      </c>
      <c r="K167" s="2039" t="s">
        <v>1197</v>
      </c>
      <c r="L167" s="2040">
        <f>J169/5</f>
        <v>3380.9880000000003</v>
      </c>
      <c r="M167" s="2041"/>
      <c r="N167" s="2041"/>
      <c r="O167" s="2041"/>
      <c r="P167" s="2041"/>
      <c r="Q167" s="1487"/>
      <c r="R167" s="1487">
        <v>3380.99</v>
      </c>
      <c r="S167" s="1487">
        <v>3380.99</v>
      </c>
      <c r="T167" s="1487">
        <v>3380.99</v>
      </c>
      <c r="U167" s="1487">
        <v>3380.99</v>
      </c>
      <c r="V167" s="1487">
        <v>3380.99</v>
      </c>
      <c r="W167" s="1487"/>
      <c r="X167" s="1487"/>
      <c r="Y167" s="1487"/>
      <c r="Z167" s="1487"/>
      <c r="AA167" s="1487"/>
      <c r="AB167" s="1998"/>
      <c r="AC167" s="395"/>
      <c r="AD167" s="395"/>
      <c r="AF167" s="395"/>
      <c r="AG167" s="395"/>
      <c r="AH167" s="395"/>
    </row>
    <row r="168" spans="1:34">
      <c r="A168" s="2037"/>
      <c r="B168" s="3816"/>
      <c r="C168" s="583"/>
      <c r="D168" s="583"/>
      <c r="E168" s="583"/>
      <c r="F168" s="583"/>
      <c r="G168" s="583"/>
      <c r="H168" s="397" t="s">
        <v>1494</v>
      </c>
      <c r="I168" s="397"/>
      <c r="J168" s="1487">
        <v>13467.44</v>
      </c>
      <c r="K168" s="1487"/>
      <c r="L168" s="2039"/>
      <c r="M168" s="2041"/>
      <c r="N168" s="2041"/>
      <c r="O168" s="2041"/>
      <c r="P168" s="2041"/>
      <c r="Q168" s="1487"/>
      <c r="R168" s="1487"/>
      <c r="S168" s="1487"/>
      <c r="T168" s="1487"/>
      <c r="U168" s="1487"/>
      <c r="V168" s="1487"/>
      <c r="W168" s="1487"/>
      <c r="X168" s="1487"/>
      <c r="Y168" s="1487"/>
      <c r="Z168" s="1487"/>
      <c r="AA168" s="1487"/>
      <c r="AB168" s="1998"/>
      <c r="AC168" s="395"/>
      <c r="AD168" s="395"/>
      <c r="AF168" s="395"/>
      <c r="AG168" s="395"/>
      <c r="AH168" s="395"/>
    </row>
    <row r="169" spans="1:34">
      <c r="A169" s="2037"/>
      <c r="B169" s="3816"/>
      <c r="C169" s="583"/>
      <c r="D169" s="583"/>
      <c r="E169" s="583"/>
      <c r="F169" s="583"/>
      <c r="G169" s="583"/>
      <c r="H169" s="397"/>
      <c r="I169" s="397"/>
      <c r="J169" s="2042">
        <f>SUM(J167:J168)</f>
        <v>16904.940000000002</v>
      </c>
      <c r="K169" s="1487"/>
      <c r="L169" s="2039"/>
      <c r="M169" s="2041"/>
      <c r="N169" s="2041"/>
      <c r="O169" s="2041"/>
      <c r="P169" s="2041"/>
      <c r="Q169" s="1487"/>
      <c r="R169" s="1487"/>
      <c r="S169" s="1487"/>
      <c r="T169" s="1487"/>
      <c r="U169" s="1487"/>
      <c r="V169" s="1487"/>
      <c r="W169" s="1487"/>
      <c r="X169" s="1487"/>
      <c r="Y169" s="1487"/>
      <c r="Z169" s="1487"/>
      <c r="AA169" s="1487"/>
      <c r="AB169" s="1998"/>
      <c r="AC169" s="395"/>
      <c r="AD169" s="395"/>
      <c r="AF169" s="395"/>
      <c r="AG169" s="395"/>
      <c r="AH169" s="395"/>
    </row>
    <row r="170" spans="1:34">
      <c r="A170" s="2037">
        <v>2011</v>
      </c>
      <c r="B170" s="3816"/>
      <c r="C170" s="583"/>
      <c r="D170" s="583"/>
      <c r="E170" s="583"/>
      <c r="F170" s="583"/>
      <c r="G170" s="583"/>
      <c r="H170" s="397" t="s">
        <v>2081</v>
      </c>
      <c r="I170" s="397"/>
      <c r="J170" s="1487">
        <v>3902.08</v>
      </c>
      <c r="K170" s="2039" t="s">
        <v>1197</v>
      </c>
      <c r="L170" s="2040">
        <f>J170/5</f>
        <v>780.41599999999994</v>
      </c>
      <c r="M170" s="1487"/>
      <c r="N170" s="1487"/>
      <c r="O170" s="1487"/>
      <c r="P170" s="1487"/>
      <c r="Q170" s="1487">
        <v>780.42</v>
      </c>
      <c r="R170" s="1487">
        <v>780.42</v>
      </c>
      <c r="S170" s="1487">
        <v>780.42</v>
      </c>
      <c r="T170" s="1487">
        <v>780.42</v>
      </c>
      <c r="U170" s="1487">
        <v>780.42</v>
      </c>
      <c r="V170" s="1487"/>
      <c r="W170" s="1487"/>
      <c r="X170" s="1487"/>
      <c r="Y170" s="1487"/>
      <c r="Z170" s="1487"/>
      <c r="AA170" s="1487"/>
      <c r="AB170" s="1998"/>
      <c r="AC170" s="395"/>
      <c r="AD170" s="395"/>
      <c r="AF170" s="395"/>
      <c r="AG170" s="395"/>
      <c r="AH170" s="395"/>
    </row>
    <row r="171" spans="1:34">
      <c r="A171" s="2037">
        <v>2010</v>
      </c>
      <c r="B171" s="3816"/>
      <c r="C171" s="583"/>
      <c r="D171" s="583"/>
      <c r="E171" s="583"/>
      <c r="F171" s="583"/>
      <c r="G171" s="583"/>
      <c r="H171" s="397" t="s">
        <v>2083</v>
      </c>
      <c r="I171" s="397"/>
      <c r="J171" s="1487">
        <v>161888.04999999999</v>
      </c>
      <c r="K171" s="2039" t="s">
        <v>1198</v>
      </c>
      <c r="L171" s="1487">
        <f>J171/10</f>
        <v>16188.804999999998</v>
      </c>
      <c r="M171" s="1487"/>
      <c r="N171" s="1487"/>
      <c r="O171" s="1487"/>
      <c r="P171" s="1487"/>
      <c r="Q171" s="1487">
        <f>$L$171</f>
        <v>16188.804999999998</v>
      </c>
      <c r="R171" s="1487">
        <f>$L$171</f>
        <v>16188.804999999998</v>
      </c>
      <c r="S171" s="1487">
        <f>$L$171</f>
        <v>16188.804999999998</v>
      </c>
      <c r="T171" s="1487">
        <f>$L$171</f>
        <v>16188.804999999998</v>
      </c>
      <c r="U171" s="1487">
        <f>L171</f>
        <v>16188.804999999998</v>
      </c>
      <c r="V171" s="1487">
        <f>L171</f>
        <v>16188.804999999998</v>
      </c>
      <c r="W171" s="1487">
        <f>L171</f>
        <v>16188.804999999998</v>
      </c>
      <c r="X171" s="1487">
        <f>L171</f>
        <v>16188.804999999998</v>
      </c>
      <c r="Y171" s="1487">
        <f>L171</f>
        <v>16188.804999999998</v>
      </c>
      <c r="Z171" s="1487">
        <f>L171</f>
        <v>16188.804999999998</v>
      </c>
      <c r="AA171" s="1487"/>
      <c r="AB171" s="1998"/>
      <c r="AC171" s="395"/>
      <c r="AD171" s="395"/>
    </row>
    <row r="172" spans="1:34">
      <c r="A172" s="2037"/>
      <c r="B172" s="3816"/>
      <c r="C172" s="583"/>
      <c r="D172" s="583"/>
      <c r="E172" s="583"/>
      <c r="F172" s="583"/>
      <c r="G172" s="583"/>
      <c r="H172" s="397" t="s">
        <v>1494</v>
      </c>
      <c r="I172" s="397"/>
      <c r="J172" s="1487">
        <v>2964.5</v>
      </c>
      <c r="K172" s="2039" t="s">
        <v>1197</v>
      </c>
      <c r="L172" s="1487">
        <f>J172/5</f>
        <v>592.9</v>
      </c>
      <c r="M172" s="1487"/>
      <c r="N172" s="1487"/>
      <c r="O172" s="1487"/>
      <c r="P172" s="1487"/>
      <c r="Q172" s="1487">
        <f>L172</f>
        <v>592.9</v>
      </c>
      <c r="R172" s="1487">
        <f>L172</f>
        <v>592.9</v>
      </c>
      <c r="S172" s="1487">
        <f>L172</f>
        <v>592.9</v>
      </c>
      <c r="T172" s="1487">
        <f>L172</f>
        <v>592.9</v>
      </c>
      <c r="U172" s="1487">
        <f>L172</f>
        <v>592.9</v>
      </c>
      <c r="V172" s="1487"/>
      <c r="W172" s="1487"/>
      <c r="X172" s="1487"/>
      <c r="Y172" s="1487"/>
      <c r="Z172" s="1487"/>
      <c r="AA172" s="1487"/>
      <c r="AB172" s="1998"/>
      <c r="AC172" s="395"/>
      <c r="AD172" s="395"/>
    </row>
    <row r="173" spans="1:34">
      <c r="A173" s="2037"/>
      <c r="B173" s="3816"/>
      <c r="C173" s="583"/>
      <c r="D173" s="583"/>
      <c r="E173" s="583"/>
      <c r="F173" s="583"/>
      <c r="G173" s="583"/>
      <c r="H173" s="397"/>
      <c r="I173" s="397"/>
      <c r="J173" s="2042">
        <f>SUM(J171:J172)</f>
        <v>164852.54999999999</v>
      </c>
      <c r="K173" s="2039"/>
      <c r="L173" s="1487"/>
      <c r="M173" s="1487"/>
      <c r="N173" s="1487"/>
      <c r="O173" s="1487"/>
      <c r="P173" s="1487"/>
      <c r="Q173" s="1487"/>
      <c r="R173" s="1487"/>
      <c r="S173" s="1487"/>
      <c r="T173" s="1487"/>
      <c r="U173" s="1487"/>
      <c r="V173" s="1487"/>
      <c r="W173" s="1487"/>
      <c r="X173" s="1487"/>
      <c r="Y173" s="1487"/>
      <c r="Z173" s="1487"/>
      <c r="AA173" s="1487"/>
      <c r="AB173" s="1998"/>
      <c r="AC173" s="395"/>
      <c r="AD173" s="395"/>
    </row>
    <row r="174" spans="1:34">
      <c r="A174" s="2037">
        <v>2009</v>
      </c>
      <c r="B174" s="3816"/>
      <c r="C174" s="583"/>
      <c r="D174" s="583"/>
      <c r="E174" s="583"/>
      <c r="F174" s="583"/>
      <c r="G174" s="583"/>
      <c r="H174" s="397" t="s">
        <v>1494</v>
      </c>
      <c r="I174" s="397"/>
      <c r="J174" s="2043">
        <v>7008.32</v>
      </c>
      <c r="K174" s="2039" t="s">
        <v>1197</v>
      </c>
      <c r="L174" s="1487">
        <f>J174/5</f>
        <v>1401.664</v>
      </c>
      <c r="M174" s="397">
        <v>0</v>
      </c>
      <c r="N174" s="397">
        <v>0</v>
      </c>
      <c r="O174" s="397">
        <v>0</v>
      </c>
      <c r="P174" s="1487">
        <f>L174</f>
        <v>1401.664</v>
      </c>
      <c r="Q174" s="1487">
        <f>L174</f>
        <v>1401.664</v>
      </c>
      <c r="R174" s="1487">
        <f>L174</f>
        <v>1401.664</v>
      </c>
      <c r="S174" s="1487">
        <f>L174</f>
        <v>1401.664</v>
      </c>
      <c r="T174" s="1487">
        <f>L174</f>
        <v>1401.664</v>
      </c>
      <c r="U174" s="1487"/>
      <c r="V174" s="1487"/>
      <c r="W174" s="1487"/>
      <c r="X174" s="1487"/>
      <c r="Y174" s="1487"/>
      <c r="Z174" s="1487"/>
      <c r="AA174" s="1487"/>
      <c r="AB174" s="1998"/>
      <c r="AC174" s="395"/>
      <c r="AD174" s="395"/>
      <c r="AF174" s="395"/>
      <c r="AG174" s="395"/>
      <c r="AH174" s="395"/>
    </row>
    <row r="175" spans="1:34">
      <c r="A175" s="2037">
        <v>2008</v>
      </c>
      <c r="B175" s="3816"/>
      <c r="C175" s="583"/>
      <c r="D175" s="583"/>
      <c r="E175" s="583"/>
      <c r="F175" s="583"/>
      <c r="G175" s="583"/>
      <c r="H175" s="397" t="s">
        <v>2084</v>
      </c>
      <c r="I175" s="397"/>
      <c r="J175" s="1487">
        <v>39349.199999999997</v>
      </c>
      <c r="K175" s="2039" t="s">
        <v>1198</v>
      </c>
      <c r="L175" s="1487">
        <f>J175/10</f>
        <v>3934.9199999999996</v>
      </c>
      <c r="M175" s="1487">
        <v>0</v>
      </c>
      <c r="N175" s="1487">
        <v>0</v>
      </c>
      <c r="O175" s="1487">
        <f t="shared" ref="O175:T175" si="34">$L$175</f>
        <v>3934.9199999999996</v>
      </c>
      <c r="P175" s="1487">
        <f t="shared" si="34"/>
        <v>3934.9199999999996</v>
      </c>
      <c r="Q175" s="1487">
        <f t="shared" si="34"/>
        <v>3934.9199999999996</v>
      </c>
      <c r="R175" s="1487">
        <f t="shared" si="34"/>
        <v>3934.9199999999996</v>
      </c>
      <c r="S175" s="1487">
        <f t="shared" si="34"/>
        <v>3934.9199999999996</v>
      </c>
      <c r="T175" s="1487">
        <f t="shared" si="34"/>
        <v>3934.9199999999996</v>
      </c>
      <c r="U175" s="1487">
        <f>L175</f>
        <v>3934.9199999999996</v>
      </c>
      <c r="V175" s="1487">
        <f>L175</f>
        <v>3934.9199999999996</v>
      </c>
      <c r="W175" s="1487">
        <f>L175</f>
        <v>3934.9199999999996</v>
      </c>
      <c r="X175" s="1487">
        <f>L175</f>
        <v>3934.9199999999996</v>
      </c>
      <c r="Y175" s="1487"/>
      <c r="Z175" s="1487"/>
      <c r="AA175" s="1487"/>
      <c r="AB175" s="1998"/>
      <c r="AC175" s="395"/>
      <c r="AD175" s="395"/>
      <c r="AF175" s="395"/>
      <c r="AG175" s="395"/>
      <c r="AH175" s="395"/>
    </row>
    <row r="176" spans="1:34">
      <c r="A176" s="2037"/>
      <c r="B176" s="3816"/>
      <c r="C176" s="583"/>
      <c r="D176" s="583"/>
      <c r="E176" s="583"/>
      <c r="F176" s="583"/>
      <c r="G176" s="583"/>
      <c r="H176" s="397" t="s">
        <v>2084</v>
      </c>
      <c r="I176" s="397"/>
      <c r="J176" s="1487">
        <v>19652.900000000001</v>
      </c>
      <c r="K176" s="2039" t="s">
        <v>1197</v>
      </c>
      <c r="L176" s="1487">
        <f>(J176+J177)/5</f>
        <v>4680.7800000000007</v>
      </c>
      <c r="M176" s="1487">
        <v>0</v>
      </c>
      <c r="N176" s="1487">
        <v>0</v>
      </c>
      <c r="O176" s="1487">
        <f>$L$176</f>
        <v>4680.7800000000007</v>
      </c>
      <c r="P176" s="1487">
        <f>$L$176</f>
        <v>4680.7800000000007</v>
      </c>
      <c r="Q176" s="1487">
        <f>$L$176</f>
        <v>4680.7800000000007</v>
      </c>
      <c r="R176" s="1487">
        <f>$L$176</f>
        <v>4680.7800000000007</v>
      </c>
      <c r="S176" s="1487">
        <f>$L$176</f>
        <v>4680.7800000000007</v>
      </c>
      <c r="T176" s="1487"/>
      <c r="U176" s="1487"/>
      <c r="V176" s="1487"/>
      <c r="W176" s="1487"/>
      <c r="X176" s="1487"/>
      <c r="Y176" s="1487"/>
      <c r="Z176" s="1487"/>
      <c r="AA176" s="1487"/>
      <c r="AB176" s="1998"/>
      <c r="AC176" s="395"/>
      <c r="AD176" s="395"/>
      <c r="AF176" s="395"/>
      <c r="AG176" s="395"/>
      <c r="AH176" s="395"/>
    </row>
    <row r="177" spans="1:34">
      <c r="A177" s="2037"/>
      <c r="B177" s="3816"/>
      <c r="C177" s="583"/>
      <c r="D177" s="583"/>
      <c r="E177" s="583"/>
      <c r="F177" s="583"/>
      <c r="G177" s="583"/>
      <c r="H177" s="397" t="s">
        <v>1494</v>
      </c>
      <c r="I177" s="397"/>
      <c r="J177" s="1487">
        <v>3751</v>
      </c>
      <c r="K177" s="1487"/>
      <c r="L177" s="1487"/>
      <c r="M177" s="397"/>
      <c r="N177" s="397"/>
      <c r="O177" s="397"/>
      <c r="P177" s="397"/>
      <c r="Q177" s="397"/>
      <c r="R177" s="397"/>
      <c r="S177" s="397"/>
      <c r="T177" s="1487"/>
      <c r="U177" s="1487"/>
      <c r="V177" s="1487"/>
      <c r="W177" s="1487"/>
      <c r="X177" s="1487"/>
      <c r="Y177" s="1487"/>
      <c r="Z177" s="1487"/>
      <c r="AA177" s="1487"/>
      <c r="AB177" s="1998"/>
      <c r="AC177" s="395"/>
      <c r="AD177" s="395"/>
      <c r="AF177" s="395"/>
      <c r="AG177" s="395"/>
      <c r="AH177" s="395"/>
    </row>
    <row r="178" spans="1:34">
      <c r="A178" s="2037"/>
      <c r="B178" s="3816"/>
      <c r="C178" s="583"/>
      <c r="D178" s="583"/>
      <c r="E178" s="583"/>
      <c r="F178" s="583"/>
      <c r="G178" s="583"/>
      <c r="H178" s="397"/>
      <c r="I178" s="397"/>
      <c r="J178" s="2042">
        <f>SUM(J175:J177)</f>
        <v>62753.1</v>
      </c>
      <c r="K178" s="1487"/>
      <c r="L178" s="1487"/>
      <c r="M178" s="397"/>
      <c r="N178" s="397"/>
      <c r="O178" s="397"/>
      <c r="P178" s="397"/>
      <c r="Q178" s="397"/>
      <c r="R178" s="397"/>
      <c r="S178" s="397"/>
      <c r="T178" s="1487"/>
      <c r="U178" s="1487"/>
      <c r="V178" s="1487"/>
      <c r="W178" s="1487"/>
      <c r="X178" s="1487"/>
      <c r="Y178" s="1487"/>
      <c r="Z178" s="1487"/>
      <c r="AA178" s="1487"/>
      <c r="AB178" s="1998"/>
      <c r="AC178" s="395"/>
      <c r="AD178" s="395"/>
      <c r="AF178" s="395"/>
      <c r="AG178" s="395"/>
      <c r="AH178" s="395"/>
    </row>
    <row r="179" spans="1:34">
      <c r="A179" s="2037">
        <v>2007</v>
      </c>
      <c r="B179" s="3816"/>
      <c r="C179" s="583"/>
      <c r="D179" s="583"/>
      <c r="E179" s="583"/>
      <c r="F179" s="583"/>
      <c r="G179" s="583"/>
      <c r="H179" s="397" t="s">
        <v>2084</v>
      </c>
      <c r="I179" s="397"/>
      <c r="J179" s="1487">
        <v>14000</v>
      </c>
      <c r="K179" s="2039" t="s">
        <v>1197</v>
      </c>
      <c r="L179" s="1487">
        <f>J181/5</f>
        <v>4621.9220000000005</v>
      </c>
      <c r="M179" s="1487">
        <v>0</v>
      </c>
      <c r="N179" s="1487">
        <f>$L$179</f>
        <v>4621.9220000000005</v>
      </c>
      <c r="O179" s="1487">
        <f>$L$179</f>
        <v>4621.9220000000005</v>
      </c>
      <c r="P179" s="1487">
        <f>$L$179</f>
        <v>4621.9220000000005</v>
      </c>
      <c r="Q179" s="1487">
        <f>$L$179</f>
        <v>4621.9220000000005</v>
      </c>
      <c r="R179" s="1487">
        <f>$L$179</f>
        <v>4621.9220000000005</v>
      </c>
      <c r="S179" s="397"/>
      <c r="T179" s="1487"/>
      <c r="U179" s="1487"/>
      <c r="V179" s="1487"/>
      <c r="W179" s="1487"/>
      <c r="X179" s="1487"/>
      <c r="Y179" s="1487"/>
      <c r="Z179" s="1487"/>
      <c r="AA179" s="1487"/>
      <c r="AB179" s="1998"/>
      <c r="AC179" s="395"/>
      <c r="AD179" s="395"/>
      <c r="AF179" s="395"/>
      <c r="AG179" s="395"/>
      <c r="AH179" s="395"/>
    </row>
    <row r="180" spans="1:34">
      <c r="A180" s="2037"/>
      <c r="B180" s="3816"/>
      <c r="C180" s="583"/>
      <c r="D180" s="583"/>
      <c r="E180" s="583"/>
      <c r="F180" s="583"/>
      <c r="G180" s="583"/>
      <c r="H180" s="397" t="s">
        <v>1494</v>
      </c>
      <c r="I180" s="397"/>
      <c r="J180" s="1487">
        <v>9109.61</v>
      </c>
      <c r="K180" s="1487"/>
      <c r="L180" s="1487"/>
      <c r="M180" s="397"/>
      <c r="N180" s="397"/>
      <c r="O180" s="397"/>
      <c r="P180" s="397"/>
      <c r="Q180" s="397"/>
      <c r="R180" s="397"/>
      <c r="S180" s="397"/>
      <c r="T180" s="1487"/>
      <c r="U180" s="1487"/>
      <c r="V180" s="1487"/>
      <c r="W180" s="1487"/>
      <c r="X180" s="1487"/>
      <c r="Y180" s="1487"/>
      <c r="Z180" s="1487"/>
      <c r="AA180" s="1487"/>
      <c r="AB180" s="1998"/>
      <c r="AC180" s="395"/>
      <c r="AD180" s="395"/>
      <c r="AF180" s="395"/>
      <c r="AG180" s="395"/>
      <c r="AH180" s="395"/>
    </row>
    <row r="181" spans="1:34">
      <c r="A181" s="2037"/>
      <c r="B181" s="3816"/>
      <c r="C181" s="583"/>
      <c r="D181" s="583"/>
      <c r="E181" s="583"/>
      <c r="F181" s="583"/>
      <c r="G181" s="583"/>
      <c r="H181" s="397"/>
      <c r="I181" s="397"/>
      <c r="J181" s="2042">
        <f>SUM(J179:J180)</f>
        <v>23109.61</v>
      </c>
      <c r="K181" s="1487"/>
      <c r="L181" s="1487"/>
      <c r="M181" s="397"/>
      <c r="N181" s="397"/>
      <c r="O181" s="397"/>
      <c r="P181" s="397"/>
      <c r="Q181" s="397"/>
      <c r="R181" s="397"/>
      <c r="S181" s="397"/>
      <c r="T181" s="1487"/>
      <c r="U181" s="1487"/>
      <c r="V181" s="1487"/>
      <c r="W181" s="1487"/>
      <c r="X181" s="1487"/>
      <c r="Y181" s="1487"/>
      <c r="Z181" s="1487"/>
      <c r="AA181" s="1487"/>
      <c r="AB181" s="1998"/>
      <c r="AC181" s="395"/>
      <c r="AD181" s="395"/>
      <c r="AF181" s="395"/>
      <c r="AG181" s="395"/>
      <c r="AH181" s="395"/>
    </row>
    <row r="182" spans="1:34">
      <c r="A182" s="2037">
        <v>2006</v>
      </c>
      <c r="B182" s="3816"/>
      <c r="C182" s="1487"/>
      <c r="D182" s="1487"/>
      <c r="E182" s="1487"/>
      <c r="F182" s="1487"/>
      <c r="G182" s="1487"/>
      <c r="H182" s="397" t="s">
        <v>2085</v>
      </c>
      <c r="I182" s="397"/>
      <c r="J182" s="1487">
        <v>95142.45</v>
      </c>
      <c r="K182" s="2039" t="s">
        <v>1198</v>
      </c>
      <c r="L182" s="1487">
        <f>J182/10</f>
        <v>9514.244999999999</v>
      </c>
      <c r="M182" s="1487">
        <f t="shared" ref="M182:V182" si="35">$L$182</f>
        <v>9514.244999999999</v>
      </c>
      <c r="N182" s="1487">
        <f t="shared" si="35"/>
        <v>9514.244999999999</v>
      </c>
      <c r="O182" s="1487">
        <f t="shared" si="35"/>
        <v>9514.244999999999</v>
      </c>
      <c r="P182" s="1487">
        <f t="shared" si="35"/>
        <v>9514.244999999999</v>
      </c>
      <c r="Q182" s="1487">
        <f t="shared" si="35"/>
        <v>9514.244999999999</v>
      </c>
      <c r="R182" s="1487">
        <f t="shared" si="35"/>
        <v>9514.244999999999</v>
      </c>
      <c r="S182" s="1487">
        <f t="shared" si="35"/>
        <v>9514.244999999999</v>
      </c>
      <c r="T182" s="1487">
        <f t="shared" si="35"/>
        <v>9514.244999999999</v>
      </c>
      <c r="U182" s="1487">
        <f t="shared" si="35"/>
        <v>9514.244999999999</v>
      </c>
      <c r="V182" s="1487">
        <f t="shared" si="35"/>
        <v>9514.244999999999</v>
      </c>
      <c r="W182" s="1487"/>
      <c r="X182" s="1487"/>
      <c r="Y182" s="1487"/>
      <c r="Z182" s="1487"/>
      <c r="AA182" s="1487"/>
      <c r="AB182" s="1998"/>
      <c r="AC182" s="395"/>
      <c r="AD182" s="395"/>
      <c r="AF182" s="395"/>
      <c r="AG182" s="395"/>
      <c r="AH182" s="395"/>
    </row>
    <row r="183" spans="1:34">
      <c r="A183" s="2037"/>
      <c r="B183" s="3816"/>
      <c r="C183" s="1487"/>
      <c r="D183" s="1487"/>
      <c r="E183" s="1487"/>
      <c r="F183" s="1487"/>
      <c r="G183" s="1487"/>
      <c r="H183" s="397" t="s">
        <v>2084</v>
      </c>
      <c r="I183" s="397"/>
      <c r="J183" s="1487">
        <v>16416.62</v>
      </c>
      <c r="K183" s="2039" t="s">
        <v>1197</v>
      </c>
      <c r="L183" s="1487">
        <f>(J183+J184)/5</f>
        <v>5972.1859999999997</v>
      </c>
      <c r="M183" s="1487">
        <f>$L$183</f>
        <v>5972.1859999999997</v>
      </c>
      <c r="N183" s="1487">
        <f>$L$183</f>
        <v>5972.1859999999997</v>
      </c>
      <c r="O183" s="1487">
        <f>$L$183</f>
        <v>5972.1859999999997</v>
      </c>
      <c r="P183" s="1487">
        <f>$L$183</f>
        <v>5972.1859999999997</v>
      </c>
      <c r="Q183" s="1487">
        <f>$L$183</f>
        <v>5972.1859999999997</v>
      </c>
      <c r="R183" s="397"/>
      <c r="S183" s="397"/>
      <c r="T183" s="1487"/>
      <c r="U183" s="1487"/>
      <c r="V183" s="1487"/>
      <c r="W183" s="1487"/>
      <c r="X183" s="1487"/>
      <c r="Y183" s="1487"/>
      <c r="Z183" s="1487"/>
      <c r="AA183" s="1487"/>
      <c r="AB183" s="1998"/>
      <c r="AC183" s="395"/>
      <c r="AD183" s="395"/>
      <c r="AF183" s="395"/>
      <c r="AG183" s="395"/>
      <c r="AH183" s="395"/>
    </row>
    <row r="184" spans="1:34">
      <c r="A184" s="2037"/>
      <c r="B184" s="3816"/>
      <c r="C184" s="1487"/>
      <c r="D184" s="1487"/>
      <c r="E184" s="1487"/>
      <c r="F184" s="1487"/>
      <c r="G184" s="1487"/>
      <c r="H184" s="397" t="s">
        <v>2086</v>
      </c>
      <c r="I184" s="397"/>
      <c r="J184" s="1487">
        <v>13444.31</v>
      </c>
      <c r="K184" s="2039"/>
      <c r="L184" s="1487"/>
      <c r="M184" s="397"/>
      <c r="N184" s="397"/>
      <c r="O184" s="397"/>
      <c r="P184" s="397"/>
      <c r="Q184" s="397"/>
      <c r="R184" s="397"/>
      <c r="S184" s="397"/>
      <c r="T184" s="1487"/>
      <c r="U184" s="1487"/>
      <c r="V184" s="1487"/>
      <c r="W184" s="1487"/>
      <c r="X184" s="1487"/>
      <c r="Y184" s="1487"/>
      <c r="Z184" s="1487"/>
      <c r="AA184" s="1487"/>
      <c r="AB184" s="1998"/>
      <c r="AC184" s="395"/>
      <c r="AD184" s="395"/>
      <c r="AF184" s="395"/>
      <c r="AG184" s="395"/>
      <c r="AH184" s="395"/>
    </row>
    <row r="185" spans="1:34">
      <c r="A185" s="2037"/>
      <c r="B185" s="3816"/>
      <c r="C185" s="1487"/>
      <c r="D185" s="1487"/>
      <c r="E185" s="1487"/>
      <c r="F185" s="1487"/>
      <c r="G185" s="1487"/>
      <c r="H185" s="397" t="s">
        <v>1494</v>
      </c>
      <c r="I185" s="397"/>
      <c r="J185" s="2042">
        <f>SUM(J182:J184)</f>
        <v>125003.37999999999</v>
      </c>
      <c r="K185" s="2039"/>
      <c r="L185" s="1487"/>
      <c r="M185" s="397"/>
      <c r="N185" s="397"/>
      <c r="O185" s="397"/>
      <c r="P185" s="397"/>
      <c r="Q185" s="397"/>
      <c r="R185" s="397"/>
      <c r="S185" s="397"/>
      <c r="T185" s="1487"/>
      <c r="U185" s="1487"/>
      <c r="V185" s="1487"/>
      <c r="W185" s="1487"/>
      <c r="X185" s="1487"/>
      <c r="Y185" s="1487"/>
      <c r="Z185" s="1487"/>
      <c r="AA185" s="1487"/>
      <c r="AB185" s="1998"/>
      <c r="AC185" s="395"/>
      <c r="AD185" s="395"/>
      <c r="AF185" s="395"/>
      <c r="AG185" s="395"/>
      <c r="AH185" s="395"/>
    </row>
    <row r="186" spans="1:34">
      <c r="A186" s="2037">
        <v>2005</v>
      </c>
      <c r="B186" s="3816"/>
      <c r="C186" s="1487"/>
      <c r="D186" s="1487"/>
      <c r="E186" s="1487"/>
      <c r="F186" s="1487"/>
      <c r="G186" s="1487">
        <f>L186</f>
        <v>5598.01</v>
      </c>
      <c r="H186" s="397" t="s">
        <v>2084</v>
      </c>
      <c r="I186" s="397"/>
      <c r="J186" s="1487">
        <v>27990.05</v>
      </c>
      <c r="K186" s="2039" t="s">
        <v>1197</v>
      </c>
      <c r="L186" s="1487">
        <f>J186/5</f>
        <v>5598.01</v>
      </c>
      <c r="M186" s="1487">
        <f>$L$186</f>
        <v>5598.01</v>
      </c>
      <c r="N186" s="1487">
        <f>$L$186</f>
        <v>5598.01</v>
      </c>
      <c r="O186" s="1487">
        <f>$L$186</f>
        <v>5598.01</v>
      </c>
      <c r="P186" s="1487">
        <f>$L$186</f>
        <v>5598.01</v>
      </c>
      <c r="Q186" s="397"/>
      <c r="R186" s="397"/>
      <c r="S186" s="397"/>
      <c r="T186" s="1487"/>
      <c r="U186" s="1487"/>
      <c r="V186" s="1487"/>
      <c r="W186" s="1487"/>
      <c r="X186" s="1487"/>
      <c r="Y186" s="1487"/>
      <c r="Z186" s="1487"/>
      <c r="AA186" s="1487"/>
      <c r="AB186" s="1998"/>
      <c r="AC186" s="395"/>
      <c r="AD186" s="395"/>
      <c r="AF186" s="395"/>
      <c r="AG186" s="395"/>
      <c r="AH186" s="395"/>
    </row>
    <row r="187" spans="1:34">
      <c r="A187" s="2037">
        <v>2004</v>
      </c>
      <c r="B187" s="3816"/>
      <c r="C187" s="1487"/>
      <c r="D187" s="1487"/>
      <c r="E187" s="1487"/>
      <c r="F187" s="1487">
        <f>L187</f>
        <v>6643.4279999999999</v>
      </c>
      <c r="G187" s="1487">
        <f>L187</f>
        <v>6643.4279999999999</v>
      </c>
      <c r="H187" s="397" t="s">
        <v>2084</v>
      </c>
      <c r="I187" s="397"/>
      <c r="J187" s="1487">
        <v>31798.87</v>
      </c>
      <c r="K187" s="2039" t="s">
        <v>1197</v>
      </c>
      <c r="L187" s="1487">
        <f>J189/5</f>
        <v>6643.4279999999999</v>
      </c>
      <c r="M187" s="1487">
        <f>L187</f>
        <v>6643.4279999999999</v>
      </c>
      <c r="N187" s="1487">
        <f>L187</f>
        <v>6643.4279999999999</v>
      </c>
      <c r="O187" s="1487">
        <f>L187</f>
        <v>6643.4279999999999</v>
      </c>
      <c r="P187" s="397"/>
      <c r="Q187" s="397"/>
      <c r="R187" s="397"/>
      <c r="S187" s="397"/>
      <c r="T187" s="1487"/>
      <c r="U187" s="1487"/>
      <c r="V187" s="1487"/>
      <c r="W187" s="1487"/>
      <c r="X187" s="1487"/>
      <c r="Y187" s="1487"/>
      <c r="Z187" s="1487"/>
      <c r="AA187" s="1487"/>
      <c r="AB187" s="1998"/>
      <c r="AC187" s="395"/>
      <c r="AD187" s="395"/>
      <c r="AF187" s="395"/>
      <c r="AG187" s="395"/>
      <c r="AH187" s="395"/>
    </row>
    <row r="188" spans="1:34">
      <c r="A188" s="2037"/>
      <c r="B188" s="3816"/>
      <c r="C188" s="1487"/>
      <c r="D188" s="1487"/>
      <c r="E188" s="1487"/>
      <c r="F188" s="1487"/>
      <c r="G188" s="1487"/>
      <c r="H188" s="397" t="s">
        <v>1494</v>
      </c>
      <c r="I188" s="397"/>
      <c r="J188" s="1487">
        <v>1418.27</v>
      </c>
      <c r="K188" s="2039"/>
      <c r="L188" s="1487"/>
      <c r="M188" s="397"/>
      <c r="N188" s="397"/>
      <c r="O188" s="397"/>
      <c r="P188" s="397"/>
      <c r="Q188" s="397"/>
      <c r="R188" s="397"/>
      <c r="S188" s="397"/>
      <c r="T188" s="1487"/>
      <c r="U188" s="1487"/>
      <c r="V188" s="1487"/>
      <c r="W188" s="1487"/>
      <c r="X188" s="1487"/>
      <c r="Y188" s="1487"/>
      <c r="Z188" s="1487"/>
      <c r="AA188" s="1487"/>
      <c r="AB188" s="1998"/>
      <c r="AC188" s="395"/>
      <c r="AD188" s="395"/>
      <c r="AF188" s="395"/>
      <c r="AG188" s="395"/>
      <c r="AH188" s="395"/>
    </row>
    <row r="189" spans="1:34">
      <c r="A189" s="2037"/>
      <c r="B189" s="3816"/>
      <c r="C189" s="1487"/>
      <c r="D189" s="1487"/>
      <c r="E189" s="1487"/>
      <c r="F189" s="1487"/>
      <c r="G189" s="1487"/>
      <c r="H189" s="397"/>
      <c r="I189" s="397"/>
      <c r="J189" s="2042">
        <f>SUM(J187:J188)</f>
        <v>33217.14</v>
      </c>
      <c r="K189" s="2039"/>
      <c r="L189" s="1487"/>
      <c r="M189" s="397"/>
      <c r="N189" s="397"/>
      <c r="O189" s="397"/>
      <c r="P189" s="397"/>
      <c r="Q189" s="397"/>
      <c r="R189" s="397"/>
      <c r="S189" s="397"/>
      <c r="T189" s="1487"/>
      <c r="U189" s="1487"/>
      <c r="V189" s="1487"/>
      <c r="W189" s="1487"/>
      <c r="X189" s="1487"/>
      <c r="Y189" s="1487"/>
      <c r="Z189" s="1487"/>
      <c r="AA189" s="1487"/>
      <c r="AB189" s="1998"/>
      <c r="AC189" s="395"/>
      <c r="AD189" s="395"/>
      <c r="AF189" s="395"/>
      <c r="AG189" s="395"/>
      <c r="AH189" s="395"/>
    </row>
    <row r="190" spans="1:34">
      <c r="A190" s="2037">
        <v>2003</v>
      </c>
      <c r="B190" s="3816"/>
      <c r="C190" s="1487"/>
      <c r="D190" s="1487"/>
      <c r="E190" s="1487">
        <f>L190</f>
        <v>1303.896</v>
      </c>
      <c r="F190" s="1487">
        <f>L190</f>
        <v>1303.896</v>
      </c>
      <c r="G190" s="1487">
        <f>L190</f>
        <v>1303.896</v>
      </c>
      <c r="H190" s="397" t="s">
        <v>2084</v>
      </c>
      <c r="I190" s="397"/>
      <c r="J190" s="2042">
        <v>13038.96</v>
      </c>
      <c r="K190" s="2039" t="s">
        <v>1198</v>
      </c>
      <c r="L190" s="1487">
        <f>J190/10</f>
        <v>1303.896</v>
      </c>
      <c r="M190" s="1487">
        <f t="shared" ref="M190:S190" si="36">$L$190</f>
        <v>1303.896</v>
      </c>
      <c r="N190" s="1487">
        <f t="shared" si="36"/>
        <v>1303.896</v>
      </c>
      <c r="O190" s="1487">
        <f t="shared" si="36"/>
        <v>1303.896</v>
      </c>
      <c r="P190" s="1487">
        <f t="shared" si="36"/>
        <v>1303.896</v>
      </c>
      <c r="Q190" s="1487">
        <f t="shared" si="36"/>
        <v>1303.896</v>
      </c>
      <c r="R190" s="1487">
        <f t="shared" si="36"/>
        <v>1303.896</v>
      </c>
      <c r="S190" s="1487">
        <f t="shared" si="36"/>
        <v>1303.896</v>
      </c>
      <c r="T190" s="1487"/>
      <c r="U190" s="1487"/>
      <c r="V190" s="1487"/>
      <c r="W190" s="1487"/>
      <c r="X190" s="1487"/>
      <c r="Y190" s="1487"/>
      <c r="Z190" s="1487"/>
      <c r="AA190" s="1487"/>
      <c r="AB190" s="1998"/>
      <c r="AC190" s="395"/>
      <c r="AD190" s="395"/>
      <c r="AF190" s="395"/>
      <c r="AG190" s="395"/>
      <c r="AH190" s="395"/>
    </row>
    <row r="191" spans="1:34">
      <c r="A191" s="2037">
        <v>2002</v>
      </c>
      <c r="B191" s="3816"/>
      <c r="C191" s="1487"/>
      <c r="D191" s="1487">
        <f>L192+L191</f>
        <v>10717.984</v>
      </c>
      <c r="E191" s="1487">
        <f>L192+L191</f>
        <v>10717.984</v>
      </c>
      <c r="F191" s="1487">
        <f>L192+L191</f>
        <v>10717.984</v>
      </c>
      <c r="G191" s="1487">
        <f>L192+L191</f>
        <v>10717.984</v>
      </c>
      <c r="H191" s="397" t="s">
        <v>2087</v>
      </c>
      <c r="I191" s="397"/>
      <c r="J191" s="1487">
        <v>86052.78</v>
      </c>
      <c r="K191" s="2039" t="s">
        <v>1198</v>
      </c>
      <c r="L191" s="1487">
        <f>J191/10</f>
        <v>8605.2780000000002</v>
      </c>
      <c r="M191" s="1487">
        <f>L191+L192</f>
        <v>10717.984</v>
      </c>
      <c r="N191" s="1487">
        <f>$L$191</f>
        <v>8605.2780000000002</v>
      </c>
      <c r="O191" s="1487">
        <f>$L$191</f>
        <v>8605.2780000000002</v>
      </c>
      <c r="P191" s="1487">
        <f>$L$191</f>
        <v>8605.2780000000002</v>
      </c>
      <c r="Q191" s="1487">
        <f>$L$191</f>
        <v>8605.2780000000002</v>
      </c>
      <c r="R191" s="1487">
        <f>$L$191</f>
        <v>8605.2780000000002</v>
      </c>
      <c r="S191" s="397"/>
      <c r="T191" s="1487"/>
      <c r="U191" s="1487"/>
      <c r="V191" s="1487"/>
      <c r="W191" s="1487"/>
      <c r="X191" s="1487"/>
      <c r="Y191" s="1487"/>
      <c r="Z191" s="1487"/>
      <c r="AA191" s="1487"/>
      <c r="AB191" s="1998"/>
      <c r="AC191" s="395"/>
      <c r="AD191" s="395"/>
      <c r="AF191" s="395"/>
      <c r="AG191" s="395"/>
      <c r="AH191" s="395"/>
    </row>
    <row r="192" spans="1:34">
      <c r="A192" s="2037"/>
      <c r="B192" s="3816"/>
      <c r="C192" s="1487"/>
      <c r="D192" s="1487"/>
      <c r="E192" s="1487"/>
      <c r="F192" s="1487"/>
      <c r="G192" s="1487"/>
      <c r="H192" s="397" t="s">
        <v>2084</v>
      </c>
      <c r="I192" s="397"/>
      <c r="J192" s="1487">
        <v>9033.59</v>
      </c>
      <c r="K192" s="2039" t="s">
        <v>1197</v>
      </c>
      <c r="L192" s="1487">
        <f>(J192+J193)/5</f>
        <v>2112.7060000000001</v>
      </c>
      <c r="M192" s="397"/>
      <c r="N192" s="397"/>
      <c r="O192" s="397"/>
      <c r="P192" s="397"/>
      <c r="Q192" s="397"/>
      <c r="R192" s="397"/>
      <c r="S192" s="397"/>
      <c r="T192" s="1487"/>
      <c r="U192" s="1487"/>
      <c r="V192" s="1487"/>
      <c r="W192" s="1487"/>
      <c r="X192" s="1487"/>
      <c r="Y192" s="1487"/>
      <c r="Z192" s="1487"/>
      <c r="AA192" s="1487"/>
      <c r="AB192" s="1998"/>
      <c r="AC192" s="395"/>
      <c r="AD192" s="395"/>
      <c r="AF192" s="395"/>
      <c r="AG192" s="395"/>
      <c r="AH192" s="395"/>
    </row>
    <row r="193" spans="1:34">
      <c r="A193" s="2037"/>
      <c r="B193" s="3816"/>
      <c r="C193" s="1487"/>
      <c r="D193" s="1487"/>
      <c r="E193" s="1487"/>
      <c r="F193" s="1487"/>
      <c r="G193" s="1487"/>
      <c r="H193" s="397" t="s">
        <v>1494</v>
      </c>
      <c r="I193" s="397"/>
      <c r="J193" s="1487">
        <v>1529.94</v>
      </c>
      <c r="K193" s="2039"/>
      <c r="L193" s="1487"/>
      <c r="M193" s="397"/>
      <c r="N193" s="397"/>
      <c r="O193" s="397"/>
      <c r="P193" s="397"/>
      <c r="Q193" s="397"/>
      <c r="R193" s="397"/>
      <c r="S193" s="397"/>
      <c r="T193" s="1487"/>
      <c r="U193" s="1487"/>
      <c r="V193" s="1487"/>
      <c r="W193" s="1487"/>
      <c r="X193" s="1487"/>
      <c r="Y193" s="1487"/>
      <c r="Z193" s="1487"/>
      <c r="AA193" s="1487"/>
      <c r="AB193" s="1998"/>
      <c r="AC193" s="395"/>
      <c r="AD193" s="395"/>
      <c r="AF193" s="395"/>
      <c r="AG193" s="395"/>
      <c r="AH193" s="395"/>
    </row>
    <row r="194" spans="1:34">
      <c r="A194" s="2038"/>
      <c r="B194" s="3829"/>
      <c r="C194" s="2044"/>
      <c r="D194" s="2044"/>
      <c r="E194" s="2044"/>
      <c r="F194" s="2044"/>
      <c r="G194" s="2044"/>
      <c r="H194" s="2001"/>
      <c r="I194" s="2001"/>
      <c r="J194" s="2018">
        <f>SUM(J191:J193)</f>
        <v>96616.31</v>
      </c>
      <c r="K194" s="2045"/>
      <c r="L194" s="1518"/>
      <c r="M194" s="2001"/>
      <c r="N194" s="2001"/>
      <c r="O194" s="2001"/>
      <c r="P194" s="2001"/>
      <c r="Q194" s="2001"/>
      <c r="R194" s="2001"/>
      <c r="S194" s="2001"/>
      <c r="T194" s="1518"/>
      <c r="U194" s="1518"/>
      <c r="V194" s="1518"/>
      <c r="W194" s="1518"/>
      <c r="X194" s="1518"/>
      <c r="Y194" s="1518"/>
      <c r="Z194" s="1518"/>
      <c r="AA194" s="1518"/>
      <c r="AB194" s="2002"/>
      <c r="AC194" s="395"/>
      <c r="AD194" s="395"/>
      <c r="AF194" s="395"/>
      <c r="AG194" s="395"/>
      <c r="AH194" s="395"/>
    </row>
    <row r="195" spans="1:34">
      <c r="A195" s="2008" t="s">
        <v>1201</v>
      </c>
      <c r="B195" s="2022"/>
      <c r="C195" s="2009">
        <f>SUM(C170:C194)</f>
        <v>0</v>
      </c>
      <c r="D195" s="2009">
        <f>SUM(D170:D194)</f>
        <v>10717.984</v>
      </c>
      <c r="E195" s="2009">
        <f>SUM(E170:E194)</f>
        <v>12021.880000000001</v>
      </c>
      <c r="F195" s="2009">
        <f>SUM(F170:F194)</f>
        <v>18665.308000000001</v>
      </c>
      <c r="G195" s="2009">
        <f>SUM(G170:G194)</f>
        <v>24263.317999999999</v>
      </c>
      <c r="H195" s="2009"/>
      <c r="I195" s="2009"/>
      <c r="J195" s="2009"/>
      <c r="K195" s="2009"/>
      <c r="L195" s="2009"/>
      <c r="M195" s="2009">
        <f t="shared" ref="M195:AB195" si="37">SUM(M142:M194)</f>
        <v>39749.748999999996</v>
      </c>
      <c r="N195" s="2009">
        <f t="shared" si="37"/>
        <v>42258.964999999997</v>
      </c>
      <c r="O195" s="2009">
        <f t="shared" si="37"/>
        <v>50874.665000000001</v>
      </c>
      <c r="P195" s="2009">
        <f t="shared" si="37"/>
        <v>45632.901000000005</v>
      </c>
      <c r="Q195" s="2009">
        <f t="shared" si="37"/>
        <v>57597.016000000003</v>
      </c>
      <c r="R195" s="2009">
        <f t="shared" si="37"/>
        <v>55005.819999999992</v>
      </c>
      <c r="S195" s="2009">
        <f t="shared" si="37"/>
        <v>45629.299999999996</v>
      </c>
      <c r="T195" s="2009">
        <f t="shared" si="37"/>
        <v>39995.498</v>
      </c>
      <c r="U195" s="2009">
        <f t="shared" si="37"/>
        <v>42291.334000000003</v>
      </c>
      <c r="V195" s="2009">
        <f t="shared" si="37"/>
        <v>53874.752999999997</v>
      </c>
      <c r="W195" s="2009">
        <f t="shared" si="37"/>
        <v>41554.837999999996</v>
      </c>
      <c r="X195" s="2009">
        <f t="shared" si="37"/>
        <v>38769.649999999994</v>
      </c>
      <c r="Y195" s="2009">
        <f t="shared" si="37"/>
        <v>37160.936000000002</v>
      </c>
      <c r="Z195" s="2009">
        <f t="shared" si="37"/>
        <v>33674.156000000003</v>
      </c>
      <c r="AA195" s="2009">
        <f t="shared" si="37"/>
        <v>17230.932000000001</v>
      </c>
      <c r="AB195" s="2070">
        <f t="shared" si="37"/>
        <v>17230.93</v>
      </c>
      <c r="AC195" s="395"/>
      <c r="AD195" s="395"/>
      <c r="AF195" s="395"/>
      <c r="AG195" s="395"/>
      <c r="AH195" s="395"/>
    </row>
    <row r="196" spans="1:34">
      <c r="A196" s="1633"/>
      <c r="B196" s="1633"/>
      <c r="C196" s="1633"/>
      <c r="D196" s="1633"/>
      <c r="E196" s="1633"/>
      <c r="F196" s="1633"/>
      <c r="G196" s="1633"/>
      <c r="H196" s="395"/>
      <c r="I196" s="395"/>
      <c r="J196" s="395"/>
      <c r="K196" s="395"/>
      <c r="L196" s="395"/>
      <c r="N196" s="1973"/>
      <c r="T196" s="395"/>
      <c r="U196" s="395"/>
      <c r="V196" s="395"/>
      <c r="AF196" s="395"/>
      <c r="AG196" s="395"/>
      <c r="AH196" s="395"/>
    </row>
    <row r="197" spans="1:34">
      <c r="A197" s="1569" t="s">
        <v>7099</v>
      </c>
      <c r="B197" s="1569"/>
      <c r="C197" s="1569"/>
      <c r="D197" s="1569"/>
      <c r="E197" s="1569"/>
      <c r="F197" s="1569"/>
      <c r="G197" s="1569"/>
      <c r="H197" s="395"/>
      <c r="I197" s="395"/>
      <c r="J197" s="395"/>
      <c r="K197" s="395"/>
      <c r="L197" s="395"/>
      <c r="N197" s="1973"/>
      <c r="T197" s="395"/>
      <c r="U197" s="395"/>
      <c r="V197" s="395"/>
      <c r="AF197" s="395"/>
    </row>
    <row r="198" spans="1:34">
      <c r="A198" s="1569"/>
      <c r="B198" s="1569"/>
      <c r="C198" s="1569"/>
      <c r="D198" s="1569"/>
      <c r="E198" s="1569"/>
      <c r="F198" s="1569"/>
      <c r="G198" s="1569"/>
      <c r="H198" s="395"/>
      <c r="I198" s="395"/>
      <c r="J198" s="395"/>
      <c r="K198" s="395"/>
      <c r="L198" s="395"/>
      <c r="N198" s="1973"/>
      <c r="T198" s="395"/>
      <c r="U198" s="395"/>
      <c r="V198" s="395"/>
      <c r="AF198" s="395"/>
    </row>
    <row r="199" spans="1:34">
      <c r="A199" s="1989" t="s">
        <v>623</v>
      </c>
      <c r="B199" s="1991"/>
      <c r="C199" s="1991"/>
      <c r="D199" s="1991"/>
      <c r="E199" s="1991"/>
      <c r="F199" s="1991"/>
      <c r="G199" s="1991"/>
      <c r="H199" s="1991" t="s">
        <v>1002</v>
      </c>
      <c r="I199" s="1991"/>
      <c r="J199" s="1991"/>
      <c r="K199" s="1991"/>
      <c r="L199" s="1991"/>
      <c r="M199" s="1990">
        <v>2007</v>
      </c>
      <c r="N199" s="1990">
        <v>2008</v>
      </c>
      <c r="O199" s="1991">
        <v>2009</v>
      </c>
      <c r="P199" s="1991">
        <v>2010</v>
      </c>
      <c r="Q199" s="1991">
        <v>2011</v>
      </c>
      <c r="R199" s="1991">
        <v>2012</v>
      </c>
      <c r="S199" s="1991">
        <v>2013</v>
      </c>
      <c r="T199" s="1991">
        <v>2014</v>
      </c>
      <c r="U199" s="1991">
        <v>2015</v>
      </c>
      <c r="V199" s="1991">
        <v>2016</v>
      </c>
      <c r="W199" s="1991">
        <v>2017</v>
      </c>
      <c r="X199" s="1991">
        <v>2018</v>
      </c>
      <c r="Y199" s="1991">
        <v>2019</v>
      </c>
      <c r="Z199" s="1991">
        <v>2020</v>
      </c>
      <c r="AA199" s="1991">
        <v>2021</v>
      </c>
      <c r="AB199" s="1992">
        <v>2022</v>
      </c>
      <c r="AC199" s="380"/>
      <c r="AD199" s="380"/>
      <c r="AE199" s="1973"/>
      <c r="AF199" s="1633"/>
    </row>
    <row r="200" spans="1:34">
      <c r="A200" s="1984" t="s">
        <v>1003</v>
      </c>
      <c r="B200" s="1985"/>
      <c r="C200" s="1985"/>
      <c r="D200" s="1985"/>
      <c r="E200" s="1985"/>
      <c r="F200" s="1985"/>
      <c r="G200" s="1985"/>
      <c r="H200" s="1986"/>
      <c r="I200" s="1986"/>
      <c r="J200" s="1986"/>
      <c r="K200" s="1986"/>
      <c r="L200" s="1986"/>
      <c r="M200" s="1987"/>
      <c r="N200" s="1987"/>
      <c r="O200" s="1986"/>
      <c r="P200" s="1986"/>
      <c r="Q200" s="1986"/>
      <c r="R200" s="1986"/>
      <c r="S200" s="1986"/>
      <c r="T200" s="1987"/>
      <c r="U200" s="1987"/>
      <c r="V200" s="1987"/>
      <c r="W200" s="1987"/>
      <c r="X200" s="1987"/>
      <c r="Y200" s="1987"/>
      <c r="Z200" s="1987"/>
      <c r="AA200" s="1987"/>
      <c r="AB200" s="1988"/>
      <c r="AF200" s="395"/>
    </row>
    <row r="201" spans="1:34">
      <c r="A201" s="2048" t="s">
        <v>1202</v>
      </c>
      <c r="B201" s="1999"/>
      <c r="C201" s="1999"/>
      <c r="D201" s="1999"/>
      <c r="E201" s="1999"/>
      <c r="F201" s="1999"/>
      <c r="G201" s="1999"/>
      <c r="H201" s="397"/>
      <c r="I201" s="397"/>
      <c r="J201" s="397"/>
      <c r="K201" s="397"/>
      <c r="L201" s="1996"/>
      <c r="M201" s="1487"/>
      <c r="N201" s="1487"/>
      <c r="O201" s="397"/>
      <c r="P201" s="397"/>
      <c r="Q201" s="397"/>
      <c r="R201" s="397"/>
      <c r="S201" s="397"/>
      <c r="T201" s="1487"/>
      <c r="U201" s="1487"/>
      <c r="V201" s="1487"/>
      <c r="W201" s="1487"/>
      <c r="X201" s="1487"/>
      <c r="Y201" s="1487"/>
      <c r="Z201" s="1487"/>
      <c r="AA201" s="1487"/>
      <c r="AB201" s="1489"/>
      <c r="AF201" s="395"/>
    </row>
    <row r="202" spans="1:34">
      <c r="A202" s="1997" t="s">
        <v>2088</v>
      </c>
      <c r="B202" s="583" t="s">
        <v>7440</v>
      </c>
      <c r="C202" s="1487"/>
      <c r="D202" s="1487"/>
      <c r="E202" s="1487"/>
      <c r="F202" s="1487"/>
      <c r="G202" s="1487"/>
      <c r="H202" s="397" t="s">
        <v>2089</v>
      </c>
      <c r="I202" s="397"/>
      <c r="J202" s="397"/>
      <c r="K202" s="397"/>
      <c r="L202" s="1998"/>
      <c r="M202" s="1487"/>
      <c r="N202" s="1487"/>
      <c r="O202" s="1487"/>
      <c r="P202" s="1487"/>
      <c r="Q202" s="1487"/>
      <c r="R202" s="1487"/>
      <c r="S202" s="1487"/>
      <c r="T202" s="1487">
        <v>3718.4</v>
      </c>
      <c r="U202" s="1487"/>
      <c r="V202" s="1487">
        <v>2629</v>
      </c>
      <c r="W202" s="1487">
        <v>2799</v>
      </c>
      <c r="X202" s="1487">
        <v>741</v>
      </c>
      <c r="Y202" s="1487">
        <v>984</v>
      </c>
      <c r="Z202" s="1487">
        <v>63</v>
      </c>
      <c r="AA202" s="1487"/>
      <c r="AB202" s="1489"/>
      <c r="AF202" s="395"/>
    </row>
    <row r="203" spans="1:34">
      <c r="A203" s="1997" t="s">
        <v>2090</v>
      </c>
      <c r="B203" s="583" t="s">
        <v>7441</v>
      </c>
      <c r="C203" s="1487"/>
      <c r="D203" s="1487"/>
      <c r="E203" s="1487"/>
      <c r="F203" s="1487"/>
      <c r="G203" s="1487"/>
      <c r="H203" s="397" t="s">
        <v>2091</v>
      </c>
      <c r="I203" s="397"/>
      <c r="J203" s="397"/>
      <c r="K203" s="397"/>
      <c r="L203" s="1998"/>
      <c r="M203" s="1487"/>
      <c r="N203" s="1487"/>
      <c r="O203" s="1487"/>
      <c r="P203" s="1487"/>
      <c r="Q203" s="1487"/>
      <c r="R203" s="1487"/>
      <c r="S203" s="1487"/>
      <c r="T203" s="1487">
        <v>63255.6</v>
      </c>
      <c r="U203" s="1487">
        <v>66809.5</v>
      </c>
      <c r="V203" s="1487">
        <v>65214.75</v>
      </c>
      <c r="W203" s="1487">
        <v>47141.5</v>
      </c>
      <c r="X203" s="1487">
        <v>50069.25</v>
      </c>
      <c r="Y203" s="1487">
        <v>52733</v>
      </c>
      <c r="Z203" s="1487">
        <v>28400</v>
      </c>
      <c r="AA203" s="1487">
        <v>38936.25</v>
      </c>
      <c r="AB203" s="1489"/>
      <c r="AF203" s="395"/>
    </row>
    <row r="204" spans="1:34">
      <c r="A204" s="1997" t="s">
        <v>2092</v>
      </c>
      <c r="B204" s="583" t="s">
        <v>7442</v>
      </c>
      <c r="C204" s="1487"/>
      <c r="D204" s="1487"/>
      <c r="E204" s="1487"/>
      <c r="F204" s="1487"/>
      <c r="G204" s="1487"/>
      <c r="H204" s="397" t="s">
        <v>1395</v>
      </c>
      <c r="I204" s="397"/>
      <c r="J204" s="397"/>
      <c r="K204" s="397"/>
      <c r="L204" s="1998"/>
      <c r="M204" s="1487"/>
      <c r="N204" s="1487"/>
      <c r="O204" s="1487"/>
      <c r="P204" s="1487"/>
      <c r="Q204" s="1487"/>
      <c r="R204" s="1487"/>
      <c r="S204" s="1487"/>
      <c r="T204" s="1487"/>
      <c r="U204" s="1487">
        <v>367.88</v>
      </c>
      <c r="V204" s="1487">
        <v>1119.3399999999999</v>
      </c>
      <c r="W204" s="1487">
        <v>0</v>
      </c>
      <c r="X204" s="1487">
        <v>454.21</v>
      </c>
      <c r="Y204" s="1487">
        <v>924.34</v>
      </c>
      <c r="Z204" s="1487">
        <v>1241.2</v>
      </c>
      <c r="AA204" s="1487">
        <v>1219.45</v>
      </c>
      <c r="AB204" s="1489"/>
      <c r="AF204" s="395"/>
    </row>
    <row r="205" spans="1:34">
      <c r="A205" s="1997" t="s">
        <v>2093</v>
      </c>
      <c r="B205" s="583" t="s">
        <v>7443</v>
      </c>
      <c r="C205" s="1487"/>
      <c r="D205" s="1487"/>
      <c r="E205" s="1487"/>
      <c r="F205" s="1487"/>
      <c r="G205" s="1487"/>
      <c r="H205" s="397" t="s">
        <v>1209</v>
      </c>
      <c r="I205" s="397"/>
      <c r="J205" s="397"/>
      <c r="K205" s="397"/>
      <c r="L205" s="1998"/>
      <c r="M205" s="1487"/>
      <c r="N205" s="1487"/>
      <c r="O205" s="1487"/>
      <c r="P205" s="1487"/>
      <c r="Q205" s="1487"/>
      <c r="R205" s="1487"/>
      <c r="S205" s="1487"/>
      <c r="T205" s="1487">
        <v>1708.1</v>
      </c>
      <c r="U205" s="1487">
        <v>1693.6</v>
      </c>
      <c r="V205" s="1487">
        <v>1651.55</v>
      </c>
      <c r="W205" s="1487">
        <v>1165.8</v>
      </c>
      <c r="X205" s="1487">
        <v>1467.4</v>
      </c>
      <c r="Y205" s="1487">
        <v>1648.65</v>
      </c>
      <c r="Z205" s="1487">
        <v>2125.35</v>
      </c>
      <c r="AA205" s="1487"/>
      <c r="AB205" s="1489"/>
      <c r="AF205" s="395"/>
    </row>
    <row r="206" spans="1:34">
      <c r="A206" s="1997" t="s">
        <v>2094</v>
      </c>
      <c r="B206" s="583"/>
      <c r="C206" s="1487">
        <v>0</v>
      </c>
      <c r="D206" s="1487">
        <v>0</v>
      </c>
      <c r="E206" s="1487">
        <v>360.24</v>
      </c>
      <c r="F206" s="1487">
        <v>0</v>
      </c>
      <c r="G206" s="1487">
        <v>0</v>
      </c>
      <c r="H206" s="397" t="s">
        <v>1204</v>
      </c>
      <c r="I206" s="397"/>
      <c r="J206" s="397"/>
      <c r="K206" s="397"/>
      <c r="L206" s="1998"/>
      <c r="M206" s="1487">
        <v>0</v>
      </c>
      <c r="N206" s="1487">
        <v>0</v>
      </c>
      <c r="O206" s="1487">
        <v>0</v>
      </c>
      <c r="P206" s="1487">
        <v>0</v>
      </c>
      <c r="Q206" s="1487">
        <v>0</v>
      </c>
      <c r="R206" s="1487">
        <v>0</v>
      </c>
      <c r="S206" s="1487">
        <v>0</v>
      </c>
      <c r="T206" s="1487"/>
      <c r="U206" s="1487"/>
      <c r="V206" s="1487"/>
      <c r="W206" s="1487"/>
      <c r="X206" s="1487"/>
      <c r="Y206" s="1487"/>
      <c r="Z206" s="1487"/>
      <c r="AA206" s="1487"/>
      <c r="AB206" s="1489"/>
      <c r="AF206" s="395"/>
    </row>
    <row r="207" spans="1:34">
      <c r="A207" s="1997" t="s">
        <v>2095</v>
      </c>
      <c r="B207" s="583"/>
      <c r="C207" s="1487">
        <v>930.01</v>
      </c>
      <c r="D207" s="1487">
        <v>547.1</v>
      </c>
      <c r="E207" s="1487">
        <v>2</v>
      </c>
      <c r="F207" s="1487">
        <v>0</v>
      </c>
      <c r="G207" s="1487">
        <v>0</v>
      </c>
      <c r="H207" s="397" t="s">
        <v>1219</v>
      </c>
      <c r="I207" s="397"/>
      <c r="J207" s="397"/>
      <c r="K207" s="397"/>
      <c r="L207" s="1998"/>
      <c r="M207" s="1487">
        <v>0</v>
      </c>
      <c r="N207" s="1487">
        <v>316</v>
      </c>
      <c r="O207" s="1487">
        <v>400</v>
      </c>
      <c r="P207" s="1487">
        <v>32</v>
      </c>
      <c r="Q207" s="1487">
        <v>720</v>
      </c>
      <c r="R207" s="1487">
        <v>0</v>
      </c>
      <c r="S207" s="1487">
        <v>0</v>
      </c>
      <c r="T207" s="1487"/>
      <c r="U207" s="1487"/>
      <c r="V207" s="1487"/>
      <c r="W207" s="1487"/>
      <c r="X207" s="1487"/>
      <c r="Y207" s="1487"/>
      <c r="Z207" s="1487"/>
      <c r="AA207" s="1487"/>
      <c r="AB207" s="1489"/>
      <c r="AF207" s="395"/>
    </row>
    <row r="208" spans="1:34">
      <c r="A208" s="1997" t="s">
        <v>2096</v>
      </c>
      <c r="B208" s="583"/>
      <c r="C208" s="1487">
        <v>0</v>
      </c>
      <c r="D208" s="1487">
        <v>0</v>
      </c>
      <c r="E208" s="1487">
        <v>0</v>
      </c>
      <c r="F208" s="1487">
        <v>0</v>
      </c>
      <c r="G208" s="1487">
        <v>0</v>
      </c>
      <c r="H208" s="397" t="s">
        <v>1389</v>
      </c>
      <c r="I208" s="397"/>
      <c r="J208" s="397"/>
      <c r="K208" s="397"/>
      <c r="L208" s="1998"/>
      <c r="M208" s="1487">
        <v>0</v>
      </c>
      <c r="N208" s="1487">
        <v>0</v>
      </c>
      <c r="O208" s="1487">
        <v>248</v>
      </c>
      <c r="P208" s="1487">
        <v>1533.24</v>
      </c>
      <c r="Q208" s="1487">
        <v>2296.2600000000002</v>
      </c>
      <c r="R208" s="1487">
        <v>0</v>
      </c>
      <c r="S208" s="1487">
        <v>0</v>
      </c>
      <c r="T208" s="1487"/>
      <c r="U208" s="1487"/>
      <c r="V208" s="1487"/>
      <c r="W208" s="1487"/>
      <c r="X208" s="1487"/>
      <c r="Y208" s="1487"/>
      <c r="Z208" s="1487"/>
      <c r="AA208" s="1487"/>
      <c r="AB208" s="1489"/>
      <c r="AF208" s="395"/>
    </row>
    <row r="209" spans="1:42">
      <c r="A209" s="1997" t="s">
        <v>2097</v>
      </c>
      <c r="B209" s="583"/>
      <c r="C209" s="1487">
        <v>72688.679999999993</v>
      </c>
      <c r="D209" s="1487">
        <v>63435.1</v>
      </c>
      <c r="E209" s="1487">
        <v>63805</v>
      </c>
      <c r="F209" s="1487">
        <v>67161.899999999994</v>
      </c>
      <c r="G209" s="1487">
        <v>61999.5</v>
      </c>
      <c r="H209" s="397" t="s">
        <v>2091</v>
      </c>
      <c r="I209" s="397"/>
      <c r="J209" s="397"/>
      <c r="K209" s="397"/>
      <c r="L209" s="1998"/>
      <c r="M209" s="1487">
        <v>59303.55</v>
      </c>
      <c r="N209" s="1487">
        <v>54623.45</v>
      </c>
      <c r="O209" s="1487">
        <v>53086.97</v>
      </c>
      <c r="P209" s="1487">
        <v>51662.43</v>
      </c>
      <c r="Q209" s="1487">
        <v>52639.65</v>
      </c>
      <c r="R209" s="1487">
        <v>57430.7</v>
      </c>
      <c r="S209" s="1487">
        <v>59392.88</v>
      </c>
      <c r="T209" s="1487"/>
      <c r="U209" s="1487"/>
      <c r="V209" s="1487"/>
      <c r="W209" s="1487"/>
      <c r="X209" s="1487"/>
      <c r="Y209" s="1487"/>
      <c r="Z209" s="1487"/>
      <c r="AA209" s="1487"/>
      <c r="AB209" s="1489"/>
      <c r="AF209" s="395"/>
    </row>
    <row r="210" spans="1:42">
      <c r="A210" s="1997" t="s">
        <v>2098</v>
      </c>
      <c r="B210" s="583"/>
      <c r="C210" s="1487">
        <v>0</v>
      </c>
      <c r="D210" s="1487">
        <v>0</v>
      </c>
      <c r="E210" s="1487">
        <v>0</v>
      </c>
      <c r="F210" s="1487">
        <v>0</v>
      </c>
      <c r="G210" s="1487">
        <v>0</v>
      </c>
      <c r="H210" s="397" t="s">
        <v>2099</v>
      </c>
      <c r="I210" s="397"/>
      <c r="J210" s="397"/>
      <c r="K210" s="397"/>
      <c r="L210" s="1998"/>
      <c r="M210" s="1487">
        <v>720</v>
      </c>
      <c r="N210" s="1487">
        <v>0</v>
      </c>
      <c r="O210" s="1487">
        <v>0</v>
      </c>
      <c r="P210" s="1487">
        <v>0</v>
      </c>
      <c r="Q210" s="1487">
        <v>0</v>
      </c>
      <c r="R210" s="1487">
        <v>0</v>
      </c>
      <c r="S210" s="1487">
        <v>0</v>
      </c>
      <c r="T210" s="1487"/>
      <c r="U210" s="1487"/>
      <c r="V210" s="1487"/>
      <c r="W210" s="1487"/>
      <c r="X210" s="1487"/>
      <c r="Y210" s="1487"/>
      <c r="Z210" s="1487"/>
      <c r="AA210" s="1487"/>
      <c r="AB210" s="1489"/>
      <c r="AF210" s="395"/>
    </row>
    <row r="211" spans="1:42">
      <c r="A211" s="1997" t="s">
        <v>2100</v>
      </c>
      <c r="B211" s="583"/>
      <c r="C211" s="1487">
        <v>1651.1</v>
      </c>
      <c r="D211" s="1487">
        <v>2507.4299999999998</v>
      </c>
      <c r="E211" s="1487">
        <v>2134.48</v>
      </c>
      <c r="F211" s="1487">
        <v>1437.7</v>
      </c>
      <c r="G211" s="1487">
        <v>1679.65</v>
      </c>
      <c r="H211" s="397" t="s">
        <v>1213</v>
      </c>
      <c r="I211" s="397"/>
      <c r="J211" s="397"/>
      <c r="K211" s="397"/>
      <c r="L211" s="1998"/>
      <c r="M211" s="1487">
        <v>1936.88</v>
      </c>
      <c r="N211" s="1487">
        <v>1846.61</v>
      </c>
      <c r="O211" s="1487">
        <v>1983.21</v>
      </c>
      <c r="P211" s="1487">
        <v>2491.79</v>
      </c>
      <c r="Q211" s="1487">
        <v>2322.21</v>
      </c>
      <c r="R211" s="1487">
        <v>3433.83</v>
      </c>
      <c r="S211" s="1487">
        <v>3187.96</v>
      </c>
      <c r="T211" s="1487"/>
      <c r="U211" s="1487"/>
      <c r="V211" s="1487"/>
      <c r="W211" s="1487"/>
      <c r="X211" s="1487"/>
      <c r="Y211" s="1487"/>
      <c r="Z211" s="1487"/>
      <c r="AA211" s="1487"/>
      <c r="AB211" s="1489"/>
      <c r="AF211" s="395"/>
    </row>
    <row r="212" spans="1:42">
      <c r="A212" s="1997" t="s">
        <v>2101</v>
      </c>
      <c r="B212" s="583"/>
      <c r="C212" s="1487">
        <v>1264.75</v>
      </c>
      <c r="D212" s="1487">
        <v>5500</v>
      </c>
      <c r="E212" s="1487">
        <v>6705.48</v>
      </c>
      <c r="F212" s="1487">
        <v>1705.2</v>
      </c>
      <c r="G212" s="1487">
        <v>0</v>
      </c>
      <c r="H212" s="397" t="s">
        <v>2102</v>
      </c>
      <c r="I212" s="397"/>
      <c r="J212" s="397"/>
      <c r="K212" s="397"/>
      <c r="L212" s="2002"/>
      <c r="M212" s="1487">
        <v>0</v>
      </c>
      <c r="N212" s="1487">
        <v>0</v>
      </c>
      <c r="O212" s="1487">
        <v>0</v>
      </c>
      <c r="P212" s="1487">
        <v>0</v>
      </c>
      <c r="Q212" s="1487">
        <v>0</v>
      </c>
      <c r="R212" s="1487">
        <v>0</v>
      </c>
      <c r="S212" s="1487">
        <v>0</v>
      </c>
      <c r="T212" s="1487"/>
      <c r="U212" s="1487"/>
      <c r="V212" s="1487"/>
      <c r="W212" s="1487"/>
      <c r="X212" s="1487"/>
      <c r="Y212" s="1487"/>
      <c r="Z212" s="1487"/>
      <c r="AA212" s="1487"/>
      <c r="AB212" s="1489"/>
      <c r="AF212" s="395"/>
    </row>
    <row r="213" spans="1:42">
      <c r="A213" s="2004" t="s">
        <v>1221</v>
      </c>
      <c r="B213" s="2047"/>
      <c r="C213" s="2005">
        <f>SUM(C206:C212)</f>
        <v>76534.539999999994</v>
      </c>
      <c r="D213" s="2005">
        <f>SUM(D206:D212)</f>
        <v>71989.62999999999</v>
      </c>
      <c r="E213" s="2005">
        <f>SUM(E206:E212)</f>
        <v>73007.199999999997</v>
      </c>
      <c r="F213" s="2005">
        <f>SUM(F206:F212)</f>
        <v>70304.799999999988</v>
      </c>
      <c r="G213" s="2005">
        <f>SUM(G206:G212)</f>
        <v>63679.15</v>
      </c>
      <c r="H213" s="2006"/>
      <c r="I213" s="2006"/>
      <c r="J213" s="2006"/>
      <c r="K213" s="2006"/>
      <c r="L213" s="2006"/>
      <c r="M213" s="2005">
        <f>SUM(M201:M212)</f>
        <v>61960.43</v>
      </c>
      <c r="N213" s="2005">
        <f t="shared" ref="N213:W213" si="38">SUM(N201:N212)</f>
        <v>56786.06</v>
      </c>
      <c r="O213" s="2005">
        <f t="shared" si="38"/>
        <v>55718.18</v>
      </c>
      <c r="P213" s="2005">
        <f t="shared" si="38"/>
        <v>55719.46</v>
      </c>
      <c r="Q213" s="2005">
        <f t="shared" si="38"/>
        <v>57978.12</v>
      </c>
      <c r="R213" s="2005">
        <f t="shared" si="38"/>
        <v>60864.53</v>
      </c>
      <c r="S213" s="2005">
        <f t="shared" si="38"/>
        <v>62580.84</v>
      </c>
      <c r="T213" s="2005">
        <f t="shared" si="38"/>
        <v>68682.100000000006</v>
      </c>
      <c r="U213" s="2005">
        <f t="shared" si="38"/>
        <v>68870.98000000001</v>
      </c>
      <c r="V213" s="2005">
        <f t="shared" si="38"/>
        <v>70614.64</v>
      </c>
      <c r="W213" s="2005">
        <f t="shared" si="38"/>
        <v>51106.3</v>
      </c>
      <c r="X213" s="2005">
        <f>SUM(X201:X212)</f>
        <v>52731.86</v>
      </c>
      <c r="Y213" s="2005">
        <f>SUM(Y201:Y212)</f>
        <v>56289.99</v>
      </c>
      <c r="Z213" s="2005">
        <f>SUM(Z201:Z212)</f>
        <v>31829.55</v>
      </c>
      <c r="AA213" s="2005">
        <f>SUM(AA201:AA212)</f>
        <v>40155.699999999997</v>
      </c>
      <c r="AB213" s="3150">
        <f>SUM(AB201:AB212)</f>
        <v>0</v>
      </c>
      <c r="AF213" s="395"/>
    </row>
    <row r="214" spans="1:42">
      <c r="A214" s="2048" t="s">
        <v>1163</v>
      </c>
      <c r="B214" s="1999"/>
      <c r="C214" s="1999"/>
      <c r="D214" s="1999"/>
      <c r="E214" s="1999"/>
      <c r="F214" s="1999"/>
      <c r="G214" s="1999"/>
      <c r="H214" s="397"/>
      <c r="I214" s="397"/>
      <c r="J214" s="397"/>
      <c r="K214" s="397"/>
      <c r="L214" s="1996"/>
      <c r="M214" s="1487"/>
      <c r="N214" s="1487"/>
      <c r="O214" s="1487"/>
      <c r="P214" s="397"/>
      <c r="Q214" s="397"/>
      <c r="R214" s="397"/>
      <c r="S214" s="397"/>
      <c r="T214" s="397"/>
      <c r="U214" s="1487"/>
      <c r="V214" s="1487"/>
      <c r="W214" s="1487"/>
      <c r="X214" s="1487"/>
      <c r="Y214" s="1487"/>
      <c r="Z214" s="1487"/>
      <c r="AA214" s="1487"/>
      <c r="AB214" s="1489"/>
      <c r="AF214" s="395"/>
    </row>
    <row r="215" spans="1:42">
      <c r="A215" s="1997" t="s">
        <v>2103</v>
      </c>
      <c r="B215" s="583"/>
      <c r="C215" s="1487">
        <v>0</v>
      </c>
      <c r="D215" s="1487">
        <v>0</v>
      </c>
      <c r="E215" s="1487">
        <v>1571.21</v>
      </c>
      <c r="F215" s="1487">
        <v>357.88</v>
      </c>
      <c r="G215" s="1487">
        <v>3331.54</v>
      </c>
      <c r="H215" s="397" t="s">
        <v>2104</v>
      </c>
      <c r="I215" s="397"/>
      <c r="J215" s="397"/>
      <c r="K215" s="397"/>
      <c r="L215" s="1998"/>
      <c r="M215" s="1487">
        <v>0</v>
      </c>
      <c r="N215" s="1487">
        <v>4178.82</v>
      </c>
      <c r="O215" s="1487">
        <v>0</v>
      </c>
      <c r="P215" s="1487">
        <v>0</v>
      </c>
      <c r="Q215" s="1487">
        <v>0</v>
      </c>
      <c r="R215" s="1487">
        <v>5374.45</v>
      </c>
      <c r="S215" s="1487">
        <v>0</v>
      </c>
      <c r="T215" s="1487"/>
      <c r="U215" s="1487"/>
      <c r="V215" s="1487"/>
      <c r="W215" s="1487"/>
      <c r="X215" s="1487"/>
      <c r="Y215" s="1487"/>
      <c r="Z215" s="1487"/>
      <c r="AA215" s="1487"/>
      <c r="AB215" s="1489"/>
      <c r="AF215" s="395"/>
    </row>
    <row r="216" spans="1:42">
      <c r="A216" s="1997" t="s">
        <v>2105</v>
      </c>
      <c r="B216" s="583"/>
      <c r="C216" s="1487">
        <v>8020.42</v>
      </c>
      <c r="D216" s="1487">
        <v>8367.25</v>
      </c>
      <c r="E216" s="1487">
        <v>8097.59</v>
      </c>
      <c r="F216" s="1487">
        <v>9937.76</v>
      </c>
      <c r="G216" s="1487">
        <v>9937.76</v>
      </c>
      <c r="H216" s="397" t="s">
        <v>1225</v>
      </c>
      <c r="I216" s="397"/>
      <c r="J216" s="397"/>
      <c r="K216" s="397"/>
      <c r="L216" s="1998"/>
      <c r="M216" s="1487">
        <v>9937.76</v>
      </c>
      <c r="N216" s="1487">
        <v>9937.76</v>
      </c>
      <c r="O216" s="1487">
        <v>18486.47</v>
      </c>
      <c r="P216" s="1487">
        <v>16001.98</v>
      </c>
      <c r="Q216" s="1487">
        <v>8496.17</v>
      </c>
      <c r="R216" s="1487">
        <v>18329.259999999998</v>
      </c>
      <c r="S216" s="1487">
        <v>22774.080000000002</v>
      </c>
      <c r="T216" s="1487"/>
      <c r="U216" s="1487"/>
      <c r="V216" s="1487"/>
      <c r="W216" s="1487"/>
      <c r="X216" s="1487"/>
      <c r="Y216" s="1487"/>
      <c r="Z216" s="1487"/>
      <c r="AA216" s="1487"/>
      <c r="AB216" s="1489"/>
      <c r="AF216" s="395"/>
    </row>
    <row r="217" spans="1:42">
      <c r="A217" s="1997" t="s">
        <v>2106</v>
      </c>
      <c r="B217" s="583"/>
      <c r="C217" s="1487">
        <v>54536.6</v>
      </c>
      <c r="D217" s="1487">
        <v>54536.6</v>
      </c>
      <c r="E217" s="1487">
        <v>54536</v>
      </c>
      <c r="F217" s="1487">
        <v>54536</v>
      </c>
      <c r="G217" s="1487">
        <v>54537</v>
      </c>
      <c r="H217" s="397" t="s">
        <v>1407</v>
      </c>
      <c r="I217" s="397"/>
      <c r="J217" s="397"/>
      <c r="K217" s="397"/>
      <c r="L217" s="2002"/>
      <c r="M217" s="1487">
        <v>54537</v>
      </c>
      <c r="N217" s="1487">
        <v>51810</v>
      </c>
      <c r="O217" s="1487">
        <v>53629</v>
      </c>
      <c r="P217" s="1487">
        <v>54537</v>
      </c>
      <c r="Q217" s="1487">
        <v>54537</v>
      </c>
      <c r="R217" s="1487">
        <v>54537</v>
      </c>
      <c r="S217" s="1487">
        <v>54537</v>
      </c>
      <c r="T217" s="1487">
        <v>54537</v>
      </c>
      <c r="U217" s="1487">
        <v>54537</v>
      </c>
      <c r="V217" s="1487">
        <v>54537</v>
      </c>
      <c r="W217" s="1487">
        <v>54537</v>
      </c>
      <c r="X217" s="1487"/>
      <c r="Y217" s="1487"/>
      <c r="Z217" s="1487"/>
      <c r="AA217" s="1487"/>
      <c r="AB217" s="1489"/>
      <c r="AF217" s="395"/>
    </row>
    <row r="218" spans="1:42">
      <c r="A218" s="2004" t="s">
        <v>1181</v>
      </c>
      <c r="B218" s="2047"/>
      <c r="C218" s="2005">
        <f>SUM(C215:C217)</f>
        <v>62557.02</v>
      </c>
      <c r="D218" s="2005">
        <f>SUM(D215:D217)</f>
        <v>62903.85</v>
      </c>
      <c r="E218" s="2005">
        <f>SUM(E215:E217)</f>
        <v>64204.800000000003</v>
      </c>
      <c r="F218" s="2005">
        <f>SUM(F215:F217)</f>
        <v>64831.64</v>
      </c>
      <c r="G218" s="2005">
        <f>SUM(G215:G217)</f>
        <v>67806.3</v>
      </c>
      <c r="H218" s="2006"/>
      <c r="I218" s="2006"/>
      <c r="J218" s="2006"/>
      <c r="K218" s="2006"/>
      <c r="L218" s="2006"/>
      <c r="M218" s="2005">
        <f t="shared" ref="M218:X218" si="39">SUM(M215:M217)</f>
        <v>64474.76</v>
      </c>
      <c r="N218" s="2005">
        <f t="shared" si="39"/>
        <v>65926.58</v>
      </c>
      <c r="O218" s="2005">
        <f t="shared" si="39"/>
        <v>72115.47</v>
      </c>
      <c r="P218" s="2005">
        <f t="shared" si="39"/>
        <v>70538.98</v>
      </c>
      <c r="Q218" s="2005">
        <f t="shared" si="39"/>
        <v>63033.17</v>
      </c>
      <c r="R218" s="2005">
        <f t="shared" si="39"/>
        <v>78240.709999999992</v>
      </c>
      <c r="S218" s="2005">
        <f t="shared" si="39"/>
        <v>77311.08</v>
      </c>
      <c r="T218" s="2005">
        <f t="shared" si="39"/>
        <v>54537</v>
      </c>
      <c r="U218" s="2005">
        <f t="shared" si="39"/>
        <v>54537</v>
      </c>
      <c r="V218" s="2005">
        <f t="shared" si="39"/>
        <v>54537</v>
      </c>
      <c r="W218" s="2005">
        <f t="shared" si="39"/>
        <v>54537</v>
      </c>
      <c r="X218" s="2005">
        <f t="shared" si="39"/>
        <v>0</v>
      </c>
      <c r="Y218" s="2005">
        <f>SUM(Y215:Y217)</f>
        <v>0</v>
      </c>
      <c r="Z218" s="2005">
        <f>SUM(Z215:Z217)</f>
        <v>0</v>
      </c>
      <c r="AA218" s="2005">
        <f>SUM(AA215:AA217)</f>
        <v>0</v>
      </c>
      <c r="AB218" s="3150">
        <f>SUM(AB215:AB217)</f>
        <v>0</v>
      </c>
      <c r="AF218" s="395"/>
    </row>
    <row r="219" spans="1:42">
      <c r="A219" s="2048" t="s">
        <v>47</v>
      </c>
      <c r="B219" s="1999"/>
      <c r="C219" s="1999"/>
      <c r="D219" s="1999"/>
      <c r="E219" s="1999"/>
      <c r="F219" s="1999"/>
      <c r="G219" s="1999"/>
      <c r="H219" s="397"/>
      <c r="I219" s="397"/>
      <c r="J219" s="397"/>
      <c r="K219" s="397"/>
      <c r="L219" s="1996"/>
      <c r="M219" s="1487"/>
      <c r="N219" s="1487"/>
      <c r="O219" s="1487"/>
      <c r="P219" s="397"/>
      <c r="Q219" s="397"/>
      <c r="R219" s="397"/>
      <c r="S219" s="397"/>
      <c r="T219" s="397"/>
      <c r="U219" s="1487"/>
      <c r="V219" s="1487"/>
      <c r="W219" s="1487"/>
      <c r="X219" s="1487"/>
      <c r="Y219" s="1487"/>
      <c r="Z219" s="1487"/>
      <c r="AA219" s="1487"/>
      <c r="AB219" s="1489"/>
      <c r="AF219" s="395"/>
    </row>
    <row r="220" spans="1:42">
      <c r="A220" s="1997"/>
      <c r="B220" s="583"/>
      <c r="C220" s="583"/>
      <c r="D220" s="583"/>
      <c r="E220" s="583"/>
      <c r="F220" s="583"/>
      <c r="G220" s="583"/>
      <c r="H220" s="397"/>
      <c r="I220" s="397"/>
      <c r="J220" s="397"/>
      <c r="K220" s="397"/>
      <c r="L220" s="2002"/>
      <c r="M220" s="1487"/>
      <c r="N220" s="1487"/>
      <c r="O220" s="1487"/>
      <c r="P220" s="397"/>
      <c r="Q220" s="397"/>
      <c r="R220" s="397"/>
      <c r="S220" s="397"/>
      <c r="T220" s="397"/>
      <c r="U220" s="1487"/>
      <c r="V220" s="1487"/>
      <c r="W220" s="1487"/>
      <c r="X220" s="1487"/>
      <c r="Y220" s="1487"/>
      <c r="Z220" s="1487"/>
      <c r="AA220" s="1487"/>
      <c r="AB220" s="1489"/>
      <c r="AF220" s="395"/>
    </row>
    <row r="221" spans="1:42">
      <c r="A221" s="2046"/>
      <c r="B221" s="2064"/>
      <c r="C221" s="2005">
        <v>0</v>
      </c>
      <c r="D221" s="2005">
        <v>0</v>
      </c>
      <c r="E221" s="2005">
        <v>0</v>
      </c>
      <c r="F221" s="2005">
        <v>0</v>
      </c>
      <c r="G221" s="2005">
        <v>0</v>
      </c>
      <c r="H221" s="2047" t="s">
        <v>1185</v>
      </c>
      <c r="I221" s="2047"/>
      <c r="J221" s="2047"/>
      <c r="K221" s="2047"/>
      <c r="L221" s="2047"/>
      <c r="M221" s="2005">
        <f t="shared" ref="M221:S221" si="40">SUM(N220)</f>
        <v>0</v>
      </c>
      <c r="N221" s="2005">
        <f t="shared" si="40"/>
        <v>0</v>
      </c>
      <c r="O221" s="2005">
        <f t="shared" si="40"/>
        <v>0</v>
      </c>
      <c r="P221" s="2005">
        <f t="shared" si="40"/>
        <v>0</v>
      </c>
      <c r="Q221" s="2005">
        <f t="shared" si="40"/>
        <v>0</v>
      </c>
      <c r="R221" s="2005">
        <f t="shared" si="40"/>
        <v>0</v>
      </c>
      <c r="S221" s="2005">
        <f t="shared" si="40"/>
        <v>0</v>
      </c>
      <c r="T221" s="2005">
        <f t="shared" ref="T221:AB221" si="41">SUM(U220)</f>
        <v>0</v>
      </c>
      <c r="U221" s="2005">
        <f t="shared" si="41"/>
        <v>0</v>
      </c>
      <c r="V221" s="2005">
        <f t="shared" si="41"/>
        <v>0</v>
      </c>
      <c r="W221" s="2005">
        <f t="shared" si="41"/>
        <v>0</v>
      </c>
      <c r="X221" s="2005">
        <f t="shared" si="41"/>
        <v>0</v>
      </c>
      <c r="Y221" s="2005">
        <f t="shared" si="41"/>
        <v>0</v>
      </c>
      <c r="Z221" s="2005">
        <f t="shared" si="41"/>
        <v>0</v>
      </c>
      <c r="AA221" s="2005">
        <f t="shared" si="41"/>
        <v>0</v>
      </c>
      <c r="AB221" s="3150">
        <f t="shared" si="41"/>
        <v>0</v>
      </c>
      <c r="AF221" s="395"/>
    </row>
    <row r="222" spans="1:42">
      <c r="A222" s="2008" t="s">
        <v>1234</v>
      </c>
      <c r="B222" s="2022"/>
      <c r="C222" s="2009">
        <f>C213+C218+C221</f>
        <v>139091.56</v>
      </c>
      <c r="D222" s="2009">
        <f>D213+D218+D221</f>
        <v>134893.47999999998</v>
      </c>
      <c r="E222" s="2009">
        <f>E213+E218+E221</f>
        <v>137212</v>
      </c>
      <c r="F222" s="2009">
        <f>F213+F218+F221</f>
        <v>135136.44</v>
      </c>
      <c r="G222" s="2009">
        <f>G213+G218+G221</f>
        <v>131485.45000000001</v>
      </c>
      <c r="H222" s="2010"/>
      <c r="I222" s="2010"/>
      <c r="J222" s="2010"/>
      <c r="K222" s="2010"/>
      <c r="L222" s="2010"/>
      <c r="M222" s="2009">
        <f t="shared" ref="M222:X222" si="42">M213+M218+M221</f>
        <v>126435.19</v>
      </c>
      <c r="N222" s="2009">
        <f t="shared" si="42"/>
        <v>122712.64</v>
      </c>
      <c r="O222" s="2009">
        <f t="shared" si="42"/>
        <v>127833.65</v>
      </c>
      <c r="P222" s="2009">
        <f t="shared" si="42"/>
        <v>126258.44</v>
      </c>
      <c r="Q222" s="2009">
        <f t="shared" si="42"/>
        <v>121011.29000000001</v>
      </c>
      <c r="R222" s="2009">
        <f t="shared" si="42"/>
        <v>139105.24</v>
      </c>
      <c r="S222" s="2009">
        <f t="shared" si="42"/>
        <v>139891.91999999998</v>
      </c>
      <c r="T222" s="2009">
        <f t="shared" si="42"/>
        <v>123219.1</v>
      </c>
      <c r="U222" s="2009">
        <f t="shared" si="42"/>
        <v>123407.98000000001</v>
      </c>
      <c r="V222" s="2009">
        <f t="shared" si="42"/>
        <v>125151.64</v>
      </c>
      <c r="W222" s="2009">
        <f t="shared" si="42"/>
        <v>105643.3</v>
      </c>
      <c r="X222" s="2009">
        <f t="shared" si="42"/>
        <v>52731.86</v>
      </c>
      <c r="Y222" s="2009">
        <f>Y213+Y218+Y221</f>
        <v>56289.99</v>
      </c>
      <c r="Z222" s="2009">
        <f>Z213+Z218+Z221</f>
        <v>31829.55</v>
      </c>
      <c r="AA222" s="2009">
        <f>AA213+AA218+AA221</f>
        <v>40155.699999999997</v>
      </c>
      <c r="AB222" s="2070">
        <f>AB213+AB218+AB221</f>
        <v>0</v>
      </c>
      <c r="AF222" s="395"/>
    </row>
    <row r="223" spans="1:42" s="1148" customFormat="1">
      <c r="A223" s="1788"/>
      <c r="B223" s="1788"/>
      <c r="C223" s="1788"/>
      <c r="D223" s="1788"/>
      <c r="E223" s="1788"/>
      <c r="F223" s="1788"/>
      <c r="G223" s="1788"/>
      <c r="H223" s="1974"/>
      <c r="I223" s="1974"/>
      <c r="J223" s="1974"/>
      <c r="K223" s="1974"/>
      <c r="L223" s="1974"/>
      <c r="M223" s="1980"/>
      <c r="N223" s="1980"/>
      <c r="O223" s="1980"/>
      <c r="P223" s="1980"/>
      <c r="Q223" s="1980"/>
      <c r="R223" s="1980"/>
      <c r="S223" s="1980"/>
      <c r="T223" s="1974"/>
      <c r="U223" s="1974"/>
      <c r="V223" s="1974"/>
      <c r="W223" s="1974"/>
      <c r="X223" s="1974"/>
      <c r="Y223" s="1974"/>
      <c r="Z223" s="1974"/>
      <c r="AA223" s="1974"/>
      <c r="AB223" s="1974"/>
      <c r="AC223" s="1974"/>
      <c r="AD223" s="1974"/>
      <c r="AE223" s="1974"/>
      <c r="AG223" s="1974"/>
      <c r="AH223" s="1974"/>
      <c r="AI223" s="1974"/>
      <c r="AJ223" s="1974"/>
      <c r="AK223" s="1974"/>
      <c r="AL223" s="1974"/>
      <c r="AM223" s="1974"/>
      <c r="AN223" s="1974"/>
      <c r="AO223" s="1974"/>
      <c r="AP223" s="1974"/>
    </row>
    <row r="224" spans="1:42" s="1148" customFormat="1">
      <c r="A224" s="1788"/>
      <c r="B224" s="1788"/>
      <c r="C224" s="1788"/>
      <c r="D224" s="1788"/>
      <c r="E224" s="1788"/>
      <c r="F224" s="1788"/>
      <c r="G224" s="1788"/>
      <c r="H224" s="1974"/>
      <c r="I224" s="1974"/>
      <c r="J224" s="1974"/>
      <c r="K224" s="1974"/>
      <c r="L224" s="1974"/>
      <c r="M224" s="1980"/>
      <c r="N224" s="1980"/>
      <c r="O224" s="1980"/>
      <c r="P224" s="1980"/>
      <c r="Q224" s="1980"/>
      <c r="R224" s="1980"/>
      <c r="S224" s="1980"/>
      <c r="T224" s="1974"/>
      <c r="U224" s="1974"/>
      <c r="V224" s="1974"/>
      <c r="W224" s="1974"/>
      <c r="X224" s="1974"/>
      <c r="Y224" s="1974"/>
      <c r="Z224" s="1974"/>
      <c r="AA224" s="1974"/>
      <c r="AB224" s="1974"/>
      <c r="AC224" s="1974"/>
      <c r="AD224" s="1974"/>
      <c r="AE224" s="1974"/>
      <c r="AG224" s="1974"/>
      <c r="AH224" s="1974"/>
      <c r="AI224" s="1974"/>
      <c r="AJ224" s="1974"/>
      <c r="AK224" s="1974"/>
      <c r="AL224" s="1974"/>
      <c r="AM224" s="1974"/>
      <c r="AN224" s="1974"/>
      <c r="AO224" s="1974"/>
      <c r="AP224" s="1974"/>
    </row>
    <row r="225" spans="1:42" s="1148" customFormat="1">
      <c r="A225" s="3153" t="s">
        <v>7100</v>
      </c>
      <c r="B225" s="3153"/>
      <c r="C225" s="1788"/>
      <c r="D225" s="1788"/>
      <c r="E225" s="1788"/>
      <c r="F225" s="1788"/>
      <c r="G225" s="1788"/>
      <c r="H225" s="1974"/>
      <c r="I225" s="1974"/>
      <c r="J225" s="1974"/>
      <c r="K225" s="1974"/>
      <c r="L225" s="1974"/>
      <c r="M225" s="1980"/>
      <c r="N225" s="1980"/>
      <c r="O225" s="1980"/>
      <c r="P225" s="1980"/>
      <c r="Q225" s="1980"/>
      <c r="R225" s="1980"/>
      <c r="S225" s="1980"/>
      <c r="T225" s="1974"/>
      <c r="U225" s="1974"/>
      <c r="V225" s="1974"/>
      <c r="W225" s="1974"/>
      <c r="X225" s="1974"/>
      <c r="Y225" s="1974"/>
      <c r="Z225" s="1974"/>
      <c r="AA225" s="1974"/>
      <c r="AB225" s="1974"/>
      <c r="AC225" s="1974"/>
      <c r="AD225" s="1974"/>
      <c r="AE225" s="1974"/>
      <c r="AG225" s="1974"/>
      <c r="AH225" s="1974"/>
      <c r="AI225" s="1974"/>
      <c r="AJ225" s="1974"/>
      <c r="AK225" s="1974"/>
      <c r="AL225" s="1974"/>
      <c r="AM225" s="1974"/>
      <c r="AN225" s="1974"/>
      <c r="AO225" s="1974"/>
      <c r="AP225" s="1974"/>
    </row>
    <row r="226" spans="1:42" ht="13.5" thickBot="1">
      <c r="A226" s="1966"/>
      <c r="B226" s="1966"/>
      <c r="C226" s="1966"/>
      <c r="D226" s="1966"/>
      <c r="E226" s="1966"/>
      <c r="F226" s="1966"/>
      <c r="G226" s="1966"/>
    </row>
    <row r="227" spans="1:42" ht="18" customHeight="1" thickBot="1">
      <c r="A227" s="1886"/>
      <c r="B227" s="1887"/>
      <c r="C227" s="1887"/>
      <c r="D227" s="1887"/>
      <c r="E227" s="1887"/>
      <c r="F227" s="1887"/>
      <c r="G227" s="1887"/>
      <c r="H227" s="1967">
        <v>2007</v>
      </c>
      <c r="I227" s="1967">
        <v>2008</v>
      </c>
      <c r="J227" s="1967">
        <v>2009</v>
      </c>
      <c r="K227" s="1967">
        <v>2010</v>
      </c>
      <c r="L227" s="1967">
        <v>2011</v>
      </c>
      <c r="M227" s="1967">
        <v>2012</v>
      </c>
      <c r="N227" s="1967">
        <v>2013</v>
      </c>
      <c r="O227" s="1967">
        <v>2014</v>
      </c>
      <c r="P227" s="1967">
        <v>2015</v>
      </c>
      <c r="Q227" s="1967">
        <v>2016</v>
      </c>
      <c r="R227" s="1967">
        <v>2017</v>
      </c>
      <c r="S227" s="1967">
        <v>2018</v>
      </c>
      <c r="T227" s="1967">
        <v>2019</v>
      </c>
      <c r="U227" s="1968">
        <v>2020</v>
      </c>
      <c r="V227" s="1968">
        <v>2021</v>
      </c>
      <c r="W227" s="395"/>
      <c r="X227" s="395"/>
      <c r="Y227" s="395"/>
    </row>
    <row r="228" spans="1:42">
      <c r="A228" s="1205" t="s">
        <v>986</v>
      </c>
      <c r="B228" s="397"/>
      <c r="C228" s="397"/>
      <c r="D228" s="397"/>
      <c r="E228" s="397"/>
      <c r="F228" s="397"/>
      <c r="G228" s="397"/>
      <c r="H228" s="1969">
        <f t="shared" ref="H228:S228" si="43">M325</f>
        <v>159777.51</v>
      </c>
      <c r="I228" s="1969">
        <f t="shared" si="43"/>
        <v>193241.40900000001</v>
      </c>
      <c r="J228" s="1969">
        <f t="shared" si="43"/>
        <v>262145.85200000001</v>
      </c>
      <c r="K228" s="1969">
        <f t="shared" si="43"/>
        <v>309477.00600000005</v>
      </c>
      <c r="L228" s="1969">
        <f t="shared" si="43"/>
        <v>336891.57400000002</v>
      </c>
      <c r="M228" s="1969">
        <f t="shared" si="43"/>
        <v>341462.16399999999</v>
      </c>
      <c r="N228" s="1969">
        <f t="shared" si="43"/>
        <v>335917.27</v>
      </c>
      <c r="O228" s="1969">
        <f t="shared" si="43"/>
        <v>279081.27</v>
      </c>
      <c r="P228" s="1969">
        <f t="shared" si="43"/>
        <v>265797.83866666665</v>
      </c>
      <c r="Q228" s="1969">
        <f t="shared" si="43"/>
        <v>249629.2993333333</v>
      </c>
      <c r="R228" s="1969">
        <f t="shared" si="43"/>
        <v>398190.24933333334</v>
      </c>
      <c r="S228" s="1969">
        <f t="shared" si="43"/>
        <v>479834.54116666672</v>
      </c>
      <c r="T228" s="1969">
        <f>Y325</f>
        <v>459490.24816666666</v>
      </c>
      <c r="U228" s="1969">
        <f>Z325</f>
        <v>363877.13883333333</v>
      </c>
      <c r="V228" s="1969">
        <f>AA325</f>
        <v>379438.68383333331</v>
      </c>
      <c r="W228" s="395"/>
      <c r="X228" s="395"/>
      <c r="Y228" s="395"/>
    </row>
    <row r="229" spans="1:42">
      <c r="A229" s="1205" t="s">
        <v>1976</v>
      </c>
      <c r="B229" s="397"/>
      <c r="C229" s="397"/>
      <c r="D229" s="397"/>
      <c r="E229" s="397"/>
      <c r="F229" s="397"/>
      <c r="G229" s="397"/>
      <c r="H229" s="1969">
        <f t="shared" ref="H229:S229" si="44">M424</f>
        <v>25906.400000000001</v>
      </c>
      <c r="I229" s="1969">
        <f t="shared" si="44"/>
        <v>36996.300000000003</v>
      </c>
      <c r="J229" s="1969">
        <f t="shared" si="44"/>
        <v>29801.599999999999</v>
      </c>
      <c r="K229" s="1969">
        <f t="shared" si="44"/>
        <v>30540.57</v>
      </c>
      <c r="L229" s="1969">
        <f t="shared" si="44"/>
        <v>38665.160000000003</v>
      </c>
      <c r="M229" s="1969">
        <f t="shared" si="44"/>
        <v>49861.04</v>
      </c>
      <c r="N229" s="1969">
        <f t="shared" si="44"/>
        <v>51612.41</v>
      </c>
      <c r="O229" s="1969">
        <f t="shared" si="44"/>
        <v>21639.559999999998</v>
      </c>
      <c r="P229" s="1969">
        <f t="shared" si="44"/>
        <v>20683.68</v>
      </c>
      <c r="Q229" s="1969">
        <f t="shared" si="44"/>
        <v>12055.5</v>
      </c>
      <c r="R229" s="1969">
        <f t="shared" si="44"/>
        <v>22565.579999999998</v>
      </c>
      <c r="S229" s="1969">
        <f t="shared" si="44"/>
        <v>47339.65</v>
      </c>
      <c r="T229" s="1969">
        <f>Y424</f>
        <v>47471.89</v>
      </c>
      <c r="U229" s="1969">
        <f>Z424</f>
        <v>30529.199999999997</v>
      </c>
      <c r="V229" s="1969">
        <f>AA424</f>
        <v>21992.240000000002</v>
      </c>
      <c r="W229" s="395"/>
      <c r="X229" s="395"/>
      <c r="Y229" s="395"/>
    </row>
    <row r="230" spans="1:42">
      <c r="A230" s="1205" t="s">
        <v>1977</v>
      </c>
      <c r="B230" s="397"/>
      <c r="C230" s="397"/>
      <c r="D230" s="397"/>
      <c r="E230" s="397"/>
      <c r="F230" s="397"/>
      <c r="G230" s="397"/>
      <c r="H230" s="1969">
        <f>H229-H228</f>
        <v>-133871.11000000002</v>
      </c>
      <c r="I230" s="1969">
        <f t="shared" ref="I230:S230" si="45">I229-I228</f>
        <v>-156245.109</v>
      </c>
      <c r="J230" s="1969">
        <f t="shared" si="45"/>
        <v>-232344.25200000001</v>
      </c>
      <c r="K230" s="1969">
        <f t="shared" si="45"/>
        <v>-278936.43600000005</v>
      </c>
      <c r="L230" s="1969">
        <f t="shared" si="45"/>
        <v>-298226.41399999999</v>
      </c>
      <c r="M230" s="1969">
        <f t="shared" si="45"/>
        <v>-291601.12400000001</v>
      </c>
      <c r="N230" s="1969">
        <f t="shared" si="45"/>
        <v>-284304.86</v>
      </c>
      <c r="O230" s="1969">
        <f t="shared" si="45"/>
        <v>-257441.71000000002</v>
      </c>
      <c r="P230" s="1969">
        <f t="shared" si="45"/>
        <v>-245114.15866666666</v>
      </c>
      <c r="Q230" s="1969">
        <f t="shared" si="45"/>
        <v>-237573.7993333333</v>
      </c>
      <c r="R230" s="1969">
        <f t="shared" si="45"/>
        <v>-375624.66933333332</v>
      </c>
      <c r="S230" s="1969">
        <f t="shared" si="45"/>
        <v>-432494.8911666667</v>
      </c>
      <c r="T230" s="1969">
        <f>T229-T228</f>
        <v>-412018.35816666664</v>
      </c>
      <c r="U230" s="1969">
        <f>U229-U228</f>
        <v>-333347.93883333332</v>
      </c>
      <c r="V230" s="1969">
        <f>V229-V228</f>
        <v>-357446.44383333332</v>
      </c>
      <c r="W230" s="395"/>
      <c r="X230" s="395"/>
      <c r="Y230" s="395"/>
    </row>
    <row r="231" spans="1:42">
      <c r="A231" s="1205"/>
      <c r="B231" s="397"/>
      <c r="C231" s="397"/>
      <c r="D231" s="397"/>
      <c r="E231" s="397"/>
      <c r="F231" s="397"/>
      <c r="G231" s="397"/>
      <c r="H231" s="1969"/>
      <c r="I231" s="1969"/>
      <c r="J231" s="1969"/>
      <c r="K231" s="1969"/>
      <c r="L231" s="1969"/>
      <c r="M231" s="1969"/>
      <c r="N231" s="1969"/>
      <c r="O231" s="1969"/>
      <c r="P231" s="1969"/>
      <c r="Q231" s="1969"/>
      <c r="R231" s="1969"/>
      <c r="S231" s="1969"/>
      <c r="T231" s="1969"/>
      <c r="U231" s="1969"/>
      <c r="V231" s="1969"/>
      <c r="W231" s="395"/>
      <c r="X231" s="395"/>
      <c r="Y231" s="395"/>
    </row>
    <row r="232" spans="1:42">
      <c r="A232" s="1205" t="s">
        <v>989</v>
      </c>
      <c r="B232" s="397"/>
      <c r="C232" s="397"/>
      <c r="D232" s="397"/>
      <c r="E232" s="397"/>
      <c r="F232" s="397"/>
      <c r="G232" s="397"/>
      <c r="H232" s="1969">
        <f t="shared" ref="H232:S232" si="46">M262</f>
        <v>88824.08</v>
      </c>
      <c r="I232" s="1969">
        <f t="shared" si="46"/>
        <v>92635.459999999992</v>
      </c>
      <c r="J232" s="1969">
        <f t="shared" si="46"/>
        <v>98316.88</v>
      </c>
      <c r="K232" s="1969">
        <f t="shared" si="46"/>
        <v>113358.5</v>
      </c>
      <c r="L232" s="1969">
        <f t="shared" si="46"/>
        <v>124532.31</v>
      </c>
      <c r="M232" s="1969">
        <f t="shared" si="46"/>
        <v>118005.44999999998</v>
      </c>
      <c r="N232" s="1969">
        <f t="shared" si="46"/>
        <v>124175.78000000001</v>
      </c>
      <c r="O232" s="1969">
        <f t="shared" si="46"/>
        <v>45346.62</v>
      </c>
      <c r="P232" s="1969">
        <f t="shared" si="46"/>
        <v>40609.08</v>
      </c>
      <c r="Q232" s="1969">
        <f t="shared" si="46"/>
        <v>507.18</v>
      </c>
      <c r="R232" s="1969">
        <f t="shared" si="46"/>
        <v>0</v>
      </c>
      <c r="S232" s="1969">
        <f t="shared" si="46"/>
        <v>0</v>
      </c>
      <c r="T232" s="1969">
        <f>Y262</f>
        <v>0</v>
      </c>
      <c r="U232" s="1969">
        <f>Z262</f>
        <v>0</v>
      </c>
      <c r="V232" s="1969">
        <f>AA262</f>
        <v>0</v>
      </c>
      <c r="W232" s="395"/>
      <c r="X232" s="395"/>
      <c r="Y232" s="395"/>
    </row>
    <row r="233" spans="1:42">
      <c r="A233" s="1205" t="s">
        <v>990</v>
      </c>
      <c r="B233" s="397"/>
      <c r="C233" s="397"/>
      <c r="D233" s="397"/>
      <c r="E233" s="397"/>
      <c r="F233" s="397"/>
      <c r="G233" s="397"/>
      <c r="H233" s="1969">
        <f t="shared" ref="H233:S233" si="47">M315</f>
        <v>70953.430000000008</v>
      </c>
      <c r="I233" s="1969">
        <f t="shared" si="47"/>
        <v>75878.240000000005</v>
      </c>
      <c r="J233" s="1969">
        <f t="shared" si="47"/>
        <v>77174.73000000001</v>
      </c>
      <c r="K233" s="1969">
        <f t="shared" si="47"/>
        <v>91525.860000000015</v>
      </c>
      <c r="L233" s="1969">
        <f t="shared" si="47"/>
        <v>84530.239999999991</v>
      </c>
      <c r="M233" s="1969">
        <f t="shared" si="47"/>
        <v>82342.37999999999</v>
      </c>
      <c r="N233" s="1969">
        <f t="shared" si="47"/>
        <v>78659.659999999989</v>
      </c>
      <c r="O233" s="1969">
        <f t="shared" si="47"/>
        <v>90715.260000000009</v>
      </c>
      <c r="P233" s="1969">
        <f t="shared" si="47"/>
        <v>80056.459999999992</v>
      </c>
      <c r="Q233" s="1969">
        <f t="shared" si="47"/>
        <v>85119.41</v>
      </c>
      <c r="R233" s="1969">
        <f t="shared" si="47"/>
        <v>90233.150000000009</v>
      </c>
      <c r="S233" s="1969">
        <f t="shared" si="47"/>
        <v>138914.30000000005</v>
      </c>
      <c r="T233" s="1969">
        <f>Y315</f>
        <v>118177.08000000002</v>
      </c>
      <c r="U233" s="1969">
        <f>Z315</f>
        <v>142687.1</v>
      </c>
      <c r="V233" s="1969">
        <f>AA315</f>
        <v>121477.31999999999</v>
      </c>
      <c r="W233" s="395"/>
      <c r="X233" s="395"/>
      <c r="Y233" s="395"/>
    </row>
    <row r="234" spans="1:42">
      <c r="A234" s="1205" t="s">
        <v>991</v>
      </c>
      <c r="B234" s="397"/>
      <c r="C234" s="397"/>
      <c r="D234" s="397"/>
      <c r="E234" s="397"/>
      <c r="F234" s="397"/>
      <c r="G234" s="397"/>
      <c r="H234" s="1969">
        <f t="shared" ref="H234:S234" si="48">M319</f>
        <v>0</v>
      </c>
      <c r="I234" s="1969">
        <f t="shared" si="48"/>
        <v>0</v>
      </c>
      <c r="J234" s="1969">
        <f t="shared" si="48"/>
        <v>0</v>
      </c>
      <c r="K234" s="1969">
        <f t="shared" si="48"/>
        <v>20</v>
      </c>
      <c r="L234" s="1969">
        <f t="shared" si="48"/>
        <v>0</v>
      </c>
      <c r="M234" s="1969">
        <f t="shared" si="48"/>
        <v>0</v>
      </c>
      <c r="N234" s="1969">
        <f t="shared" si="48"/>
        <v>46</v>
      </c>
      <c r="O234" s="1969">
        <f t="shared" si="48"/>
        <v>0</v>
      </c>
      <c r="P234" s="1969">
        <f t="shared" si="48"/>
        <v>0</v>
      </c>
      <c r="Q234" s="1969">
        <f t="shared" si="48"/>
        <v>0</v>
      </c>
      <c r="R234" s="1969">
        <f t="shared" si="48"/>
        <v>0</v>
      </c>
      <c r="S234" s="1969">
        <f t="shared" si="48"/>
        <v>0</v>
      </c>
      <c r="T234" s="1969">
        <f>Y319</f>
        <v>0</v>
      </c>
      <c r="U234" s="1969">
        <f>Z319</f>
        <v>0</v>
      </c>
      <c r="V234" s="1969">
        <f>AA319</f>
        <v>0</v>
      </c>
      <c r="W234" s="395"/>
      <c r="X234" s="395"/>
      <c r="Y234" s="395"/>
    </row>
    <row r="235" spans="1:42" ht="13.5" thickBot="1">
      <c r="A235" s="1205" t="s">
        <v>47</v>
      </c>
      <c r="B235" s="397"/>
      <c r="C235" s="397"/>
      <c r="D235" s="397"/>
      <c r="E235" s="397"/>
      <c r="F235" s="397"/>
      <c r="G235" s="397"/>
      <c r="H235" s="1969">
        <f t="shared" ref="H235:S235" si="49">M324</f>
        <v>0</v>
      </c>
      <c r="I235" s="1969">
        <f t="shared" si="49"/>
        <v>24727.708999999999</v>
      </c>
      <c r="J235" s="1969">
        <f t="shared" si="49"/>
        <v>86654.241999999998</v>
      </c>
      <c r="K235" s="1969">
        <f t="shared" si="49"/>
        <v>104572.64600000001</v>
      </c>
      <c r="L235" s="1969">
        <f t="shared" si="49"/>
        <v>127829.024</v>
      </c>
      <c r="M235" s="1969">
        <f t="shared" si="49"/>
        <v>141114.334</v>
      </c>
      <c r="N235" s="1969">
        <f t="shared" si="49"/>
        <v>133035.82999999999</v>
      </c>
      <c r="O235" s="1969">
        <f t="shared" si="49"/>
        <v>143019.38999999998</v>
      </c>
      <c r="P235" s="1969">
        <f t="shared" si="49"/>
        <v>145132.29866666664</v>
      </c>
      <c r="Q235" s="1969">
        <f t="shared" si="49"/>
        <v>164002.7093333333</v>
      </c>
      <c r="R235" s="1969">
        <f t="shared" si="49"/>
        <v>307957.09933333332</v>
      </c>
      <c r="S235" s="1969">
        <f t="shared" si="49"/>
        <v>340920.24116666667</v>
      </c>
      <c r="T235" s="1969">
        <f>Y324</f>
        <v>341313.16816666664</v>
      </c>
      <c r="U235" s="1969">
        <f>Z324</f>
        <v>221190.03883333332</v>
      </c>
      <c r="V235" s="1969">
        <f>AA324</f>
        <v>257961.36383333334</v>
      </c>
      <c r="W235" s="395"/>
      <c r="X235" s="395"/>
      <c r="Y235" s="395"/>
    </row>
    <row r="236" spans="1:42" ht="18" customHeight="1" thickBot="1">
      <c r="A236" s="1891" t="s">
        <v>8</v>
      </c>
      <c r="B236" s="1979"/>
      <c r="C236" s="1979"/>
      <c r="D236" s="1979"/>
      <c r="E236" s="1979"/>
      <c r="F236" s="1979"/>
      <c r="G236" s="1979"/>
      <c r="H236" s="1970">
        <f>SUM(H232:H235)</f>
        <v>159777.51</v>
      </c>
      <c r="I236" s="1970">
        <f t="shared" ref="I236:S236" si="50">SUM(I232:I235)</f>
        <v>193241.40900000001</v>
      </c>
      <c r="J236" s="1970">
        <f t="shared" si="50"/>
        <v>262145.85200000001</v>
      </c>
      <c r="K236" s="1970">
        <f t="shared" si="50"/>
        <v>309477.00600000005</v>
      </c>
      <c r="L236" s="1970">
        <f t="shared" si="50"/>
        <v>336891.57400000002</v>
      </c>
      <c r="M236" s="1970">
        <f t="shared" si="50"/>
        <v>341462.16399999999</v>
      </c>
      <c r="N236" s="1970">
        <f t="shared" si="50"/>
        <v>335917.27</v>
      </c>
      <c r="O236" s="1970">
        <f t="shared" si="50"/>
        <v>279081.27</v>
      </c>
      <c r="P236" s="1970">
        <f t="shared" si="50"/>
        <v>265797.83866666665</v>
      </c>
      <c r="Q236" s="1970">
        <f t="shared" si="50"/>
        <v>249629.2993333333</v>
      </c>
      <c r="R236" s="1970">
        <f t="shared" si="50"/>
        <v>398190.24933333334</v>
      </c>
      <c r="S236" s="1970">
        <f t="shared" si="50"/>
        <v>479834.54116666672</v>
      </c>
      <c r="T236" s="1970">
        <f>SUM(T232:T235)</f>
        <v>459490.24816666666</v>
      </c>
      <c r="U236" s="1970">
        <f>SUM(U232:U235)</f>
        <v>363877.13883333333</v>
      </c>
      <c r="V236" s="1970">
        <f>SUM(V232:V235)</f>
        <v>379438.68383333331</v>
      </c>
      <c r="W236" s="395"/>
      <c r="X236" s="395"/>
      <c r="Y236" s="395"/>
    </row>
    <row r="237" spans="1:42">
      <c r="A237" s="395" t="s">
        <v>993</v>
      </c>
      <c r="I237" s="1965">
        <f t="shared" ref="I237:S237" si="51">(I232/H232)*100-100</f>
        <v>4.2909310178050646</v>
      </c>
      <c r="J237" s="1965">
        <f t="shared" si="51"/>
        <v>6.133094173656616</v>
      </c>
      <c r="K237" s="1965">
        <f t="shared" si="51"/>
        <v>15.29912259217339</v>
      </c>
      <c r="L237" s="1965">
        <f t="shared" si="51"/>
        <v>9.8570552715499815</v>
      </c>
      <c r="M237" s="1965">
        <f t="shared" si="51"/>
        <v>-5.241097671760869</v>
      </c>
      <c r="N237" s="1965">
        <f t="shared" si="51"/>
        <v>5.2288517182893059</v>
      </c>
      <c r="O237" s="1965">
        <f t="shared" si="51"/>
        <v>-63.481912495335244</v>
      </c>
      <c r="P237" s="1965">
        <f t="shared" si="51"/>
        <v>-10.447393874118958</v>
      </c>
      <c r="Q237" s="1965">
        <f t="shared" si="51"/>
        <v>-98.751067495249828</v>
      </c>
      <c r="R237" s="1965">
        <f t="shared" si="51"/>
        <v>-100</v>
      </c>
      <c r="S237" s="1965" t="e">
        <f t="shared" si="51"/>
        <v>#DIV/0!</v>
      </c>
      <c r="T237" s="1965" t="e">
        <f t="shared" ref="T237:V238" si="52">(T232/S232)*100-100</f>
        <v>#DIV/0!</v>
      </c>
      <c r="U237" s="1965" t="e">
        <f t="shared" si="52"/>
        <v>#DIV/0!</v>
      </c>
      <c r="V237" s="1965" t="e">
        <f t="shared" si="52"/>
        <v>#DIV/0!</v>
      </c>
      <c r="W237" s="395"/>
    </row>
    <row r="238" spans="1:42">
      <c r="A238" s="395" t="s">
        <v>994</v>
      </c>
      <c r="I238" s="1965">
        <f t="shared" ref="I238:S238" si="53">(I233/H233)*100-100</f>
        <v>6.9409047596430469</v>
      </c>
      <c r="J238" s="1965">
        <f t="shared" si="53"/>
        <v>1.7086453244039603</v>
      </c>
      <c r="K238" s="1965">
        <f t="shared" si="53"/>
        <v>18.595633570729689</v>
      </c>
      <c r="L238" s="1965">
        <f t="shared" si="53"/>
        <v>-7.6433261594045945</v>
      </c>
      <c r="M238" s="1965">
        <f t="shared" si="53"/>
        <v>-2.5882571728176771</v>
      </c>
      <c r="N238" s="1965">
        <f t="shared" si="53"/>
        <v>-4.4724478452043712</v>
      </c>
      <c r="O238" s="1965">
        <f t="shared" si="53"/>
        <v>15.326280332256744</v>
      </c>
      <c r="P238" s="1965">
        <f t="shared" si="53"/>
        <v>-11.749732073743729</v>
      </c>
      <c r="Q238" s="1965">
        <f t="shared" si="53"/>
        <v>6.3242241787858404</v>
      </c>
      <c r="R238" s="1965">
        <f t="shared" si="53"/>
        <v>6.0077249125669567</v>
      </c>
      <c r="S238" s="1965">
        <f t="shared" si="53"/>
        <v>53.95040514489412</v>
      </c>
      <c r="T238" s="1965">
        <f t="shared" si="52"/>
        <v>-14.928067160832271</v>
      </c>
      <c r="U238" s="1965">
        <f t="shared" si="52"/>
        <v>20.740079209944938</v>
      </c>
      <c r="V238" s="1965">
        <f t="shared" si="52"/>
        <v>-14.86453926108247</v>
      </c>
      <c r="W238" s="395"/>
    </row>
    <row r="239" spans="1:42">
      <c r="A239" s="395" t="s">
        <v>995</v>
      </c>
      <c r="I239" s="1965" t="e">
        <f t="shared" ref="I239:S239" si="54">(I235/H235)*100-100</f>
        <v>#DIV/0!</v>
      </c>
      <c r="J239" s="1965">
        <f t="shared" si="54"/>
        <v>250.43376642777542</v>
      </c>
      <c r="K239" s="1965">
        <f t="shared" si="54"/>
        <v>20.678045974944894</v>
      </c>
      <c r="L239" s="1965">
        <f t="shared" si="54"/>
        <v>22.239446824363611</v>
      </c>
      <c r="M239" s="1965">
        <f t="shared" si="54"/>
        <v>10.393030928562837</v>
      </c>
      <c r="N239" s="1965">
        <f t="shared" si="54"/>
        <v>-5.7247933438143974</v>
      </c>
      <c r="O239" s="1965">
        <f t="shared" si="54"/>
        <v>7.504414412267721</v>
      </c>
      <c r="P239" s="1965">
        <f t="shared" si="54"/>
        <v>1.4773581866533334</v>
      </c>
      <c r="Q239" s="1965">
        <f t="shared" si="54"/>
        <v>13.002213042878481</v>
      </c>
      <c r="R239" s="1965">
        <f t="shared" si="54"/>
        <v>87.775616991433139</v>
      </c>
      <c r="S239" s="1965">
        <f t="shared" si="54"/>
        <v>10.703809688002679</v>
      </c>
      <c r="T239" s="1965">
        <f>(T235/S235)*100-100</f>
        <v>0.11525481697869111</v>
      </c>
      <c r="U239" s="1965">
        <f>(U235/T235)*100-100</f>
        <v>-35.194402248985597</v>
      </c>
      <c r="V239" s="1965">
        <f>(V235/U235)*100-100</f>
        <v>16.624313280087264</v>
      </c>
      <c r="W239" s="395"/>
    </row>
    <row r="241" spans="1:34">
      <c r="A241" s="1569" t="s">
        <v>2108</v>
      </c>
      <c r="B241" s="1569"/>
      <c r="C241" s="1569"/>
      <c r="D241" s="1569"/>
      <c r="E241" s="1569"/>
      <c r="F241" s="1569"/>
      <c r="G241" s="1569"/>
      <c r="H241" s="395"/>
      <c r="I241" s="395"/>
      <c r="J241" s="395"/>
      <c r="K241" s="395"/>
      <c r="L241" s="395"/>
      <c r="T241" s="395"/>
      <c r="U241" s="395"/>
      <c r="V241" s="395"/>
      <c r="AF241" s="395"/>
      <c r="AG241" s="395"/>
      <c r="AH241" s="395"/>
    </row>
    <row r="242" spans="1:34">
      <c r="A242" s="1633"/>
      <c r="B242" s="1633"/>
      <c r="C242" s="1633"/>
      <c r="D242" s="1633"/>
      <c r="E242" s="1633"/>
      <c r="F242" s="1633"/>
      <c r="G242" s="1633"/>
      <c r="H242" s="395"/>
      <c r="I242" s="395"/>
      <c r="J242" s="395"/>
      <c r="K242" s="395"/>
      <c r="L242" s="395"/>
      <c r="T242" s="395"/>
      <c r="U242" s="395"/>
      <c r="V242" s="395"/>
      <c r="AF242" s="395"/>
      <c r="AG242" s="395"/>
      <c r="AH242" s="395"/>
    </row>
    <row r="243" spans="1:34">
      <c r="A243" s="1989" t="s">
        <v>623</v>
      </c>
      <c r="B243" s="1991"/>
      <c r="C243" s="1991"/>
      <c r="D243" s="1991"/>
      <c r="E243" s="1991"/>
      <c r="F243" s="1991"/>
      <c r="G243" s="1991"/>
      <c r="H243" s="1991" t="s">
        <v>1002</v>
      </c>
      <c r="I243" s="1991"/>
      <c r="J243" s="1991"/>
      <c r="K243" s="1991"/>
      <c r="L243" s="1991"/>
      <c r="M243" s="1990">
        <v>2007</v>
      </c>
      <c r="N243" s="1990">
        <v>2008</v>
      </c>
      <c r="O243" s="1991">
        <v>2009</v>
      </c>
      <c r="P243" s="1991">
        <v>2010</v>
      </c>
      <c r="Q243" s="1991">
        <v>2011</v>
      </c>
      <c r="R243" s="1991">
        <v>2012</v>
      </c>
      <c r="S243" s="1991">
        <v>2013</v>
      </c>
      <c r="T243" s="1991">
        <v>2014</v>
      </c>
      <c r="U243" s="1991">
        <v>2015</v>
      </c>
      <c r="V243" s="1991">
        <v>2016</v>
      </c>
      <c r="W243" s="1991">
        <v>2017</v>
      </c>
      <c r="X243" s="1991">
        <v>2018</v>
      </c>
      <c r="Y243" s="1991">
        <v>2019</v>
      </c>
      <c r="Z243" s="1991">
        <v>2020</v>
      </c>
      <c r="AA243" s="1991">
        <v>2021</v>
      </c>
      <c r="AB243" s="1992">
        <v>2022</v>
      </c>
      <c r="AC243" s="380"/>
      <c r="AD243" s="1973"/>
      <c r="AE243" s="1973"/>
      <c r="AF243" s="1633"/>
      <c r="AG243" s="1633"/>
      <c r="AH243" s="1633"/>
    </row>
    <row r="244" spans="1:34">
      <c r="A244" s="1984" t="s">
        <v>1003</v>
      </c>
      <c r="B244" s="1985"/>
      <c r="C244" s="1985"/>
      <c r="D244" s="1985"/>
      <c r="E244" s="1985"/>
      <c r="F244" s="1985"/>
      <c r="G244" s="1985"/>
      <c r="H244" s="1986"/>
      <c r="I244" s="1986"/>
      <c r="J244" s="1986"/>
      <c r="K244" s="1986"/>
      <c r="L244" s="1986"/>
      <c r="M244" s="1987"/>
      <c r="N244" s="1987"/>
      <c r="O244" s="1987"/>
      <c r="P244" s="1986"/>
      <c r="Q244" s="1986"/>
      <c r="R244" s="1986"/>
      <c r="S244" s="1986"/>
      <c r="T244" s="1986"/>
      <c r="U244" s="1987"/>
      <c r="V244" s="1987"/>
      <c r="W244" s="1987"/>
      <c r="X244" s="1987"/>
      <c r="Y244" s="1987"/>
      <c r="Z244" s="1987"/>
      <c r="AA244" s="1987"/>
      <c r="AB244" s="1988"/>
      <c r="AF244" s="395"/>
      <c r="AG244" s="395"/>
      <c r="AH244" s="395"/>
    </row>
    <row r="245" spans="1:34">
      <c r="A245" s="2048" t="s">
        <v>1004</v>
      </c>
      <c r="B245" s="1999"/>
      <c r="C245" s="1999"/>
      <c r="D245" s="1999"/>
      <c r="E245" s="1999"/>
      <c r="F245" s="1999"/>
      <c r="G245" s="1999"/>
      <c r="H245" s="397"/>
      <c r="I245" s="397"/>
      <c r="J245" s="397"/>
      <c r="K245" s="397"/>
      <c r="L245" s="1996"/>
      <c r="M245" s="1487"/>
      <c r="N245" s="1487"/>
      <c r="O245" s="1487"/>
      <c r="P245" s="397"/>
      <c r="Q245" s="397"/>
      <c r="R245" s="397"/>
      <c r="S245" s="397"/>
      <c r="T245" s="1487"/>
      <c r="U245" s="1487"/>
      <c r="V245" s="1487"/>
      <c r="W245" s="1487"/>
      <c r="X245" s="1487"/>
      <c r="Y245" s="1487"/>
      <c r="Z245" s="1487"/>
      <c r="AA245" s="1487"/>
      <c r="AB245" s="1489"/>
      <c r="AF245" s="395"/>
      <c r="AG245" s="395"/>
      <c r="AH245" s="395"/>
    </row>
    <row r="246" spans="1:34">
      <c r="A246" s="1997" t="s">
        <v>2109</v>
      </c>
      <c r="B246" s="583"/>
      <c r="C246" s="583"/>
      <c r="D246" s="583"/>
      <c r="E246" s="583"/>
      <c r="F246" s="583"/>
      <c r="G246" s="583"/>
      <c r="H246" s="397" t="s">
        <v>1051</v>
      </c>
      <c r="I246" s="397"/>
      <c r="J246" s="397"/>
      <c r="K246" s="397"/>
      <c r="L246" s="1998"/>
      <c r="M246" s="1487">
        <v>33174.33</v>
      </c>
      <c r="N246" s="1487">
        <v>38862.519999999997</v>
      </c>
      <c r="O246" s="1487">
        <v>44572.45</v>
      </c>
      <c r="P246" s="1487">
        <v>44168.13</v>
      </c>
      <c r="Q246" s="1487">
        <v>43177.71</v>
      </c>
      <c r="R246" s="1487">
        <v>22505.85</v>
      </c>
      <c r="S246" s="1487">
        <v>21798.27</v>
      </c>
      <c r="T246" s="1487"/>
      <c r="U246" s="1487"/>
      <c r="V246" s="1487"/>
      <c r="W246" s="1487"/>
      <c r="X246" s="1487"/>
      <c r="Y246" s="1487"/>
      <c r="Z246" s="1487"/>
      <c r="AA246" s="1487"/>
      <c r="AB246" s="1489"/>
      <c r="AF246" s="395"/>
      <c r="AG246" s="395"/>
      <c r="AH246" s="395"/>
    </row>
    <row r="247" spans="1:34">
      <c r="A247" s="1997" t="s">
        <v>2110</v>
      </c>
      <c r="B247" s="583"/>
      <c r="C247" s="583"/>
      <c r="D247" s="583"/>
      <c r="E247" s="583"/>
      <c r="F247" s="583"/>
      <c r="G247" s="583"/>
      <c r="H247" s="397" t="s">
        <v>1012</v>
      </c>
      <c r="I247" s="397"/>
      <c r="J247" s="397"/>
      <c r="K247" s="397"/>
      <c r="L247" s="1998"/>
      <c r="M247" s="1487">
        <v>35738.449999999997</v>
      </c>
      <c r="N247" s="1487">
        <v>30601.38</v>
      </c>
      <c r="O247" s="1487">
        <v>28774.41</v>
      </c>
      <c r="P247" s="1487">
        <v>42679.23</v>
      </c>
      <c r="Q247" s="1487">
        <v>53088.03</v>
      </c>
      <c r="R247" s="1487">
        <v>71472.539999999994</v>
      </c>
      <c r="S247" s="1487">
        <v>77829.64</v>
      </c>
      <c r="T247" s="1487"/>
      <c r="U247" s="1487"/>
      <c r="V247" s="1487"/>
      <c r="W247" s="1487"/>
      <c r="X247" s="1487"/>
      <c r="Y247" s="1487"/>
      <c r="Z247" s="1487"/>
      <c r="AA247" s="1487"/>
      <c r="AB247" s="1489"/>
      <c r="AF247" s="395"/>
      <c r="AG247" s="395"/>
      <c r="AH247" s="395"/>
    </row>
    <row r="248" spans="1:34">
      <c r="A248" s="1997" t="s">
        <v>2111</v>
      </c>
      <c r="B248" s="583"/>
      <c r="C248" s="583"/>
      <c r="D248" s="583"/>
      <c r="E248" s="583"/>
      <c r="F248" s="583"/>
      <c r="G248" s="583"/>
      <c r="H248" s="397" t="s">
        <v>1012</v>
      </c>
      <c r="I248" s="397"/>
      <c r="J248" s="397"/>
      <c r="K248" s="397"/>
      <c r="L248" s="1998"/>
      <c r="M248" s="1487"/>
      <c r="N248" s="1487"/>
      <c r="O248" s="1487"/>
      <c r="P248" s="1487"/>
      <c r="Q248" s="1487"/>
      <c r="R248" s="1487"/>
      <c r="S248" s="1487"/>
      <c r="T248" s="1487">
        <v>34376.660000000003</v>
      </c>
      <c r="U248" s="1487">
        <v>27071.69</v>
      </c>
      <c r="V248" s="1487"/>
      <c r="W248" s="1487"/>
      <c r="X248" s="1487"/>
      <c r="Y248" s="1487"/>
      <c r="Z248" s="1487"/>
      <c r="AA248" s="1487"/>
      <c r="AB248" s="1489"/>
      <c r="AF248" s="395"/>
      <c r="AG248" s="395"/>
      <c r="AH248" s="395"/>
    </row>
    <row r="249" spans="1:34">
      <c r="A249" s="1997" t="s">
        <v>2112</v>
      </c>
      <c r="B249" s="583"/>
      <c r="C249" s="583"/>
      <c r="D249" s="583"/>
      <c r="E249" s="583"/>
      <c r="F249" s="583"/>
      <c r="G249" s="583"/>
      <c r="H249" s="397" t="s">
        <v>1054</v>
      </c>
      <c r="I249" s="397"/>
      <c r="J249" s="397"/>
      <c r="K249" s="397"/>
      <c r="L249" s="1998"/>
      <c r="M249" s="1487">
        <v>1764.78</v>
      </c>
      <c r="N249" s="1487">
        <v>2063.09</v>
      </c>
      <c r="O249" s="1487">
        <v>2429.9699999999998</v>
      </c>
      <c r="P249" s="1487">
        <v>5815.1</v>
      </c>
      <c r="Q249" s="1487">
        <v>2704.03</v>
      </c>
      <c r="R249" s="1487">
        <v>1127.97</v>
      </c>
      <c r="S249" s="1487">
        <v>1239.27</v>
      </c>
      <c r="T249" s="1487"/>
      <c r="U249" s="1487"/>
      <c r="V249" s="1487"/>
      <c r="W249" s="1487"/>
      <c r="X249" s="1487"/>
      <c r="Y249" s="1487"/>
      <c r="Z249" s="1487"/>
      <c r="AA249" s="1487"/>
      <c r="AB249" s="1489"/>
      <c r="AF249" s="395"/>
      <c r="AG249" s="395"/>
      <c r="AH249" s="395"/>
    </row>
    <row r="250" spans="1:34">
      <c r="A250" s="1997" t="s">
        <v>2113</v>
      </c>
      <c r="B250" s="583"/>
      <c r="C250" s="583"/>
      <c r="D250" s="583"/>
      <c r="E250" s="583"/>
      <c r="F250" s="583"/>
      <c r="G250" s="583"/>
      <c r="H250" s="397" t="s">
        <v>1014</v>
      </c>
      <c r="I250" s="397"/>
      <c r="J250" s="397"/>
      <c r="K250" s="397"/>
      <c r="L250" s="1998"/>
      <c r="M250" s="1487">
        <v>1836.7</v>
      </c>
      <c r="N250" s="1487">
        <v>2855.53</v>
      </c>
      <c r="O250" s="1487">
        <v>1295.6300000000001</v>
      </c>
      <c r="P250" s="1487">
        <v>0</v>
      </c>
      <c r="Q250" s="1487">
        <v>4279.55</v>
      </c>
      <c r="R250" s="1487">
        <v>4635.2</v>
      </c>
      <c r="S250" s="1487">
        <v>7633.75</v>
      </c>
      <c r="T250" s="1487"/>
      <c r="U250" s="1487"/>
      <c r="V250" s="1487"/>
      <c r="W250" s="1487"/>
      <c r="X250" s="1487"/>
      <c r="Y250" s="1487"/>
      <c r="Z250" s="1487"/>
      <c r="AA250" s="1487"/>
      <c r="AB250" s="1489"/>
      <c r="AF250" s="395"/>
      <c r="AG250" s="395"/>
      <c r="AH250" s="395"/>
    </row>
    <row r="251" spans="1:34">
      <c r="A251" s="1997" t="s">
        <v>2114</v>
      </c>
      <c r="B251" s="583"/>
      <c r="C251" s="583"/>
      <c r="D251" s="583"/>
      <c r="E251" s="583"/>
      <c r="F251" s="583"/>
      <c r="G251" s="583"/>
      <c r="H251" s="397" t="s">
        <v>1265</v>
      </c>
      <c r="I251" s="397"/>
      <c r="J251" s="397"/>
      <c r="K251" s="397"/>
      <c r="L251" s="1998"/>
      <c r="M251" s="1487"/>
      <c r="N251" s="1487"/>
      <c r="O251" s="1487"/>
      <c r="P251" s="1487"/>
      <c r="Q251" s="1487"/>
      <c r="R251" s="1487"/>
      <c r="S251" s="1487"/>
      <c r="T251" s="1487">
        <v>4602.74</v>
      </c>
      <c r="U251" s="1487">
        <v>2067.4</v>
      </c>
      <c r="V251" s="1487">
        <v>507.18</v>
      </c>
      <c r="W251" s="1487"/>
      <c r="X251" s="1487"/>
      <c r="Y251" s="1487"/>
      <c r="Z251" s="1487"/>
      <c r="AA251" s="1487"/>
      <c r="AB251" s="1489"/>
      <c r="AF251" s="395"/>
      <c r="AG251" s="395"/>
      <c r="AH251" s="395"/>
    </row>
    <row r="252" spans="1:34">
      <c r="A252" s="1997" t="s">
        <v>2115</v>
      </c>
      <c r="B252" s="583"/>
      <c r="C252" s="583"/>
      <c r="D252" s="583"/>
      <c r="E252" s="583"/>
      <c r="F252" s="583"/>
      <c r="G252" s="583"/>
      <c r="H252" s="397" t="s">
        <v>1016</v>
      </c>
      <c r="I252" s="397"/>
      <c r="J252" s="397"/>
      <c r="K252" s="397"/>
      <c r="L252" s="1998"/>
      <c r="M252" s="1487"/>
      <c r="N252" s="1487"/>
      <c r="O252" s="1487"/>
      <c r="P252" s="1487"/>
      <c r="Q252" s="1487"/>
      <c r="R252" s="1487"/>
      <c r="S252" s="1487"/>
      <c r="T252" s="1487">
        <v>3096.76</v>
      </c>
      <c r="U252" s="1487">
        <v>2136.5700000000002</v>
      </c>
      <c r="V252" s="1487"/>
      <c r="W252" s="1487"/>
      <c r="X252" s="1487"/>
      <c r="Y252" s="1487"/>
      <c r="Z252" s="1487"/>
      <c r="AA252" s="1487"/>
      <c r="AB252" s="1489"/>
      <c r="AF252" s="395"/>
      <c r="AG252" s="395"/>
      <c r="AH252" s="395"/>
    </row>
    <row r="253" spans="1:34">
      <c r="A253" s="1997" t="s">
        <v>2116</v>
      </c>
      <c r="B253" s="583"/>
      <c r="C253" s="583"/>
      <c r="D253" s="583"/>
      <c r="E253" s="583"/>
      <c r="F253" s="583"/>
      <c r="G253" s="583"/>
      <c r="H253" s="397" t="s">
        <v>1047</v>
      </c>
      <c r="I253" s="397"/>
      <c r="J253" s="397"/>
      <c r="K253" s="397"/>
      <c r="L253" s="1998"/>
      <c r="M253" s="1487">
        <v>1836.4</v>
      </c>
      <c r="N253" s="1487">
        <v>1850.4</v>
      </c>
      <c r="O253" s="1487">
        <v>1985</v>
      </c>
      <c r="P253" s="1487">
        <v>2910</v>
      </c>
      <c r="Q253" s="1487">
        <v>2695</v>
      </c>
      <c r="R253" s="1487">
        <v>3173.5</v>
      </c>
      <c r="S253" s="1487">
        <v>2926</v>
      </c>
      <c r="T253" s="1487"/>
      <c r="U253" s="1487"/>
      <c r="V253" s="1487"/>
      <c r="W253" s="1487"/>
      <c r="X253" s="1487"/>
      <c r="Y253" s="1487"/>
      <c r="Z253" s="1487"/>
      <c r="AA253" s="1487"/>
      <c r="AB253" s="1489"/>
      <c r="AF253" s="395"/>
      <c r="AG253" s="395"/>
      <c r="AH253" s="395"/>
    </row>
    <row r="254" spans="1:34">
      <c r="A254" s="1997" t="s">
        <v>2117</v>
      </c>
      <c r="B254" s="583"/>
      <c r="C254" s="583"/>
      <c r="D254" s="583"/>
      <c r="E254" s="583"/>
      <c r="F254" s="583"/>
      <c r="G254" s="583"/>
      <c r="H254" s="397" t="s">
        <v>1058</v>
      </c>
      <c r="I254" s="397"/>
      <c r="J254" s="397"/>
      <c r="K254" s="397"/>
      <c r="L254" s="1998"/>
      <c r="M254" s="1487">
        <v>9513.6299999999992</v>
      </c>
      <c r="N254" s="1487">
        <v>13582.36</v>
      </c>
      <c r="O254" s="1487">
        <v>15685.75</v>
      </c>
      <c r="P254" s="1487">
        <v>13234.62</v>
      </c>
      <c r="Q254" s="1487">
        <v>6618.17</v>
      </c>
      <c r="R254" s="1487">
        <v>9050.92</v>
      </c>
      <c r="S254" s="1487">
        <v>5821.35</v>
      </c>
      <c r="T254" s="1487"/>
      <c r="U254" s="1487"/>
      <c r="V254" s="1487"/>
      <c r="W254" s="1487"/>
      <c r="X254" s="1487"/>
      <c r="Y254" s="1487"/>
      <c r="Z254" s="1487"/>
      <c r="AA254" s="1487"/>
      <c r="AB254" s="1489"/>
      <c r="AF254" s="395"/>
      <c r="AG254" s="395"/>
      <c r="AH254" s="395"/>
    </row>
    <row r="255" spans="1:34">
      <c r="A255" s="1997" t="s">
        <v>2118</v>
      </c>
      <c r="B255" s="583"/>
      <c r="C255" s="583"/>
      <c r="D255" s="583"/>
      <c r="E255" s="583"/>
      <c r="F255" s="583"/>
      <c r="G255" s="583"/>
      <c r="H255" s="397" t="s">
        <v>1276</v>
      </c>
      <c r="I255" s="397"/>
      <c r="J255" s="397"/>
      <c r="K255" s="397"/>
      <c r="L255" s="1998"/>
      <c r="M255" s="1487"/>
      <c r="N255" s="1487"/>
      <c r="O255" s="1487"/>
      <c r="P255" s="1487"/>
      <c r="Q255" s="1487"/>
      <c r="R255" s="1487"/>
      <c r="S255" s="1487"/>
      <c r="T255" s="1487">
        <v>1945.5</v>
      </c>
      <c r="U255" s="1487">
        <v>8994.73</v>
      </c>
      <c r="V255" s="1487"/>
      <c r="W255" s="1487"/>
      <c r="X255" s="1487"/>
      <c r="Y255" s="1487"/>
      <c r="Z255" s="1487"/>
      <c r="AA255" s="1487"/>
      <c r="AB255" s="1489"/>
      <c r="AF255" s="395"/>
      <c r="AG255" s="395"/>
      <c r="AH255" s="395"/>
    </row>
    <row r="256" spans="1:34">
      <c r="A256" s="1997" t="s">
        <v>2119</v>
      </c>
      <c r="B256" s="583"/>
      <c r="C256" s="583"/>
      <c r="D256" s="583"/>
      <c r="E256" s="583"/>
      <c r="F256" s="583"/>
      <c r="G256" s="583"/>
      <c r="H256" s="397" t="s">
        <v>1438</v>
      </c>
      <c r="I256" s="397"/>
      <c r="J256" s="397"/>
      <c r="K256" s="397"/>
      <c r="L256" s="1998"/>
      <c r="M256" s="1487"/>
      <c r="N256" s="1487"/>
      <c r="O256" s="1487"/>
      <c r="P256" s="1487"/>
      <c r="Q256" s="1487"/>
      <c r="R256" s="1487"/>
      <c r="S256" s="1487"/>
      <c r="T256" s="1487">
        <v>1324.96</v>
      </c>
      <c r="U256" s="1487">
        <v>338.69</v>
      </c>
      <c r="V256" s="1487"/>
      <c r="W256" s="1487"/>
      <c r="X256" s="1487"/>
      <c r="Y256" s="1487"/>
      <c r="Z256" s="1487"/>
      <c r="AA256" s="1487"/>
      <c r="AB256" s="1489"/>
      <c r="AF256" s="395"/>
      <c r="AG256" s="395"/>
      <c r="AH256" s="395"/>
    </row>
    <row r="257" spans="1:34">
      <c r="A257" s="1997" t="s">
        <v>2120</v>
      </c>
      <c r="B257" s="583"/>
      <c r="C257" s="583"/>
      <c r="D257" s="583"/>
      <c r="E257" s="583"/>
      <c r="F257" s="583"/>
      <c r="G257" s="583"/>
      <c r="H257" s="397" t="s">
        <v>1030</v>
      </c>
      <c r="I257" s="397"/>
      <c r="J257" s="397"/>
      <c r="K257" s="397"/>
      <c r="L257" s="1998"/>
      <c r="M257" s="1487">
        <v>3145.63</v>
      </c>
      <c r="N257" s="1487">
        <v>684.91</v>
      </c>
      <c r="O257" s="1487">
        <v>1552.29</v>
      </c>
      <c r="P257" s="1487">
        <v>2232.91</v>
      </c>
      <c r="Q257" s="1487">
        <v>5765.57</v>
      </c>
      <c r="R257" s="1487">
        <v>4001.38</v>
      </c>
      <c r="S257" s="1487">
        <v>6533.06</v>
      </c>
      <c r="T257" s="1487"/>
      <c r="U257" s="1487"/>
      <c r="V257" s="1487"/>
      <c r="W257" s="1487"/>
      <c r="X257" s="1487"/>
      <c r="Y257" s="1487"/>
      <c r="Z257" s="1487"/>
      <c r="AA257" s="1487"/>
      <c r="AB257" s="1489"/>
      <c r="AF257" s="395"/>
      <c r="AG257" s="395"/>
      <c r="AH257" s="395"/>
    </row>
    <row r="258" spans="1:34">
      <c r="A258" s="1997" t="s">
        <v>2121</v>
      </c>
      <c r="B258" s="583"/>
      <c r="C258" s="583"/>
      <c r="D258" s="583"/>
      <c r="E258" s="583"/>
      <c r="F258" s="583"/>
      <c r="G258" s="583"/>
      <c r="H258" s="397" t="s">
        <v>2122</v>
      </c>
      <c r="I258" s="397"/>
      <c r="J258" s="397"/>
      <c r="K258" s="397"/>
      <c r="L258" s="1998"/>
      <c r="M258" s="1487">
        <v>0</v>
      </c>
      <c r="N258" s="1487">
        <v>0</v>
      </c>
      <c r="O258" s="1487">
        <v>0</v>
      </c>
      <c r="P258" s="1487">
        <v>0</v>
      </c>
      <c r="Q258" s="1487">
        <v>3594.74</v>
      </c>
      <c r="R258" s="1487">
        <v>1692.26</v>
      </c>
      <c r="S258" s="1487">
        <v>0</v>
      </c>
      <c r="T258" s="1487"/>
      <c r="U258" s="1487"/>
      <c r="V258" s="1487"/>
      <c r="W258" s="1487"/>
      <c r="X258" s="1487"/>
      <c r="Y258" s="1487"/>
      <c r="Z258" s="1487"/>
      <c r="AA258" s="1487"/>
      <c r="AB258" s="1489"/>
      <c r="AF258" s="395"/>
      <c r="AG258" s="395"/>
      <c r="AH258" s="395"/>
    </row>
    <row r="259" spans="1:34">
      <c r="A259" s="1997" t="s">
        <v>2123</v>
      </c>
      <c r="B259" s="583"/>
      <c r="C259" s="583"/>
      <c r="D259" s="583"/>
      <c r="E259" s="583"/>
      <c r="F259" s="583"/>
      <c r="G259" s="583"/>
      <c r="H259" s="397" t="s">
        <v>1310</v>
      </c>
      <c r="I259" s="397"/>
      <c r="J259" s="397"/>
      <c r="K259" s="397"/>
      <c r="L259" s="1998"/>
      <c r="M259" s="1487"/>
      <c r="N259" s="1487"/>
      <c r="O259" s="1487"/>
      <c r="P259" s="1487"/>
      <c r="Q259" s="1487"/>
      <c r="R259" s="1487"/>
      <c r="S259" s="1487">
        <v>264.5</v>
      </c>
      <c r="T259" s="1487"/>
      <c r="U259" s="1487"/>
      <c r="V259" s="1487"/>
      <c r="W259" s="1487"/>
      <c r="X259" s="1487"/>
      <c r="Y259" s="1487"/>
      <c r="Z259" s="1487"/>
      <c r="AA259" s="1487"/>
      <c r="AB259" s="1489"/>
      <c r="AF259" s="395"/>
      <c r="AG259" s="395"/>
      <c r="AH259" s="395"/>
    </row>
    <row r="260" spans="1:34">
      <c r="A260" s="1997" t="s">
        <v>2124</v>
      </c>
      <c r="B260" s="583"/>
      <c r="C260" s="583"/>
      <c r="D260" s="583"/>
      <c r="E260" s="583"/>
      <c r="F260" s="583"/>
      <c r="G260" s="583"/>
      <c r="H260" s="397" t="s">
        <v>1067</v>
      </c>
      <c r="I260" s="397"/>
      <c r="J260" s="397"/>
      <c r="K260" s="397"/>
      <c r="L260" s="1998"/>
      <c r="M260" s="1487">
        <v>1713.45</v>
      </c>
      <c r="N260" s="1487">
        <v>1995.1</v>
      </c>
      <c r="O260" s="1487">
        <v>1916.72</v>
      </c>
      <c r="P260" s="1487">
        <v>2196.81</v>
      </c>
      <c r="Q260" s="1487">
        <v>2466.56</v>
      </c>
      <c r="R260" s="1487">
        <v>200</v>
      </c>
      <c r="S260" s="1487">
        <v>0</v>
      </c>
      <c r="T260" s="1487"/>
      <c r="U260" s="1487"/>
      <c r="V260" s="1487"/>
      <c r="W260" s="1487"/>
      <c r="X260" s="1487"/>
      <c r="Y260" s="1487"/>
      <c r="Z260" s="1487"/>
      <c r="AA260" s="1487"/>
      <c r="AB260" s="1489"/>
      <c r="AF260" s="395"/>
      <c r="AG260" s="395"/>
      <c r="AH260" s="395"/>
    </row>
    <row r="261" spans="1:34">
      <c r="A261" s="1997" t="s">
        <v>2125</v>
      </c>
      <c r="B261" s="583"/>
      <c r="C261" s="583"/>
      <c r="D261" s="583"/>
      <c r="E261" s="583"/>
      <c r="F261" s="583"/>
      <c r="G261" s="583"/>
      <c r="H261" s="397" t="s">
        <v>1069</v>
      </c>
      <c r="I261" s="397"/>
      <c r="J261" s="397"/>
      <c r="K261" s="397"/>
      <c r="L261" s="2002"/>
      <c r="M261" s="1487">
        <v>100.71</v>
      </c>
      <c r="N261" s="1487">
        <v>140.16999999999999</v>
      </c>
      <c r="O261" s="1487">
        <v>104.66</v>
      </c>
      <c r="P261" s="1487">
        <v>121.7</v>
      </c>
      <c r="Q261" s="1487">
        <v>142.94999999999999</v>
      </c>
      <c r="R261" s="1487">
        <v>145.83000000000001</v>
      </c>
      <c r="S261" s="1487">
        <v>129.94</v>
      </c>
      <c r="T261" s="1487"/>
      <c r="U261" s="1487"/>
      <c r="V261" s="1487"/>
      <c r="W261" s="1487"/>
      <c r="X261" s="1487"/>
      <c r="Y261" s="1487"/>
      <c r="Z261" s="1487"/>
      <c r="AA261" s="1487"/>
      <c r="AB261" s="1489"/>
      <c r="AF261" s="395"/>
      <c r="AG261" s="395"/>
      <c r="AH261" s="395"/>
    </row>
    <row r="262" spans="1:34">
      <c r="A262" s="2004" t="s">
        <v>1083</v>
      </c>
      <c r="B262" s="2047"/>
      <c r="C262" s="2047"/>
      <c r="D262" s="2047"/>
      <c r="E262" s="2047"/>
      <c r="F262" s="2047"/>
      <c r="G262" s="2047"/>
      <c r="H262" s="2006"/>
      <c r="I262" s="2006"/>
      <c r="J262" s="2006"/>
      <c r="K262" s="2006"/>
      <c r="L262" s="2006"/>
      <c r="M262" s="2005">
        <f t="shared" ref="M262:X262" si="55">SUM(M246:M261)</f>
        <v>88824.08</v>
      </c>
      <c r="N262" s="2005">
        <f t="shared" si="55"/>
        <v>92635.459999999992</v>
      </c>
      <c r="O262" s="2005">
        <f t="shared" si="55"/>
        <v>98316.88</v>
      </c>
      <c r="P262" s="2005">
        <f t="shared" si="55"/>
        <v>113358.5</v>
      </c>
      <c r="Q262" s="2005">
        <f t="shared" si="55"/>
        <v>124532.31</v>
      </c>
      <c r="R262" s="2005">
        <f t="shared" si="55"/>
        <v>118005.44999999998</v>
      </c>
      <c r="S262" s="2005">
        <f t="shared" si="55"/>
        <v>124175.78000000001</v>
      </c>
      <c r="T262" s="2005">
        <f t="shared" si="55"/>
        <v>45346.62</v>
      </c>
      <c r="U262" s="2005">
        <f t="shared" si="55"/>
        <v>40609.08</v>
      </c>
      <c r="V262" s="2005">
        <f t="shared" si="55"/>
        <v>507.18</v>
      </c>
      <c r="W262" s="2005">
        <f t="shared" si="55"/>
        <v>0</v>
      </c>
      <c r="X262" s="2005">
        <f t="shared" si="55"/>
        <v>0</v>
      </c>
      <c r="Y262" s="2006"/>
      <c r="Z262" s="2006"/>
      <c r="AA262" s="2006"/>
      <c r="AB262" s="2007"/>
      <c r="AF262" s="395"/>
      <c r="AG262" s="395"/>
      <c r="AH262" s="395"/>
    </row>
    <row r="263" spans="1:34">
      <c r="A263" s="2048" t="s">
        <v>990</v>
      </c>
      <c r="B263" s="1999"/>
      <c r="C263" s="1999"/>
      <c r="D263" s="1999"/>
      <c r="E263" s="1999"/>
      <c r="F263" s="1999"/>
      <c r="G263" s="1999"/>
      <c r="H263" s="397"/>
      <c r="I263" s="397"/>
      <c r="J263" s="397"/>
      <c r="K263" s="397"/>
      <c r="L263" s="1996"/>
      <c r="M263" s="1487"/>
      <c r="N263" s="1487"/>
      <c r="O263" s="1487"/>
      <c r="P263" s="397"/>
      <c r="Q263" s="397"/>
      <c r="R263" s="397"/>
      <c r="S263" s="397"/>
      <c r="T263" s="397"/>
      <c r="U263" s="1487"/>
      <c r="V263" s="1487"/>
      <c r="W263" s="1487"/>
      <c r="X263" s="1487"/>
      <c r="Y263" s="1487"/>
      <c r="Z263" s="1487"/>
      <c r="AA263" s="1487"/>
      <c r="AB263" s="2017"/>
      <c r="AF263" s="395"/>
      <c r="AG263" s="395"/>
      <c r="AH263" s="395"/>
    </row>
    <row r="264" spans="1:34">
      <c r="A264" s="1997" t="s">
        <v>2126</v>
      </c>
      <c r="B264" s="583"/>
      <c r="C264" s="583"/>
      <c r="D264" s="583"/>
      <c r="E264" s="583"/>
      <c r="F264" s="583"/>
      <c r="G264" s="583"/>
      <c r="H264" s="397" t="s">
        <v>1147</v>
      </c>
      <c r="I264" s="397"/>
      <c r="J264" s="397"/>
      <c r="K264" s="397"/>
      <c r="L264" s="1998"/>
      <c r="M264" s="1487">
        <v>14514.56</v>
      </c>
      <c r="N264" s="1487">
        <v>14752.56</v>
      </c>
      <c r="O264" s="1487">
        <v>13984.79</v>
      </c>
      <c r="P264" s="1487">
        <v>14396.9</v>
      </c>
      <c r="Q264" s="1487">
        <v>11835.71</v>
      </c>
      <c r="R264" s="1487">
        <v>17180.62</v>
      </c>
      <c r="S264" s="1487">
        <v>19395.919999999998</v>
      </c>
      <c r="T264" s="1487"/>
      <c r="U264" s="1487"/>
      <c r="V264" s="1487"/>
      <c r="W264" s="1487"/>
      <c r="X264" s="1487"/>
      <c r="Y264" s="1487"/>
      <c r="Z264" s="1487"/>
      <c r="AA264" s="1487"/>
      <c r="AB264" s="1489"/>
      <c r="AF264" s="395"/>
      <c r="AG264" s="395"/>
      <c r="AH264" s="395"/>
    </row>
    <row r="265" spans="1:34">
      <c r="A265" s="1997" t="s">
        <v>2127</v>
      </c>
      <c r="B265" s="583"/>
      <c r="C265" s="583"/>
      <c r="D265" s="583"/>
      <c r="E265" s="583"/>
      <c r="F265" s="583"/>
      <c r="G265" s="583"/>
      <c r="H265" s="397" t="s">
        <v>2069</v>
      </c>
      <c r="I265" s="397"/>
      <c r="J265" s="397"/>
      <c r="K265" s="397"/>
      <c r="L265" s="1998"/>
      <c r="M265" s="1487">
        <v>21027.49</v>
      </c>
      <c r="N265" s="1487">
        <v>16364.19</v>
      </c>
      <c r="O265" s="1487">
        <v>21788.79</v>
      </c>
      <c r="P265" s="1487">
        <v>28872.86</v>
      </c>
      <c r="Q265" s="1487">
        <v>26850.69</v>
      </c>
      <c r="R265" s="1487">
        <v>26129.69</v>
      </c>
      <c r="S265" s="1487">
        <v>23961.5</v>
      </c>
      <c r="T265" s="1487"/>
      <c r="U265" s="1487"/>
      <c r="V265" s="1487"/>
      <c r="W265" s="1487"/>
      <c r="X265" s="1487"/>
      <c r="Y265" s="1487"/>
      <c r="Z265" s="1487"/>
      <c r="AA265" s="1487"/>
      <c r="AB265" s="1489"/>
      <c r="AF265" s="395"/>
      <c r="AG265" s="395"/>
      <c r="AH265" s="395"/>
    </row>
    <row r="266" spans="1:34">
      <c r="A266" s="1997" t="s">
        <v>2128</v>
      </c>
      <c r="B266" s="583"/>
      <c r="C266" s="583"/>
      <c r="D266" s="583"/>
      <c r="E266" s="583"/>
      <c r="F266" s="583"/>
      <c r="G266" s="583"/>
      <c r="H266" s="397" t="s">
        <v>1595</v>
      </c>
      <c r="I266" s="397"/>
      <c r="J266" s="397"/>
      <c r="K266" s="397"/>
      <c r="L266" s="1998"/>
      <c r="M266" s="1487">
        <v>1636.5</v>
      </c>
      <c r="N266" s="1487">
        <v>343.26</v>
      </c>
      <c r="O266" s="1487">
        <v>1832.07</v>
      </c>
      <c r="P266" s="1487">
        <v>1731.06</v>
      </c>
      <c r="Q266" s="1487">
        <v>196.17</v>
      </c>
      <c r="R266" s="1487">
        <v>1654.66</v>
      </c>
      <c r="S266" s="1487">
        <v>1880.34</v>
      </c>
      <c r="T266" s="1487"/>
      <c r="U266" s="1487"/>
      <c r="V266" s="1487"/>
      <c r="W266" s="1487"/>
      <c r="X266" s="1487"/>
      <c r="Y266" s="1487"/>
      <c r="Z266" s="1487"/>
      <c r="AA266" s="1487"/>
      <c r="AB266" s="1489"/>
      <c r="AF266" s="395"/>
      <c r="AG266" s="395"/>
      <c r="AH266" s="395"/>
    </row>
    <row r="267" spans="1:34">
      <c r="A267" s="1997" t="s">
        <v>2129</v>
      </c>
      <c r="B267" s="583"/>
      <c r="C267" s="583"/>
      <c r="D267" s="583"/>
      <c r="E267" s="583"/>
      <c r="F267" s="583"/>
      <c r="G267" s="583"/>
      <c r="H267" s="397" t="s">
        <v>1318</v>
      </c>
      <c r="I267" s="397"/>
      <c r="J267" s="397"/>
      <c r="K267" s="397"/>
      <c r="L267" s="1998"/>
      <c r="M267" s="1487">
        <v>5001.7700000000004</v>
      </c>
      <c r="N267" s="1487">
        <v>5611.48</v>
      </c>
      <c r="O267" s="1487">
        <v>2951.37</v>
      </c>
      <c r="P267" s="1487">
        <v>4350.16</v>
      </c>
      <c r="Q267" s="1487">
        <v>5479.14</v>
      </c>
      <c r="R267" s="1487">
        <v>2655.55</v>
      </c>
      <c r="S267" s="1487">
        <v>3180.18</v>
      </c>
      <c r="T267" s="1487"/>
      <c r="U267" s="1487"/>
      <c r="V267" s="1487"/>
      <c r="W267" s="1487"/>
      <c r="X267" s="1487"/>
      <c r="Y267" s="1487"/>
      <c r="Z267" s="1487"/>
      <c r="AA267" s="1487"/>
      <c r="AB267" s="1489"/>
      <c r="AF267" s="395"/>
      <c r="AG267" s="395"/>
      <c r="AH267" s="395"/>
    </row>
    <row r="268" spans="1:34">
      <c r="A268" s="1997" t="s">
        <v>2130</v>
      </c>
      <c r="B268" s="583"/>
      <c r="C268" s="583"/>
      <c r="D268" s="583"/>
      <c r="E268" s="583"/>
      <c r="F268" s="583"/>
      <c r="G268" s="583"/>
      <c r="H268" s="397" t="s">
        <v>1320</v>
      </c>
      <c r="I268" s="397"/>
      <c r="J268" s="397"/>
      <c r="K268" s="397"/>
      <c r="L268" s="1998"/>
      <c r="M268" s="1487">
        <v>3437.87</v>
      </c>
      <c r="N268" s="1487">
        <v>1435.21</v>
      </c>
      <c r="O268" s="1487">
        <v>1474.14</v>
      </c>
      <c r="P268" s="1487">
        <v>5205.1000000000004</v>
      </c>
      <c r="Q268" s="1487">
        <v>3680.08</v>
      </c>
      <c r="R268" s="1487">
        <v>1065.28</v>
      </c>
      <c r="S268" s="1487">
        <v>150</v>
      </c>
      <c r="T268" s="1487"/>
      <c r="U268" s="1487"/>
      <c r="V268" s="1487"/>
      <c r="W268" s="1487"/>
      <c r="X268" s="1487"/>
      <c r="Y268" s="1487"/>
      <c r="Z268" s="1487"/>
      <c r="AA268" s="1487"/>
      <c r="AB268" s="1489"/>
      <c r="AF268" s="395"/>
      <c r="AG268" s="395"/>
      <c r="AH268" s="395"/>
    </row>
    <row r="269" spans="1:34">
      <c r="A269" s="1997" t="s">
        <v>2131</v>
      </c>
      <c r="B269" s="583"/>
      <c r="C269" s="583"/>
      <c r="D269" s="583"/>
      <c r="E269" s="583"/>
      <c r="F269" s="583"/>
      <c r="G269" s="583"/>
      <c r="H269" s="397" t="s">
        <v>1326</v>
      </c>
      <c r="I269" s="397"/>
      <c r="J269" s="397"/>
      <c r="K269" s="397"/>
      <c r="L269" s="1998"/>
      <c r="M269" s="1487">
        <v>1878.04</v>
      </c>
      <c r="N269" s="1487">
        <v>2477.06</v>
      </c>
      <c r="O269" s="1487">
        <v>2588.84</v>
      </c>
      <c r="P269" s="1487">
        <v>2609.48</v>
      </c>
      <c r="Q269" s="1487">
        <v>2705.91</v>
      </c>
      <c r="R269" s="1487">
        <v>2467.52</v>
      </c>
      <c r="S269" s="1487">
        <v>2551.52</v>
      </c>
      <c r="T269" s="1487"/>
      <c r="U269" s="1487"/>
      <c r="V269" s="1487"/>
      <c r="W269" s="1487"/>
      <c r="X269" s="1487"/>
      <c r="Y269" s="1487"/>
      <c r="Z269" s="1487"/>
      <c r="AA269" s="1487"/>
      <c r="AB269" s="1489"/>
      <c r="AF269" s="395"/>
      <c r="AG269" s="395"/>
      <c r="AH269" s="395"/>
    </row>
    <row r="270" spans="1:34">
      <c r="A270" s="1997" t="s">
        <v>2132</v>
      </c>
      <c r="B270" s="583"/>
      <c r="C270" s="583"/>
      <c r="D270" s="583"/>
      <c r="E270" s="583"/>
      <c r="F270" s="583"/>
      <c r="G270" s="583"/>
      <c r="H270" s="397" t="s">
        <v>1322</v>
      </c>
      <c r="I270" s="397"/>
      <c r="J270" s="397"/>
      <c r="K270" s="397"/>
      <c r="L270" s="1998"/>
      <c r="M270" s="1487">
        <v>0</v>
      </c>
      <c r="N270" s="1487">
        <v>11281.9</v>
      </c>
      <c r="O270" s="1487">
        <v>10563.23</v>
      </c>
      <c r="P270" s="1487">
        <v>10615.99</v>
      </c>
      <c r="Q270" s="1487">
        <v>15378.84</v>
      </c>
      <c r="R270" s="1487">
        <v>4747.82</v>
      </c>
      <c r="S270" s="1487">
        <v>4837.1499999999996</v>
      </c>
      <c r="T270" s="1487"/>
      <c r="U270" s="1487"/>
      <c r="V270" s="1487"/>
      <c r="W270" s="1487"/>
      <c r="X270" s="1487"/>
      <c r="Y270" s="1487"/>
      <c r="Z270" s="1487"/>
      <c r="AA270" s="1487"/>
      <c r="AB270" s="1489"/>
      <c r="AF270" s="395"/>
      <c r="AG270" s="395"/>
      <c r="AH270" s="395"/>
    </row>
    <row r="271" spans="1:34">
      <c r="A271" s="1997" t="s">
        <v>2133</v>
      </c>
      <c r="B271" s="583"/>
      <c r="C271" s="583"/>
      <c r="D271" s="583"/>
      <c r="E271" s="583"/>
      <c r="F271" s="583"/>
      <c r="G271" s="583"/>
      <c r="H271" s="397" t="s">
        <v>1324</v>
      </c>
      <c r="I271" s="397"/>
      <c r="J271" s="397"/>
      <c r="K271" s="397"/>
      <c r="L271" s="1998"/>
      <c r="M271" s="1487">
        <v>2785.94</v>
      </c>
      <c r="N271" s="1487">
        <v>3674.44</v>
      </c>
      <c r="O271" s="1487">
        <v>3134.29</v>
      </c>
      <c r="P271" s="1487">
        <v>4912.4799999999996</v>
      </c>
      <c r="Q271" s="1487">
        <v>4245.1899999999996</v>
      </c>
      <c r="R271" s="1487">
        <v>10214.32</v>
      </c>
      <c r="S271" s="1487">
        <v>9020</v>
      </c>
      <c r="T271" s="1487"/>
      <c r="U271" s="1487"/>
      <c r="V271" s="1487"/>
      <c r="W271" s="1487"/>
      <c r="X271" s="1487"/>
      <c r="Y271" s="1487"/>
      <c r="Z271" s="1487"/>
      <c r="AA271" s="1487"/>
      <c r="AB271" s="1489"/>
      <c r="AF271" s="395"/>
      <c r="AG271" s="395"/>
      <c r="AH271" s="395"/>
    </row>
    <row r="272" spans="1:34">
      <c r="A272" s="1997" t="s">
        <v>2134</v>
      </c>
      <c r="B272" s="583"/>
      <c r="C272" s="583"/>
      <c r="D272" s="583"/>
      <c r="E272" s="583"/>
      <c r="F272" s="583"/>
      <c r="G272" s="583"/>
      <c r="H272" s="397" t="s">
        <v>1375</v>
      </c>
      <c r="I272" s="397"/>
      <c r="J272" s="397"/>
      <c r="K272" s="397"/>
      <c r="L272" s="1998"/>
      <c r="M272" s="1487">
        <v>3269.87</v>
      </c>
      <c r="N272" s="1487">
        <v>3057.5</v>
      </c>
      <c r="O272" s="1487">
        <v>1722.08</v>
      </c>
      <c r="P272" s="1487">
        <v>1507.57</v>
      </c>
      <c r="Q272" s="1487">
        <v>2533.5</v>
      </c>
      <c r="R272" s="1487">
        <v>1026.1300000000001</v>
      </c>
      <c r="S272" s="1487">
        <v>513.75</v>
      </c>
      <c r="T272" s="1487"/>
      <c r="U272" s="1487"/>
      <c r="V272" s="1487"/>
      <c r="W272" s="1487"/>
      <c r="X272" s="1487"/>
      <c r="Y272" s="1487"/>
      <c r="Z272" s="1487"/>
      <c r="AA272" s="1487"/>
      <c r="AB272" s="1489"/>
      <c r="AF272" s="395"/>
      <c r="AG272" s="395"/>
      <c r="AH272" s="395"/>
    </row>
    <row r="273" spans="1:34">
      <c r="A273" s="1997" t="s">
        <v>2135</v>
      </c>
      <c r="B273" s="583"/>
      <c r="C273" s="583"/>
      <c r="D273" s="583"/>
      <c r="E273" s="583"/>
      <c r="F273" s="583"/>
      <c r="G273" s="583"/>
      <c r="H273" s="397" t="s">
        <v>2136</v>
      </c>
      <c r="I273" s="397"/>
      <c r="J273" s="397"/>
      <c r="K273" s="397"/>
      <c r="L273" s="1998"/>
      <c r="M273" s="1487">
        <v>12325</v>
      </c>
      <c r="N273" s="1487">
        <v>11163</v>
      </c>
      <c r="O273" s="1487">
        <v>11163</v>
      </c>
      <c r="P273" s="1487">
        <v>10945.5</v>
      </c>
      <c r="Q273" s="1487">
        <v>7723.5</v>
      </c>
      <c r="R273" s="1487">
        <v>11216.92</v>
      </c>
      <c r="S273" s="1487">
        <v>10303</v>
      </c>
      <c r="T273" s="1487"/>
      <c r="U273" s="1487"/>
      <c r="V273" s="1487"/>
      <c r="W273" s="1487"/>
      <c r="X273" s="1487"/>
      <c r="Y273" s="1487"/>
      <c r="Z273" s="1487"/>
      <c r="AA273" s="1487"/>
      <c r="AB273" s="1489"/>
      <c r="AF273" s="395"/>
      <c r="AG273" s="395"/>
      <c r="AH273" s="395"/>
    </row>
    <row r="274" spans="1:34">
      <c r="A274" s="1997" t="s">
        <v>2137</v>
      </c>
      <c r="B274" s="583"/>
      <c r="C274" s="583"/>
      <c r="D274" s="583"/>
      <c r="E274" s="583"/>
      <c r="F274" s="583"/>
      <c r="G274" s="583"/>
      <c r="H274" s="397" t="s">
        <v>2138</v>
      </c>
      <c r="I274" s="397"/>
      <c r="J274" s="397"/>
      <c r="K274" s="397"/>
      <c r="L274" s="1998"/>
      <c r="M274" s="1487">
        <v>0</v>
      </c>
      <c r="N274" s="1487">
        <v>0</v>
      </c>
      <c r="O274" s="1487">
        <v>0</v>
      </c>
      <c r="P274" s="1487">
        <v>0</v>
      </c>
      <c r="Q274" s="1487">
        <v>0</v>
      </c>
      <c r="R274" s="1487">
        <v>71.72</v>
      </c>
      <c r="S274" s="1487">
        <v>71.72</v>
      </c>
      <c r="T274" s="1487"/>
      <c r="U274" s="1487"/>
      <c r="V274" s="1487"/>
      <c r="W274" s="1487"/>
      <c r="X274" s="1487"/>
      <c r="Y274" s="1487"/>
      <c r="Z274" s="1487"/>
      <c r="AA274" s="1487"/>
      <c r="AB274" s="1489"/>
      <c r="AF274" s="395"/>
      <c r="AG274" s="395"/>
      <c r="AH274" s="395"/>
    </row>
    <row r="275" spans="1:34">
      <c r="A275" s="1997" t="s">
        <v>2139</v>
      </c>
      <c r="B275" s="583"/>
      <c r="C275" s="583"/>
      <c r="D275" s="583"/>
      <c r="E275" s="583"/>
      <c r="F275" s="583"/>
      <c r="G275" s="583"/>
      <c r="H275" s="397" t="s">
        <v>1859</v>
      </c>
      <c r="I275" s="397"/>
      <c r="J275" s="397"/>
      <c r="K275" s="397"/>
      <c r="L275" s="1998"/>
      <c r="M275" s="1487">
        <v>3788.04</v>
      </c>
      <c r="N275" s="1487">
        <v>4330.0600000000004</v>
      </c>
      <c r="O275" s="1487">
        <v>3122.3</v>
      </c>
      <c r="P275" s="1487">
        <v>4134.62</v>
      </c>
      <c r="Q275" s="1487">
        <v>3038.01</v>
      </c>
      <c r="R275" s="1487">
        <v>2653.04</v>
      </c>
      <c r="S275" s="1487">
        <v>1588.41</v>
      </c>
      <c r="T275" s="1487"/>
      <c r="U275" s="1487"/>
      <c r="V275" s="1487"/>
      <c r="W275" s="1487"/>
      <c r="X275" s="1487"/>
      <c r="Y275" s="1487"/>
      <c r="Z275" s="1487"/>
      <c r="AA275" s="1487"/>
      <c r="AB275" s="1489"/>
      <c r="AF275" s="395"/>
      <c r="AG275" s="395"/>
      <c r="AH275" s="395"/>
    </row>
    <row r="276" spans="1:34">
      <c r="A276" s="1997" t="s">
        <v>2140</v>
      </c>
      <c r="B276" s="583"/>
      <c r="C276" s="583"/>
      <c r="D276" s="583"/>
      <c r="E276" s="583"/>
      <c r="F276" s="583"/>
      <c r="G276" s="583"/>
      <c r="H276" s="397" t="s">
        <v>2141</v>
      </c>
      <c r="I276" s="397"/>
      <c r="J276" s="397"/>
      <c r="K276" s="397"/>
      <c r="L276" s="1998"/>
      <c r="M276" s="1487">
        <v>1140.53</v>
      </c>
      <c r="N276" s="1487">
        <v>1239.76</v>
      </c>
      <c r="O276" s="1487">
        <v>2702.01</v>
      </c>
      <c r="P276" s="1487">
        <v>2096.3200000000002</v>
      </c>
      <c r="Q276" s="1487">
        <v>715.68</v>
      </c>
      <c r="R276" s="1487">
        <v>1125.67</v>
      </c>
      <c r="S276" s="1487">
        <v>1178.73</v>
      </c>
      <c r="T276" s="1487"/>
      <c r="U276" s="1487"/>
      <c r="V276" s="1487"/>
      <c r="W276" s="1487"/>
      <c r="X276" s="1487"/>
      <c r="Y276" s="1487"/>
      <c r="Z276" s="1487"/>
      <c r="AA276" s="1487"/>
      <c r="AB276" s="1489"/>
      <c r="AF276" s="395"/>
      <c r="AG276" s="395"/>
      <c r="AH276" s="395"/>
    </row>
    <row r="277" spans="1:34">
      <c r="A277" s="1997" t="s">
        <v>2142</v>
      </c>
      <c r="B277" s="583"/>
      <c r="C277" s="583"/>
      <c r="D277" s="583"/>
      <c r="E277" s="583"/>
      <c r="F277" s="583"/>
      <c r="G277" s="583"/>
      <c r="H277" s="397" t="s">
        <v>1328</v>
      </c>
      <c r="I277" s="397"/>
      <c r="J277" s="397"/>
      <c r="K277" s="397"/>
      <c r="L277" s="1998"/>
      <c r="M277" s="1487">
        <v>147.82</v>
      </c>
      <c r="N277" s="1487">
        <v>147.82</v>
      </c>
      <c r="O277" s="1487">
        <v>147.82</v>
      </c>
      <c r="P277" s="1487">
        <v>147.82</v>
      </c>
      <c r="Q277" s="1487">
        <v>147.82</v>
      </c>
      <c r="R277" s="1487">
        <v>133.44</v>
      </c>
      <c r="S277" s="1487">
        <v>27.44</v>
      </c>
      <c r="T277" s="1487"/>
      <c r="U277" s="1487"/>
      <c r="V277" s="1487"/>
      <c r="W277" s="1487"/>
      <c r="X277" s="1487"/>
      <c r="Y277" s="1487"/>
      <c r="Z277" s="1487"/>
      <c r="AA277" s="1487"/>
      <c r="AB277" s="1489"/>
      <c r="AF277" s="395"/>
      <c r="AG277" s="395"/>
      <c r="AH277" s="395"/>
    </row>
    <row r="278" spans="1:34">
      <c r="A278" s="2048" t="s">
        <v>2143</v>
      </c>
      <c r="B278" s="1999"/>
      <c r="C278" s="583"/>
      <c r="D278" s="583"/>
      <c r="E278" s="583"/>
      <c r="F278" s="583"/>
      <c r="G278" s="583"/>
      <c r="H278" s="397"/>
      <c r="I278" s="397"/>
      <c r="J278" s="397"/>
      <c r="K278" s="397"/>
      <c r="L278" s="1998"/>
      <c r="M278" s="1487"/>
      <c r="N278" s="1487"/>
      <c r="O278" s="1487"/>
      <c r="P278" s="1487"/>
      <c r="Q278" s="1487"/>
      <c r="R278" s="1487"/>
      <c r="S278" s="1487"/>
      <c r="T278" s="1487"/>
      <c r="U278" s="1487"/>
      <c r="V278" s="1487"/>
      <c r="W278" s="1487"/>
      <c r="X278" s="1487"/>
      <c r="Y278" s="1487"/>
      <c r="Z278" s="1487"/>
      <c r="AA278" s="1487"/>
      <c r="AB278" s="1489"/>
      <c r="AF278" s="395"/>
      <c r="AG278" s="395"/>
      <c r="AH278" s="395"/>
    </row>
    <row r="279" spans="1:34">
      <c r="A279" s="1997" t="s">
        <v>2144</v>
      </c>
      <c r="B279" s="583" t="s">
        <v>7510</v>
      </c>
      <c r="C279" s="583"/>
      <c r="D279" s="583"/>
      <c r="E279" s="583"/>
      <c r="F279" s="583"/>
      <c r="G279" s="583"/>
      <c r="H279" s="397" t="s">
        <v>1832</v>
      </c>
      <c r="I279" s="397"/>
      <c r="J279" s="397"/>
      <c r="K279" s="397"/>
      <c r="L279" s="1998"/>
      <c r="M279" s="1487"/>
      <c r="N279" s="1487"/>
      <c r="O279" s="1487"/>
      <c r="P279" s="1487"/>
      <c r="Q279" s="1487"/>
      <c r="R279" s="1487"/>
      <c r="S279" s="1487"/>
      <c r="T279" s="1487">
        <v>4737.6099999999997</v>
      </c>
      <c r="U279" s="1487">
        <v>3816.79</v>
      </c>
      <c r="V279" s="1487">
        <v>1776.35</v>
      </c>
      <c r="W279" s="1487">
        <v>3455.09</v>
      </c>
      <c r="X279" s="1487">
        <v>4091.47</v>
      </c>
      <c r="Y279" s="1487">
        <v>2380.2800000000002</v>
      </c>
      <c r="Z279" s="1487">
        <v>26483.64</v>
      </c>
      <c r="AA279" s="1487">
        <v>23119.85</v>
      </c>
      <c r="AB279" s="1489"/>
      <c r="AF279" s="395"/>
      <c r="AG279" s="395"/>
      <c r="AH279" s="395"/>
    </row>
    <row r="280" spans="1:34">
      <c r="A280" s="1997" t="s">
        <v>2145</v>
      </c>
      <c r="B280" s="583"/>
      <c r="C280" s="583"/>
      <c r="D280" s="583"/>
      <c r="E280" s="583"/>
      <c r="F280" s="583"/>
      <c r="G280" s="583"/>
      <c r="H280" s="397" t="s">
        <v>2146</v>
      </c>
      <c r="I280" s="397"/>
      <c r="J280" s="397"/>
      <c r="K280" s="397"/>
      <c r="L280" s="1998"/>
      <c r="M280" s="1487"/>
      <c r="N280" s="1487"/>
      <c r="O280" s="1487"/>
      <c r="P280" s="1487"/>
      <c r="Q280" s="1487"/>
      <c r="R280" s="1487"/>
      <c r="S280" s="1487"/>
      <c r="T280" s="1487">
        <v>4277.8500000000004</v>
      </c>
      <c r="U280" s="1487">
        <v>1319.88</v>
      </c>
      <c r="V280" s="1487">
        <v>1168</v>
      </c>
      <c r="W280" s="1487">
        <v>3458.49</v>
      </c>
      <c r="X280" s="1487">
        <v>10362.26</v>
      </c>
      <c r="Y280" s="1487">
        <v>2988.6</v>
      </c>
      <c r="Z280" s="1487"/>
      <c r="AA280" s="1487"/>
      <c r="AB280" s="1489"/>
      <c r="AF280" s="395"/>
      <c r="AG280" s="395"/>
      <c r="AH280" s="395"/>
    </row>
    <row r="281" spans="1:34">
      <c r="A281" s="1997" t="s">
        <v>2147</v>
      </c>
      <c r="B281" s="583" t="s">
        <v>7513</v>
      </c>
      <c r="C281" s="583"/>
      <c r="D281" s="583"/>
      <c r="E281" s="583"/>
      <c r="F281" s="583"/>
      <c r="G281" s="583"/>
      <c r="H281" s="397" t="s">
        <v>2148</v>
      </c>
      <c r="I281" s="397"/>
      <c r="J281" s="397"/>
      <c r="K281" s="397"/>
      <c r="L281" s="1998"/>
      <c r="M281" s="1487"/>
      <c r="N281" s="1487"/>
      <c r="O281" s="1487"/>
      <c r="P281" s="1487"/>
      <c r="Q281" s="1487"/>
      <c r="R281" s="1487"/>
      <c r="S281" s="1487"/>
      <c r="T281" s="1487">
        <v>12502.89</v>
      </c>
      <c r="U281" s="1487">
        <v>14542.64</v>
      </c>
      <c r="V281" s="1487">
        <v>15527.23</v>
      </c>
      <c r="W281" s="1487">
        <v>16393.849999999999</v>
      </c>
      <c r="X281" s="1487">
        <v>11677.2</v>
      </c>
      <c r="Y281" s="1487">
        <v>11550.84</v>
      </c>
      <c r="Z281" s="1487">
        <v>12780.74</v>
      </c>
      <c r="AA281" s="1487">
        <v>849.83</v>
      </c>
      <c r="AB281" s="1489"/>
      <c r="AF281" s="395"/>
      <c r="AG281" s="395"/>
      <c r="AH281" s="395"/>
    </row>
    <row r="282" spans="1:34">
      <c r="A282" s="1997" t="s">
        <v>2149</v>
      </c>
      <c r="B282" s="583" t="s">
        <v>7511</v>
      </c>
      <c r="C282" s="583"/>
      <c r="D282" s="583"/>
      <c r="E282" s="583"/>
      <c r="F282" s="583"/>
      <c r="G282" s="583"/>
      <c r="H282" s="397" t="s">
        <v>1322</v>
      </c>
      <c r="I282" s="397"/>
      <c r="J282" s="397"/>
      <c r="K282" s="397"/>
      <c r="L282" s="1998"/>
      <c r="M282" s="1487"/>
      <c r="N282" s="1487"/>
      <c r="O282" s="1487"/>
      <c r="P282" s="1487"/>
      <c r="Q282" s="1487"/>
      <c r="R282" s="1487"/>
      <c r="S282" s="1487"/>
      <c r="T282" s="1487">
        <v>3656.34</v>
      </c>
      <c r="U282" s="1487">
        <v>3267.36</v>
      </c>
      <c r="V282" s="1487">
        <v>4037.54</v>
      </c>
      <c r="W282" s="1487">
        <v>2903.6</v>
      </c>
      <c r="X282" s="1487">
        <v>4182.99</v>
      </c>
      <c r="Y282" s="1487">
        <v>148.4</v>
      </c>
      <c r="Z282" s="1487">
        <v>755.25</v>
      </c>
      <c r="AA282" s="1487">
        <v>313.12</v>
      </c>
      <c r="AB282" s="1489"/>
      <c r="AF282" s="395"/>
      <c r="AG282" s="395"/>
      <c r="AH282" s="395"/>
    </row>
    <row r="283" spans="1:34">
      <c r="A283" s="1997"/>
      <c r="B283" s="583" t="s">
        <v>8089</v>
      </c>
      <c r="C283" s="583"/>
      <c r="D283" s="583"/>
      <c r="E283" s="583"/>
      <c r="F283" s="583"/>
      <c r="G283" s="583"/>
      <c r="H283" s="397" t="s">
        <v>1375</v>
      </c>
      <c r="I283" s="397"/>
      <c r="J283" s="397"/>
      <c r="K283" s="397"/>
      <c r="L283" s="1998"/>
      <c r="M283" s="1487"/>
      <c r="N283" s="1487"/>
      <c r="O283" s="1487"/>
      <c r="P283" s="1487"/>
      <c r="Q283" s="1487"/>
      <c r="R283" s="1487"/>
      <c r="S283" s="1487"/>
      <c r="T283" s="1487"/>
      <c r="U283" s="1487"/>
      <c r="V283" s="1487"/>
      <c r="W283" s="1487"/>
      <c r="X283" s="1487"/>
      <c r="Y283" s="1487"/>
      <c r="Z283" s="1487"/>
      <c r="AA283" s="1487">
        <v>446.14</v>
      </c>
      <c r="AB283" s="1489"/>
      <c r="AF283" s="395"/>
      <c r="AG283" s="395"/>
      <c r="AH283" s="395"/>
    </row>
    <row r="284" spans="1:34">
      <c r="A284" s="1997" t="s">
        <v>2150</v>
      </c>
      <c r="B284" s="583" t="s">
        <v>5100</v>
      </c>
      <c r="C284" s="583"/>
      <c r="D284" s="583"/>
      <c r="E284" s="583"/>
      <c r="F284" s="583"/>
      <c r="G284" s="583"/>
      <c r="H284" s="397" t="s">
        <v>1678</v>
      </c>
      <c r="I284" s="397"/>
      <c r="J284" s="397"/>
      <c r="K284" s="397"/>
      <c r="L284" s="1998"/>
      <c r="M284" s="1487"/>
      <c r="N284" s="1487"/>
      <c r="O284" s="1487"/>
      <c r="P284" s="1487"/>
      <c r="Q284" s="1487"/>
      <c r="R284" s="1487"/>
      <c r="S284" s="1487"/>
      <c r="T284" s="1487">
        <v>1814.2</v>
      </c>
      <c r="U284" s="1487">
        <v>2210.88</v>
      </c>
      <c r="V284" s="1487">
        <v>2202.79</v>
      </c>
      <c r="W284" s="1487">
        <v>1783.75</v>
      </c>
      <c r="X284" s="1487">
        <v>1820.98</v>
      </c>
      <c r="Y284" s="1487">
        <v>916.91</v>
      </c>
      <c r="Z284" s="1487">
        <v>640.04</v>
      </c>
      <c r="AA284" s="1487">
        <v>659.25</v>
      </c>
      <c r="AB284" s="1489"/>
      <c r="AF284" s="395"/>
      <c r="AG284" s="395"/>
      <c r="AH284" s="395"/>
    </row>
    <row r="285" spans="1:34">
      <c r="A285" s="1997" t="s">
        <v>2151</v>
      </c>
      <c r="B285" s="583" t="s">
        <v>7512</v>
      </c>
      <c r="C285" s="583"/>
      <c r="D285" s="583"/>
      <c r="E285" s="583"/>
      <c r="F285" s="583"/>
      <c r="G285" s="583"/>
      <c r="H285" s="397" t="s">
        <v>1087</v>
      </c>
      <c r="I285" s="397"/>
      <c r="J285" s="397"/>
      <c r="K285" s="397"/>
      <c r="L285" s="1998"/>
      <c r="M285" s="1487"/>
      <c r="N285" s="1487"/>
      <c r="O285" s="1487"/>
      <c r="P285" s="1487"/>
      <c r="Q285" s="1487"/>
      <c r="R285" s="1487"/>
      <c r="S285" s="1487"/>
      <c r="T285" s="1487">
        <v>4924.76</v>
      </c>
      <c r="U285" s="1487">
        <v>3494.14</v>
      </c>
      <c r="V285" s="1487">
        <v>3295.77</v>
      </c>
      <c r="W285" s="1487">
        <v>4708.2700000000004</v>
      </c>
      <c r="X285" s="1487">
        <v>6263.93</v>
      </c>
      <c r="Y285" s="1487">
        <v>5186.92</v>
      </c>
      <c r="Z285" s="1487">
        <v>3910.66</v>
      </c>
      <c r="AA285" s="1487">
        <v>44.37</v>
      </c>
      <c r="AB285" s="1489"/>
      <c r="AF285" s="395"/>
      <c r="AG285" s="395"/>
      <c r="AH285" s="395"/>
    </row>
    <row r="286" spans="1:34">
      <c r="A286" s="1997" t="s">
        <v>2152</v>
      </c>
      <c r="B286" s="583"/>
      <c r="C286" s="583"/>
      <c r="D286" s="583"/>
      <c r="E286" s="583"/>
      <c r="F286" s="583"/>
      <c r="G286" s="583"/>
      <c r="H286" s="397" t="s">
        <v>2153</v>
      </c>
      <c r="I286" s="397"/>
      <c r="J286" s="397"/>
      <c r="K286" s="397"/>
      <c r="L286" s="1998"/>
      <c r="M286" s="1487"/>
      <c r="N286" s="1487"/>
      <c r="O286" s="1487"/>
      <c r="P286" s="1487"/>
      <c r="Q286" s="1487"/>
      <c r="R286" s="1487"/>
      <c r="S286" s="1487"/>
      <c r="T286" s="1487">
        <v>19062.96</v>
      </c>
      <c r="U286" s="1487">
        <v>13451.33</v>
      </c>
      <c r="V286" s="1487">
        <v>10548.18</v>
      </c>
      <c r="W286" s="1487">
        <v>1551.43</v>
      </c>
      <c r="X286" s="1487">
        <v>7724.71</v>
      </c>
      <c r="Y286" s="1487">
        <v>14580.33</v>
      </c>
      <c r="Z286" s="1487"/>
      <c r="AA286" s="1487"/>
      <c r="AB286" s="1489"/>
      <c r="AF286" s="395"/>
      <c r="AG286" s="395"/>
      <c r="AH286" s="395"/>
    </row>
    <row r="287" spans="1:34">
      <c r="A287" s="1997" t="s">
        <v>2154</v>
      </c>
      <c r="B287" s="583" t="s">
        <v>7514</v>
      </c>
      <c r="C287" s="583"/>
      <c r="D287" s="583"/>
      <c r="E287" s="583"/>
      <c r="F287" s="583"/>
      <c r="G287" s="583"/>
      <c r="H287" s="397" t="s">
        <v>2155</v>
      </c>
      <c r="I287" s="397"/>
      <c r="J287" s="397"/>
      <c r="K287" s="397"/>
      <c r="L287" s="1998"/>
      <c r="M287" s="1487"/>
      <c r="N287" s="1487"/>
      <c r="O287" s="1487"/>
      <c r="P287" s="1487"/>
      <c r="Q287" s="1487"/>
      <c r="R287" s="1487"/>
      <c r="S287" s="1487"/>
      <c r="T287" s="1487">
        <v>1391.34</v>
      </c>
      <c r="U287" s="1487">
        <v>2280.46</v>
      </c>
      <c r="V287" s="1487">
        <v>4208.51</v>
      </c>
      <c r="W287" s="1487">
        <v>135.16</v>
      </c>
      <c r="X287" s="1487"/>
      <c r="Y287" s="1487">
        <v>491.2</v>
      </c>
      <c r="Z287" s="1487">
        <v>486.07</v>
      </c>
      <c r="AA287" s="1487">
        <v>1514.92</v>
      </c>
      <c r="AB287" s="1489"/>
      <c r="AF287" s="395"/>
      <c r="AG287" s="395"/>
      <c r="AH287" s="395"/>
    </row>
    <row r="288" spans="1:34">
      <c r="A288" s="2048" t="s">
        <v>2156</v>
      </c>
      <c r="B288" s="1999"/>
      <c r="C288" s="583"/>
      <c r="D288" s="583"/>
      <c r="E288" s="583"/>
      <c r="F288" s="583"/>
      <c r="G288" s="583"/>
      <c r="H288" s="397"/>
      <c r="I288" s="397"/>
      <c r="J288" s="397"/>
      <c r="K288" s="397"/>
      <c r="L288" s="1998"/>
      <c r="M288" s="1487"/>
      <c r="N288" s="1487"/>
      <c r="O288" s="1487"/>
      <c r="P288" s="1487"/>
      <c r="Q288" s="1487"/>
      <c r="R288" s="1487"/>
      <c r="S288" s="1487"/>
      <c r="T288" s="1487"/>
      <c r="U288" s="1487"/>
      <c r="V288" s="1487"/>
      <c r="W288" s="1487"/>
      <c r="X288" s="1487"/>
      <c r="Y288" s="1487"/>
      <c r="Z288" s="1487"/>
      <c r="AA288" s="1487"/>
      <c r="AB288" s="1489"/>
      <c r="AF288" s="395"/>
      <c r="AG288" s="395"/>
      <c r="AH288" s="395"/>
    </row>
    <row r="289" spans="1:34">
      <c r="A289" s="1997" t="s">
        <v>2157</v>
      </c>
      <c r="B289" s="583"/>
      <c r="C289" s="583"/>
      <c r="D289" s="583"/>
      <c r="E289" s="583"/>
      <c r="F289" s="583"/>
      <c r="G289" s="583"/>
      <c r="H289" s="397" t="s">
        <v>1832</v>
      </c>
      <c r="I289" s="397"/>
      <c r="J289" s="397"/>
      <c r="K289" s="397"/>
      <c r="L289" s="1998"/>
      <c r="M289" s="1487"/>
      <c r="N289" s="1487"/>
      <c r="O289" s="1487"/>
      <c r="P289" s="1487"/>
      <c r="Q289" s="1487"/>
      <c r="R289" s="1487"/>
      <c r="S289" s="1487"/>
      <c r="T289" s="1487">
        <v>1113.24</v>
      </c>
      <c r="U289" s="1487">
        <v>412.8</v>
      </c>
      <c r="V289" s="1487">
        <v>742.02</v>
      </c>
      <c r="W289" s="1487">
        <v>1222.83</v>
      </c>
      <c r="X289" s="1487">
        <v>5889.94</v>
      </c>
      <c r="Y289" s="1487">
        <v>1215.71</v>
      </c>
      <c r="Z289" s="1487"/>
      <c r="AA289" s="1487"/>
      <c r="AB289" s="1489"/>
      <c r="AF289" s="395"/>
      <c r="AG289" s="395"/>
      <c r="AH289" s="395"/>
    </row>
    <row r="290" spans="1:34">
      <c r="A290" s="1997" t="s">
        <v>2158</v>
      </c>
      <c r="B290" s="583" t="s">
        <v>7517</v>
      </c>
      <c r="C290" s="583"/>
      <c r="D290" s="583"/>
      <c r="E290" s="583"/>
      <c r="F290" s="583"/>
      <c r="G290" s="583"/>
      <c r="H290" s="397" t="s">
        <v>2146</v>
      </c>
      <c r="I290" s="397"/>
      <c r="J290" s="397"/>
      <c r="K290" s="397"/>
      <c r="L290" s="1998"/>
      <c r="M290" s="1487"/>
      <c r="N290" s="1487"/>
      <c r="O290" s="1487"/>
      <c r="P290" s="1487"/>
      <c r="Q290" s="1487"/>
      <c r="R290" s="1487"/>
      <c r="S290" s="1487"/>
      <c r="T290" s="1487">
        <v>1466.58</v>
      </c>
      <c r="U290" s="1487">
        <v>1392.12</v>
      </c>
      <c r="V290" s="1487">
        <v>1226.9100000000001</v>
      </c>
      <c r="W290" s="1487">
        <v>2134.08</v>
      </c>
      <c r="X290" s="1487">
        <v>3081.44</v>
      </c>
      <c r="Y290" s="1487">
        <v>1244.3599999999999</v>
      </c>
      <c r="Z290" s="1487">
        <v>17748.62</v>
      </c>
      <c r="AA290" s="1487">
        <v>9539.4699999999993</v>
      </c>
      <c r="AB290" s="1489"/>
      <c r="AF290" s="395"/>
      <c r="AG290" s="395"/>
      <c r="AH290" s="395"/>
    </row>
    <row r="291" spans="1:34">
      <c r="A291" s="1997"/>
      <c r="B291" s="583" t="s">
        <v>7516</v>
      </c>
      <c r="C291" s="583"/>
      <c r="D291" s="583"/>
      <c r="E291" s="583"/>
      <c r="F291" s="583"/>
      <c r="G291" s="583"/>
      <c r="H291" s="397" t="s">
        <v>7357</v>
      </c>
      <c r="I291" s="397"/>
      <c r="J291" s="397"/>
      <c r="K291" s="397"/>
      <c r="L291" s="1998"/>
      <c r="M291" s="1487"/>
      <c r="N291" s="1487"/>
      <c r="O291" s="1487"/>
      <c r="P291" s="1487"/>
      <c r="Q291" s="1487"/>
      <c r="R291" s="1487"/>
      <c r="S291" s="1487"/>
      <c r="T291" s="1487"/>
      <c r="U291" s="1487"/>
      <c r="V291" s="1487"/>
      <c r="W291" s="1487"/>
      <c r="X291" s="1487"/>
      <c r="Y291" s="1487"/>
      <c r="Z291" s="1487">
        <v>185.34</v>
      </c>
      <c r="AA291" s="1487"/>
      <c r="AB291" s="1489"/>
      <c r="AF291" s="395"/>
      <c r="AG291" s="395"/>
      <c r="AH291" s="395"/>
    </row>
    <row r="292" spans="1:34">
      <c r="A292" s="1997" t="s">
        <v>2159</v>
      </c>
      <c r="B292" s="583"/>
      <c r="C292" s="583"/>
      <c r="D292" s="583"/>
      <c r="E292" s="583"/>
      <c r="F292" s="583"/>
      <c r="G292" s="583"/>
      <c r="H292" s="397" t="s">
        <v>2148</v>
      </c>
      <c r="I292" s="397"/>
      <c r="J292" s="397"/>
      <c r="K292" s="397"/>
      <c r="L292" s="1998"/>
      <c r="M292" s="1487"/>
      <c r="N292" s="1487"/>
      <c r="O292" s="1487"/>
      <c r="P292" s="1487"/>
      <c r="Q292" s="1487"/>
      <c r="R292" s="1487"/>
      <c r="S292" s="1487"/>
      <c r="T292" s="1487">
        <v>2775.44</v>
      </c>
      <c r="U292" s="1487">
        <v>1716.39</v>
      </c>
      <c r="V292" s="1487">
        <v>4002.77</v>
      </c>
      <c r="W292" s="1487">
        <v>3428.5</v>
      </c>
      <c r="X292" s="1487">
        <v>2472.5</v>
      </c>
      <c r="Y292" s="1487">
        <v>3067.4</v>
      </c>
      <c r="Z292" s="1487"/>
      <c r="AA292" s="1487"/>
      <c r="AB292" s="1489"/>
      <c r="AF292" s="395"/>
      <c r="AG292" s="395"/>
      <c r="AH292" s="395"/>
    </row>
    <row r="293" spans="1:34">
      <c r="A293" s="1997" t="s">
        <v>2160</v>
      </c>
      <c r="B293" s="583" t="s">
        <v>7518</v>
      </c>
      <c r="C293" s="583"/>
      <c r="D293" s="583"/>
      <c r="E293" s="583"/>
      <c r="F293" s="583"/>
      <c r="G293" s="583"/>
      <c r="H293" s="397" t="s">
        <v>1324</v>
      </c>
      <c r="I293" s="397"/>
      <c r="J293" s="397"/>
      <c r="K293" s="397"/>
      <c r="L293" s="1998"/>
      <c r="M293" s="1487"/>
      <c r="N293" s="1487"/>
      <c r="O293" s="1487"/>
      <c r="P293" s="1487"/>
      <c r="Q293" s="1487"/>
      <c r="R293" s="1487"/>
      <c r="S293" s="1487"/>
      <c r="T293" s="1487">
        <v>11408.81</v>
      </c>
      <c r="U293" s="1487">
        <v>9020</v>
      </c>
      <c r="V293" s="1487">
        <v>9840</v>
      </c>
      <c r="W293" s="1487">
        <v>9000</v>
      </c>
      <c r="X293" s="1487">
        <v>9000</v>
      </c>
      <c r="Y293" s="1487">
        <v>9000</v>
      </c>
      <c r="Z293" s="1487">
        <v>9000</v>
      </c>
      <c r="AA293" s="1487">
        <v>9000</v>
      </c>
      <c r="AB293" s="1489"/>
      <c r="AF293" s="395"/>
      <c r="AG293" s="395"/>
      <c r="AH293" s="395"/>
    </row>
    <row r="294" spans="1:34">
      <c r="A294" s="1997" t="s">
        <v>2161</v>
      </c>
      <c r="B294" s="583" t="s">
        <v>7519</v>
      </c>
      <c r="C294" s="583"/>
      <c r="D294" s="583"/>
      <c r="E294" s="583"/>
      <c r="F294" s="583"/>
      <c r="G294" s="583"/>
      <c r="H294" s="397" t="s">
        <v>1375</v>
      </c>
      <c r="I294" s="397"/>
      <c r="J294" s="397"/>
      <c r="K294" s="397"/>
      <c r="L294" s="1998"/>
      <c r="M294" s="1487"/>
      <c r="N294" s="1487"/>
      <c r="O294" s="1487"/>
      <c r="P294" s="1487"/>
      <c r="Q294" s="1487"/>
      <c r="R294" s="1487"/>
      <c r="S294" s="1487"/>
      <c r="T294" s="1487">
        <v>507.6</v>
      </c>
      <c r="U294" s="1487">
        <v>34.19</v>
      </c>
      <c r="V294" s="1487">
        <v>796.57</v>
      </c>
      <c r="W294" s="1487">
        <v>0</v>
      </c>
      <c r="X294" s="1487">
        <v>255.52</v>
      </c>
      <c r="Y294" s="1487"/>
      <c r="Z294" s="1487"/>
      <c r="AA294" s="1487"/>
      <c r="AB294" s="1489"/>
      <c r="AF294" s="395"/>
      <c r="AG294" s="395"/>
      <c r="AH294" s="395"/>
    </row>
    <row r="295" spans="1:34">
      <c r="A295" s="1997" t="s">
        <v>2162</v>
      </c>
      <c r="B295" s="583" t="s">
        <v>5169</v>
      </c>
      <c r="C295" s="583"/>
      <c r="D295" s="583"/>
      <c r="E295" s="583"/>
      <c r="F295" s="583"/>
      <c r="G295" s="583"/>
      <c r="H295" s="397" t="s">
        <v>2163</v>
      </c>
      <c r="I295" s="397"/>
      <c r="J295" s="397"/>
      <c r="K295" s="397"/>
      <c r="L295" s="1998"/>
      <c r="M295" s="1487"/>
      <c r="N295" s="1487"/>
      <c r="O295" s="1487"/>
      <c r="P295" s="1487"/>
      <c r="Q295" s="1487"/>
      <c r="R295" s="1487"/>
      <c r="S295" s="1487"/>
      <c r="T295" s="1487"/>
      <c r="U295" s="1487">
        <v>499.49</v>
      </c>
      <c r="V295" s="1487">
        <v>497.66</v>
      </c>
      <c r="W295" s="1487">
        <v>407.19</v>
      </c>
      <c r="X295" s="1487">
        <v>415.69</v>
      </c>
      <c r="Y295" s="1487">
        <v>347.14</v>
      </c>
      <c r="Z295" s="1487">
        <v>357.44</v>
      </c>
      <c r="AA295" s="1487">
        <v>368.16</v>
      </c>
      <c r="AB295" s="1489"/>
      <c r="AF295" s="395"/>
      <c r="AG295" s="395"/>
      <c r="AH295" s="395"/>
    </row>
    <row r="296" spans="1:34">
      <c r="A296" s="1997" t="s">
        <v>2164</v>
      </c>
      <c r="B296" s="583" t="s">
        <v>7515</v>
      </c>
      <c r="C296" s="583"/>
      <c r="D296" s="583"/>
      <c r="E296" s="583"/>
      <c r="F296" s="583"/>
      <c r="G296" s="583"/>
      <c r="H296" s="397" t="s">
        <v>1087</v>
      </c>
      <c r="I296" s="397"/>
      <c r="J296" s="397"/>
      <c r="K296" s="397"/>
      <c r="L296" s="1998"/>
      <c r="M296" s="1487"/>
      <c r="N296" s="1487"/>
      <c r="O296" s="1487"/>
      <c r="P296" s="1487"/>
      <c r="Q296" s="1487"/>
      <c r="R296" s="1487"/>
      <c r="S296" s="1487"/>
      <c r="T296" s="1487">
        <v>84.05</v>
      </c>
      <c r="U296" s="1487">
        <v>0</v>
      </c>
      <c r="V296" s="1487">
        <v>918.33</v>
      </c>
      <c r="W296" s="1487">
        <v>176.78</v>
      </c>
      <c r="X296" s="1487"/>
      <c r="Y296" s="1487">
        <v>184.68</v>
      </c>
      <c r="Z296" s="1487">
        <v>587.53</v>
      </c>
      <c r="AA296" s="1487">
        <v>32.549999999999997</v>
      </c>
      <c r="AB296" s="1489"/>
      <c r="AF296" s="395"/>
      <c r="AG296" s="395"/>
      <c r="AH296" s="395"/>
    </row>
    <row r="297" spans="1:34">
      <c r="A297" s="1997" t="s">
        <v>2165</v>
      </c>
      <c r="B297" s="583" t="s">
        <v>7521</v>
      </c>
      <c r="C297" s="583"/>
      <c r="D297" s="583"/>
      <c r="E297" s="583"/>
      <c r="F297" s="583"/>
      <c r="G297" s="583"/>
      <c r="H297" s="397" t="s">
        <v>7522</v>
      </c>
      <c r="I297" s="397"/>
      <c r="J297" s="397"/>
      <c r="K297" s="397"/>
      <c r="L297" s="1998"/>
      <c r="M297" s="1487"/>
      <c r="N297" s="1487"/>
      <c r="O297" s="1487"/>
      <c r="P297" s="1487"/>
      <c r="Q297" s="1487"/>
      <c r="R297" s="1487"/>
      <c r="S297" s="1487"/>
      <c r="T297" s="1487">
        <v>1372</v>
      </c>
      <c r="U297" s="1487">
        <v>3530</v>
      </c>
      <c r="V297" s="1487">
        <v>2502</v>
      </c>
      <c r="W297" s="1487">
        <v>2478</v>
      </c>
      <c r="X297" s="1487">
        <v>1132</v>
      </c>
      <c r="Y297" s="1487">
        <v>1095</v>
      </c>
      <c r="Z297" s="1487">
        <v>1392</v>
      </c>
      <c r="AA297" s="1487">
        <v>1760</v>
      </c>
      <c r="AB297" s="1489"/>
      <c r="AF297" s="395"/>
      <c r="AG297" s="395"/>
      <c r="AH297" s="395"/>
    </row>
    <row r="298" spans="1:34">
      <c r="A298" s="1997" t="s">
        <v>2166</v>
      </c>
      <c r="B298" s="583"/>
      <c r="C298" s="583"/>
      <c r="D298" s="583"/>
      <c r="E298" s="583"/>
      <c r="F298" s="583"/>
      <c r="G298" s="583"/>
      <c r="H298" s="397" t="s">
        <v>2153</v>
      </c>
      <c r="I298" s="397"/>
      <c r="J298" s="397"/>
      <c r="K298" s="397"/>
      <c r="L298" s="1998"/>
      <c r="M298" s="1487"/>
      <c r="N298" s="1487"/>
      <c r="O298" s="1487"/>
      <c r="P298" s="1487"/>
      <c r="Q298" s="1487"/>
      <c r="R298" s="1487"/>
      <c r="S298" s="1487"/>
      <c r="T298" s="1487">
        <v>5027.55</v>
      </c>
      <c r="U298" s="1487">
        <v>5086.84</v>
      </c>
      <c r="V298" s="1487">
        <v>2963.05</v>
      </c>
      <c r="W298" s="1487">
        <v>0</v>
      </c>
      <c r="X298" s="1487">
        <v>2531.3200000000002</v>
      </c>
      <c r="Y298" s="1487">
        <v>4053.98</v>
      </c>
      <c r="Z298" s="1487"/>
      <c r="AA298" s="1487"/>
      <c r="AB298" s="1489"/>
      <c r="AF298" s="395"/>
      <c r="AG298" s="395"/>
      <c r="AH298" s="395"/>
    </row>
    <row r="299" spans="1:34">
      <c r="A299" s="1997" t="s">
        <v>2167</v>
      </c>
      <c r="B299" s="583" t="s">
        <v>7520</v>
      </c>
      <c r="C299" s="583"/>
      <c r="D299" s="583"/>
      <c r="E299" s="583"/>
      <c r="F299" s="583"/>
      <c r="G299" s="583"/>
      <c r="H299" s="397" t="s">
        <v>2168</v>
      </c>
      <c r="I299" s="397"/>
      <c r="J299" s="397"/>
      <c r="K299" s="397"/>
      <c r="L299" s="1998"/>
      <c r="M299" s="1487"/>
      <c r="N299" s="1487"/>
      <c r="O299" s="1487"/>
      <c r="P299" s="1487"/>
      <c r="Q299" s="1487"/>
      <c r="R299" s="1487"/>
      <c r="S299" s="1487"/>
      <c r="T299" s="1487">
        <v>981.54</v>
      </c>
      <c r="U299" s="1487">
        <v>992.12</v>
      </c>
      <c r="V299" s="1487"/>
      <c r="W299" s="1487">
        <v>344.25</v>
      </c>
      <c r="X299" s="1487"/>
      <c r="Y299" s="1487">
        <v>188.82</v>
      </c>
      <c r="Z299" s="1487"/>
      <c r="AA299" s="1487">
        <v>268.32</v>
      </c>
      <c r="AB299" s="1489"/>
      <c r="AF299" s="395"/>
      <c r="AG299" s="395"/>
      <c r="AH299" s="395"/>
    </row>
    <row r="300" spans="1:34">
      <c r="A300" s="1997" t="s">
        <v>2169</v>
      </c>
      <c r="B300" s="583"/>
      <c r="C300" s="583"/>
      <c r="D300" s="583"/>
      <c r="E300" s="583"/>
      <c r="F300" s="583"/>
      <c r="G300" s="583"/>
      <c r="H300" s="397" t="s">
        <v>2136</v>
      </c>
      <c r="I300" s="397"/>
      <c r="J300" s="397"/>
      <c r="K300" s="397"/>
      <c r="L300" s="1998"/>
      <c r="M300" s="1487"/>
      <c r="N300" s="1487"/>
      <c r="O300" s="1487"/>
      <c r="P300" s="1487"/>
      <c r="Q300" s="1487"/>
      <c r="R300" s="1487"/>
      <c r="S300" s="1487"/>
      <c r="T300" s="1487">
        <v>13610.5</v>
      </c>
      <c r="U300" s="1487">
        <v>12989.03</v>
      </c>
      <c r="V300" s="1487">
        <v>18865.73</v>
      </c>
      <c r="W300" s="1487">
        <v>9138.2999999999993</v>
      </c>
      <c r="X300" s="1487"/>
      <c r="Y300" s="1487"/>
      <c r="Z300" s="1487"/>
      <c r="AA300" s="1487"/>
      <c r="AB300" s="1489"/>
      <c r="AF300" s="395"/>
      <c r="AG300" s="395"/>
      <c r="AH300" s="395"/>
    </row>
    <row r="301" spans="1:34">
      <c r="A301" s="2048" t="s">
        <v>2170</v>
      </c>
      <c r="B301" s="1999"/>
      <c r="C301" s="583"/>
      <c r="D301" s="583"/>
      <c r="E301" s="583"/>
      <c r="F301" s="583"/>
      <c r="G301" s="583"/>
      <c r="H301" s="397"/>
      <c r="I301" s="397"/>
      <c r="J301" s="397"/>
      <c r="K301" s="397"/>
      <c r="L301" s="1998"/>
      <c r="M301" s="1487"/>
      <c r="N301" s="1487"/>
      <c r="O301" s="1487"/>
      <c r="P301" s="1487"/>
      <c r="Q301" s="1487"/>
      <c r="R301" s="1487"/>
      <c r="S301" s="1487"/>
      <c r="T301" s="1487"/>
      <c r="U301" s="1487"/>
      <c r="V301" s="1487"/>
      <c r="W301" s="1487"/>
      <c r="X301" s="1487"/>
      <c r="Y301" s="1487"/>
      <c r="Z301" s="1487"/>
      <c r="AA301" s="1487"/>
      <c r="AB301" s="1489"/>
      <c r="AF301" s="395"/>
      <c r="AG301" s="395"/>
      <c r="AH301" s="395"/>
    </row>
    <row r="302" spans="1:34">
      <c r="A302" s="1997" t="s">
        <v>2171</v>
      </c>
      <c r="B302" s="583"/>
      <c r="C302" s="583"/>
      <c r="D302" s="583"/>
      <c r="E302" s="583"/>
      <c r="F302" s="583"/>
      <c r="G302" s="583"/>
      <c r="H302" s="397" t="s">
        <v>1832</v>
      </c>
      <c r="I302" s="397"/>
      <c r="J302" s="397"/>
      <c r="K302" s="397"/>
      <c r="L302" s="1998"/>
      <c r="M302" s="1487"/>
      <c r="N302" s="1487"/>
      <c r="O302" s="1487"/>
      <c r="P302" s="1487"/>
      <c r="Q302" s="1487"/>
      <c r="R302" s="1487"/>
      <c r="S302" s="1487"/>
      <c r="T302" s="1487"/>
      <c r="U302" s="1487"/>
      <c r="V302" s="1487"/>
      <c r="W302" s="1487">
        <v>7325.64</v>
      </c>
      <c r="X302" s="1487">
        <v>6285.75</v>
      </c>
      <c r="Y302" s="1487">
        <v>4817.83</v>
      </c>
      <c r="Z302" s="1487"/>
      <c r="AA302" s="1487"/>
      <c r="AB302" s="1489"/>
      <c r="AF302" s="395"/>
      <c r="AG302" s="395"/>
      <c r="AH302" s="395"/>
    </row>
    <row r="303" spans="1:34">
      <c r="A303" s="1997" t="s">
        <v>2172</v>
      </c>
      <c r="B303" s="583" t="s">
        <v>7444</v>
      </c>
      <c r="C303" s="583"/>
      <c r="D303" s="583"/>
      <c r="E303" s="583"/>
      <c r="F303" s="583"/>
      <c r="G303" s="583"/>
      <c r="H303" s="397" t="s">
        <v>2146</v>
      </c>
      <c r="I303" s="397"/>
      <c r="J303" s="397"/>
      <c r="K303" s="397"/>
      <c r="L303" s="1998"/>
      <c r="M303" s="1487"/>
      <c r="N303" s="1487"/>
      <c r="O303" s="1487"/>
      <c r="P303" s="1487"/>
      <c r="Q303" s="1487"/>
      <c r="R303" s="1487"/>
      <c r="S303" s="1487"/>
      <c r="T303" s="1487"/>
      <c r="U303" s="1487"/>
      <c r="V303" s="1487"/>
      <c r="W303" s="1487">
        <v>634.49</v>
      </c>
      <c r="X303" s="1487">
        <v>5163.47</v>
      </c>
      <c r="Y303" s="1487">
        <v>6064.65</v>
      </c>
      <c r="Z303" s="1487">
        <v>12864.8</v>
      </c>
      <c r="AA303" s="1487">
        <v>16609.73</v>
      </c>
      <c r="AB303" s="1489"/>
      <c r="AF303" s="395"/>
      <c r="AG303" s="395"/>
      <c r="AH303" s="395"/>
    </row>
    <row r="304" spans="1:34">
      <c r="A304" s="1997" t="s">
        <v>2173</v>
      </c>
      <c r="B304" s="583" t="s">
        <v>7445</v>
      </c>
      <c r="C304" s="583"/>
      <c r="D304" s="583"/>
      <c r="E304" s="583"/>
      <c r="F304" s="583"/>
      <c r="G304" s="583"/>
      <c r="H304" s="397" t="s">
        <v>2174</v>
      </c>
      <c r="I304" s="397"/>
      <c r="J304" s="397"/>
      <c r="K304" s="397"/>
      <c r="L304" s="1998"/>
      <c r="M304" s="1487"/>
      <c r="N304" s="1487"/>
      <c r="O304" s="1487"/>
      <c r="P304" s="1487"/>
      <c r="Q304" s="1487"/>
      <c r="R304" s="1487"/>
      <c r="S304" s="1487"/>
      <c r="T304" s="1487"/>
      <c r="U304" s="1487"/>
      <c r="V304" s="1487"/>
      <c r="W304" s="1487">
        <v>1200</v>
      </c>
      <c r="X304" s="1487">
        <v>1894.91</v>
      </c>
      <c r="Y304" s="1487">
        <v>1592.52</v>
      </c>
      <c r="Z304" s="1487">
        <v>3360.7</v>
      </c>
      <c r="AA304" s="1487">
        <v>737.38</v>
      </c>
      <c r="AB304" s="1489"/>
      <c r="AF304" s="395"/>
      <c r="AG304" s="395"/>
      <c r="AH304" s="395"/>
    </row>
    <row r="305" spans="1:34">
      <c r="A305" s="1997" t="s">
        <v>2175</v>
      </c>
      <c r="B305" s="583" t="s">
        <v>7446</v>
      </c>
      <c r="C305" s="583"/>
      <c r="D305" s="583"/>
      <c r="E305" s="583"/>
      <c r="F305" s="583"/>
      <c r="G305" s="583"/>
      <c r="H305" s="397" t="s">
        <v>1322</v>
      </c>
      <c r="I305" s="397"/>
      <c r="J305" s="397"/>
      <c r="K305" s="397"/>
      <c r="L305" s="1998"/>
      <c r="M305" s="1487"/>
      <c r="N305" s="1487"/>
      <c r="O305" s="1487"/>
      <c r="P305" s="1487"/>
      <c r="Q305" s="1487"/>
      <c r="R305" s="1487"/>
      <c r="S305" s="1487"/>
      <c r="T305" s="1487"/>
      <c r="U305" s="1487"/>
      <c r="V305" s="1487"/>
      <c r="W305" s="1487">
        <v>9643.9599999999991</v>
      </c>
      <c r="X305" s="1487">
        <v>20082.830000000002</v>
      </c>
      <c r="Y305" s="1487">
        <v>25019.29</v>
      </c>
      <c r="Z305" s="1487">
        <v>24528.69</v>
      </c>
      <c r="AA305" s="1487">
        <v>27226.93</v>
      </c>
      <c r="AB305" s="1489"/>
      <c r="AF305" s="395"/>
      <c r="AG305" s="395"/>
      <c r="AH305" s="395"/>
    </row>
    <row r="306" spans="1:34">
      <c r="A306" s="1997" t="s">
        <v>2176</v>
      </c>
      <c r="B306" s="583" t="s">
        <v>7447</v>
      </c>
      <c r="C306" s="583"/>
      <c r="D306" s="583"/>
      <c r="E306" s="583"/>
      <c r="F306" s="583"/>
      <c r="G306" s="583"/>
      <c r="H306" s="397" t="s">
        <v>1324</v>
      </c>
      <c r="I306" s="397"/>
      <c r="J306" s="397"/>
      <c r="K306" s="397"/>
      <c r="L306" s="1998"/>
      <c r="M306" s="1487"/>
      <c r="N306" s="1487"/>
      <c r="O306" s="1487"/>
      <c r="P306" s="1487"/>
      <c r="Q306" s="1487"/>
      <c r="R306" s="1487"/>
      <c r="S306" s="1487"/>
      <c r="T306" s="1487"/>
      <c r="U306" s="1487"/>
      <c r="V306" s="1487"/>
      <c r="W306" s="1487">
        <v>4311.79</v>
      </c>
      <c r="X306" s="1487">
        <v>13376.02</v>
      </c>
      <c r="Y306" s="1487">
        <v>8212.7099999999991</v>
      </c>
      <c r="Z306" s="1487">
        <v>5847.22</v>
      </c>
      <c r="AA306" s="1487">
        <v>16180.05</v>
      </c>
      <c r="AB306" s="1489"/>
      <c r="AF306" s="395"/>
      <c r="AG306" s="395"/>
      <c r="AH306" s="395"/>
    </row>
    <row r="307" spans="1:34">
      <c r="A307" s="1997" t="s">
        <v>2177</v>
      </c>
      <c r="B307" s="583" t="s">
        <v>7448</v>
      </c>
      <c r="C307" s="583"/>
      <c r="D307" s="583"/>
      <c r="E307" s="583"/>
      <c r="F307" s="583"/>
      <c r="G307" s="583"/>
      <c r="H307" s="397" t="s">
        <v>1375</v>
      </c>
      <c r="I307" s="397"/>
      <c r="J307" s="397"/>
      <c r="K307" s="397"/>
      <c r="L307" s="1998"/>
      <c r="M307" s="1487"/>
      <c r="N307" s="1487"/>
      <c r="O307" s="1487"/>
      <c r="P307" s="1487"/>
      <c r="Q307" s="1487"/>
      <c r="R307" s="1487"/>
      <c r="S307" s="1487"/>
      <c r="T307" s="1487"/>
      <c r="U307" s="1487"/>
      <c r="V307" s="1487"/>
      <c r="W307" s="1487">
        <v>935.91</v>
      </c>
      <c r="X307" s="1487">
        <v>606.17999999999995</v>
      </c>
      <c r="Y307" s="1487">
        <v>2249.96</v>
      </c>
      <c r="Z307" s="1487">
        <v>3553.92</v>
      </c>
      <c r="AA307" s="1487">
        <v>1192.3699999999999</v>
      </c>
      <c r="AB307" s="1489"/>
      <c r="AF307" s="395"/>
      <c r="AG307" s="395"/>
      <c r="AH307" s="395"/>
    </row>
    <row r="308" spans="1:34">
      <c r="A308" s="1997" t="s">
        <v>2178</v>
      </c>
      <c r="B308" s="583" t="s">
        <v>7449</v>
      </c>
      <c r="C308" s="583"/>
      <c r="D308" s="583"/>
      <c r="E308" s="583"/>
      <c r="F308" s="583"/>
      <c r="G308" s="583"/>
      <c r="H308" s="397" t="s">
        <v>1678</v>
      </c>
      <c r="I308" s="397"/>
      <c r="J308" s="397"/>
      <c r="K308" s="397"/>
      <c r="L308" s="1998"/>
      <c r="M308" s="1487"/>
      <c r="N308" s="1487"/>
      <c r="O308" s="1487"/>
      <c r="P308" s="1487"/>
      <c r="Q308" s="1487"/>
      <c r="R308" s="1487"/>
      <c r="S308" s="1487"/>
      <c r="T308" s="1487"/>
      <c r="U308" s="1487"/>
      <c r="V308" s="1487"/>
      <c r="W308" s="1487">
        <v>1195.0999999999999</v>
      </c>
      <c r="X308" s="1487">
        <v>2759.61</v>
      </c>
      <c r="Y308" s="1487">
        <v>2692.48</v>
      </c>
      <c r="Z308" s="1487">
        <v>2772.3</v>
      </c>
      <c r="AA308" s="1487">
        <v>2855.5</v>
      </c>
      <c r="AB308" s="1489"/>
      <c r="AF308" s="395"/>
      <c r="AG308" s="395"/>
      <c r="AH308" s="395"/>
    </row>
    <row r="309" spans="1:34">
      <c r="A309" s="1997" t="s">
        <v>2179</v>
      </c>
      <c r="B309" s="583" t="s">
        <v>7450</v>
      </c>
      <c r="C309" s="583"/>
      <c r="D309" s="583"/>
      <c r="E309" s="583"/>
      <c r="F309" s="583"/>
      <c r="G309" s="583"/>
      <c r="H309" s="397" t="s">
        <v>2180</v>
      </c>
      <c r="I309" s="397"/>
      <c r="J309" s="397"/>
      <c r="K309" s="397"/>
      <c r="L309" s="1998"/>
      <c r="M309" s="1487"/>
      <c r="N309" s="1487"/>
      <c r="O309" s="1487"/>
      <c r="P309" s="1487"/>
      <c r="Q309" s="1487"/>
      <c r="R309" s="1487"/>
      <c r="S309" s="1487"/>
      <c r="T309" s="1487"/>
      <c r="U309" s="1487"/>
      <c r="V309" s="1487"/>
      <c r="W309" s="1487">
        <v>1527.21</v>
      </c>
      <c r="X309" s="1487">
        <f>18980.73-17682.4</f>
        <v>1298.3299999999981</v>
      </c>
      <c r="Y309" s="1487">
        <v>2779.26</v>
      </c>
      <c r="Z309" s="1487">
        <v>2859.98</v>
      </c>
      <c r="AA309" s="1487">
        <v>2880.76</v>
      </c>
      <c r="AB309" s="1489"/>
      <c r="AF309" s="395"/>
      <c r="AG309" s="395"/>
      <c r="AH309" s="395"/>
    </row>
    <row r="310" spans="1:34">
      <c r="A310" s="1997" t="s">
        <v>2181</v>
      </c>
      <c r="B310" s="583"/>
      <c r="C310" s="583"/>
      <c r="D310" s="583"/>
      <c r="E310" s="583"/>
      <c r="F310" s="583"/>
      <c r="G310" s="583"/>
      <c r="H310" s="397" t="s">
        <v>2182</v>
      </c>
      <c r="I310" s="397"/>
      <c r="J310" s="397"/>
      <c r="K310" s="397"/>
      <c r="L310" s="1998"/>
      <c r="M310" s="1487"/>
      <c r="N310" s="1487"/>
      <c r="O310" s="1487"/>
      <c r="P310" s="1487"/>
      <c r="Q310" s="1487"/>
      <c r="R310" s="1487"/>
      <c r="S310" s="1487"/>
      <c r="T310" s="1487"/>
      <c r="U310" s="1487"/>
      <c r="V310" s="1487"/>
      <c r="W310" s="1487">
        <v>739.48</v>
      </c>
      <c r="X310" s="1487">
        <v>315.25</v>
      </c>
      <c r="Y310" s="1487">
        <v>146.35</v>
      </c>
      <c r="Z310" s="1487"/>
      <c r="AA310" s="1487"/>
      <c r="AB310" s="1489"/>
      <c r="AF310" s="395"/>
      <c r="AG310" s="395"/>
      <c r="AH310" s="395"/>
    </row>
    <row r="311" spans="1:34">
      <c r="A311" s="1997" t="s">
        <v>2183</v>
      </c>
      <c r="B311" s="583" t="s">
        <v>7451</v>
      </c>
      <c r="C311" s="583"/>
      <c r="D311" s="583"/>
      <c r="E311" s="583"/>
      <c r="F311" s="583"/>
      <c r="G311" s="583"/>
      <c r="H311" s="397" t="s">
        <v>1092</v>
      </c>
      <c r="I311" s="397"/>
      <c r="J311" s="397"/>
      <c r="K311" s="397"/>
      <c r="L311" s="1998"/>
      <c r="M311" s="1487"/>
      <c r="N311" s="1487"/>
      <c r="O311" s="1487"/>
      <c r="P311" s="1487"/>
      <c r="Q311" s="1487"/>
      <c r="R311" s="1487"/>
      <c r="S311" s="1487"/>
      <c r="T311" s="1487"/>
      <c r="U311" s="1487"/>
      <c r="V311" s="1487"/>
      <c r="W311" s="1487"/>
      <c r="X311" s="1487">
        <v>188.75</v>
      </c>
      <c r="Y311" s="1487">
        <v>125.84</v>
      </c>
      <c r="Z311" s="1487">
        <v>600.24</v>
      </c>
      <c r="AA311" s="1487">
        <v>1424.03</v>
      </c>
      <c r="AB311" s="1489"/>
      <c r="AF311" s="395"/>
      <c r="AG311" s="395"/>
      <c r="AH311" s="395"/>
    </row>
    <row r="312" spans="1:34">
      <c r="A312" s="1997" t="s">
        <v>2184</v>
      </c>
      <c r="B312" s="583"/>
      <c r="C312" s="583"/>
      <c r="D312" s="583"/>
      <c r="E312" s="583"/>
      <c r="F312" s="583"/>
      <c r="G312" s="583"/>
      <c r="H312" s="397" t="s">
        <v>2185</v>
      </c>
      <c r="I312" s="397"/>
      <c r="J312" s="397"/>
      <c r="K312" s="397"/>
      <c r="L312" s="1998"/>
      <c r="M312" s="1487"/>
      <c r="N312" s="1487"/>
      <c r="O312" s="1487"/>
      <c r="P312" s="1487"/>
      <c r="Q312" s="1487"/>
      <c r="R312" s="1487"/>
      <c r="S312" s="1487"/>
      <c r="T312" s="1487"/>
      <c r="U312" s="1487"/>
      <c r="V312" s="1487"/>
      <c r="W312" s="1487"/>
      <c r="X312" s="1487">
        <v>9240</v>
      </c>
      <c r="Y312" s="1487"/>
      <c r="Z312" s="1487"/>
      <c r="AA312" s="1487"/>
      <c r="AB312" s="1489"/>
      <c r="AF312" s="395"/>
      <c r="AG312" s="395"/>
      <c r="AH312" s="395"/>
    </row>
    <row r="313" spans="1:34">
      <c r="A313" s="1997" t="s">
        <v>2186</v>
      </c>
      <c r="B313" s="583" t="s">
        <v>7452</v>
      </c>
      <c r="C313" s="583"/>
      <c r="D313" s="583"/>
      <c r="E313" s="583"/>
      <c r="F313" s="583"/>
      <c r="G313" s="583"/>
      <c r="H313" s="397" t="s">
        <v>2187</v>
      </c>
      <c r="I313" s="397"/>
      <c r="J313" s="397"/>
      <c r="K313" s="397"/>
      <c r="L313" s="1998"/>
      <c r="M313" s="1487"/>
      <c r="N313" s="1487"/>
      <c r="O313" s="1487"/>
      <c r="P313" s="1487"/>
      <c r="Q313" s="1487"/>
      <c r="R313" s="1487"/>
      <c r="S313" s="1487"/>
      <c r="T313" s="1487"/>
      <c r="U313" s="1487"/>
      <c r="V313" s="1487"/>
      <c r="W313" s="1487"/>
      <c r="X313" s="1487">
        <v>4208.88</v>
      </c>
      <c r="Y313" s="1487">
        <v>2650.13</v>
      </c>
      <c r="Z313" s="1487">
        <v>842.51</v>
      </c>
      <c r="AA313" s="1487">
        <v>584.59</v>
      </c>
      <c r="AB313" s="1489"/>
      <c r="AF313" s="395"/>
      <c r="AG313" s="395"/>
      <c r="AH313" s="395"/>
    </row>
    <row r="314" spans="1:34">
      <c r="A314" s="1997" t="s">
        <v>2188</v>
      </c>
      <c r="B314" s="583" t="s">
        <v>7453</v>
      </c>
      <c r="C314" s="583"/>
      <c r="D314" s="583"/>
      <c r="E314" s="583"/>
      <c r="F314" s="583"/>
      <c r="G314" s="583"/>
      <c r="H314" s="397" t="s">
        <v>1355</v>
      </c>
      <c r="I314" s="397"/>
      <c r="J314" s="397"/>
      <c r="K314" s="397"/>
      <c r="L314" s="1998"/>
      <c r="M314" s="1487"/>
      <c r="N314" s="1487"/>
      <c r="O314" s="1487"/>
      <c r="P314" s="1487"/>
      <c r="Q314" s="1487"/>
      <c r="R314" s="1487"/>
      <c r="S314" s="1487"/>
      <c r="T314" s="1487"/>
      <c r="U314" s="1487"/>
      <c r="V314" s="1487"/>
      <c r="W314" s="1487"/>
      <c r="X314" s="1487">
        <v>2592.37</v>
      </c>
      <c r="Y314" s="1487">
        <v>3185.49</v>
      </c>
      <c r="Z314" s="1487">
        <v>11129.41</v>
      </c>
      <c r="AA314" s="1487">
        <v>3870</v>
      </c>
      <c r="AB314" s="1489"/>
      <c r="AF314" s="395"/>
      <c r="AG314" s="395"/>
      <c r="AH314" s="395"/>
    </row>
    <row r="315" spans="1:34">
      <c r="A315" s="2004" t="s">
        <v>1162</v>
      </c>
      <c r="B315" s="2047"/>
      <c r="C315" s="2047"/>
      <c r="D315" s="2047"/>
      <c r="E315" s="2047"/>
      <c r="F315" s="2047"/>
      <c r="G315" s="2047"/>
      <c r="H315" s="2006"/>
      <c r="I315" s="2006"/>
      <c r="J315" s="2006"/>
      <c r="K315" s="2006"/>
      <c r="L315" s="2006"/>
      <c r="M315" s="2005">
        <f t="shared" ref="M315:S315" si="56">SUM(M264:M277)</f>
        <v>70953.430000000008</v>
      </c>
      <c r="N315" s="2005">
        <f t="shared" si="56"/>
        <v>75878.240000000005</v>
      </c>
      <c r="O315" s="2005">
        <f t="shared" si="56"/>
        <v>77174.73000000001</v>
      </c>
      <c r="P315" s="2005">
        <f t="shared" si="56"/>
        <v>91525.860000000015</v>
      </c>
      <c r="Q315" s="2005">
        <f t="shared" si="56"/>
        <v>84530.239999999991</v>
      </c>
      <c r="R315" s="2005">
        <f t="shared" si="56"/>
        <v>82342.37999999999</v>
      </c>
      <c r="S315" s="2005">
        <f t="shared" si="56"/>
        <v>78659.659999999989</v>
      </c>
      <c r="T315" s="2005">
        <f t="shared" ref="T315:AB315" si="57">SUM(T264:T314)</f>
        <v>90715.260000000009</v>
      </c>
      <c r="U315" s="2005">
        <f t="shared" si="57"/>
        <v>80056.459999999992</v>
      </c>
      <c r="V315" s="2005">
        <f t="shared" si="57"/>
        <v>85119.41</v>
      </c>
      <c r="W315" s="2005">
        <f t="shared" si="57"/>
        <v>90233.150000000009</v>
      </c>
      <c r="X315" s="2005">
        <f t="shared" si="57"/>
        <v>138914.30000000005</v>
      </c>
      <c r="Y315" s="2005">
        <f t="shared" si="57"/>
        <v>118177.08000000002</v>
      </c>
      <c r="Z315" s="2005">
        <f t="shared" si="57"/>
        <v>142687.1</v>
      </c>
      <c r="AA315" s="2005">
        <f t="shared" si="57"/>
        <v>121477.31999999999</v>
      </c>
      <c r="AB315" s="3150">
        <f t="shared" si="57"/>
        <v>0</v>
      </c>
      <c r="AF315" s="395"/>
      <c r="AG315" s="395"/>
      <c r="AH315" s="395"/>
    </row>
    <row r="316" spans="1:34">
      <c r="A316" s="2048" t="s">
        <v>1163</v>
      </c>
      <c r="B316" s="1999"/>
      <c r="C316" s="1999"/>
      <c r="D316" s="1999"/>
      <c r="E316" s="1999"/>
      <c r="F316" s="1999"/>
      <c r="G316" s="1999"/>
      <c r="H316" s="397"/>
      <c r="I316" s="397"/>
      <c r="J316" s="397"/>
      <c r="K316" s="397"/>
      <c r="L316" s="1996"/>
      <c r="M316" s="1487"/>
      <c r="N316" s="1487"/>
      <c r="O316" s="1487"/>
      <c r="P316" s="397"/>
      <c r="Q316" s="397"/>
      <c r="R316" s="397"/>
      <c r="S316" s="397"/>
      <c r="T316" s="397"/>
      <c r="U316" s="1487"/>
      <c r="V316" s="1487"/>
      <c r="W316" s="1487"/>
      <c r="X316" s="1487"/>
      <c r="Y316" s="1487"/>
      <c r="Z316" s="1487"/>
      <c r="AA316" s="1487"/>
      <c r="AB316" s="1489"/>
      <c r="AF316" s="395"/>
      <c r="AG316" s="395"/>
      <c r="AH316" s="395"/>
    </row>
    <row r="317" spans="1:34">
      <c r="A317" s="1997" t="s">
        <v>2189</v>
      </c>
      <c r="B317" s="583"/>
      <c r="C317" s="583"/>
      <c r="D317" s="583"/>
      <c r="E317" s="583"/>
      <c r="F317" s="583"/>
      <c r="G317" s="583"/>
      <c r="H317" s="397" t="s">
        <v>1604</v>
      </c>
      <c r="I317" s="397"/>
      <c r="J317" s="397"/>
      <c r="K317" s="397"/>
      <c r="L317" s="1998"/>
      <c r="M317" s="1487">
        <v>0</v>
      </c>
      <c r="N317" s="1487">
        <v>0</v>
      </c>
      <c r="O317" s="1487">
        <v>0</v>
      </c>
      <c r="P317" s="1487">
        <v>20</v>
      </c>
      <c r="Q317" s="1487">
        <v>0</v>
      </c>
      <c r="R317" s="1487">
        <v>0</v>
      </c>
      <c r="S317" s="1487">
        <v>46</v>
      </c>
      <c r="T317" s="397"/>
      <c r="U317" s="1487"/>
      <c r="V317" s="1487"/>
      <c r="W317" s="1487"/>
      <c r="X317" s="1487"/>
      <c r="Y317" s="1487"/>
      <c r="Z317" s="1487"/>
      <c r="AA317" s="1487"/>
      <c r="AB317" s="1489"/>
      <c r="AF317" s="395"/>
      <c r="AG317" s="395"/>
      <c r="AH317" s="395"/>
    </row>
    <row r="318" spans="1:34">
      <c r="A318" s="1997" t="s">
        <v>2190</v>
      </c>
      <c r="B318" s="583"/>
      <c r="C318" s="583"/>
      <c r="D318" s="583"/>
      <c r="E318" s="583"/>
      <c r="F318" s="583"/>
      <c r="G318" s="583"/>
      <c r="H318" s="397" t="s">
        <v>1178</v>
      </c>
      <c r="I318" s="397"/>
      <c r="J318" s="397"/>
      <c r="K318" s="397"/>
      <c r="L318" s="2002"/>
      <c r="M318" s="1487">
        <v>0</v>
      </c>
      <c r="N318" s="1487">
        <v>0</v>
      </c>
      <c r="O318" s="1487">
        <v>0</v>
      </c>
      <c r="P318" s="1487">
        <v>0</v>
      </c>
      <c r="Q318" s="1487">
        <v>0</v>
      </c>
      <c r="R318" s="1487">
        <v>0</v>
      </c>
      <c r="S318" s="397"/>
      <c r="T318" s="397"/>
      <c r="U318" s="1487"/>
      <c r="V318" s="1487"/>
      <c r="W318" s="1487"/>
      <c r="X318" s="1487"/>
      <c r="Y318" s="1487"/>
      <c r="Z318" s="1487"/>
      <c r="AA318" s="1487"/>
      <c r="AB318" s="1489"/>
      <c r="AF318" s="395"/>
      <c r="AG318" s="395"/>
      <c r="AH318" s="395"/>
    </row>
    <row r="319" spans="1:34">
      <c r="A319" s="2004" t="s">
        <v>1181</v>
      </c>
      <c r="B319" s="2047"/>
      <c r="C319" s="2047"/>
      <c r="D319" s="2047"/>
      <c r="E319" s="2047"/>
      <c r="F319" s="2047"/>
      <c r="G319" s="2047"/>
      <c r="H319" s="2006"/>
      <c r="I319" s="2006"/>
      <c r="J319" s="2006"/>
      <c r="K319" s="2006"/>
      <c r="L319" s="2006"/>
      <c r="M319" s="2005">
        <f t="shared" ref="M319:AB319" si="58">SUM(M317:M318)</f>
        <v>0</v>
      </c>
      <c r="N319" s="2005">
        <f t="shared" si="58"/>
        <v>0</v>
      </c>
      <c r="O319" s="2005">
        <f t="shared" si="58"/>
        <v>0</v>
      </c>
      <c r="P319" s="2005">
        <f t="shared" si="58"/>
        <v>20</v>
      </c>
      <c r="Q319" s="2005">
        <f t="shared" si="58"/>
        <v>0</v>
      </c>
      <c r="R319" s="2005">
        <f t="shared" si="58"/>
        <v>0</v>
      </c>
      <c r="S319" s="2005">
        <f t="shared" si="58"/>
        <v>46</v>
      </c>
      <c r="T319" s="2005">
        <f t="shared" si="58"/>
        <v>0</v>
      </c>
      <c r="U319" s="2005">
        <f t="shared" si="58"/>
        <v>0</v>
      </c>
      <c r="V319" s="2005">
        <f t="shared" si="58"/>
        <v>0</v>
      </c>
      <c r="W319" s="2005">
        <f t="shared" si="58"/>
        <v>0</v>
      </c>
      <c r="X319" s="2005">
        <f t="shared" si="58"/>
        <v>0</v>
      </c>
      <c r="Y319" s="2005">
        <f t="shared" si="58"/>
        <v>0</v>
      </c>
      <c r="Z319" s="2005">
        <f t="shared" si="58"/>
        <v>0</v>
      </c>
      <c r="AA319" s="2005">
        <f t="shared" si="58"/>
        <v>0</v>
      </c>
      <c r="AB319" s="3150">
        <f t="shared" si="58"/>
        <v>0</v>
      </c>
      <c r="AF319" s="395"/>
      <c r="AG319" s="395"/>
      <c r="AH319" s="395"/>
    </row>
    <row r="320" spans="1:34">
      <c r="A320" s="2048" t="s">
        <v>47</v>
      </c>
      <c r="B320" s="1999"/>
      <c r="C320" s="1999"/>
      <c r="D320" s="1999"/>
      <c r="E320" s="1999"/>
      <c r="F320" s="1999"/>
      <c r="G320" s="1999"/>
      <c r="H320" s="397"/>
      <c r="I320" s="397"/>
      <c r="J320" s="397"/>
      <c r="K320" s="397"/>
      <c r="L320" s="1996"/>
      <c r="M320" s="1487"/>
      <c r="N320" s="1487"/>
      <c r="O320" s="1487"/>
      <c r="P320" s="397"/>
      <c r="Q320" s="397"/>
      <c r="R320" s="397"/>
      <c r="S320" s="397"/>
      <c r="T320" s="397"/>
      <c r="U320" s="1487"/>
      <c r="V320" s="1487"/>
      <c r="W320" s="1487"/>
      <c r="X320" s="1487"/>
      <c r="Y320" s="1487"/>
      <c r="Z320" s="1487"/>
      <c r="AA320" s="1487"/>
      <c r="AB320" s="1489"/>
      <c r="AF320" s="395"/>
      <c r="AG320" s="395"/>
      <c r="AH320" s="395"/>
    </row>
    <row r="321" spans="1:34">
      <c r="A321" s="1997"/>
      <c r="B321" s="583"/>
      <c r="C321" s="583"/>
      <c r="D321" s="583"/>
      <c r="E321" s="583"/>
      <c r="F321" s="583"/>
      <c r="G321" s="583"/>
      <c r="H321" s="397" t="s">
        <v>1182</v>
      </c>
      <c r="I321" s="397"/>
      <c r="J321" s="397"/>
      <c r="K321" s="397"/>
      <c r="L321" s="1998"/>
      <c r="M321" s="1487"/>
      <c r="N321" s="1487"/>
      <c r="O321" s="1487"/>
      <c r="P321" s="1487"/>
      <c r="Q321" s="1487"/>
      <c r="R321" s="397"/>
      <c r="S321" s="397"/>
      <c r="T321" s="397"/>
      <c r="U321" s="1487"/>
      <c r="V321" s="1487"/>
      <c r="W321" s="1487"/>
      <c r="X321" s="1487"/>
      <c r="Y321" s="1487"/>
      <c r="Z321" s="1487"/>
      <c r="AA321" s="1487"/>
      <c r="AB321" s="1489"/>
      <c r="AF321" s="395"/>
      <c r="AG321" s="395"/>
      <c r="AH321" s="395"/>
    </row>
    <row r="322" spans="1:34">
      <c r="A322" s="1997"/>
      <c r="B322" s="583"/>
      <c r="C322" s="583"/>
      <c r="D322" s="583"/>
      <c r="E322" s="583"/>
      <c r="F322" s="583"/>
      <c r="G322" s="583"/>
      <c r="H322" s="397" t="s">
        <v>1183</v>
      </c>
      <c r="I322" s="397"/>
      <c r="J322" s="397"/>
      <c r="K322" s="397"/>
      <c r="L322" s="1998"/>
      <c r="M322" s="1487"/>
      <c r="N322" s="1487"/>
      <c r="O322" s="1487"/>
      <c r="P322" s="1487"/>
      <c r="Q322" s="1487"/>
      <c r="R322" s="397"/>
      <c r="S322" s="397"/>
      <c r="T322" s="397"/>
      <c r="U322" s="1487"/>
      <c r="V322" s="1487"/>
      <c r="W322" s="1487"/>
      <c r="X322" s="1487"/>
      <c r="Y322" s="1487"/>
      <c r="Z322" s="1487"/>
      <c r="AA322" s="1487"/>
      <c r="AB322" s="1489"/>
      <c r="AF322" s="395"/>
      <c r="AG322" s="395"/>
      <c r="AH322" s="395"/>
    </row>
    <row r="323" spans="1:34">
      <c r="A323" s="1997"/>
      <c r="B323" s="583"/>
      <c r="C323" s="583"/>
      <c r="D323" s="583"/>
      <c r="E323" s="583"/>
      <c r="F323" s="583"/>
      <c r="G323" s="583"/>
      <c r="H323" s="397" t="s">
        <v>1184</v>
      </c>
      <c r="I323" s="397"/>
      <c r="J323" s="397"/>
      <c r="K323" s="397"/>
      <c r="L323" s="2002"/>
      <c r="M323" s="1487">
        <f t="shared" ref="M323:X323" si="59">M400</f>
        <v>0</v>
      </c>
      <c r="N323" s="1487">
        <f t="shared" si="59"/>
        <v>24727.708999999999</v>
      </c>
      <c r="O323" s="1487">
        <f t="shared" si="59"/>
        <v>86654.241999999998</v>
      </c>
      <c r="P323" s="1487">
        <f t="shared" si="59"/>
        <v>104572.64600000001</v>
      </c>
      <c r="Q323" s="1487">
        <f t="shared" si="59"/>
        <v>127829.024</v>
      </c>
      <c r="R323" s="1487">
        <f t="shared" si="59"/>
        <v>141114.334</v>
      </c>
      <c r="S323" s="1487">
        <f t="shared" si="59"/>
        <v>133035.82999999999</v>
      </c>
      <c r="T323" s="1487">
        <f t="shared" si="59"/>
        <v>143019.38999999998</v>
      </c>
      <c r="U323" s="1487">
        <f t="shared" si="59"/>
        <v>145132.29866666664</v>
      </c>
      <c r="V323" s="1487">
        <f t="shared" si="59"/>
        <v>164002.7093333333</v>
      </c>
      <c r="W323" s="1487">
        <f t="shared" si="59"/>
        <v>307957.09933333332</v>
      </c>
      <c r="X323" s="1487">
        <f t="shared" si="59"/>
        <v>340920.24116666667</v>
      </c>
      <c r="Y323" s="1487">
        <f>Y400</f>
        <v>341313.16816666664</v>
      </c>
      <c r="Z323" s="1487">
        <f>Z400</f>
        <v>221190.03883333332</v>
      </c>
      <c r="AA323" s="1487">
        <f>AA400</f>
        <v>257961.36383333334</v>
      </c>
      <c r="AB323" s="1489">
        <f>AB400</f>
        <v>246425.64383333334</v>
      </c>
      <c r="AF323" s="395"/>
      <c r="AG323" s="395"/>
      <c r="AH323" s="395"/>
    </row>
    <row r="324" spans="1:34">
      <c r="A324" s="2004" t="s">
        <v>1185</v>
      </c>
      <c r="B324" s="2047"/>
      <c r="C324" s="2047"/>
      <c r="D324" s="2047"/>
      <c r="E324" s="2047"/>
      <c r="F324" s="2047"/>
      <c r="G324" s="2047"/>
      <c r="H324" s="2006"/>
      <c r="I324" s="2006"/>
      <c r="J324" s="2006"/>
      <c r="K324" s="2006"/>
      <c r="L324" s="2006"/>
      <c r="M324" s="2005">
        <f>SUM(M321:M323)</f>
        <v>0</v>
      </c>
      <c r="N324" s="2005">
        <f t="shared" ref="N324:S324" si="60">SUM(N321:N323)</f>
        <v>24727.708999999999</v>
      </c>
      <c r="O324" s="2005">
        <f t="shared" si="60"/>
        <v>86654.241999999998</v>
      </c>
      <c r="P324" s="2005">
        <f t="shared" si="60"/>
        <v>104572.64600000001</v>
      </c>
      <c r="Q324" s="2005">
        <f t="shared" si="60"/>
        <v>127829.024</v>
      </c>
      <c r="R324" s="2005">
        <f t="shared" si="60"/>
        <v>141114.334</v>
      </c>
      <c r="S324" s="2005">
        <f t="shared" si="60"/>
        <v>133035.82999999999</v>
      </c>
      <c r="T324" s="2005">
        <f t="shared" ref="T324:AB324" si="61">SUM(T321:T323)</f>
        <v>143019.38999999998</v>
      </c>
      <c r="U324" s="2005">
        <f t="shared" si="61"/>
        <v>145132.29866666664</v>
      </c>
      <c r="V324" s="2005">
        <f t="shared" si="61"/>
        <v>164002.7093333333</v>
      </c>
      <c r="W324" s="2005">
        <f t="shared" si="61"/>
        <v>307957.09933333332</v>
      </c>
      <c r="X324" s="2005">
        <f t="shared" si="61"/>
        <v>340920.24116666667</v>
      </c>
      <c r="Y324" s="2005">
        <f t="shared" si="61"/>
        <v>341313.16816666664</v>
      </c>
      <c r="Z324" s="2005">
        <f t="shared" si="61"/>
        <v>221190.03883333332</v>
      </c>
      <c r="AA324" s="2005">
        <f t="shared" si="61"/>
        <v>257961.36383333334</v>
      </c>
      <c r="AB324" s="3150">
        <f t="shared" si="61"/>
        <v>246425.64383333334</v>
      </c>
      <c r="AF324" s="395"/>
      <c r="AG324" s="395"/>
      <c r="AH324" s="395"/>
    </row>
    <row r="325" spans="1:34">
      <c r="A325" s="2008" t="s">
        <v>1186</v>
      </c>
      <c r="B325" s="2022"/>
      <c r="C325" s="2022"/>
      <c r="D325" s="2022"/>
      <c r="E325" s="2022"/>
      <c r="F325" s="2022"/>
      <c r="G325" s="2022"/>
      <c r="H325" s="2010"/>
      <c r="I325" s="2010"/>
      <c r="J325" s="2010"/>
      <c r="K325" s="2010"/>
      <c r="L325" s="2010"/>
      <c r="M325" s="2009">
        <f t="shared" ref="M325:X325" si="62">M262+M315+M319+M324</f>
        <v>159777.51</v>
      </c>
      <c r="N325" s="2009">
        <f t="shared" si="62"/>
        <v>193241.40900000001</v>
      </c>
      <c r="O325" s="2009">
        <f t="shared" si="62"/>
        <v>262145.85200000001</v>
      </c>
      <c r="P325" s="2009">
        <f t="shared" si="62"/>
        <v>309477.00600000005</v>
      </c>
      <c r="Q325" s="2009">
        <f t="shared" si="62"/>
        <v>336891.57400000002</v>
      </c>
      <c r="R325" s="2009">
        <f t="shared" si="62"/>
        <v>341462.16399999999</v>
      </c>
      <c r="S325" s="2009">
        <f t="shared" si="62"/>
        <v>335917.27</v>
      </c>
      <c r="T325" s="2009">
        <f t="shared" si="62"/>
        <v>279081.27</v>
      </c>
      <c r="U325" s="2009">
        <f t="shared" si="62"/>
        <v>265797.83866666665</v>
      </c>
      <c r="V325" s="2009">
        <f t="shared" si="62"/>
        <v>249629.2993333333</v>
      </c>
      <c r="W325" s="2009">
        <f t="shared" si="62"/>
        <v>398190.24933333334</v>
      </c>
      <c r="X325" s="2009">
        <f t="shared" si="62"/>
        <v>479834.54116666672</v>
      </c>
      <c r="Y325" s="2009">
        <f>Y262+Y315+Y319+Y324</f>
        <v>459490.24816666666</v>
      </c>
      <c r="Z325" s="2009">
        <f>Z262+Z315+Z319+Z324</f>
        <v>363877.13883333333</v>
      </c>
      <c r="AA325" s="2009">
        <f>AA262+AA315+AA319+AA324</f>
        <v>379438.68383333331</v>
      </c>
      <c r="AB325" s="2070">
        <f>AB262+AB315+AB319+AB324</f>
        <v>246425.64383333334</v>
      </c>
      <c r="AF325" s="395"/>
      <c r="AG325" s="395"/>
      <c r="AH325" s="395"/>
    </row>
    <row r="326" spans="1:34">
      <c r="A326" s="1984" t="s">
        <v>1187</v>
      </c>
      <c r="B326" s="1985"/>
      <c r="C326" s="1985"/>
      <c r="D326" s="1985"/>
      <c r="E326" s="1985"/>
      <c r="F326" s="1985"/>
      <c r="G326" s="1985"/>
      <c r="H326" s="1986"/>
      <c r="I326" s="1986"/>
      <c r="J326" s="1986"/>
      <c r="K326" s="1986"/>
      <c r="L326" s="1986"/>
      <c r="M326" s="2013">
        <v>2007</v>
      </c>
      <c r="N326" s="2013">
        <v>2008</v>
      </c>
      <c r="O326" s="2013">
        <v>2009</v>
      </c>
      <c r="P326" s="2013">
        <v>2010</v>
      </c>
      <c r="Q326" s="2013">
        <v>2011</v>
      </c>
      <c r="R326" s="2013">
        <v>2012</v>
      </c>
      <c r="S326" s="2013">
        <v>2013</v>
      </c>
      <c r="T326" s="2013">
        <v>2014</v>
      </c>
      <c r="U326" s="2013">
        <v>2015</v>
      </c>
      <c r="V326" s="2013">
        <v>2016</v>
      </c>
      <c r="W326" s="2013">
        <v>2017</v>
      </c>
      <c r="X326" s="2013">
        <v>2018</v>
      </c>
      <c r="Y326" s="2013">
        <v>2019</v>
      </c>
      <c r="Z326" s="2013">
        <v>2020</v>
      </c>
      <c r="AA326" s="2013">
        <v>2021</v>
      </c>
      <c r="AB326" s="2014">
        <v>2022</v>
      </c>
      <c r="AC326" s="1972"/>
      <c r="AF326" s="395"/>
      <c r="AG326" s="395"/>
      <c r="AH326" s="395"/>
    </row>
    <row r="327" spans="1:34">
      <c r="A327" s="1997" t="s">
        <v>2191</v>
      </c>
      <c r="B327" s="583"/>
      <c r="C327" s="583"/>
      <c r="D327" s="583"/>
      <c r="E327" s="583"/>
      <c r="F327" s="583"/>
      <c r="G327" s="583"/>
      <c r="H327" s="397" t="s">
        <v>2192</v>
      </c>
      <c r="I327" s="397"/>
      <c r="J327" s="397"/>
      <c r="K327" s="397"/>
      <c r="L327" s="1996"/>
      <c r="M327" s="1487"/>
      <c r="N327" s="1487">
        <v>12000</v>
      </c>
      <c r="O327" s="1487"/>
      <c r="P327" s="1487">
        <v>3687.04</v>
      </c>
      <c r="Q327" s="1487">
        <v>235000</v>
      </c>
      <c r="R327" s="1487"/>
      <c r="S327" s="1487"/>
      <c r="T327" s="1487"/>
      <c r="U327" s="1487"/>
      <c r="V327" s="1487"/>
      <c r="W327" s="1487"/>
      <c r="X327" s="1487"/>
      <c r="Y327" s="1487"/>
      <c r="Z327" s="1487"/>
      <c r="AA327" s="1487"/>
      <c r="AB327" s="2017"/>
      <c r="AF327" s="395"/>
      <c r="AG327" s="395"/>
      <c r="AH327" s="395"/>
    </row>
    <row r="328" spans="1:34">
      <c r="A328" s="1997"/>
      <c r="B328" s="583"/>
      <c r="C328" s="583"/>
      <c r="D328" s="583"/>
      <c r="E328" s="583"/>
      <c r="F328" s="583"/>
      <c r="G328" s="583"/>
      <c r="H328" s="397" t="s">
        <v>2156</v>
      </c>
      <c r="I328" s="397"/>
      <c r="J328" s="397"/>
      <c r="K328" s="397"/>
      <c r="L328" s="1998"/>
      <c r="M328" s="1487"/>
      <c r="N328" s="1487">
        <v>899483.14</v>
      </c>
      <c r="O328" s="1487"/>
      <c r="P328" s="1487"/>
      <c r="Q328" s="1487"/>
      <c r="R328" s="1487"/>
      <c r="S328" s="1487"/>
      <c r="T328" s="1487">
        <v>3630</v>
      </c>
      <c r="U328" s="1487">
        <v>79707.81</v>
      </c>
      <c r="V328" s="1487"/>
      <c r="W328" s="1487">
        <v>10127.700000000001</v>
      </c>
      <c r="X328" s="1487"/>
      <c r="Y328" s="1487"/>
      <c r="Z328" s="1487"/>
      <c r="AA328" s="1487"/>
      <c r="AB328" s="1489"/>
      <c r="AF328" s="395"/>
      <c r="AG328" s="395"/>
      <c r="AH328" s="395"/>
    </row>
    <row r="329" spans="1:34">
      <c r="A329" s="1997"/>
      <c r="B329" s="583"/>
      <c r="C329" s="583"/>
      <c r="D329" s="583"/>
      <c r="E329" s="583"/>
      <c r="F329" s="583"/>
      <c r="G329" s="583"/>
      <c r="H329" s="397" t="s">
        <v>2193</v>
      </c>
      <c r="I329" s="397"/>
      <c r="J329" s="397"/>
      <c r="K329" s="397"/>
      <c r="L329" s="1998"/>
      <c r="M329" s="1487">
        <v>36747.17</v>
      </c>
      <c r="N329" s="1487">
        <v>19243.86</v>
      </c>
      <c r="O329" s="1487">
        <v>47700.959999999999</v>
      </c>
      <c r="P329" s="1487">
        <v>35000</v>
      </c>
      <c r="Q329" s="1487"/>
      <c r="R329" s="1487">
        <v>5653.05</v>
      </c>
      <c r="S329" s="1487"/>
      <c r="T329" s="1487"/>
      <c r="U329" s="1487"/>
      <c r="V329" s="1487"/>
      <c r="W329" s="1487">
        <v>7575.81</v>
      </c>
      <c r="X329" s="1487"/>
      <c r="Y329" s="1487">
        <v>17425.650000000001</v>
      </c>
      <c r="Z329" s="1487"/>
      <c r="AA329" s="1487"/>
      <c r="AB329" s="1489"/>
      <c r="AF329" s="395"/>
      <c r="AG329" s="395"/>
      <c r="AH329" s="395"/>
    </row>
    <row r="330" spans="1:34">
      <c r="A330" s="1997"/>
      <c r="B330" s="583"/>
      <c r="C330" s="583"/>
      <c r="D330" s="583"/>
      <c r="E330" s="583"/>
      <c r="F330" s="583"/>
      <c r="G330" s="583"/>
      <c r="H330" s="397" t="s">
        <v>2194</v>
      </c>
      <c r="I330" s="397"/>
      <c r="J330" s="397"/>
      <c r="K330" s="397"/>
      <c r="L330" s="1998"/>
      <c r="M330" s="1487"/>
      <c r="N330" s="1487"/>
      <c r="O330" s="1487"/>
      <c r="P330" s="1487"/>
      <c r="Q330" s="1487"/>
      <c r="R330" s="1487"/>
      <c r="S330" s="1487"/>
      <c r="T330" s="1487">
        <v>572324.88</v>
      </c>
      <c r="U330" s="1487">
        <v>150000</v>
      </c>
      <c r="V330" s="1487">
        <v>1102110.44</v>
      </c>
      <c r="W330" s="1487">
        <v>4293002.91</v>
      </c>
      <c r="X330" s="1487">
        <v>208498.34</v>
      </c>
      <c r="Y330" s="1487"/>
      <c r="Z330" s="1487"/>
      <c r="AA330" s="1487"/>
      <c r="AB330" s="1489"/>
      <c r="AF330" s="395"/>
      <c r="AG330" s="395"/>
      <c r="AH330" s="395"/>
    </row>
    <row r="331" spans="1:34">
      <c r="A331" s="1997"/>
      <c r="B331" s="583"/>
      <c r="C331" s="583"/>
      <c r="D331" s="583"/>
      <c r="E331" s="583"/>
      <c r="F331" s="583"/>
      <c r="G331" s="583"/>
      <c r="H331" s="397" t="s">
        <v>8091</v>
      </c>
      <c r="I331" s="397"/>
      <c r="J331" s="397"/>
      <c r="K331" s="397"/>
      <c r="L331" s="1998"/>
      <c r="M331" s="1487"/>
      <c r="N331" s="1487"/>
      <c r="O331" s="1487"/>
      <c r="P331" s="1487"/>
      <c r="Q331" s="1487"/>
      <c r="R331" s="1487"/>
      <c r="S331" s="1487"/>
      <c r="T331" s="1487"/>
      <c r="U331" s="1487"/>
      <c r="V331" s="1487"/>
      <c r="W331" s="1487"/>
      <c r="X331" s="1487"/>
      <c r="Y331" s="1487"/>
      <c r="Z331" s="1487"/>
      <c r="AA331" s="1487">
        <v>154866.84</v>
      </c>
      <c r="AB331" s="1489"/>
      <c r="AF331" s="395"/>
      <c r="AG331" s="395"/>
      <c r="AH331" s="395"/>
    </row>
    <row r="332" spans="1:34">
      <c r="A332" s="1997"/>
      <c r="B332" s="583"/>
      <c r="C332" s="583"/>
      <c r="D332" s="583"/>
      <c r="E332" s="583"/>
      <c r="F332" s="583"/>
      <c r="G332" s="583"/>
      <c r="H332" s="397" t="s">
        <v>2195</v>
      </c>
      <c r="I332" s="397"/>
      <c r="J332" s="397"/>
      <c r="K332" s="397"/>
      <c r="L332" s="1998"/>
      <c r="M332" s="1487"/>
      <c r="N332" s="1487"/>
      <c r="O332" s="1487"/>
      <c r="P332" s="1487"/>
      <c r="Q332" s="1487"/>
      <c r="R332" s="1487"/>
      <c r="S332" s="1487"/>
      <c r="T332" s="1487"/>
      <c r="U332" s="1487"/>
      <c r="V332" s="1487"/>
      <c r="W332" s="1487">
        <v>25000</v>
      </c>
      <c r="X332" s="1487"/>
      <c r="Y332" s="1487"/>
      <c r="Z332" s="1487"/>
      <c r="AA332" s="1487"/>
      <c r="AB332" s="1489"/>
      <c r="AF332" s="395"/>
      <c r="AG332" s="395"/>
      <c r="AH332" s="395"/>
    </row>
    <row r="333" spans="1:34">
      <c r="A333" s="1997" t="s">
        <v>2196</v>
      </c>
      <c r="B333" s="583"/>
      <c r="C333" s="583"/>
      <c r="D333" s="583"/>
      <c r="E333" s="583"/>
      <c r="F333" s="583"/>
      <c r="G333" s="583"/>
      <c r="H333" s="397" t="s">
        <v>2156</v>
      </c>
      <c r="I333" s="397"/>
      <c r="J333" s="397"/>
      <c r="K333" s="397"/>
      <c r="L333" s="1998"/>
      <c r="M333" s="1487">
        <v>102256.75</v>
      </c>
      <c r="N333" s="1487">
        <v>35239.129999999997</v>
      </c>
      <c r="O333" s="1487"/>
      <c r="P333" s="1487"/>
      <c r="Q333" s="1487"/>
      <c r="R333" s="1487">
        <v>19713.32</v>
      </c>
      <c r="S333" s="1487"/>
      <c r="T333" s="1487">
        <v>30556</v>
      </c>
      <c r="U333" s="1487">
        <v>3442.45</v>
      </c>
      <c r="V333" s="1487"/>
      <c r="W333" s="1487"/>
      <c r="X333" s="1487"/>
      <c r="Y333" s="1487"/>
      <c r="Z333" s="1487"/>
      <c r="AA333" s="1487">
        <v>8530.5</v>
      </c>
      <c r="AB333" s="1489"/>
      <c r="AF333" s="395"/>
      <c r="AG333" s="395"/>
      <c r="AH333" s="395"/>
    </row>
    <row r="334" spans="1:34">
      <c r="A334" s="1997"/>
      <c r="B334" s="583"/>
      <c r="C334" s="583"/>
      <c r="D334" s="583"/>
      <c r="E334" s="583"/>
      <c r="F334" s="583"/>
      <c r="G334" s="583"/>
      <c r="H334" s="397" t="s">
        <v>2193</v>
      </c>
      <c r="I334" s="397"/>
      <c r="J334" s="397"/>
      <c r="K334" s="397"/>
      <c r="L334" s="1998"/>
      <c r="M334" s="1487"/>
      <c r="N334" s="1487"/>
      <c r="O334" s="1487">
        <v>41891.06</v>
      </c>
      <c r="P334" s="1487">
        <v>51939.85</v>
      </c>
      <c r="Q334" s="1487">
        <v>7676.55</v>
      </c>
      <c r="R334" s="1487"/>
      <c r="S334" s="1487"/>
      <c r="T334" s="1487">
        <v>6921.2</v>
      </c>
      <c r="U334" s="1487"/>
      <c r="V334" s="1487">
        <v>53897.75</v>
      </c>
      <c r="W334" s="1487">
        <v>9677.59</v>
      </c>
      <c r="X334" s="1487">
        <v>489193.75</v>
      </c>
      <c r="Y334" s="1487"/>
      <c r="Z334" s="1487"/>
      <c r="AA334" s="1487"/>
      <c r="AB334" s="1489"/>
      <c r="AF334" s="395"/>
      <c r="AG334" s="395"/>
      <c r="AH334" s="395"/>
    </row>
    <row r="335" spans="1:34">
      <c r="A335" s="1997"/>
      <c r="B335" s="583"/>
      <c r="C335" s="583"/>
      <c r="D335" s="583"/>
      <c r="E335" s="583"/>
      <c r="F335" s="583"/>
      <c r="G335" s="583"/>
      <c r="H335" s="397" t="s">
        <v>7523</v>
      </c>
      <c r="I335" s="397"/>
      <c r="J335" s="397"/>
      <c r="K335" s="397"/>
      <c r="L335" s="1998"/>
      <c r="M335" s="1487"/>
      <c r="N335" s="1487"/>
      <c r="O335" s="1487"/>
      <c r="P335" s="1487"/>
      <c r="Q335" s="1487"/>
      <c r="R335" s="1487"/>
      <c r="S335" s="1487"/>
      <c r="T335" s="1487"/>
      <c r="U335" s="1487"/>
      <c r="V335" s="1487"/>
      <c r="W335" s="1487"/>
      <c r="X335" s="1487"/>
      <c r="Y335" s="1487"/>
      <c r="Z335" s="1487">
        <v>31795.43</v>
      </c>
      <c r="AA335" s="1487"/>
      <c r="AB335" s="1489"/>
      <c r="AF335" s="395"/>
      <c r="AG335" s="395"/>
      <c r="AH335" s="395"/>
    </row>
    <row r="336" spans="1:34">
      <c r="A336" s="1997"/>
      <c r="B336" s="583"/>
      <c r="C336" s="583"/>
      <c r="D336" s="583"/>
      <c r="E336" s="583"/>
      <c r="F336" s="583"/>
      <c r="G336" s="583"/>
      <c r="H336" s="397" t="s">
        <v>2192</v>
      </c>
      <c r="I336" s="397"/>
      <c r="J336" s="397"/>
      <c r="K336" s="397"/>
      <c r="L336" s="1998"/>
      <c r="M336" s="1487"/>
      <c r="N336" s="1487"/>
      <c r="O336" s="1487"/>
      <c r="P336" s="1487">
        <v>23691.53</v>
      </c>
      <c r="Q336" s="1487"/>
      <c r="R336" s="1487"/>
      <c r="S336" s="1487"/>
      <c r="T336" s="1487"/>
      <c r="U336" s="1487"/>
      <c r="V336" s="1487"/>
      <c r="W336" s="1487"/>
      <c r="X336" s="1487"/>
      <c r="Y336" s="1487"/>
      <c r="Z336" s="1487"/>
      <c r="AA336" s="1487"/>
      <c r="AB336" s="1489"/>
      <c r="AF336" s="395"/>
      <c r="AG336" s="395"/>
      <c r="AH336" s="395"/>
    </row>
    <row r="337" spans="1:42">
      <c r="A337" s="1997"/>
      <c r="B337" s="583"/>
      <c r="C337" s="583"/>
      <c r="D337" s="583"/>
      <c r="E337" s="583"/>
      <c r="F337" s="583"/>
      <c r="G337" s="583"/>
      <c r="H337" s="397" t="s">
        <v>8093</v>
      </c>
      <c r="I337" s="397"/>
      <c r="J337" s="397"/>
      <c r="K337" s="397"/>
      <c r="L337" s="1998"/>
      <c r="M337" s="1487"/>
      <c r="N337" s="1487"/>
      <c r="O337" s="1487"/>
      <c r="P337" s="1487"/>
      <c r="Q337" s="1487"/>
      <c r="R337" s="1487"/>
      <c r="S337" s="1487"/>
      <c r="T337" s="1487"/>
      <c r="U337" s="1487"/>
      <c r="V337" s="1487"/>
      <c r="W337" s="1487"/>
      <c r="X337" s="1487"/>
      <c r="Y337" s="1487"/>
      <c r="Z337" s="1487"/>
      <c r="AA337" s="1487">
        <v>329150.15999999997</v>
      </c>
      <c r="AB337" s="1489"/>
      <c r="AF337" s="395"/>
      <c r="AG337" s="395"/>
      <c r="AH337" s="395"/>
    </row>
    <row r="338" spans="1:42">
      <c r="A338" s="1997" t="s">
        <v>1381</v>
      </c>
      <c r="B338" s="583"/>
      <c r="C338" s="583"/>
      <c r="D338" s="583"/>
      <c r="E338" s="583"/>
      <c r="F338" s="583"/>
      <c r="G338" s="583"/>
      <c r="H338" s="397" t="s">
        <v>2156</v>
      </c>
      <c r="I338" s="397"/>
      <c r="J338" s="397"/>
      <c r="K338" s="397"/>
      <c r="L338" s="1998"/>
      <c r="M338" s="1487">
        <v>10000</v>
      </c>
      <c r="N338" s="1487"/>
      <c r="O338" s="1487"/>
      <c r="P338" s="1487"/>
      <c r="Q338" s="1487"/>
      <c r="R338" s="1487"/>
      <c r="S338" s="1487"/>
      <c r="T338" s="1487"/>
      <c r="U338" s="1487"/>
      <c r="V338" s="1487"/>
      <c r="W338" s="1487"/>
      <c r="X338" s="1487"/>
      <c r="Y338" s="1487">
        <v>2301.85</v>
      </c>
      <c r="Z338" s="1487"/>
      <c r="AA338" s="1487"/>
      <c r="AB338" s="1489"/>
      <c r="AF338" s="395"/>
      <c r="AG338" s="395"/>
      <c r="AH338" s="395"/>
    </row>
    <row r="339" spans="1:42">
      <c r="A339" s="1997" t="s">
        <v>1494</v>
      </c>
      <c r="B339" s="583"/>
      <c r="C339" s="583"/>
      <c r="D339" s="583"/>
      <c r="E339" s="583"/>
      <c r="F339" s="583"/>
      <c r="G339" s="583"/>
      <c r="H339" s="397"/>
      <c r="I339" s="397"/>
      <c r="J339" s="397"/>
      <c r="K339" s="397"/>
      <c r="L339" s="2002"/>
      <c r="M339" s="1487">
        <v>25763</v>
      </c>
      <c r="N339" s="1487">
        <v>18278.89</v>
      </c>
      <c r="O339" s="1487"/>
      <c r="P339" s="1487">
        <v>1963.47</v>
      </c>
      <c r="Q339" s="1487"/>
      <c r="R339" s="1487">
        <v>2123.36</v>
      </c>
      <c r="S339" s="1487">
        <v>4627.8900000000003</v>
      </c>
      <c r="T339" s="1487"/>
      <c r="U339" s="1487">
        <v>3083.08</v>
      </c>
      <c r="V339" s="1487"/>
      <c r="W339" s="1487">
        <f>44372+3630</f>
        <v>48002</v>
      </c>
      <c r="X339" s="1487">
        <v>6836.63</v>
      </c>
      <c r="Y339" s="1487"/>
      <c r="Z339" s="1487"/>
      <c r="AA339" s="1487">
        <v>23777.5</v>
      </c>
      <c r="AB339" s="1489"/>
      <c r="AF339" s="395"/>
      <c r="AG339" s="395"/>
      <c r="AH339" s="395"/>
    </row>
    <row r="340" spans="1:42">
      <c r="A340" s="2008" t="s">
        <v>1192</v>
      </c>
      <c r="B340" s="2022"/>
      <c r="C340" s="2022"/>
      <c r="D340" s="2022"/>
      <c r="E340" s="2022"/>
      <c r="F340" s="2022"/>
      <c r="G340" s="2022"/>
      <c r="H340" s="2010"/>
      <c r="I340" s="2010"/>
      <c r="J340" s="2010"/>
      <c r="K340" s="2010"/>
      <c r="L340" s="2010"/>
      <c r="M340" s="2009">
        <f t="shared" ref="M340:AB340" si="63">SUM(M327:M339)</f>
        <v>174766.91999999998</v>
      </c>
      <c r="N340" s="2009">
        <f t="shared" si="63"/>
        <v>984245.02</v>
      </c>
      <c r="O340" s="2009">
        <f t="shared" si="63"/>
        <v>89592.01999999999</v>
      </c>
      <c r="P340" s="2009">
        <f t="shared" si="63"/>
        <v>116281.89</v>
      </c>
      <c r="Q340" s="2009">
        <f t="shared" si="63"/>
        <v>242676.55</v>
      </c>
      <c r="R340" s="2009">
        <f t="shared" si="63"/>
        <v>27489.73</v>
      </c>
      <c r="S340" s="2009">
        <f t="shared" si="63"/>
        <v>4627.8900000000003</v>
      </c>
      <c r="T340" s="2009">
        <f t="shared" si="63"/>
        <v>613432.07999999996</v>
      </c>
      <c r="U340" s="2009">
        <f t="shared" si="63"/>
        <v>236233.34</v>
      </c>
      <c r="V340" s="2009">
        <f t="shared" si="63"/>
        <v>1156008.19</v>
      </c>
      <c r="W340" s="2009">
        <f t="shared" si="63"/>
        <v>4393386.01</v>
      </c>
      <c r="X340" s="2009">
        <f t="shared" si="63"/>
        <v>704528.72</v>
      </c>
      <c r="Y340" s="2009">
        <f t="shared" si="63"/>
        <v>19727.5</v>
      </c>
      <c r="Z340" s="2009">
        <f t="shared" si="63"/>
        <v>31795.43</v>
      </c>
      <c r="AA340" s="2009">
        <f t="shared" si="63"/>
        <v>516325</v>
      </c>
      <c r="AB340" s="2070">
        <f t="shared" si="63"/>
        <v>0</v>
      </c>
      <c r="AF340" s="395"/>
      <c r="AG340" s="395"/>
      <c r="AH340" s="395"/>
    </row>
    <row r="341" spans="1:42">
      <c r="A341" s="1633"/>
      <c r="B341" s="1633"/>
      <c r="C341" s="1633"/>
      <c r="D341" s="1633"/>
      <c r="E341" s="1633"/>
      <c r="F341" s="1633"/>
      <c r="G341" s="1633"/>
      <c r="H341" s="395"/>
      <c r="I341" s="395"/>
      <c r="J341" s="395"/>
      <c r="K341" s="395"/>
      <c r="L341" s="395"/>
      <c r="T341" s="395"/>
      <c r="U341" s="395"/>
      <c r="V341" s="395"/>
      <c r="AF341" s="395"/>
      <c r="AG341" s="395"/>
      <c r="AH341" s="395"/>
    </row>
    <row r="342" spans="1:42">
      <c r="A342" s="380"/>
      <c r="B342" s="380"/>
      <c r="C342" s="380"/>
      <c r="D342" s="380"/>
      <c r="E342" s="380"/>
      <c r="F342" s="380"/>
      <c r="G342" s="380"/>
      <c r="H342" s="395"/>
      <c r="I342" s="1570"/>
      <c r="J342" s="1570"/>
      <c r="K342" s="1570"/>
      <c r="L342" s="1570"/>
      <c r="T342" s="395"/>
      <c r="U342" s="395"/>
      <c r="V342" s="395"/>
      <c r="AF342" s="395"/>
      <c r="AG342" s="395"/>
      <c r="AH342" s="395"/>
    </row>
    <row r="343" spans="1:42">
      <c r="A343" s="2051"/>
      <c r="B343" s="2052"/>
      <c r="C343" s="2052"/>
      <c r="D343" s="2052"/>
      <c r="E343" s="2052"/>
      <c r="F343" s="2052"/>
      <c r="G343" s="2052"/>
      <c r="H343" s="2053" t="s">
        <v>2107</v>
      </c>
      <c r="I343" s="2054"/>
      <c r="J343" s="2055"/>
      <c r="K343" s="2055" t="s">
        <v>1194</v>
      </c>
      <c r="L343" s="2056" t="s">
        <v>1195</v>
      </c>
      <c r="M343" s="2057">
        <v>2007</v>
      </c>
      <c r="N343" s="2057">
        <v>2008</v>
      </c>
      <c r="O343" s="2057">
        <v>2009</v>
      </c>
      <c r="P343" s="2057">
        <v>2010</v>
      </c>
      <c r="Q343" s="2057">
        <v>2011</v>
      </c>
      <c r="R343" s="2057">
        <v>2012</v>
      </c>
      <c r="S343" s="2057">
        <v>2013</v>
      </c>
      <c r="T343" s="2057">
        <v>2014</v>
      </c>
      <c r="U343" s="2057">
        <v>2015</v>
      </c>
      <c r="V343" s="2057">
        <v>2016</v>
      </c>
      <c r="W343" s="2057">
        <v>2017</v>
      </c>
      <c r="X343" s="2057">
        <v>2018</v>
      </c>
      <c r="Y343" s="2057">
        <v>2019</v>
      </c>
      <c r="Z343" s="2057">
        <v>2020</v>
      </c>
      <c r="AA343" s="2057">
        <v>2021</v>
      </c>
      <c r="AB343" s="2058">
        <v>2022</v>
      </c>
      <c r="AC343" s="395"/>
      <c r="AD343" s="395"/>
      <c r="AE343" s="395"/>
      <c r="AF343" s="395"/>
      <c r="AG343" s="395"/>
      <c r="AH343" s="395"/>
    </row>
    <row r="344" spans="1:42" s="1148" customFormat="1">
      <c r="A344" s="3020"/>
      <c r="B344" s="3816"/>
      <c r="C344" s="3840"/>
      <c r="D344" s="3840"/>
      <c r="E344" s="3840"/>
      <c r="F344" s="3840"/>
      <c r="G344" s="3840"/>
      <c r="H344" s="3841"/>
      <c r="I344" s="3148"/>
      <c r="J344" s="1487"/>
      <c r="K344" s="3832"/>
      <c r="L344" s="3833"/>
      <c r="M344" s="3834"/>
      <c r="N344" s="3834"/>
      <c r="O344" s="3834"/>
      <c r="P344" s="3834"/>
      <c r="Q344" s="3834"/>
      <c r="R344" s="3834"/>
      <c r="S344" s="3834"/>
      <c r="T344" s="3834"/>
      <c r="U344" s="3834"/>
      <c r="V344" s="3834"/>
      <c r="W344" s="3834"/>
      <c r="X344" s="3834"/>
      <c r="Y344" s="3834"/>
      <c r="Z344" s="3834"/>
      <c r="AA344" s="3834"/>
      <c r="AB344" s="3842"/>
      <c r="AI344" s="1974"/>
      <c r="AJ344" s="1974"/>
      <c r="AK344" s="1974"/>
      <c r="AL344" s="1974"/>
      <c r="AM344" s="1974"/>
      <c r="AN344" s="1974"/>
      <c r="AO344" s="1974"/>
      <c r="AP344" s="1974"/>
    </row>
    <row r="345" spans="1:42" s="1148" customFormat="1">
      <c r="A345" s="3020"/>
      <c r="B345" s="3816"/>
      <c r="C345" s="3840"/>
      <c r="D345" s="3840"/>
      <c r="E345" s="3840"/>
      <c r="F345" s="3840"/>
      <c r="G345" s="3840"/>
      <c r="H345" s="397"/>
      <c r="I345" s="397"/>
      <c r="J345" s="1487"/>
      <c r="K345" s="2039"/>
      <c r="L345" s="3833"/>
      <c r="M345" s="3834"/>
      <c r="N345" s="3834"/>
      <c r="O345" s="3834"/>
      <c r="P345" s="3834"/>
      <c r="Q345" s="3834"/>
      <c r="R345" s="3834"/>
      <c r="S345" s="3834"/>
      <c r="T345" s="3834"/>
      <c r="U345" s="3834"/>
      <c r="V345" s="3834"/>
      <c r="W345" s="3834"/>
      <c r="X345" s="3834"/>
      <c r="Y345" s="3834"/>
      <c r="Z345" s="3834"/>
      <c r="AA345" s="3834"/>
      <c r="AB345" s="3842"/>
      <c r="AI345" s="1974"/>
      <c r="AJ345" s="1974"/>
      <c r="AK345" s="1974"/>
      <c r="AL345" s="1974"/>
      <c r="AM345" s="1974"/>
      <c r="AN345" s="1974"/>
      <c r="AO345" s="1974"/>
      <c r="AP345" s="1974"/>
    </row>
    <row r="346" spans="1:42" s="1148" customFormat="1">
      <c r="A346" s="3020">
        <v>2021</v>
      </c>
      <c r="B346" s="3816"/>
      <c r="C346" s="3840"/>
      <c r="D346" s="3840"/>
      <c r="E346" s="3840"/>
      <c r="F346" s="3840"/>
      <c r="G346" s="3840"/>
      <c r="H346" s="397" t="s">
        <v>8092</v>
      </c>
      <c r="I346" s="397"/>
      <c r="J346" s="1487">
        <v>154866.84</v>
      </c>
      <c r="K346" s="2039" t="s">
        <v>1953</v>
      </c>
      <c r="L346" s="2040">
        <f>J346/30</f>
        <v>5162.2280000000001</v>
      </c>
      <c r="M346" s="3834"/>
      <c r="N346" s="3834"/>
      <c r="O346" s="3834"/>
      <c r="P346" s="3834"/>
      <c r="Q346" s="3834"/>
      <c r="R346" s="3834"/>
      <c r="S346" s="3834"/>
      <c r="T346" s="3834"/>
      <c r="U346" s="3834"/>
      <c r="V346" s="3834"/>
      <c r="W346" s="3834"/>
      <c r="X346" s="3834"/>
      <c r="Y346" s="3834"/>
      <c r="Z346" s="3834"/>
      <c r="AA346" s="2040">
        <v>5162.2299999999996</v>
      </c>
      <c r="AB346" s="2059">
        <v>5162.2299999999996</v>
      </c>
      <c r="AI346" s="1974"/>
      <c r="AJ346" s="1974"/>
      <c r="AK346" s="1974"/>
      <c r="AL346" s="1974"/>
      <c r="AM346" s="1974"/>
      <c r="AN346" s="1974"/>
      <c r="AO346" s="1974"/>
      <c r="AP346" s="1974"/>
    </row>
    <row r="347" spans="1:42" s="1148" customFormat="1">
      <c r="A347" s="3020"/>
      <c r="B347" s="3816"/>
      <c r="C347" s="3840"/>
      <c r="D347" s="3840"/>
      <c r="E347" s="3840"/>
      <c r="F347" s="3840"/>
      <c r="G347" s="3840"/>
      <c r="H347" s="397" t="s">
        <v>8090</v>
      </c>
      <c r="I347" s="397"/>
      <c r="J347" s="1487">
        <v>329150.15999999997</v>
      </c>
      <c r="K347" s="2039" t="s">
        <v>1198</v>
      </c>
      <c r="L347" s="2040">
        <f>J347/10</f>
        <v>32915.015999999996</v>
      </c>
      <c r="M347" s="3834"/>
      <c r="N347" s="3834"/>
      <c r="O347" s="3834"/>
      <c r="P347" s="3834"/>
      <c r="Q347" s="3834"/>
      <c r="R347" s="3834"/>
      <c r="S347" s="3834"/>
      <c r="T347" s="3834"/>
      <c r="U347" s="3834"/>
      <c r="V347" s="3834"/>
      <c r="W347" s="3834"/>
      <c r="X347" s="3834"/>
      <c r="Y347" s="3834"/>
      <c r="Z347" s="3834"/>
      <c r="AA347" s="2040">
        <v>32915.019999999997</v>
      </c>
      <c r="AB347" s="2059">
        <v>32915.019999999997</v>
      </c>
      <c r="AI347" s="1974"/>
      <c r="AJ347" s="1974"/>
      <c r="AK347" s="1974"/>
      <c r="AL347" s="1974"/>
      <c r="AM347" s="1974"/>
      <c r="AN347" s="1974"/>
      <c r="AO347" s="1974"/>
      <c r="AP347" s="1974"/>
    </row>
    <row r="348" spans="1:42" s="1148" customFormat="1">
      <c r="A348" s="3020"/>
      <c r="B348" s="3816"/>
      <c r="C348" s="3840"/>
      <c r="D348" s="3840"/>
      <c r="E348" s="3840"/>
      <c r="F348" s="3840"/>
      <c r="G348" s="3840"/>
      <c r="H348" s="397" t="s">
        <v>8094</v>
      </c>
      <c r="I348" s="397"/>
      <c r="J348" s="1487">
        <v>8530.5</v>
      </c>
      <c r="K348" s="2039" t="s">
        <v>7469</v>
      </c>
      <c r="L348" s="2040">
        <f>J348/15</f>
        <v>568.70000000000005</v>
      </c>
      <c r="M348" s="3834"/>
      <c r="N348" s="3834"/>
      <c r="O348" s="3834"/>
      <c r="P348" s="3834"/>
      <c r="Q348" s="3834"/>
      <c r="R348" s="3834"/>
      <c r="S348" s="3834"/>
      <c r="T348" s="3834"/>
      <c r="U348" s="3834"/>
      <c r="V348" s="3834"/>
      <c r="W348" s="3834"/>
      <c r="X348" s="3834"/>
      <c r="Y348" s="3834"/>
      <c r="Z348" s="3834"/>
      <c r="AA348" s="2040">
        <v>1706.1</v>
      </c>
      <c r="AB348" s="2059">
        <v>1706.1</v>
      </c>
      <c r="AI348" s="1974"/>
      <c r="AJ348" s="1974"/>
      <c r="AK348" s="1974"/>
      <c r="AL348" s="1974"/>
      <c r="AM348" s="1974"/>
      <c r="AN348" s="1974"/>
      <c r="AO348" s="1974"/>
      <c r="AP348" s="1974"/>
    </row>
    <row r="349" spans="1:42" s="1148" customFormat="1">
      <c r="A349" s="3020"/>
      <c r="B349" s="3816"/>
      <c r="C349" s="3840"/>
      <c r="D349" s="3840"/>
      <c r="E349" s="3840"/>
      <c r="F349" s="3840"/>
      <c r="G349" s="3840"/>
      <c r="H349" s="397" t="s">
        <v>8095</v>
      </c>
      <c r="I349" s="397"/>
      <c r="J349" s="1487">
        <v>23777.5</v>
      </c>
      <c r="K349" s="2039" t="s">
        <v>1198</v>
      </c>
      <c r="L349" s="2040">
        <f>J349/10</f>
        <v>2377.75</v>
      </c>
      <c r="M349" s="3834"/>
      <c r="N349" s="3834"/>
      <c r="O349" s="3834"/>
      <c r="P349" s="3834"/>
      <c r="Q349" s="3834"/>
      <c r="R349" s="3834"/>
      <c r="S349" s="3834"/>
      <c r="T349" s="3834"/>
      <c r="U349" s="3834"/>
      <c r="V349" s="3834"/>
      <c r="W349" s="3834"/>
      <c r="X349" s="3834"/>
      <c r="Y349" s="3834"/>
      <c r="Z349" s="3834"/>
      <c r="AA349" s="2040">
        <v>2377.75</v>
      </c>
      <c r="AB349" s="2059">
        <v>2377.75</v>
      </c>
      <c r="AI349" s="1974"/>
      <c r="AJ349" s="1974"/>
      <c r="AK349" s="1974"/>
      <c r="AL349" s="1974"/>
      <c r="AM349" s="1974"/>
      <c r="AN349" s="1974"/>
      <c r="AO349" s="1974"/>
      <c r="AP349" s="1974"/>
    </row>
    <row r="350" spans="1:42" s="1148" customFormat="1">
      <c r="A350" s="2037">
        <v>2020</v>
      </c>
      <c r="B350" s="3816"/>
      <c r="C350" s="583"/>
      <c r="D350" s="583"/>
      <c r="E350" s="583"/>
      <c r="F350" s="583"/>
      <c r="G350" s="583"/>
      <c r="H350" s="397" t="s">
        <v>7454</v>
      </c>
      <c r="I350" s="397"/>
      <c r="J350" s="1487">
        <v>31795.43</v>
      </c>
      <c r="K350" s="2039" t="s">
        <v>1953</v>
      </c>
      <c r="L350" s="2040">
        <f>J350/30</f>
        <v>1059.8476666666668</v>
      </c>
      <c r="M350" s="3834"/>
      <c r="N350" s="3834"/>
      <c r="O350" s="3834"/>
      <c r="P350" s="3834"/>
      <c r="Q350" s="3834"/>
      <c r="R350" s="3834"/>
      <c r="S350" s="3834"/>
      <c r="T350" s="3834"/>
      <c r="U350" s="3834"/>
      <c r="V350" s="3834"/>
      <c r="W350" s="3834"/>
      <c r="X350" s="3834"/>
      <c r="Y350" s="2040"/>
      <c r="Z350" s="2040">
        <v>1059.8499999999999</v>
      </c>
      <c r="AA350" s="2040">
        <v>1059.8499999999999</v>
      </c>
      <c r="AB350" s="2059">
        <v>1059.8499999999999</v>
      </c>
      <c r="AI350" s="1974"/>
      <c r="AJ350" s="1974"/>
      <c r="AK350" s="1974"/>
      <c r="AL350" s="1974"/>
      <c r="AM350" s="1974"/>
      <c r="AN350" s="1974"/>
      <c r="AO350" s="1974"/>
      <c r="AP350" s="1974"/>
    </row>
    <row r="351" spans="1:42" s="1148" customFormat="1">
      <c r="A351" s="2037">
        <v>2019</v>
      </c>
      <c r="B351" s="3816"/>
      <c r="C351" s="583"/>
      <c r="D351" s="583"/>
      <c r="E351" s="583"/>
      <c r="F351" s="583"/>
      <c r="G351" s="583"/>
      <c r="H351" s="397" t="s">
        <v>7468</v>
      </c>
      <c r="I351" s="397"/>
      <c r="J351" s="1487">
        <v>17425.650000000001</v>
      </c>
      <c r="K351" s="2039" t="s">
        <v>7469</v>
      </c>
      <c r="L351" s="2040">
        <f>J351/15</f>
        <v>1161.71</v>
      </c>
      <c r="M351" s="3834"/>
      <c r="N351" s="3834"/>
      <c r="O351" s="3834"/>
      <c r="P351" s="3834"/>
      <c r="Q351" s="3834"/>
      <c r="R351" s="3834"/>
      <c r="S351" s="3834"/>
      <c r="T351" s="3834"/>
      <c r="U351" s="3834"/>
      <c r="V351" s="3834"/>
      <c r="W351" s="3834"/>
      <c r="X351" s="3834"/>
      <c r="Y351" s="2040">
        <v>1161.71</v>
      </c>
      <c r="Z351" s="2040">
        <v>1161.71</v>
      </c>
      <c r="AA351" s="2040">
        <v>1161.71</v>
      </c>
      <c r="AB351" s="2059">
        <v>1161.71</v>
      </c>
      <c r="AI351" s="1974"/>
      <c r="AJ351" s="1974"/>
      <c r="AK351" s="1974"/>
      <c r="AL351" s="1974"/>
      <c r="AM351" s="1974"/>
      <c r="AN351" s="1974"/>
      <c r="AO351" s="1974"/>
      <c r="AP351" s="1974"/>
    </row>
    <row r="352" spans="1:42" s="1148" customFormat="1">
      <c r="A352" s="2037"/>
      <c r="B352" s="3816"/>
      <c r="C352" s="583"/>
      <c r="D352" s="583"/>
      <c r="E352" s="583"/>
      <c r="F352" s="583"/>
      <c r="G352" s="583"/>
      <c r="H352" s="397" t="s">
        <v>2198</v>
      </c>
      <c r="I352" s="397"/>
      <c r="J352" s="1487">
        <v>208498.38</v>
      </c>
      <c r="K352" s="2039" t="s">
        <v>1953</v>
      </c>
      <c r="L352" s="2040">
        <f>J352/30</f>
        <v>6949.9459999999999</v>
      </c>
      <c r="M352" s="3834"/>
      <c r="N352" s="3834"/>
      <c r="O352" s="3834"/>
      <c r="P352" s="3834"/>
      <c r="Q352" s="3834"/>
      <c r="R352" s="3834"/>
      <c r="S352" s="3834"/>
      <c r="T352" s="3834"/>
      <c r="U352" s="3834"/>
      <c r="V352" s="3834"/>
      <c r="W352" s="3834"/>
      <c r="X352" s="3834"/>
      <c r="Y352" s="2040">
        <v>6949.95</v>
      </c>
      <c r="Z352" s="2040">
        <v>6949.95</v>
      </c>
      <c r="AA352" s="2040">
        <v>6949.95</v>
      </c>
      <c r="AB352" s="2059">
        <v>6949.95</v>
      </c>
      <c r="AI352" s="1974"/>
      <c r="AJ352" s="1974"/>
      <c r="AK352" s="1974"/>
      <c r="AL352" s="1974"/>
      <c r="AM352" s="1974"/>
      <c r="AN352" s="1974"/>
      <c r="AO352" s="1974"/>
      <c r="AP352" s="1974"/>
    </row>
    <row r="353" spans="1:42" s="1148" customFormat="1">
      <c r="A353" s="2037"/>
      <c r="B353" s="3816"/>
      <c r="C353" s="583"/>
      <c r="D353" s="583"/>
      <c r="E353" s="583"/>
      <c r="F353" s="583"/>
      <c r="G353" s="583"/>
      <c r="H353" s="397" t="s">
        <v>7455</v>
      </c>
      <c r="I353" s="397"/>
      <c r="J353" s="1487">
        <v>2301.85</v>
      </c>
      <c r="K353" s="2039" t="s">
        <v>1197</v>
      </c>
      <c r="L353" s="2040">
        <f>J353/5</f>
        <v>460.37</v>
      </c>
      <c r="M353" s="3834"/>
      <c r="N353" s="3834"/>
      <c r="O353" s="3834"/>
      <c r="P353" s="3834"/>
      <c r="Q353" s="3834"/>
      <c r="R353" s="3834"/>
      <c r="S353" s="3834"/>
      <c r="T353" s="3834"/>
      <c r="U353" s="3834"/>
      <c r="V353" s="3834"/>
      <c r="W353" s="3834"/>
      <c r="X353" s="3834"/>
      <c r="Y353" s="2040">
        <v>460.37</v>
      </c>
      <c r="Z353" s="2040">
        <v>460.37</v>
      </c>
      <c r="AA353" s="2040">
        <v>460.37</v>
      </c>
      <c r="AB353" s="2059">
        <v>460.37</v>
      </c>
      <c r="AI353" s="1974"/>
      <c r="AJ353" s="1974"/>
      <c r="AK353" s="1974"/>
      <c r="AL353" s="1974"/>
      <c r="AM353" s="1974"/>
      <c r="AN353" s="1974"/>
      <c r="AO353" s="1974"/>
      <c r="AP353" s="1974"/>
    </row>
    <row r="354" spans="1:42">
      <c r="A354" s="2037">
        <v>2018</v>
      </c>
      <c r="B354" s="3816"/>
      <c r="C354" s="583"/>
      <c r="D354" s="583"/>
      <c r="E354" s="583"/>
      <c r="F354" s="583"/>
      <c r="G354" s="583"/>
      <c r="H354" s="397" t="s">
        <v>2197</v>
      </c>
      <c r="I354" s="397"/>
      <c r="J354" s="1487">
        <f>30764.25+458429.5</f>
        <v>489193.75</v>
      </c>
      <c r="K354" s="2039" t="s">
        <v>1385</v>
      </c>
      <c r="L354" s="2040">
        <f>J354/20</f>
        <v>24459.6875</v>
      </c>
      <c r="M354" s="2040"/>
      <c r="N354" s="2040"/>
      <c r="O354" s="2040"/>
      <c r="P354" s="2040"/>
      <c r="Q354" s="2040"/>
      <c r="R354" s="2040"/>
      <c r="S354" s="2040"/>
      <c r="T354" s="2040"/>
      <c r="U354" s="2040"/>
      <c r="V354" s="2040"/>
      <c r="W354" s="2040"/>
      <c r="X354" s="2040">
        <f>$L$354</f>
        <v>24459.6875</v>
      </c>
      <c r="Y354" s="2040">
        <f>$L$354</f>
        <v>24459.6875</v>
      </c>
      <c r="Z354" s="2040">
        <f>$L$354</f>
        <v>24459.6875</v>
      </c>
      <c r="AA354" s="2040">
        <f>$L$354</f>
        <v>24459.6875</v>
      </c>
      <c r="AB354" s="2059">
        <f>$L$354</f>
        <v>24459.6875</v>
      </c>
      <c r="AC354" s="395"/>
      <c r="AD354" s="395"/>
      <c r="AE354" s="395"/>
      <c r="AF354" s="1975"/>
      <c r="AG354" s="1975"/>
      <c r="AH354" s="1975"/>
      <c r="AI354" s="1975"/>
      <c r="AJ354" s="1975"/>
    </row>
    <row r="355" spans="1:42">
      <c r="A355" s="2037"/>
      <c r="B355" s="3816"/>
      <c r="C355" s="583"/>
      <c r="D355" s="583"/>
      <c r="E355" s="583"/>
      <c r="F355" s="583"/>
      <c r="G355" s="583"/>
      <c r="H355" s="397" t="s">
        <v>2198</v>
      </c>
      <c r="I355" s="397"/>
      <c r="J355" s="1487">
        <v>734069.89</v>
      </c>
      <c r="K355" s="2039" t="s">
        <v>1953</v>
      </c>
      <c r="L355" s="2040">
        <f>J355/30</f>
        <v>24468.996333333333</v>
      </c>
      <c r="M355" s="2040"/>
      <c r="N355" s="2040"/>
      <c r="O355" s="2040"/>
      <c r="P355" s="2040"/>
      <c r="Q355" s="2040"/>
      <c r="R355" s="2040"/>
      <c r="S355" s="2040"/>
      <c r="T355" s="2040"/>
      <c r="U355" s="2040"/>
      <c r="V355" s="2040"/>
      <c r="W355" s="2040"/>
      <c r="X355" s="2040">
        <f>$L$355</f>
        <v>24468.996333333333</v>
      </c>
      <c r="Y355" s="2040">
        <f>$L$355</f>
        <v>24468.996333333333</v>
      </c>
      <c r="Z355" s="2040">
        <f>$L$355</f>
        <v>24468.996333333333</v>
      </c>
      <c r="AA355" s="2040">
        <f>$L$355</f>
        <v>24468.996333333333</v>
      </c>
      <c r="AB355" s="2059">
        <f>$L$355</f>
        <v>24468.996333333333</v>
      </c>
      <c r="AC355" s="395"/>
      <c r="AD355" s="395"/>
      <c r="AE355" s="395"/>
      <c r="AF355" s="1975"/>
      <c r="AG355" s="1975"/>
      <c r="AH355" s="1975"/>
      <c r="AI355" s="1975"/>
      <c r="AJ355" s="1975"/>
    </row>
    <row r="356" spans="1:42">
      <c r="A356" s="2037"/>
      <c r="B356" s="3816"/>
      <c r="C356" s="583"/>
      <c r="D356" s="583"/>
      <c r="E356" s="583"/>
      <c r="F356" s="583"/>
      <c r="G356" s="583"/>
      <c r="H356" s="397" t="s">
        <v>2199</v>
      </c>
      <c r="I356" s="397"/>
      <c r="J356" s="1487">
        <v>6836.63</v>
      </c>
      <c r="K356" s="2039" t="s">
        <v>1198</v>
      </c>
      <c r="L356" s="2040">
        <f>J356/10</f>
        <v>683.66300000000001</v>
      </c>
      <c r="M356" s="2040"/>
      <c r="N356" s="2040"/>
      <c r="O356" s="2040"/>
      <c r="P356" s="2040"/>
      <c r="Q356" s="2040"/>
      <c r="R356" s="2040"/>
      <c r="S356" s="2040"/>
      <c r="T356" s="2040"/>
      <c r="U356" s="2040"/>
      <c r="V356" s="2040"/>
      <c r="W356" s="2040"/>
      <c r="X356" s="2040">
        <f>L356</f>
        <v>683.66300000000001</v>
      </c>
      <c r="Y356" s="2040">
        <f>M356</f>
        <v>0</v>
      </c>
      <c r="Z356" s="2040">
        <f>N356</f>
        <v>0</v>
      </c>
      <c r="AA356" s="2040">
        <f>O356</f>
        <v>0</v>
      </c>
      <c r="AB356" s="2059">
        <f>P356</f>
        <v>0</v>
      </c>
      <c r="AC356" s="395"/>
      <c r="AD356" s="395"/>
      <c r="AE356" s="395"/>
      <c r="AF356" s="1975"/>
      <c r="AG356" s="1975"/>
      <c r="AH356" s="1975"/>
      <c r="AI356" s="1975"/>
      <c r="AJ356" s="1975"/>
    </row>
    <row r="357" spans="1:42">
      <c r="A357" s="2037">
        <v>2017</v>
      </c>
      <c r="B357" s="3816"/>
      <c r="C357" s="583"/>
      <c r="D357" s="583"/>
      <c r="E357" s="583"/>
      <c r="F357" s="583"/>
      <c r="G357" s="583"/>
      <c r="H357" s="397" t="s">
        <v>2200</v>
      </c>
      <c r="I357" s="397"/>
      <c r="J357" s="1487">
        <v>3630</v>
      </c>
      <c r="K357" s="2039" t="s">
        <v>1197</v>
      </c>
      <c r="L357" s="2040">
        <f>J357/5</f>
        <v>726</v>
      </c>
      <c r="M357" s="2040"/>
      <c r="N357" s="2040"/>
      <c r="O357" s="2040"/>
      <c r="P357" s="2040"/>
      <c r="Q357" s="2040"/>
      <c r="R357" s="2040"/>
      <c r="S357" s="2040"/>
      <c r="T357" s="2040"/>
      <c r="U357" s="2040"/>
      <c r="V357" s="2040"/>
      <c r="W357" s="2040">
        <v>726</v>
      </c>
      <c r="X357" s="2040">
        <v>726</v>
      </c>
      <c r="Y357" s="2040">
        <v>726</v>
      </c>
      <c r="Z357" s="2040">
        <v>726</v>
      </c>
      <c r="AA357" s="2040">
        <v>726</v>
      </c>
      <c r="AB357" s="2059"/>
      <c r="AC357" s="395"/>
      <c r="AD357" s="395"/>
      <c r="AE357" s="395"/>
      <c r="AF357" s="1975"/>
      <c r="AG357" s="1975"/>
      <c r="AH357" s="1975"/>
      <c r="AI357" s="1975"/>
      <c r="AJ357" s="1975"/>
    </row>
    <row r="358" spans="1:42">
      <c r="A358" s="2037"/>
      <c r="B358" s="3816"/>
      <c r="C358" s="583"/>
      <c r="D358" s="583"/>
      <c r="E358" s="583"/>
      <c r="F358" s="583"/>
      <c r="G358" s="583"/>
      <c r="H358" s="397" t="s">
        <v>2201</v>
      </c>
      <c r="I358" s="397"/>
      <c r="J358" s="1487">
        <v>9677.59</v>
      </c>
      <c r="K358" s="2039" t="s">
        <v>1197</v>
      </c>
      <c r="L358" s="2040">
        <f>J358/5</f>
        <v>1935.518</v>
      </c>
      <c r="M358" s="2040"/>
      <c r="N358" s="2040"/>
      <c r="O358" s="2040"/>
      <c r="P358" s="2040"/>
      <c r="Q358" s="2040"/>
      <c r="R358" s="2040"/>
      <c r="S358" s="2040"/>
      <c r="T358" s="2040"/>
      <c r="U358" s="2040"/>
      <c r="V358" s="2040"/>
      <c r="W358" s="2040">
        <v>1935.52</v>
      </c>
      <c r="X358" s="2040">
        <v>1935.52</v>
      </c>
      <c r="Y358" s="2040">
        <v>1935.52</v>
      </c>
      <c r="Z358" s="2040">
        <v>1935.52</v>
      </c>
      <c r="AA358" s="2040">
        <v>1935.52</v>
      </c>
      <c r="AB358" s="2059"/>
      <c r="AC358" s="395"/>
      <c r="AD358" s="395"/>
      <c r="AE358" s="395"/>
      <c r="AF358" s="1975"/>
      <c r="AG358" s="1975"/>
      <c r="AH358" s="1975"/>
      <c r="AI358" s="1975"/>
      <c r="AJ358" s="1975"/>
    </row>
    <row r="359" spans="1:42">
      <c r="A359" s="2037"/>
      <c r="B359" s="3816"/>
      <c r="C359" s="583"/>
      <c r="D359" s="583"/>
      <c r="E359" s="583"/>
      <c r="F359" s="583"/>
      <c r="G359" s="583"/>
      <c r="H359" s="397" t="s">
        <v>2202</v>
      </c>
      <c r="I359" s="397"/>
      <c r="J359" s="1487">
        <v>7575.81</v>
      </c>
      <c r="K359" s="2039" t="s">
        <v>1198</v>
      </c>
      <c r="L359" s="2040">
        <f>J359/10</f>
        <v>757.58100000000002</v>
      </c>
      <c r="M359" s="2040"/>
      <c r="N359" s="2040"/>
      <c r="O359" s="2040"/>
      <c r="P359" s="2040"/>
      <c r="Q359" s="2040"/>
      <c r="R359" s="2040"/>
      <c r="S359" s="2040"/>
      <c r="T359" s="2040"/>
      <c r="U359" s="2040"/>
      <c r="V359" s="2040"/>
      <c r="W359" s="2040">
        <v>757.58</v>
      </c>
      <c r="X359" s="2040">
        <v>757.58</v>
      </c>
      <c r="Y359" s="2040">
        <v>757.58</v>
      </c>
      <c r="Z359" s="2040">
        <v>757.58</v>
      </c>
      <c r="AA359" s="2040">
        <v>757.58</v>
      </c>
      <c r="AB359" s="2059">
        <v>757.78</v>
      </c>
      <c r="AC359" s="395"/>
      <c r="AD359" s="395"/>
      <c r="AE359" s="395"/>
      <c r="AF359" s="1975"/>
      <c r="AG359" s="1975"/>
      <c r="AH359" s="1975"/>
      <c r="AI359" s="1975"/>
      <c r="AJ359" s="1975"/>
    </row>
    <row r="360" spans="1:42">
      <c r="A360" s="2037"/>
      <c r="B360" s="3816"/>
      <c r="C360" s="583"/>
      <c r="D360" s="583"/>
      <c r="E360" s="583"/>
      <c r="F360" s="583"/>
      <c r="G360" s="583"/>
      <c r="H360" s="397" t="s">
        <v>2203</v>
      </c>
      <c r="I360" s="397"/>
      <c r="J360" s="1487">
        <v>10127.700000000001</v>
      </c>
      <c r="K360" s="2039" t="s">
        <v>1198</v>
      </c>
      <c r="L360" s="2040">
        <f>J360/10</f>
        <v>1012.7700000000001</v>
      </c>
      <c r="M360" s="2040"/>
      <c r="N360" s="2040"/>
      <c r="O360" s="2040"/>
      <c r="P360" s="2040"/>
      <c r="Q360" s="2040"/>
      <c r="R360" s="2040"/>
      <c r="S360" s="2040"/>
      <c r="T360" s="2040"/>
      <c r="U360" s="2040"/>
      <c r="V360" s="2040"/>
      <c r="W360" s="2040">
        <v>1012.77</v>
      </c>
      <c r="X360" s="2040">
        <v>1012.77</v>
      </c>
      <c r="Y360" s="2040">
        <v>1012.77</v>
      </c>
      <c r="Z360" s="2040">
        <v>1012.77</v>
      </c>
      <c r="AA360" s="2040">
        <v>1012.77</v>
      </c>
      <c r="AB360" s="2059">
        <v>1012.77</v>
      </c>
      <c r="AC360" s="395"/>
      <c r="AD360" s="395"/>
      <c r="AE360" s="395"/>
      <c r="AF360" s="1975"/>
      <c r="AG360" s="1975"/>
      <c r="AH360" s="1975"/>
      <c r="AI360" s="1975"/>
      <c r="AJ360" s="1975"/>
    </row>
    <row r="361" spans="1:42">
      <c r="A361" s="2037"/>
      <c r="B361" s="3816"/>
      <c r="C361" s="583"/>
      <c r="D361" s="583"/>
      <c r="E361" s="583"/>
      <c r="F361" s="583"/>
      <c r="G361" s="583"/>
      <c r="H361" s="397" t="s">
        <v>2195</v>
      </c>
      <c r="I361" s="397"/>
      <c r="J361" s="1487">
        <v>25000</v>
      </c>
      <c r="K361" s="2039" t="s">
        <v>1953</v>
      </c>
      <c r="L361" s="2040">
        <f>J361/30</f>
        <v>833.33333333333337</v>
      </c>
      <c r="M361" s="2040"/>
      <c r="N361" s="2040"/>
      <c r="O361" s="2040"/>
      <c r="P361" s="2040"/>
      <c r="Q361" s="2040"/>
      <c r="R361" s="2040"/>
      <c r="S361" s="2040"/>
      <c r="T361" s="2040"/>
      <c r="U361" s="2040"/>
      <c r="V361" s="2040"/>
      <c r="W361" s="2040">
        <v>833.33</v>
      </c>
      <c r="X361" s="2040">
        <v>833.33</v>
      </c>
      <c r="Y361" s="2040">
        <v>833.33</v>
      </c>
      <c r="Z361" s="2040">
        <v>833.33</v>
      </c>
      <c r="AA361" s="2040">
        <v>833.33</v>
      </c>
      <c r="AB361" s="2059">
        <v>833.33</v>
      </c>
      <c r="AC361" s="395"/>
      <c r="AD361" s="395"/>
      <c r="AE361" s="395"/>
      <c r="AF361" s="1975"/>
      <c r="AG361" s="1975"/>
      <c r="AH361" s="1975"/>
      <c r="AI361" s="1975"/>
      <c r="AJ361" s="1975"/>
    </row>
    <row r="362" spans="1:42">
      <c r="A362" s="2037"/>
      <c r="B362" s="3816"/>
      <c r="C362" s="583"/>
      <c r="D362" s="583"/>
      <c r="E362" s="583"/>
      <c r="F362" s="583"/>
      <c r="G362" s="583"/>
      <c r="H362" s="397" t="s">
        <v>2198</v>
      </c>
      <c r="I362" s="397"/>
      <c r="J362" s="1487">
        <v>4293002.91</v>
      </c>
      <c r="K362" s="2039" t="s">
        <v>1953</v>
      </c>
      <c r="L362" s="2040">
        <f>J362/30</f>
        <v>143100.09700000001</v>
      </c>
      <c r="M362" s="2040"/>
      <c r="N362" s="2040"/>
      <c r="O362" s="2040"/>
      <c r="P362" s="2040"/>
      <c r="Q362" s="2040"/>
      <c r="R362" s="2040"/>
      <c r="S362" s="2040"/>
      <c r="T362" s="2040"/>
      <c r="U362" s="2040"/>
      <c r="V362" s="2040"/>
      <c r="W362" s="2040">
        <v>143100.1</v>
      </c>
      <c r="X362" s="2040">
        <v>143100.1</v>
      </c>
      <c r="Y362" s="2040">
        <v>143100.1</v>
      </c>
      <c r="Z362" s="2040">
        <v>143100.1</v>
      </c>
      <c r="AA362" s="2040">
        <v>143100.1</v>
      </c>
      <c r="AB362" s="2059">
        <v>143100.1</v>
      </c>
      <c r="AC362" s="395"/>
      <c r="AD362" s="395"/>
      <c r="AE362" s="395"/>
      <c r="AF362" s="1975"/>
      <c r="AG362" s="1975"/>
      <c r="AH362" s="1975"/>
      <c r="AI362" s="1975"/>
      <c r="AJ362" s="1975"/>
    </row>
    <row r="363" spans="1:42">
      <c r="A363" s="2037"/>
      <c r="B363" s="3816"/>
      <c r="C363" s="583"/>
      <c r="D363" s="583"/>
      <c r="E363" s="583"/>
      <c r="F363" s="583"/>
      <c r="G363" s="583"/>
      <c r="H363" s="397" t="s">
        <v>2204</v>
      </c>
      <c r="I363" s="397"/>
      <c r="J363" s="1487">
        <v>44372</v>
      </c>
      <c r="K363" s="2039" t="s">
        <v>1197</v>
      </c>
      <c r="L363" s="2040">
        <f>J363/5</f>
        <v>8874.4</v>
      </c>
      <c r="M363" s="2040"/>
      <c r="N363" s="2040"/>
      <c r="O363" s="2040"/>
      <c r="P363" s="2040"/>
      <c r="Q363" s="2040"/>
      <c r="R363" s="2040"/>
      <c r="S363" s="2040"/>
      <c r="T363" s="2040"/>
      <c r="U363" s="2040"/>
      <c r="V363" s="2040"/>
      <c r="W363" s="2040">
        <v>8874.4</v>
      </c>
      <c r="X363" s="2040">
        <v>8874.4</v>
      </c>
      <c r="Y363" s="2040">
        <v>8874.4</v>
      </c>
      <c r="Z363" s="2040">
        <v>8874.4</v>
      </c>
      <c r="AA363" s="2040">
        <v>8874.4</v>
      </c>
      <c r="AB363" s="2059"/>
      <c r="AC363" s="395"/>
      <c r="AD363" s="395"/>
      <c r="AE363" s="395"/>
      <c r="AF363" s="1975"/>
      <c r="AG363" s="1975"/>
      <c r="AH363" s="1975"/>
      <c r="AI363" s="1975"/>
      <c r="AJ363" s="1975"/>
    </row>
    <row r="364" spans="1:42">
      <c r="A364" s="2037">
        <v>2016</v>
      </c>
      <c r="B364" s="3816"/>
      <c r="C364" s="583"/>
      <c r="D364" s="583"/>
      <c r="E364" s="583"/>
      <c r="F364" s="583"/>
      <c r="G364" s="583"/>
      <c r="H364" s="397" t="s">
        <v>2205</v>
      </c>
      <c r="I364" s="397"/>
      <c r="J364" s="1487">
        <v>1102110.44</v>
      </c>
      <c r="K364" s="2039" t="s">
        <v>1953</v>
      </c>
      <c r="L364" s="2040">
        <f>J364/30</f>
        <v>36737.014666666662</v>
      </c>
      <c r="M364" s="2040"/>
      <c r="N364" s="2040"/>
      <c r="O364" s="2040"/>
      <c r="P364" s="2040"/>
      <c r="Q364" s="2040"/>
      <c r="R364" s="2040"/>
      <c r="S364" s="2040"/>
      <c r="T364" s="2040"/>
      <c r="U364" s="2040"/>
      <c r="V364" s="2040">
        <f>L364</f>
        <v>36737.014666666662</v>
      </c>
      <c r="W364" s="2040">
        <f>L364</f>
        <v>36737.014666666662</v>
      </c>
      <c r="X364" s="2040">
        <f>L364</f>
        <v>36737.014666666662</v>
      </c>
      <c r="Y364" s="2040">
        <f>L364</f>
        <v>36737.014666666662</v>
      </c>
      <c r="Z364" s="2040"/>
      <c r="AA364" s="2040"/>
      <c r="AB364" s="2059"/>
      <c r="AC364" s="395"/>
      <c r="AD364" s="395"/>
      <c r="AE364" s="395"/>
      <c r="AF364" s="1975"/>
      <c r="AG364" s="1975"/>
      <c r="AH364" s="1975"/>
      <c r="AI364" s="1975"/>
      <c r="AJ364" s="1975"/>
    </row>
    <row r="365" spans="1:42">
      <c r="A365" s="2037"/>
      <c r="B365" s="3816"/>
      <c r="C365" s="583"/>
      <c r="D365" s="583"/>
      <c r="E365" s="583"/>
      <c r="F365" s="583"/>
      <c r="G365" s="583"/>
      <c r="H365" s="397" t="s">
        <v>2200</v>
      </c>
      <c r="I365" s="397"/>
      <c r="J365" s="1487">
        <f>2221.48+50598.52+1077.75</f>
        <v>53897.75</v>
      </c>
      <c r="K365" s="2039" t="s">
        <v>1198</v>
      </c>
      <c r="L365" s="2040">
        <f>J365/10</f>
        <v>5389.7749999999996</v>
      </c>
      <c r="M365" s="2040"/>
      <c r="N365" s="2040"/>
      <c r="O365" s="2040"/>
      <c r="P365" s="2040"/>
      <c r="Q365" s="2040"/>
      <c r="R365" s="2040"/>
      <c r="S365" s="2040"/>
      <c r="T365" s="2040"/>
      <c r="U365" s="2040"/>
      <c r="V365" s="2040">
        <f>L365</f>
        <v>5389.7749999999996</v>
      </c>
      <c r="W365" s="2040">
        <f>L365</f>
        <v>5389.7749999999996</v>
      </c>
      <c r="X365" s="2040">
        <f>L365</f>
        <v>5389.7749999999996</v>
      </c>
      <c r="Y365" s="2040">
        <f>L365</f>
        <v>5389.7749999999996</v>
      </c>
      <c r="Z365" s="2040">
        <f>L365</f>
        <v>5389.7749999999996</v>
      </c>
      <c r="AA365" s="2040"/>
      <c r="AB365" s="2059"/>
      <c r="AC365" s="395"/>
      <c r="AD365" s="395"/>
      <c r="AE365" s="395"/>
      <c r="AF365" s="1975"/>
      <c r="AG365" s="1975"/>
      <c r="AH365" s="1975"/>
      <c r="AI365" s="1975"/>
      <c r="AJ365" s="1975"/>
    </row>
    <row r="366" spans="1:42">
      <c r="A366" s="2037">
        <v>2015</v>
      </c>
      <c r="B366" s="3816"/>
      <c r="C366" s="583"/>
      <c r="D366" s="583"/>
      <c r="E366" s="583"/>
      <c r="F366" s="583"/>
      <c r="G366" s="583"/>
      <c r="H366" s="397" t="s">
        <v>2200</v>
      </c>
      <c r="I366" s="397"/>
      <c r="J366" s="1487">
        <v>3083.08</v>
      </c>
      <c r="K366" s="2039" t="s">
        <v>1197</v>
      </c>
      <c r="L366" s="2040">
        <f>(J366+J369)/5</f>
        <v>1305.106</v>
      </c>
      <c r="M366" s="2040"/>
      <c r="N366" s="2040"/>
      <c r="O366" s="2040"/>
      <c r="P366" s="2040"/>
      <c r="Q366" s="2040"/>
      <c r="R366" s="2040"/>
      <c r="S366" s="2040"/>
      <c r="T366" s="2040"/>
      <c r="U366" s="2040">
        <f>L366</f>
        <v>1305.106</v>
      </c>
      <c r="V366" s="2040">
        <f>L366</f>
        <v>1305.106</v>
      </c>
      <c r="W366" s="2040">
        <f>L366</f>
        <v>1305.106</v>
      </c>
      <c r="X366" s="2040">
        <f>L366</f>
        <v>1305.106</v>
      </c>
      <c r="Y366" s="2040">
        <f>L366</f>
        <v>1305.106</v>
      </c>
      <c r="Z366" s="2040"/>
      <c r="AA366" s="2040"/>
      <c r="AB366" s="2059"/>
      <c r="AC366" s="395"/>
      <c r="AD366" s="395"/>
      <c r="AE366" s="395"/>
      <c r="AF366" s="1975"/>
      <c r="AG366" s="1975"/>
      <c r="AH366" s="1975"/>
      <c r="AI366" s="1975"/>
      <c r="AJ366" s="1975"/>
    </row>
    <row r="367" spans="1:42">
      <c r="A367" s="2037"/>
      <c r="B367" s="3816"/>
      <c r="C367" s="583"/>
      <c r="D367" s="583"/>
      <c r="E367" s="583"/>
      <c r="F367" s="583"/>
      <c r="G367" s="583"/>
      <c r="H367" s="397" t="s">
        <v>2205</v>
      </c>
      <c r="I367" s="397"/>
      <c r="J367" s="1487">
        <f>172662.77+150000</f>
        <v>322662.77</v>
      </c>
      <c r="K367" s="2039" t="s">
        <v>1953</v>
      </c>
      <c r="L367" s="2040">
        <f>J367/30</f>
        <v>10755.425666666668</v>
      </c>
      <c r="M367" s="2040"/>
      <c r="N367" s="2040"/>
      <c r="O367" s="2040"/>
      <c r="P367" s="2040"/>
      <c r="Q367" s="2040"/>
      <c r="R367" s="2040"/>
      <c r="S367" s="2040"/>
      <c r="T367" s="2040"/>
      <c r="U367" s="2040">
        <f>L367</f>
        <v>10755.425666666668</v>
      </c>
      <c r="V367" s="2040">
        <f>L367</f>
        <v>10755.425666666668</v>
      </c>
      <c r="W367" s="2040">
        <f>L367</f>
        <v>10755.425666666668</v>
      </c>
      <c r="X367" s="2040">
        <f>L367</f>
        <v>10755.425666666668</v>
      </c>
      <c r="Y367" s="2040">
        <f>L367</f>
        <v>10755.425666666668</v>
      </c>
      <c r="Z367" s="2040"/>
      <c r="AA367" s="2040"/>
      <c r="AB367" s="2059"/>
      <c r="AC367" s="395"/>
      <c r="AD367" s="395"/>
      <c r="AE367" s="395"/>
      <c r="AF367" s="1975"/>
      <c r="AG367" s="1975"/>
      <c r="AH367" s="1975"/>
      <c r="AI367" s="1975"/>
      <c r="AJ367" s="1975"/>
    </row>
    <row r="368" spans="1:42">
      <c r="A368" s="2037"/>
      <c r="B368" s="3816"/>
      <c r="C368" s="583"/>
      <c r="D368" s="583"/>
      <c r="E368" s="583"/>
      <c r="F368" s="583"/>
      <c r="G368" s="583"/>
      <c r="H368" s="397" t="s">
        <v>2206</v>
      </c>
      <c r="I368" s="397"/>
      <c r="J368" s="1487">
        <v>79707.81</v>
      </c>
      <c r="K368" s="2039" t="s">
        <v>1198</v>
      </c>
      <c r="L368" s="2040">
        <f>J368/10</f>
        <v>7970.7809999999999</v>
      </c>
      <c r="M368" s="2040"/>
      <c r="N368" s="2040"/>
      <c r="O368" s="2040"/>
      <c r="P368" s="2040"/>
      <c r="Q368" s="2040"/>
      <c r="R368" s="2040"/>
      <c r="S368" s="2040"/>
      <c r="T368" s="2040"/>
      <c r="U368" s="2040">
        <f>L368</f>
        <v>7970.7809999999999</v>
      </c>
      <c r="V368" s="2040">
        <v>7970.78</v>
      </c>
      <c r="W368" s="2040">
        <v>7970.78</v>
      </c>
      <c r="X368" s="2040">
        <v>7970.78</v>
      </c>
      <c r="Y368" s="2040">
        <v>7970.78</v>
      </c>
      <c r="Z368" s="2040"/>
      <c r="AA368" s="2040"/>
      <c r="AB368" s="2059"/>
      <c r="AC368" s="395"/>
      <c r="AD368" s="395"/>
      <c r="AE368" s="395"/>
      <c r="AF368" s="1975"/>
      <c r="AG368" s="1975"/>
      <c r="AH368" s="1975"/>
      <c r="AI368" s="1975"/>
      <c r="AJ368" s="1975"/>
    </row>
    <row r="369" spans="1:36">
      <c r="A369" s="2037"/>
      <c r="B369" s="3816"/>
      <c r="C369" s="583"/>
      <c r="D369" s="583"/>
      <c r="E369" s="583"/>
      <c r="F369" s="583"/>
      <c r="G369" s="583"/>
      <c r="H369" s="397" t="s">
        <v>2207</v>
      </c>
      <c r="I369" s="397"/>
      <c r="J369" s="1487">
        <v>3442.45</v>
      </c>
      <c r="K369" s="2039" t="s">
        <v>1197</v>
      </c>
      <c r="L369" s="2040"/>
      <c r="M369" s="2040"/>
      <c r="N369" s="2040"/>
      <c r="O369" s="2040"/>
      <c r="P369" s="2040"/>
      <c r="Q369" s="2040"/>
      <c r="R369" s="2040"/>
      <c r="S369" s="2040"/>
      <c r="T369" s="2040"/>
      <c r="U369" s="2040"/>
      <c r="V369" s="2040"/>
      <c r="W369" s="2040"/>
      <c r="X369" s="2040"/>
      <c r="Y369" s="2040"/>
      <c r="Z369" s="2040"/>
      <c r="AA369" s="2040"/>
      <c r="AB369" s="2059"/>
      <c r="AC369" s="395"/>
      <c r="AD369" s="395"/>
      <c r="AE369" s="395"/>
      <c r="AF369" s="1975"/>
      <c r="AG369" s="1975"/>
      <c r="AH369" s="1975"/>
      <c r="AI369" s="1975"/>
      <c r="AJ369" s="1975"/>
    </row>
    <row r="370" spans="1:36">
      <c r="A370" s="2037"/>
      <c r="B370" s="3816"/>
      <c r="C370" s="583"/>
      <c r="D370" s="583"/>
      <c r="E370" s="583"/>
      <c r="F370" s="583"/>
      <c r="G370" s="583"/>
      <c r="H370" s="397"/>
      <c r="I370" s="397"/>
      <c r="J370" s="2042">
        <f>SUM(J366:J369)</f>
        <v>408896.11000000004</v>
      </c>
      <c r="K370" s="2039"/>
      <c r="L370" s="2040"/>
      <c r="M370" s="2040"/>
      <c r="N370" s="2040"/>
      <c r="O370" s="2040"/>
      <c r="P370" s="2040"/>
      <c r="Q370" s="2040"/>
      <c r="R370" s="2040"/>
      <c r="S370" s="2040"/>
      <c r="T370" s="2040"/>
      <c r="U370" s="2040"/>
      <c r="V370" s="2040"/>
      <c r="W370" s="2040"/>
      <c r="X370" s="2040"/>
      <c r="Y370" s="2040"/>
      <c r="Z370" s="2040"/>
      <c r="AA370" s="2040"/>
      <c r="AB370" s="2059"/>
      <c r="AC370" s="395"/>
      <c r="AD370" s="395"/>
      <c r="AE370" s="395"/>
      <c r="AF370" s="1975"/>
      <c r="AG370" s="1975"/>
      <c r="AH370" s="1975"/>
      <c r="AI370" s="1975"/>
      <c r="AJ370" s="1975"/>
    </row>
    <row r="371" spans="1:36">
      <c r="A371" s="2037">
        <v>2014</v>
      </c>
      <c r="B371" s="3816"/>
      <c r="C371" s="583"/>
      <c r="D371" s="583"/>
      <c r="E371" s="583"/>
      <c r="F371" s="583"/>
      <c r="G371" s="583"/>
      <c r="H371" s="397" t="s">
        <v>2208</v>
      </c>
      <c r="I371" s="397"/>
      <c r="J371" s="1487">
        <f>2438.15+4483.05</f>
        <v>6921.2000000000007</v>
      </c>
      <c r="K371" s="2039" t="s">
        <v>1197</v>
      </c>
      <c r="L371" s="2040">
        <f>(J371+J373)/5</f>
        <v>7495.44</v>
      </c>
      <c r="M371" s="2040"/>
      <c r="N371" s="2040"/>
      <c r="O371" s="2040"/>
      <c r="P371" s="2040"/>
      <c r="Q371" s="2040"/>
      <c r="R371" s="2040"/>
      <c r="S371" s="2040"/>
      <c r="T371" s="2040">
        <f>L371</f>
        <v>7495.44</v>
      </c>
      <c r="U371" s="2040">
        <f>L371</f>
        <v>7495.44</v>
      </c>
      <c r="V371" s="2040">
        <f>L371</f>
        <v>7495.44</v>
      </c>
      <c r="W371" s="2040">
        <f>L371</f>
        <v>7495.44</v>
      </c>
      <c r="X371" s="2040">
        <f>L371</f>
        <v>7495.44</v>
      </c>
      <c r="Y371" s="2040"/>
      <c r="Z371" s="2040"/>
      <c r="AA371" s="2040"/>
      <c r="AB371" s="2059"/>
      <c r="AC371" s="395"/>
      <c r="AD371" s="395"/>
      <c r="AE371" s="395"/>
      <c r="AF371" s="1975"/>
      <c r="AG371" s="1975"/>
      <c r="AH371" s="1975"/>
      <c r="AI371" s="1975"/>
      <c r="AJ371" s="1975"/>
    </row>
    <row r="372" spans="1:36">
      <c r="A372" s="2037"/>
      <c r="B372" s="3816"/>
      <c r="C372" s="583"/>
      <c r="D372" s="583"/>
      <c r="E372" s="583"/>
      <c r="F372" s="583"/>
      <c r="G372" s="583"/>
      <c r="H372" s="397" t="s">
        <v>2209</v>
      </c>
      <c r="I372" s="397"/>
      <c r="J372" s="1487">
        <v>572324.88</v>
      </c>
      <c r="K372" s="2039" t="s">
        <v>1953</v>
      </c>
      <c r="L372" s="2040">
        <f>J372/30</f>
        <v>19077.495999999999</v>
      </c>
      <c r="M372" s="2040"/>
      <c r="N372" s="2040"/>
      <c r="O372" s="2040"/>
      <c r="P372" s="2040"/>
      <c r="Q372" s="2040"/>
      <c r="R372" s="2040"/>
      <c r="S372" s="2040"/>
      <c r="T372" s="2040">
        <f>L372</f>
        <v>19077.495999999999</v>
      </c>
      <c r="U372" s="2040">
        <f>L372</f>
        <v>19077.495999999999</v>
      </c>
      <c r="V372" s="2040">
        <f>L372</f>
        <v>19077.495999999999</v>
      </c>
      <c r="W372" s="2040">
        <f>L372</f>
        <v>19077.495999999999</v>
      </c>
      <c r="X372" s="2040">
        <f>L372</f>
        <v>19077.495999999999</v>
      </c>
      <c r="Y372" s="2040">
        <f>L372</f>
        <v>19077.495999999999</v>
      </c>
      <c r="Z372" s="2040"/>
      <c r="AA372" s="2040"/>
      <c r="AB372" s="2059"/>
      <c r="AC372" s="395"/>
      <c r="AD372" s="395"/>
      <c r="AE372" s="395"/>
      <c r="AF372" s="1975"/>
      <c r="AG372" s="1975"/>
      <c r="AH372" s="1975"/>
      <c r="AI372" s="1975"/>
      <c r="AJ372" s="1975"/>
    </row>
    <row r="373" spans="1:36">
      <c r="A373" s="2037"/>
      <c r="B373" s="3816"/>
      <c r="C373" s="583"/>
      <c r="D373" s="583"/>
      <c r="E373" s="583"/>
      <c r="F373" s="583"/>
      <c r="G373" s="583"/>
      <c r="H373" s="397" t="s">
        <v>2210</v>
      </c>
      <c r="I373" s="397"/>
      <c r="J373" s="1487">
        <v>30556</v>
      </c>
      <c r="K373" s="2039" t="s">
        <v>1197</v>
      </c>
      <c r="L373" s="2040"/>
      <c r="M373" s="2040"/>
      <c r="N373" s="2040"/>
      <c r="O373" s="2040"/>
      <c r="P373" s="2040"/>
      <c r="Q373" s="2040"/>
      <c r="R373" s="2040"/>
      <c r="S373" s="2040"/>
      <c r="T373" s="2040"/>
      <c r="U373" s="2040"/>
      <c r="V373" s="2040"/>
      <c r="W373" s="2040"/>
      <c r="X373" s="2040"/>
      <c r="Y373" s="2040"/>
      <c r="Z373" s="2040"/>
      <c r="AA373" s="2040"/>
      <c r="AB373" s="2059"/>
      <c r="AC373" s="395"/>
      <c r="AD373" s="395"/>
      <c r="AE373" s="395"/>
      <c r="AF373" s="1975"/>
      <c r="AG373" s="1975"/>
      <c r="AH373" s="1975"/>
      <c r="AI373" s="1975"/>
      <c r="AJ373" s="1975"/>
    </row>
    <row r="374" spans="1:36">
      <c r="A374" s="2037"/>
      <c r="B374" s="3816"/>
      <c r="C374" s="583"/>
      <c r="D374" s="583"/>
      <c r="E374" s="583"/>
      <c r="F374" s="583"/>
      <c r="G374" s="583"/>
      <c r="H374" s="397" t="s">
        <v>2211</v>
      </c>
      <c r="I374" s="397"/>
      <c r="J374" s="1487">
        <v>3630</v>
      </c>
      <c r="K374" s="2039" t="s">
        <v>1198</v>
      </c>
      <c r="L374" s="2040">
        <f>J374/10</f>
        <v>363</v>
      </c>
      <c r="M374" s="2040"/>
      <c r="N374" s="2040"/>
      <c r="O374" s="2040"/>
      <c r="P374" s="2040"/>
      <c r="Q374" s="2040"/>
      <c r="R374" s="2040"/>
      <c r="S374" s="2040"/>
      <c r="T374" s="2040">
        <f>L374</f>
        <v>363</v>
      </c>
      <c r="U374" s="2040">
        <f>L374</f>
        <v>363</v>
      </c>
      <c r="V374" s="2040">
        <f>L374</f>
        <v>363</v>
      </c>
      <c r="W374" s="2040">
        <f>L374</f>
        <v>363</v>
      </c>
      <c r="X374" s="2040">
        <f>L374</f>
        <v>363</v>
      </c>
      <c r="Y374" s="2040">
        <f>L374</f>
        <v>363</v>
      </c>
      <c r="Z374" s="2040"/>
      <c r="AA374" s="2040"/>
      <c r="AB374" s="2059"/>
      <c r="AC374" s="395"/>
      <c r="AD374" s="395"/>
      <c r="AE374" s="395"/>
      <c r="AF374" s="1975"/>
      <c r="AG374" s="1975"/>
      <c r="AH374" s="1975"/>
      <c r="AI374" s="1975"/>
      <c r="AJ374" s="1975"/>
    </row>
    <row r="375" spans="1:36">
      <c r="A375" s="2037"/>
      <c r="B375" s="3816"/>
      <c r="C375" s="583"/>
      <c r="D375" s="583"/>
      <c r="E375" s="583"/>
      <c r="F375" s="583"/>
      <c r="G375" s="583"/>
      <c r="H375" s="397"/>
      <c r="I375" s="397"/>
      <c r="J375" s="2042">
        <f>SUM(J371:J374)</f>
        <v>613432.07999999996</v>
      </c>
      <c r="K375" s="2039"/>
      <c r="L375" s="2040"/>
      <c r="M375" s="2040"/>
      <c r="N375" s="2040"/>
      <c r="O375" s="2040"/>
      <c r="P375" s="2040"/>
      <c r="Q375" s="2040"/>
      <c r="R375" s="2040"/>
      <c r="S375" s="2040"/>
      <c r="T375" s="2040"/>
      <c r="U375" s="2040"/>
      <c r="V375" s="2040"/>
      <c r="W375" s="2040"/>
      <c r="X375" s="2040"/>
      <c r="Y375" s="2040"/>
      <c r="Z375" s="2040"/>
      <c r="AA375" s="2040"/>
      <c r="AB375" s="2059"/>
      <c r="AC375" s="395"/>
      <c r="AD375" s="395"/>
      <c r="AE375" s="395"/>
      <c r="AF375" s="1975"/>
      <c r="AG375" s="1975"/>
      <c r="AH375" s="1975"/>
      <c r="AI375" s="1975"/>
      <c r="AJ375" s="1975"/>
    </row>
    <row r="376" spans="1:36">
      <c r="A376" s="2037">
        <v>2013</v>
      </c>
      <c r="B376" s="3816"/>
      <c r="C376" s="583"/>
      <c r="D376" s="583"/>
      <c r="E376" s="583"/>
      <c r="F376" s="583"/>
      <c r="G376" s="583"/>
      <c r="H376" s="397" t="s">
        <v>1494</v>
      </c>
      <c r="I376" s="397"/>
      <c r="J376" s="1487">
        <v>4627.8900000000003</v>
      </c>
      <c r="K376" s="2039" t="s">
        <v>1197</v>
      </c>
      <c r="L376" s="2040">
        <f>J376/5</f>
        <v>925.57800000000009</v>
      </c>
      <c r="M376" s="2040"/>
      <c r="N376" s="2040"/>
      <c r="O376" s="2040"/>
      <c r="P376" s="2040"/>
      <c r="Q376" s="2040"/>
      <c r="R376" s="2040"/>
      <c r="S376" s="2040">
        <v>925.58</v>
      </c>
      <c r="T376" s="2040">
        <v>925.58</v>
      </c>
      <c r="U376" s="2040">
        <v>925.58</v>
      </c>
      <c r="V376" s="2040">
        <v>925.58</v>
      </c>
      <c r="W376" s="2040">
        <v>925.58</v>
      </c>
      <c r="X376" s="2040"/>
      <c r="Y376" s="2040"/>
      <c r="Z376" s="2040"/>
      <c r="AA376" s="2040"/>
      <c r="AB376" s="2059"/>
      <c r="AC376" s="395"/>
      <c r="AD376" s="395"/>
      <c r="AE376" s="395"/>
      <c r="AF376" s="1975"/>
      <c r="AG376" s="1975"/>
      <c r="AH376" s="1975"/>
      <c r="AI376" s="1975"/>
      <c r="AJ376" s="1975"/>
    </row>
    <row r="377" spans="1:36">
      <c r="A377" s="2037">
        <v>2012</v>
      </c>
      <c r="B377" s="3816"/>
      <c r="C377" s="583"/>
      <c r="D377" s="583"/>
      <c r="E377" s="583"/>
      <c r="F377" s="583"/>
      <c r="G377" s="583"/>
      <c r="H377" s="397" t="s">
        <v>2212</v>
      </c>
      <c r="I377" s="397"/>
      <c r="J377" s="1487">
        <v>5653.05</v>
      </c>
      <c r="K377" s="2039" t="s">
        <v>1197</v>
      </c>
      <c r="L377" s="2040">
        <f>J380/5</f>
        <v>5497.9459999999999</v>
      </c>
      <c r="M377" s="2040"/>
      <c r="N377" s="2040"/>
      <c r="O377" s="2040"/>
      <c r="P377" s="2040"/>
      <c r="Q377" s="2040"/>
      <c r="R377" s="2040"/>
      <c r="S377" s="2040">
        <v>5497.95</v>
      </c>
      <c r="T377" s="2040">
        <v>5497.95</v>
      </c>
      <c r="U377" s="2040">
        <v>5497.95</v>
      </c>
      <c r="V377" s="2040">
        <v>5497.95</v>
      </c>
      <c r="W377" s="2040">
        <v>5497.95</v>
      </c>
      <c r="X377" s="2040"/>
      <c r="Y377" s="2040"/>
      <c r="Z377" s="2040"/>
      <c r="AA377" s="2040"/>
      <c r="AB377" s="2059"/>
      <c r="AC377" s="395"/>
      <c r="AD377" s="395"/>
      <c r="AE377" s="395"/>
      <c r="AF377" s="1975"/>
      <c r="AG377" s="1975"/>
      <c r="AH377" s="1975"/>
      <c r="AI377" s="1975"/>
      <c r="AJ377" s="1975"/>
    </row>
    <row r="378" spans="1:36">
      <c r="A378" s="2037"/>
      <c r="B378" s="3816"/>
      <c r="C378" s="583"/>
      <c r="D378" s="583"/>
      <c r="E378" s="583"/>
      <c r="F378" s="583"/>
      <c r="G378" s="583"/>
      <c r="H378" s="397" t="s">
        <v>2213</v>
      </c>
      <c r="I378" s="397"/>
      <c r="J378" s="1487">
        <v>2123.36</v>
      </c>
      <c r="K378" s="2039" t="s">
        <v>1197</v>
      </c>
      <c r="L378" s="2040"/>
      <c r="M378" s="2040"/>
      <c r="N378" s="2040"/>
      <c r="O378" s="2040"/>
      <c r="P378" s="2040"/>
      <c r="Q378" s="2040"/>
      <c r="R378" s="2040"/>
      <c r="S378" s="2040"/>
      <c r="T378" s="2040"/>
      <c r="U378" s="2040"/>
      <c r="V378" s="2040"/>
      <c r="W378" s="2040"/>
      <c r="X378" s="2040"/>
      <c r="Y378" s="2040"/>
      <c r="Z378" s="2040"/>
      <c r="AA378" s="2040"/>
      <c r="AB378" s="2059"/>
      <c r="AC378" s="395"/>
      <c r="AD378" s="395"/>
      <c r="AE378" s="395"/>
      <c r="AF378" s="1975"/>
      <c r="AG378" s="1975"/>
      <c r="AH378" s="1975"/>
      <c r="AI378" s="1975"/>
      <c r="AJ378" s="1975"/>
    </row>
    <row r="379" spans="1:36">
      <c r="A379" s="2037"/>
      <c r="B379" s="3816"/>
      <c r="C379" s="583"/>
      <c r="D379" s="583"/>
      <c r="E379" s="583"/>
      <c r="F379" s="583"/>
      <c r="G379" s="583"/>
      <c r="H379" s="397" t="s">
        <v>2214</v>
      </c>
      <c r="I379" s="397"/>
      <c r="J379" s="1487">
        <v>19713.32</v>
      </c>
      <c r="K379" s="2039" t="s">
        <v>1197</v>
      </c>
      <c r="L379" s="2040"/>
      <c r="M379" s="2040"/>
      <c r="N379" s="2040"/>
      <c r="O379" s="2040"/>
      <c r="P379" s="2040"/>
      <c r="Q379" s="2040"/>
      <c r="R379" s="2040"/>
      <c r="S379" s="2040"/>
      <c r="T379" s="2040"/>
      <c r="U379" s="2040"/>
      <c r="V379" s="2040"/>
      <c r="W379" s="2040"/>
      <c r="X379" s="2040"/>
      <c r="Y379" s="2040"/>
      <c r="Z379" s="2040"/>
      <c r="AA379" s="2040"/>
      <c r="AB379" s="2059"/>
      <c r="AC379" s="395"/>
      <c r="AD379" s="395"/>
      <c r="AE379" s="395"/>
      <c r="AF379" s="1975"/>
      <c r="AG379" s="1975"/>
      <c r="AH379" s="1975"/>
      <c r="AI379" s="1975"/>
      <c r="AJ379" s="1975"/>
    </row>
    <row r="380" spans="1:36">
      <c r="A380" s="2037"/>
      <c r="B380" s="3816"/>
      <c r="C380" s="583"/>
      <c r="D380" s="583"/>
      <c r="E380" s="583"/>
      <c r="F380" s="583"/>
      <c r="G380" s="583"/>
      <c r="H380" s="397"/>
      <c r="I380" s="397"/>
      <c r="J380" s="2042">
        <f>SUM(J377:J379)</f>
        <v>27489.73</v>
      </c>
      <c r="K380" s="2039"/>
      <c r="L380" s="2040"/>
      <c r="M380" s="2040"/>
      <c r="N380" s="2040"/>
      <c r="O380" s="2040"/>
      <c r="P380" s="2040"/>
      <c r="Q380" s="2040"/>
      <c r="R380" s="2040"/>
      <c r="S380" s="2040"/>
      <c r="T380" s="2040"/>
      <c r="U380" s="2040"/>
      <c r="V380" s="2040"/>
      <c r="W380" s="2040"/>
      <c r="X380" s="2040"/>
      <c r="Y380" s="2040"/>
      <c r="Z380" s="2040"/>
      <c r="AA380" s="2040"/>
      <c r="AB380" s="2059"/>
      <c r="AC380" s="395"/>
      <c r="AD380" s="395"/>
      <c r="AE380" s="395"/>
      <c r="AF380" s="1975"/>
      <c r="AG380" s="1975"/>
      <c r="AH380" s="1975"/>
      <c r="AI380" s="1975"/>
      <c r="AJ380" s="1975"/>
    </row>
    <row r="381" spans="1:36">
      <c r="A381" s="2037">
        <v>2011</v>
      </c>
      <c r="B381" s="3816"/>
      <c r="C381" s="583"/>
      <c r="D381" s="583"/>
      <c r="E381" s="583"/>
      <c r="F381" s="583"/>
      <c r="G381" s="583"/>
      <c r="H381" s="397" t="s">
        <v>2215</v>
      </c>
      <c r="I381" s="397"/>
      <c r="J381" s="1487">
        <v>235000</v>
      </c>
      <c r="K381" s="2039" t="s">
        <v>1385</v>
      </c>
      <c r="L381" s="2040">
        <f>J381/20</f>
        <v>11750</v>
      </c>
      <c r="M381" s="1487"/>
      <c r="N381" s="1487"/>
      <c r="O381" s="1487"/>
      <c r="P381" s="1487"/>
      <c r="Q381" s="1487"/>
      <c r="R381" s="1487">
        <f>$L$381</f>
        <v>11750</v>
      </c>
      <c r="S381" s="1487">
        <f>$L$381</f>
        <v>11750</v>
      </c>
      <c r="T381" s="1487">
        <f>$L$381</f>
        <v>11750</v>
      </c>
      <c r="U381" s="1487">
        <f>$L$381</f>
        <v>11750</v>
      </c>
      <c r="V381" s="1487">
        <f>$L$381</f>
        <v>11750</v>
      </c>
      <c r="W381" s="1487"/>
      <c r="X381" s="1487"/>
      <c r="Y381" s="1487"/>
      <c r="Z381" s="1487"/>
      <c r="AA381" s="1487"/>
      <c r="AB381" s="1489"/>
      <c r="AC381" s="395"/>
      <c r="AD381" s="395"/>
      <c r="AE381" s="395"/>
      <c r="AF381" s="395"/>
      <c r="AG381" s="395"/>
      <c r="AH381" s="395"/>
    </row>
    <row r="382" spans="1:36">
      <c r="A382" s="2037"/>
      <c r="B382" s="3816"/>
      <c r="C382" s="583"/>
      <c r="D382" s="583"/>
      <c r="E382" s="583"/>
      <c r="F382" s="583"/>
      <c r="G382" s="583"/>
      <c r="H382" s="397" t="s">
        <v>2216</v>
      </c>
      <c r="I382" s="397"/>
      <c r="J382" s="1487">
        <v>7676.55</v>
      </c>
      <c r="K382" s="2039" t="s">
        <v>1197</v>
      </c>
      <c r="L382" s="2040">
        <f>J382/5</f>
        <v>1535.31</v>
      </c>
      <c r="M382" s="1487"/>
      <c r="N382" s="1487"/>
      <c r="O382" s="1487"/>
      <c r="P382" s="1487"/>
      <c r="Q382" s="1487"/>
      <c r="R382" s="1487">
        <f>$L$382</f>
        <v>1535.31</v>
      </c>
      <c r="S382" s="1487">
        <f>$L$382</f>
        <v>1535.31</v>
      </c>
      <c r="T382" s="1487">
        <f>$L$382</f>
        <v>1535.31</v>
      </c>
      <c r="U382" s="1487">
        <f>$L$382</f>
        <v>1535.31</v>
      </c>
      <c r="V382" s="1487">
        <f>$L$382</f>
        <v>1535.31</v>
      </c>
      <c r="W382" s="1487"/>
      <c r="X382" s="1487"/>
      <c r="Y382" s="1487"/>
      <c r="Z382" s="1487"/>
      <c r="AA382" s="1487"/>
      <c r="AB382" s="1489"/>
      <c r="AC382" s="395"/>
      <c r="AD382" s="395"/>
      <c r="AE382" s="395"/>
      <c r="AF382" s="395"/>
      <c r="AG382" s="395"/>
      <c r="AH382" s="395"/>
    </row>
    <row r="383" spans="1:36">
      <c r="A383" s="2037"/>
      <c r="B383" s="3816"/>
      <c r="C383" s="583"/>
      <c r="D383" s="583"/>
      <c r="E383" s="583"/>
      <c r="F383" s="583"/>
      <c r="G383" s="583"/>
      <c r="H383" s="397"/>
      <c r="I383" s="397"/>
      <c r="J383" s="2043">
        <f>SUM(J381:J382)</f>
        <v>242676.55</v>
      </c>
      <c r="K383" s="2039"/>
      <c r="L383" s="2040"/>
      <c r="M383" s="1487"/>
      <c r="N383" s="1487"/>
      <c r="O383" s="1487"/>
      <c r="P383" s="1487"/>
      <c r="Q383" s="1487"/>
      <c r="R383" s="1487"/>
      <c r="S383" s="1487"/>
      <c r="T383" s="1487"/>
      <c r="U383" s="1487"/>
      <c r="V383" s="1487"/>
      <c r="W383" s="1487"/>
      <c r="X383" s="1487"/>
      <c r="Y383" s="1487"/>
      <c r="Z383" s="1487"/>
      <c r="AA383" s="1487"/>
      <c r="AB383" s="1489"/>
      <c r="AC383" s="395"/>
      <c r="AD383" s="395"/>
      <c r="AE383" s="395"/>
      <c r="AF383" s="395"/>
      <c r="AG383" s="395"/>
      <c r="AH383" s="395"/>
    </row>
    <row r="384" spans="1:36">
      <c r="A384" s="2037">
        <v>2010</v>
      </c>
      <c r="B384" s="3816"/>
      <c r="C384" s="583"/>
      <c r="D384" s="583"/>
      <c r="E384" s="583"/>
      <c r="F384" s="583"/>
      <c r="G384" s="583"/>
      <c r="H384" s="397" t="s">
        <v>2215</v>
      </c>
      <c r="I384" s="397"/>
      <c r="J384" s="1487">
        <v>3687.04</v>
      </c>
      <c r="K384" s="2039" t="s">
        <v>1197</v>
      </c>
      <c r="L384" s="1487">
        <f>J388/5</f>
        <v>23256.378000000001</v>
      </c>
      <c r="M384" s="1487"/>
      <c r="N384" s="1487"/>
      <c r="O384" s="1487"/>
      <c r="P384" s="1487"/>
      <c r="Q384" s="1487">
        <f>$L$384</f>
        <v>23256.378000000001</v>
      </c>
      <c r="R384" s="1487">
        <f>$L$384</f>
        <v>23256.378000000001</v>
      </c>
      <c r="S384" s="1487">
        <f>$L$384</f>
        <v>23256.378000000001</v>
      </c>
      <c r="T384" s="1487">
        <f>$L$384</f>
        <v>23256.378000000001</v>
      </c>
      <c r="U384" s="1487">
        <f>$L$384</f>
        <v>23256.378000000001</v>
      </c>
      <c r="V384" s="1487"/>
      <c r="W384" s="1487"/>
      <c r="X384" s="1487"/>
      <c r="Y384" s="1487"/>
      <c r="Z384" s="1487"/>
      <c r="AA384" s="1487"/>
      <c r="AB384" s="1489"/>
      <c r="AC384" s="395"/>
      <c r="AD384" s="395"/>
      <c r="AE384" s="395"/>
    </row>
    <row r="385" spans="1:34">
      <c r="A385" s="2037"/>
      <c r="B385" s="3816"/>
      <c r="C385" s="583"/>
      <c r="D385" s="583"/>
      <c r="E385" s="583"/>
      <c r="F385" s="583"/>
      <c r="G385" s="583"/>
      <c r="H385" s="397" t="s">
        <v>2217</v>
      </c>
      <c r="I385" s="397"/>
      <c r="J385" s="1487">
        <v>86939.85</v>
      </c>
      <c r="K385" s="2039"/>
      <c r="L385" s="1487"/>
      <c r="M385" s="1487"/>
      <c r="N385" s="1487"/>
      <c r="O385" s="1487"/>
      <c r="P385" s="1487"/>
      <c r="Q385" s="1487"/>
      <c r="R385" s="1487"/>
      <c r="S385" s="1487"/>
      <c r="T385" s="1487"/>
      <c r="U385" s="1487"/>
      <c r="V385" s="1487"/>
      <c r="W385" s="1487"/>
      <c r="X385" s="1487"/>
      <c r="Y385" s="1487"/>
      <c r="Z385" s="1487"/>
      <c r="AA385" s="1487"/>
      <c r="AB385" s="1489"/>
      <c r="AC385" s="395"/>
      <c r="AD385" s="395"/>
      <c r="AE385" s="395"/>
    </row>
    <row r="386" spans="1:34">
      <c r="A386" s="2037"/>
      <c r="B386" s="3816"/>
      <c r="C386" s="583"/>
      <c r="D386" s="583"/>
      <c r="E386" s="583"/>
      <c r="F386" s="583"/>
      <c r="G386" s="583"/>
      <c r="H386" s="397" t="s">
        <v>2218</v>
      </c>
      <c r="I386" s="397"/>
      <c r="J386" s="1487">
        <v>23691.53</v>
      </c>
      <c r="K386" s="2039"/>
      <c r="L386" s="1487"/>
      <c r="M386" s="1487"/>
      <c r="N386" s="1487"/>
      <c r="O386" s="1487"/>
      <c r="P386" s="1487"/>
      <c r="Q386" s="1487"/>
      <c r="R386" s="1487"/>
      <c r="S386" s="1487"/>
      <c r="T386" s="1487"/>
      <c r="U386" s="1487"/>
      <c r="V386" s="1487"/>
      <c r="W386" s="1487"/>
      <c r="X386" s="1487"/>
      <c r="Y386" s="1487"/>
      <c r="Z386" s="1487"/>
      <c r="AA386" s="1487"/>
      <c r="AB386" s="1489"/>
      <c r="AC386" s="395"/>
      <c r="AD386" s="395"/>
      <c r="AE386" s="395"/>
    </row>
    <row r="387" spans="1:34">
      <c r="A387" s="2037"/>
      <c r="B387" s="3816"/>
      <c r="C387" s="583"/>
      <c r="D387" s="583"/>
      <c r="E387" s="583"/>
      <c r="F387" s="583"/>
      <c r="G387" s="583"/>
      <c r="H387" s="397" t="s">
        <v>1494</v>
      </c>
      <c r="I387" s="397"/>
      <c r="J387" s="1487">
        <v>1963.47</v>
      </c>
      <c r="K387" s="2039"/>
      <c r="L387" s="1487"/>
      <c r="M387" s="1487"/>
      <c r="N387" s="1487"/>
      <c r="O387" s="1487"/>
      <c r="P387" s="1487"/>
      <c r="Q387" s="1487"/>
      <c r="R387" s="1487"/>
      <c r="S387" s="1487"/>
      <c r="T387" s="1487"/>
      <c r="U387" s="1487"/>
      <c r="V387" s="1487"/>
      <c r="W387" s="1487"/>
      <c r="X387" s="1487"/>
      <c r="Y387" s="1487"/>
      <c r="Z387" s="1487"/>
      <c r="AA387" s="1487"/>
      <c r="AB387" s="1489"/>
      <c r="AC387" s="395"/>
      <c r="AD387" s="395"/>
      <c r="AE387" s="395"/>
    </row>
    <row r="388" spans="1:34">
      <c r="A388" s="2037"/>
      <c r="B388" s="3816"/>
      <c r="C388" s="583"/>
      <c r="D388" s="583"/>
      <c r="E388" s="583"/>
      <c r="F388" s="583"/>
      <c r="G388" s="583"/>
      <c r="H388" s="397"/>
      <c r="I388" s="397"/>
      <c r="J388" s="2042">
        <f>SUM(J384:J387)</f>
        <v>116281.89</v>
      </c>
      <c r="K388" s="2039"/>
      <c r="L388" s="1487"/>
      <c r="M388" s="1487"/>
      <c r="N388" s="1487"/>
      <c r="O388" s="1487"/>
      <c r="P388" s="1487"/>
      <c r="Q388" s="1487"/>
      <c r="R388" s="1487"/>
      <c r="S388" s="1487"/>
      <c r="T388" s="1487"/>
      <c r="U388" s="1487"/>
      <c r="V388" s="1487"/>
      <c r="W388" s="1487"/>
      <c r="X388" s="1487"/>
      <c r="Y388" s="1487"/>
      <c r="Z388" s="1487"/>
      <c r="AA388" s="1487"/>
      <c r="AB388" s="1489"/>
      <c r="AC388" s="395"/>
      <c r="AD388" s="395"/>
      <c r="AE388" s="395"/>
    </row>
    <row r="389" spans="1:34">
      <c r="A389" s="2037">
        <v>2009</v>
      </c>
      <c r="B389" s="3816"/>
      <c r="C389" s="583"/>
      <c r="D389" s="583"/>
      <c r="E389" s="583"/>
      <c r="F389" s="583"/>
      <c r="G389" s="583"/>
      <c r="H389" s="397" t="s">
        <v>2193</v>
      </c>
      <c r="I389" s="397"/>
      <c r="J389" s="2043">
        <f>O334+O329</f>
        <v>89592.01999999999</v>
      </c>
      <c r="K389" s="2039" t="s">
        <v>1197</v>
      </c>
      <c r="L389" s="1487">
        <f>J389/5</f>
        <v>17918.403999999999</v>
      </c>
      <c r="M389" s="397"/>
      <c r="N389" s="397"/>
      <c r="O389" s="397"/>
      <c r="P389" s="1487">
        <f>$L$389</f>
        <v>17918.403999999999</v>
      </c>
      <c r="Q389" s="1487">
        <f>$L$389</f>
        <v>17918.403999999999</v>
      </c>
      <c r="R389" s="1487">
        <f>$L$389</f>
        <v>17918.403999999999</v>
      </c>
      <c r="S389" s="1487">
        <f>$L$389</f>
        <v>17918.403999999999</v>
      </c>
      <c r="T389" s="1487">
        <f>$L$389</f>
        <v>17918.403999999999</v>
      </c>
      <c r="U389" s="1487"/>
      <c r="V389" s="1487"/>
      <c r="W389" s="1487"/>
      <c r="X389" s="1487"/>
      <c r="Y389" s="1487"/>
      <c r="Z389" s="1487"/>
      <c r="AA389" s="1487"/>
      <c r="AB389" s="1489"/>
      <c r="AC389" s="395"/>
      <c r="AD389" s="395"/>
      <c r="AE389" s="395"/>
      <c r="AF389" s="395"/>
      <c r="AG389" s="395"/>
      <c r="AH389" s="395"/>
    </row>
    <row r="390" spans="1:34">
      <c r="A390" s="2037">
        <v>2008</v>
      </c>
      <c r="B390" s="3816"/>
      <c r="C390" s="583"/>
      <c r="D390" s="583"/>
      <c r="E390" s="583"/>
      <c r="F390" s="583"/>
      <c r="G390" s="583"/>
      <c r="H390" s="397" t="s">
        <v>2215</v>
      </c>
      <c r="I390" s="397"/>
      <c r="J390" s="1487">
        <v>12000</v>
      </c>
      <c r="K390" s="2039" t="s">
        <v>1197</v>
      </c>
      <c r="L390" s="1487">
        <f>(J395-J391)/5</f>
        <v>16952.376</v>
      </c>
      <c r="M390" s="1487"/>
      <c r="N390" s="1487"/>
      <c r="O390" s="1487">
        <f>$L$390</f>
        <v>16952.376</v>
      </c>
      <c r="P390" s="1487">
        <f>$L$390</f>
        <v>16952.376</v>
      </c>
      <c r="Q390" s="1487">
        <f>$L$390</f>
        <v>16952.376</v>
      </c>
      <c r="R390" s="1487">
        <f>$L$390</f>
        <v>16952.376</v>
      </c>
      <c r="S390" s="1487">
        <f>$L$390</f>
        <v>16952.376</v>
      </c>
      <c r="T390" s="1487"/>
      <c r="U390" s="1487"/>
      <c r="V390" s="1487"/>
      <c r="W390" s="1487"/>
      <c r="X390" s="1487"/>
      <c r="Y390" s="1487"/>
      <c r="Z390" s="1487"/>
      <c r="AA390" s="1487"/>
      <c r="AB390" s="1489"/>
      <c r="AC390" s="395"/>
      <c r="AD390" s="395"/>
      <c r="AE390" s="395"/>
      <c r="AF390" s="395"/>
      <c r="AG390" s="395"/>
      <c r="AH390" s="395"/>
    </row>
    <row r="391" spans="1:34">
      <c r="A391" s="2037"/>
      <c r="B391" s="3816"/>
      <c r="C391" s="583"/>
      <c r="D391" s="583"/>
      <c r="E391" s="583"/>
      <c r="F391" s="583"/>
      <c r="G391" s="583"/>
      <c r="H391" s="397" t="s">
        <v>2219</v>
      </c>
      <c r="I391" s="397"/>
      <c r="J391" s="1487">
        <v>899483.14</v>
      </c>
      <c r="K391" s="2039" t="s">
        <v>1385</v>
      </c>
      <c r="L391" s="1487">
        <f>J391/20</f>
        <v>44974.156999999999</v>
      </c>
      <c r="M391" s="1487"/>
      <c r="N391" s="1487"/>
      <c r="O391" s="1487">
        <f t="shared" ref="O391:Y391" si="64">$L$391</f>
        <v>44974.156999999999</v>
      </c>
      <c r="P391" s="1487">
        <f t="shared" si="64"/>
        <v>44974.156999999999</v>
      </c>
      <c r="Q391" s="1487">
        <f t="shared" si="64"/>
        <v>44974.156999999999</v>
      </c>
      <c r="R391" s="1487">
        <f t="shared" si="64"/>
        <v>44974.156999999999</v>
      </c>
      <c r="S391" s="1487">
        <f t="shared" si="64"/>
        <v>44974.156999999999</v>
      </c>
      <c r="T391" s="1487">
        <f t="shared" si="64"/>
        <v>44974.156999999999</v>
      </c>
      <c r="U391" s="1487">
        <f t="shared" si="64"/>
        <v>44974.156999999999</v>
      </c>
      <c r="V391" s="1487">
        <f t="shared" si="64"/>
        <v>44974.156999999999</v>
      </c>
      <c r="W391" s="1487">
        <f t="shared" si="64"/>
        <v>44974.156999999999</v>
      </c>
      <c r="X391" s="1487">
        <f t="shared" si="64"/>
        <v>44974.156999999999</v>
      </c>
      <c r="Y391" s="1487">
        <f t="shared" si="64"/>
        <v>44974.156999999999</v>
      </c>
      <c r="Z391" s="1487"/>
      <c r="AA391" s="1487"/>
      <c r="AB391" s="1489"/>
      <c r="AC391" s="395"/>
      <c r="AD391" s="395"/>
      <c r="AE391" s="395"/>
      <c r="AF391" s="395"/>
      <c r="AG391" s="395"/>
      <c r="AH391" s="395"/>
    </row>
    <row r="392" spans="1:34">
      <c r="A392" s="2037"/>
      <c r="B392" s="3816"/>
      <c r="C392" s="583"/>
      <c r="D392" s="583"/>
      <c r="E392" s="583"/>
      <c r="F392" s="583"/>
      <c r="G392" s="583"/>
      <c r="H392" s="397" t="s">
        <v>2217</v>
      </c>
      <c r="I392" s="397"/>
      <c r="J392" s="1487">
        <v>19243.86</v>
      </c>
      <c r="K392" s="2039" t="s">
        <v>1197</v>
      </c>
      <c r="L392" s="1487"/>
      <c r="M392" s="1487"/>
      <c r="N392" s="1487"/>
      <c r="O392" s="1487"/>
      <c r="P392" s="1487"/>
      <c r="Q392" s="1487"/>
      <c r="R392" s="1487"/>
      <c r="S392" s="1487"/>
      <c r="T392" s="1487"/>
      <c r="U392" s="1487"/>
      <c r="V392" s="1487"/>
      <c r="W392" s="1487"/>
      <c r="X392" s="1487"/>
      <c r="Y392" s="1487"/>
      <c r="Z392" s="1487"/>
      <c r="AA392" s="1487"/>
      <c r="AB392" s="1489"/>
      <c r="AC392" s="395"/>
      <c r="AD392" s="395"/>
      <c r="AE392" s="395"/>
      <c r="AF392" s="395"/>
      <c r="AG392" s="395"/>
      <c r="AH392" s="395"/>
    </row>
    <row r="393" spans="1:34">
      <c r="A393" s="2037"/>
      <c r="B393" s="3816"/>
      <c r="C393" s="583"/>
      <c r="D393" s="583"/>
      <c r="E393" s="583"/>
      <c r="F393" s="583"/>
      <c r="G393" s="583"/>
      <c r="H393" s="397" t="s">
        <v>2220</v>
      </c>
      <c r="I393" s="397"/>
      <c r="J393" s="1487">
        <v>35239.129999999997</v>
      </c>
      <c r="K393" s="2039" t="s">
        <v>1197</v>
      </c>
      <c r="L393" s="1487"/>
      <c r="M393" s="1487"/>
      <c r="N393" s="1487"/>
      <c r="O393" s="1487"/>
      <c r="P393" s="1487"/>
      <c r="Q393" s="1487"/>
      <c r="R393" s="1487"/>
      <c r="S393" s="1487"/>
      <c r="T393" s="1487"/>
      <c r="U393" s="1487"/>
      <c r="V393" s="1487"/>
      <c r="W393" s="1487"/>
      <c r="X393" s="1487"/>
      <c r="Y393" s="1487"/>
      <c r="Z393" s="1487"/>
      <c r="AA393" s="1487"/>
      <c r="AB393" s="1489"/>
      <c r="AC393" s="395"/>
      <c r="AD393" s="395"/>
      <c r="AE393" s="395"/>
      <c r="AF393" s="395"/>
      <c r="AG393" s="395"/>
      <c r="AH393" s="395"/>
    </row>
    <row r="394" spans="1:34">
      <c r="A394" s="2037"/>
      <c r="B394" s="3816"/>
      <c r="C394" s="583"/>
      <c r="D394" s="583"/>
      <c r="E394" s="583"/>
      <c r="F394" s="583"/>
      <c r="G394" s="583"/>
      <c r="H394" s="397" t="s">
        <v>1494</v>
      </c>
      <c r="I394" s="397"/>
      <c r="J394" s="1487">
        <v>18278.89</v>
      </c>
      <c r="K394" s="2039" t="s">
        <v>1197</v>
      </c>
      <c r="L394" s="1487"/>
      <c r="M394" s="1487"/>
      <c r="N394" s="1487"/>
      <c r="O394" s="1487"/>
      <c r="P394" s="1487"/>
      <c r="Q394" s="1487"/>
      <c r="R394" s="1487"/>
      <c r="S394" s="1487"/>
      <c r="T394" s="1487"/>
      <c r="U394" s="1487"/>
      <c r="V394" s="1487"/>
      <c r="W394" s="1487"/>
      <c r="X394" s="1487"/>
      <c r="Y394" s="1487"/>
      <c r="Z394" s="1487"/>
      <c r="AA394" s="1487"/>
      <c r="AB394" s="1489"/>
      <c r="AC394" s="395"/>
      <c r="AD394" s="395"/>
      <c r="AE394" s="395"/>
      <c r="AF394" s="395"/>
      <c r="AG394" s="395"/>
      <c r="AH394" s="395"/>
    </row>
    <row r="395" spans="1:34">
      <c r="A395" s="2037"/>
      <c r="B395" s="3816"/>
      <c r="C395" s="583"/>
      <c r="D395" s="583"/>
      <c r="E395" s="583"/>
      <c r="F395" s="583"/>
      <c r="G395" s="583"/>
      <c r="H395" s="397"/>
      <c r="I395" s="397"/>
      <c r="J395" s="2043">
        <f>SUM(J390:J394)</f>
        <v>984245.02</v>
      </c>
      <c r="K395" s="2039"/>
      <c r="L395" s="1487"/>
      <c r="M395" s="1487"/>
      <c r="N395" s="1487"/>
      <c r="O395" s="1487"/>
      <c r="P395" s="1487"/>
      <c r="Q395" s="1487"/>
      <c r="R395" s="1487"/>
      <c r="S395" s="1487"/>
      <c r="T395" s="1487"/>
      <c r="U395" s="1487"/>
      <c r="V395" s="1487"/>
      <c r="W395" s="1487"/>
      <c r="X395" s="1487"/>
      <c r="Y395" s="1487"/>
      <c r="Z395" s="1487"/>
      <c r="AA395" s="1487"/>
      <c r="AB395" s="1489"/>
      <c r="AC395" s="395"/>
      <c r="AD395" s="395"/>
      <c r="AE395" s="395"/>
      <c r="AF395" s="395"/>
      <c r="AG395" s="395"/>
      <c r="AH395" s="395"/>
    </row>
    <row r="396" spans="1:34">
      <c r="A396" s="2037">
        <v>2007</v>
      </c>
      <c r="B396" s="3816"/>
      <c r="C396" s="583"/>
      <c r="D396" s="583"/>
      <c r="E396" s="583"/>
      <c r="F396" s="583"/>
      <c r="G396" s="583"/>
      <c r="H396" s="397" t="s">
        <v>2217</v>
      </c>
      <c r="I396" s="397"/>
      <c r="J396" s="1487">
        <v>36747.17</v>
      </c>
      <c r="K396" s="2039" t="s">
        <v>1197</v>
      </c>
      <c r="L396" s="1487">
        <f>(J396+J398)/5</f>
        <v>14502.034</v>
      </c>
      <c r="M396" s="397"/>
      <c r="N396" s="1487">
        <f>$L$396</f>
        <v>14502.034</v>
      </c>
      <c r="O396" s="1487">
        <f>$L$396</f>
        <v>14502.034</v>
      </c>
      <c r="P396" s="1487">
        <f>$L$396</f>
        <v>14502.034</v>
      </c>
      <c r="Q396" s="1487">
        <f>$L$396</f>
        <v>14502.034</v>
      </c>
      <c r="R396" s="1487">
        <f>$L$396</f>
        <v>14502.034</v>
      </c>
      <c r="S396" s="397"/>
      <c r="T396" s="1487"/>
      <c r="U396" s="1487"/>
      <c r="V396" s="1487"/>
      <c r="W396" s="1487"/>
      <c r="X396" s="1487"/>
      <c r="Y396" s="1487"/>
      <c r="Z396" s="1487"/>
      <c r="AA396" s="1487"/>
      <c r="AB396" s="1489"/>
      <c r="AC396" s="395"/>
      <c r="AD396" s="395"/>
      <c r="AE396" s="395"/>
      <c r="AF396" s="395"/>
      <c r="AG396" s="395"/>
      <c r="AH396" s="395"/>
    </row>
    <row r="397" spans="1:34">
      <c r="A397" s="2037"/>
      <c r="B397" s="3816"/>
      <c r="C397" s="583"/>
      <c r="D397" s="583"/>
      <c r="E397" s="583"/>
      <c r="F397" s="583"/>
      <c r="G397" s="583"/>
      <c r="H397" s="397" t="s">
        <v>2221</v>
      </c>
      <c r="I397" s="397"/>
      <c r="J397" s="1487">
        <v>102256.75</v>
      </c>
      <c r="K397" s="2039" t="s">
        <v>1198</v>
      </c>
      <c r="L397" s="1487">
        <f>J397/10</f>
        <v>10225.674999999999</v>
      </c>
      <c r="M397" s="397"/>
      <c r="N397" s="1487">
        <f t="shared" ref="N397:W397" si="65">$L$397</f>
        <v>10225.674999999999</v>
      </c>
      <c r="O397" s="1487">
        <f t="shared" si="65"/>
        <v>10225.674999999999</v>
      </c>
      <c r="P397" s="1487">
        <f t="shared" si="65"/>
        <v>10225.674999999999</v>
      </c>
      <c r="Q397" s="1487">
        <f t="shared" si="65"/>
        <v>10225.674999999999</v>
      </c>
      <c r="R397" s="1487">
        <f t="shared" si="65"/>
        <v>10225.674999999999</v>
      </c>
      <c r="S397" s="1487">
        <f t="shared" si="65"/>
        <v>10225.674999999999</v>
      </c>
      <c r="T397" s="1487">
        <f t="shared" si="65"/>
        <v>10225.674999999999</v>
      </c>
      <c r="U397" s="1487">
        <f t="shared" si="65"/>
        <v>10225.674999999999</v>
      </c>
      <c r="V397" s="1487">
        <f t="shared" si="65"/>
        <v>10225.674999999999</v>
      </c>
      <c r="W397" s="1487">
        <f t="shared" si="65"/>
        <v>10225.674999999999</v>
      </c>
      <c r="X397" s="1487"/>
      <c r="Y397" s="1487"/>
      <c r="Z397" s="1487"/>
      <c r="AA397" s="1487"/>
      <c r="AB397" s="1489"/>
      <c r="AC397" s="395"/>
      <c r="AD397" s="395"/>
      <c r="AE397" s="395"/>
      <c r="AF397" s="395"/>
      <c r="AG397" s="395"/>
      <c r="AH397" s="395"/>
    </row>
    <row r="398" spans="1:34">
      <c r="A398" s="2037"/>
      <c r="B398" s="3816"/>
      <c r="C398" s="583"/>
      <c r="D398" s="583"/>
      <c r="E398" s="583"/>
      <c r="F398" s="583"/>
      <c r="G398" s="583"/>
      <c r="H398" s="397" t="s">
        <v>2222</v>
      </c>
      <c r="I398" s="397"/>
      <c r="J398" s="1487">
        <v>35763</v>
      </c>
      <c r="K398" s="2039" t="s">
        <v>1197</v>
      </c>
      <c r="L398" s="1487"/>
      <c r="M398" s="397"/>
      <c r="N398" s="397"/>
      <c r="O398" s="397"/>
      <c r="P398" s="397"/>
      <c r="Q398" s="397"/>
      <c r="R398" s="397"/>
      <c r="S398" s="397"/>
      <c r="T398" s="1487"/>
      <c r="U398" s="1487"/>
      <c r="V398" s="1487"/>
      <c r="W398" s="1487"/>
      <c r="X398" s="1487"/>
      <c r="Y398" s="1487"/>
      <c r="Z398" s="1487"/>
      <c r="AA398" s="1487"/>
      <c r="AB398" s="1489"/>
      <c r="AC398" s="395"/>
      <c r="AD398" s="395"/>
      <c r="AE398" s="395"/>
      <c r="AF398" s="395"/>
      <c r="AG398" s="395"/>
      <c r="AH398" s="395"/>
    </row>
    <row r="399" spans="1:34">
      <c r="A399" s="2037"/>
      <c r="B399" s="3816"/>
      <c r="C399" s="583"/>
      <c r="D399" s="583"/>
      <c r="E399" s="583"/>
      <c r="F399" s="583"/>
      <c r="G399" s="583"/>
      <c r="H399" s="397"/>
      <c r="I399" s="397"/>
      <c r="J399" s="2042">
        <f>SUM(J396:J398)</f>
        <v>174766.91999999998</v>
      </c>
      <c r="K399" s="2039"/>
      <c r="L399" s="1487"/>
      <c r="M399" s="397"/>
      <c r="N399" s="397"/>
      <c r="O399" s="397"/>
      <c r="P399" s="397"/>
      <c r="Q399" s="397"/>
      <c r="R399" s="397"/>
      <c r="S399" s="397"/>
      <c r="T399" s="1487"/>
      <c r="U399" s="1487"/>
      <c r="V399" s="1487"/>
      <c r="W399" s="1487"/>
      <c r="X399" s="1487"/>
      <c r="Y399" s="1487"/>
      <c r="Z399" s="1487"/>
      <c r="AA399" s="1487"/>
      <c r="AB399" s="1489"/>
      <c r="AC399" s="395"/>
      <c r="AD399" s="395"/>
      <c r="AE399" s="395"/>
      <c r="AF399" s="395"/>
      <c r="AG399" s="395"/>
      <c r="AH399" s="395"/>
    </row>
    <row r="400" spans="1:34">
      <c r="A400" s="2038"/>
      <c r="B400" s="3829"/>
      <c r="C400" s="2044"/>
      <c r="D400" s="2044"/>
      <c r="E400" s="2044"/>
      <c r="F400" s="2044"/>
      <c r="G400" s="2044"/>
      <c r="H400" s="2008" t="s">
        <v>1201</v>
      </c>
      <c r="I400" s="2022"/>
      <c r="J400" s="2010"/>
      <c r="K400" s="2010"/>
      <c r="L400" s="2010"/>
      <c r="M400" s="2009">
        <f>SUM(M381:M399)</f>
        <v>0</v>
      </c>
      <c r="N400" s="2009">
        <f t="shared" ref="N400:AB400" si="66">SUM(N344:N399)</f>
        <v>24727.708999999999</v>
      </c>
      <c r="O400" s="2009">
        <f t="shared" si="66"/>
        <v>86654.241999999998</v>
      </c>
      <c r="P400" s="2009">
        <f t="shared" si="66"/>
        <v>104572.64600000001</v>
      </c>
      <c r="Q400" s="2009">
        <f t="shared" si="66"/>
        <v>127829.024</v>
      </c>
      <c r="R400" s="2009">
        <f t="shared" si="66"/>
        <v>141114.334</v>
      </c>
      <c r="S400" s="2009">
        <f t="shared" si="66"/>
        <v>133035.82999999999</v>
      </c>
      <c r="T400" s="2009">
        <f t="shared" si="66"/>
        <v>143019.38999999998</v>
      </c>
      <c r="U400" s="2009">
        <f t="shared" si="66"/>
        <v>145132.29866666664</v>
      </c>
      <c r="V400" s="2009">
        <f t="shared" si="66"/>
        <v>164002.7093333333</v>
      </c>
      <c r="W400" s="2009">
        <f t="shared" si="66"/>
        <v>307957.09933333332</v>
      </c>
      <c r="X400" s="2009">
        <f t="shared" si="66"/>
        <v>340920.24116666667</v>
      </c>
      <c r="Y400" s="2009">
        <f t="shared" si="66"/>
        <v>341313.16816666664</v>
      </c>
      <c r="Z400" s="2009">
        <f t="shared" si="66"/>
        <v>221190.03883333332</v>
      </c>
      <c r="AA400" s="2009">
        <f t="shared" si="66"/>
        <v>257961.36383333334</v>
      </c>
      <c r="AB400" s="2009">
        <f t="shared" si="66"/>
        <v>246425.64383333334</v>
      </c>
      <c r="AC400" s="395"/>
      <c r="AD400" s="395"/>
      <c r="AE400" s="395"/>
      <c r="AF400" s="395"/>
      <c r="AG400" s="395"/>
      <c r="AH400" s="395"/>
    </row>
    <row r="401" spans="1:34">
      <c r="A401" s="1633"/>
      <c r="B401" s="1633"/>
      <c r="C401" s="1633"/>
      <c r="D401" s="1633"/>
      <c r="E401" s="1633"/>
      <c r="F401" s="1633"/>
      <c r="G401" s="1633"/>
      <c r="H401" s="395"/>
      <c r="I401" s="395"/>
      <c r="J401" s="395"/>
      <c r="K401" s="395"/>
      <c r="L401" s="395"/>
      <c r="T401" s="395"/>
      <c r="U401" s="395"/>
      <c r="V401" s="395"/>
      <c r="AF401" s="395"/>
      <c r="AG401" s="395"/>
      <c r="AH401" s="395"/>
    </row>
    <row r="402" spans="1:34">
      <c r="A402" s="1569" t="s">
        <v>7101</v>
      </c>
      <c r="B402" s="1569"/>
      <c r="C402" s="1569"/>
      <c r="D402" s="1569"/>
      <c r="E402" s="1569"/>
      <c r="F402" s="1569"/>
      <c r="G402" s="1569"/>
      <c r="H402" s="395"/>
      <c r="I402" s="395"/>
      <c r="J402" s="395"/>
      <c r="K402" s="395"/>
      <c r="L402" s="395"/>
      <c r="T402" s="395"/>
      <c r="U402" s="395"/>
      <c r="V402" s="395"/>
      <c r="AF402" s="395"/>
    </row>
    <row r="403" spans="1:34">
      <c r="A403" s="1633"/>
      <c r="B403" s="1633"/>
      <c r="C403" s="1633"/>
      <c r="D403" s="1633"/>
      <c r="E403" s="1633"/>
      <c r="F403" s="1633"/>
      <c r="G403" s="1633"/>
      <c r="H403" s="395"/>
      <c r="I403" s="395"/>
      <c r="J403" s="395"/>
      <c r="K403" s="395"/>
      <c r="L403" s="395"/>
      <c r="T403" s="395"/>
      <c r="U403" s="395"/>
      <c r="V403" s="395"/>
      <c r="AF403" s="395"/>
    </row>
    <row r="404" spans="1:34">
      <c r="A404" s="1989" t="s">
        <v>623</v>
      </c>
      <c r="B404" s="1991"/>
      <c r="C404" s="1991"/>
      <c r="D404" s="1991"/>
      <c r="E404" s="1991"/>
      <c r="F404" s="1991"/>
      <c r="G404" s="1991"/>
      <c r="H404" s="1991" t="s">
        <v>1002</v>
      </c>
      <c r="I404" s="1991"/>
      <c r="J404" s="1991"/>
      <c r="K404" s="1991"/>
      <c r="L404" s="1991"/>
      <c r="M404" s="1990">
        <v>2007</v>
      </c>
      <c r="N404" s="1990">
        <v>2008</v>
      </c>
      <c r="O404" s="1991">
        <v>2009</v>
      </c>
      <c r="P404" s="1991">
        <v>2010</v>
      </c>
      <c r="Q404" s="1991">
        <v>2011</v>
      </c>
      <c r="R404" s="1991">
        <v>2012</v>
      </c>
      <c r="S404" s="1991">
        <v>2013</v>
      </c>
      <c r="T404" s="1991">
        <v>2014</v>
      </c>
      <c r="U404" s="1991">
        <v>2015</v>
      </c>
      <c r="V404" s="1991">
        <v>2016</v>
      </c>
      <c r="W404" s="1991">
        <v>2017</v>
      </c>
      <c r="X404" s="1991">
        <v>2018</v>
      </c>
      <c r="Y404" s="1991">
        <v>2019</v>
      </c>
      <c r="Z404" s="1991">
        <v>2020</v>
      </c>
      <c r="AA404" s="1991">
        <v>2021</v>
      </c>
      <c r="AB404" s="1992">
        <v>2022</v>
      </c>
      <c r="AC404" s="380"/>
      <c r="AD404" s="1973"/>
      <c r="AE404" s="1973"/>
      <c r="AF404" s="1633"/>
    </row>
    <row r="405" spans="1:34">
      <c r="A405" s="1984" t="s">
        <v>1003</v>
      </c>
      <c r="B405" s="1985"/>
      <c r="C405" s="1985"/>
      <c r="D405" s="1985"/>
      <c r="E405" s="1985"/>
      <c r="F405" s="1985"/>
      <c r="G405" s="1985"/>
      <c r="H405" s="1986"/>
      <c r="I405" s="1986"/>
      <c r="J405" s="1986"/>
      <c r="K405" s="1986"/>
      <c r="L405" s="1986"/>
      <c r="M405" s="1987"/>
      <c r="N405" s="1987"/>
      <c r="O405" s="1987"/>
      <c r="P405" s="1986"/>
      <c r="Q405" s="1986"/>
      <c r="R405" s="1986"/>
      <c r="S405" s="1986"/>
      <c r="T405" s="1986"/>
      <c r="U405" s="1987"/>
      <c r="V405" s="1987"/>
      <c r="W405" s="1987"/>
      <c r="X405" s="1987"/>
      <c r="Y405" s="1987"/>
      <c r="Z405" s="1987"/>
      <c r="AA405" s="1987"/>
      <c r="AB405" s="1988"/>
      <c r="AF405" s="395"/>
    </row>
    <row r="406" spans="1:34">
      <c r="A406" s="2048" t="s">
        <v>1202</v>
      </c>
      <c r="B406" s="1999"/>
      <c r="C406" s="1999"/>
      <c r="D406" s="1999"/>
      <c r="E406" s="1999"/>
      <c r="F406" s="1999"/>
      <c r="G406" s="1999"/>
      <c r="H406" s="397"/>
      <c r="I406" s="397"/>
      <c r="J406" s="397"/>
      <c r="K406" s="397"/>
      <c r="L406" s="1996"/>
      <c r="M406" s="1487"/>
      <c r="N406" s="1487"/>
      <c r="O406" s="1487"/>
      <c r="P406" s="397"/>
      <c r="Q406" s="397"/>
      <c r="R406" s="397"/>
      <c r="S406" s="397"/>
      <c r="T406" s="397"/>
      <c r="U406" s="1487"/>
      <c r="V406" s="1487"/>
      <c r="W406" s="1487"/>
      <c r="X406" s="1487"/>
      <c r="Y406" s="1487"/>
      <c r="Z406" s="1487"/>
      <c r="AA406" s="1487"/>
      <c r="AB406" s="1489"/>
      <c r="AF406" s="395"/>
    </row>
    <row r="407" spans="1:34">
      <c r="A407" s="1997" t="s">
        <v>2223</v>
      </c>
      <c r="B407" s="583"/>
      <c r="C407" s="583"/>
      <c r="D407" s="583"/>
      <c r="E407" s="583"/>
      <c r="F407" s="583"/>
      <c r="G407" s="583"/>
      <c r="H407" s="397" t="s">
        <v>1204</v>
      </c>
      <c r="I407" s="397"/>
      <c r="J407" s="397"/>
      <c r="K407" s="397"/>
      <c r="L407" s="1998"/>
      <c r="M407" s="1487">
        <v>0</v>
      </c>
      <c r="N407" s="1487">
        <v>0</v>
      </c>
      <c r="O407" s="1487">
        <v>0</v>
      </c>
      <c r="P407" s="1487">
        <v>0</v>
      </c>
      <c r="Q407" s="1487">
        <v>0</v>
      </c>
      <c r="R407" s="1487">
        <v>0</v>
      </c>
      <c r="S407" s="397"/>
      <c r="T407" s="397"/>
      <c r="U407" s="1487"/>
      <c r="V407" s="1487"/>
      <c r="W407" s="1487"/>
      <c r="X407" s="1487"/>
      <c r="Y407" s="1487"/>
      <c r="Z407" s="1487"/>
      <c r="AA407" s="1487"/>
      <c r="AB407" s="1489"/>
      <c r="AF407" s="395"/>
    </row>
    <row r="408" spans="1:34">
      <c r="A408" s="1997" t="s">
        <v>2224</v>
      </c>
      <c r="B408" s="583"/>
      <c r="C408" s="583"/>
      <c r="D408" s="583"/>
      <c r="E408" s="583"/>
      <c r="F408" s="583"/>
      <c r="G408" s="583"/>
      <c r="H408" s="397" t="s">
        <v>2225</v>
      </c>
      <c r="I408" s="397"/>
      <c r="J408" s="397"/>
      <c r="K408" s="397"/>
      <c r="L408" s="1998"/>
      <c r="M408" s="1487">
        <v>7424.15</v>
      </c>
      <c r="N408" s="1487">
        <v>12531.5</v>
      </c>
      <c r="O408" s="1487">
        <v>11959.75</v>
      </c>
      <c r="P408" s="1487">
        <v>12134.5</v>
      </c>
      <c r="Q408" s="1487">
        <v>12450.5</v>
      </c>
      <c r="R408" s="1487">
        <v>11642</v>
      </c>
      <c r="S408" s="1487">
        <v>11981.75</v>
      </c>
      <c r="T408" s="397"/>
      <c r="U408" s="1487"/>
      <c r="V408" s="1487"/>
      <c r="W408" s="1487"/>
      <c r="X408" s="1487"/>
      <c r="Y408" s="1487"/>
      <c r="Z408" s="1487"/>
      <c r="AA408" s="1487"/>
      <c r="AB408" s="1489"/>
      <c r="AF408" s="395"/>
    </row>
    <row r="409" spans="1:34">
      <c r="A409" s="1997" t="s">
        <v>2226</v>
      </c>
      <c r="B409" s="583" t="s">
        <v>7456</v>
      </c>
      <c r="C409" s="583"/>
      <c r="D409" s="583"/>
      <c r="E409" s="583"/>
      <c r="F409" s="583"/>
      <c r="G409" s="583"/>
      <c r="H409" s="397" t="s">
        <v>2225</v>
      </c>
      <c r="I409" s="397"/>
      <c r="J409" s="397"/>
      <c r="K409" s="397"/>
      <c r="L409" s="1998"/>
      <c r="M409" s="1487"/>
      <c r="N409" s="1487"/>
      <c r="O409" s="1487"/>
      <c r="P409" s="1487"/>
      <c r="Q409" s="1487"/>
      <c r="R409" s="1487"/>
      <c r="S409" s="1487"/>
      <c r="T409" s="397">
        <v>10732.56</v>
      </c>
      <c r="U409" s="1487">
        <v>9749</v>
      </c>
      <c r="V409" s="1487">
        <v>12055.5</v>
      </c>
      <c r="W409" s="1487">
        <f>10811.26+9926.26</f>
        <v>20737.52</v>
      </c>
      <c r="X409" s="1487">
        <f>4627.82+30782.12</f>
        <v>35409.94</v>
      </c>
      <c r="Y409" s="1487">
        <v>29158.74</v>
      </c>
      <c r="Z409" s="1487">
        <f>21922.28+5204.5</f>
        <v>27126.78</v>
      </c>
      <c r="AA409" s="1487">
        <v>21992.240000000002</v>
      </c>
      <c r="AB409" s="1489"/>
      <c r="AF409" s="395"/>
    </row>
    <row r="410" spans="1:34">
      <c r="A410" s="1997" t="s">
        <v>2227</v>
      </c>
      <c r="B410" s="583"/>
      <c r="C410" s="583"/>
      <c r="D410" s="583"/>
      <c r="E410" s="583"/>
      <c r="F410" s="583"/>
      <c r="G410" s="583"/>
      <c r="H410" s="397" t="s">
        <v>2228</v>
      </c>
      <c r="I410" s="397"/>
      <c r="J410" s="397"/>
      <c r="K410" s="397"/>
      <c r="L410" s="1998"/>
      <c r="M410" s="1487"/>
      <c r="N410" s="1487"/>
      <c r="O410" s="1487"/>
      <c r="P410" s="1487"/>
      <c r="Q410" s="1487"/>
      <c r="R410" s="1487"/>
      <c r="S410" s="1487"/>
      <c r="T410" s="397"/>
      <c r="U410" s="1487"/>
      <c r="V410" s="1487"/>
      <c r="W410" s="1487">
        <v>1084.26</v>
      </c>
      <c r="X410" s="1487">
        <v>1985.17</v>
      </c>
      <c r="Y410" s="1487">
        <v>2084.2600000000002</v>
      </c>
      <c r="Z410" s="1487"/>
      <c r="AA410" s="1487"/>
      <c r="AB410" s="1489"/>
      <c r="AF410" s="395"/>
    </row>
    <row r="411" spans="1:34">
      <c r="A411" s="1997" t="s">
        <v>2229</v>
      </c>
      <c r="B411" s="583" t="s">
        <v>7457</v>
      </c>
      <c r="C411" s="583"/>
      <c r="D411" s="583"/>
      <c r="E411" s="583"/>
      <c r="F411" s="583"/>
      <c r="G411" s="583"/>
      <c r="H411" s="397" t="s">
        <v>2230</v>
      </c>
      <c r="I411" s="397"/>
      <c r="J411" s="397"/>
      <c r="K411" s="397"/>
      <c r="L411" s="1998"/>
      <c r="M411" s="1487"/>
      <c r="N411" s="1487"/>
      <c r="O411" s="1487"/>
      <c r="P411" s="1487"/>
      <c r="Q411" s="1487"/>
      <c r="R411" s="1487"/>
      <c r="S411" s="1487"/>
      <c r="T411" s="397"/>
      <c r="U411" s="1487"/>
      <c r="V411" s="1487"/>
      <c r="W411" s="1487">
        <v>743.8</v>
      </c>
      <c r="X411" s="1487">
        <v>3719</v>
      </c>
      <c r="Y411" s="1487">
        <v>5669.2</v>
      </c>
      <c r="Z411" s="1487">
        <v>2267.34</v>
      </c>
      <c r="AA411" s="1487"/>
      <c r="AB411" s="1489"/>
      <c r="AF411" s="395"/>
    </row>
    <row r="412" spans="1:34">
      <c r="A412" s="1997" t="s">
        <v>2231</v>
      </c>
      <c r="B412" s="583" t="s">
        <v>7458</v>
      </c>
      <c r="C412" s="583"/>
      <c r="D412" s="583"/>
      <c r="E412" s="583"/>
      <c r="F412" s="583"/>
      <c r="G412" s="583"/>
      <c r="H412" s="397" t="s">
        <v>2232</v>
      </c>
      <c r="I412" s="397"/>
      <c r="J412" s="397"/>
      <c r="K412" s="397"/>
      <c r="L412" s="1998"/>
      <c r="M412" s="1487"/>
      <c r="N412" s="1487"/>
      <c r="O412" s="1487"/>
      <c r="P412" s="1487"/>
      <c r="Q412" s="1487"/>
      <c r="R412" s="1487"/>
      <c r="S412" s="1487"/>
      <c r="T412" s="397"/>
      <c r="U412" s="1487">
        <v>27.68</v>
      </c>
      <c r="V412" s="1487"/>
      <c r="W412" s="1487"/>
      <c r="X412" s="1487">
        <v>5946.62</v>
      </c>
      <c r="Y412" s="1487">
        <v>7636.33</v>
      </c>
      <c r="Z412" s="1487">
        <v>1135.08</v>
      </c>
      <c r="AA412" s="1487"/>
      <c r="AB412" s="1489"/>
      <c r="AF412" s="395"/>
    </row>
    <row r="413" spans="1:34">
      <c r="A413" s="1997" t="s">
        <v>2233</v>
      </c>
      <c r="B413" s="583"/>
      <c r="C413" s="583"/>
      <c r="D413" s="583"/>
      <c r="E413" s="583"/>
      <c r="F413" s="583"/>
      <c r="G413" s="583"/>
      <c r="H413" s="397" t="s">
        <v>2234</v>
      </c>
      <c r="I413" s="397"/>
      <c r="J413" s="397"/>
      <c r="K413" s="397"/>
      <c r="L413" s="1998"/>
      <c r="M413" s="1487"/>
      <c r="N413" s="1487"/>
      <c r="O413" s="1487"/>
      <c r="P413" s="1487"/>
      <c r="Q413" s="1487"/>
      <c r="R413" s="1487"/>
      <c r="S413" s="1487"/>
      <c r="T413" s="397"/>
      <c r="U413" s="1487"/>
      <c r="V413" s="1487"/>
      <c r="W413" s="1487"/>
      <c r="X413" s="1487">
        <v>278.92</v>
      </c>
      <c r="Y413" s="1487"/>
      <c r="Z413" s="1487"/>
      <c r="AA413" s="1487"/>
      <c r="AB413" s="1489"/>
      <c r="AF413" s="395"/>
    </row>
    <row r="414" spans="1:34">
      <c r="A414" s="1997" t="s">
        <v>2235</v>
      </c>
      <c r="B414" s="583"/>
      <c r="C414" s="583"/>
      <c r="D414" s="583"/>
      <c r="E414" s="583"/>
      <c r="F414" s="583"/>
      <c r="G414" s="583"/>
      <c r="H414" s="397" t="s">
        <v>1213</v>
      </c>
      <c r="I414" s="397"/>
      <c r="J414" s="397"/>
      <c r="K414" s="397"/>
      <c r="L414" s="1998"/>
      <c r="M414" s="1487">
        <v>2030.91</v>
      </c>
      <c r="N414" s="1487">
        <v>8009.01</v>
      </c>
      <c r="O414" s="1487">
        <v>2295.25</v>
      </c>
      <c r="P414" s="1487">
        <v>4675.5200000000004</v>
      </c>
      <c r="Q414" s="1487">
        <v>5592.08</v>
      </c>
      <c r="R414" s="1487">
        <v>11003.36</v>
      </c>
      <c r="S414" s="1487">
        <v>11835.66</v>
      </c>
      <c r="T414" s="397"/>
      <c r="U414" s="1487"/>
      <c r="V414" s="1487"/>
      <c r="W414" s="1487"/>
      <c r="X414" s="1487"/>
      <c r="Y414" s="1487">
        <v>2923.36</v>
      </c>
      <c r="Z414" s="1487"/>
      <c r="AA414" s="1487"/>
      <c r="AB414" s="1489"/>
      <c r="AF414" s="395"/>
    </row>
    <row r="415" spans="1:34">
      <c r="A415" s="1997" t="s">
        <v>2236</v>
      </c>
      <c r="B415" s="583"/>
      <c r="C415" s="583"/>
      <c r="D415" s="583"/>
      <c r="E415" s="583"/>
      <c r="F415" s="583"/>
      <c r="G415" s="583"/>
      <c r="H415" s="397" t="s">
        <v>2102</v>
      </c>
      <c r="I415" s="397"/>
      <c r="J415" s="397"/>
      <c r="K415" s="397"/>
      <c r="L415" s="2002"/>
      <c r="M415" s="1487">
        <v>90.34</v>
      </c>
      <c r="N415" s="1487">
        <v>94.79</v>
      </c>
      <c r="O415" s="1487">
        <v>94.6</v>
      </c>
      <c r="P415" s="1487">
        <v>96.55</v>
      </c>
      <c r="Q415" s="1487">
        <v>99.58</v>
      </c>
      <c r="R415" s="1487">
        <v>102.13</v>
      </c>
      <c r="S415" s="1487">
        <v>0</v>
      </c>
      <c r="T415" s="397"/>
      <c r="U415" s="1487"/>
      <c r="V415" s="1487"/>
      <c r="W415" s="1487"/>
      <c r="X415" s="1487"/>
      <c r="Y415" s="1487"/>
      <c r="Z415" s="1487"/>
      <c r="AA415" s="1487"/>
      <c r="AB415" s="1489"/>
      <c r="AF415" s="395"/>
    </row>
    <row r="416" spans="1:34">
      <c r="A416" s="2004" t="s">
        <v>1221</v>
      </c>
      <c r="B416" s="2047"/>
      <c r="C416" s="2047"/>
      <c r="D416" s="2047"/>
      <c r="E416" s="2047"/>
      <c r="F416" s="2047"/>
      <c r="G416" s="2047"/>
      <c r="H416" s="2006"/>
      <c r="I416" s="2006"/>
      <c r="J416" s="2006"/>
      <c r="K416" s="2006"/>
      <c r="L416" s="2006"/>
      <c r="M416" s="2005">
        <f t="shared" ref="M416:AB416" si="67">SUM(M407:M415)</f>
        <v>9545.4</v>
      </c>
      <c r="N416" s="2005">
        <f t="shared" si="67"/>
        <v>20635.300000000003</v>
      </c>
      <c r="O416" s="2005">
        <f t="shared" si="67"/>
        <v>14349.6</v>
      </c>
      <c r="P416" s="2005">
        <f t="shared" si="67"/>
        <v>16906.57</v>
      </c>
      <c r="Q416" s="2005">
        <f t="shared" si="67"/>
        <v>18142.160000000003</v>
      </c>
      <c r="R416" s="2005">
        <f t="shared" si="67"/>
        <v>22747.49</v>
      </c>
      <c r="S416" s="2005">
        <f t="shared" si="67"/>
        <v>23817.41</v>
      </c>
      <c r="T416" s="2005">
        <f t="shared" si="67"/>
        <v>10732.56</v>
      </c>
      <c r="U416" s="2005">
        <f t="shared" si="67"/>
        <v>9776.68</v>
      </c>
      <c r="V416" s="2005">
        <f t="shared" si="67"/>
        <v>12055.5</v>
      </c>
      <c r="W416" s="2005">
        <f t="shared" si="67"/>
        <v>22565.579999999998</v>
      </c>
      <c r="X416" s="2005">
        <f t="shared" si="67"/>
        <v>47339.65</v>
      </c>
      <c r="Y416" s="2005">
        <f t="shared" si="67"/>
        <v>47471.89</v>
      </c>
      <c r="Z416" s="2005">
        <f t="shared" si="67"/>
        <v>30529.199999999997</v>
      </c>
      <c r="AA416" s="2005">
        <f t="shared" si="67"/>
        <v>21992.240000000002</v>
      </c>
      <c r="AB416" s="3150">
        <f t="shared" si="67"/>
        <v>0</v>
      </c>
      <c r="AF416" s="395"/>
    </row>
    <row r="417" spans="1:42">
      <c r="A417" s="2048" t="s">
        <v>1163</v>
      </c>
      <c r="B417" s="1999"/>
      <c r="C417" s="1999"/>
      <c r="D417" s="1999"/>
      <c r="E417" s="1999"/>
      <c r="F417" s="1999"/>
      <c r="G417" s="1999"/>
      <c r="H417" s="397"/>
      <c r="I417" s="397"/>
      <c r="J417" s="397"/>
      <c r="K417" s="397"/>
      <c r="L417" s="1996"/>
      <c r="M417" s="1487"/>
      <c r="N417" s="1487"/>
      <c r="O417" s="1487"/>
      <c r="P417" s="397"/>
      <c r="Q417" s="397"/>
      <c r="R417" s="397"/>
      <c r="S417" s="397"/>
      <c r="T417" s="397"/>
      <c r="U417" s="1487"/>
      <c r="V417" s="1487"/>
      <c r="W417" s="1487"/>
      <c r="X417" s="1487"/>
      <c r="Y417" s="1487"/>
      <c r="Z417" s="1487"/>
      <c r="AA417" s="1487"/>
      <c r="AB417" s="1489"/>
      <c r="AF417" s="395"/>
    </row>
    <row r="418" spans="1:42">
      <c r="A418" s="1997" t="s">
        <v>2237</v>
      </c>
      <c r="B418" s="583"/>
      <c r="C418" s="583"/>
      <c r="D418" s="583"/>
      <c r="E418" s="583"/>
      <c r="F418" s="583"/>
      <c r="G418" s="583"/>
      <c r="H418" s="397" t="s">
        <v>2104</v>
      </c>
      <c r="I418" s="397"/>
      <c r="J418" s="397"/>
      <c r="K418" s="397"/>
      <c r="L418" s="1998"/>
      <c r="M418" s="1487">
        <v>0</v>
      </c>
      <c r="N418" s="1487">
        <v>0</v>
      </c>
      <c r="O418" s="1487">
        <v>0</v>
      </c>
      <c r="P418" s="1487">
        <v>0</v>
      </c>
      <c r="Q418" s="1487">
        <v>0</v>
      </c>
      <c r="R418" s="1487">
        <v>227.55</v>
      </c>
      <c r="S418" s="1487">
        <v>0</v>
      </c>
      <c r="T418" s="397"/>
      <c r="U418" s="1487"/>
      <c r="V418" s="1487"/>
      <c r="W418" s="1487"/>
      <c r="X418" s="1487"/>
      <c r="Y418" s="1487"/>
      <c r="Z418" s="1487"/>
      <c r="AA418" s="1487"/>
      <c r="AB418" s="1489"/>
      <c r="AF418" s="395"/>
    </row>
    <row r="419" spans="1:42">
      <c r="A419" s="1997" t="s">
        <v>2238</v>
      </c>
      <c r="B419" s="583"/>
      <c r="C419" s="583"/>
      <c r="D419" s="583"/>
      <c r="E419" s="583"/>
      <c r="F419" s="583"/>
      <c r="G419" s="583"/>
      <c r="H419" s="397" t="s">
        <v>1407</v>
      </c>
      <c r="I419" s="397"/>
      <c r="J419" s="397"/>
      <c r="K419" s="397"/>
      <c r="L419" s="2002"/>
      <c r="M419" s="1487">
        <v>16361</v>
      </c>
      <c r="N419" s="1487">
        <v>16361</v>
      </c>
      <c r="O419" s="1487">
        <v>15452</v>
      </c>
      <c r="P419" s="1487">
        <v>13634</v>
      </c>
      <c r="Q419" s="1487">
        <v>20523</v>
      </c>
      <c r="R419" s="1487">
        <v>26886</v>
      </c>
      <c r="S419" s="1487">
        <v>27795</v>
      </c>
      <c r="T419" s="1487">
        <v>10907</v>
      </c>
      <c r="U419" s="1487">
        <v>10907</v>
      </c>
      <c r="V419" s="1487"/>
      <c r="W419" s="1487"/>
      <c r="X419" s="1487"/>
      <c r="Y419" s="1487"/>
      <c r="Z419" s="1487"/>
      <c r="AA419" s="1487"/>
      <c r="AB419" s="1489"/>
      <c r="AF419" s="395"/>
    </row>
    <row r="420" spans="1:42">
      <c r="A420" s="2004" t="s">
        <v>1181</v>
      </c>
      <c r="B420" s="2047"/>
      <c r="C420" s="2047"/>
      <c r="D420" s="2047"/>
      <c r="E420" s="2047"/>
      <c r="F420" s="2047"/>
      <c r="G420" s="2047"/>
      <c r="H420" s="2006"/>
      <c r="I420" s="2006"/>
      <c r="J420" s="2006"/>
      <c r="K420" s="2006"/>
      <c r="L420" s="2006"/>
      <c r="M420" s="2005">
        <f t="shared" ref="M420:X420" si="68">SUM(M418:M419)</f>
        <v>16361</v>
      </c>
      <c r="N420" s="2005">
        <f t="shared" si="68"/>
        <v>16361</v>
      </c>
      <c r="O420" s="2005">
        <f t="shared" si="68"/>
        <v>15452</v>
      </c>
      <c r="P420" s="2005">
        <f t="shared" si="68"/>
        <v>13634</v>
      </c>
      <c r="Q420" s="2005">
        <f t="shared" si="68"/>
        <v>20523</v>
      </c>
      <c r="R420" s="2005">
        <f t="shared" si="68"/>
        <v>27113.55</v>
      </c>
      <c r="S420" s="2005">
        <f t="shared" si="68"/>
        <v>27795</v>
      </c>
      <c r="T420" s="2005">
        <f t="shared" si="68"/>
        <v>10907</v>
      </c>
      <c r="U420" s="2005">
        <f t="shared" si="68"/>
        <v>10907</v>
      </c>
      <c r="V420" s="2005">
        <f t="shared" si="68"/>
        <v>0</v>
      </c>
      <c r="W420" s="2005">
        <f t="shared" si="68"/>
        <v>0</v>
      </c>
      <c r="X420" s="2005">
        <f t="shared" si="68"/>
        <v>0</v>
      </c>
      <c r="Y420" s="2005">
        <f>SUM(Y418:Y419)</f>
        <v>0</v>
      </c>
      <c r="Z420" s="2005">
        <f>SUM(Z418:Z419)</f>
        <v>0</v>
      </c>
      <c r="AA420" s="2005">
        <f>SUM(AA418:AA419)</f>
        <v>0</v>
      </c>
      <c r="AB420" s="3150">
        <f>SUM(AB418:AB419)</f>
        <v>0</v>
      </c>
      <c r="AF420" s="395"/>
    </row>
    <row r="421" spans="1:42">
      <c r="A421" s="2048" t="s">
        <v>47</v>
      </c>
      <c r="B421" s="1999"/>
      <c r="C421" s="1999"/>
      <c r="D421" s="1999"/>
      <c r="E421" s="1999"/>
      <c r="F421" s="1999"/>
      <c r="G421" s="1999"/>
      <c r="H421" s="397"/>
      <c r="I421" s="397"/>
      <c r="J421" s="397"/>
      <c r="K421" s="397"/>
      <c r="L421" s="1996"/>
      <c r="M421" s="1487"/>
      <c r="N421" s="1487"/>
      <c r="O421" s="1487"/>
      <c r="P421" s="397"/>
      <c r="Q421" s="397"/>
      <c r="R421" s="397"/>
      <c r="S421" s="397"/>
      <c r="T421" s="397"/>
      <c r="U421" s="1487"/>
      <c r="V421" s="1487"/>
      <c r="W421" s="1487"/>
      <c r="X421" s="1487"/>
      <c r="Y421" s="1487"/>
      <c r="Z421" s="1487"/>
      <c r="AA421" s="1487"/>
      <c r="AB421" s="1489"/>
      <c r="AF421" s="395"/>
    </row>
    <row r="422" spans="1:42">
      <c r="A422" s="1997"/>
      <c r="B422" s="583"/>
      <c r="C422" s="583"/>
      <c r="D422" s="583"/>
      <c r="E422" s="583"/>
      <c r="F422" s="583"/>
      <c r="G422" s="583"/>
      <c r="H422" s="397"/>
      <c r="I422" s="397"/>
      <c r="J422" s="397"/>
      <c r="K422" s="397"/>
      <c r="L422" s="2002"/>
      <c r="M422" s="1487"/>
      <c r="N422" s="1487"/>
      <c r="O422" s="1487"/>
      <c r="P422" s="397"/>
      <c r="Q422" s="397"/>
      <c r="R422" s="397"/>
      <c r="S422" s="397"/>
      <c r="T422" s="397"/>
      <c r="U422" s="1487"/>
      <c r="V422" s="1487"/>
      <c r="W422" s="1487"/>
      <c r="X422" s="1487"/>
      <c r="Y422" s="1487"/>
      <c r="Z422" s="1487"/>
      <c r="AA422" s="1487"/>
      <c r="AB422" s="1489"/>
      <c r="AF422" s="395"/>
    </row>
    <row r="423" spans="1:42">
      <c r="A423" s="2065" t="s">
        <v>7102</v>
      </c>
      <c r="B423" s="3837"/>
      <c r="C423" s="2064"/>
      <c r="D423" s="2064"/>
      <c r="E423" s="2064"/>
      <c r="F423" s="2064"/>
      <c r="G423" s="2064"/>
      <c r="H423" s="2047"/>
      <c r="I423" s="2047"/>
      <c r="J423" s="2047"/>
      <c r="K423" s="2047"/>
      <c r="L423" s="2047"/>
      <c r="M423" s="2005">
        <f>SUM(M421:M422)</f>
        <v>0</v>
      </c>
      <c r="N423" s="2005">
        <f t="shared" ref="N423:S423" si="69">SUM(N421:N422)</f>
        <v>0</v>
      </c>
      <c r="O423" s="2005">
        <f t="shared" si="69"/>
        <v>0</v>
      </c>
      <c r="P423" s="2005">
        <f t="shared" si="69"/>
        <v>0</v>
      </c>
      <c r="Q423" s="2005">
        <f t="shared" si="69"/>
        <v>0</v>
      </c>
      <c r="R423" s="2005">
        <f t="shared" si="69"/>
        <v>0</v>
      </c>
      <c r="S423" s="2005">
        <f t="shared" si="69"/>
        <v>0</v>
      </c>
      <c r="T423" s="2005">
        <f t="shared" ref="T423:AB423" si="70">SUM(T421:T422)</f>
        <v>0</v>
      </c>
      <c r="U423" s="2005">
        <f t="shared" si="70"/>
        <v>0</v>
      </c>
      <c r="V423" s="2005">
        <f t="shared" si="70"/>
        <v>0</v>
      </c>
      <c r="W423" s="2005">
        <f t="shared" si="70"/>
        <v>0</v>
      </c>
      <c r="X423" s="2005">
        <f t="shared" si="70"/>
        <v>0</v>
      </c>
      <c r="Y423" s="2005">
        <f t="shared" si="70"/>
        <v>0</v>
      </c>
      <c r="Z423" s="2005">
        <f t="shared" si="70"/>
        <v>0</v>
      </c>
      <c r="AA423" s="2005">
        <f t="shared" si="70"/>
        <v>0</v>
      </c>
      <c r="AB423" s="3150">
        <f t="shared" si="70"/>
        <v>0</v>
      </c>
      <c r="AF423" s="395"/>
    </row>
    <row r="424" spans="1:42">
      <c r="A424" s="2008" t="s">
        <v>1234</v>
      </c>
      <c r="B424" s="2022"/>
      <c r="C424" s="2022"/>
      <c r="D424" s="2022"/>
      <c r="E424" s="2022"/>
      <c r="F424" s="2022"/>
      <c r="G424" s="2022"/>
      <c r="H424" s="2010"/>
      <c r="I424" s="2010"/>
      <c r="J424" s="2010"/>
      <c r="K424" s="2010"/>
      <c r="L424" s="2010"/>
      <c r="M424" s="2009">
        <f t="shared" ref="M424:X424" si="71">M416+M420+M423</f>
        <v>25906.400000000001</v>
      </c>
      <c r="N424" s="2009">
        <f t="shared" si="71"/>
        <v>36996.300000000003</v>
      </c>
      <c r="O424" s="2009">
        <f t="shared" si="71"/>
        <v>29801.599999999999</v>
      </c>
      <c r="P424" s="2009">
        <f t="shared" si="71"/>
        <v>30540.57</v>
      </c>
      <c r="Q424" s="2009">
        <f t="shared" si="71"/>
        <v>38665.160000000003</v>
      </c>
      <c r="R424" s="2009">
        <f t="shared" si="71"/>
        <v>49861.04</v>
      </c>
      <c r="S424" s="2009">
        <f t="shared" si="71"/>
        <v>51612.41</v>
      </c>
      <c r="T424" s="2009">
        <f t="shared" si="71"/>
        <v>21639.559999999998</v>
      </c>
      <c r="U424" s="2009">
        <f t="shared" si="71"/>
        <v>20683.68</v>
      </c>
      <c r="V424" s="2009">
        <f t="shared" si="71"/>
        <v>12055.5</v>
      </c>
      <c r="W424" s="2009">
        <f t="shared" si="71"/>
        <v>22565.579999999998</v>
      </c>
      <c r="X424" s="2009">
        <f t="shared" si="71"/>
        <v>47339.65</v>
      </c>
      <c r="Y424" s="2009">
        <f>Y416+Y420+Y423</f>
        <v>47471.89</v>
      </c>
      <c r="Z424" s="2009">
        <f>Z416+Z420+Z423</f>
        <v>30529.199999999997</v>
      </c>
      <c r="AA424" s="2009">
        <f>AA416+AA420+AA423</f>
        <v>21992.240000000002</v>
      </c>
      <c r="AB424" s="2070">
        <f>AB416+AB420+AB423</f>
        <v>0</v>
      </c>
      <c r="AF424" s="395"/>
    </row>
    <row r="425" spans="1:42" s="1148" customFormat="1">
      <c r="A425" s="1788"/>
      <c r="B425" s="1788"/>
      <c r="C425" s="1788"/>
      <c r="D425" s="1788"/>
      <c r="E425" s="1788"/>
      <c r="F425" s="1788"/>
      <c r="G425" s="1788"/>
      <c r="H425" s="1974"/>
      <c r="I425" s="1974"/>
      <c r="J425" s="1974"/>
      <c r="K425" s="1974"/>
      <c r="L425" s="1974"/>
      <c r="M425" s="1980"/>
      <c r="N425" s="1980"/>
      <c r="O425" s="1980"/>
      <c r="P425" s="1980"/>
      <c r="Q425" s="1980"/>
      <c r="R425" s="1980"/>
      <c r="S425" s="1980"/>
      <c r="T425" s="1974"/>
      <c r="U425" s="1974"/>
      <c r="V425" s="1974"/>
      <c r="W425" s="1974"/>
      <c r="X425" s="1974"/>
      <c r="Y425" s="1974"/>
      <c r="Z425" s="1974"/>
      <c r="AA425" s="1974"/>
      <c r="AB425" s="1974"/>
      <c r="AC425" s="1974"/>
      <c r="AD425" s="1974"/>
      <c r="AE425" s="1974"/>
      <c r="AG425" s="1974"/>
      <c r="AH425" s="1974"/>
      <c r="AI425" s="1974"/>
      <c r="AJ425" s="1974"/>
      <c r="AK425" s="1974"/>
      <c r="AL425" s="1974"/>
      <c r="AM425" s="1974"/>
      <c r="AN425" s="1974"/>
      <c r="AO425" s="1974"/>
      <c r="AP425" s="1974"/>
    </row>
    <row r="426" spans="1:42" s="1148" customFormat="1">
      <c r="A426" s="1788"/>
      <c r="B426" s="1788"/>
      <c r="C426" s="1788"/>
      <c r="D426" s="1788"/>
      <c r="E426" s="1788"/>
      <c r="F426" s="1788"/>
      <c r="G426" s="1788"/>
      <c r="H426" s="1974"/>
      <c r="I426" s="1974"/>
      <c r="J426" s="1974"/>
      <c r="K426" s="1974"/>
      <c r="L426" s="1974"/>
      <c r="M426" s="1980"/>
      <c r="N426" s="1980"/>
      <c r="O426" s="1980"/>
      <c r="P426" s="1980"/>
      <c r="Q426" s="1980"/>
      <c r="R426" s="1980"/>
      <c r="S426" s="1980"/>
      <c r="T426" s="1974"/>
      <c r="U426" s="1974"/>
      <c r="V426" s="1974"/>
      <c r="W426" s="1974"/>
      <c r="X426" s="1974"/>
      <c r="Y426" s="1974"/>
      <c r="Z426" s="1974"/>
      <c r="AA426" s="1974"/>
      <c r="AB426" s="1974"/>
      <c r="AC426" s="1974"/>
      <c r="AD426" s="1974"/>
      <c r="AE426" s="1974"/>
      <c r="AG426" s="1974"/>
      <c r="AH426" s="1974"/>
      <c r="AI426" s="1974"/>
      <c r="AJ426" s="1974"/>
      <c r="AK426" s="1974"/>
      <c r="AL426" s="1974"/>
      <c r="AM426" s="1974"/>
      <c r="AN426" s="1974"/>
      <c r="AO426" s="1974"/>
      <c r="AP426" s="1974"/>
    </row>
    <row r="427" spans="1:42" s="1148" customFormat="1">
      <c r="A427" s="1788"/>
      <c r="B427" s="1788"/>
      <c r="C427" s="1788"/>
      <c r="D427" s="1788"/>
      <c r="E427" s="1788"/>
      <c r="F427" s="1788"/>
      <c r="G427" s="1788"/>
      <c r="H427" s="1974"/>
      <c r="I427" s="1974"/>
      <c r="J427" s="1974"/>
      <c r="K427" s="1974"/>
      <c r="L427" s="1974"/>
      <c r="M427" s="1980"/>
      <c r="N427" s="1980"/>
      <c r="O427" s="1980"/>
      <c r="P427" s="1980"/>
      <c r="Q427" s="1980"/>
      <c r="R427" s="1980"/>
      <c r="S427" s="1980"/>
      <c r="T427" s="1974"/>
      <c r="U427" s="1974"/>
      <c r="V427" s="1974"/>
      <c r="W427" s="1974"/>
      <c r="X427" s="1974"/>
      <c r="Y427" s="1974"/>
      <c r="Z427" s="1974"/>
      <c r="AA427" s="1974"/>
      <c r="AB427" s="1974"/>
      <c r="AC427" s="1974"/>
      <c r="AD427" s="1974"/>
      <c r="AE427" s="1974"/>
      <c r="AG427" s="1974"/>
      <c r="AH427" s="1974"/>
      <c r="AI427" s="1974"/>
      <c r="AJ427" s="1974"/>
      <c r="AK427" s="1974"/>
      <c r="AL427" s="1974"/>
      <c r="AM427" s="1974"/>
      <c r="AN427" s="1974"/>
      <c r="AO427" s="1974"/>
      <c r="AP427" s="1974"/>
    </row>
    <row r="428" spans="1:42">
      <c r="A428" s="3152" t="s">
        <v>7103</v>
      </c>
      <c r="B428" s="3152"/>
      <c r="C428" s="1981"/>
      <c r="D428" s="1981"/>
      <c r="E428" s="1981"/>
      <c r="F428" s="1981"/>
      <c r="G428" s="1981"/>
    </row>
    <row r="429" spans="1:42" ht="13.5" thickBot="1">
      <c r="A429" s="1966"/>
      <c r="B429" s="1966"/>
      <c r="C429" s="1966"/>
      <c r="D429" s="1966"/>
      <c r="E429" s="1966"/>
      <c r="F429" s="1966"/>
      <c r="G429" s="1966"/>
    </row>
    <row r="430" spans="1:42" ht="18" customHeight="1" thickBot="1">
      <c r="A430" s="1886"/>
      <c r="B430" s="1887"/>
      <c r="C430" s="1887"/>
      <c r="D430" s="1887"/>
      <c r="E430" s="1887"/>
      <c r="F430" s="1887"/>
      <c r="G430" s="1887"/>
      <c r="H430" s="1967">
        <v>2007</v>
      </c>
      <c r="I430" s="1967">
        <v>2008</v>
      </c>
      <c r="J430" s="1967">
        <v>2009</v>
      </c>
      <c r="K430" s="1967">
        <v>2010</v>
      </c>
      <c r="L430" s="1967">
        <v>2011</v>
      </c>
      <c r="M430" s="1967">
        <v>2012</v>
      </c>
      <c r="N430" s="1967">
        <v>2013</v>
      </c>
      <c r="O430" s="1967">
        <v>2014</v>
      </c>
      <c r="P430" s="1967">
        <v>2015</v>
      </c>
      <c r="Q430" s="1967">
        <v>2016</v>
      </c>
      <c r="R430" s="1967">
        <v>2017</v>
      </c>
      <c r="S430" s="1967">
        <v>2018</v>
      </c>
      <c r="T430" s="1967">
        <v>2019</v>
      </c>
      <c r="U430" s="1968">
        <v>2020</v>
      </c>
      <c r="V430" s="1968">
        <v>2021</v>
      </c>
      <c r="W430" s="395"/>
    </row>
    <row r="431" spans="1:42">
      <c r="A431" s="1205" t="s">
        <v>986</v>
      </c>
      <c r="B431" s="397"/>
      <c r="C431" s="397"/>
      <c r="D431" s="397"/>
      <c r="E431" s="397"/>
      <c r="F431" s="397"/>
      <c r="G431" s="397"/>
      <c r="H431" s="1969">
        <f t="shared" ref="H431:S431" si="72">M540</f>
        <v>118723.59</v>
      </c>
      <c r="I431" s="1969">
        <f t="shared" si="72"/>
        <v>126668.89</v>
      </c>
      <c r="J431" s="1969">
        <f t="shared" si="72"/>
        <v>141567.55399999997</v>
      </c>
      <c r="K431" s="1969">
        <f t="shared" si="72"/>
        <v>139235.07399999999</v>
      </c>
      <c r="L431" s="1969">
        <f t="shared" si="72"/>
        <v>143306.266</v>
      </c>
      <c r="M431" s="1969">
        <f t="shared" si="72"/>
        <v>148398.71599999999</v>
      </c>
      <c r="N431" s="1969">
        <f t="shared" si="72"/>
        <v>144943.106</v>
      </c>
      <c r="O431" s="1969">
        <f t="shared" si="72"/>
        <v>182898.11799999999</v>
      </c>
      <c r="P431" s="1969">
        <f t="shared" si="72"/>
        <v>179726.00200000004</v>
      </c>
      <c r="Q431" s="1969">
        <f t="shared" si="72"/>
        <v>225691.78000000003</v>
      </c>
      <c r="R431" s="1969">
        <f t="shared" si="72"/>
        <v>239625.56</v>
      </c>
      <c r="S431" s="1969">
        <f t="shared" si="72"/>
        <v>233580.84</v>
      </c>
      <c r="T431" s="1969">
        <f>Y540</f>
        <v>256267.47999999995</v>
      </c>
      <c r="U431" s="1969">
        <f>Z540</f>
        <v>246016.15</v>
      </c>
      <c r="V431" s="1969">
        <f>AA540</f>
        <v>284801.57999999996</v>
      </c>
      <c r="W431" s="395"/>
    </row>
    <row r="432" spans="1:42">
      <c r="A432" s="1205" t="s">
        <v>1976</v>
      </c>
      <c r="B432" s="397"/>
      <c r="C432" s="397"/>
      <c r="D432" s="397"/>
      <c r="E432" s="397"/>
      <c r="F432" s="397"/>
      <c r="G432" s="397"/>
      <c r="H432" s="1969">
        <f t="shared" ref="H432:S432" si="73">M598</f>
        <v>66575.460000000006</v>
      </c>
      <c r="I432" s="1969">
        <f t="shared" si="73"/>
        <v>63805.279999999999</v>
      </c>
      <c r="J432" s="1969">
        <f t="shared" si="73"/>
        <v>82470.12</v>
      </c>
      <c r="K432" s="1969">
        <f t="shared" si="73"/>
        <v>71537.06</v>
      </c>
      <c r="L432" s="1969">
        <f t="shared" si="73"/>
        <v>75971.63</v>
      </c>
      <c r="M432" s="1969">
        <f t="shared" si="73"/>
        <v>76599.069999999992</v>
      </c>
      <c r="N432" s="1969">
        <f t="shared" si="73"/>
        <v>78933.540000000008</v>
      </c>
      <c r="O432" s="1969">
        <f t="shared" si="73"/>
        <v>88387.11</v>
      </c>
      <c r="P432" s="1969">
        <f t="shared" si="73"/>
        <v>69893.91</v>
      </c>
      <c r="Q432" s="1969">
        <f t="shared" si="73"/>
        <v>47417.46</v>
      </c>
      <c r="R432" s="1969">
        <f t="shared" si="73"/>
        <v>37695.43</v>
      </c>
      <c r="S432" s="1969">
        <f t="shared" si="73"/>
        <v>45628.08</v>
      </c>
      <c r="T432" s="1969">
        <f>Y598</f>
        <v>84834.35</v>
      </c>
      <c r="U432" s="1969">
        <f>Z598</f>
        <v>42655.7</v>
      </c>
      <c r="V432" s="1969">
        <f>AA598</f>
        <v>83080.98000000001</v>
      </c>
      <c r="W432" s="395"/>
    </row>
    <row r="433" spans="1:34">
      <c r="A433" s="1205" t="s">
        <v>1977</v>
      </c>
      <c r="B433" s="397"/>
      <c r="C433" s="397"/>
      <c r="D433" s="397"/>
      <c r="E433" s="397"/>
      <c r="F433" s="397"/>
      <c r="G433" s="397"/>
      <c r="H433" s="1969">
        <f>H432-H431</f>
        <v>-52148.12999999999</v>
      </c>
      <c r="I433" s="1969">
        <f t="shared" ref="I433:S433" si="74">I432-I431</f>
        <v>-62863.61</v>
      </c>
      <c r="J433" s="1969">
        <f t="shared" si="74"/>
        <v>-59097.433999999979</v>
      </c>
      <c r="K433" s="1969">
        <f t="shared" si="74"/>
        <v>-67698.013999999996</v>
      </c>
      <c r="L433" s="1969">
        <f t="shared" si="74"/>
        <v>-67334.635999999999</v>
      </c>
      <c r="M433" s="1969">
        <f t="shared" si="74"/>
        <v>-71799.645999999993</v>
      </c>
      <c r="N433" s="1969">
        <f t="shared" si="74"/>
        <v>-66009.565999999992</v>
      </c>
      <c r="O433" s="1969">
        <f t="shared" si="74"/>
        <v>-94511.007999999987</v>
      </c>
      <c r="P433" s="1969">
        <f t="shared" si="74"/>
        <v>-109832.09200000003</v>
      </c>
      <c r="Q433" s="1969">
        <f t="shared" si="74"/>
        <v>-178274.32000000004</v>
      </c>
      <c r="R433" s="1969">
        <f t="shared" si="74"/>
        <v>-201930.13</v>
      </c>
      <c r="S433" s="1969">
        <f t="shared" si="74"/>
        <v>-187952.76</v>
      </c>
      <c r="T433" s="1969">
        <f>T432-T431</f>
        <v>-171433.12999999995</v>
      </c>
      <c r="U433" s="1969">
        <f>U432-U431</f>
        <v>-203360.45</v>
      </c>
      <c r="V433" s="1969">
        <f>V432-V431</f>
        <v>-201720.59999999995</v>
      </c>
      <c r="W433" s="395"/>
    </row>
    <row r="434" spans="1:34">
      <c r="A434" s="1205"/>
      <c r="B434" s="397"/>
      <c r="C434" s="397"/>
      <c r="D434" s="397"/>
      <c r="E434" s="397"/>
      <c r="F434" s="397"/>
      <c r="G434" s="397"/>
      <c r="H434" s="1969"/>
      <c r="I434" s="1969"/>
      <c r="J434" s="1969"/>
      <c r="K434" s="1969"/>
      <c r="L434" s="1969"/>
      <c r="M434" s="1969"/>
      <c r="N434" s="1969"/>
      <c r="O434" s="1969"/>
      <c r="P434" s="1969"/>
      <c r="Q434" s="1969"/>
      <c r="R434" s="1969"/>
      <c r="S434" s="1969"/>
      <c r="T434" s="1969"/>
      <c r="U434" s="1969"/>
      <c r="V434" s="1969"/>
      <c r="W434" s="395"/>
    </row>
    <row r="435" spans="1:34">
      <c r="A435" s="1205" t="s">
        <v>989</v>
      </c>
      <c r="B435" s="397"/>
      <c r="C435" s="397"/>
      <c r="D435" s="397"/>
      <c r="E435" s="397"/>
      <c r="F435" s="397"/>
      <c r="G435" s="397"/>
      <c r="H435" s="1969">
        <f t="shared" ref="H435:S435" si="75">M476</f>
        <v>44862.710000000006</v>
      </c>
      <c r="I435" s="1969">
        <f t="shared" si="75"/>
        <v>49516.24</v>
      </c>
      <c r="J435" s="1969">
        <f t="shared" si="75"/>
        <v>48815.310000000005</v>
      </c>
      <c r="K435" s="1969">
        <f t="shared" si="75"/>
        <v>50887.98000000001</v>
      </c>
      <c r="L435" s="1969">
        <f t="shared" si="75"/>
        <v>52254.159999999996</v>
      </c>
      <c r="M435" s="1969">
        <f t="shared" si="75"/>
        <v>54163.659999999989</v>
      </c>
      <c r="N435" s="1969">
        <f t="shared" si="75"/>
        <v>56862.54</v>
      </c>
      <c r="O435" s="1969">
        <f t="shared" si="75"/>
        <v>86540.4</v>
      </c>
      <c r="P435" s="1969">
        <f t="shared" si="75"/>
        <v>90596.410000000018</v>
      </c>
      <c r="Q435" s="1969">
        <f t="shared" si="75"/>
        <v>133729.96000000002</v>
      </c>
      <c r="R435" s="1969">
        <f t="shared" si="75"/>
        <v>142627.5</v>
      </c>
      <c r="S435" s="1969">
        <f t="shared" si="75"/>
        <v>133229.86000000002</v>
      </c>
      <c r="T435" s="1969">
        <f>Y476</f>
        <v>136648.89999999997</v>
      </c>
      <c r="U435" s="1969">
        <f>Z476</f>
        <v>133924.85</v>
      </c>
      <c r="V435" s="1969">
        <f>AA476</f>
        <v>142444.89999999997</v>
      </c>
      <c r="W435" s="395"/>
    </row>
    <row r="436" spans="1:34">
      <c r="A436" s="1205" t="s">
        <v>990</v>
      </c>
      <c r="B436" s="397"/>
      <c r="C436" s="397"/>
      <c r="D436" s="397"/>
      <c r="E436" s="397"/>
      <c r="F436" s="397"/>
      <c r="G436" s="397"/>
      <c r="H436" s="1969">
        <f t="shared" ref="H436:S436" si="76">M521</f>
        <v>38609.389999999992</v>
      </c>
      <c r="I436" s="1969">
        <f t="shared" si="76"/>
        <v>45143.14</v>
      </c>
      <c r="J436" s="1969">
        <f t="shared" si="76"/>
        <v>43394.659999999996</v>
      </c>
      <c r="K436" s="1969">
        <f t="shared" si="76"/>
        <v>41186.71</v>
      </c>
      <c r="L436" s="1969">
        <f t="shared" si="76"/>
        <v>39477.94</v>
      </c>
      <c r="M436" s="1969">
        <f t="shared" si="76"/>
        <v>43689.71</v>
      </c>
      <c r="N436" s="1969">
        <f t="shared" si="76"/>
        <v>37936.78</v>
      </c>
      <c r="O436" s="1969">
        <f t="shared" si="76"/>
        <v>39310.039999999994</v>
      </c>
      <c r="P436" s="1969">
        <f t="shared" si="76"/>
        <v>33529.380000000005</v>
      </c>
      <c r="Q436" s="1969">
        <f t="shared" si="76"/>
        <v>37438.51</v>
      </c>
      <c r="R436" s="1969">
        <f t="shared" si="76"/>
        <v>40284.189999999995</v>
      </c>
      <c r="S436" s="1969">
        <f t="shared" si="76"/>
        <v>49637.34</v>
      </c>
      <c r="T436" s="1969">
        <f>Y521</f>
        <v>72499.320000000007</v>
      </c>
      <c r="U436" s="1969">
        <f>Z521</f>
        <v>37643.08</v>
      </c>
      <c r="V436" s="1969">
        <f>AA521</f>
        <v>97180.87</v>
      </c>
      <c r="W436" s="395"/>
    </row>
    <row r="437" spans="1:34">
      <c r="A437" s="1205" t="s">
        <v>991</v>
      </c>
      <c r="B437" s="397"/>
      <c r="C437" s="397"/>
      <c r="D437" s="397"/>
      <c r="E437" s="397"/>
      <c r="F437" s="397"/>
      <c r="G437" s="397"/>
      <c r="H437" s="1969">
        <f t="shared" ref="H437:S437" si="77">M534</f>
        <v>35251.49</v>
      </c>
      <c r="I437" s="1969">
        <f t="shared" si="77"/>
        <v>32009.51</v>
      </c>
      <c r="J437" s="1969">
        <f t="shared" si="77"/>
        <v>49139.08</v>
      </c>
      <c r="K437" s="1969">
        <f t="shared" si="77"/>
        <v>46941.88</v>
      </c>
      <c r="L437" s="1969">
        <f t="shared" si="77"/>
        <v>51146.559999999998</v>
      </c>
      <c r="M437" s="1969">
        <f t="shared" si="77"/>
        <v>50078.16</v>
      </c>
      <c r="N437" s="1969">
        <f t="shared" si="77"/>
        <v>49563.1</v>
      </c>
      <c r="O437" s="1969">
        <f t="shared" si="77"/>
        <v>55261.979999999996</v>
      </c>
      <c r="P437" s="1969">
        <f t="shared" si="77"/>
        <v>53814.510000000009</v>
      </c>
      <c r="Q437" s="1969">
        <f t="shared" si="77"/>
        <v>52946.71</v>
      </c>
      <c r="R437" s="1969">
        <f t="shared" si="77"/>
        <v>55176.85</v>
      </c>
      <c r="S437" s="1969">
        <f t="shared" si="77"/>
        <v>49290.12000000001</v>
      </c>
      <c r="T437" s="1969">
        <f>Y534</f>
        <v>46371.479999999996</v>
      </c>
      <c r="U437" s="1969">
        <f>Z534</f>
        <v>72575.14</v>
      </c>
      <c r="V437" s="1969">
        <f>AA534</f>
        <v>43302.729999999996</v>
      </c>
      <c r="W437" s="395"/>
    </row>
    <row r="438" spans="1:34" ht="13.5" thickBot="1">
      <c r="A438" s="1205" t="s">
        <v>47</v>
      </c>
      <c r="B438" s="397"/>
      <c r="C438" s="397"/>
      <c r="D438" s="397"/>
      <c r="E438" s="397"/>
      <c r="F438" s="397"/>
      <c r="G438" s="397"/>
      <c r="H438" s="1969">
        <f t="shared" ref="H438:S438" si="78">M539</f>
        <v>0</v>
      </c>
      <c r="I438" s="1969">
        <f t="shared" si="78"/>
        <v>0</v>
      </c>
      <c r="J438" s="1969">
        <f t="shared" si="78"/>
        <v>218.50399999999999</v>
      </c>
      <c r="K438" s="1969">
        <f t="shared" si="78"/>
        <v>218.50399999999999</v>
      </c>
      <c r="L438" s="1969">
        <f t="shared" si="78"/>
        <v>427.60599999999999</v>
      </c>
      <c r="M438" s="1969">
        <f t="shared" si="78"/>
        <v>467.18600000000004</v>
      </c>
      <c r="N438" s="1969">
        <f t="shared" si="78"/>
        <v>580.68600000000004</v>
      </c>
      <c r="O438" s="1969">
        <f t="shared" si="78"/>
        <v>1785.6980000000001</v>
      </c>
      <c r="P438" s="1969">
        <f t="shared" si="78"/>
        <v>1785.702</v>
      </c>
      <c r="Q438" s="1969">
        <f t="shared" si="78"/>
        <v>1576.6</v>
      </c>
      <c r="R438" s="1969">
        <f t="shared" si="78"/>
        <v>1537.02</v>
      </c>
      <c r="S438" s="1969">
        <f t="shared" si="78"/>
        <v>1423.52</v>
      </c>
      <c r="T438" s="1969">
        <f>Y539</f>
        <v>747.78</v>
      </c>
      <c r="U438" s="1969">
        <f>Z539</f>
        <v>1873.08</v>
      </c>
      <c r="V438" s="1969">
        <f>AA539</f>
        <v>1873.08</v>
      </c>
      <c r="W438" s="395"/>
    </row>
    <row r="439" spans="1:34" ht="18" customHeight="1" thickBot="1">
      <c r="A439" s="1891" t="s">
        <v>8</v>
      </c>
      <c r="B439" s="1979"/>
      <c r="C439" s="1979"/>
      <c r="D439" s="1979"/>
      <c r="E439" s="1979"/>
      <c r="F439" s="1979"/>
      <c r="G439" s="1979"/>
      <c r="H439" s="1970">
        <f>SUM(H435:H438)</f>
        <v>118723.59</v>
      </c>
      <c r="I439" s="1970">
        <f t="shared" ref="I439:S439" si="79">SUM(I435:I438)</f>
        <v>126668.89</v>
      </c>
      <c r="J439" s="1970">
        <f t="shared" si="79"/>
        <v>141567.55399999997</v>
      </c>
      <c r="K439" s="1970">
        <f t="shared" si="79"/>
        <v>139235.07399999999</v>
      </c>
      <c r="L439" s="1970">
        <f t="shared" si="79"/>
        <v>143306.266</v>
      </c>
      <c r="M439" s="1970">
        <f t="shared" si="79"/>
        <v>148398.71599999999</v>
      </c>
      <c r="N439" s="1970">
        <f t="shared" si="79"/>
        <v>144943.106</v>
      </c>
      <c r="O439" s="1970">
        <f t="shared" si="79"/>
        <v>182898.11799999999</v>
      </c>
      <c r="P439" s="1970">
        <f t="shared" si="79"/>
        <v>179726.00200000004</v>
      </c>
      <c r="Q439" s="1970">
        <f t="shared" si="79"/>
        <v>225691.78000000003</v>
      </c>
      <c r="R439" s="1970">
        <f t="shared" si="79"/>
        <v>239625.56</v>
      </c>
      <c r="S439" s="1970">
        <f t="shared" si="79"/>
        <v>233580.84</v>
      </c>
      <c r="T439" s="1970">
        <f>SUM(T435:T438)</f>
        <v>256267.47999999995</v>
      </c>
      <c r="U439" s="1970">
        <f>SUM(U435:U438)</f>
        <v>246016.15</v>
      </c>
      <c r="V439" s="1970">
        <f>SUM(V435:V438)</f>
        <v>284801.57999999996</v>
      </c>
      <c r="W439" s="395"/>
    </row>
    <row r="440" spans="1:34">
      <c r="A440" s="395" t="s">
        <v>993</v>
      </c>
      <c r="I440" s="1965">
        <f t="shared" ref="I440:S440" si="80">(I435/H435)*100-100</f>
        <v>10.372824111606249</v>
      </c>
      <c r="J440" s="1965">
        <f t="shared" si="80"/>
        <v>-1.4155557853342486</v>
      </c>
      <c r="K440" s="1965">
        <f t="shared" si="80"/>
        <v>4.2459425127076003</v>
      </c>
      <c r="L440" s="1965">
        <f t="shared" si="80"/>
        <v>2.6846811368814087</v>
      </c>
      <c r="M440" s="1965">
        <f t="shared" si="80"/>
        <v>3.6542545129421171</v>
      </c>
      <c r="N440" s="1965">
        <f t="shared" si="80"/>
        <v>4.9828242773845233</v>
      </c>
      <c r="O440" s="1965">
        <f t="shared" si="80"/>
        <v>52.192286872869175</v>
      </c>
      <c r="P440" s="1965">
        <f t="shared" si="80"/>
        <v>4.6868399036750645</v>
      </c>
      <c r="Q440" s="1965">
        <f t="shared" si="80"/>
        <v>47.610661393757198</v>
      </c>
      <c r="R440" s="1965">
        <f t="shared" si="80"/>
        <v>6.6533632403688472</v>
      </c>
      <c r="S440" s="1965">
        <f t="shared" si="80"/>
        <v>-6.5889397206008482</v>
      </c>
      <c r="T440" s="1965">
        <f t="shared" ref="T440:V441" si="81">(T435/S435)*100-100</f>
        <v>2.5662715550402595</v>
      </c>
      <c r="U440" s="1965">
        <f t="shared" si="81"/>
        <v>-1.9934664677139438</v>
      </c>
      <c r="V440" s="1965">
        <f t="shared" si="81"/>
        <v>6.3618141069412815</v>
      </c>
      <c r="W440" s="395"/>
    </row>
    <row r="441" spans="1:34">
      <c r="A441" s="395" t="s">
        <v>994</v>
      </c>
      <c r="I441" s="1965">
        <f t="shared" ref="I441:S441" si="82">(I436/H436)*100-100</f>
        <v>16.922696784383291</v>
      </c>
      <c r="J441" s="1965">
        <f t="shared" si="82"/>
        <v>-3.8731909211454933</v>
      </c>
      <c r="K441" s="1965">
        <f t="shared" si="82"/>
        <v>-5.0880684397573361</v>
      </c>
      <c r="L441" s="1965">
        <f t="shared" si="82"/>
        <v>-4.148838302452404</v>
      </c>
      <c r="M441" s="1965">
        <f t="shared" si="82"/>
        <v>10.668667108770109</v>
      </c>
      <c r="N441" s="1965">
        <f t="shared" si="82"/>
        <v>-13.167700128931955</v>
      </c>
      <c r="O441" s="1965">
        <f t="shared" si="82"/>
        <v>3.6198644165371832</v>
      </c>
      <c r="P441" s="1965">
        <f t="shared" si="82"/>
        <v>-14.705301749883716</v>
      </c>
      <c r="Q441" s="1965">
        <f t="shared" si="82"/>
        <v>11.658819817127537</v>
      </c>
      <c r="R441" s="1965">
        <f t="shared" si="82"/>
        <v>7.6009435204552602</v>
      </c>
      <c r="S441" s="1965">
        <f t="shared" si="82"/>
        <v>23.217917500637355</v>
      </c>
      <c r="T441" s="1965">
        <f t="shared" si="81"/>
        <v>46.058028089337597</v>
      </c>
      <c r="U441" s="1965">
        <f t="shared" si="81"/>
        <v>-48.078023352494895</v>
      </c>
      <c r="V441" s="1965">
        <f t="shared" si="81"/>
        <v>158.16397064214721</v>
      </c>
      <c r="W441" s="395"/>
    </row>
    <row r="442" spans="1:34">
      <c r="A442" s="395" t="s">
        <v>995</v>
      </c>
      <c r="I442" s="1965" t="e">
        <f t="shared" ref="I442:S442" si="83">(I438/H438)*100-100</f>
        <v>#DIV/0!</v>
      </c>
      <c r="J442" s="1965" t="e">
        <f t="shared" si="83"/>
        <v>#DIV/0!</v>
      </c>
      <c r="K442" s="1965">
        <f t="shared" si="83"/>
        <v>0</v>
      </c>
      <c r="L442" s="1965">
        <f t="shared" si="83"/>
        <v>95.69710394317724</v>
      </c>
      <c r="M442" s="1965">
        <f t="shared" si="83"/>
        <v>9.2561844314626143</v>
      </c>
      <c r="N442" s="1965">
        <f t="shared" si="83"/>
        <v>24.294392383333403</v>
      </c>
      <c r="O442" s="1965">
        <f t="shared" si="83"/>
        <v>207.51524920525031</v>
      </c>
      <c r="P442" s="1965">
        <f t="shared" si="83"/>
        <v>2.2400204289851899E-4</v>
      </c>
      <c r="Q442" s="1965">
        <f t="shared" si="83"/>
        <v>-11.709792563372844</v>
      </c>
      <c r="R442" s="1965">
        <f t="shared" si="83"/>
        <v>-2.5104655587974065</v>
      </c>
      <c r="S442" s="1965">
        <f t="shared" si="83"/>
        <v>-7.3844192007911431</v>
      </c>
      <c r="T442" s="1965">
        <f>(T438/S438)*100-100</f>
        <v>-47.469652691918625</v>
      </c>
      <c r="U442" s="1965">
        <f>(U438/T438)*100-100</f>
        <v>150.48543689320385</v>
      </c>
      <c r="V442" s="1965">
        <f>(V438/U438)*100-100</f>
        <v>0</v>
      </c>
      <c r="W442" s="395"/>
    </row>
    <row r="444" spans="1:34">
      <c r="A444" s="1569" t="s">
        <v>7104</v>
      </c>
      <c r="B444" s="1569"/>
      <c r="C444" s="1569"/>
      <c r="D444" s="1569"/>
      <c r="E444" s="1569"/>
      <c r="F444" s="1569"/>
      <c r="G444" s="1569"/>
      <c r="H444" s="395"/>
      <c r="I444" s="395"/>
      <c r="J444" s="395"/>
      <c r="K444" s="395"/>
      <c r="L444" s="395"/>
      <c r="T444" s="395"/>
      <c r="U444" s="395"/>
      <c r="V444" s="395"/>
      <c r="AF444" s="395"/>
      <c r="AG444" s="395"/>
      <c r="AH444" s="395"/>
    </row>
    <row r="445" spans="1:34">
      <c r="A445" s="1633"/>
      <c r="B445" s="1633"/>
      <c r="C445" s="1633"/>
      <c r="D445" s="1633"/>
      <c r="E445" s="1633"/>
      <c r="F445" s="1633"/>
      <c r="G445" s="1633"/>
      <c r="H445" s="395"/>
      <c r="I445" s="395"/>
      <c r="J445" s="395"/>
      <c r="K445" s="395"/>
      <c r="L445" s="395"/>
      <c r="T445" s="395"/>
      <c r="U445" s="395"/>
      <c r="V445" s="395"/>
      <c r="AF445" s="395"/>
      <c r="AG445" s="395"/>
      <c r="AH445" s="395"/>
    </row>
    <row r="446" spans="1:34">
      <c r="A446" s="1989" t="s">
        <v>623</v>
      </c>
      <c r="B446" s="1991"/>
      <c r="C446" s="1991"/>
      <c r="D446" s="1991"/>
      <c r="E446" s="1991"/>
      <c r="F446" s="1991"/>
      <c r="G446" s="1991"/>
      <c r="H446" s="1991" t="s">
        <v>1002</v>
      </c>
      <c r="I446" s="1991"/>
      <c r="J446" s="1991"/>
      <c r="K446" s="1991"/>
      <c r="L446" s="1991"/>
      <c r="M446" s="1990">
        <v>2007</v>
      </c>
      <c r="N446" s="1990">
        <v>2008</v>
      </c>
      <c r="O446" s="1991">
        <v>2009</v>
      </c>
      <c r="P446" s="1991">
        <v>2010</v>
      </c>
      <c r="Q446" s="1991">
        <v>2011</v>
      </c>
      <c r="R446" s="1991">
        <v>2012</v>
      </c>
      <c r="S446" s="1991">
        <v>2013</v>
      </c>
      <c r="T446" s="1991">
        <v>2014</v>
      </c>
      <c r="U446" s="1991">
        <v>2015</v>
      </c>
      <c r="V446" s="1991">
        <v>2016</v>
      </c>
      <c r="W446" s="1991">
        <v>2017</v>
      </c>
      <c r="X446" s="1991">
        <v>2018</v>
      </c>
      <c r="Y446" s="1991">
        <v>2019</v>
      </c>
      <c r="Z446" s="1991">
        <v>2020</v>
      </c>
      <c r="AA446" s="1991">
        <v>2021</v>
      </c>
      <c r="AB446" s="1992">
        <v>2022</v>
      </c>
      <c r="AC446" s="380"/>
      <c r="AD446" s="1973"/>
      <c r="AE446" s="1973"/>
      <c r="AF446" s="1633"/>
      <c r="AG446" s="1633"/>
      <c r="AH446" s="1633"/>
    </row>
    <row r="447" spans="1:34">
      <c r="A447" s="1984" t="s">
        <v>1003</v>
      </c>
      <c r="B447" s="1985"/>
      <c r="C447" s="1985"/>
      <c r="D447" s="1985"/>
      <c r="E447" s="1985"/>
      <c r="F447" s="1985"/>
      <c r="G447" s="1985"/>
      <c r="H447" s="1986"/>
      <c r="I447" s="1986"/>
      <c r="J447" s="1986"/>
      <c r="K447" s="1986"/>
      <c r="L447" s="1986"/>
      <c r="M447" s="1987"/>
      <c r="N447" s="1987"/>
      <c r="O447" s="1986"/>
      <c r="P447" s="1986"/>
      <c r="Q447" s="1986"/>
      <c r="R447" s="1986"/>
      <c r="S447" s="1986"/>
      <c r="T447" s="1987"/>
      <c r="U447" s="1987"/>
      <c r="V447" s="1987"/>
      <c r="W447" s="1987"/>
      <c r="X447" s="1987"/>
      <c r="Y447" s="1987"/>
      <c r="Z447" s="1987"/>
      <c r="AA447" s="1987"/>
      <c r="AB447" s="1988"/>
      <c r="AF447" s="395"/>
      <c r="AG447" s="395"/>
      <c r="AH447" s="395"/>
    </row>
    <row r="448" spans="1:34">
      <c r="A448" s="1993" t="s">
        <v>1004</v>
      </c>
      <c r="B448" s="1994"/>
      <c r="C448" s="1994"/>
      <c r="D448" s="1994"/>
      <c r="E448" s="1994"/>
      <c r="F448" s="1994"/>
      <c r="G448" s="1994"/>
      <c r="H448" s="1995"/>
      <c r="I448" s="1995"/>
      <c r="J448" s="1995"/>
      <c r="K448" s="1995"/>
      <c r="L448" s="1996"/>
      <c r="M448" s="2016"/>
      <c r="N448" s="2016"/>
      <c r="O448" s="1995"/>
      <c r="P448" s="1995"/>
      <c r="Q448" s="1995"/>
      <c r="R448" s="1995"/>
      <c r="S448" s="1995"/>
      <c r="T448" s="2016"/>
      <c r="U448" s="2016"/>
      <c r="V448" s="2016"/>
      <c r="W448" s="2016"/>
      <c r="X448" s="2016"/>
      <c r="Y448" s="1487"/>
      <c r="Z448" s="1487"/>
      <c r="AA448" s="1487"/>
      <c r="AB448" s="2017"/>
      <c r="AF448" s="395"/>
      <c r="AG448" s="395"/>
      <c r="AH448" s="395"/>
    </row>
    <row r="449" spans="1:34">
      <c r="A449" s="1997" t="s">
        <v>2239</v>
      </c>
      <c r="B449" s="583" t="s">
        <v>7491</v>
      </c>
      <c r="C449" s="583"/>
      <c r="D449" s="583"/>
      <c r="E449" s="583"/>
      <c r="F449" s="583"/>
      <c r="G449" s="583"/>
      <c r="H449" s="397" t="s">
        <v>2240</v>
      </c>
      <c r="I449" s="397"/>
      <c r="J449" s="397"/>
      <c r="K449" s="397"/>
      <c r="L449" s="1998"/>
      <c r="M449" s="1487"/>
      <c r="N449" s="1487"/>
      <c r="O449" s="1487"/>
      <c r="P449" s="1487"/>
      <c r="Q449" s="1487"/>
      <c r="R449" s="1487"/>
      <c r="S449" s="1487"/>
      <c r="T449" s="1487">
        <v>33246.949999999997</v>
      </c>
      <c r="U449" s="1487">
        <v>36596.69</v>
      </c>
      <c r="V449" s="1487">
        <v>37688.400000000001</v>
      </c>
      <c r="W449" s="1487">
        <v>38526.089999999997</v>
      </c>
      <c r="X449" s="1487">
        <v>40697.51</v>
      </c>
      <c r="Y449" s="1487">
        <v>41262.58</v>
      </c>
      <c r="Z449" s="1487">
        <v>47815.85</v>
      </c>
      <c r="AA449" s="1487">
        <v>49039.43</v>
      </c>
      <c r="AB449" s="1489"/>
      <c r="AF449" s="395"/>
      <c r="AG449" s="395"/>
      <c r="AH449" s="395"/>
    </row>
    <row r="450" spans="1:34">
      <c r="A450" s="1997" t="s">
        <v>2241</v>
      </c>
      <c r="B450" s="583"/>
      <c r="C450" s="583"/>
      <c r="D450" s="583"/>
      <c r="E450" s="583"/>
      <c r="F450" s="583"/>
      <c r="G450" s="583"/>
      <c r="H450" s="397" t="s">
        <v>1763</v>
      </c>
      <c r="I450" s="397"/>
      <c r="J450" s="397"/>
      <c r="K450" s="397"/>
      <c r="L450" s="1998"/>
      <c r="M450" s="1487"/>
      <c r="N450" s="1487"/>
      <c r="O450" s="1487"/>
      <c r="P450" s="1487"/>
      <c r="Q450" s="1487"/>
      <c r="R450" s="1487"/>
      <c r="S450" s="1487"/>
      <c r="T450" s="1487">
        <v>2780.66</v>
      </c>
      <c r="U450" s="1487">
        <v>2780.66</v>
      </c>
      <c r="V450" s="1487">
        <v>2860.81</v>
      </c>
      <c r="W450" s="1487">
        <v>2918.08</v>
      </c>
      <c r="X450" s="1487">
        <v>3053.4</v>
      </c>
      <c r="Y450" s="1487">
        <v>3114.52</v>
      </c>
      <c r="Z450" s="1487"/>
      <c r="AA450" s="1487"/>
      <c r="AB450" s="1489"/>
      <c r="AF450" s="395"/>
      <c r="AG450" s="395"/>
      <c r="AH450" s="395"/>
    </row>
    <row r="451" spans="1:34">
      <c r="A451" s="1997" t="s">
        <v>2242</v>
      </c>
      <c r="B451" s="583"/>
      <c r="C451" s="583"/>
      <c r="D451" s="583"/>
      <c r="E451" s="583"/>
      <c r="F451" s="583"/>
      <c r="G451" s="583"/>
      <c r="H451" s="397" t="s">
        <v>1765</v>
      </c>
      <c r="I451" s="397"/>
      <c r="J451" s="397"/>
      <c r="K451" s="397"/>
      <c r="L451" s="1998"/>
      <c r="M451" s="1487"/>
      <c r="N451" s="1487"/>
      <c r="O451" s="1487"/>
      <c r="P451" s="1487"/>
      <c r="Q451" s="1487"/>
      <c r="R451" s="1487"/>
      <c r="S451" s="1487"/>
      <c r="T451" s="1487">
        <v>2167.61</v>
      </c>
      <c r="U451" s="1487">
        <v>2169.17</v>
      </c>
      <c r="V451" s="1487">
        <v>2218.02</v>
      </c>
      <c r="W451" s="1487">
        <v>2243.44</v>
      </c>
      <c r="X451" s="1487">
        <v>2295.66</v>
      </c>
      <c r="Y451" s="1487">
        <v>2300.04</v>
      </c>
      <c r="Z451" s="1487"/>
      <c r="AA451" s="1487"/>
      <c r="AB451" s="1489"/>
      <c r="AF451" s="395"/>
      <c r="AG451" s="395"/>
      <c r="AH451" s="395"/>
    </row>
    <row r="452" spans="1:34">
      <c r="A452" s="1997" t="s">
        <v>2243</v>
      </c>
      <c r="B452" s="583"/>
      <c r="C452" s="583"/>
      <c r="D452" s="583"/>
      <c r="E452" s="583"/>
      <c r="F452" s="583"/>
      <c r="G452" s="583"/>
      <c r="H452" s="397" t="s">
        <v>2244</v>
      </c>
      <c r="I452" s="397"/>
      <c r="J452" s="397"/>
      <c r="K452" s="397"/>
      <c r="L452" s="1998"/>
      <c r="M452" s="1487"/>
      <c r="N452" s="1487"/>
      <c r="O452" s="1487"/>
      <c r="P452" s="1487"/>
      <c r="Q452" s="1487"/>
      <c r="R452" s="1487"/>
      <c r="S452" s="1487"/>
      <c r="T452" s="1487"/>
      <c r="U452" s="1487"/>
      <c r="V452" s="1487"/>
      <c r="W452" s="1487"/>
      <c r="X452" s="1487">
        <v>3030.44</v>
      </c>
      <c r="Y452" s="1487">
        <v>2723.45</v>
      </c>
      <c r="Z452" s="1487"/>
      <c r="AA452" s="1487"/>
      <c r="AB452" s="1489"/>
      <c r="AF452" s="395"/>
      <c r="AG452" s="395"/>
      <c r="AH452" s="395"/>
    </row>
    <row r="453" spans="1:34">
      <c r="A453" s="1997" t="s">
        <v>2245</v>
      </c>
      <c r="B453" s="583" t="s">
        <v>7496</v>
      </c>
      <c r="C453" s="583"/>
      <c r="D453" s="583"/>
      <c r="E453" s="583"/>
      <c r="F453" s="583"/>
      <c r="G453" s="583"/>
      <c r="H453" s="397" t="s">
        <v>2246</v>
      </c>
      <c r="I453" s="397"/>
      <c r="J453" s="397"/>
      <c r="K453" s="397"/>
      <c r="L453" s="1998"/>
      <c r="M453" s="1487"/>
      <c r="N453" s="1487"/>
      <c r="O453" s="1487"/>
      <c r="P453" s="1487"/>
      <c r="Q453" s="1487"/>
      <c r="R453" s="1487"/>
      <c r="S453" s="1487"/>
      <c r="T453" s="1487">
        <v>18695.77</v>
      </c>
      <c r="U453" s="1487">
        <v>19686.88</v>
      </c>
      <c r="V453" s="1487">
        <v>47044.92</v>
      </c>
      <c r="W453" s="1487">
        <v>51770.52</v>
      </c>
      <c r="X453" s="1487">
        <v>41930.82</v>
      </c>
      <c r="Y453" s="1487">
        <v>41864.269999999997</v>
      </c>
      <c r="Z453" s="1487">
        <v>46688.56</v>
      </c>
      <c r="AA453" s="1487">
        <v>44607.31</v>
      </c>
      <c r="AB453" s="1489"/>
      <c r="AF453" s="395"/>
      <c r="AG453" s="395"/>
      <c r="AH453" s="395"/>
    </row>
    <row r="454" spans="1:34">
      <c r="A454" s="1997" t="s">
        <v>2247</v>
      </c>
      <c r="B454" s="583"/>
      <c r="C454" s="583"/>
      <c r="D454" s="583"/>
      <c r="E454" s="583"/>
      <c r="F454" s="583"/>
      <c r="G454" s="583"/>
      <c r="H454" s="397" t="s">
        <v>1020</v>
      </c>
      <c r="I454" s="397"/>
      <c r="J454" s="397"/>
      <c r="K454" s="397"/>
      <c r="L454" s="1998"/>
      <c r="M454" s="1487"/>
      <c r="N454" s="1487"/>
      <c r="O454" s="1487"/>
      <c r="P454" s="1487"/>
      <c r="Q454" s="1487"/>
      <c r="R454" s="1487"/>
      <c r="S454" s="1487"/>
      <c r="T454" s="1487">
        <v>1276.27</v>
      </c>
      <c r="U454" s="1487">
        <v>1276.27</v>
      </c>
      <c r="V454" s="1487">
        <v>3187.85</v>
      </c>
      <c r="W454" s="1487">
        <v>3430.8</v>
      </c>
      <c r="X454" s="1487">
        <v>2176.6</v>
      </c>
      <c r="Y454" s="1487">
        <v>3206.49</v>
      </c>
      <c r="Z454" s="1487"/>
      <c r="AA454" s="1487"/>
      <c r="AB454" s="1489"/>
      <c r="AF454" s="395"/>
      <c r="AG454" s="395"/>
      <c r="AH454" s="395"/>
    </row>
    <row r="455" spans="1:34">
      <c r="A455" s="1997" t="s">
        <v>2248</v>
      </c>
      <c r="B455" s="583"/>
      <c r="C455" s="583"/>
      <c r="D455" s="583"/>
      <c r="E455" s="583"/>
      <c r="F455" s="583"/>
      <c r="G455" s="583"/>
      <c r="H455" s="397" t="s">
        <v>1022</v>
      </c>
      <c r="I455" s="397"/>
      <c r="J455" s="397"/>
      <c r="K455" s="397"/>
      <c r="L455" s="1998"/>
      <c r="M455" s="1487"/>
      <c r="N455" s="1487"/>
      <c r="O455" s="1487"/>
      <c r="P455" s="1487"/>
      <c r="Q455" s="1487"/>
      <c r="R455" s="1487"/>
      <c r="S455" s="1487"/>
      <c r="T455" s="1487">
        <v>1046.6099999999999</v>
      </c>
      <c r="U455" s="1487">
        <v>1059.45</v>
      </c>
      <c r="V455" s="1487">
        <v>3116.98</v>
      </c>
      <c r="W455" s="1487">
        <v>3329.78</v>
      </c>
      <c r="X455" s="1487">
        <v>2206.52</v>
      </c>
      <c r="Y455" s="1487">
        <v>2246.6999999999998</v>
      </c>
      <c r="Z455" s="1487"/>
      <c r="AA455" s="1487"/>
      <c r="AB455" s="1489"/>
      <c r="AF455" s="395"/>
      <c r="AG455" s="395"/>
      <c r="AH455" s="395"/>
    </row>
    <row r="456" spans="1:34">
      <c r="A456" s="1997"/>
      <c r="B456" s="583" t="s">
        <v>7492</v>
      </c>
      <c r="C456" s="583"/>
      <c r="D456" s="583"/>
      <c r="E456" s="583"/>
      <c r="F456" s="583"/>
      <c r="G456" s="583"/>
      <c r="H456" s="397" t="s">
        <v>7497</v>
      </c>
      <c r="I456" s="397"/>
      <c r="J456" s="397"/>
      <c r="K456" s="397"/>
      <c r="L456" s="1998"/>
      <c r="M456" s="1487"/>
      <c r="N456" s="1487"/>
      <c r="O456" s="1487"/>
      <c r="P456" s="1487"/>
      <c r="Q456" s="1487"/>
      <c r="R456" s="1487"/>
      <c r="S456" s="1487"/>
      <c r="T456" s="1487"/>
      <c r="U456" s="1487"/>
      <c r="V456" s="1487"/>
      <c r="W456" s="1487"/>
      <c r="X456" s="1487"/>
      <c r="Y456" s="1487"/>
      <c r="Z456" s="1487">
        <v>2256.38</v>
      </c>
      <c r="AA456" s="1487">
        <v>10052.51</v>
      </c>
      <c r="AB456" s="1489"/>
      <c r="AF456" s="395"/>
      <c r="AG456" s="395"/>
      <c r="AH456" s="395"/>
    </row>
    <row r="457" spans="1:34">
      <c r="A457" s="1997" t="s">
        <v>2249</v>
      </c>
      <c r="B457" s="583"/>
      <c r="C457" s="583"/>
      <c r="D457" s="583"/>
      <c r="E457" s="583"/>
      <c r="F457" s="583"/>
      <c r="G457" s="583"/>
      <c r="H457" s="397" t="s">
        <v>1771</v>
      </c>
      <c r="I457" s="397"/>
      <c r="J457" s="397"/>
      <c r="K457" s="397"/>
      <c r="L457" s="1998"/>
      <c r="M457" s="1487"/>
      <c r="N457" s="1487"/>
      <c r="O457" s="1487"/>
      <c r="P457" s="1487"/>
      <c r="Q457" s="1487"/>
      <c r="R457" s="1487"/>
      <c r="S457" s="1487"/>
      <c r="T457" s="1487"/>
      <c r="U457" s="1487"/>
      <c r="V457" s="1487"/>
      <c r="W457" s="1487"/>
      <c r="X457" s="1487">
        <v>2613.4299999999998</v>
      </c>
      <c r="Y457" s="1487">
        <v>3008.98</v>
      </c>
      <c r="Z457" s="1487"/>
      <c r="AA457" s="1487"/>
      <c r="AB457" s="1489"/>
      <c r="AF457" s="395"/>
      <c r="AG457" s="395"/>
      <c r="AH457" s="395"/>
    </row>
    <row r="458" spans="1:34">
      <c r="A458" s="1997" t="s">
        <v>2250</v>
      </c>
      <c r="B458" s="583" t="s">
        <v>7493</v>
      </c>
      <c r="C458" s="583"/>
      <c r="D458" s="583"/>
      <c r="E458" s="583"/>
      <c r="F458" s="583"/>
      <c r="G458" s="583"/>
      <c r="H458" s="397" t="s">
        <v>2251</v>
      </c>
      <c r="I458" s="397"/>
      <c r="J458" s="397"/>
      <c r="K458" s="397"/>
      <c r="L458" s="1998"/>
      <c r="M458" s="1487"/>
      <c r="N458" s="1487"/>
      <c r="O458" s="1487"/>
      <c r="P458" s="1487"/>
      <c r="Q458" s="1487"/>
      <c r="R458" s="1487"/>
      <c r="S458" s="1487"/>
      <c r="T458" s="1487">
        <v>5810.29</v>
      </c>
      <c r="U458" s="1487">
        <v>5823.9</v>
      </c>
      <c r="V458" s="1487">
        <v>6032.45</v>
      </c>
      <c r="W458" s="1487">
        <v>6165.56</v>
      </c>
      <c r="X458" s="1487">
        <v>6722.69</v>
      </c>
      <c r="Y458" s="1487">
        <v>6819.84</v>
      </c>
      <c r="Z458" s="1487">
        <v>19855.78</v>
      </c>
      <c r="AA458" s="1487">
        <v>20166.919999999998</v>
      </c>
      <c r="AB458" s="1489"/>
      <c r="AF458" s="395"/>
      <c r="AG458" s="395"/>
      <c r="AH458" s="395"/>
    </row>
    <row r="459" spans="1:34">
      <c r="A459" s="1997" t="s">
        <v>2252</v>
      </c>
      <c r="B459" s="583"/>
      <c r="C459" s="583"/>
      <c r="D459" s="583"/>
      <c r="E459" s="583"/>
      <c r="F459" s="583"/>
      <c r="G459" s="583"/>
      <c r="H459" s="397" t="s">
        <v>2253</v>
      </c>
      <c r="I459" s="397"/>
      <c r="J459" s="397"/>
      <c r="K459" s="397"/>
      <c r="L459" s="1998"/>
      <c r="M459" s="1487"/>
      <c r="N459" s="1487"/>
      <c r="O459" s="1487"/>
      <c r="P459" s="1487"/>
      <c r="Q459" s="1487"/>
      <c r="R459" s="1487"/>
      <c r="S459" s="1487"/>
      <c r="T459" s="1487">
        <v>10336.84</v>
      </c>
      <c r="U459" s="1487">
        <v>11088.77</v>
      </c>
      <c r="V459" s="1487">
        <v>11494.98</v>
      </c>
      <c r="W459" s="1487">
        <v>11750.48</v>
      </c>
      <c r="X459" s="1487">
        <v>12408.12</v>
      </c>
      <c r="Y459" s="1487">
        <v>12619.98</v>
      </c>
      <c r="Z459" s="1487"/>
      <c r="AA459" s="1487"/>
      <c r="AB459" s="1489"/>
      <c r="AF459" s="395"/>
      <c r="AG459" s="395"/>
      <c r="AH459" s="395"/>
    </row>
    <row r="460" spans="1:34">
      <c r="A460" s="1997" t="s">
        <v>2254</v>
      </c>
      <c r="B460" s="583" t="s">
        <v>7498</v>
      </c>
      <c r="C460" s="583"/>
      <c r="D460" s="583"/>
      <c r="E460" s="583"/>
      <c r="F460" s="583"/>
      <c r="G460" s="583"/>
      <c r="H460" s="397" t="s">
        <v>1278</v>
      </c>
      <c r="I460" s="397"/>
      <c r="J460" s="397"/>
      <c r="K460" s="397"/>
      <c r="L460" s="1998"/>
      <c r="M460" s="1487"/>
      <c r="N460" s="1487"/>
      <c r="O460" s="1487"/>
      <c r="P460" s="1487"/>
      <c r="Q460" s="1487"/>
      <c r="R460" s="1487"/>
      <c r="S460" s="1487"/>
      <c r="T460" s="1487">
        <v>5534.06</v>
      </c>
      <c r="U460" s="1487">
        <v>5515.66</v>
      </c>
      <c r="V460" s="1487">
        <v>14602.65</v>
      </c>
      <c r="W460" s="1487">
        <v>16021.69</v>
      </c>
      <c r="X460" s="1487">
        <v>12782.5</v>
      </c>
      <c r="Y460" s="1487">
        <v>13477.72</v>
      </c>
      <c r="Z460" s="1487">
        <v>12377.9</v>
      </c>
      <c r="AA460" s="1487">
        <v>12442.13</v>
      </c>
      <c r="AB460" s="1489"/>
      <c r="AF460" s="395"/>
      <c r="AG460" s="395"/>
      <c r="AH460" s="395"/>
    </row>
    <row r="461" spans="1:34">
      <c r="A461" s="1997"/>
      <c r="B461" s="583" t="s">
        <v>7494</v>
      </c>
      <c r="C461" s="583"/>
      <c r="D461" s="583"/>
      <c r="E461" s="583"/>
      <c r="F461" s="583"/>
      <c r="G461" s="583"/>
      <c r="H461" s="397" t="s">
        <v>7501</v>
      </c>
      <c r="I461" s="397"/>
      <c r="J461" s="397"/>
      <c r="K461" s="397"/>
      <c r="L461" s="1998"/>
      <c r="M461" s="1487"/>
      <c r="N461" s="1487"/>
      <c r="O461" s="1487"/>
      <c r="P461" s="1487"/>
      <c r="Q461" s="1487"/>
      <c r="R461" s="1487"/>
      <c r="S461" s="1487"/>
      <c r="T461" s="1487"/>
      <c r="U461" s="1487"/>
      <c r="V461" s="1487"/>
      <c r="W461" s="1487"/>
      <c r="X461" s="1487"/>
      <c r="Y461" s="1487"/>
      <c r="Z461" s="1487">
        <v>122.31</v>
      </c>
      <c r="AA461" s="1487">
        <v>544.83000000000004</v>
      </c>
      <c r="AB461" s="1489"/>
      <c r="AF461" s="395"/>
      <c r="AG461" s="395"/>
      <c r="AH461" s="395"/>
    </row>
    <row r="462" spans="1:34">
      <c r="A462" s="1997" t="s">
        <v>2255</v>
      </c>
      <c r="B462" s="583"/>
      <c r="C462" s="583"/>
      <c r="D462" s="583"/>
      <c r="E462" s="583"/>
      <c r="F462" s="583"/>
      <c r="G462" s="583"/>
      <c r="H462" s="397" t="s">
        <v>2256</v>
      </c>
      <c r="I462" s="397"/>
      <c r="J462" s="397"/>
      <c r="K462" s="397"/>
      <c r="L462" s="1998"/>
      <c r="M462" s="1487"/>
      <c r="N462" s="1487"/>
      <c r="O462" s="1487"/>
      <c r="P462" s="1487"/>
      <c r="Q462" s="1487"/>
      <c r="R462" s="1487"/>
      <c r="S462" s="1487"/>
      <c r="T462" s="1487">
        <v>77</v>
      </c>
      <c r="U462" s="1487">
        <v>77</v>
      </c>
      <c r="V462" s="1487">
        <v>77</v>
      </c>
      <c r="W462" s="1487">
        <v>77</v>
      </c>
      <c r="X462" s="1487">
        <v>66</v>
      </c>
      <c r="Y462" s="1487">
        <v>47.68</v>
      </c>
      <c r="Z462" s="1487"/>
      <c r="AA462" s="1487"/>
      <c r="AB462" s="1489"/>
      <c r="AF462" s="395"/>
      <c r="AG462" s="395"/>
      <c r="AH462" s="395"/>
    </row>
    <row r="463" spans="1:34">
      <c r="A463" s="1997" t="s">
        <v>2257</v>
      </c>
      <c r="B463" s="583" t="s">
        <v>7499</v>
      </c>
      <c r="C463" s="583"/>
      <c r="D463" s="583"/>
      <c r="E463" s="583"/>
      <c r="F463" s="583"/>
      <c r="G463" s="583"/>
      <c r="H463" s="397" t="s">
        <v>1442</v>
      </c>
      <c r="I463" s="397"/>
      <c r="J463" s="397"/>
      <c r="K463" s="397"/>
      <c r="L463" s="1998"/>
      <c r="M463" s="1487"/>
      <c r="N463" s="1487"/>
      <c r="O463" s="1487"/>
      <c r="P463" s="1487"/>
      <c r="Q463" s="1487"/>
      <c r="R463" s="1487"/>
      <c r="S463" s="1487"/>
      <c r="T463" s="1487">
        <v>784.08</v>
      </c>
      <c r="U463" s="1487">
        <v>354.69</v>
      </c>
      <c r="V463" s="1487">
        <v>902.16</v>
      </c>
      <c r="W463" s="1487">
        <v>751.27</v>
      </c>
      <c r="X463" s="1487">
        <v>1.07</v>
      </c>
      <c r="Y463" s="1487">
        <v>860.78</v>
      </c>
      <c r="Z463" s="1487">
        <v>933.76</v>
      </c>
      <c r="AA463" s="1487">
        <v>1784.29</v>
      </c>
      <c r="AB463" s="1489"/>
      <c r="AF463" s="395"/>
      <c r="AG463" s="395"/>
      <c r="AH463" s="395"/>
    </row>
    <row r="464" spans="1:34">
      <c r="A464" s="1997" t="s">
        <v>2258</v>
      </c>
      <c r="B464" s="583" t="s">
        <v>7502</v>
      </c>
      <c r="C464" s="397"/>
      <c r="D464" s="397"/>
      <c r="E464" s="397"/>
      <c r="F464" s="397"/>
      <c r="G464" s="397"/>
      <c r="H464" s="1487" t="s">
        <v>7503</v>
      </c>
      <c r="I464" s="1487"/>
      <c r="J464" s="1487"/>
      <c r="K464" s="1487"/>
      <c r="L464" s="1489"/>
      <c r="M464" s="1487"/>
      <c r="N464" s="1487"/>
      <c r="O464" s="1487"/>
      <c r="P464" s="1487"/>
      <c r="Q464" s="1487"/>
      <c r="R464" s="1487"/>
      <c r="S464" s="1487"/>
      <c r="T464" s="1487"/>
      <c r="U464" s="1487"/>
      <c r="V464" s="1487"/>
      <c r="W464" s="1487"/>
      <c r="X464" s="1487">
        <v>66</v>
      </c>
      <c r="Y464" s="1487">
        <v>57.68</v>
      </c>
      <c r="Z464" s="1487">
        <v>115.36</v>
      </c>
      <c r="AA464" s="1487">
        <v>57.83</v>
      </c>
      <c r="AB464" s="1489"/>
      <c r="AF464" s="395"/>
      <c r="AG464" s="395"/>
      <c r="AH464" s="395"/>
    </row>
    <row r="465" spans="1:34">
      <c r="A465" s="1997" t="s">
        <v>2259</v>
      </c>
      <c r="B465" s="583" t="s">
        <v>7500</v>
      </c>
      <c r="C465" s="583"/>
      <c r="D465" s="583"/>
      <c r="E465" s="583"/>
      <c r="F465" s="583"/>
      <c r="G465" s="583"/>
      <c r="H465" s="397" t="s">
        <v>1045</v>
      </c>
      <c r="I465" s="397"/>
      <c r="J465" s="397"/>
      <c r="K465" s="397"/>
      <c r="L465" s="1998"/>
      <c r="M465" s="1487"/>
      <c r="N465" s="1487"/>
      <c r="O465" s="1487"/>
      <c r="P465" s="1487"/>
      <c r="Q465" s="1487"/>
      <c r="R465" s="1487"/>
      <c r="S465" s="1487"/>
      <c r="T465" s="1487">
        <v>366.7</v>
      </c>
      <c r="U465" s="1487">
        <v>169.33</v>
      </c>
      <c r="V465" s="1487">
        <v>154.6</v>
      </c>
      <c r="W465" s="1487">
        <v>219.26</v>
      </c>
      <c r="X465" s="1487">
        <v>377.58</v>
      </c>
      <c r="Y465" s="1487">
        <v>427.98</v>
      </c>
      <c r="Z465" s="1487">
        <v>283.49</v>
      </c>
      <c r="AA465" s="1487">
        <v>383.31</v>
      </c>
      <c r="AB465" s="1489"/>
      <c r="AF465" s="395"/>
      <c r="AG465" s="395"/>
      <c r="AH465" s="395"/>
    </row>
    <row r="466" spans="1:34">
      <c r="A466" s="1997" t="s">
        <v>2260</v>
      </c>
      <c r="B466" s="583" t="s">
        <v>8080</v>
      </c>
      <c r="C466" s="583"/>
      <c r="D466" s="583"/>
      <c r="E466" s="583"/>
      <c r="F466" s="583"/>
      <c r="G466" s="583"/>
      <c r="H466" s="397" t="s">
        <v>1047</v>
      </c>
      <c r="I466" s="397"/>
      <c r="J466" s="397"/>
      <c r="K466" s="397"/>
      <c r="L466" s="1998"/>
      <c r="M466" s="1487"/>
      <c r="N466" s="1487"/>
      <c r="O466" s="1487"/>
      <c r="P466" s="1487"/>
      <c r="Q466" s="1487"/>
      <c r="R466" s="1487"/>
      <c r="S466" s="1487"/>
      <c r="T466" s="1487">
        <v>3883</v>
      </c>
      <c r="U466" s="1487">
        <v>3454</v>
      </c>
      <c r="V466" s="1487">
        <v>3842.5</v>
      </c>
      <c r="W466" s="1487">
        <v>5082</v>
      </c>
      <c r="X466" s="1487">
        <v>2532</v>
      </c>
      <c r="Y466" s="1487">
        <v>2304</v>
      </c>
      <c r="Z466" s="1487">
        <v>3113.42</v>
      </c>
      <c r="AA466" s="1487">
        <v>3057.04</v>
      </c>
      <c r="AB466" s="1489"/>
      <c r="AF466" s="395"/>
      <c r="AG466" s="395"/>
      <c r="AH466" s="395"/>
    </row>
    <row r="467" spans="1:34">
      <c r="A467" s="1997" t="s">
        <v>2261</v>
      </c>
      <c r="B467" s="583" t="s">
        <v>7495</v>
      </c>
      <c r="C467" s="583"/>
      <c r="D467" s="583"/>
      <c r="E467" s="583"/>
      <c r="F467" s="583"/>
      <c r="G467" s="583"/>
      <c r="H467" s="397" t="s">
        <v>1049</v>
      </c>
      <c r="I467" s="397"/>
      <c r="J467" s="397"/>
      <c r="K467" s="397"/>
      <c r="L467" s="1998"/>
      <c r="M467" s="1487"/>
      <c r="N467" s="1487"/>
      <c r="O467" s="1487"/>
      <c r="P467" s="1487"/>
      <c r="Q467" s="1487"/>
      <c r="R467" s="1487"/>
      <c r="S467" s="1487"/>
      <c r="T467" s="1487">
        <v>534.55999999999995</v>
      </c>
      <c r="U467" s="1487">
        <v>543.94000000000005</v>
      </c>
      <c r="V467" s="1487">
        <v>506.64</v>
      </c>
      <c r="W467" s="1487">
        <v>341.53</v>
      </c>
      <c r="X467" s="1487">
        <v>269.52</v>
      </c>
      <c r="Y467" s="1487">
        <v>306.20999999999998</v>
      </c>
      <c r="Z467" s="1487">
        <v>362.04</v>
      </c>
      <c r="AA467" s="1487">
        <v>309.3</v>
      </c>
      <c r="AB467" s="1489"/>
      <c r="AF467" s="395"/>
      <c r="AG467" s="395"/>
      <c r="AH467" s="395"/>
    </row>
    <row r="468" spans="1:34">
      <c r="A468" s="1997" t="s">
        <v>2262</v>
      </c>
      <c r="B468" s="583"/>
      <c r="C468" s="583"/>
      <c r="D468" s="583"/>
      <c r="E468" s="583"/>
      <c r="F468" s="583"/>
      <c r="G468" s="583"/>
      <c r="H468" s="397" t="s">
        <v>1051</v>
      </c>
      <c r="I468" s="397"/>
      <c r="J468" s="397"/>
      <c r="K468" s="397"/>
      <c r="L468" s="1998"/>
      <c r="M468" s="1487">
        <v>31493.33</v>
      </c>
      <c r="N468" s="1487">
        <v>34904.61</v>
      </c>
      <c r="O468" s="1487">
        <v>32430.87</v>
      </c>
      <c r="P468" s="1487">
        <v>33553.47</v>
      </c>
      <c r="Q468" s="1487">
        <v>34603.86</v>
      </c>
      <c r="R468" s="1487">
        <v>36522.379999999997</v>
      </c>
      <c r="S468" s="1487">
        <v>37527.9</v>
      </c>
      <c r="T468" s="1487"/>
      <c r="U468" s="1487"/>
      <c r="V468" s="1487"/>
      <c r="W468" s="1487"/>
      <c r="X468" s="1487"/>
      <c r="Y468" s="1487"/>
      <c r="Z468" s="1487"/>
      <c r="AA468" s="1487"/>
      <c r="AB468" s="1489"/>
      <c r="AF468" s="395"/>
      <c r="AG468" s="395"/>
      <c r="AH468" s="395"/>
    </row>
    <row r="469" spans="1:34">
      <c r="A469" s="1997" t="s">
        <v>2263</v>
      </c>
      <c r="B469" s="583"/>
      <c r="C469" s="583"/>
      <c r="D469" s="583"/>
      <c r="E469" s="583"/>
      <c r="F469" s="583"/>
      <c r="G469" s="583"/>
      <c r="H469" s="397" t="s">
        <v>1054</v>
      </c>
      <c r="I469" s="397"/>
      <c r="J469" s="397"/>
      <c r="K469" s="397"/>
      <c r="L469" s="1998"/>
      <c r="M469" s="1487">
        <v>2146.87</v>
      </c>
      <c r="N469" s="1487">
        <v>2356.3200000000002</v>
      </c>
      <c r="O469" s="1487">
        <v>2358.12</v>
      </c>
      <c r="P469" s="1487">
        <v>2426.4699999999998</v>
      </c>
      <c r="Q469" s="1487">
        <v>2475.14</v>
      </c>
      <c r="R469" s="1487">
        <v>2653.66</v>
      </c>
      <c r="S469" s="1487">
        <v>2706.67</v>
      </c>
      <c r="T469" s="1487"/>
      <c r="U469" s="1487"/>
      <c r="V469" s="1487"/>
      <c r="W469" s="1487"/>
      <c r="X469" s="1487"/>
      <c r="Y469" s="1487"/>
      <c r="Z469" s="1487"/>
      <c r="AA469" s="1487"/>
      <c r="AB469" s="1489"/>
      <c r="AF469" s="395"/>
      <c r="AG469" s="395"/>
      <c r="AH469" s="395"/>
    </row>
    <row r="470" spans="1:34">
      <c r="A470" s="1997" t="s">
        <v>2264</v>
      </c>
      <c r="B470" s="583"/>
      <c r="C470" s="583"/>
      <c r="D470" s="583"/>
      <c r="E470" s="583"/>
      <c r="F470" s="583"/>
      <c r="G470" s="583"/>
      <c r="H470" s="397" t="s">
        <v>1047</v>
      </c>
      <c r="I470" s="397"/>
      <c r="J470" s="397"/>
      <c r="K470" s="397"/>
      <c r="L470" s="1998"/>
      <c r="M470" s="1487">
        <v>793.8</v>
      </c>
      <c r="N470" s="1487">
        <v>795.6</v>
      </c>
      <c r="O470" s="1487">
        <v>1080</v>
      </c>
      <c r="P470" s="1487">
        <v>1040</v>
      </c>
      <c r="Q470" s="1487">
        <v>980</v>
      </c>
      <c r="R470" s="1487">
        <v>1453.5</v>
      </c>
      <c r="S470" s="1487">
        <v>1375</v>
      </c>
      <c r="T470" s="1487"/>
      <c r="U470" s="1487"/>
      <c r="V470" s="1487"/>
      <c r="W470" s="1487"/>
      <c r="X470" s="1487"/>
      <c r="Y470" s="1487"/>
      <c r="Z470" s="1487"/>
      <c r="AA470" s="1487"/>
      <c r="AB470" s="1489"/>
      <c r="AF470" s="395"/>
      <c r="AG470" s="395"/>
      <c r="AH470" s="395"/>
    </row>
    <row r="471" spans="1:34">
      <c r="A471" s="1997" t="s">
        <v>2265</v>
      </c>
      <c r="B471" s="583"/>
      <c r="C471" s="583"/>
      <c r="D471" s="583"/>
      <c r="E471" s="583"/>
      <c r="F471" s="583"/>
      <c r="G471" s="583"/>
      <c r="H471" s="397" t="s">
        <v>1058</v>
      </c>
      <c r="I471" s="397"/>
      <c r="J471" s="397"/>
      <c r="K471" s="397"/>
      <c r="L471" s="1998"/>
      <c r="M471" s="1487">
        <v>4582.24</v>
      </c>
      <c r="N471" s="1487">
        <v>4332.16</v>
      </c>
      <c r="O471" s="1487">
        <v>5244.62</v>
      </c>
      <c r="P471" s="1487">
        <v>5998.27</v>
      </c>
      <c r="Q471" s="1487">
        <v>5746.59</v>
      </c>
      <c r="R471" s="1487">
        <v>4442.6000000000004</v>
      </c>
      <c r="S471" s="1487">
        <v>5617.69</v>
      </c>
      <c r="T471" s="1487"/>
      <c r="U471" s="1487"/>
      <c r="V471" s="1487"/>
      <c r="W471" s="1487"/>
      <c r="X471" s="1487"/>
      <c r="Y471" s="1487"/>
      <c r="Z471" s="1487"/>
      <c r="AA471" s="1487"/>
      <c r="AB471" s="1489"/>
      <c r="AF471" s="395"/>
      <c r="AG471" s="395"/>
      <c r="AH471" s="395"/>
    </row>
    <row r="472" spans="1:34">
      <c r="A472" s="1997" t="s">
        <v>2266</v>
      </c>
      <c r="B472" s="583"/>
      <c r="C472" s="583"/>
      <c r="D472" s="583"/>
      <c r="E472" s="583"/>
      <c r="F472" s="583"/>
      <c r="G472" s="583"/>
      <c r="H472" s="397" t="s">
        <v>1061</v>
      </c>
      <c r="I472" s="397"/>
      <c r="J472" s="397"/>
      <c r="K472" s="397"/>
      <c r="L472" s="1998"/>
      <c r="M472" s="1487">
        <v>5243.61</v>
      </c>
      <c r="N472" s="1487">
        <v>5545.47</v>
      </c>
      <c r="O472" s="1487">
        <v>6359.92</v>
      </c>
      <c r="P472" s="1487">
        <v>7268.86</v>
      </c>
      <c r="Q472" s="1487">
        <v>8001.92</v>
      </c>
      <c r="R472" s="1487">
        <v>8651.7800000000007</v>
      </c>
      <c r="S472" s="1487">
        <v>9376.99</v>
      </c>
      <c r="T472" s="1487"/>
      <c r="U472" s="1487"/>
      <c r="V472" s="1487"/>
      <c r="W472" s="1487"/>
      <c r="X472" s="1487"/>
      <c r="Y472" s="1487"/>
      <c r="Z472" s="1487"/>
      <c r="AA472" s="1487"/>
      <c r="AB472" s="1489"/>
      <c r="AF472" s="395"/>
      <c r="AG472" s="395"/>
      <c r="AH472" s="395"/>
    </row>
    <row r="473" spans="1:34">
      <c r="A473" s="1997" t="s">
        <v>2267</v>
      </c>
      <c r="B473" s="583"/>
      <c r="C473" s="583"/>
      <c r="D473" s="583"/>
      <c r="E473" s="583"/>
      <c r="F473" s="583"/>
      <c r="G473" s="583"/>
      <c r="H473" s="397" t="s">
        <v>1045</v>
      </c>
      <c r="I473" s="397"/>
      <c r="J473" s="397"/>
      <c r="K473" s="397"/>
      <c r="L473" s="1998"/>
      <c r="M473" s="1487">
        <v>0</v>
      </c>
      <c r="N473" s="1487">
        <v>0</v>
      </c>
      <c r="O473" s="1487">
        <v>15.48</v>
      </c>
      <c r="P473" s="1487">
        <v>53.71</v>
      </c>
      <c r="Q473" s="1487">
        <v>45.14</v>
      </c>
      <c r="R473" s="1487">
        <v>44.36</v>
      </c>
      <c r="S473" s="1487">
        <v>43.77</v>
      </c>
      <c r="T473" s="1487"/>
      <c r="U473" s="1487"/>
      <c r="V473" s="1487"/>
      <c r="W473" s="1487"/>
      <c r="X473" s="1487"/>
      <c r="Y473" s="1487"/>
      <c r="Z473" s="1487"/>
      <c r="AA473" s="1487"/>
      <c r="AB473" s="1489"/>
      <c r="AF473" s="395"/>
      <c r="AG473" s="395"/>
      <c r="AH473" s="395"/>
    </row>
    <row r="474" spans="1:34">
      <c r="A474" s="1997" t="s">
        <v>2268</v>
      </c>
      <c r="B474" s="583"/>
      <c r="C474" s="583"/>
      <c r="D474" s="583"/>
      <c r="E474" s="583"/>
      <c r="F474" s="583"/>
      <c r="G474" s="583"/>
      <c r="H474" s="397" t="s">
        <v>1067</v>
      </c>
      <c r="I474" s="397"/>
      <c r="J474" s="397"/>
      <c r="K474" s="397"/>
      <c r="L474" s="1998"/>
      <c r="M474" s="1487">
        <v>559.54999999999995</v>
      </c>
      <c r="N474" s="1487">
        <v>1535.24</v>
      </c>
      <c r="O474" s="1487">
        <v>1221.6400000000001</v>
      </c>
      <c r="P474" s="1487">
        <v>495.97</v>
      </c>
      <c r="Q474" s="1487">
        <v>349.19</v>
      </c>
      <c r="R474" s="1487">
        <v>343.63</v>
      </c>
      <c r="S474" s="1487">
        <v>160.05000000000001</v>
      </c>
      <c r="T474" s="1487"/>
      <c r="U474" s="1487"/>
      <c r="V474" s="1487"/>
      <c r="W474" s="1487"/>
      <c r="X474" s="1487"/>
      <c r="Y474" s="1487"/>
      <c r="Z474" s="1487"/>
      <c r="AA474" s="1487"/>
      <c r="AB474" s="1489"/>
      <c r="AF474" s="395"/>
      <c r="AG474" s="395"/>
      <c r="AH474" s="395"/>
    </row>
    <row r="475" spans="1:34">
      <c r="A475" s="1997" t="s">
        <v>2269</v>
      </c>
      <c r="B475" s="583"/>
      <c r="C475" s="583"/>
      <c r="D475" s="583"/>
      <c r="E475" s="583"/>
      <c r="F475" s="583"/>
      <c r="G475" s="583"/>
      <c r="H475" s="397" t="s">
        <v>1069</v>
      </c>
      <c r="I475" s="397"/>
      <c r="J475" s="397"/>
      <c r="K475" s="397"/>
      <c r="L475" s="1998"/>
      <c r="M475" s="1487">
        <v>43.31</v>
      </c>
      <c r="N475" s="1487">
        <v>46.84</v>
      </c>
      <c r="O475" s="1487">
        <v>104.66</v>
      </c>
      <c r="P475" s="1487">
        <v>51.23</v>
      </c>
      <c r="Q475" s="1487">
        <v>52.32</v>
      </c>
      <c r="R475" s="1487">
        <v>51.75</v>
      </c>
      <c r="S475" s="1487">
        <v>54.47</v>
      </c>
      <c r="T475" s="1487"/>
      <c r="U475" s="1487"/>
      <c r="V475" s="1487"/>
      <c r="W475" s="1487"/>
      <c r="X475" s="1487"/>
      <c r="Y475" s="1487"/>
      <c r="Z475" s="1487"/>
      <c r="AA475" s="1487"/>
      <c r="AB475" s="1489"/>
      <c r="AF475" s="395"/>
      <c r="AG475" s="395"/>
      <c r="AH475" s="395"/>
    </row>
    <row r="476" spans="1:34">
      <c r="A476" s="2004" t="s">
        <v>1083</v>
      </c>
      <c r="B476" s="2047"/>
      <c r="C476" s="2047"/>
      <c r="D476" s="2047"/>
      <c r="E476" s="2047"/>
      <c r="F476" s="2047"/>
      <c r="G476" s="2047"/>
      <c r="H476" s="2006"/>
      <c r="I476" s="2006"/>
      <c r="J476" s="2006"/>
      <c r="K476" s="2006"/>
      <c r="L476" s="2006"/>
      <c r="M476" s="2005">
        <f t="shared" ref="M476:AB476" si="84">SUM(M449:M475)</f>
        <v>44862.710000000006</v>
      </c>
      <c r="N476" s="2005">
        <f t="shared" si="84"/>
        <v>49516.24</v>
      </c>
      <c r="O476" s="2005">
        <f t="shared" si="84"/>
        <v>48815.310000000005</v>
      </c>
      <c r="P476" s="2005">
        <f t="shared" si="84"/>
        <v>50887.98000000001</v>
      </c>
      <c r="Q476" s="2005">
        <f t="shared" si="84"/>
        <v>52254.159999999996</v>
      </c>
      <c r="R476" s="2005">
        <f t="shared" si="84"/>
        <v>54163.659999999989</v>
      </c>
      <c r="S476" s="2005">
        <f t="shared" si="84"/>
        <v>56862.54</v>
      </c>
      <c r="T476" s="2005">
        <f t="shared" si="84"/>
        <v>86540.4</v>
      </c>
      <c r="U476" s="2005">
        <f t="shared" si="84"/>
        <v>90596.410000000018</v>
      </c>
      <c r="V476" s="2005">
        <f t="shared" si="84"/>
        <v>133729.96000000002</v>
      </c>
      <c r="W476" s="2005">
        <f t="shared" si="84"/>
        <v>142627.5</v>
      </c>
      <c r="X476" s="2005">
        <f t="shared" si="84"/>
        <v>133229.86000000002</v>
      </c>
      <c r="Y476" s="2005">
        <f t="shared" si="84"/>
        <v>136648.89999999997</v>
      </c>
      <c r="Z476" s="2005">
        <f t="shared" si="84"/>
        <v>133924.85</v>
      </c>
      <c r="AA476" s="2005">
        <f t="shared" si="84"/>
        <v>142444.89999999997</v>
      </c>
      <c r="AB476" s="3150">
        <f t="shared" si="84"/>
        <v>0</v>
      </c>
      <c r="AF476" s="395"/>
      <c r="AG476" s="395"/>
      <c r="AH476" s="395"/>
    </row>
    <row r="477" spans="1:34">
      <c r="A477" s="2048" t="s">
        <v>990</v>
      </c>
      <c r="B477" s="1999"/>
      <c r="C477" s="1999"/>
      <c r="D477" s="1999"/>
      <c r="E477" s="1999"/>
      <c r="F477" s="1999"/>
      <c r="G477" s="1999"/>
      <c r="H477" s="397"/>
      <c r="I477" s="397"/>
      <c r="J477" s="397"/>
      <c r="K477" s="397"/>
      <c r="L477" s="1996"/>
      <c r="M477" s="1487"/>
      <c r="N477" s="1487"/>
      <c r="O477" s="1487"/>
      <c r="P477" s="397"/>
      <c r="Q477" s="397"/>
      <c r="R477" s="397"/>
      <c r="S477" s="397"/>
      <c r="T477" s="397"/>
      <c r="U477" s="1487"/>
      <c r="V477" s="1487"/>
      <c r="W477" s="1487"/>
      <c r="X477" s="1487"/>
      <c r="Y477" s="1487"/>
      <c r="Z477" s="1487"/>
      <c r="AA477" s="1487"/>
      <c r="AB477" s="2017"/>
      <c r="AF477" s="395"/>
      <c r="AG477" s="395"/>
      <c r="AH477" s="395"/>
    </row>
    <row r="478" spans="1:34">
      <c r="A478" s="1997" t="s">
        <v>2270</v>
      </c>
      <c r="B478" s="583"/>
      <c r="C478" s="583"/>
      <c r="D478" s="583"/>
      <c r="E478" s="583"/>
      <c r="F478" s="583"/>
      <c r="G478" s="583"/>
      <c r="H478" s="397" t="s">
        <v>2271</v>
      </c>
      <c r="I478" s="397"/>
      <c r="J478" s="397"/>
      <c r="K478" s="397"/>
      <c r="L478" s="1998"/>
      <c r="M478" s="1487"/>
      <c r="N478" s="1487"/>
      <c r="O478" s="1487"/>
      <c r="P478" s="1487"/>
      <c r="Q478" s="1487"/>
      <c r="R478" s="1487"/>
      <c r="S478" s="1487"/>
      <c r="T478" s="1487"/>
      <c r="U478" s="1487"/>
      <c r="V478" s="1487"/>
      <c r="W478" s="1487">
        <v>10543.78</v>
      </c>
      <c r="X478" s="1487">
        <v>15676.05</v>
      </c>
      <c r="Y478" s="1487">
        <v>16533.59</v>
      </c>
      <c r="Z478" s="1487"/>
      <c r="AA478" s="1487"/>
      <c r="AB478" s="1489"/>
      <c r="AF478" s="395"/>
      <c r="AG478" s="395"/>
      <c r="AH478" s="395"/>
    </row>
    <row r="479" spans="1:34">
      <c r="A479" s="1997" t="s">
        <v>2186</v>
      </c>
      <c r="B479" s="583" t="s">
        <v>7481</v>
      </c>
      <c r="C479" s="583"/>
      <c r="D479" s="583"/>
      <c r="E479" s="583"/>
      <c r="F479" s="583"/>
      <c r="G479" s="583"/>
      <c r="H479" s="397" t="s">
        <v>1087</v>
      </c>
      <c r="I479" s="397"/>
      <c r="J479" s="397"/>
      <c r="K479" s="397"/>
      <c r="L479" s="1998"/>
      <c r="M479" s="1487"/>
      <c r="N479" s="1487"/>
      <c r="O479" s="1487"/>
      <c r="P479" s="1487"/>
      <c r="Q479" s="1487"/>
      <c r="R479" s="1487"/>
      <c r="S479" s="1487"/>
      <c r="T479" s="1487">
        <v>11549.29</v>
      </c>
      <c r="U479" s="1487">
        <v>8952.2999999999993</v>
      </c>
      <c r="V479" s="1487">
        <v>9834.77</v>
      </c>
      <c r="W479" s="1487">
        <f>2722.73</f>
        <v>2722.73</v>
      </c>
      <c r="X479" s="1487">
        <f>948.8</f>
        <v>948.8</v>
      </c>
      <c r="Y479" s="1487">
        <v>1495.28</v>
      </c>
      <c r="Z479" s="1487">
        <v>1879.93</v>
      </c>
      <c r="AA479" s="1487">
        <v>431.09</v>
      </c>
      <c r="AB479" s="1489"/>
      <c r="AF479" s="395"/>
      <c r="AG479" s="395"/>
      <c r="AH479" s="395"/>
    </row>
    <row r="480" spans="1:34">
      <c r="A480" s="1997"/>
      <c r="B480" s="583" t="s">
        <v>7482</v>
      </c>
      <c r="C480" s="583"/>
      <c r="D480" s="583"/>
      <c r="E480" s="583"/>
      <c r="F480" s="583"/>
      <c r="G480" s="583"/>
      <c r="H480" s="397" t="s">
        <v>1335</v>
      </c>
      <c r="I480" s="397"/>
      <c r="J480" s="397"/>
      <c r="K480" s="397"/>
      <c r="L480" s="1998"/>
      <c r="M480" s="1487"/>
      <c r="N480" s="1487"/>
      <c r="O480" s="1487"/>
      <c r="P480" s="1487"/>
      <c r="Q480" s="1487"/>
      <c r="R480" s="1487"/>
      <c r="S480" s="1487"/>
      <c r="T480" s="1487"/>
      <c r="U480" s="1487"/>
      <c r="V480" s="1487"/>
      <c r="W480" s="1487"/>
      <c r="X480" s="1487"/>
      <c r="Y480" s="1487"/>
      <c r="Z480" s="1487">
        <v>132.72</v>
      </c>
      <c r="AA480" s="1487">
        <v>847.02</v>
      </c>
      <c r="AB480" s="1489"/>
      <c r="AF480" s="395"/>
      <c r="AG480" s="395"/>
      <c r="AH480" s="395"/>
    </row>
    <row r="481" spans="1:34">
      <c r="A481" s="1997"/>
      <c r="B481" s="583" t="s">
        <v>7483</v>
      </c>
      <c r="C481" s="583"/>
      <c r="D481" s="583"/>
      <c r="E481" s="583"/>
      <c r="F481" s="583"/>
      <c r="G481" s="583"/>
      <c r="H481" s="397" t="s">
        <v>7484</v>
      </c>
      <c r="I481" s="397"/>
      <c r="J481" s="397"/>
      <c r="K481" s="397"/>
      <c r="L481" s="1998"/>
      <c r="M481" s="1487"/>
      <c r="N481" s="1487"/>
      <c r="O481" s="1487"/>
      <c r="P481" s="1487"/>
      <c r="Q481" s="1487"/>
      <c r="R481" s="1487"/>
      <c r="S481" s="1487"/>
      <c r="T481" s="1487"/>
      <c r="U481" s="1487"/>
      <c r="V481" s="1487"/>
      <c r="W481" s="1487"/>
      <c r="X481" s="1487"/>
      <c r="Y481" s="1487"/>
      <c r="Z481" s="1487">
        <v>250</v>
      </c>
      <c r="AA481" s="1487"/>
      <c r="AB481" s="1489"/>
      <c r="AF481" s="395"/>
      <c r="AG481" s="395"/>
      <c r="AH481" s="395"/>
    </row>
    <row r="482" spans="1:34">
      <c r="A482" s="1997"/>
      <c r="B482" s="583" t="s">
        <v>7485</v>
      </c>
      <c r="C482" s="583"/>
      <c r="D482" s="583"/>
      <c r="E482" s="583"/>
      <c r="F482" s="583"/>
      <c r="G482" s="583"/>
      <c r="H482" s="397" t="s">
        <v>7486</v>
      </c>
      <c r="I482" s="397"/>
      <c r="J482" s="397"/>
      <c r="K482" s="397"/>
      <c r="L482" s="1998"/>
      <c r="M482" s="1487"/>
      <c r="N482" s="1487"/>
      <c r="O482" s="1487"/>
      <c r="P482" s="1487"/>
      <c r="Q482" s="1487"/>
      <c r="R482" s="1487"/>
      <c r="S482" s="1487"/>
      <c r="T482" s="1487"/>
      <c r="U482" s="1487"/>
      <c r="V482" s="1487"/>
      <c r="W482" s="1487"/>
      <c r="X482" s="1487"/>
      <c r="Y482" s="1487"/>
      <c r="Z482" s="1487">
        <v>52.71</v>
      </c>
      <c r="AA482" s="1487">
        <v>169.9</v>
      </c>
      <c r="AB482" s="1489"/>
      <c r="AF482" s="395"/>
      <c r="AG482" s="395"/>
      <c r="AH482" s="395"/>
    </row>
    <row r="483" spans="1:34">
      <c r="A483" s="1997" t="s">
        <v>2272</v>
      </c>
      <c r="B483" s="583" t="s">
        <v>7487</v>
      </c>
      <c r="C483" s="583"/>
      <c r="D483" s="583"/>
      <c r="E483" s="583"/>
      <c r="F483" s="583"/>
      <c r="G483" s="583"/>
      <c r="H483" s="397" t="s">
        <v>7467</v>
      </c>
      <c r="I483" s="397"/>
      <c r="J483" s="397"/>
      <c r="K483" s="397"/>
      <c r="L483" s="1998"/>
      <c r="M483" s="1487"/>
      <c r="N483" s="1487"/>
      <c r="O483" s="1487"/>
      <c r="P483" s="1487"/>
      <c r="Q483" s="1487"/>
      <c r="R483" s="1487"/>
      <c r="S483" s="1487"/>
      <c r="T483" s="1487">
        <v>5376</v>
      </c>
      <c r="U483" s="1487">
        <v>4721.92</v>
      </c>
      <c r="V483" s="1487">
        <v>4873.4399999999996</v>
      </c>
      <c r="W483" s="1487">
        <v>6236.26</v>
      </c>
      <c r="X483" s="1487">
        <v>9120.94</v>
      </c>
      <c r="Y483" s="1487">
        <v>12856.48</v>
      </c>
      <c r="Z483" s="1487">
        <v>8463.67</v>
      </c>
      <c r="AA483" s="1487">
        <v>15608.06</v>
      </c>
      <c r="AB483" s="1489"/>
      <c r="AF483" s="395"/>
      <c r="AG483" s="395"/>
      <c r="AH483" s="395"/>
    </row>
    <row r="484" spans="1:34">
      <c r="A484" s="1997" t="s">
        <v>2286</v>
      </c>
      <c r="B484" s="583" t="s">
        <v>7488</v>
      </c>
      <c r="C484" s="583"/>
      <c r="D484" s="583"/>
      <c r="E484" s="583"/>
      <c r="F484" s="583"/>
      <c r="G484" s="583"/>
      <c r="H484" s="397" t="s">
        <v>7489</v>
      </c>
      <c r="I484" s="397"/>
      <c r="J484" s="397"/>
      <c r="K484" s="397"/>
      <c r="L484" s="1998"/>
      <c r="M484" s="1487"/>
      <c r="N484" s="1487"/>
      <c r="O484" s="1487"/>
      <c r="P484" s="1487"/>
      <c r="Q484" s="1487"/>
      <c r="R484" s="1487"/>
      <c r="S484" s="1487"/>
      <c r="T484" s="1487">
        <v>13162.44</v>
      </c>
      <c r="U484" s="1487">
        <v>10833.37</v>
      </c>
      <c r="V484" s="1487">
        <v>13140.45</v>
      </c>
      <c r="W484" s="1487">
        <v>8929.52</v>
      </c>
      <c r="X484" s="1487">
        <v>10381.93</v>
      </c>
      <c r="Y484" s="1487">
        <v>28999.46</v>
      </c>
      <c r="Z484" s="395">
        <v>18998.79</v>
      </c>
      <c r="AA484" s="1487">
        <v>20415</v>
      </c>
      <c r="AB484" s="1489"/>
      <c r="AF484" s="395"/>
      <c r="AG484" s="395"/>
      <c r="AH484" s="395"/>
    </row>
    <row r="485" spans="1:34">
      <c r="A485" s="1997"/>
      <c r="B485" s="583" t="s">
        <v>7490</v>
      </c>
      <c r="C485" s="583"/>
      <c r="D485" s="583"/>
      <c r="E485" s="583"/>
      <c r="F485" s="583"/>
      <c r="G485" s="583"/>
      <c r="H485" s="397" t="s">
        <v>2865</v>
      </c>
      <c r="I485" s="397"/>
      <c r="J485" s="397"/>
      <c r="K485" s="397"/>
      <c r="L485" s="1998"/>
      <c r="M485" s="1487"/>
      <c r="N485" s="1487"/>
      <c r="O485" s="1487"/>
      <c r="P485" s="1487"/>
      <c r="Q485" s="1487"/>
      <c r="R485" s="1487"/>
      <c r="S485" s="1487"/>
      <c r="T485" s="1487"/>
      <c r="U485" s="1487"/>
      <c r="V485" s="1487"/>
      <c r="W485" s="1487"/>
      <c r="X485" s="1487"/>
      <c r="Y485" s="1487"/>
      <c r="Z485" s="1487">
        <v>759.29</v>
      </c>
      <c r="AA485" s="1487">
        <v>49213.99</v>
      </c>
      <c r="AB485" s="1489"/>
      <c r="AF485" s="395"/>
      <c r="AG485" s="395"/>
      <c r="AH485" s="395"/>
    </row>
    <row r="486" spans="1:34">
      <c r="A486" s="1997" t="s">
        <v>2273</v>
      </c>
      <c r="B486" s="583" t="s">
        <v>8083</v>
      </c>
      <c r="C486" s="583"/>
      <c r="D486" s="583"/>
      <c r="E486" s="583"/>
      <c r="F486" s="583"/>
      <c r="G486" s="583"/>
      <c r="H486" s="397" t="s">
        <v>1578</v>
      </c>
      <c r="I486" s="397"/>
      <c r="J486" s="397"/>
      <c r="K486" s="397"/>
      <c r="L486" s="1998"/>
      <c r="M486" s="1487"/>
      <c r="N486" s="1487"/>
      <c r="O486" s="1487"/>
      <c r="P486" s="1487"/>
      <c r="Q486" s="1487"/>
      <c r="R486" s="1487"/>
      <c r="S486" s="1487"/>
      <c r="T486" s="1487">
        <v>691.12</v>
      </c>
      <c r="U486" s="1487">
        <v>911.23</v>
      </c>
      <c r="V486" s="1487">
        <v>1014.79</v>
      </c>
      <c r="W486" s="1487">
        <f>956.91+1708.41</f>
        <v>2665.32</v>
      </c>
      <c r="X486" s="1487">
        <v>779.99</v>
      </c>
      <c r="Y486" s="1487">
        <v>110.76</v>
      </c>
      <c r="Z486" s="1487"/>
      <c r="AA486" s="1487">
        <v>62.8</v>
      </c>
      <c r="AB486" s="1489"/>
      <c r="AF486" s="395"/>
      <c r="AG486" s="395"/>
      <c r="AH486" s="395"/>
    </row>
    <row r="487" spans="1:34">
      <c r="A487" s="1997"/>
      <c r="B487" s="583" t="s">
        <v>8096</v>
      </c>
      <c r="C487" s="583"/>
      <c r="D487" s="583"/>
      <c r="E487" s="583"/>
      <c r="F487" s="583"/>
      <c r="G487" s="583"/>
      <c r="H487" s="397" t="s">
        <v>7403</v>
      </c>
      <c r="I487" s="397"/>
      <c r="J487" s="397"/>
      <c r="K487" s="397"/>
      <c r="L487" s="1998"/>
      <c r="M487" s="1487"/>
      <c r="N487" s="1487"/>
      <c r="O487" s="1487"/>
      <c r="P487" s="1487"/>
      <c r="Q487" s="1487"/>
      <c r="R487" s="1487"/>
      <c r="S487" s="1487"/>
      <c r="T487" s="1487"/>
      <c r="U487" s="1487"/>
      <c r="V487" s="1487"/>
      <c r="W487" s="1487"/>
      <c r="X487" s="1487"/>
      <c r="Y487" s="1487"/>
      <c r="Z487" s="1487"/>
      <c r="AA487" s="1487">
        <v>1781.85</v>
      </c>
      <c r="AB487" s="1489"/>
      <c r="AF487" s="395"/>
      <c r="AG487" s="395"/>
      <c r="AH487" s="395"/>
    </row>
    <row r="488" spans="1:34">
      <c r="A488" s="1997" t="s">
        <v>2274</v>
      </c>
      <c r="B488" s="583" t="s">
        <v>7459</v>
      </c>
      <c r="C488" s="583"/>
      <c r="D488" s="583"/>
      <c r="E488" s="583"/>
      <c r="F488" s="583"/>
      <c r="G488" s="583"/>
      <c r="H488" s="397" t="s">
        <v>1105</v>
      </c>
      <c r="I488" s="397"/>
      <c r="J488" s="397"/>
      <c r="K488" s="397"/>
      <c r="L488" s="1998"/>
      <c r="M488" s="1487"/>
      <c r="N488" s="1487"/>
      <c r="O488" s="1487"/>
      <c r="P488" s="1487"/>
      <c r="Q488" s="1487"/>
      <c r="R488" s="1487"/>
      <c r="S488" s="1487"/>
      <c r="T488" s="1487">
        <v>555.23</v>
      </c>
      <c r="U488" s="1487">
        <v>150.47</v>
      </c>
      <c r="V488" s="1487">
        <v>167.17</v>
      </c>
      <c r="W488" s="1487">
        <v>142.91</v>
      </c>
      <c r="X488" s="1487">
        <v>58.96</v>
      </c>
      <c r="Y488" s="1487">
        <f>91.83+13.92</f>
        <v>105.75</v>
      </c>
      <c r="Z488" s="1487">
        <v>578.02</v>
      </c>
      <c r="AA488" s="1487">
        <v>272.48</v>
      </c>
      <c r="AB488" s="1489"/>
      <c r="AF488" s="395"/>
      <c r="AG488" s="395"/>
      <c r="AH488" s="395"/>
    </row>
    <row r="489" spans="1:34">
      <c r="A489" s="1997" t="s">
        <v>2184</v>
      </c>
      <c r="B489" s="583" t="s">
        <v>7460</v>
      </c>
      <c r="C489" s="583"/>
      <c r="D489" s="583"/>
      <c r="E489" s="583"/>
      <c r="F489" s="583"/>
      <c r="G489" s="583"/>
      <c r="H489" s="397" t="s">
        <v>1109</v>
      </c>
      <c r="I489" s="397"/>
      <c r="J489" s="397"/>
      <c r="K489" s="397"/>
      <c r="L489" s="1998"/>
      <c r="M489" s="1487"/>
      <c r="N489" s="1487"/>
      <c r="O489" s="1487"/>
      <c r="P489" s="1487"/>
      <c r="Q489" s="1487"/>
      <c r="R489" s="1487"/>
      <c r="S489" s="1487"/>
      <c r="T489" s="1487">
        <v>568.95000000000005</v>
      </c>
      <c r="U489" s="1487">
        <v>433.94</v>
      </c>
      <c r="V489" s="1487">
        <v>526.28</v>
      </c>
      <c r="W489" s="1487">
        <v>648.69000000000005</v>
      </c>
      <c r="X489" s="1487">
        <f>127.5</f>
        <v>127.5</v>
      </c>
      <c r="Y489" s="1487">
        <v>733.5</v>
      </c>
      <c r="Z489" s="1487"/>
      <c r="AA489" s="1487">
        <v>20.399999999999999</v>
      </c>
      <c r="AB489" s="1489"/>
      <c r="AF489" s="395"/>
      <c r="AG489" s="395"/>
      <c r="AH489" s="395"/>
    </row>
    <row r="490" spans="1:34">
      <c r="A490" s="1997" t="s">
        <v>2275</v>
      </c>
      <c r="B490" s="583"/>
      <c r="C490" s="583"/>
      <c r="D490" s="583"/>
      <c r="E490" s="583"/>
      <c r="F490" s="583"/>
      <c r="G490" s="583"/>
      <c r="H490" s="397" t="s">
        <v>1111</v>
      </c>
      <c r="I490" s="397"/>
      <c r="J490" s="397"/>
      <c r="K490" s="397"/>
      <c r="L490" s="1998"/>
      <c r="M490" s="1487"/>
      <c r="N490" s="1487"/>
      <c r="O490" s="1487"/>
      <c r="P490" s="1487"/>
      <c r="Q490" s="1487"/>
      <c r="R490" s="1487"/>
      <c r="S490" s="1487"/>
      <c r="T490" s="1487">
        <v>20.41</v>
      </c>
      <c r="U490" s="1487">
        <v>20.49</v>
      </c>
      <c r="V490" s="1487">
        <v>77.19</v>
      </c>
      <c r="W490" s="1487">
        <v>133.13</v>
      </c>
      <c r="X490" s="1487">
        <v>106.95</v>
      </c>
      <c r="Y490" s="1487">
        <v>448.17</v>
      </c>
      <c r="Z490" s="1487"/>
      <c r="AA490" s="1487"/>
      <c r="AB490" s="1489"/>
      <c r="AF490" s="395"/>
      <c r="AG490" s="395"/>
      <c r="AH490" s="395"/>
    </row>
    <row r="491" spans="1:34">
      <c r="A491" s="1997" t="s">
        <v>2276</v>
      </c>
      <c r="B491" s="583" t="s">
        <v>7461</v>
      </c>
      <c r="C491" s="583"/>
      <c r="D491" s="583"/>
      <c r="E491" s="583"/>
      <c r="F491" s="583"/>
      <c r="G491" s="583"/>
      <c r="H491" s="397" t="s">
        <v>1113</v>
      </c>
      <c r="I491" s="397"/>
      <c r="J491" s="397"/>
      <c r="K491" s="397"/>
      <c r="L491" s="1998"/>
      <c r="M491" s="1487"/>
      <c r="N491" s="1487"/>
      <c r="O491" s="1487"/>
      <c r="P491" s="1487"/>
      <c r="Q491" s="1487"/>
      <c r="R491" s="1487"/>
      <c r="S491" s="1487"/>
      <c r="T491" s="1487">
        <v>1716.82</v>
      </c>
      <c r="U491" s="1487">
        <v>1795.82</v>
      </c>
      <c r="V491" s="1487">
        <v>1817.16</v>
      </c>
      <c r="W491" s="1487">
        <f>1774.67+65</f>
        <v>1839.67</v>
      </c>
      <c r="X491" s="1487">
        <f>589.9+1262.98</f>
        <v>1852.88</v>
      </c>
      <c r="Y491" s="1487">
        <f>1283.65+594.8</f>
        <v>1878.45</v>
      </c>
      <c r="Z491" s="1487">
        <v>1227.93</v>
      </c>
      <c r="AA491" s="1487">
        <v>1175.72</v>
      </c>
      <c r="AB491" s="1489"/>
      <c r="AF491" s="395"/>
      <c r="AG491" s="395"/>
      <c r="AH491" s="395"/>
    </row>
    <row r="492" spans="1:34">
      <c r="A492" s="1997" t="s">
        <v>2277</v>
      </c>
      <c r="B492" s="583" t="s">
        <v>7462</v>
      </c>
      <c r="C492" s="583"/>
      <c r="D492" s="583"/>
      <c r="E492" s="583"/>
      <c r="F492" s="583"/>
      <c r="G492" s="583"/>
      <c r="H492" s="397" t="s">
        <v>1847</v>
      </c>
      <c r="I492" s="397"/>
      <c r="J492" s="397"/>
      <c r="K492" s="397"/>
      <c r="L492" s="1998"/>
      <c r="M492" s="1487"/>
      <c r="N492" s="1487"/>
      <c r="O492" s="1487"/>
      <c r="P492" s="1487"/>
      <c r="Q492" s="1487"/>
      <c r="R492" s="1487"/>
      <c r="S492" s="1487"/>
      <c r="T492" s="1487">
        <v>487</v>
      </c>
      <c r="U492" s="1487">
        <v>659.65</v>
      </c>
      <c r="V492" s="1487">
        <v>566.27</v>
      </c>
      <c r="W492" s="1487">
        <v>354.99</v>
      </c>
      <c r="X492" s="1487">
        <v>381.41</v>
      </c>
      <c r="Y492" s="1487">
        <v>711.41</v>
      </c>
      <c r="Z492" s="1487">
        <v>49.59</v>
      </c>
      <c r="AA492" s="1487">
        <v>74.38</v>
      </c>
      <c r="AB492" s="1489"/>
      <c r="AF492" s="395"/>
      <c r="AG492" s="395"/>
      <c r="AH492" s="395"/>
    </row>
    <row r="493" spans="1:34">
      <c r="A493" s="1997" t="s">
        <v>2278</v>
      </c>
      <c r="B493" s="583" t="s">
        <v>7463</v>
      </c>
      <c r="C493" s="583"/>
      <c r="D493" s="583"/>
      <c r="E493" s="583"/>
      <c r="F493" s="583"/>
      <c r="G493" s="583"/>
      <c r="H493" s="397" t="s">
        <v>1849</v>
      </c>
      <c r="I493" s="397"/>
      <c r="J493" s="397"/>
      <c r="K493" s="397"/>
      <c r="L493" s="1998"/>
      <c r="M493" s="1487"/>
      <c r="N493" s="1487"/>
      <c r="O493" s="1487"/>
      <c r="P493" s="1487"/>
      <c r="Q493" s="1487"/>
      <c r="R493" s="1487"/>
      <c r="S493" s="1487"/>
      <c r="T493" s="1487">
        <v>610.66999999999996</v>
      </c>
      <c r="U493" s="1487">
        <v>609.54</v>
      </c>
      <c r="V493" s="1487">
        <v>709.77</v>
      </c>
      <c r="W493" s="1487">
        <v>579</v>
      </c>
      <c r="X493" s="1487">
        <v>573.82000000000005</v>
      </c>
      <c r="Y493" s="1487">
        <v>521.99</v>
      </c>
      <c r="Z493" s="1487">
        <v>39.96</v>
      </c>
      <c r="AA493" s="1487">
        <v>592.21</v>
      </c>
      <c r="AB493" s="1489"/>
      <c r="AF493" s="395"/>
      <c r="AG493" s="395"/>
      <c r="AH493" s="395"/>
    </row>
    <row r="494" spans="1:34">
      <c r="A494" s="1997" t="s">
        <v>7470</v>
      </c>
      <c r="B494" s="583"/>
      <c r="C494" s="583"/>
      <c r="D494" s="583"/>
      <c r="E494" s="583"/>
      <c r="F494" s="583"/>
      <c r="G494" s="583"/>
      <c r="H494" s="397" t="s">
        <v>1089</v>
      </c>
      <c r="I494" s="397"/>
      <c r="J494" s="397"/>
      <c r="K494" s="397"/>
      <c r="L494" s="1998"/>
      <c r="M494" s="1487"/>
      <c r="N494" s="1487"/>
      <c r="O494" s="1487"/>
      <c r="P494" s="1487"/>
      <c r="Q494" s="1487"/>
      <c r="R494" s="1487"/>
      <c r="S494" s="1487"/>
      <c r="T494" s="1487">
        <v>1806.2</v>
      </c>
      <c r="U494" s="1487">
        <v>1955.65</v>
      </c>
      <c r="V494" s="1487">
        <v>3197.71</v>
      </c>
      <c r="W494" s="1487">
        <v>3100</v>
      </c>
      <c r="X494" s="1487">
        <v>2775.03</v>
      </c>
      <c r="Y494" s="1487">
        <v>3519.01</v>
      </c>
      <c r="Z494" s="1487"/>
      <c r="AA494" s="1487"/>
      <c r="AB494" s="1489"/>
      <c r="AF494" s="395"/>
      <c r="AG494" s="395"/>
      <c r="AH494" s="395"/>
    </row>
    <row r="495" spans="1:34">
      <c r="A495" s="1997" t="s">
        <v>2279</v>
      </c>
      <c r="B495" s="583" t="s">
        <v>7464</v>
      </c>
      <c r="C495" s="583"/>
      <c r="D495" s="583"/>
      <c r="E495" s="583"/>
      <c r="F495" s="583"/>
      <c r="G495" s="583"/>
      <c r="H495" s="397" t="s">
        <v>1096</v>
      </c>
      <c r="I495" s="397"/>
      <c r="J495" s="397"/>
      <c r="K495" s="397"/>
      <c r="L495" s="1998"/>
      <c r="M495" s="1487"/>
      <c r="N495" s="1487"/>
      <c r="O495" s="1487"/>
      <c r="P495" s="1487"/>
      <c r="Q495" s="1487"/>
      <c r="R495" s="1487"/>
      <c r="S495" s="1487"/>
      <c r="T495" s="1487">
        <v>64.02</v>
      </c>
      <c r="U495" s="1487">
        <v>67.599999999999994</v>
      </c>
      <c r="V495" s="1487">
        <v>51.15</v>
      </c>
      <c r="W495" s="1487">
        <f>117.65+135.8</f>
        <v>253.45000000000002</v>
      </c>
      <c r="X495" s="1487">
        <v>415</v>
      </c>
      <c r="Y495" s="1487"/>
      <c r="Z495" s="1487">
        <v>130</v>
      </c>
      <c r="AA495" s="1487"/>
      <c r="AB495" s="1489"/>
      <c r="AF495" s="395"/>
      <c r="AG495" s="395"/>
      <c r="AH495" s="395"/>
    </row>
    <row r="496" spans="1:34">
      <c r="A496" s="1997" t="s">
        <v>2280</v>
      </c>
      <c r="B496" s="583"/>
      <c r="C496" s="583"/>
      <c r="D496" s="583"/>
      <c r="E496" s="583"/>
      <c r="F496" s="583"/>
      <c r="G496" s="583"/>
      <c r="H496" s="397" t="s">
        <v>2281</v>
      </c>
      <c r="I496" s="397"/>
      <c r="J496" s="397"/>
      <c r="K496" s="397"/>
      <c r="L496" s="1998"/>
      <c r="M496" s="1487"/>
      <c r="N496" s="1487"/>
      <c r="O496" s="1487"/>
      <c r="P496" s="1487"/>
      <c r="Q496" s="1487"/>
      <c r="R496" s="1487"/>
      <c r="S496" s="1487"/>
      <c r="T496" s="1487"/>
      <c r="U496" s="1487">
        <v>64.45</v>
      </c>
      <c r="V496" s="1487"/>
      <c r="W496" s="1487">
        <v>97.99</v>
      </c>
      <c r="X496" s="1487"/>
      <c r="Y496" s="1487"/>
      <c r="Z496" s="1487"/>
      <c r="AA496" s="1487"/>
      <c r="AB496" s="1489"/>
      <c r="AF496" s="395"/>
      <c r="AG496" s="395"/>
      <c r="AH496" s="395"/>
    </row>
    <row r="497" spans="1:34">
      <c r="A497" s="1997" t="s">
        <v>2282</v>
      </c>
      <c r="B497" s="583"/>
      <c r="C497" s="583"/>
      <c r="D497" s="583"/>
      <c r="E497" s="583"/>
      <c r="F497" s="583"/>
      <c r="G497" s="583"/>
      <c r="H497" s="397" t="s">
        <v>1100</v>
      </c>
      <c r="I497" s="397"/>
      <c r="J497" s="397"/>
      <c r="K497" s="397"/>
      <c r="L497" s="1998"/>
      <c r="M497" s="1487"/>
      <c r="N497" s="1487"/>
      <c r="O497" s="1487"/>
      <c r="P497" s="1487"/>
      <c r="Q497" s="1487"/>
      <c r="R497" s="1487"/>
      <c r="S497" s="1487"/>
      <c r="T497" s="1487">
        <v>1785.36</v>
      </c>
      <c r="U497" s="1487">
        <v>1562.03</v>
      </c>
      <c r="V497" s="1487">
        <v>440.73</v>
      </c>
      <c r="W497" s="1487">
        <v>336.51</v>
      </c>
      <c r="X497" s="1487">
        <v>86.67</v>
      </c>
      <c r="Y497" s="1487"/>
      <c r="Z497" s="1487"/>
      <c r="AA497" s="1487"/>
      <c r="AB497" s="1489"/>
      <c r="AF497" s="395"/>
      <c r="AG497" s="395"/>
      <c r="AH497" s="395"/>
    </row>
    <row r="498" spans="1:34">
      <c r="A498" s="1997" t="s">
        <v>2283</v>
      </c>
      <c r="B498" s="583" t="s">
        <v>7465</v>
      </c>
      <c r="C498" s="583"/>
      <c r="D498" s="583"/>
      <c r="E498" s="583"/>
      <c r="F498" s="583"/>
      <c r="G498" s="583"/>
      <c r="H498" s="397" t="s">
        <v>1102</v>
      </c>
      <c r="I498" s="397"/>
      <c r="J498" s="397"/>
      <c r="K498" s="397"/>
      <c r="L498" s="1998"/>
      <c r="M498" s="1487"/>
      <c r="N498" s="1487"/>
      <c r="O498" s="1487"/>
      <c r="P498" s="1487"/>
      <c r="Q498" s="1487"/>
      <c r="R498" s="1487"/>
      <c r="S498" s="1487"/>
      <c r="T498" s="1487">
        <v>164.53</v>
      </c>
      <c r="U498" s="1487">
        <v>202.14</v>
      </c>
      <c r="V498" s="1487">
        <v>122.75</v>
      </c>
      <c r="W498" s="1487">
        <v>180.52</v>
      </c>
      <c r="X498" s="1487">
        <v>612.29</v>
      </c>
      <c r="Y498" s="1487">
        <f>589.35+16.53</f>
        <v>605.88</v>
      </c>
      <c r="Z498" s="1487">
        <v>817.47</v>
      </c>
      <c r="AA498" s="1487"/>
      <c r="AB498" s="1489"/>
      <c r="AF498" s="395"/>
      <c r="AG498" s="395"/>
      <c r="AH498" s="395"/>
    </row>
    <row r="499" spans="1:34">
      <c r="A499" s="1997"/>
      <c r="B499" s="583" t="s">
        <v>8097</v>
      </c>
      <c r="C499" s="583"/>
      <c r="D499" s="583"/>
      <c r="E499" s="583"/>
      <c r="F499" s="583"/>
      <c r="G499" s="583"/>
      <c r="H499" s="397" t="s">
        <v>8098</v>
      </c>
      <c r="I499" s="397"/>
      <c r="J499" s="397"/>
      <c r="K499" s="397"/>
      <c r="L499" s="1998"/>
      <c r="M499" s="1487"/>
      <c r="N499" s="1487"/>
      <c r="O499" s="1487"/>
      <c r="P499" s="1487"/>
      <c r="Q499" s="1487"/>
      <c r="R499" s="1487"/>
      <c r="S499" s="1487"/>
      <c r="T499" s="1487"/>
      <c r="U499" s="1487"/>
      <c r="V499" s="1487"/>
      <c r="W499" s="1487"/>
      <c r="X499" s="1487"/>
      <c r="Y499" s="1487"/>
      <c r="Z499" s="1487"/>
      <c r="AA499" s="1487">
        <v>2296.6799999999998</v>
      </c>
      <c r="AB499" s="1489"/>
      <c r="AF499" s="395"/>
      <c r="AG499" s="395"/>
      <c r="AH499" s="395"/>
    </row>
    <row r="500" spans="1:34">
      <c r="A500" s="1997" t="s">
        <v>2284</v>
      </c>
      <c r="B500" s="583" t="s">
        <v>7466</v>
      </c>
      <c r="C500" s="583"/>
      <c r="D500" s="583"/>
      <c r="E500" s="583"/>
      <c r="F500" s="583"/>
      <c r="G500" s="583"/>
      <c r="H500" s="397" t="s">
        <v>7403</v>
      </c>
      <c r="I500" s="397"/>
      <c r="J500" s="397"/>
      <c r="K500" s="397"/>
      <c r="L500" s="1998"/>
      <c r="M500" s="1487"/>
      <c r="N500" s="1487"/>
      <c r="O500" s="1487"/>
      <c r="P500" s="1487"/>
      <c r="Q500" s="1487"/>
      <c r="R500" s="1487"/>
      <c r="S500" s="1487"/>
      <c r="T500" s="1487"/>
      <c r="U500" s="1487"/>
      <c r="V500" s="1487"/>
      <c r="W500" s="1487">
        <v>818.4</v>
      </c>
      <c r="X500" s="1487">
        <v>5739.12</v>
      </c>
      <c r="Y500" s="1487">
        <v>3460.96</v>
      </c>
      <c r="Z500" s="1487">
        <v>4263</v>
      </c>
      <c r="AA500" s="1487">
        <v>4219.29</v>
      </c>
      <c r="AB500" s="1489"/>
      <c r="AF500" s="395"/>
      <c r="AG500" s="395"/>
      <c r="AH500" s="395"/>
    </row>
    <row r="501" spans="1:34">
      <c r="A501" s="1997" t="s">
        <v>2285</v>
      </c>
      <c r="B501" s="583" t="s">
        <v>7451</v>
      </c>
      <c r="C501" s="583"/>
      <c r="D501" s="583"/>
      <c r="E501" s="583"/>
      <c r="F501" s="583"/>
      <c r="G501" s="583"/>
      <c r="H501" s="397" t="s">
        <v>7467</v>
      </c>
      <c r="I501" s="397"/>
      <c r="J501" s="397"/>
      <c r="K501" s="397"/>
      <c r="L501" s="1998"/>
      <c r="M501" s="1487"/>
      <c r="N501" s="1487"/>
      <c r="O501" s="1487"/>
      <c r="P501" s="1487"/>
      <c r="Q501" s="1487"/>
      <c r="R501" s="1487"/>
      <c r="S501" s="1487"/>
      <c r="T501" s="1487">
        <v>752</v>
      </c>
      <c r="U501" s="1487">
        <v>588.78</v>
      </c>
      <c r="V501" s="1487">
        <v>898.88</v>
      </c>
      <c r="W501" s="1487">
        <v>701.32</v>
      </c>
      <c r="X501" s="1487"/>
      <c r="Y501" s="1487">
        <v>518.63</v>
      </c>
      <c r="Z501" s="395"/>
      <c r="AA501" s="1487"/>
      <c r="AB501" s="1489"/>
      <c r="AF501" s="395"/>
      <c r="AG501" s="395"/>
      <c r="AH501" s="395"/>
    </row>
    <row r="502" spans="1:34">
      <c r="A502" s="1997" t="s">
        <v>2287</v>
      </c>
      <c r="B502" s="583"/>
      <c r="C502" s="583"/>
      <c r="D502" s="583"/>
      <c r="E502" s="583"/>
      <c r="F502" s="583"/>
      <c r="G502" s="583"/>
      <c r="H502" s="397" t="s">
        <v>2288</v>
      </c>
      <c r="I502" s="397"/>
      <c r="J502" s="397"/>
      <c r="K502" s="397"/>
      <c r="L502" s="1998"/>
      <c r="M502" s="1487">
        <v>1715.74</v>
      </c>
      <c r="N502" s="1487">
        <v>1918.95</v>
      </c>
      <c r="O502" s="1487">
        <v>1395</v>
      </c>
      <c r="P502" s="1487">
        <v>1902.54</v>
      </c>
      <c r="Q502" s="1487">
        <v>3528.11</v>
      </c>
      <c r="R502" s="1487">
        <v>4783.1899999999996</v>
      </c>
      <c r="S502" s="1487">
        <v>5042.3900000000003</v>
      </c>
      <c r="T502" s="1487"/>
      <c r="U502" s="1487"/>
      <c r="V502" s="1487"/>
      <c r="W502" s="1487"/>
      <c r="X502" s="1487"/>
      <c r="Y502" s="1487"/>
      <c r="Z502" s="1487"/>
      <c r="AA502" s="1487"/>
      <c r="AB502" s="1489"/>
      <c r="AF502" s="395"/>
      <c r="AG502" s="395"/>
      <c r="AH502" s="395"/>
    </row>
    <row r="503" spans="1:34">
      <c r="A503" s="1997" t="s">
        <v>2289</v>
      </c>
      <c r="B503" s="583"/>
      <c r="C503" s="583"/>
      <c r="D503" s="583"/>
      <c r="E503" s="583"/>
      <c r="F503" s="583"/>
      <c r="G503" s="583"/>
      <c r="H503" s="397" t="s">
        <v>1111</v>
      </c>
      <c r="I503" s="397"/>
      <c r="J503" s="397"/>
      <c r="K503" s="397"/>
      <c r="L503" s="1998"/>
      <c r="M503" s="1487">
        <v>620.48</v>
      </c>
      <c r="N503" s="1487">
        <v>253.71</v>
      </c>
      <c r="O503" s="1487">
        <v>410.09</v>
      </c>
      <c r="P503" s="1487">
        <v>366.38</v>
      </c>
      <c r="Q503" s="1487">
        <v>72.61</v>
      </c>
      <c r="R503" s="1487">
        <v>66.53</v>
      </c>
      <c r="S503" s="1487">
        <v>69.09</v>
      </c>
      <c r="T503" s="1487"/>
      <c r="U503" s="1487"/>
      <c r="V503" s="1487"/>
      <c r="W503" s="1487"/>
      <c r="X503" s="1487"/>
      <c r="Y503" s="1487"/>
      <c r="Z503" s="1487"/>
      <c r="AA503" s="1487"/>
      <c r="AB503" s="1489"/>
      <c r="AF503" s="395"/>
      <c r="AG503" s="395"/>
      <c r="AH503" s="395"/>
    </row>
    <row r="504" spans="1:34">
      <c r="A504" s="1997" t="s">
        <v>2290</v>
      </c>
      <c r="B504" s="583"/>
      <c r="C504" s="583"/>
      <c r="D504" s="583"/>
      <c r="E504" s="583"/>
      <c r="F504" s="583"/>
      <c r="G504" s="583"/>
      <c r="H504" s="397" t="s">
        <v>2291</v>
      </c>
      <c r="I504" s="397"/>
      <c r="J504" s="397"/>
      <c r="K504" s="397"/>
      <c r="L504" s="1998"/>
      <c r="M504" s="1487">
        <v>50</v>
      </c>
      <c r="N504" s="1487">
        <v>0</v>
      </c>
      <c r="O504" s="1487">
        <v>0</v>
      </c>
      <c r="P504" s="1487">
        <v>0</v>
      </c>
      <c r="Q504" s="1487">
        <v>0</v>
      </c>
      <c r="R504" s="1487">
        <v>0</v>
      </c>
      <c r="S504" s="1487">
        <v>0</v>
      </c>
      <c r="T504" s="1487"/>
      <c r="U504" s="1487"/>
      <c r="V504" s="1487"/>
      <c r="W504" s="1487"/>
      <c r="X504" s="1487"/>
      <c r="Y504" s="1487"/>
      <c r="Z504" s="1487"/>
      <c r="AA504" s="1487"/>
      <c r="AB504" s="1489"/>
      <c r="AF504" s="395"/>
      <c r="AG504" s="395"/>
      <c r="AH504" s="395"/>
    </row>
    <row r="505" spans="1:34">
      <c r="A505" s="1997" t="s">
        <v>2292</v>
      </c>
      <c r="B505" s="583"/>
      <c r="C505" s="583"/>
      <c r="D505" s="583"/>
      <c r="E505" s="583"/>
      <c r="F505" s="583"/>
      <c r="G505" s="583"/>
      <c r="H505" s="397" t="s">
        <v>1096</v>
      </c>
      <c r="I505" s="397"/>
      <c r="J505" s="397"/>
      <c r="K505" s="397"/>
      <c r="L505" s="1998"/>
      <c r="M505" s="1487">
        <v>659.37</v>
      </c>
      <c r="N505" s="1487">
        <v>857.94</v>
      </c>
      <c r="O505" s="1487">
        <v>681.86</v>
      </c>
      <c r="P505" s="1487">
        <v>1019.5</v>
      </c>
      <c r="Q505" s="1487">
        <v>663.23</v>
      </c>
      <c r="R505" s="1487">
        <v>439</v>
      </c>
      <c r="S505" s="1487">
        <v>127.96</v>
      </c>
      <c r="T505" s="1487"/>
      <c r="U505" s="1487"/>
      <c r="V505" s="1487"/>
      <c r="W505" s="1487"/>
      <c r="X505" s="1487"/>
      <c r="Y505" s="1487"/>
      <c r="Z505" s="1487"/>
      <c r="AA505" s="1487"/>
      <c r="AB505" s="1489"/>
      <c r="AF505" s="395"/>
      <c r="AG505" s="395"/>
      <c r="AH505" s="395"/>
    </row>
    <row r="506" spans="1:34">
      <c r="A506" s="1997" t="s">
        <v>2293</v>
      </c>
      <c r="B506" s="583"/>
      <c r="C506" s="583"/>
      <c r="D506" s="583"/>
      <c r="E506" s="583"/>
      <c r="F506" s="583"/>
      <c r="G506" s="583"/>
      <c r="H506" s="397" t="s">
        <v>1130</v>
      </c>
      <c r="I506" s="397"/>
      <c r="J506" s="397"/>
      <c r="K506" s="397"/>
      <c r="L506" s="1998"/>
      <c r="M506" s="1487">
        <v>309.77999999999997</v>
      </c>
      <c r="N506" s="1487">
        <v>855.68</v>
      </c>
      <c r="O506" s="1487">
        <v>683.33</v>
      </c>
      <c r="P506" s="1487">
        <v>2468.34</v>
      </c>
      <c r="Q506" s="1487">
        <v>1049.4000000000001</v>
      </c>
      <c r="R506" s="1487">
        <v>2651.61</v>
      </c>
      <c r="S506" s="1487">
        <v>1590.1</v>
      </c>
      <c r="T506" s="1487"/>
      <c r="U506" s="1487"/>
      <c r="V506" s="1487"/>
      <c r="W506" s="1487"/>
      <c r="X506" s="1487"/>
      <c r="Y506" s="1487"/>
      <c r="Z506" s="1487"/>
      <c r="AA506" s="1487"/>
      <c r="AB506" s="1489"/>
      <c r="AF506" s="395"/>
      <c r="AG506" s="395"/>
      <c r="AH506" s="395"/>
    </row>
    <row r="507" spans="1:34">
      <c r="A507" s="1997" t="s">
        <v>2294</v>
      </c>
      <c r="B507" s="583"/>
      <c r="C507" s="583"/>
      <c r="D507" s="583"/>
      <c r="E507" s="583"/>
      <c r="F507" s="583"/>
      <c r="G507" s="583"/>
      <c r="H507" s="397" t="s">
        <v>1100</v>
      </c>
      <c r="I507" s="397"/>
      <c r="J507" s="397"/>
      <c r="K507" s="397"/>
      <c r="L507" s="1998"/>
      <c r="M507" s="1487">
        <v>75</v>
      </c>
      <c r="N507" s="1487">
        <v>75</v>
      </c>
      <c r="O507" s="1487">
        <v>75</v>
      </c>
      <c r="P507" s="1487">
        <v>75</v>
      </c>
      <c r="Q507" s="1487">
        <v>75</v>
      </c>
      <c r="R507" s="1487">
        <v>0</v>
      </c>
      <c r="S507" s="1487">
        <v>0</v>
      </c>
      <c r="T507" s="1487"/>
      <c r="U507" s="1487"/>
      <c r="V507" s="1487"/>
      <c r="W507" s="1487"/>
      <c r="X507" s="1487"/>
      <c r="Y507" s="1487"/>
      <c r="Z507" s="1487"/>
      <c r="AA507" s="1487"/>
      <c r="AB507" s="1489"/>
      <c r="AF507" s="395"/>
      <c r="AG507" s="395"/>
      <c r="AH507" s="395"/>
    </row>
    <row r="508" spans="1:34">
      <c r="A508" s="1997" t="s">
        <v>2295</v>
      </c>
      <c r="B508" s="583"/>
      <c r="C508" s="583"/>
      <c r="D508" s="583"/>
      <c r="E508" s="583"/>
      <c r="F508" s="583"/>
      <c r="G508" s="583"/>
      <c r="H508" s="397" t="s">
        <v>1100</v>
      </c>
      <c r="I508" s="397"/>
      <c r="J508" s="397"/>
      <c r="K508" s="397"/>
      <c r="L508" s="1998"/>
      <c r="M508" s="1487">
        <v>758.8</v>
      </c>
      <c r="N508" s="1487">
        <v>1740.2</v>
      </c>
      <c r="O508" s="1487">
        <v>1555.38</v>
      </c>
      <c r="P508" s="1487">
        <v>734.77</v>
      </c>
      <c r="Q508" s="1487">
        <v>1043.4100000000001</v>
      </c>
      <c r="R508" s="1487">
        <v>1073.4000000000001</v>
      </c>
      <c r="S508" s="1487">
        <v>1366.6</v>
      </c>
      <c r="T508" s="1487"/>
      <c r="U508" s="1487"/>
      <c r="V508" s="1487"/>
      <c r="W508" s="1487"/>
      <c r="X508" s="1487"/>
      <c r="Y508" s="1487"/>
      <c r="Z508" s="1487"/>
      <c r="AA508" s="1487"/>
      <c r="AB508" s="1489"/>
      <c r="AF508" s="395"/>
      <c r="AG508" s="395"/>
      <c r="AH508" s="395"/>
    </row>
    <row r="509" spans="1:34">
      <c r="A509" s="1997" t="s">
        <v>2296</v>
      </c>
      <c r="B509" s="583"/>
      <c r="C509" s="583"/>
      <c r="D509" s="583"/>
      <c r="E509" s="583"/>
      <c r="F509" s="583"/>
      <c r="G509" s="583"/>
      <c r="H509" s="397" t="s">
        <v>1102</v>
      </c>
      <c r="I509" s="397"/>
      <c r="J509" s="397"/>
      <c r="K509" s="397"/>
      <c r="L509" s="1998"/>
      <c r="M509" s="1487">
        <v>797.03</v>
      </c>
      <c r="N509" s="1487">
        <v>943.79</v>
      </c>
      <c r="O509" s="1487">
        <v>848.33</v>
      </c>
      <c r="P509" s="1487">
        <v>646.66</v>
      </c>
      <c r="Q509" s="1487">
        <v>597.6</v>
      </c>
      <c r="R509" s="1487">
        <v>829.62</v>
      </c>
      <c r="S509" s="1487">
        <v>371.49</v>
      </c>
      <c r="T509" s="1487"/>
      <c r="U509" s="1487"/>
      <c r="V509" s="1487"/>
      <c r="W509" s="1487"/>
      <c r="X509" s="1487"/>
      <c r="Y509" s="1487"/>
      <c r="Z509" s="1487"/>
      <c r="AA509" s="1487"/>
      <c r="AB509" s="1489"/>
      <c r="AF509" s="395"/>
      <c r="AG509" s="395"/>
      <c r="AH509" s="395"/>
    </row>
    <row r="510" spans="1:34">
      <c r="A510" s="1997" t="s">
        <v>2297</v>
      </c>
      <c r="B510" s="583"/>
      <c r="C510" s="583"/>
      <c r="D510" s="583"/>
      <c r="E510" s="583"/>
      <c r="F510" s="583"/>
      <c r="G510" s="583"/>
      <c r="H510" s="397" t="s">
        <v>1138</v>
      </c>
      <c r="I510" s="397"/>
      <c r="J510" s="397"/>
      <c r="K510" s="397"/>
      <c r="L510" s="1998"/>
      <c r="M510" s="1487">
        <v>71.06</v>
      </c>
      <c r="N510" s="1487">
        <v>214.88</v>
      </c>
      <c r="O510" s="1487">
        <v>267.04000000000002</v>
      </c>
      <c r="P510" s="1487">
        <v>270.31</v>
      </c>
      <c r="Q510" s="1487">
        <v>274.31</v>
      </c>
      <c r="R510" s="1487">
        <v>472.38</v>
      </c>
      <c r="S510" s="1487">
        <v>578.29999999999995</v>
      </c>
      <c r="T510" s="1487"/>
      <c r="U510" s="1487"/>
      <c r="V510" s="1487"/>
      <c r="W510" s="1487"/>
      <c r="X510" s="1487"/>
      <c r="Y510" s="1487"/>
      <c r="Z510" s="1487"/>
      <c r="AA510" s="1487"/>
      <c r="AB510" s="1489"/>
      <c r="AF510" s="395"/>
      <c r="AG510" s="395"/>
      <c r="AH510" s="395"/>
    </row>
    <row r="511" spans="1:34">
      <c r="A511" s="1997" t="s">
        <v>2298</v>
      </c>
      <c r="B511" s="583"/>
      <c r="C511" s="583"/>
      <c r="D511" s="583"/>
      <c r="E511" s="583"/>
      <c r="F511" s="583"/>
      <c r="G511" s="583"/>
      <c r="H511" s="397" t="s">
        <v>2299</v>
      </c>
      <c r="I511" s="397"/>
      <c r="J511" s="397"/>
      <c r="K511" s="397"/>
      <c r="L511" s="1998"/>
      <c r="M511" s="1487">
        <v>447.7</v>
      </c>
      <c r="N511" s="1487">
        <v>151.25</v>
      </c>
      <c r="O511" s="1487">
        <v>151.25</v>
      </c>
      <c r="P511" s="1487">
        <v>0</v>
      </c>
      <c r="Q511" s="1487">
        <v>605</v>
      </c>
      <c r="R511" s="1487">
        <v>726</v>
      </c>
      <c r="S511" s="1487">
        <v>0</v>
      </c>
      <c r="T511" s="1487"/>
      <c r="U511" s="1487"/>
      <c r="V511" s="1487"/>
      <c r="W511" s="1487"/>
      <c r="X511" s="1487"/>
      <c r="Y511" s="1487"/>
      <c r="Z511" s="1487"/>
      <c r="AA511" s="1487"/>
      <c r="AB511" s="1489"/>
      <c r="AF511" s="395"/>
      <c r="AG511" s="395"/>
      <c r="AH511" s="395"/>
    </row>
    <row r="512" spans="1:34">
      <c r="A512" s="1997" t="s">
        <v>2300</v>
      </c>
      <c r="B512" s="583"/>
      <c r="C512" s="583"/>
      <c r="D512" s="583"/>
      <c r="E512" s="583"/>
      <c r="F512" s="583"/>
      <c r="G512" s="583"/>
      <c r="H512" s="397" t="s">
        <v>1115</v>
      </c>
      <c r="I512" s="397"/>
      <c r="J512" s="397"/>
      <c r="K512" s="397"/>
      <c r="L512" s="1998"/>
      <c r="M512" s="1487">
        <v>245</v>
      </c>
      <c r="N512" s="1487">
        <v>155</v>
      </c>
      <c r="O512" s="1487">
        <v>350</v>
      </c>
      <c r="P512" s="1487">
        <v>515.75</v>
      </c>
      <c r="Q512" s="1487">
        <v>316.79000000000002</v>
      </c>
      <c r="R512" s="1487">
        <v>130</v>
      </c>
      <c r="S512" s="1487">
        <v>290</v>
      </c>
      <c r="T512" s="1487"/>
      <c r="U512" s="1487"/>
      <c r="V512" s="1487"/>
      <c r="W512" s="1487"/>
      <c r="X512" s="1487"/>
      <c r="Y512" s="1487"/>
      <c r="Z512" s="1487"/>
      <c r="AA512" s="1487"/>
      <c r="AB512" s="1489"/>
      <c r="AF512" s="395"/>
      <c r="AG512" s="395"/>
      <c r="AH512" s="395"/>
    </row>
    <row r="513" spans="1:34">
      <c r="A513" s="1997" t="s">
        <v>2301</v>
      </c>
      <c r="B513" s="583"/>
      <c r="C513" s="583"/>
      <c r="D513" s="583"/>
      <c r="E513" s="583"/>
      <c r="F513" s="583"/>
      <c r="G513" s="583"/>
      <c r="H513" s="397" t="s">
        <v>1098</v>
      </c>
      <c r="I513" s="397"/>
      <c r="J513" s="397"/>
      <c r="K513" s="397"/>
      <c r="L513" s="1998"/>
      <c r="M513" s="1487">
        <v>281.19</v>
      </c>
      <c r="N513" s="1487">
        <v>680.12</v>
      </c>
      <c r="O513" s="1487">
        <v>452.43</v>
      </c>
      <c r="P513" s="1487">
        <v>449.17</v>
      </c>
      <c r="Q513" s="1487">
        <v>413.06</v>
      </c>
      <c r="R513" s="1487">
        <v>623.05999999999995</v>
      </c>
      <c r="S513" s="1487">
        <v>610.70000000000005</v>
      </c>
      <c r="T513" s="1487"/>
      <c r="U513" s="1487"/>
      <c r="V513" s="1487"/>
      <c r="W513" s="1487"/>
      <c r="X513" s="1487"/>
      <c r="Y513" s="1487"/>
      <c r="Z513" s="1487"/>
      <c r="AA513" s="1487"/>
      <c r="AB513" s="1489"/>
      <c r="AF513" s="395"/>
      <c r="AG513" s="395"/>
      <c r="AH513" s="395"/>
    </row>
    <row r="514" spans="1:34">
      <c r="A514" s="1997" t="s">
        <v>2302</v>
      </c>
      <c r="B514" s="583"/>
      <c r="C514" s="583"/>
      <c r="D514" s="583"/>
      <c r="E514" s="583"/>
      <c r="F514" s="583"/>
      <c r="G514" s="583"/>
      <c r="H514" s="397" t="s">
        <v>1142</v>
      </c>
      <c r="I514" s="397"/>
      <c r="J514" s="397"/>
      <c r="K514" s="397"/>
      <c r="L514" s="1998"/>
      <c r="M514" s="1487">
        <v>1288.93</v>
      </c>
      <c r="N514" s="1487">
        <v>1411.39</v>
      </c>
      <c r="O514" s="1487">
        <v>1530.43</v>
      </c>
      <c r="P514" s="1487">
        <v>1680.88</v>
      </c>
      <c r="Q514" s="1487">
        <v>1654.31</v>
      </c>
      <c r="R514" s="1487">
        <v>1606.29</v>
      </c>
      <c r="S514" s="1487">
        <v>1721.93</v>
      </c>
      <c r="T514" s="1487"/>
      <c r="U514" s="1487"/>
      <c r="V514" s="1487"/>
      <c r="W514" s="1487"/>
      <c r="X514" s="1487"/>
      <c r="Y514" s="1487"/>
      <c r="Z514" s="1487"/>
      <c r="AA514" s="1487"/>
      <c r="AB514" s="1489"/>
      <c r="AF514" s="395"/>
      <c r="AG514" s="395"/>
      <c r="AH514" s="395"/>
    </row>
    <row r="515" spans="1:34">
      <c r="A515" s="1997" t="s">
        <v>2303</v>
      </c>
      <c r="B515" s="583"/>
      <c r="C515" s="583"/>
      <c r="D515" s="583"/>
      <c r="E515" s="583"/>
      <c r="F515" s="583"/>
      <c r="G515" s="583"/>
      <c r="H515" s="397" t="s">
        <v>1109</v>
      </c>
      <c r="I515" s="397"/>
      <c r="J515" s="397"/>
      <c r="K515" s="397"/>
      <c r="L515" s="1998"/>
      <c r="M515" s="1487">
        <v>253.21</v>
      </c>
      <c r="N515" s="1487">
        <v>143.41999999999999</v>
      </c>
      <c r="O515" s="1487">
        <v>192</v>
      </c>
      <c r="P515" s="1487">
        <v>397.91</v>
      </c>
      <c r="Q515" s="1487">
        <v>257.3</v>
      </c>
      <c r="R515" s="1487">
        <v>262.62</v>
      </c>
      <c r="S515" s="1487">
        <v>208.59</v>
      </c>
      <c r="T515" s="1487"/>
      <c r="U515" s="1487"/>
      <c r="V515" s="1487"/>
      <c r="W515" s="1487"/>
      <c r="X515" s="1487"/>
      <c r="Y515" s="1487"/>
      <c r="Z515" s="1487"/>
      <c r="AA515" s="1487"/>
      <c r="AB515" s="1489"/>
      <c r="AF515" s="395"/>
      <c r="AG515" s="395"/>
      <c r="AH515" s="395"/>
    </row>
    <row r="516" spans="1:34">
      <c r="A516" s="1997" t="s">
        <v>2304</v>
      </c>
      <c r="B516" s="583"/>
      <c r="C516" s="583"/>
      <c r="D516" s="583"/>
      <c r="E516" s="583"/>
      <c r="F516" s="583"/>
      <c r="G516" s="583"/>
      <c r="H516" s="397" t="s">
        <v>1147</v>
      </c>
      <c r="I516" s="397"/>
      <c r="J516" s="397"/>
      <c r="K516" s="397"/>
      <c r="L516" s="1998"/>
      <c r="M516" s="1487">
        <v>6461.96</v>
      </c>
      <c r="N516" s="1487">
        <v>10955.28</v>
      </c>
      <c r="O516" s="1487">
        <v>9399.89</v>
      </c>
      <c r="P516" s="1487">
        <v>8976.4</v>
      </c>
      <c r="Q516" s="1487">
        <v>12433.87</v>
      </c>
      <c r="R516" s="1487">
        <v>11456.47</v>
      </c>
      <c r="S516" s="1487">
        <v>9468.16</v>
      </c>
      <c r="T516" s="1487"/>
      <c r="U516" s="1487"/>
      <c r="V516" s="1487"/>
      <c r="W516" s="1487"/>
      <c r="X516" s="1487"/>
      <c r="Y516" s="1487"/>
      <c r="Z516" s="1487"/>
      <c r="AA516" s="1487"/>
      <c r="AB516" s="1489"/>
      <c r="AF516" s="395"/>
      <c r="AG516" s="395"/>
      <c r="AH516" s="395"/>
    </row>
    <row r="517" spans="1:34">
      <c r="A517" s="1997" t="s">
        <v>2305</v>
      </c>
      <c r="B517" s="583"/>
      <c r="C517" s="583"/>
      <c r="D517" s="583"/>
      <c r="E517" s="583"/>
      <c r="F517" s="583"/>
      <c r="G517" s="583"/>
      <c r="H517" s="397" t="s">
        <v>2069</v>
      </c>
      <c r="I517" s="397"/>
      <c r="J517" s="397"/>
      <c r="K517" s="397"/>
      <c r="L517" s="1998"/>
      <c r="M517" s="1487">
        <v>2321.39</v>
      </c>
      <c r="N517" s="1487">
        <v>3859.27</v>
      </c>
      <c r="O517" s="1487">
        <v>3793.46</v>
      </c>
      <c r="P517" s="1487">
        <v>4017.71</v>
      </c>
      <c r="Q517" s="1487">
        <v>4557.5200000000004</v>
      </c>
      <c r="R517" s="1487">
        <v>3234.97</v>
      </c>
      <c r="S517" s="1487">
        <v>1751.55</v>
      </c>
      <c r="T517" s="1487"/>
      <c r="U517" s="1487"/>
      <c r="V517" s="1487"/>
      <c r="W517" s="1487"/>
      <c r="X517" s="1487"/>
      <c r="Y517" s="1487"/>
      <c r="Z517" s="1487"/>
      <c r="AA517" s="1487"/>
      <c r="AB517" s="1489"/>
      <c r="AF517" s="395"/>
      <c r="AG517" s="395"/>
      <c r="AH517" s="395"/>
    </row>
    <row r="518" spans="1:34">
      <c r="A518" s="1997" t="s">
        <v>2306</v>
      </c>
      <c r="B518" s="583"/>
      <c r="C518" s="583"/>
      <c r="D518" s="583"/>
      <c r="E518" s="583"/>
      <c r="F518" s="583"/>
      <c r="G518" s="583"/>
      <c r="H518" s="397" t="s">
        <v>2307</v>
      </c>
      <c r="I518" s="397"/>
      <c r="J518" s="397"/>
      <c r="K518" s="397"/>
      <c r="L518" s="1998"/>
      <c r="M518" s="1487">
        <v>20159.259999999998</v>
      </c>
      <c r="N518" s="1487">
        <v>20927.259999999998</v>
      </c>
      <c r="O518" s="1487">
        <v>21359.17</v>
      </c>
      <c r="P518" s="1487">
        <v>17205.39</v>
      </c>
      <c r="Q518" s="1487">
        <v>11601.42</v>
      </c>
      <c r="R518" s="1487">
        <v>15274.57</v>
      </c>
      <c r="S518" s="1487">
        <v>14739.92</v>
      </c>
      <c r="T518" s="1487"/>
      <c r="U518" s="1487"/>
      <c r="V518" s="1487"/>
      <c r="W518" s="1487"/>
      <c r="X518" s="1487"/>
      <c r="Y518" s="1487"/>
      <c r="Z518" s="1487"/>
      <c r="AA518" s="1487"/>
      <c r="AB518" s="1489"/>
      <c r="AF518" s="395"/>
      <c r="AG518" s="395"/>
      <c r="AH518" s="395"/>
    </row>
    <row r="519" spans="1:34">
      <c r="A519" s="1997" t="s">
        <v>2308</v>
      </c>
      <c r="B519" s="583"/>
      <c r="C519" s="583"/>
      <c r="D519" s="583"/>
      <c r="E519" s="583"/>
      <c r="F519" s="583"/>
      <c r="G519" s="583"/>
      <c r="H519" s="397" t="s">
        <v>2309</v>
      </c>
      <c r="I519" s="397"/>
      <c r="J519" s="397"/>
      <c r="K519" s="397"/>
      <c r="L519" s="1998"/>
      <c r="M519" s="1487">
        <v>1998.49</v>
      </c>
      <c r="N519" s="1487">
        <v>0</v>
      </c>
      <c r="O519" s="1487">
        <v>0</v>
      </c>
      <c r="P519" s="1487">
        <v>0</v>
      </c>
      <c r="Q519" s="1487">
        <v>0</v>
      </c>
      <c r="R519" s="1487">
        <v>0</v>
      </c>
      <c r="S519" s="1487">
        <v>0</v>
      </c>
      <c r="T519" s="1487"/>
      <c r="U519" s="1487"/>
      <c r="V519" s="1487"/>
      <c r="W519" s="1487"/>
      <c r="X519" s="1487"/>
      <c r="Y519" s="1487"/>
      <c r="Z519" s="1487"/>
      <c r="AA519" s="1487"/>
      <c r="AB519" s="1489"/>
      <c r="AF519" s="395"/>
      <c r="AG519" s="395"/>
      <c r="AH519" s="395"/>
    </row>
    <row r="520" spans="1:34">
      <c r="A520" s="1997" t="s">
        <v>2310</v>
      </c>
      <c r="B520" s="583"/>
      <c r="C520" s="583"/>
      <c r="D520" s="583"/>
      <c r="E520" s="583"/>
      <c r="F520" s="583"/>
      <c r="G520" s="583"/>
      <c r="H520" s="397" t="s">
        <v>2136</v>
      </c>
      <c r="I520" s="397"/>
      <c r="J520" s="397"/>
      <c r="K520" s="397"/>
      <c r="L520" s="1998"/>
      <c r="M520" s="1487">
        <v>95</v>
      </c>
      <c r="N520" s="1487">
        <v>0</v>
      </c>
      <c r="O520" s="1487">
        <v>250</v>
      </c>
      <c r="P520" s="1487">
        <v>460</v>
      </c>
      <c r="Q520" s="1487">
        <v>335</v>
      </c>
      <c r="R520" s="1487">
        <v>60</v>
      </c>
      <c r="S520" s="1487">
        <v>0</v>
      </c>
      <c r="T520" s="1487"/>
      <c r="U520" s="1487"/>
      <c r="V520" s="1487"/>
      <c r="W520" s="1487"/>
      <c r="X520" s="1487"/>
      <c r="Y520" s="1487"/>
      <c r="Z520" s="1487"/>
      <c r="AA520" s="1487"/>
      <c r="AB520" s="1489"/>
      <c r="AF520" s="395"/>
      <c r="AG520" s="395"/>
      <c r="AH520" s="395"/>
    </row>
    <row r="521" spans="1:34">
      <c r="A521" s="2004" t="s">
        <v>1162</v>
      </c>
      <c r="B521" s="2047"/>
      <c r="C521" s="2047"/>
      <c r="D521" s="2047"/>
      <c r="E521" s="2047"/>
      <c r="F521" s="2047"/>
      <c r="G521" s="2047"/>
      <c r="H521" s="2006"/>
      <c r="I521" s="2006"/>
      <c r="J521" s="2006"/>
      <c r="K521" s="2006"/>
      <c r="L521" s="2006"/>
      <c r="M521" s="2005">
        <f t="shared" ref="M521:AB521" si="85">SUM(M478:M520)</f>
        <v>38609.389999999992</v>
      </c>
      <c r="N521" s="2005">
        <f t="shared" si="85"/>
        <v>45143.14</v>
      </c>
      <c r="O521" s="2005">
        <f t="shared" si="85"/>
        <v>43394.659999999996</v>
      </c>
      <c r="P521" s="2005">
        <f t="shared" si="85"/>
        <v>41186.71</v>
      </c>
      <c r="Q521" s="2005">
        <f t="shared" si="85"/>
        <v>39477.94</v>
      </c>
      <c r="R521" s="2005">
        <f t="shared" si="85"/>
        <v>43689.71</v>
      </c>
      <c r="S521" s="2005">
        <f t="shared" si="85"/>
        <v>37936.78</v>
      </c>
      <c r="T521" s="2005">
        <f t="shared" si="85"/>
        <v>39310.039999999994</v>
      </c>
      <c r="U521" s="2005">
        <f t="shared" si="85"/>
        <v>33529.380000000005</v>
      </c>
      <c r="V521" s="2005">
        <f t="shared" si="85"/>
        <v>37438.51</v>
      </c>
      <c r="W521" s="2005">
        <f t="shared" si="85"/>
        <v>40284.189999999995</v>
      </c>
      <c r="X521" s="2005">
        <f t="shared" si="85"/>
        <v>49637.34</v>
      </c>
      <c r="Y521" s="2005">
        <f t="shared" si="85"/>
        <v>72499.320000000007</v>
      </c>
      <c r="Z521" s="2005">
        <f t="shared" si="85"/>
        <v>37643.08</v>
      </c>
      <c r="AA521" s="2005">
        <f t="shared" si="85"/>
        <v>97180.87</v>
      </c>
      <c r="AB521" s="3150">
        <f t="shared" si="85"/>
        <v>0</v>
      </c>
      <c r="AF521" s="395"/>
      <c r="AG521" s="395"/>
      <c r="AH521" s="395"/>
    </row>
    <row r="522" spans="1:34">
      <c r="A522" s="2048" t="s">
        <v>1163</v>
      </c>
      <c r="B522" s="1999"/>
      <c r="C522" s="1999"/>
      <c r="D522" s="1999"/>
      <c r="E522" s="1999"/>
      <c r="F522" s="1999"/>
      <c r="G522" s="1999"/>
      <c r="H522" s="397"/>
      <c r="I522" s="397"/>
      <c r="J522" s="397"/>
      <c r="K522" s="397"/>
      <c r="L522" s="1996"/>
      <c r="M522" s="1487"/>
      <c r="N522" s="1487"/>
      <c r="O522" s="1487"/>
      <c r="P522" s="397"/>
      <c r="Q522" s="397"/>
      <c r="R522" s="397"/>
      <c r="S522" s="397"/>
      <c r="T522" s="397"/>
      <c r="U522" s="1487"/>
      <c r="V522" s="1487"/>
      <c r="W522" s="1487"/>
      <c r="X522" s="1487"/>
      <c r="Y522" s="1487"/>
      <c r="Z522" s="1487"/>
      <c r="AA522" s="1487"/>
      <c r="AB522" s="1489"/>
      <c r="AF522" s="395"/>
      <c r="AG522" s="395"/>
      <c r="AH522" s="395"/>
    </row>
    <row r="523" spans="1:34">
      <c r="A523" s="1997" t="s">
        <v>2311</v>
      </c>
      <c r="B523" s="583"/>
      <c r="C523" s="583"/>
      <c r="D523" s="583"/>
      <c r="E523" s="583"/>
      <c r="F523" s="583"/>
      <c r="G523" s="583"/>
      <c r="H523" s="397" t="s">
        <v>2312</v>
      </c>
      <c r="I523" s="397"/>
      <c r="J523" s="397"/>
      <c r="K523" s="397"/>
      <c r="L523" s="1998"/>
      <c r="M523" s="1487">
        <v>1116</v>
      </c>
      <c r="N523" s="1487">
        <v>1116</v>
      </c>
      <c r="O523" s="1487">
        <v>1116</v>
      </c>
      <c r="P523" s="1487">
        <v>1116</v>
      </c>
      <c r="Q523" s="1487">
        <v>1116</v>
      </c>
      <c r="R523" s="1487">
        <v>1116</v>
      </c>
      <c r="S523" s="1487">
        <v>1116</v>
      </c>
      <c r="T523" s="1487"/>
      <c r="U523" s="1487"/>
      <c r="V523" s="1487"/>
      <c r="W523" s="1487"/>
      <c r="X523" s="1487"/>
      <c r="Y523" s="1487"/>
      <c r="Z523" s="1487"/>
      <c r="AA523" s="1487"/>
      <c r="AB523" s="1489"/>
      <c r="AF523" s="395"/>
      <c r="AG523" s="395"/>
      <c r="AH523" s="395"/>
    </row>
    <row r="524" spans="1:34">
      <c r="A524" s="1997" t="s">
        <v>2313</v>
      </c>
      <c r="B524" s="583" t="s">
        <v>7471</v>
      </c>
      <c r="C524" s="583"/>
      <c r="D524" s="583"/>
      <c r="E524" s="583"/>
      <c r="F524" s="583"/>
      <c r="G524" s="583"/>
      <c r="H524" s="397" t="s">
        <v>2312</v>
      </c>
      <c r="I524" s="397"/>
      <c r="J524" s="397"/>
      <c r="K524" s="397"/>
      <c r="L524" s="1998"/>
      <c r="M524" s="1487"/>
      <c r="N524" s="1487"/>
      <c r="O524" s="1487"/>
      <c r="P524" s="1487"/>
      <c r="Q524" s="1487"/>
      <c r="R524" s="1487"/>
      <c r="S524" s="1487"/>
      <c r="T524" s="1487">
        <v>1116</v>
      </c>
      <c r="U524" s="1487">
        <v>1116</v>
      </c>
      <c r="V524" s="1487">
        <v>1116</v>
      </c>
      <c r="W524" s="1487">
        <v>1116</v>
      </c>
      <c r="X524" s="1487">
        <v>1116</v>
      </c>
      <c r="Y524" s="1487">
        <v>1116</v>
      </c>
      <c r="Z524" s="1487">
        <v>1250</v>
      </c>
      <c r="AA524" s="1487"/>
      <c r="AB524" s="1489"/>
      <c r="AF524" s="395"/>
      <c r="AG524" s="395"/>
      <c r="AH524" s="395"/>
    </row>
    <row r="525" spans="1:34">
      <c r="A525" s="1997" t="s">
        <v>2314</v>
      </c>
      <c r="B525" s="583"/>
      <c r="C525" s="583"/>
      <c r="D525" s="583"/>
      <c r="E525" s="583"/>
      <c r="F525" s="583"/>
      <c r="G525" s="583"/>
      <c r="H525" s="397" t="s">
        <v>2315</v>
      </c>
      <c r="I525" s="397"/>
      <c r="J525" s="397"/>
      <c r="K525" s="397"/>
      <c r="L525" s="1998"/>
      <c r="M525" s="1487">
        <v>34135.49</v>
      </c>
      <c r="N525" s="1487">
        <v>30893.51</v>
      </c>
      <c r="O525" s="1487">
        <v>48023.08</v>
      </c>
      <c r="P525" s="1487">
        <v>45825.88</v>
      </c>
      <c r="Q525" s="1487">
        <v>50030.559999999998</v>
      </c>
      <c r="R525" s="1487">
        <v>48962.16</v>
      </c>
      <c r="S525" s="1487">
        <v>48447.1</v>
      </c>
      <c r="T525" s="1487"/>
      <c r="U525" s="1487"/>
      <c r="V525" s="1487"/>
      <c r="W525" s="1487"/>
      <c r="X525" s="1487"/>
      <c r="Y525" s="1487"/>
      <c r="Z525" s="1487"/>
      <c r="AA525" s="1487"/>
      <c r="AB525" s="1489"/>
      <c r="AF525" s="395"/>
      <c r="AG525" s="395"/>
      <c r="AH525" s="395"/>
    </row>
    <row r="526" spans="1:34">
      <c r="A526" s="1997" t="s">
        <v>2316</v>
      </c>
      <c r="B526" s="583" t="s">
        <v>7504</v>
      </c>
      <c r="C526" s="583"/>
      <c r="D526" s="583"/>
      <c r="E526" s="583"/>
      <c r="F526" s="583"/>
      <c r="G526" s="583"/>
      <c r="H526" s="397" t="s">
        <v>1718</v>
      </c>
      <c r="I526" s="397"/>
      <c r="J526" s="397"/>
      <c r="K526" s="397"/>
      <c r="L526" s="1998"/>
      <c r="M526" s="1487"/>
      <c r="N526" s="1487"/>
      <c r="O526" s="1487"/>
      <c r="P526" s="1487"/>
      <c r="Q526" s="1487"/>
      <c r="R526" s="1487"/>
      <c r="S526" s="1487"/>
      <c r="T526" s="1487">
        <v>189.77</v>
      </c>
      <c r="U526" s="1487">
        <v>178.58</v>
      </c>
      <c r="V526" s="1487">
        <v>180.17</v>
      </c>
      <c r="W526" s="1487">
        <v>174.18</v>
      </c>
      <c r="X526" s="1487">
        <v>100.3</v>
      </c>
      <c r="Y526" s="1487">
        <v>101.71</v>
      </c>
      <c r="Z526" s="1487">
        <v>93.1</v>
      </c>
      <c r="AA526" s="1487">
        <v>108.79</v>
      </c>
      <c r="AB526" s="1489"/>
      <c r="AF526" s="395"/>
      <c r="AG526" s="395"/>
      <c r="AH526" s="395"/>
    </row>
    <row r="527" spans="1:34">
      <c r="A527" s="1997" t="s">
        <v>2317</v>
      </c>
      <c r="B527" s="583" t="s">
        <v>7472</v>
      </c>
      <c r="C527" s="583"/>
      <c r="D527" s="583"/>
      <c r="E527" s="583"/>
      <c r="F527" s="583"/>
      <c r="G527" s="583"/>
      <c r="H527" s="397" t="s">
        <v>7473</v>
      </c>
      <c r="I527" s="397"/>
      <c r="J527" s="397"/>
      <c r="K527" s="397"/>
      <c r="L527" s="1998"/>
      <c r="M527" s="1487"/>
      <c r="N527" s="1487"/>
      <c r="O527" s="1487"/>
      <c r="P527" s="1487"/>
      <c r="Q527" s="1487"/>
      <c r="R527" s="1487"/>
      <c r="S527" s="1487"/>
      <c r="T527" s="1487">
        <v>350</v>
      </c>
      <c r="U527" s="1487">
        <v>600</v>
      </c>
      <c r="V527" s="1487">
        <v>550</v>
      </c>
      <c r="W527" s="1487">
        <v>650</v>
      </c>
      <c r="X527" s="1487">
        <v>350</v>
      </c>
      <c r="Y527" s="1487">
        <v>450</v>
      </c>
      <c r="Z527" s="1487">
        <v>214.5</v>
      </c>
      <c r="AA527" s="1487">
        <v>642.75</v>
      </c>
      <c r="AB527" s="1489"/>
      <c r="AF527" s="395"/>
      <c r="AG527" s="395"/>
      <c r="AH527" s="395"/>
    </row>
    <row r="528" spans="1:34">
      <c r="A528" s="1997"/>
      <c r="B528" s="583" t="s">
        <v>7474</v>
      </c>
      <c r="C528" s="583"/>
      <c r="D528" s="583"/>
      <c r="E528" s="583"/>
      <c r="F528" s="583"/>
      <c r="G528" s="583"/>
      <c r="H528" s="397" t="s">
        <v>1411</v>
      </c>
      <c r="I528" s="397"/>
      <c r="J528" s="397"/>
      <c r="K528" s="397"/>
      <c r="L528" s="1998"/>
      <c r="M528" s="1487"/>
      <c r="N528" s="1487"/>
      <c r="O528" s="1487"/>
      <c r="P528" s="1487"/>
      <c r="Q528" s="1487"/>
      <c r="R528" s="1487"/>
      <c r="S528" s="1487"/>
      <c r="T528" s="1487"/>
      <c r="U528" s="1487"/>
      <c r="V528" s="1487"/>
      <c r="W528" s="1487"/>
      <c r="X528" s="1487"/>
      <c r="Y528" s="1487"/>
      <c r="Z528" s="1487">
        <v>1190</v>
      </c>
      <c r="AA528" s="1487">
        <v>1885</v>
      </c>
      <c r="AB528" s="1489"/>
      <c r="AF528" s="395"/>
      <c r="AG528" s="395"/>
      <c r="AH528" s="395"/>
    </row>
    <row r="529" spans="1:34">
      <c r="A529" s="1997"/>
      <c r="B529" s="583" t="s">
        <v>7475</v>
      </c>
      <c r="C529" s="583"/>
      <c r="D529" s="583"/>
      <c r="E529" s="583"/>
      <c r="F529" s="583"/>
      <c r="G529" s="583"/>
      <c r="H529" s="397" t="s">
        <v>7478</v>
      </c>
      <c r="I529" s="397"/>
      <c r="J529" s="397"/>
      <c r="K529" s="397"/>
      <c r="L529" s="1998"/>
      <c r="M529" s="1487"/>
      <c r="N529" s="1487"/>
      <c r="O529" s="1487"/>
      <c r="P529" s="1487"/>
      <c r="Q529" s="1487"/>
      <c r="R529" s="1487"/>
      <c r="S529" s="1487"/>
      <c r="T529" s="1487"/>
      <c r="U529" s="1487"/>
      <c r="V529" s="1487"/>
      <c r="W529" s="1487"/>
      <c r="X529" s="1487"/>
      <c r="Y529" s="1487"/>
      <c r="Z529" s="1487">
        <v>34000</v>
      </c>
      <c r="AA529" s="1487">
        <v>16669.919999999998</v>
      </c>
      <c r="AB529" s="1489"/>
      <c r="AF529" s="395"/>
      <c r="AG529" s="395"/>
      <c r="AH529" s="395"/>
    </row>
    <row r="530" spans="1:34">
      <c r="A530" s="1997"/>
      <c r="B530" s="583" t="s">
        <v>7476</v>
      </c>
      <c r="C530" s="583"/>
      <c r="D530" s="583"/>
      <c r="E530" s="583"/>
      <c r="F530" s="583"/>
      <c r="G530" s="583"/>
      <c r="H530" s="397" t="s">
        <v>7479</v>
      </c>
      <c r="I530" s="397"/>
      <c r="J530" s="397"/>
      <c r="K530" s="397"/>
      <c r="L530" s="1998"/>
      <c r="M530" s="1487"/>
      <c r="N530" s="1487"/>
      <c r="O530" s="1487"/>
      <c r="P530" s="1487"/>
      <c r="Q530" s="1487"/>
      <c r="R530" s="1487"/>
      <c r="S530" s="1487"/>
      <c r="T530" s="1487"/>
      <c r="U530" s="1487"/>
      <c r="V530" s="1487"/>
      <c r="W530" s="1487"/>
      <c r="X530" s="1487"/>
      <c r="Y530" s="1487"/>
      <c r="Z530" s="1487">
        <v>15110</v>
      </c>
      <c r="AA530" s="1487">
        <v>7555</v>
      </c>
      <c r="AB530" s="1489"/>
      <c r="AF530" s="395"/>
      <c r="AG530" s="395"/>
      <c r="AH530" s="395"/>
    </row>
    <row r="531" spans="1:34">
      <c r="A531" s="1997"/>
      <c r="B531" s="583" t="s">
        <v>7477</v>
      </c>
      <c r="C531" s="583"/>
      <c r="D531" s="583"/>
      <c r="E531" s="583"/>
      <c r="F531" s="583"/>
      <c r="G531" s="583"/>
      <c r="H531" s="397" t="s">
        <v>7480</v>
      </c>
      <c r="I531" s="397"/>
      <c r="J531" s="397"/>
      <c r="K531" s="397"/>
      <c r="L531" s="1998"/>
      <c r="M531" s="1487"/>
      <c r="N531" s="1487"/>
      <c r="O531" s="1487"/>
      <c r="P531" s="1487"/>
      <c r="Q531" s="1487"/>
      <c r="R531" s="1487"/>
      <c r="S531" s="1487"/>
      <c r="T531" s="1487"/>
      <c r="U531" s="1487"/>
      <c r="V531" s="1487"/>
      <c r="W531" s="1487"/>
      <c r="X531" s="1487"/>
      <c r="Y531" s="1487"/>
      <c r="Z531" s="1487">
        <v>20717.54</v>
      </c>
      <c r="AA531" s="1487">
        <v>15191.27</v>
      </c>
      <c r="AB531" s="1489"/>
      <c r="AF531" s="395"/>
      <c r="AG531" s="395"/>
      <c r="AH531" s="395"/>
    </row>
    <row r="532" spans="1:34">
      <c r="A532" s="1997"/>
      <c r="B532" s="583" t="s">
        <v>8081</v>
      </c>
      <c r="C532" s="583"/>
      <c r="D532" s="583"/>
      <c r="E532" s="583"/>
      <c r="F532" s="583"/>
      <c r="G532" s="583"/>
      <c r="H532" s="397" t="s">
        <v>8082</v>
      </c>
      <c r="I532" s="397"/>
      <c r="J532" s="397"/>
      <c r="K532" s="397"/>
      <c r="L532" s="1998"/>
      <c r="M532" s="1487"/>
      <c r="N532" s="1487"/>
      <c r="O532" s="1487"/>
      <c r="P532" s="1487"/>
      <c r="Q532" s="1487"/>
      <c r="R532" s="1487"/>
      <c r="S532" s="1487"/>
      <c r="T532" s="1487"/>
      <c r="U532" s="1487"/>
      <c r="V532" s="1487"/>
      <c r="W532" s="1487"/>
      <c r="X532" s="1487"/>
      <c r="Y532" s="1487"/>
      <c r="Z532" s="1487"/>
      <c r="AA532" s="1487">
        <v>1250</v>
      </c>
      <c r="AB532" s="1489"/>
      <c r="AF532" s="395"/>
      <c r="AG532" s="395"/>
      <c r="AH532" s="395"/>
    </row>
    <row r="533" spans="1:34">
      <c r="A533" s="1997" t="s">
        <v>2318</v>
      </c>
      <c r="B533" s="583"/>
      <c r="C533" s="583"/>
      <c r="D533" s="583"/>
      <c r="E533" s="583"/>
      <c r="F533" s="583"/>
      <c r="G533" s="583"/>
      <c r="H533" s="397" t="s">
        <v>2319</v>
      </c>
      <c r="I533" s="397"/>
      <c r="J533" s="397"/>
      <c r="K533" s="397"/>
      <c r="L533" s="2002"/>
      <c r="M533" s="1487"/>
      <c r="N533" s="1487"/>
      <c r="O533" s="1487"/>
      <c r="P533" s="1487"/>
      <c r="Q533" s="1487"/>
      <c r="R533" s="1487"/>
      <c r="S533" s="1487"/>
      <c r="T533" s="1487">
        <f>15100.01+9564.19+28942.01</f>
        <v>53606.21</v>
      </c>
      <c r="U533" s="1487">
        <f>15099.94+9555+27264.99</f>
        <v>51919.930000000008</v>
      </c>
      <c r="V533" s="1487">
        <f>16999.98+7554.99+26545.57</f>
        <v>51100.54</v>
      </c>
      <c r="W533" s="1487">
        <f>16919.85+7554.99+28761.83</f>
        <v>53236.67</v>
      </c>
      <c r="X533" s="1487">
        <f>16999.97+7555.01+23168.84</f>
        <v>47723.820000000007</v>
      </c>
      <c r="Y533" s="1487">
        <f>16999.86+7554.99+20148.92</f>
        <v>44703.77</v>
      </c>
      <c r="Z533" s="1487"/>
      <c r="AA533" s="1487"/>
      <c r="AB533" s="1489"/>
      <c r="AF533" s="395"/>
      <c r="AG533" s="395"/>
      <c r="AH533" s="395"/>
    </row>
    <row r="534" spans="1:34">
      <c r="A534" s="2004" t="s">
        <v>1181</v>
      </c>
      <c r="B534" s="2047"/>
      <c r="C534" s="2047"/>
      <c r="D534" s="2047"/>
      <c r="E534" s="2047"/>
      <c r="F534" s="2047"/>
      <c r="G534" s="2047"/>
      <c r="H534" s="2006"/>
      <c r="I534" s="2006"/>
      <c r="J534" s="2006"/>
      <c r="K534" s="2006"/>
      <c r="L534" s="2006"/>
      <c r="M534" s="2005">
        <f t="shared" ref="M534:S534" si="86">SUM(M523:M525)</f>
        <v>35251.49</v>
      </c>
      <c r="N534" s="2005">
        <f t="shared" si="86"/>
        <v>32009.51</v>
      </c>
      <c r="O534" s="2005">
        <f t="shared" si="86"/>
        <v>49139.08</v>
      </c>
      <c r="P534" s="2005">
        <f t="shared" si="86"/>
        <v>46941.88</v>
      </c>
      <c r="Q534" s="2005">
        <f t="shared" si="86"/>
        <v>51146.559999999998</v>
      </c>
      <c r="R534" s="2005">
        <f t="shared" si="86"/>
        <v>50078.16</v>
      </c>
      <c r="S534" s="2005">
        <f t="shared" si="86"/>
        <v>49563.1</v>
      </c>
      <c r="T534" s="2005">
        <f t="shared" ref="T534:AB534" si="87">SUM(T523:T533)</f>
        <v>55261.979999999996</v>
      </c>
      <c r="U534" s="2005">
        <f t="shared" si="87"/>
        <v>53814.510000000009</v>
      </c>
      <c r="V534" s="2005">
        <f t="shared" si="87"/>
        <v>52946.71</v>
      </c>
      <c r="W534" s="2005">
        <f t="shared" si="87"/>
        <v>55176.85</v>
      </c>
      <c r="X534" s="2005">
        <f t="shared" si="87"/>
        <v>49290.12000000001</v>
      </c>
      <c r="Y534" s="2005">
        <f t="shared" si="87"/>
        <v>46371.479999999996</v>
      </c>
      <c r="Z534" s="2005">
        <f t="shared" si="87"/>
        <v>72575.14</v>
      </c>
      <c r="AA534" s="2005">
        <f t="shared" si="87"/>
        <v>43302.729999999996</v>
      </c>
      <c r="AB534" s="3150">
        <f t="shared" si="87"/>
        <v>0</v>
      </c>
      <c r="AF534" s="395"/>
      <c r="AG534" s="395"/>
      <c r="AH534" s="395"/>
    </row>
    <row r="535" spans="1:34">
      <c r="A535" s="2048" t="s">
        <v>47</v>
      </c>
      <c r="B535" s="1999"/>
      <c r="C535" s="1999"/>
      <c r="D535" s="1999"/>
      <c r="E535" s="1999"/>
      <c r="F535" s="1999"/>
      <c r="G535" s="1999"/>
      <c r="H535" s="397"/>
      <c r="I535" s="397"/>
      <c r="J535" s="397"/>
      <c r="K535" s="397"/>
      <c r="L535" s="1996"/>
      <c r="M535" s="1487"/>
      <c r="N535" s="1487"/>
      <c r="O535" s="397"/>
      <c r="P535" s="397"/>
      <c r="Q535" s="397"/>
      <c r="R535" s="397"/>
      <c r="S535" s="397"/>
      <c r="T535" s="1487"/>
      <c r="U535" s="1487"/>
      <c r="V535" s="1487"/>
      <c r="W535" s="1487"/>
      <c r="X535" s="1487"/>
      <c r="Y535" s="1487"/>
      <c r="Z535" s="1487"/>
      <c r="AA535" s="1487"/>
      <c r="AB535" s="1489"/>
      <c r="AF535" s="395"/>
      <c r="AG535" s="395"/>
      <c r="AH535" s="395"/>
    </row>
    <row r="536" spans="1:34">
      <c r="A536" s="1997"/>
      <c r="B536" s="583"/>
      <c r="C536" s="583"/>
      <c r="D536" s="583"/>
      <c r="E536" s="583"/>
      <c r="F536" s="583"/>
      <c r="G536" s="583"/>
      <c r="H536" s="397" t="s">
        <v>1182</v>
      </c>
      <c r="I536" s="397"/>
      <c r="J536" s="397"/>
      <c r="K536" s="397"/>
      <c r="L536" s="1998"/>
      <c r="M536" s="1487"/>
      <c r="N536" s="1487"/>
      <c r="O536" s="1487"/>
      <c r="P536" s="1487"/>
      <c r="Q536" s="397"/>
      <c r="R536" s="397"/>
      <c r="S536" s="397"/>
      <c r="T536" s="1487"/>
      <c r="U536" s="1487"/>
      <c r="V536" s="1487"/>
      <c r="W536" s="1487"/>
      <c r="X536" s="1487"/>
      <c r="Y536" s="1487"/>
      <c r="Z536" s="1487"/>
      <c r="AA536" s="1487"/>
      <c r="AB536" s="1489"/>
      <c r="AF536" s="395"/>
      <c r="AG536" s="395"/>
      <c r="AH536" s="395"/>
    </row>
    <row r="537" spans="1:34">
      <c r="A537" s="1997"/>
      <c r="B537" s="583"/>
      <c r="C537" s="583"/>
      <c r="D537" s="583"/>
      <c r="E537" s="583"/>
      <c r="F537" s="583"/>
      <c r="G537" s="583"/>
      <c r="H537" s="397" t="s">
        <v>1183</v>
      </c>
      <c r="I537" s="397"/>
      <c r="J537" s="397"/>
      <c r="K537" s="397"/>
      <c r="L537" s="1998"/>
      <c r="M537" s="1487"/>
      <c r="N537" s="1487"/>
      <c r="O537" s="1487"/>
      <c r="P537" s="1487"/>
      <c r="Q537" s="397"/>
      <c r="R537" s="397"/>
      <c r="S537" s="397"/>
      <c r="T537" s="1487"/>
      <c r="U537" s="1487"/>
      <c r="V537" s="1487"/>
      <c r="W537" s="1487"/>
      <c r="X537" s="1487"/>
      <c r="Y537" s="1487"/>
      <c r="Z537" s="1487"/>
      <c r="AA537" s="1487"/>
      <c r="AB537" s="1489"/>
      <c r="AF537" s="395"/>
      <c r="AG537" s="395"/>
      <c r="AH537" s="395"/>
    </row>
    <row r="538" spans="1:34">
      <c r="A538" s="1997"/>
      <c r="B538" s="583"/>
      <c r="C538" s="583"/>
      <c r="D538" s="583"/>
      <c r="E538" s="583"/>
      <c r="F538" s="583"/>
      <c r="G538" s="583"/>
      <c r="H538" s="397" t="s">
        <v>1184</v>
      </c>
      <c r="I538" s="397"/>
      <c r="J538" s="397"/>
      <c r="K538" s="397"/>
      <c r="L538" s="2002"/>
      <c r="M538" s="1487">
        <f t="shared" ref="M538:X538" si="88">M568</f>
        <v>0</v>
      </c>
      <c r="N538" s="1487">
        <f t="shared" si="88"/>
        <v>0</v>
      </c>
      <c r="O538" s="1487">
        <f t="shared" si="88"/>
        <v>218.50399999999999</v>
      </c>
      <c r="P538" s="1487">
        <f t="shared" si="88"/>
        <v>218.50399999999999</v>
      </c>
      <c r="Q538" s="1487">
        <f t="shared" si="88"/>
        <v>427.60599999999999</v>
      </c>
      <c r="R538" s="1487">
        <f t="shared" si="88"/>
        <v>467.18600000000004</v>
      </c>
      <c r="S538" s="1487">
        <f t="shared" si="88"/>
        <v>580.68600000000004</v>
      </c>
      <c r="T538" s="1487">
        <f t="shared" si="88"/>
        <v>1785.6980000000001</v>
      </c>
      <c r="U538" s="1487">
        <f t="shared" si="88"/>
        <v>1785.702</v>
      </c>
      <c r="V538" s="1487">
        <f t="shared" si="88"/>
        <v>1576.6</v>
      </c>
      <c r="W538" s="1487">
        <f t="shared" si="88"/>
        <v>1537.02</v>
      </c>
      <c r="X538" s="1487">
        <f t="shared" si="88"/>
        <v>1423.52</v>
      </c>
      <c r="Y538" s="1487">
        <f>Y568</f>
        <v>747.78</v>
      </c>
      <c r="Z538" s="1487">
        <f>Z568</f>
        <v>1873.08</v>
      </c>
      <c r="AA538" s="1487">
        <f>AA568</f>
        <v>1873.08</v>
      </c>
      <c r="AB538" s="1520">
        <f>AB568</f>
        <v>1873.08</v>
      </c>
      <c r="AF538" s="395"/>
      <c r="AG538" s="395"/>
      <c r="AH538" s="395"/>
    </row>
    <row r="539" spans="1:34">
      <c r="A539" s="2004" t="s">
        <v>1185</v>
      </c>
      <c r="B539" s="2047"/>
      <c r="C539" s="2047"/>
      <c r="D539" s="2047"/>
      <c r="E539" s="2047"/>
      <c r="F539" s="2047"/>
      <c r="G539" s="2047"/>
      <c r="H539" s="2006"/>
      <c r="I539" s="2006"/>
      <c r="J539" s="2006"/>
      <c r="K539" s="2006"/>
      <c r="L539" s="2006"/>
      <c r="M539" s="2005">
        <f t="shared" ref="M539:S539" si="89">SUM(M536:M538)</f>
        <v>0</v>
      </c>
      <c r="N539" s="2005">
        <f t="shared" si="89"/>
        <v>0</v>
      </c>
      <c r="O539" s="2005">
        <f t="shared" si="89"/>
        <v>218.50399999999999</v>
      </c>
      <c r="P539" s="2005">
        <f t="shared" si="89"/>
        <v>218.50399999999999</v>
      </c>
      <c r="Q539" s="2005">
        <f t="shared" si="89"/>
        <v>427.60599999999999</v>
      </c>
      <c r="R539" s="2005">
        <f t="shared" si="89"/>
        <v>467.18600000000004</v>
      </c>
      <c r="S539" s="2005">
        <f t="shared" si="89"/>
        <v>580.68600000000004</v>
      </c>
      <c r="T539" s="2005">
        <f t="shared" ref="T539:AB539" si="90">SUM(T536:T538)</f>
        <v>1785.6980000000001</v>
      </c>
      <c r="U539" s="2005">
        <f t="shared" si="90"/>
        <v>1785.702</v>
      </c>
      <c r="V539" s="2005">
        <f t="shared" si="90"/>
        <v>1576.6</v>
      </c>
      <c r="W539" s="2005">
        <f t="shared" si="90"/>
        <v>1537.02</v>
      </c>
      <c r="X539" s="2005">
        <f t="shared" si="90"/>
        <v>1423.52</v>
      </c>
      <c r="Y539" s="2005">
        <f t="shared" si="90"/>
        <v>747.78</v>
      </c>
      <c r="Z539" s="2005">
        <f t="shared" si="90"/>
        <v>1873.08</v>
      </c>
      <c r="AA539" s="2005">
        <f t="shared" si="90"/>
        <v>1873.08</v>
      </c>
      <c r="AB539" s="3150">
        <f t="shared" si="90"/>
        <v>1873.08</v>
      </c>
      <c r="AF539" s="395"/>
      <c r="AG539" s="395"/>
      <c r="AH539" s="395"/>
    </row>
    <row r="540" spans="1:34">
      <c r="A540" s="2008" t="s">
        <v>1186</v>
      </c>
      <c r="B540" s="2022"/>
      <c r="C540" s="2022"/>
      <c r="D540" s="2022"/>
      <c r="E540" s="2022"/>
      <c r="F540" s="2022"/>
      <c r="G540" s="2022"/>
      <c r="H540" s="2010"/>
      <c r="I540" s="2010"/>
      <c r="J540" s="2010"/>
      <c r="K540" s="2010"/>
      <c r="L540" s="2010"/>
      <c r="M540" s="2009">
        <f t="shared" ref="M540:AB540" si="91">M476+M521+M534+M539</f>
        <v>118723.59</v>
      </c>
      <c r="N540" s="2009">
        <f t="shared" si="91"/>
        <v>126668.89</v>
      </c>
      <c r="O540" s="2009">
        <f t="shared" si="91"/>
        <v>141567.55399999997</v>
      </c>
      <c r="P540" s="2009">
        <f t="shared" si="91"/>
        <v>139235.07399999999</v>
      </c>
      <c r="Q540" s="2009">
        <f t="shared" si="91"/>
        <v>143306.266</v>
      </c>
      <c r="R540" s="2009">
        <f t="shared" si="91"/>
        <v>148398.71599999999</v>
      </c>
      <c r="S540" s="2009">
        <f t="shared" si="91"/>
        <v>144943.106</v>
      </c>
      <c r="T540" s="2009">
        <f t="shared" si="91"/>
        <v>182898.11799999999</v>
      </c>
      <c r="U540" s="2009">
        <f t="shared" si="91"/>
        <v>179726.00200000004</v>
      </c>
      <c r="V540" s="2009">
        <f t="shared" si="91"/>
        <v>225691.78000000003</v>
      </c>
      <c r="W540" s="2009">
        <f t="shared" si="91"/>
        <v>239625.56</v>
      </c>
      <c r="X540" s="2009">
        <f t="shared" si="91"/>
        <v>233580.84</v>
      </c>
      <c r="Y540" s="2009">
        <f t="shared" si="91"/>
        <v>256267.47999999995</v>
      </c>
      <c r="Z540" s="2009">
        <f t="shared" si="91"/>
        <v>246016.15</v>
      </c>
      <c r="AA540" s="2009">
        <f t="shared" si="91"/>
        <v>284801.57999999996</v>
      </c>
      <c r="AB540" s="2070">
        <f t="shared" si="91"/>
        <v>1873.08</v>
      </c>
      <c r="AF540" s="395"/>
      <c r="AG540" s="395"/>
      <c r="AH540" s="395"/>
    </row>
    <row r="541" spans="1:34">
      <c r="A541" s="1984" t="s">
        <v>1187</v>
      </c>
      <c r="B541" s="1985"/>
      <c r="C541" s="1985"/>
      <c r="D541" s="1985"/>
      <c r="E541" s="1985"/>
      <c r="F541" s="1985"/>
      <c r="G541" s="1985"/>
      <c r="H541" s="1986"/>
      <c r="I541" s="1986"/>
      <c r="J541" s="1986"/>
      <c r="K541" s="1986"/>
      <c r="L541" s="1986"/>
      <c r="M541" s="2013">
        <v>2007</v>
      </c>
      <c r="N541" s="2013">
        <v>2008</v>
      </c>
      <c r="O541" s="2013">
        <v>2009</v>
      </c>
      <c r="P541" s="2013">
        <v>2010</v>
      </c>
      <c r="Q541" s="2013">
        <v>2011</v>
      </c>
      <c r="R541" s="2013">
        <v>2012</v>
      </c>
      <c r="S541" s="2013">
        <v>2013</v>
      </c>
      <c r="T541" s="2013">
        <v>2014</v>
      </c>
      <c r="U541" s="2013">
        <v>2015</v>
      </c>
      <c r="V541" s="2013">
        <v>2016</v>
      </c>
      <c r="W541" s="2013">
        <v>2017</v>
      </c>
      <c r="X541" s="2013">
        <v>2018</v>
      </c>
      <c r="Y541" s="2013">
        <v>2019</v>
      </c>
      <c r="Z541" s="2013">
        <v>2020</v>
      </c>
      <c r="AA541" s="2013">
        <v>2021</v>
      </c>
      <c r="AB541" s="2014">
        <v>2022</v>
      </c>
      <c r="AC541" s="1972"/>
      <c r="AD541" s="1972"/>
      <c r="AF541" s="395"/>
      <c r="AG541" s="395"/>
      <c r="AH541" s="395"/>
    </row>
    <row r="542" spans="1:34">
      <c r="A542" s="1997"/>
      <c r="B542" s="583"/>
      <c r="C542" s="583"/>
      <c r="D542" s="583"/>
      <c r="E542" s="583"/>
      <c r="F542" s="583"/>
      <c r="G542" s="583"/>
      <c r="H542" s="397" t="s">
        <v>1383</v>
      </c>
      <c r="I542" s="397"/>
      <c r="J542" s="397"/>
      <c r="K542" s="397"/>
      <c r="L542" s="397"/>
      <c r="M542" s="1487"/>
      <c r="N542" s="1487">
        <v>1092.52</v>
      </c>
      <c r="O542" s="1487"/>
      <c r="P542" s="1487"/>
      <c r="Q542" s="1487">
        <v>197.9</v>
      </c>
      <c r="R542" s="1487"/>
      <c r="S542" s="1487"/>
      <c r="T542" s="1487"/>
      <c r="U542" s="1487"/>
      <c r="V542" s="1487"/>
      <c r="W542" s="1487"/>
      <c r="X542" s="1487"/>
      <c r="Y542" s="1487"/>
      <c r="Z542" s="1487"/>
      <c r="AA542" s="1487"/>
      <c r="AB542" s="1489"/>
      <c r="AF542" s="395"/>
      <c r="AG542" s="395"/>
      <c r="AH542" s="395"/>
    </row>
    <row r="543" spans="1:34">
      <c r="A543" s="1997"/>
      <c r="B543" s="583"/>
      <c r="C543" s="583"/>
      <c r="D543" s="583"/>
      <c r="E543" s="583"/>
      <c r="F543" s="583"/>
      <c r="G543" s="583"/>
      <c r="H543" s="397" t="s">
        <v>2320</v>
      </c>
      <c r="I543" s="397"/>
      <c r="J543" s="397"/>
      <c r="K543" s="397"/>
      <c r="L543" s="397"/>
      <c r="M543" s="1487"/>
      <c r="N543" s="1487"/>
      <c r="O543" s="1487"/>
      <c r="P543" s="1487">
        <v>1045.51</v>
      </c>
      <c r="Q543" s="1487"/>
      <c r="R543" s="1487"/>
      <c r="S543" s="1487"/>
      <c r="T543" s="1487"/>
      <c r="U543" s="1487"/>
      <c r="V543" s="1487"/>
      <c r="W543" s="1487"/>
      <c r="X543" s="1487"/>
      <c r="Y543" s="1487"/>
      <c r="Z543" s="1487"/>
      <c r="AA543" s="1487"/>
      <c r="AB543" s="1489"/>
      <c r="AF543" s="395"/>
      <c r="AG543" s="395"/>
      <c r="AH543" s="395"/>
    </row>
    <row r="544" spans="1:34">
      <c r="A544" s="1997"/>
      <c r="B544" s="583"/>
      <c r="C544" s="583"/>
      <c r="D544" s="583"/>
      <c r="E544" s="583"/>
      <c r="F544" s="583"/>
      <c r="G544" s="583"/>
      <c r="H544" s="397" t="s">
        <v>1199</v>
      </c>
      <c r="I544" s="397"/>
      <c r="J544" s="397"/>
      <c r="K544" s="397"/>
      <c r="L544" s="397"/>
      <c r="M544" s="1487"/>
      <c r="N544" s="1487"/>
      <c r="O544" s="1487"/>
      <c r="P544" s="1487"/>
      <c r="Q544" s="1487"/>
      <c r="R544" s="1487"/>
      <c r="S544" s="1487"/>
      <c r="T544" s="1487">
        <v>7117.58</v>
      </c>
      <c r="U544" s="1487"/>
      <c r="V544" s="1487"/>
      <c r="W544" s="1487"/>
      <c r="X544" s="1487"/>
      <c r="Y544" s="1487">
        <v>3738.9</v>
      </c>
      <c r="Z544" s="1487">
        <v>5626.5</v>
      </c>
      <c r="AA544" s="1487"/>
      <c r="AB544" s="1489"/>
      <c r="AF544" s="395"/>
      <c r="AG544" s="395"/>
      <c r="AH544" s="395"/>
    </row>
    <row r="545" spans="1:36">
      <c r="A545" s="2008" t="s">
        <v>1192</v>
      </c>
      <c r="B545" s="2022"/>
      <c r="C545" s="2022"/>
      <c r="D545" s="2022"/>
      <c r="E545" s="2022"/>
      <c r="F545" s="2022"/>
      <c r="G545" s="2022"/>
      <c r="H545" s="2010"/>
      <c r="I545" s="2010"/>
      <c r="J545" s="2010"/>
      <c r="K545" s="2010"/>
      <c r="L545" s="2010"/>
      <c r="M545" s="2009">
        <f t="shared" ref="M545:AA545" si="92">SUM(M542:M544)</f>
        <v>0</v>
      </c>
      <c r="N545" s="2009">
        <f t="shared" si="92"/>
        <v>1092.52</v>
      </c>
      <c r="O545" s="2009">
        <f t="shared" si="92"/>
        <v>0</v>
      </c>
      <c r="P545" s="2009">
        <f t="shared" si="92"/>
        <v>1045.51</v>
      </c>
      <c r="Q545" s="2009">
        <f t="shared" si="92"/>
        <v>197.9</v>
      </c>
      <c r="R545" s="2009">
        <f t="shared" si="92"/>
        <v>0</v>
      </c>
      <c r="S545" s="2009">
        <f t="shared" si="92"/>
        <v>0</v>
      </c>
      <c r="T545" s="2009">
        <f t="shared" si="92"/>
        <v>7117.58</v>
      </c>
      <c r="U545" s="2009">
        <f t="shared" si="92"/>
        <v>0</v>
      </c>
      <c r="V545" s="2009">
        <f t="shared" si="92"/>
        <v>0</v>
      </c>
      <c r="W545" s="2009">
        <f t="shared" si="92"/>
        <v>0</v>
      </c>
      <c r="X545" s="2009">
        <f t="shared" si="92"/>
        <v>0</v>
      </c>
      <c r="Y545" s="2009">
        <f t="shared" si="92"/>
        <v>3738.9</v>
      </c>
      <c r="Z545" s="2009">
        <f t="shared" si="92"/>
        <v>5626.5</v>
      </c>
      <c r="AA545" s="2009">
        <f t="shared" si="92"/>
        <v>0</v>
      </c>
      <c r="AB545" s="2011"/>
      <c r="AF545" s="395"/>
      <c r="AG545" s="395"/>
      <c r="AH545" s="395"/>
    </row>
    <row r="546" spans="1:36">
      <c r="A546" s="1997"/>
      <c r="B546" s="583"/>
      <c r="C546" s="583"/>
      <c r="D546" s="583"/>
      <c r="E546" s="583"/>
      <c r="F546" s="583"/>
      <c r="G546" s="583"/>
      <c r="H546" s="397"/>
      <c r="I546" s="397"/>
      <c r="J546" s="397"/>
      <c r="K546" s="397"/>
      <c r="L546" s="397"/>
      <c r="M546" s="1487"/>
      <c r="N546" s="1487"/>
      <c r="O546" s="1487"/>
      <c r="P546" s="1487"/>
      <c r="Q546" s="1487"/>
      <c r="R546" s="1487"/>
      <c r="S546" s="1487"/>
      <c r="T546" s="397"/>
      <c r="U546" s="397"/>
      <c r="V546" s="397"/>
      <c r="W546" s="1487"/>
      <c r="X546" s="1487"/>
      <c r="Y546" s="1487"/>
      <c r="Z546" s="1487"/>
      <c r="AA546" s="1487"/>
      <c r="AB546" s="1489"/>
      <c r="AF546" s="395"/>
      <c r="AG546" s="395"/>
      <c r="AH546" s="395"/>
    </row>
    <row r="547" spans="1:36">
      <c r="A547" s="2066"/>
      <c r="B547" s="387"/>
      <c r="C547" s="387"/>
      <c r="D547" s="387"/>
      <c r="E547" s="387"/>
      <c r="F547" s="387"/>
      <c r="G547" s="387"/>
      <c r="H547" s="1591"/>
      <c r="I547" s="1591"/>
      <c r="J547" s="1591"/>
      <c r="K547" s="1591"/>
      <c r="L547" s="1591"/>
      <c r="M547" s="1487"/>
      <c r="N547" s="1487"/>
      <c r="O547" s="1487"/>
      <c r="P547" s="1487"/>
      <c r="Q547" s="1487"/>
      <c r="R547" s="1487"/>
      <c r="S547" s="1487"/>
      <c r="T547" s="397"/>
      <c r="U547" s="397"/>
      <c r="V547" s="397"/>
      <c r="W547" s="1487"/>
      <c r="X547" s="1487"/>
      <c r="Y547" s="1487"/>
      <c r="Z547" s="1487"/>
      <c r="AA547" s="1487"/>
      <c r="AB547" s="1489"/>
      <c r="AF547" s="395"/>
      <c r="AG547" s="395"/>
      <c r="AH547" s="395"/>
    </row>
    <row r="548" spans="1:36">
      <c r="A548" s="2067"/>
      <c r="B548" s="2068"/>
      <c r="C548" s="2068"/>
      <c r="D548" s="2068"/>
      <c r="E548" s="2068"/>
      <c r="F548" s="2068"/>
      <c r="G548" s="2068"/>
      <c r="H548" s="2049"/>
      <c r="I548" s="2049"/>
      <c r="J548" s="2027"/>
      <c r="K548" s="2027" t="s">
        <v>1194</v>
      </c>
      <c r="L548" s="2028" t="s">
        <v>1195</v>
      </c>
      <c r="M548" s="1990">
        <v>2007</v>
      </c>
      <c r="N548" s="1990">
        <v>2008</v>
      </c>
      <c r="O548" s="1990">
        <v>2009</v>
      </c>
      <c r="P548" s="1990">
        <v>2010</v>
      </c>
      <c r="Q548" s="1990">
        <v>2011</v>
      </c>
      <c r="R548" s="1990">
        <v>2012</v>
      </c>
      <c r="S548" s="1990">
        <v>2013</v>
      </c>
      <c r="T548" s="1990">
        <v>2014</v>
      </c>
      <c r="U548" s="1990">
        <v>2015</v>
      </c>
      <c r="V548" s="1990">
        <v>2016</v>
      </c>
      <c r="W548" s="1990">
        <v>2017</v>
      </c>
      <c r="X548" s="1990">
        <v>2018</v>
      </c>
      <c r="Y548" s="1990">
        <v>2019</v>
      </c>
      <c r="Z548" s="1990">
        <v>2020</v>
      </c>
      <c r="AA548" s="1990">
        <v>2021</v>
      </c>
      <c r="AB548" s="2050">
        <v>2022</v>
      </c>
      <c r="AC548" s="395"/>
      <c r="AD548" s="395"/>
      <c r="AF548" s="395"/>
      <c r="AG548" s="395"/>
      <c r="AH548" s="395"/>
    </row>
    <row r="549" spans="1:36">
      <c r="A549" s="2033"/>
      <c r="B549" s="3838"/>
      <c r="C549" s="583"/>
      <c r="D549" s="583"/>
      <c r="E549" s="583"/>
      <c r="F549" s="583"/>
      <c r="G549" s="583"/>
      <c r="H549" s="397"/>
      <c r="I549" s="397"/>
      <c r="J549" s="1487"/>
      <c r="K549" s="2039"/>
      <c r="L549" s="2040"/>
      <c r="M549" s="2040"/>
      <c r="N549" s="2040"/>
      <c r="O549" s="2040"/>
      <c r="P549" s="2040"/>
      <c r="Q549" s="2040"/>
      <c r="R549" s="2040"/>
      <c r="S549" s="2040"/>
      <c r="T549" s="2040"/>
      <c r="U549" s="2040"/>
      <c r="V549" s="2040"/>
      <c r="W549" s="2040"/>
      <c r="X549" s="2040"/>
      <c r="Y549" s="1487"/>
      <c r="Z549" s="1487"/>
      <c r="AA549" s="1487"/>
      <c r="AB549" s="2017"/>
      <c r="AC549" s="395"/>
      <c r="AD549" s="395"/>
      <c r="AE549" s="1975"/>
      <c r="AF549" s="1975"/>
      <c r="AG549" s="1975"/>
      <c r="AH549" s="1975"/>
      <c r="AI549" s="1975"/>
      <c r="AJ549" s="1975"/>
    </row>
    <row r="550" spans="1:36">
      <c r="A550" s="2034"/>
      <c r="B550" s="3838"/>
      <c r="C550" s="583"/>
      <c r="D550" s="583"/>
      <c r="E550" s="583"/>
      <c r="F550" s="583"/>
      <c r="G550" s="583"/>
      <c r="H550" s="397"/>
      <c r="I550" s="397"/>
      <c r="J550" s="1487"/>
      <c r="K550" s="2039"/>
      <c r="L550" s="2040"/>
      <c r="M550" s="2040"/>
      <c r="N550" s="2040"/>
      <c r="O550" s="2040"/>
      <c r="P550" s="2040"/>
      <c r="Q550" s="2040"/>
      <c r="R550" s="2040"/>
      <c r="S550" s="2040"/>
      <c r="T550" s="2040"/>
      <c r="U550" s="2040"/>
      <c r="V550" s="2040"/>
      <c r="W550" s="2040"/>
      <c r="X550" s="2040"/>
      <c r="Y550" s="1487"/>
      <c r="Z550" s="1487"/>
      <c r="AA550" s="1487"/>
      <c r="AB550" s="1489"/>
      <c r="AC550" s="395"/>
      <c r="AD550" s="395"/>
      <c r="AE550" s="1975"/>
      <c r="AF550" s="1975"/>
      <c r="AG550" s="1975"/>
      <c r="AH550" s="1975"/>
      <c r="AI550" s="1975"/>
      <c r="AJ550" s="1975"/>
    </row>
    <row r="551" spans="1:36">
      <c r="A551" s="2034"/>
      <c r="B551" s="3838"/>
      <c r="C551" s="583"/>
      <c r="D551" s="583"/>
      <c r="E551" s="583"/>
      <c r="F551" s="583"/>
      <c r="G551" s="583"/>
      <c r="H551" s="397"/>
      <c r="I551" s="397"/>
      <c r="J551" s="1487"/>
      <c r="K551" s="2039"/>
      <c r="L551" s="2040"/>
      <c r="M551" s="2040"/>
      <c r="N551" s="2040"/>
      <c r="O551" s="2040"/>
      <c r="P551" s="2040"/>
      <c r="Q551" s="2040"/>
      <c r="R551" s="2040"/>
      <c r="S551" s="2040"/>
      <c r="T551" s="2040"/>
      <c r="U551" s="2040"/>
      <c r="V551" s="2040"/>
      <c r="W551" s="2040"/>
      <c r="X551" s="2040"/>
      <c r="Y551" s="1487"/>
      <c r="Z551" s="1487"/>
      <c r="AA551" s="1487"/>
      <c r="AB551" s="1489"/>
      <c r="AC551" s="395"/>
      <c r="AD551" s="395"/>
      <c r="AE551" s="1975"/>
      <c r="AF551" s="1975"/>
      <c r="AG551" s="1975"/>
      <c r="AH551" s="1975"/>
      <c r="AI551" s="1975"/>
      <c r="AJ551" s="1975"/>
    </row>
    <row r="552" spans="1:36">
      <c r="A552" s="2034"/>
      <c r="B552" s="3838"/>
      <c r="C552" s="583"/>
      <c r="D552" s="583"/>
      <c r="E552" s="583"/>
      <c r="F552" s="583"/>
      <c r="G552" s="583"/>
      <c r="H552" s="397"/>
      <c r="I552" s="397"/>
      <c r="J552" s="1487"/>
      <c r="K552" s="2039"/>
      <c r="L552" s="2040"/>
      <c r="M552" s="2040"/>
      <c r="N552" s="2040"/>
      <c r="O552" s="2040"/>
      <c r="P552" s="2040"/>
      <c r="Q552" s="2040"/>
      <c r="R552" s="2040"/>
      <c r="S552" s="2040"/>
      <c r="T552" s="2040"/>
      <c r="U552" s="2040"/>
      <c r="V552" s="2040"/>
      <c r="W552" s="2040"/>
      <c r="X552" s="2040"/>
      <c r="Y552" s="1487"/>
      <c r="Z552" s="1487"/>
      <c r="AA552" s="1487"/>
      <c r="AB552" s="1489"/>
      <c r="AC552" s="395"/>
      <c r="AD552" s="395"/>
      <c r="AE552" s="1975"/>
      <c r="AF552" s="1975"/>
      <c r="AG552" s="1975"/>
      <c r="AH552" s="1975"/>
      <c r="AI552" s="1975"/>
      <c r="AJ552" s="1975"/>
    </row>
    <row r="553" spans="1:36">
      <c r="A553" s="2034">
        <v>2020</v>
      </c>
      <c r="B553" s="3838"/>
      <c r="C553" s="583"/>
      <c r="D553" s="583"/>
      <c r="E553" s="583"/>
      <c r="F553" s="583"/>
      <c r="G553" s="583"/>
      <c r="H553" s="397" t="s">
        <v>1199</v>
      </c>
      <c r="I553" s="397"/>
      <c r="J553" s="1487">
        <v>5626.5</v>
      </c>
      <c r="K553" s="2039" t="s">
        <v>1197</v>
      </c>
      <c r="L553" s="2040">
        <f>J553/5</f>
        <v>1125.3</v>
      </c>
      <c r="M553" s="2040"/>
      <c r="N553" s="2040"/>
      <c r="O553" s="2040"/>
      <c r="P553" s="2040"/>
      <c r="Q553" s="2040"/>
      <c r="R553" s="2040"/>
      <c r="S553" s="2040"/>
      <c r="T553" s="2040"/>
      <c r="U553" s="2040"/>
      <c r="V553" s="2040"/>
      <c r="W553" s="2040"/>
      <c r="X553" s="2040"/>
      <c r="Y553" s="1487"/>
      <c r="Z553" s="1487">
        <v>1125.3</v>
      </c>
      <c r="AA553" s="1487">
        <v>1125.3</v>
      </c>
      <c r="AB553" s="1489">
        <v>1125.3</v>
      </c>
      <c r="AC553" s="395"/>
      <c r="AD553" s="395"/>
      <c r="AE553" s="1975"/>
      <c r="AF553" s="1975"/>
      <c r="AG553" s="1975"/>
      <c r="AH553" s="1975"/>
      <c r="AI553" s="1975"/>
      <c r="AJ553" s="1975"/>
    </row>
    <row r="554" spans="1:36">
      <c r="A554" s="2034"/>
      <c r="B554" s="3838"/>
      <c r="C554" s="583"/>
      <c r="D554" s="583"/>
      <c r="E554" s="583"/>
      <c r="F554" s="583"/>
      <c r="G554" s="583"/>
      <c r="H554" s="397"/>
      <c r="I554" s="397"/>
      <c r="J554" s="1487"/>
      <c r="K554" s="2039"/>
      <c r="L554" s="2040"/>
      <c r="M554" s="2040"/>
      <c r="N554" s="2040"/>
      <c r="O554" s="2040"/>
      <c r="P554" s="2040"/>
      <c r="Q554" s="2040"/>
      <c r="R554" s="2040"/>
      <c r="S554" s="2040"/>
      <c r="T554" s="2040"/>
      <c r="U554" s="2040"/>
      <c r="V554" s="2040"/>
      <c r="W554" s="2040"/>
      <c r="X554" s="2040"/>
      <c r="Y554" s="1487"/>
      <c r="Z554" s="1487"/>
      <c r="AA554" s="1487"/>
      <c r="AB554" s="1489"/>
      <c r="AC554" s="395"/>
      <c r="AD554" s="395"/>
      <c r="AE554" s="1975"/>
      <c r="AF554" s="1975"/>
      <c r="AG554" s="1975"/>
      <c r="AH554" s="1975"/>
      <c r="AI554" s="1975"/>
      <c r="AJ554" s="1975"/>
    </row>
    <row r="555" spans="1:36">
      <c r="A555" s="2034">
        <v>2019</v>
      </c>
      <c r="B555" s="3838"/>
      <c r="C555" s="583"/>
      <c r="D555" s="583"/>
      <c r="E555" s="583"/>
      <c r="F555" s="583"/>
      <c r="G555" s="583"/>
      <c r="H555" s="397" t="s">
        <v>1199</v>
      </c>
      <c r="I555" s="397"/>
      <c r="J555" s="1487">
        <v>3738.9</v>
      </c>
      <c r="K555" s="2039" t="s">
        <v>1197</v>
      </c>
      <c r="L555" s="2040">
        <f>J555/5</f>
        <v>747.78</v>
      </c>
      <c r="M555" s="2040"/>
      <c r="N555" s="2040"/>
      <c r="O555" s="2040"/>
      <c r="P555" s="2040"/>
      <c r="Q555" s="2040"/>
      <c r="R555" s="2040"/>
      <c r="S555" s="2040"/>
      <c r="T555" s="2040"/>
      <c r="U555" s="2040"/>
      <c r="V555" s="2040"/>
      <c r="W555" s="2040"/>
      <c r="X555" s="2040"/>
      <c r="Y555" s="1487">
        <v>747.78</v>
      </c>
      <c r="Z555" s="1487">
        <v>747.78</v>
      </c>
      <c r="AA555" s="1487">
        <v>747.78</v>
      </c>
      <c r="AB555" s="1489">
        <v>747.78</v>
      </c>
      <c r="AC555" s="395"/>
      <c r="AD555" s="395"/>
      <c r="AE555" s="1975"/>
      <c r="AF555" s="1975"/>
      <c r="AG555" s="1975"/>
      <c r="AH555" s="1975"/>
      <c r="AI555" s="1975"/>
      <c r="AJ555" s="1975"/>
    </row>
    <row r="556" spans="1:36">
      <c r="A556" s="2034"/>
      <c r="B556" s="3838"/>
      <c r="C556" s="583"/>
      <c r="D556" s="583"/>
      <c r="E556" s="583"/>
      <c r="F556" s="583"/>
      <c r="G556" s="583"/>
      <c r="H556" s="397"/>
      <c r="I556" s="397"/>
      <c r="J556" s="1487"/>
      <c r="K556" s="2039"/>
      <c r="L556" s="2040"/>
      <c r="M556" s="2040"/>
      <c r="N556" s="2040"/>
      <c r="O556" s="2040"/>
      <c r="P556" s="2040"/>
      <c r="Q556" s="2040"/>
      <c r="R556" s="2040"/>
      <c r="S556" s="2040"/>
      <c r="T556" s="2040"/>
      <c r="U556" s="2040"/>
      <c r="V556" s="2040"/>
      <c r="W556" s="2040"/>
      <c r="X556" s="2040"/>
      <c r="Y556" s="1487"/>
      <c r="Z556" s="1487"/>
      <c r="AA556" s="1487"/>
      <c r="AB556" s="1489"/>
      <c r="AC556" s="395"/>
      <c r="AD556" s="395"/>
      <c r="AE556" s="1975"/>
      <c r="AF556" s="1975"/>
      <c r="AG556" s="1975"/>
      <c r="AH556" s="1975"/>
      <c r="AI556" s="1975"/>
      <c r="AJ556" s="1975"/>
    </row>
    <row r="557" spans="1:36">
      <c r="A557" s="2034">
        <v>2014</v>
      </c>
      <c r="B557" s="3838"/>
      <c r="C557" s="583"/>
      <c r="D557" s="583"/>
      <c r="E557" s="583"/>
      <c r="F557" s="583"/>
      <c r="G557" s="583"/>
      <c r="H557" s="397" t="s">
        <v>1199</v>
      </c>
      <c r="I557" s="397"/>
      <c r="J557" s="1487">
        <v>7117.58</v>
      </c>
      <c r="K557" s="2039" t="s">
        <v>1197</v>
      </c>
      <c r="L557" s="2040">
        <f>J557/5</f>
        <v>1423.5160000000001</v>
      </c>
      <c r="M557" s="2040"/>
      <c r="N557" s="2040"/>
      <c r="O557" s="2040"/>
      <c r="P557" s="2040"/>
      <c r="Q557" s="2040"/>
      <c r="R557" s="2040"/>
      <c r="S557" s="2040"/>
      <c r="T557" s="2040">
        <f>L557</f>
        <v>1423.5160000000001</v>
      </c>
      <c r="U557" s="2040">
        <v>1423.52</v>
      </c>
      <c r="V557" s="2040">
        <v>1423.52</v>
      </c>
      <c r="W557" s="2040">
        <v>1423.52</v>
      </c>
      <c r="X557" s="2040">
        <v>1423.52</v>
      </c>
      <c r="Y557" s="1487"/>
      <c r="Z557" s="1487"/>
      <c r="AA557" s="1487"/>
      <c r="AB557" s="1489"/>
      <c r="AC557" s="395"/>
      <c r="AD557" s="395"/>
      <c r="AE557" s="1975"/>
      <c r="AF557" s="1975"/>
      <c r="AG557" s="1975"/>
      <c r="AH557" s="1975"/>
      <c r="AI557" s="1975"/>
      <c r="AJ557" s="1975"/>
    </row>
    <row r="558" spans="1:36">
      <c r="A558" s="2034"/>
      <c r="B558" s="3838"/>
      <c r="C558" s="583"/>
      <c r="D558" s="583"/>
      <c r="E558" s="583"/>
      <c r="F558" s="583"/>
      <c r="G558" s="583"/>
      <c r="H558" s="397"/>
      <c r="I558" s="397"/>
      <c r="J558" s="1487"/>
      <c r="K558" s="2039"/>
      <c r="L558" s="2040"/>
      <c r="M558" s="2040"/>
      <c r="N558" s="2040"/>
      <c r="O558" s="2040"/>
      <c r="P558" s="2040"/>
      <c r="Q558" s="2040"/>
      <c r="R558" s="2040"/>
      <c r="S558" s="2040"/>
      <c r="T558" s="2040"/>
      <c r="U558" s="2040"/>
      <c r="V558" s="2040"/>
      <c r="W558" s="2040"/>
      <c r="X558" s="2040"/>
      <c r="Y558" s="1487"/>
      <c r="Z558" s="1487"/>
      <c r="AA558" s="1487"/>
      <c r="AB558" s="1489"/>
      <c r="AC558" s="395"/>
      <c r="AD558" s="395"/>
      <c r="AE558" s="1975"/>
      <c r="AF558" s="1975"/>
      <c r="AG558" s="1975"/>
      <c r="AH558" s="1975"/>
      <c r="AI558" s="1975"/>
      <c r="AJ558" s="1975"/>
    </row>
    <row r="559" spans="1:36">
      <c r="A559" s="2034">
        <v>2012</v>
      </c>
      <c r="B559" s="3838"/>
      <c r="C559" s="583"/>
      <c r="D559" s="583"/>
      <c r="E559" s="583"/>
      <c r="F559" s="583"/>
      <c r="G559" s="583"/>
      <c r="H559" s="397" t="s">
        <v>2321</v>
      </c>
      <c r="I559" s="397"/>
      <c r="J559" s="2042">
        <v>567.49</v>
      </c>
      <c r="K559" s="2039" t="s">
        <v>1197</v>
      </c>
      <c r="L559" s="2040">
        <f>J559/5</f>
        <v>113.498</v>
      </c>
      <c r="M559" s="2040"/>
      <c r="N559" s="2040"/>
      <c r="O559" s="2040"/>
      <c r="P559" s="2040"/>
      <c r="Q559" s="2040"/>
      <c r="R559" s="2040"/>
      <c r="S559" s="2040">
        <v>113.5</v>
      </c>
      <c r="T559" s="2040">
        <v>113.5</v>
      </c>
      <c r="U559" s="2040">
        <v>113.5</v>
      </c>
      <c r="V559" s="2040">
        <v>113.5</v>
      </c>
      <c r="W559" s="2040">
        <v>113.5</v>
      </c>
      <c r="X559" s="2040"/>
      <c r="Y559" s="1487"/>
      <c r="Z559" s="1487"/>
      <c r="AA559" s="1487"/>
      <c r="AB559" s="1489"/>
      <c r="AC559" s="395"/>
      <c r="AD559" s="395"/>
      <c r="AE559" s="1975"/>
      <c r="AF559" s="1975"/>
      <c r="AG559" s="1975"/>
      <c r="AH559" s="1975"/>
      <c r="AI559" s="1975"/>
      <c r="AJ559" s="1975"/>
    </row>
    <row r="560" spans="1:36">
      <c r="A560" s="2034"/>
      <c r="B560" s="3838"/>
      <c r="C560" s="583"/>
      <c r="D560" s="583"/>
      <c r="E560" s="583"/>
      <c r="F560" s="583"/>
      <c r="G560" s="583"/>
      <c r="H560" s="397"/>
      <c r="I560" s="397"/>
      <c r="J560" s="1487"/>
      <c r="K560" s="2039"/>
      <c r="L560" s="2040"/>
      <c r="M560" s="2040"/>
      <c r="N560" s="2040"/>
      <c r="O560" s="2040"/>
      <c r="P560" s="2040"/>
      <c r="Q560" s="2040"/>
      <c r="R560" s="2040"/>
      <c r="S560" s="2040"/>
      <c r="T560" s="2040"/>
      <c r="U560" s="2040"/>
      <c r="V560" s="2040"/>
      <c r="W560" s="2040"/>
      <c r="X560" s="2040"/>
      <c r="Y560" s="1487"/>
      <c r="Z560" s="1487"/>
      <c r="AA560" s="1487"/>
      <c r="AB560" s="1489"/>
      <c r="AC560" s="395"/>
      <c r="AD560" s="395"/>
      <c r="AE560" s="1975"/>
      <c r="AF560" s="1975"/>
      <c r="AG560" s="1975"/>
      <c r="AH560" s="1975"/>
      <c r="AI560" s="1975"/>
      <c r="AJ560" s="1975"/>
    </row>
    <row r="561" spans="1:34">
      <c r="A561" s="2034">
        <v>2011</v>
      </c>
      <c r="B561" s="3838"/>
      <c r="C561" s="583"/>
      <c r="D561" s="583"/>
      <c r="E561" s="583"/>
      <c r="F561" s="583"/>
      <c r="G561" s="583"/>
      <c r="H561" s="397" t="s">
        <v>2322</v>
      </c>
      <c r="I561" s="397"/>
      <c r="J561" s="2043">
        <v>197.9</v>
      </c>
      <c r="K561" s="2039" t="s">
        <v>1197</v>
      </c>
      <c r="L561" s="2040">
        <f>J561/5</f>
        <v>39.58</v>
      </c>
      <c r="M561" s="1487"/>
      <c r="N561" s="1487"/>
      <c r="O561" s="1487"/>
      <c r="P561" s="1487"/>
      <c r="Q561" s="1487"/>
      <c r="R561" s="1487">
        <f>$L$561</f>
        <v>39.58</v>
      </c>
      <c r="S561" s="1487">
        <f>$L$561</f>
        <v>39.58</v>
      </c>
      <c r="T561" s="1487">
        <f>$L$561</f>
        <v>39.58</v>
      </c>
      <c r="U561" s="1487">
        <f>$L$561</f>
        <v>39.58</v>
      </c>
      <c r="V561" s="1487">
        <f>$L$561</f>
        <v>39.58</v>
      </c>
      <c r="W561" s="1487"/>
      <c r="X561" s="1487"/>
      <c r="Y561" s="1487"/>
      <c r="Z561" s="1487"/>
      <c r="AA561" s="1487"/>
      <c r="AB561" s="1489"/>
      <c r="AC561" s="395"/>
      <c r="AD561" s="395"/>
      <c r="AF561" s="395"/>
      <c r="AG561" s="395"/>
      <c r="AH561" s="395"/>
    </row>
    <row r="562" spans="1:34">
      <c r="A562" s="2034"/>
      <c r="B562" s="3838"/>
      <c r="C562" s="583"/>
      <c r="D562" s="583"/>
      <c r="E562" s="583"/>
      <c r="F562" s="583"/>
      <c r="G562" s="583"/>
      <c r="H562" s="397"/>
      <c r="I562" s="397"/>
      <c r="J562" s="1487"/>
      <c r="K562" s="2039"/>
      <c r="L562" s="1487"/>
      <c r="M562" s="1487"/>
      <c r="N562" s="1487"/>
      <c r="O562" s="1487"/>
      <c r="P562" s="1487"/>
      <c r="Q562" s="1487"/>
      <c r="R562" s="1487"/>
      <c r="S562" s="1487"/>
      <c r="T562" s="1487"/>
      <c r="U562" s="1487"/>
      <c r="V562" s="1487"/>
      <c r="W562" s="1487"/>
      <c r="X562" s="1487"/>
      <c r="Y562" s="1487"/>
      <c r="Z562" s="1487"/>
      <c r="AA562" s="1487"/>
      <c r="AB562" s="1489"/>
      <c r="AC562" s="395"/>
      <c r="AD562" s="395"/>
      <c r="AF562" s="395"/>
      <c r="AG562" s="395"/>
      <c r="AH562" s="395"/>
    </row>
    <row r="563" spans="1:34">
      <c r="A563" s="2034">
        <v>2010</v>
      </c>
      <c r="B563" s="3838"/>
      <c r="C563" s="583"/>
      <c r="D563" s="583"/>
      <c r="E563" s="583"/>
      <c r="F563" s="583"/>
      <c r="G563" s="583"/>
      <c r="H563" s="397" t="s">
        <v>2320</v>
      </c>
      <c r="I563" s="397"/>
      <c r="J563" s="2042">
        <v>1045.51</v>
      </c>
      <c r="K563" s="2039" t="s">
        <v>1197</v>
      </c>
      <c r="L563" s="1487">
        <f>J563/5</f>
        <v>209.102</v>
      </c>
      <c r="M563" s="1487"/>
      <c r="N563" s="1487"/>
      <c r="O563" s="1487"/>
      <c r="P563" s="1487"/>
      <c r="Q563" s="1487">
        <f>$L$563</f>
        <v>209.102</v>
      </c>
      <c r="R563" s="1487">
        <f>$L$563</f>
        <v>209.102</v>
      </c>
      <c r="S563" s="1487">
        <f>$L$563</f>
        <v>209.102</v>
      </c>
      <c r="T563" s="1487">
        <f>$L$563</f>
        <v>209.102</v>
      </c>
      <c r="U563" s="1487">
        <f>$L$563</f>
        <v>209.102</v>
      </c>
      <c r="V563" s="1487"/>
      <c r="W563" s="1487"/>
      <c r="X563" s="1487"/>
      <c r="Y563" s="1487"/>
      <c r="Z563" s="1487"/>
      <c r="AA563" s="1487"/>
      <c r="AB563" s="1489"/>
      <c r="AC563" s="395"/>
      <c r="AD563" s="395"/>
    </row>
    <row r="564" spans="1:34">
      <c r="A564" s="2034"/>
      <c r="B564" s="3838"/>
      <c r="C564" s="583"/>
      <c r="D564" s="583"/>
      <c r="E564" s="583"/>
      <c r="F564" s="583"/>
      <c r="G564" s="583"/>
      <c r="H564" s="397"/>
      <c r="I564" s="397"/>
      <c r="J564" s="1487"/>
      <c r="K564" s="2039"/>
      <c r="L564" s="1487"/>
      <c r="M564" s="1487"/>
      <c r="N564" s="1487"/>
      <c r="O564" s="1487"/>
      <c r="P564" s="1487"/>
      <c r="Q564" s="1487"/>
      <c r="R564" s="1487"/>
      <c r="S564" s="1487"/>
      <c r="T564" s="1487"/>
      <c r="U564" s="1487"/>
      <c r="V564" s="1487"/>
      <c r="W564" s="1487"/>
      <c r="X564" s="1487"/>
      <c r="Y564" s="1487"/>
      <c r="Z564" s="1487"/>
      <c r="AA564" s="1487"/>
      <c r="AB564" s="1489"/>
      <c r="AC564" s="395"/>
      <c r="AD564" s="395"/>
    </row>
    <row r="565" spans="1:34">
      <c r="A565" s="2034">
        <v>2008</v>
      </c>
      <c r="B565" s="3838"/>
      <c r="C565" s="583"/>
      <c r="D565" s="583"/>
      <c r="E565" s="583"/>
      <c r="F565" s="583"/>
      <c r="G565" s="583"/>
      <c r="H565" s="397" t="s">
        <v>2323</v>
      </c>
      <c r="I565" s="397"/>
      <c r="J565" s="1487">
        <v>1092.52</v>
      </c>
      <c r="K565" s="2039" t="s">
        <v>1197</v>
      </c>
      <c r="L565" s="1487">
        <f>J565/5</f>
        <v>218.50399999999999</v>
      </c>
      <c r="M565" s="1487"/>
      <c r="N565" s="1487"/>
      <c r="O565" s="1487">
        <f>$L$565</f>
        <v>218.50399999999999</v>
      </c>
      <c r="P565" s="1487">
        <f>$L$565</f>
        <v>218.50399999999999</v>
      </c>
      <c r="Q565" s="1487">
        <f>$L$565</f>
        <v>218.50399999999999</v>
      </c>
      <c r="R565" s="1487">
        <f>$L$565</f>
        <v>218.50399999999999</v>
      </c>
      <c r="S565" s="1487">
        <f>$L$565</f>
        <v>218.50399999999999</v>
      </c>
      <c r="T565" s="1487"/>
      <c r="U565" s="1487"/>
      <c r="V565" s="1487"/>
      <c r="W565" s="1487"/>
      <c r="X565" s="1487"/>
      <c r="Y565" s="1487"/>
      <c r="Z565" s="1487"/>
      <c r="AA565" s="1487"/>
      <c r="AB565" s="1489"/>
      <c r="AC565" s="395"/>
      <c r="AD565" s="395"/>
      <c r="AF565" s="395"/>
      <c r="AG565" s="395"/>
      <c r="AH565" s="395"/>
    </row>
    <row r="566" spans="1:34">
      <c r="A566" s="2034"/>
      <c r="B566" s="3838"/>
      <c r="C566" s="583"/>
      <c r="D566" s="583"/>
      <c r="E566" s="583"/>
      <c r="F566" s="583"/>
      <c r="G566" s="583"/>
      <c r="H566" s="397"/>
      <c r="I566" s="397"/>
      <c r="J566" s="2042">
        <f>SUM(J565:J565)</f>
        <v>1092.52</v>
      </c>
      <c r="K566" s="1487"/>
      <c r="L566" s="1487"/>
      <c r="M566" s="397"/>
      <c r="N566" s="397"/>
      <c r="O566" s="397"/>
      <c r="P566" s="397"/>
      <c r="Q566" s="397"/>
      <c r="R566" s="397"/>
      <c r="S566" s="397"/>
      <c r="T566" s="1487"/>
      <c r="U566" s="1487"/>
      <c r="V566" s="1487"/>
      <c r="W566" s="1487"/>
      <c r="X566" s="1487"/>
      <c r="Y566" s="1487"/>
      <c r="Z566" s="1487"/>
      <c r="AA566" s="1487"/>
      <c r="AB566" s="1489"/>
      <c r="AC566" s="395"/>
      <c r="AD566" s="395"/>
      <c r="AF566" s="395"/>
      <c r="AG566" s="395"/>
      <c r="AH566" s="395"/>
    </row>
    <row r="567" spans="1:34">
      <c r="A567" s="2035"/>
      <c r="B567" s="3838"/>
      <c r="C567" s="583"/>
      <c r="D567" s="583"/>
      <c r="E567" s="583"/>
      <c r="F567" s="583"/>
      <c r="G567" s="583"/>
      <c r="H567" s="397"/>
      <c r="I567" s="397"/>
      <c r="J567" s="1487"/>
      <c r="K567" s="1487"/>
      <c r="L567" s="1487"/>
      <c r="M567" s="397"/>
      <c r="N567" s="397"/>
      <c r="O567" s="397"/>
      <c r="P567" s="397"/>
      <c r="Q567" s="397"/>
      <c r="R567" s="397"/>
      <c r="S567" s="397"/>
      <c r="T567" s="1487"/>
      <c r="U567" s="1487"/>
      <c r="V567" s="1487"/>
      <c r="W567" s="1487"/>
      <c r="X567" s="1487"/>
      <c r="Y567" s="1487"/>
      <c r="Z567" s="1487"/>
      <c r="AA567" s="1487"/>
      <c r="AB567" s="1489"/>
      <c r="AC567" s="395"/>
      <c r="AD567" s="395"/>
      <c r="AF567" s="395"/>
      <c r="AG567" s="395"/>
      <c r="AH567" s="395"/>
    </row>
    <row r="568" spans="1:34">
      <c r="A568" s="2021"/>
      <c r="B568" s="2069"/>
      <c r="C568" s="2069"/>
      <c r="D568" s="2069"/>
      <c r="E568" s="2069"/>
      <c r="F568" s="2069"/>
      <c r="G568" s="2069"/>
      <c r="H568" s="2022" t="s">
        <v>1201</v>
      </c>
      <c r="I568" s="2022"/>
      <c r="J568" s="2010"/>
      <c r="K568" s="2010"/>
      <c r="L568" s="2010"/>
      <c r="M568" s="2009">
        <f>SUM(M549:M567)</f>
        <v>0</v>
      </c>
      <c r="N568" s="2009">
        <f t="shared" ref="N568:AB568" si="93">SUM(N549:N567)</f>
        <v>0</v>
      </c>
      <c r="O568" s="2009">
        <f t="shared" si="93"/>
        <v>218.50399999999999</v>
      </c>
      <c r="P568" s="2009">
        <f t="shared" si="93"/>
        <v>218.50399999999999</v>
      </c>
      <c r="Q568" s="2009">
        <f t="shared" si="93"/>
        <v>427.60599999999999</v>
      </c>
      <c r="R568" s="2009">
        <f t="shared" si="93"/>
        <v>467.18600000000004</v>
      </c>
      <c r="S568" s="2009">
        <f t="shared" si="93"/>
        <v>580.68600000000004</v>
      </c>
      <c r="T568" s="2009">
        <f t="shared" si="93"/>
        <v>1785.6980000000001</v>
      </c>
      <c r="U568" s="2009">
        <f t="shared" si="93"/>
        <v>1785.702</v>
      </c>
      <c r="V568" s="2009">
        <f t="shared" si="93"/>
        <v>1576.6</v>
      </c>
      <c r="W568" s="2009">
        <f t="shared" si="93"/>
        <v>1537.02</v>
      </c>
      <c r="X568" s="2009">
        <f t="shared" si="93"/>
        <v>1423.52</v>
      </c>
      <c r="Y568" s="2009">
        <f t="shared" si="93"/>
        <v>747.78</v>
      </c>
      <c r="Z568" s="2009">
        <f t="shared" si="93"/>
        <v>1873.08</v>
      </c>
      <c r="AA568" s="2009">
        <f t="shared" si="93"/>
        <v>1873.08</v>
      </c>
      <c r="AB568" s="2070">
        <f t="shared" si="93"/>
        <v>1873.08</v>
      </c>
      <c r="AC568" s="395"/>
      <c r="AD568" s="395"/>
      <c r="AF568" s="395"/>
      <c r="AG568" s="395"/>
      <c r="AH568" s="395"/>
    </row>
    <row r="569" spans="1:34">
      <c r="A569" s="1997"/>
      <c r="B569" s="583"/>
      <c r="C569" s="583"/>
      <c r="D569" s="583"/>
      <c r="E569" s="583"/>
      <c r="F569" s="583"/>
      <c r="G569" s="583"/>
      <c r="H569" s="397"/>
      <c r="I569" s="397"/>
      <c r="J569" s="397"/>
      <c r="K569" s="397"/>
      <c r="L569" s="397"/>
      <c r="M569" s="1487"/>
      <c r="N569" s="1487"/>
      <c r="O569" s="1487"/>
      <c r="P569" s="1487"/>
      <c r="Q569" s="1487"/>
      <c r="R569" s="1487"/>
      <c r="S569" s="1487"/>
      <c r="T569" s="397"/>
      <c r="U569" s="397"/>
      <c r="V569" s="397"/>
      <c r="W569" s="1487"/>
      <c r="X569" s="1487"/>
      <c r="Y569" s="1487"/>
      <c r="Z569" s="1487"/>
      <c r="AA569" s="1487"/>
      <c r="AB569" s="1489"/>
      <c r="AF569" s="395"/>
      <c r="AG569" s="395"/>
      <c r="AH569" s="395"/>
    </row>
    <row r="570" spans="1:34">
      <c r="A570" s="3154" t="s">
        <v>7105</v>
      </c>
      <c r="B570" s="2062"/>
      <c r="C570" s="2062"/>
      <c r="D570" s="2062"/>
      <c r="E570" s="2062"/>
      <c r="F570" s="2062"/>
      <c r="G570" s="2062"/>
      <c r="H570" s="397"/>
      <c r="I570" s="397"/>
      <c r="J570" s="397"/>
      <c r="K570" s="397"/>
      <c r="L570" s="397"/>
      <c r="M570" s="1487"/>
      <c r="N570" s="1487"/>
      <c r="O570" s="1487"/>
      <c r="P570" s="1487"/>
      <c r="Q570" s="1487"/>
      <c r="R570" s="1487"/>
      <c r="S570" s="1487"/>
      <c r="T570" s="397"/>
      <c r="U570" s="397"/>
      <c r="V570" s="397"/>
      <c r="W570" s="1487"/>
      <c r="X570" s="1487"/>
      <c r="Y570" s="1487"/>
      <c r="Z570" s="1487"/>
      <c r="AA570" s="1487"/>
      <c r="AB570" s="1489"/>
      <c r="AF570" s="395"/>
    </row>
    <row r="571" spans="1:34">
      <c r="A571" s="1997"/>
      <c r="B571" s="583"/>
      <c r="C571" s="583"/>
      <c r="D571" s="583"/>
      <c r="E571" s="583"/>
      <c r="F571" s="583"/>
      <c r="G571" s="583"/>
      <c r="H571" s="397"/>
      <c r="I571" s="397"/>
      <c r="J571" s="397"/>
      <c r="K571" s="397"/>
      <c r="L571" s="397"/>
      <c r="M571" s="1487"/>
      <c r="N571" s="1487"/>
      <c r="O571" s="1487"/>
      <c r="P571" s="1487"/>
      <c r="Q571" s="1487"/>
      <c r="R571" s="1487"/>
      <c r="S571" s="1487"/>
      <c r="T571" s="397"/>
      <c r="U571" s="397"/>
      <c r="V571" s="397"/>
      <c r="W571" s="1487"/>
      <c r="X571" s="1487"/>
      <c r="Y571" s="1487"/>
      <c r="Z571" s="1487"/>
      <c r="AA571" s="1487"/>
      <c r="AB571" s="1489"/>
      <c r="AF571" s="395"/>
    </row>
    <row r="572" spans="1:34">
      <c r="A572" s="1989" t="s">
        <v>623</v>
      </c>
      <c r="B572" s="1991"/>
      <c r="C572" s="1991"/>
      <c r="D572" s="1991"/>
      <c r="E572" s="1991"/>
      <c r="F572" s="1991"/>
      <c r="G572" s="1991"/>
      <c r="H572" s="1991" t="s">
        <v>1002</v>
      </c>
      <c r="I572" s="1991"/>
      <c r="J572" s="1991"/>
      <c r="K572" s="1991"/>
      <c r="L572" s="1991"/>
      <c r="M572" s="1990">
        <v>2007</v>
      </c>
      <c r="N572" s="1990">
        <v>2008</v>
      </c>
      <c r="O572" s="1991">
        <v>2009</v>
      </c>
      <c r="P572" s="1991">
        <v>2010</v>
      </c>
      <c r="Q572" s="1991">
        <v>2011</v>
      </c>
      <c r="R572" s="1991">
        <v>2012</v>
      </c>
      <c r="S572" s="1991">
        <v>2013</v>
      </c>
      <c r="T572" s="1991">
        <v>2014</v>
      </c>
      <c r="U572" s="1991">
        <v>2015</v>
      </c>
      <c r="V572" s="1991">
        <v>2016</v>
      </c>
      <c r="W572" s="1991">
        <v>2017</v>
      </c>
      <c r="X572" s="1991">
        <v>2018</v>
      </c>
      <c r="Y572" s="1991">
        <v>2019</v>
      </c>
      <c r="Z572" s="1991">
        <v>2020</v>
      </c>
      <c r="AA572" s="1991">
        <v>2021</v>
      </c>
      <c r="AB572" s="1992">
        <v>2022</v>
      </c>
      <c r="AC572" s="380"/>
      <c r="AD572" s="380"/>
      <c r="AE572" s="1973"/>
      <c r="AF572" s="1633"/>
    </row>
    <row r="573" spans="1:34">
      <c r="A573" s="1984" t="s">
        <v>1003</v>
      </c>
      <c r="B573" s="1985"/>
      <c r="C573" s="1985"/>
      <c r="D573" s="1985"/>
      <c r="E573" s="1985"/>
      <c r="F573" s="1985"/>
      <c r="G573" s="1985"/>
      <c r="H573" s="1986"/>
      <c r="I573" s="1986"/>
      <c r="J573" s="1986"/>
      <c r="K573" s="1986"/>
      <c r="L573" s="1986"/>
      <c r="M573" s="1987"/>
      <c r="N573" s="1987"/>
      <c r="O573" s="1986"/>
      <c r="P573" s="1986"/>
      <c r="Q573" s="1986"/>
      <c r="R573" s="1986"/>
      <c r="S573" s="1986"/>
      <c r="T573" s="1987"/>
      <c r="U573" s="1987"/>
      <c r="V573" s="1987"/>
      <c r="W573" s="1987"/>
      <c r="X573" s="1987"/>
      <c r="Y573" s="1987"/>
      <c r="Z573" s="1987"/>
      <c r="AA573" s="1987"/>
      <c r="AB573" s="1988"/>
      <c r="AF573" s="395"/>
    </row>
    <row r="574" spans="1:34">
      <c r="A574" s="2048" t="s">
        <v>1202</v>
      </c>
      <c r="B574" s="1999"/>
      <c r="C574" s="1999"/>
      <c r="D574" s="1999"/>
      <c r="E574" s="1999"/>
      <c r="F574" s="1999"/>
      <c r="G574" s="1999"/>
      <c r="H574" s="397"/>
      <c r="I574" s="397"/>
      <c r="J574" s="397"/>
      <c r="K574" s="1995"/>
      <c r="L574" s="1996"/>
      <c r="M574" s="1487"/>
      <c r="N574" s="1487"/>
      <c r="O574" s="397"/>
      <c r="P574" s="397"/>
      <c r="Q574" s="397"/>
      <c r="R574" s="397"/>
      <c r="S574" s="397"/>
      <c r="T574" s="1487"/>
      <c r="U574" s="1487"/>
      <c r="V574" s="1487"/>
      <c r="W574" s="1487"/>
      <c r="X574" s="1487"/>
      <c r="Y574" s="1487"/>
      <c r="Z574" s="1487"/>
      <c r="AA574" s="1487"/>
      <c r="AB574" s="2017"/>
      <c r="AF574" s="395"/>
    </row>
    <row r="575" spans="1:34">
      <c r="A575" s="1997" t="s">
        <v>2324</v>
      </c>
      <c r="B575" s="583"/>
      <c r="C575" s="583"/>
      <c r="D575" s="583"/>
      <c r="E575" s="583"/>
      <c r="F575" s="583"/>
      <c r="G575" s="583"/>
      <c r="H575" s="397" t="s">
        <v>1204</v>
      </c>
      <c r="I575" s="397"/>
      <c r="J575" s="397"/>
      <c r="K575" s="397"/>
      <c r="L575" s="1998"/>
      <c r="M575" s="1487">
        <v>83.74</v>
      </c>
      <c r="N575" s="1487">
        <v>0</v>
      </c>
      <c r="O575" s="1487">
        <v>0</v>
      </c>
      <c r="P575" s="1487">
        <v>0</v>
      </c>
      <c r="Q575" s="1487">
        <v>0</v>
      </c>
      <c r="R575" s="1487">
        <v>0</v>
      </c>
      <c r="S575" s="1487">
        <v>0</v>
      </c>
      <c r="T575" s="1487"/>
      <c r="U575" s="1487"/>
      <c r="V575" s="1487"/>
      <c r="W575" s="1487"/>
      <c r="X575" s="1487"/>
      <c r="Y575" s="1487"/>
      <c r="Z575" s="1487"/>
      <c r="AA575" s="1487"/>
      <c r="AB575" s="1489"/>
      <c r="AF575" s="395"/>
    </row>
    <row r="576" spans="1:34">
      <c r="A576" s="1997" t="s">
        <v>2325</v>
      </c>
      <c r="B576" s="583"/>
      <c r="C576" s="583"/>
      <c r="D576" s="583"/>
      <c r="E576" s="583"/>
      <c r="F576" s="583"/>
      <c r="G576" s="583"/>
      <c r="H576" s="397" t="s">
        <v>1219</v>
      </c>
      <c r="I576" s="397"/>
      <c r="J576" s="397"/>
      <c r="K576" s="397"/>
      <c r="L576" s="1998"/>
      <c r="M576" s="1487">
        <v>19554</v>
      </c>
      <c r="N576" s="1487">
        <v>19964</v>
      </c>
      <c r="O576" s="1487">
        <v>17980</v>
      </c>
      <c r="P576" s="1487">
        <v>16606</v>
      </c>
      <c r="Q576" s="1487">
        <v>11810</v>
      </c>
      <c r="R576" s="1487">
        <v>15190</v>
      </c>
      <c r="S576" s="1487">
        <v>14840</v>
      </c>
      <c r="T576" s="1487"/>
      <c r="U576" s="1487"/>
      <c r="V576" s="1487"/>
      <c r="W576" s="1487"/>
      <c r="X576" s="1487"/>
      <c r="Y576" s="1487"/>
      <c r="Z576" s="1487"/>
      <c r="AA576" s="1487"/>
      <c r="AB576" s="1489"/>
      <c r="AF576" s="395"/>
    </row>
    <row r="577" spans="1:32">
      <c r="A577" s="1997" t="s">
        <v>2326</v>
      </c>
      <c r="B577" s="583"/>
      <c r="C577" s="583"/>
      <c r="D577" s="583"/>
      <c r="E577" s="583"/>
      <c r="F577" s="583"/>
      <c r="G577" s="583"/>
      <c r="H577" s="397" t="s">
        <v>2327</v>
      </c>
      <c r="I577" s="397"/>
      <c r="J577" s="397"/>
      <c r="K577" s="397"/>
      <c r="L577" s="1998"/>
      <c r="M577" s="1487">
        <v>29059</v>
      </c>
      <c r="N577" s="1487">
        <v>27069.4</v>
      </c>
      <c r="O577" s="1487">
        <v>37399.050000000003</v>
      </c>
      <c r="P577" s="1487">
        <v>26691.75</v>
      </c>
      <c r="Q577" s="1487">
        <v>35609.15</v>
      </c>
      <c r="R577" s="1487">
        <v>34303</v>
      </c>
      <c r="S577" s="1487">
        <v>34754.25</v>
      </c>
      <c r="T577" s="1487"/>
      <c r="U577" s="1487"/>
      <c r="V577" s="1487"/>
      <c r="W577" s="1487"/>
      <c r="X577" s="1487"/>
      <c r="Y577" s="1487"/>
      <c r="Z577" s="1487"/>
      <c r="AA577" s="1487"/>
      <c r="AB577" s="1489"/>
      <c r="AF577" s="395"/>
    </row>
    <row r="578" spans="1:32">
      <c r="A578" s="1997" t="s">
        <v>2098</v>
      </c>
      <c r="B578" s="583"/>
      <c r="C578" s="583"/>
      <c r="D578" s="583"/>
      <c r="E578" s="583"/>
      <c r="F578" s="583"/>
      <c r="G578" s="583"/>
      <c r="H578" s="397" t="s">
        <v>2328</v>
      </c>
      <c r="I578" s="397"/>
      <c r="J578" s="397"/>
      <c r="K578" s="397"/>
      <c r="L578" s="1998"/>
      <c r="M578" s="1487">
        <v>720</v>
      </c>
      <c r="N578" s="1487">
        <v>0</v>
      </c>
      <c r="O578" s="1487">
        <v>0</v>
      </c>
      <c r="P578" s="1487">
        <v>0</v>
      </c>
      <c r="Q578" s="1487">
        <v>0</v>
      </c>
      <c r="R578" s="1487">
        <v>0</v>
      </c>
      <c r="S578" s="1487">
        <v>0</v>
      </c>
      <c r="T578" s="1487"/>
      <c r="U578" s="1487"/>
      <c r="V578" s="1487"/>
      <c r="W578" s="1487"/>
      <c r="X578" s="1487"/>
      <c r="Y578" s="1487"/>
      <c r="Z578" s="1487"/>
      <c r="AA578" s="1487"/>
      <c r="AB578" s="1489"/>
      <c r="AF578" s="395"/>
    </row>
    <row r="579" spans="1:32">
      <c r="A579" s="1997" t="s">
        <v>8084</v>
      </c>
      <c r="B579" s="583"/>
      <c r="C579" s="583"/>
      <c r="D579" s="583"/>
      <c r="E579" s="583"/>
      <c r="F579" s="583"/>
      <c r="G579" s="583"/>
      <c r="H579" s="397" t="s">
        <v>8085</v>
      </c>
      <c r="I579" s="397"/>
      <c r="J579" s="397"/>
      <c r="K579" s="397"/>
      <c r="L579" s="1998"/>
      <c r="M579" s="1487"/>
      <c r="N579" s="1487"/>
      <c r="O579" s="1487"/>
      <c r="P579" s="1487"/>
      <c r="Q579" s="1487"/>
      <c r="R579" s="1487"/>
      <c r="S579" s="1487"/>
      <c r="T579" s="1487"/>
      <c r="U579" s="1487"/>
      <c r="V579" s="1487"/>
      <c r="W579" s="1487"/>
      <c r="X579" s="1487"/>
      <c r="Y579" s="1487"/>
      <c r="Z579" s="1487">
        <v>390</v>
      </c>
      <c r="AA579" s="1487">
        <v>420</v>
      </c>
      <c r="AB579" s="1489"/>
      <c r="AF579" s="395"/>
    </row>
    <row r="580" spans="1:32">
      <c r="A580" s="1997" t="s">
        <v>2329</v>
      </c>
      <c r="B580" s="583" t="s">
        <v>7505</v>
      </c>
      <c r="C580" s="583"/>
      <c r="D580" s="583"/>
      <c r="E580" s="583"/>
      <c r="F580" s="583"/>
      <c r="G580" s="583"/>
      <c r="H580" s="397" t="s">
        <v>1391</v>
      </c>
      <c r="I580" s="397"/>
      <c r="J580" s="397"/>
      <c r="K580" s="397"/>
      <c r="L580" s="1998"/>
      <c r="M580" s="1487"/>
      <c r="N580" s="1487"/>
      <c r="O580" s="1487"/>
      <c r="P580" s="1487"/>
      <c r="Q580" s="1487"/>
      <c r="R580" s="1487"/>
      <c r="S580" s="1487"/>
      <c r="T580" s="1487">
        <v>36515.68</v>
      </c>
      <c r="U580" s="1487">
        <v>29052.59</v>
      </c>
      <c r="V580" s="1487">
        <v>31849.46</v>
      </c>
      <c r="W580" s="1487">
        <v>26481.48</v>
      </c>
      <c r="X580" s="1487">
        <v>32194.44</v>
      </c>
      <c r="Y580" s="1487">
        <v>40466.06</v>
      </c>
      <c r="Z580" s="1487">
        <v>34738.61</v>
      </c>
      <c r="AA580" s="1487">
        <v>35128.35</v>
      </c>
      <c r="AB580" s="1489"/>
      <c r="AF580" s="395"/>
    </row>
    <row r="581" spans="1:32">
      <c r="A581" s="1997" t="s">
        <v>2330</v>
      </c>
      <c r="B581" s="583" t="s">
        <v>7506</v>
      </c>
      <c r="C581" s="583"/>
      <c r="D581" s="583"/>
      <c r="E581" s="583"/>
      <c r="F581" s="583"/>
      <c r="G581" s="583"/>
      <c r="H581" s="397" t="s">
        <v>1395</v>
      </c>
      <c r="I581" s="397"/>
      <c r="J581" s="397"/>
      <c r="K581" s="397"/>
      <c r="L581" s="1998"/>
      <c r="M581" s="1487"/>
      <c r="N581" s="1487"/>
      <c r="O581" s="1487"/>
      <c r="P581" s="1487"/>
      <c r="Q581" s="1487"/>
      <c r="R581" s="1487"/>
      <c r="S581" s="1487"/>
      <c r="T581" s="1487">
        <v>5362.94</v>
      </c>
      <c r="U581" s="1487">
        <v>2374.14</v>
      </c>
      <c r="V581" s="1487"/>
      <c r="W581" s="1487">
        <v>691.6</v>
      </c>
      <c r="X581" s="1487">
        <v>2148.84</v>
      </c>
      <c r="Y581" s="1487">
        <v>9041.44</v>
      </c>
      <c r="Z581" s="1487">
        <v>4082.5</v>
      </c>
      <c r="AA581" s="1487"/>
      <c r="AB581" s="1489"/>
      <c r="AF581" s="395"/>
    </row>
    <row r="582" spans="1:32">
      <c r="A582" s="1997" t="s">
        <v>2331</v>
      </c>
      <c r="B582" s="583" t="s">
        <v>8086</v>
      </c>
      <c r="C582" s="583"/>
      <c r="D582" s="583"/>
      <c r="E582" s="583"/>
      <c r="F582" s="583"/>
      <c r="G582" s="583"/>
      <c r="H582" s="397" t="s">
        <v>2332</v>
      </c>
      <c r="I582" s="397"/>
      <c r="J582" s="397"/>
      <c r="K582" s="397"/>
      <c r="L582" s="1998"/>
      <c r="M582" s="1487"/>
      <c r="N582" s="1487"/>
      <c r="O582" s="1487"/>
      <c r="P582" s="1487"/>
      <c r="Q582" s="1487"/>
      <c r="R582" s="1487"/>
      <c r="S582" s="1487"/>
      <c r="T582" s="1487">
        <v>15110</v>
      </c>
      <c r="U582" s="1487">
        <v>11690</v>
      </c>
      <c r="V582" s="1487">
        <v>14640</v>
      </c>
      <c r="W582" s="1487">
        <v>9590</v>
      </c>
      <c r="X582" s="1487">
        <v>10670</v>
      </c>
      <c r="Y582" s="1487">
        <v>34699</v>
      </c>
      <c r="Z582" s="1487"/>
      <c r="AA582" s="1487">
        <v>43854</v>
      </c>
      <c r="AB582" s="1489"/>
      <c r="AF582" s="395"/>
    </row>
    <row r="583" spans="1:32">
      <c r="A583" s="1997"/>
      <c r="B583" s="583" t="s">
        <v>8087</v>
      </c>
      <c r="C583" s="583"/>
      <c r="D583" s="583"/>
      <c r="E583" s="583"/>
      <c r="F583" s="583"/>
      <c r="G583" s="583"/>
      <c r="H583" s="397" t="s">
        <v>8088</v>
      </c>
      <c r="I583" s="397"/>
      <c r="J583" s="397"/>
      <c r="K583" s="397"/>
      <c r="L583" s="1998"/>
      <c r="M583" s="1487"/>
      <c r="N583" s="1487"/>
      <c r="O583" s="1487"/>
      <c r="P583" s="1487"/>
      <c r="Q583" s="1487"/>
      <c r="R583" s="1487"/>
      <c r="S583" s="1487"/>
      <c r="T583" s="1487"/>
      <c r="U583" s="1487"/>
      <c r="V583" s="1487"/>
      <c r="W583" s="1487"/>
      <c r="X583" s="1487"/>
      <c r="Y583" s="1487"/>
      <c r="Z583" s="1487">
        <v>2805.34</v>
      </c>
      <c r="AA583" s="1487">
        <v>3019.03</v>
      </c>
      <c r="AB583" s="1489"/>
      <c r="AF583" s="395"/>
    </row>
    <row r="584" spans="1:32">
      <c r="A584" s="1997"/>
      <c r="B584" s="583" t="s">
        <v>7508</v>
      </c>
      <c r="C584" s="583"/>
      <c r="D584" s="583"/>
      <c r="E584" s="583"/>
      <c r="F584" s="583"/>
      <c r="G584" s="583"/>
      <c r="H584" s="397" t="s">
        <v>7509</v>
      </c>
      <c r="I584" s="397"/>
      <c r="J584" s="397"/>
      <c r="K584" s="397"/>
      <c r="L584" s="1998"/>
      <c r="M584" s="1487"/>
      <c r="N584" s="1487"/>
      <c r="O584" s="1487"/>
      <c r="P584" s="1487"/>
      <c r="Q584" s="1487"/>
      <c r="R584" s="1487"/>
      <c r="S584" s="1487"/>
      <c r="T584" s="1487"/>
      <c r="U584" s="1487"/>
      <c r="V584" s="1487"/>
      <c r="W584" s="1487"/>
      <c r="X584" s="1487"/>
      <c r="Y584" s="1487"/>
      <c r="Z584" s="1487">
        <v>110</v>
      </c>
      <c r="AA584" s="1487">
        <v>10</v>
      </c>
      <c r="AB584" s="1489"/>
      <c r="AF584" s="395"/>
    </row>
    <row r="585" spans="1:32">
      <c r="A585" s="1997" t="s">
        <v>2333</v>
      </c>
      <c r="B585" s="583"/>
      <c r="C585" s="583"/>
      <c r="D585" s="583"/>
      <c r="E585" s="583"/>
      <c r="F585" s="583"/>
      <c r="G585" s="583"/>
      <c r="H585" s="397" t="s">
        <v>1213</v>
      </c>
      <c r="I585" s="397"/>
      <c r="J585" s="397"/>
      <c r="K585" s="397"/>
      <c r="L585" s="1998"/>
      <c r="M585" s="1487">
        <v>156</v>
      </c>
      <c r="N585" s="1487">
        <v>0</v>
      </c>
      <c r="O585" s="1487">
        <v>70</v>
      </c>
      <c r="P585" s="1487">
        <v>341.17</v>
      </c>
      <c r="Q585" s="1487">
        <v>202.5</v>
      </c>
      <c r="R585" s="1487">
        <v>54</v>
      </c>
      <c r="S585" s="1487">
        <v>47</v>
      </c>
      <c r="T585" s="1487"/>
      <c r="U585" s="1487"/>
      <c r="V585" s="1487"/>
      <c r="W585" s="1487"/>
      <c r="X585" s="1487"/>
      <c r="Y585" s="1487"/>
      <c r="Z585" s="1487"/>
      <c r="AA585" s="1487"/>
      <c r="AB585" s="1489"/>
      <c r="AF585" s="395"/>
    </row>
    <row r="586" spans="1:32">
      <c r="A586" s="1997" t="s">
        <v>2334</v>
      </c>
      <c r="B586" s="583"/>
      <c r="C586" s="583"/>
      <c r="D586" s="583"/>
      <c r="E586" s="583"/>
      <c r="F586" s="583"/>
      <c r="G586" s="583"/>
      <c r="H586" s="397" t="s">
        <v>1213</v>
      </c>
      <c r="I586" s="397"/>
      <c r="J586" s="397"/>
      <c r="K586" s="397"/>
      <c r="L586" s="1998"/>
      <c r="M586" s="1487">
        <v>276.95</v>
      </c>
      <c r="N586" s="1487">
        <v>254.42</v>
      </c>
      <c r="O586" s="1487">
        <v>366.97</v>
      </c>
      <c r="P586" s="1487">
        <v>295.8</v>
      </c>
      <c r="Q586" s="1487">
        <v>321.22000000000003</v>
      </c>
      <c r="R586" s="1487">
        <v>313.2</v>
      </c>
      <c r="S586" s="1487">
        <v>465</v>
      </c>
      <c r="T586" s="1487"/>
      <c r="U586" s="1487"/>
      <c r="V586" s="1487"/>
      <c r="W586" s="1487"/>
      <c r="X586" s="1487"/>
      <c r="Y586" s="1487"/>
      <c r="Z586" s="1487"/>
      <c r="AA586" s="1487"/>
      <c r="AB586" s="1489"/>
      <c r="AF586" s="395"/>
    </row>
    <row r="587" spans="1:32">
      <c r="A587" s="1997" t="s">
        <v>2335</v>
      </c>
      <c r="B587" s="583"/>
      <c r="C587" s="583"/>
      <c r="D587" s="583"/>
      <c r="E587" s="583"/>
      <c r="F587" s="583"/>
      <c r="G587" s="583"/>
      <c r="H587" s="397" t="s">
        <v>1213</v>
      </c>
      <c r="I587" s="397"/>
      <c r="J587" s="397"/>
      <c r="K587" s="2001"/>
      <c r="L587" s="2002"/>
      <c r="M587" s="1487">
        <v>0</v>
      </c>
      <c r="N587" s="1487">
        <v>544.26</v>
      </c>
      <c r="O587" s="1487">
        <v>0</v>
      </c>
      <c r="P587" s="1487">
        <v>0</v>
      </c>
      <c r="Q587" s="1487">
        <v>0</v>
      </c>
      <c r="R587" s="1487">
        <v>0</v>
      </c>
      <c r="S587" s="1487">
        <v>0</v>
      </c>
      <c r="T587" s="1487"/>
      <c r="U587" s="1487"/>
      <c r="V587" s="1487"/>
      <c r="W587" s="1487"/>
      <c r="X587" s="1487"/>
      <c r="Y587" s="1487"/>
      <c r="Z587" s="1487"/>
      <c r="AA587" s="1487"/>
      <c r="AB587" s="1489"/>
      <c r="AF587" s="395"/>
    </row>
    <row r="588" spans="1:32">
      <c r="A588" s="2004" t="s">
        <v>1221</v>
      </c>
      <c r="B588" s="2047"/>
      <c r="C588" s="2047"/>
      <c r="D588" s="2047"/>
      <c r="E588" s="2047"/>
      <c r="F588" s="2047"/>
      <c r="G588" s="2047"/>
      <c r="H588" s="2006"/>
      <c r="I588" s="2006"/>
      <c r="J588" s="2006"/>
      <c r="K588" s="2006"/>
      <c r="L588" s="2006"/>
      <c r="M588" s="2005">
        <f t="shared" ref="M588:AB588" si="94">SUM(M575:M587)</f>
        <v>49849.69</v>
      </c>
      <c r="N588" s="2005">
        <f t="shared" si="94"/>
        <v>47832.08</v>
      </c>
      <c r="O588" s="2005">
        <f t="shared" si="94"/>
        <v>55816.020000000004</v>
      </c>
      <c r="P588" s="2005">
        <f t="shared" si="94"/>
        <v>43934.720000000001</v>
      </c>
      <c r="Q588" s="2005">
        <f t="shared" si="94"/>
        <v>47942.87</v>
      </c>
      <c r="R588" s="2005">
        <f t="shared" si="94"/>
        <v>49860.2</v>
      </c>
      <c r="S588" s="2005">
        <f t="shared" si="94"/>
        <v>50106.25</v>
      </c>
      <c r="T588" s="2005">
        <f t="shared" si="94"/>
        <v>56988.62</v>
      </c>
      <c r="U588" s="2005">
        <f t="shared" si="94"/>
        <v>43116.729999999996</v>
      </c>
      <c r="V588" s="2005">
        <f t="shared" si="94"/>
        <v>46489.46</v>
      </c>
      <c r="W588" s="2005">
        <f t="shared" si="94"/>
        <v>36763.08</v>
      </c>
      <c r="X588" s="2005">
        <f t="shared" si="94"/>
        <v>45013.279999999999</v>
      </c>
      <c r="Y588" s="2005">
        <f t="shared" si="94"/>
        <v>84206.5</v>
      </c>
      <c r="Z588" s="2005">
        <f t="shared" si="94"/>
        <v>42126.45</v>
      </c>
      <c r="AA588" s="2005">
        <f t="shared" si="94"/>
        <v>82431.38</v>
      </c>
      <c r="AB588" s="3150">
        <f t="shared" si="94"/>
        <v>0</v>
      </c>
      <c r="AF588" s="395"/>
    </row>
    <row r="589" spans="1:32">
      <c r="A589" s="2048" t="s">
        <v>1163</v>
      </c>
      <c r="B589" s="1999"/>
      <c r="C589" s="1999"/>
      <c r="D589" s="1999"/>
      <c r="E589" s="1999"/>
      <c r="F589" s="1999"/>
      <c r="G589" s="1999"/>
      <c r="H589" s="397"/>
      <c r="I589" s="397"/>
      <c r="J589" s="397"/>
      <c r="K589" s="397"/>
      <c r="L589" s="1996"/>
      <c r="M589" s="1487"/>
      <c r="N589" s="1487"/>
      <c r="O589" s="1487"/>
      <c r="P589" s="397"/>
      <c r="Q589" s="397"/>
      <c r="R589" s="397"/>
      <c r="S589" s="397"/>
      <c r="T589" s="397"/>
      <c r="U589" s="1487"/>
      <c r="V589" s="1487"/>
      <c r="W589" s="1487"/>
      <c r="X589" s="1487"/>
      <c r="Y589" s="1487"/>
      <c r="Z589" s="1487"/>
      <c r="AA589" s="1487"/>
      <c r="AB589" s="1489"/>
      <c r="AF589" s="395"/>
    </row>
    <row r="590" spans="1:32">
      <c r="A590" s="1997" t="s">
        <v>2336</v>
      </c>
      <c r="B590" s="583"/>
      <c r="C590" s="583"/>
      <c r="D590" s="583"/>
      <c r="E590" s="583"/>
      <c r="F590" s="583"/>
      <c r="G590" s="583"/>
      <c r="H590" s="397" t="s">
        <v>1223</v>
      </c>
      <c r="I590" s="397"/>
      <c r="J590" s="397"/>
      <c r="K590" s="397"/>
      <c r="L590" s="1998"/>
      <c r="M590" s="1487">
        <v>0</v>
      </c>
      <c r="N590" s="1487">
        <v>0</v>
      </c>
      <c r="O590" s="1487">
        <v>26654.1</v>
      </c>
      <c r="P590" s="1487">
        <v>27602.34</v>
      </c>
      <c r="Q590" s="1487">
        <v>28028.76</v>
      </c>
      <c r="R590" s="1487">
        <v>26738.87</v>
      </c>
      <c r="S590" s="1487">
        <v>28827.29</v>
      </c>
      <c r="T590" s="1487"/>
      <c r="U590" s="1487"/>
      <c r="V590" s="1487"/>
      <c r="W590" s="1487"/>
      <c r="X590" s="1487"/>
      <c r="Y590" s="1487"/>
      <c r="Z590" s="1487"/>
      <c r="AA590" s="1487"/>
      <c r="AB590" s="1489"/>
      <c r="AF590" s="395"/>
    </row>
    <row r="591" spans="1:32">
      <c r="A591" s="1997" t="s">
        <v>2337</v>
      </c>
      <c r="B591" s="583"/>
      <c r="C591" s="583"/>
      <c r="D591" s="583"/>
      <c r="E591" s="583"/>
      <c r="F591" s="583"/>
      <c r="G591" s="583"/>
      <c r="H591" s="397" t="s">
        <v>1751</v>
      </c>
      <c r="I591" s="397"/>
      <c r="J591" s="397"/>
      <c r="K591" s="397"/>
      <c r="L591" s="1998"/>
      <c r="M591" s="1487"/>
      <c r="N591" s="1487"/>
      <c r="O591" s="1487"/>
      <c r="P591" s="1487"/>
      <c r="Q591" s="1487"/>
      <c r="R591" s="1487"/>
      <c r="S591" s="1487"/>
      <c r="T591" s="1487">
        <v>30395.09</v>
      </c>
      <c r="U591" s="1487">
        <v>25857.88</v>
      </c>
      <c r="V591" s="1487"/>
      <c r="W591" s="1487"/>
      <c r="X591" s="1487"/>
      <c r="Y591" s="1487"/>
      <c r="Z591" s="1487"/>
      <c r="AA591" s="1487"/>
      <c r="AB591" s="1489"/>
      <c r="AF591" s="395"/>
    </row>
    <row r="592" spans="1:32">
      <c r="A592" s="1997" t="s">
        <v>2338</v>
      </c>
      <c r="B592" s="583" t="s">
        <v>7507</v>
      </c>
      <c r="C592" s="583"/>
      <c r="D592" s="583"/>
      <c r="E592" s="583"/>
      <c r="F592" s="583"/>
      <c r="G592" s="583"/>
      <c r="H592" s="397" t="s">
        <v>1209</v>
      </c>
      <c r="I592" s="397"/>
      <c r="J592" s="397"/>
      <c r="K592" s="397"/>
      <c r="L592" s="1998"/>
      <c r="M592" s="1487"/>
      <c r="N592" s="1487"/>
      <c r="O592" s="1487"/>
      <c r="P592" s="1487"/>
      <c r="Q592" s="1487"/>
      <c r="R592" s="1487"/>
      <c r="S592" s="1487"/>
      <c r="T592" s="1487">
        <v>1003.4</v>
      </c>
      <c r="U592" s="1487">
        <v>919.3</v>
      </c>
      <c r="V592" s="1487">
        <v>928</v>
      </c>
      <c r="W592" s="1487">
        <v>932.35</v>
      </c>
      <c r="X592" s="1487">
        <v>614.79999999999995</v>
      </c>
      <c r="Y592" s="1487">
        <v>627.85</v>
      </c>
      <c r="Z592" s="1487">
        <v>529.25</v>
      </c>
      <c r="AA592" s="1487">
        <v>649.6</v>
      </c>
      <c r="AB592" s="1489"/>
      <c r="AF592" s="395"/>
    </row>
    <row r="593" spans="1:32">
      <c r="A593" s="1997" t="s">
        <v>2339</v>
      </c>
      <c r="B593" s="583"/>
      <c r="C593" s="583"/>
      <c r="D593" s="583"/>
      <c r="E593" s="583"/>
      <c r="F593" s="583"/>
      <c r="G593" s="583"/>
      <c r="H593" s="397" t="s">
        <v>1225</v>
      </c>
      <c r="I593" s="397"/>
      <c r="J593" s="397"/>
      <c r="K593" s="397"/>
      <c r="L593" s="2002"/>
      <c r="M593" s="1487">
        <v>16725.77</v>
      </c>
      <c r="N593" s="1487">
        <v>15973.2</v>
      </c>
      <c r="O593" s="1487">
        <v>0</v>
      </c>
      <c r="P593" s="1487">
        <v>0</v>
      </c>
      <c r="Q593" s="1487">
        <v>0</v>
      </c>
      <c r="R593" s="1487">
        <v>0</v>
      </c>
      <c r="S593" s="1487">
        <v>0</v>
      </c>
      <c r="T593" s="1487"/>
      <c r="U593" s="1487"/>
      <c r="V593" s="1487"/>
      <c r="W593" s="1487"/>
      <c r="X593" s="1487"/>
      <c r="Y593" s="1487"/>
      <c r="Z593" s="1487"/>
      <c r="AA593" s="1487"/>
      <c r="AB593" s="1489"/>
      <c r="AF593" s="395"/>
    </row>
    <row r="594" spans="1:32">
      <c r="A594" s="2004" t="s">
        <v>1181</v>
      </c>
      <c r="B594" s="2047"/>
      <c r="C594" s="2047"/>
      <c r="D594" s="2047"/>
      <c r="E594" s="2047"/>
      <c r="F594" s="2047"/>
      <c r="G594" s="2047"/>
      <c r="H594" s="2006"/>
      <c r="I594" s="2006"/>
      <c r="J594" s="2006"/>
      <c r="K594" s="2006"/>
      <c r="L594" s="2006"/>
      <c r="M594" s="2005">
        <f t="shared" ref="M594:AB594" si="95">SUM(M590:M593)</f>
        <v>16725.77</v>
      </c>
      <c r="N594" s="2005">
        <f t="shared" si="95"/>
        <v>15973.2</v>
      </c>
      <c r="O594" s="2005">
        <f t="shared" si="95"/>
        <v>26654.1</v>
      </c>
      <c r="P594" s="2005">
        <f t="shared" si="95"/>
        <v>27602.34</v>
      </c>
      <c r="Q594" s="2005">
        <f t="shared" si="95"/>
        <v>28028.76</v>
      </c>
      <c r="R594" s="2005">
        <f t="shared" si="95"/>
        <v>26738.87</v>
      </c>
      <c r="S594" s="2005">
        <f t="shared" si="95"/>
        <v>28827.29</v>
      </c>
      <c r="T594" s="2005">
        <f t="shared" si="95"/>
        <v>31398.49</v>
      </c>
      <c r="U594" s="2005">
        <f t="shared" si="95"/>
        <v>26777.18</v>
      </c>
      <c r="V594" s="2005">
        <f t="shared" si="95"/>
        <v>928</v>
      </c>
      <c r="W594" s="2005">
        <f t="shared" si="95"/>
        <v>932.35</v>
      </c>
      <c r="X594" s="2005">
        <f t="shared" si="95"/>
        <v>614.79999999999995</v>
      </c>
      <c r="Y594" s="2005">
        <f t="shared" si="95"/>
        <v>627.85</v>
      </c>
      <c r="Z594" s="2005">
        <f t="shared" si="95"/>
        <v>529.25</v>
      </c>
      <c r="AA594" s="2005">
        <f t="shared" si="95"/>
        <v>649.6</v>
      </c>
      <c r="AB594" s="3150">
        <f t="shared" si="95"/>
        <v>0</v>
      </c>
      <c r="AF594" s="395"/>
    </row>
    <row r="595" spans="1:32">
      <c r="A595" s="2048" t="s">
        <v>47</v>
      </c>
      <c r="B595" s="1999"/>
      <c r="C595" s="1999"/>
      <c r="D595" s="1999"/>
      <c r="E595" s="1999"/>
      <c r="F595" s="1999"/>
      <c r="G595" s="1999"/>
      <c r="H595" s="397"/>
      <c r="I595" s="397"/>
      <c r="J595" s="397"/>
      <c r="K595" s="397"/>
      <c r="L595" s="1996"/>
      <c r="M595" s="1487"/>
      <c r="N595" s="1487"/>
      <c r="O595" s="1487"/>
      <c r="P595" s="397"/>
      <c r="Q595" s="397"/>
      <c r="R595" s="397"/>
      <c r="S595" s="397"/>
      <c r="T595" s="397"/>
      <c r="U595" s="397"/>
      <c r="V595" s="1487"/>
      <c r="W595" s="1487"/>
      <c r="X595" s="1487"/>
      <c r="Y595" s="1487"/>
      <c r="Z595" s="1487"/>
      <c r="AA595" s="1487"/>
      <c r="AB595" s="1489"/>
      <c r="AF595" s="395"/>
    </row>
    <row r="596" spans="1:32">
      <c r="A596" s="1997"/>
      <c r="B596" s="583"/>
      <c r="C596" s="583"/>
      <c r="D596" s="583"/>
      <c r="E596" s="583"/>
      <c r="F596" s="583"/>
      <c r="G596" s="583"/>
      <c r="H596" s="397"/>
      <c r="I596" s="397"/>
      <c r="J596" s="397"/>
      <c r="K596" s="397"/>
      <c r="L596" s="2002"/>
      <c r="M596" s="1487"/>
      <c r="N596" s="1487"/>
      <c r="O596" s="1487"/>
      <c r="P596" s="397"/>
      <c r="Q596" s="397"/>
      <c r="R596" s="397"/>
      <c r="S596" s="397"/>
      <c r="T596" s="397"/>
      <c r="U596" s="397"/>
      <c r="V596" s="1487"/>
      <c r="W596" s="1487"/>
      <c r="X596" s="1487"/>
      <c r="Y596" s="1487"/>
      <c r="Z596" s="1487"/>
      <c r="AA596" s="1487"/>
      <c r="AB596" s="1489"/>
      <c r="AF596" s="395"/>
    </row>
    <row r="597" spans="1:32">
      <c r="A597" s="2046"/>
      <c r="B597" s="2064"/>
      <c r="C597" s="2064"/>
      <c r="D597" s="2064"/>
      <c r="E597" s="2064"/>
      <c r="F597" s="2064"/>
      <c r="G597" s="2064"/>
      <c r="H597" s="2047" t="s">
        <v>1185</v>
      </c>
      <c r="I597" s="2047"/>
      <c r="J597" s="2047"/>
      <c r="K597" s="2047"/>
      <c r="L597" s="2047"/>
      <c r="M597" s="2005">
        <f>SUM(M595:M596)</f>
        <v>0</v>
      </c>
      <c r="N597" s="2005">
        <f t="shared" ref="N597:S597" si="96">SUM(N595:N596)</f>
        <v>0</v>
      </c>
      <c r="O597" s="2005">
        <f t="shared" si="96"/>
        <v>0</v>
      </c>
      <c r="P597" s="2005">
        <f t="shared" si="96"/>
        <v>0</v>
      </c>
      <c r="Q597" s="2005">
        <f t="shared" si="96"/>
        <v>0</v>
      </c>
      <c r="R597" s="2005">
        <f t="shared" si="96"/>
        <v>0</v>
      </c>
      <c r="S597" s="2005">
        <f t="shared" si="96"/>
        <v>0</v>
      </c>
      <c r="T597" s="2005">
        <f t="shared" ref="T597:AB597" si="97">SUM(T595:T596)</f>
        <v>0</v>
      </c>
      <c r="U597" s="2005">
        <f t="shared" si="97"/>
        <v>0</v>
      </c>
      <c r="V597" s="2005">
        <f t="shared" si="97"/>
        <v>0</v>
      </c>
      <c r="W597" s="2005">
        <f t="shared" si="97"/>
        <v>0</v>
      </c>
      <c r="X597" s="2005">
        <f t="shared" si="97"/>
        <v>0</v>
      </c>
      <c r="Y597" s="2005">
        <f t="shared" si="97"/>
        <v>0</v>
      </c>
      <c r="Z597" s="2005">
        <f t="shared" si="97"/>
        <v>0</v>
      </c>
      <c r="AA597" s="2005">
        <f t="shared" si="97"/>
        <v>0</v>
      </c>
      <c r="AB597" s="3150">
        <f t="shared" si="97"/>
        <v>0</v>
      </c>
      <c r="AF597" s="395"/>
    </row>
    <row r="598" spans="1:32">
      <c r="A598" s="2008" t="s">
        <v>1234</v>
      </c>
      <c r="B598" s="2022"/>
      <c r="C598" s="2022"/>
      <c r="D598" s="2022"/>
      <c r="E598" s="2022"/>
      <c r="F598" s="2022"/>
      <c r="G598" s="2022"/>
      <c r="H598" s="2010"/>
      <c r="I598" s="2010"/>
      <c r="J598" s="2010"/>
      <c r="K598" s="2010"/>
      <c r="L598" s="2010"/>
      <c r="M598" s="2009">
        <f t="shared" ref="M598:AB598" si="98">M588+M594+M597</f>
        <v>66575.460000000006</v>
      </c>
      <c r="N598" s="2009">
        <f t="shared" si="98"/>
        <v>63805.279999999999</v>
      </c>
      <c r="O598" s="2009">
        <f t="shared" si="98"/>
        <v>82470.12</v>
      </c>
      <c r="P598" s="2009">
        <f t="shared" si="98"/>
        <v>71537.06</v>
      </c>
      <c r="Q598" s="2009">
        <f t="shared" si="98"/>
        <v>75971.63</v>
      </c>
      <c r="R598" s="2009">
        <f t="shared" si="98"/>
        <v>76599.069999999992</v>
      </c>
      <c r="S598" s="2009">
        <f t="shared" si="98"/>
        <v>78933.540000000008</v>
      </c>
      <c r="T598" s="2009">
        <f t="shared" si="98"/>
        <v>88387.11</v>
      </c>
      <c r="U598" s="2009">
        <f t="shared" si="98"/>
        <v>69893.91</v>
      </c>
      <c r="V598" s="2009">
        <f t="shared" si="98"/>
        <v>47417.46</v>
      </c>
      <c r="W598" s="2009">
        <f t="shared" si="98"/>
        <v>37695.43</v>
      </c>
      <c r="X598" s="2009">
        <f t="shared" si="98"/>
        <v>45628.08</v>
      </c>
      <c r="Y598" s="2009">
        <f t="shared" si="98"/>
        <v>84834.35</v>
      </c>
      <c r="Z598" s="2009">
        <f t="shared" si="98"/>
        <v>42655.7</v>
      </c>
      <c r="AA598" s="2009">
        <f t="shared" si="98"/>
        <v>83080.98000000001</v>
      </c>
      <c r="AB598" s="2070">
        <f t="shared" si="98"/>
        <v>0</v>
      </c>
      <c r="AF598" s="395"/>
    </row>
  </sheetData>
  <mergeCells count="1">
    <mergeCell ref="A1:Q1"/>
  </mergeCells>
  <hyperlinks>
    <hyperlink ref="A1" location="GLOBAAL!A1" display="Overzicht sport (zwembad - sportinrichtingen - sportdienst)" xr:uid="{00000000-0004-0000-3E00-000000000000}"/>
  </hyperlinks>
  <pageMargins left="0.7" right="0.7" top="0.75" bottom="0.75" header="0.3" footer="0.3"/>
  <pageSetup paperSize="9" orientation="landscape" r:id="rId1"/>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rgb="FFEBD531"/>
  </sheetPr>
  <dimension ref="A1:AK179"/>
  <sheetViews>
    <sheetView workbookViewId="0">
      <selection sqref="A1:M1"/>
    </sheetView>
  </sheetViews>
  <sheetFormatPr defaultColWidth="9.140625" defaultRowHeight="12.75"/>
  <cols>
    <col min="1" max="2" width="16.28515625" style="395" customWidth="1"/>
    <col min="3" max="3" width="12.85546875" style="1965" customWidth="1"/>
    <col min="4" max="4" width="8.42578125" style="1965" bestFit="1" customWidth="1"/>
    <col min="5" max="5" width="10.28515625" style="1965" customWidth="1"/>
    <col min="6" max="6" width="8.42578125" style="1965" bestFit="1" customWidth="1"/>
    <col min="7" max="7" width="10.140625" style="1965" customWidth="1"/>
    <col min="8" max="8" width="10.28515625" style="1965" bestFit="1" customWidth="1"/>
    <col min="9" max="9" width="12.28515625" style="1965" bestFit="1" customWidth="1"/>
    <col min="10" max="13" width="10.28515625" style="1965" bestFit="1" customWidth="1"/>
    <col min="14" max="14" width="10.7109375" style="1965" bestFit="1" customWidth="1"/>
    <col min="15" max="15" width="12.28515625" style="1965" bestFit="1" customWidth="1"/>
    <col min="16" max="16" width="10.7109375" style="1965" bestFit="1" customWidth="1"/>
    <col min="17" max="17" width="10.85546875" style="1965" bestFit="1" customWidth="1"/>
    <col min="18" max="19" width="10.7109375" style="1965" bestFit="1" customWidth="1"/>
    <col min="20" max="20" width="10.28515625" style="1965" bestFit="1" customWidth="1"/>
    <col min="21" max="21" width="10.42578125" style="1965" customWidth="1"/>
    <col min="22" max="22" width="10.28515625" style="1965" bestFit="1" customWidth="1"/>
    <col min="23" max="24" width="9.7109375" style="1965" bestFit="1" customWidth="1"/>
    <col min="25" max="25" width="11.140625" style="1965" customWidth="1"/>
    <col min="26" max="37" width="9.140625" style="1965"/>
    <col min="38" max="16384" width="9.140625" style="395"/>
  </cols>
  <sheetData>
    <row r="1" spans="1:37" s="2075" customFormat="1" ht="21">
      <c r="A1" s="4757" t="s">
        <v>1636</v>
      </c>
      <c r="B1" s="4758"/>
      <c r="C1" s="4758"/>
      <c r="D1" s="4758"/>
      <c r="E1" s="4758"/>
      <c r="F1" s="4758"/>
      <c r="G1" s="4758"/>
      <c r="H1" s="4758"/>
      <c r="I1" s="4758"/>
      <c r="J1" s="4758"/>
      <c r="K1" s="4758"/>
      <c r="L1" s="4758"/>
      <c r="M1" s="4758"/>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row>
    <row r="2" spans="1:37" ht="13.5" thickBot="1">
      <c r="A2" s="1966"/>
      <c r="B2" s="1966"/>
    </row>
    <row r="3" spans="1:37" ht="18" customHeight="1" thickBot="1">
      <c r="A3" s="1982"/>
      <c r="B3" s="3843"/>
      <c r="C3" s="1967">
        <v>2007</v>
      </c>
      <c r="D3" s="1967">
        <v>2008</v>
      </c>
      <c r="E3" s="1967">
        <v>2009</v>
      </c>
      <c r="F3" s="1967">
        <v>2010</v>
      </c>
      <c r="G3" s="1967">
        <v>2011</v>
      </c>
      <c r="H3" s="1967">
        <v>2012</v>
      </c>
      <c r="I3" s="1967">
        <v>2013</v>
      </c>
      <c r="J3" s="1967">
        <v>2014</v>
      </c>
      <c r="K3" s="1967">
        <v>2015</v>
      </c>
      <c r="L3" s="1967">
        <v>2016</v>
      </c>
      <c r="M3" s="1967">
        <v>2017</v>
      </c>
      <c r="N3" s="1967">
        <v>2018</v>
      </c>
      <c r="O3" s="1967">
        <v>2019</v>
      </c>
      <c r="P3" s="1967">
        <v>2020</v>
      </c>
      <c r="Q3" s="1967">
        <v>2021</v>
      </c>
      <c r="R3" s="395"/>
    </row>
    <row r="4" spans="1:37">
      <c r="A4" s="1205" t="s">
        <v>986</v>
      </c>
      <c r="B4" s="397"/>
      <c r="C4" s="1969">
        <f t="shared" ref="C4:N4" si="0">H101</f>
        <v>278915.15999999997</v>
      </c>
      <c r="D4" s="1969">
        <f t="shared" si="0"/>
        <v>295346.13</v>
      </c>
      <c r="E4" s="1969">
        <f t="shared" si="0"/>
        <v>306161.06999999995</v>
      </c>
      <c r="F4" s="1969">
        <f t="shared" si="0"/>
        <v>335875.59</v>
      </c>
      <c r="G4" s="1969">
        <f t="shared" si="0"/>
        <v>391541.76000000001</v>
      </c>
      <c r="H4" s="1969">
        <f t="shared" si="0"/>
        <v>383150.39999999997</v>
      </c>
      <c r="I4" s="1969">
        <f t="shared" si="0"/>
        <v>529800.42000000004</v>
      </c>
      <c r="J4" s="1969">
        <f t="shared" si="0"/>
        <v>689801.32650000008</v>
      </c>
      <c r="K4" s="1969">
        <f t="shared" si="0"/>
        <v>745166.18400000001</v>
      </c>
      <c r="L4" s="1969">
        <f t="shared" si="0"/>
        <v>873555.30200000003</v>
      </c>
      <c r="M4" s="1969">
        <f t="shared" si="0"/>
        <v>887372.34200000006</v>
      </c>
      <c r="N4" s="2609">
        <f t="shared" si="0"/>
        <v>847407.01350000023</v>
      </c>
      <c r="O4" s="2609">
        <f>T101</f>
        <v>888492.83949999989</v>
      </c>
      <c r="P4" s="2609">
        <f>U101</f>
        <v>705289.68949999998</v>
      </c>
      <c r="Q4" s="2609">
        <f>V101</f>
        <v>900130.06849999994</v>
      </c>
      <c r="R4" s="395"/>
    </row>
    <row r="5" spans="1:37">
      <c r="A5" s="1205" t="s">
        <v>987</v>
      </c>
      <c r="B5" s="397"/>
      <c r="C5" s="1969">
        <f t="shared" ref="C5:N5" si="1">H176</f>
        <v>63151.8</v>
      </c>
      <c r="D5" s="1969">
        <f t="shared" si="1"/>
        <v>67732.240000000005</v>
      </c>
      <c r="E5" s="1969">
        <f t="shared" si="1"/>
        <v>84685.6</v>
      </c>
      <c r="F5" s="1969">
        <f t="shared" si="1"/>
        <v>80459.839999999997</v>
      </c>
      <c r="G5" s="1969">
        <f t="shared" si="1"/>
        <v>109091.51000000001</v>
      </c>
      <c r="H5" s="1969">
        <f t="shared" si="1"/>
        <v>139155.64000000001</v>
      </c>
      <c r="I5" s="1969">
        <f t="shared" si="1"/>
        <v>153632.69</v>
      </c>
      <c r="J5" s="1969">
        <f t="shared" si="1"/>
        <v>261703.73000000004</v>
      </c>
      <c r="K5" s="1969">
        <f t="shared" si="1"/>
        <v>246761.29000000004</v>
      </c>
      <c r="L5" s="1969">
        <f t="shared" si="1"/>
        <v>316205.84999999998</v>
      </c>
      <c r="M5" s="1969">
        <f t="shared" si="1"/>
        <v>330975.32999999996</v>
      </c>
      <c r="N5" s="1969">
        <f t="shared" si="1"/>
        <v>225310.02</v>
      </c>
      <c r="O5" s="1969">
        <f>T176</f>
        <v>53118.560000000005</v>
      </c>
      <c r="P5" s="1969">
        <f>U176</f>
        <v>133261.22000000003</v>
      </c>
      <c r="Q5" s="1969">
        <f>V176</f>
        <v>181125.36000000002</v>
      </c>
      <c r="R5" s="395"/>
    </row>
    <row r="6" spans="1:37">
      <c r="A6" s="1205" t="s">
        <v>988</v>
      </c>
      <c r="B6" s="397"/>
      <c r="C6" s="1969">
        <f>C5-C4</f>
        <v>-215763.36</v>
      </c>
      <c r="D6" s="1969">
        <f t="shared" ref="D6:I6" si="2">D5-D4</f>
        <v>-227613.89</v>
      </c>
      <c r="E6" s="1969">
        <f t="shared" si="2"/>
        <v>-221475.46999999994</v>
      </c>
      <c r="F6" s="1969">
        <f t="shared" si="2"/>
        <v>-255415.75000000003</v>
      </c>
      <c r="G6" s="1969">
        <f t="shared" si="2"/>
        <v>-282450.25</v>
      </c>
      <c r="H6" s="1969">
        <f t="shared" si="2"/>
        <v>-243994.75999999995</v>
      </c>
      <c r="I6" s="1969">
        <f t="shared" si="2"/>
        <v>-376167.73000000004</v>
      </c>
      <c r="J6" s="1969">
        <f t="shared" ref="J6:P6" si="3">J5-J4</f>
        <v>-428097.59650000004</v>
      </c>
      <c r="K6" s="1969">
        <f t="shared" si="3"/>
        <v>-498404.89399999997</v>
      </c>
      <c r="L6" s="1969">
        <f t="shared" si="3"/>
        <v>-557349.45200000005</v>
      </c>
      <c r="M6" s="1969">
        <f t="shared" si="3"/>
        <v>-556397.0120000001</v>
      </c>
      <c r="N6" s="1969">
        <f t="shared" si="3"/>
        <v>-622096.99350000022</v>
      </c>
      <c r="O6" s="1969">
        <f t="shared" si="3"/>
        <v>-835374.27949999983</v>
      </c>
      <c r="P6" s="1969">
        <f t="shared" si="3"/>
        <v>-572028.46949999989</v>
      </c>
      <c r="Q6" s="1969">
        <f t="shared" ref="Q6" si="4">Q5-Q4</f>
        <v>-719004.70849999995</v>
      </c>
      <c r="R6" s="395"/>
      <c r="T6" s="1487"/>
    </row>
    <row r="7" spans="1:37">
      <c r="A7" s="1205"/>
      <c r="B7" s="397"/>
      <c r="C7" s="1969"/>
      <c r="D7" s="1969"/>
      <c r="E7" s="1969"/>
      <c r="F7" s="1969"/>
      <c r="G7" s="1969"/>
      <c r="H7" s="1969"/>
      <c r="I7" s="1969"/>
      <c r="J7" s="1969"/>
      <c r="K7" s="1969"/>
      <c r="L7" s="1969"/>
      <c r="M7" s="1969"/>
      <c r="N7" s="1969"/>
      <c r="O7" s="1969"/>
      <c r="P7" s="1969"/>
      <c r="Q7" s="1969"/>
      <c r="R7" s="395"/>
    </row>
    <row r="8" spans="1:37">
      <c r="A8" s="1205" t="s">
        <v>989</v>
      </c>
      <c r="B8" s="397"/>
      <c r="C8" s="1969">
        <f t="shared" ref="C8:N8" si="5">H46</f>
        <v>204494.88999999996</v>
      </c>
      <c r="D8" s="1969">
        <f t="shared" si="5"/>
        <v>213439.4</v>
      </c>
      <c r="E8" s="1969">
        <f t="shared" si="5"/>
        <v>225188.04999999996</v>
      </c>
      <c r="F8" s="1969">
        <f t="shared" si="5"/>
        <v>250709.14</v>
      </c>
      <c r="G8" s="1969">
        <f t="shared" si="5"/>
        <v>236444.64</v>
      </c>
      <c r="H8" s="1969">
        <f t="shared" si="5"/>
        <v>246436</v>
      </c>
      <c r="I8" s="1969">
        <f t="shared" si="5"/>
        <v>283940.07</v>
      </c>
      <c r="J8" s="1969">
        <f t="shared" si="5"/>
        <v>291558.62000000005</v>
      </c>
      <c r="K8" s="1969">
        <f t="shared" si="5"/>
        <v>347130</v>
      </c>
      <c r="L8" s="1969">
        <f t="shared" si="5"/>
        <v>365379.97000000003</v>
      </c>
      <c r="M8" s="1969">
        <f t="shared" si="5"/>
        <v>387044.51000000007</v>
      </c>
      <c r="N8" s="1969">
        <f t="shared" si="5"/>
        <v>397009.80000000005</v>
      </c>
      <c r="O8" s="1969">
        <f>T46</f>
        <v>435524.05</v>
      </c>
      <c r="P8" s="1969">
        <f>U46</f>
        <v>420542.75</v>
      </c>
      <c r="Q8" s="1969">
        <f>V46</f>
        <v>462414.10999999993</v>
      </c>
      <c r="R8" s="395"/>
    </row>
    <row r="9" spans="1:37">
      <c r="A9" s="1205" t="s">
        <v>990</v>
      </c>
      <c r="B9" s="397"/>
      <c r="C9" s="1969">
        <f t="shared" ref="C9:N9" si="6">H90</f>
        <v>49862.07</v>
      </c>
      <c r="D9" s="1969">
        <f t="shared" si="6"/>
        <v>56348.53</v>
      </c>
      <c r="E9" s="1969">
        <f t="shared" si="6"/>
        <v>54914.819999999992</v>
      </c>
      <c r="F9" s="1969">
        <f t="shared" si="6"/>
        <v>58608.250000000007</v>
      </c>
      <c r="G9" s="1969">
        <f t="shared" si="6"/>
        <v>126399.45000000001</v>
      </c>
      <c r="H9" s="1969">
        <f t="shared" si="6"/>
        <v>81064.039999999994</v>
      </c>
      <c r="I9" s="1969">
        <f t="shared" si="6"/>
        <v>202479.55000000002</v>
      </c>
      <c r="J9" s="1969">
        <f t="shared" si="6"/>
        <v>354399.25</v>
      </c>
      <c r="K9" s="1969">
        <f t="shared" si="6"/>
        <v>353425.46</v>
      </c>
      <c r="L9" s="1969">
        <f t="shared" si="6"/>
        <v>462759.95</v>
      </c>
      <c r="M9" s="1969">
        <f t="shared" si="6"/>
        <v>458455.28</v>
      </c>
      <c r="N9" s="1969">
        <f t="shared" si="6"/>
        <v>410207.91000000009</v>
      </c>
      <c r="O9" s="1969">
        <f>T90</f>
        <v>414192.11</v>
      </c>
      <c r="P9" s="1969">
        <f>U90</f>
        <v>244163.85999999996</v>
      </c>
      <c r="Q9" s="1969">
        <f>V90</f>
        <v>405866.56</v>
      </c>
      <c r="R9" s="395"/>
    </row>
    <row r="10" spans="1:37">
      <c r="A10" s="1205" t="s">
        <v>991</v>
      </c>
      <c r="B10" s="397"/>
      <c r="C10" s="1969">
        <f t="shared" ref="C10:N10" si="7">H95</f>
        <v>24558.2</v>
      </c>
      <c r="D10" s="1969">
        <f t="shared" si="7"/>
        <v>25558.2</v>
      </c>
      <c r="E10" s="1969">
        <f t="shared" si="7"/>
        <v>26058.2</v>
      </c>
      <c r="F10" s="1969">
        <f t="shared" si="7"/>
        <v>26558.2</v>
      </c>
      <c r="G10" s="1969">
        <f t="shared" si="7"/>
        <v>15151.3</v>
      </c>
      <c r="H10" s="1969">
        <f t="shared" si="7"/>
        <v>34151.300000000003</v>
      </c>
      <c r="I10" s="1969">
        <f t="shared" si="7"/>
        <v>9162.25</v>
      </c>
      <c r="J10" s="1969">
        <f t="shared" si="7"/>
        <v>427.5</v>
      </c>
      <c r="K10" s="1969">
        <f t="shared" si="7"/>
        <v>312.52</v>
      </c>
      <c r="L10" s="1969">
        <f t="shared" si="7"/>
        <v>360.33</v>
      </c>
      <c r="M10" s="1969">
        <f t="shared" si="7"/>
        <v>348.36</v>
      </c>
      <c r="N10" s="1969">
        <f t="shared" si="7"/>
        <v>401.18</v>
      </c>
      <c r="O10" s="1969">
        <f>T95</f>
        <v>406.84</v>
      </c>
      <c r="P10" s="1969">
        <f>U95</f>
        <v>490.2</v>
      </c>
      <c r="Q10" s="1969">
        <f>V95</f>
        <v>494.5</v>
      </c>
      <c r="R10" s="395"/>
    </row>
    <row r="11" spans="1:37" ht="13.5" thickBot="1">
      <c r="A11" s="1205" t="s">
        <v>47</v>
      </c>
      <c r="B11" s="397"/>
      <c r="C11" s="1969">
        <f t="shared" ref="C11:N11" si="8">H100</f>
        <v>0</v>
      </c>
      <c r="D11" s="1969">
        <f t="shared" si="8"/>
        <v>0</v>
      </c>
      <c r="E11" s="1969">
        <f t="shared" si="8"/>
        <v>0</v>
      </c>
      <c r="F11" s="1969">
        <f t="shared" si="8"/>
        <v>0</v>
      </c>
      <c r="G11" s="1969">
        <f t="shared" si="8"/>
        <v>13546.37</v>
      </c>
      <c r="H11" s="1969">
        <f t="shared" si="8"/>
        <v>21499.059999999998</v>
      </c>
      <c r="I11" s="1969">
        <f t="shared" si="8"/>
        <v>34218.550000000003</v>
      </c>
      <c r="J11" s="1969">
        <f t="shared" si="8"/>
        <v>43415.956499999993</v>
      </c>
      <c r="K11" s="1969">
        <f t="shared" si="8"/>
        <v>44298.203999999998</v>
      </c>
      <c r="L11" s="1969">
        <f t="shared" si="8"/>
        <v>45055.051999999996</v>
      </c>
      <c r="M11" s="1969">
        <f t="shared" si="8"/>
        <v>41524.191999999995</v>
      </c>
      <c r="N11" s="2610">
        <f t="shared" si="8"/>
        <v>39788.123500000002</v>
      </c>
      <c r="O11" s="2610">
        <f>T100</f>
        <v>38369.839500000002</v>
      </c>
      <c r="P11" s="2610">
        <f>U100</f>
        <v>40092.879499999995</v>
      </c>
      <c r="Q11" s="2610">
        <f>V100</f>
        <v>31354.898500000003</v>
      </c>
      <c r="R11" s="395"/>
    </row>
    <row r="12" spans="1:37" ht="18" customHeight="1" thickBot="1">
      <c r="A12" s="1891" t="s">
        <v>8</v>
      </c>
      <c r="B12" s="1979"/>
      <c r="C12" s="1970">
        <f>SUM(C8:C11)</f>
        <v>278915.15999999997</v>
      </c>
      <c r="D12" s="1970">
        <f t="shared" ref="D12:I12" si="9">SUM(D8:D11)</f>
        <v>295346.13</v>
      </c>
      <c r="E12" s="1970">
        <f t="shared" si="9"/>
        <v>306161.06999999995</v>
      </c>
      <c r="F12" s="1970">
        <f t="shared" si="9"/>
        <v>335875.59</v>
      </c>
      <c r="G12" s="1970">
        <f t="shared" si="9"/>
        <v>391541.76000000001</v>
      </c>
      <c r="H12" s="1970">
        <f t="shared" si="9"/>
        <v>383150.39999999997</v>
      </c>
      <c r="I12" s="1970">
        <f t="shared" si="9"/>
        <v>529800.42000000004</v>
      </c>
      <c r="J12" s="1970">
        <f t="shared" ref="J12:Q12" si="10">SUM(J8:J11)</f>
        <v>689801.32650000008</v>
      </c>
      <c r="K12" s="1970">
        <f t="shared" si="10"/>
        <v>745166.18400000001</v>
      </c>
      <c r="L12" s="1970">
        <f t="shared" si="10"/>
        <v>873555.30200000003</v>
      </c>
      <c r="M12" s="1970">
        <f t="shared" si="10"/>
        <v>887372.34200000006</v>
      </c>
      <c r="N12" s="1970">
        <f t="shared" si="10"/>
        <v>847407.01350000023</v>
      </c>
      <c r="O12" s="1970">
        <f t="shared" si="10"/>
        <v>888492.83949999989</v>
      </c>
      <c r="P12" s="1970">
        <f t="shared" si="10"/>
        <v>705289.68949999998</v>
      </c>
      <c r="Q12" s="1970">
        <f t="shared" si="10"/>
        <v>900130.06849999994</v>
      </c>
      <c r="R12" s="395"/>
    </row>
    <row r="14" spans="1:37">
      <c r="A14" s="395" t="s">
        <v>993</v>
      </c>
      <c r="D14" s="1965">
        <f>(D8/C8)*100-100</f>
        <v>4.3739528161315064</v>
      </c>
      <c r="E14" s="1965">
        <f t="shared" ref="E14:N15" si="11">(E8/D8)*100-100</f>
        <v>5.5044429472721532</v>
      </c>
      <c r="F14" s="1965">
        <f t="shared" si="11"/>
        <v>11.333234601036807</v>
      </c>
      <c r="G14" s="1965">
        <f t="shared" si="11"/>
        <v>-5.6896609353771481</v>
      </c>
      <c r="H14" s="1965">
        <f t="shared" si="11"/>
        <v>4.2256656780208459</v>
      </c>
      <c r="I14" s="1965">
        <f t="shared" si="11"/>
        <v>15.218584135434753</v>
      </c>
      <c r="J14" s="1965">
        <f t="shared" si="11"/>
        <v>2.6831542303980029</v>
      </c>
      <c r="K14" s="1965">
        <f t="shared" si="11"/>
        <v>19.060105305752899</v>
      </c>
      <c r="L14" s="1965">
        <f t="shared" si="11"/>
        <v>5.2573877221790326</v>
      </c>
      <c r="M14" s="1965">
        <f t="shared" si="11"/>
        <v>5.929317909791294</v>
      </c>
      <c r="N14" s="1965">
        <f t="shared" si="11"/>
        <v>2.5747142105180529</v>
      </c>
      <c r="O14" s="1965">
        <f t="shared" ref="O14:Q15" si="12">(O8/N8)*100-100</f>
        <v>9.70108294555952</v>
      </c>
      <c r="P14" s="1965">
        <f t="shared" si="12"/>
        <v>-3.4398330011855762</v>
      </c>
      <c r="Q14" s="1965">
        <f t="shared" si="12"/>
        <v>9.9565050164341073</v>
      </c>
      <c r="R14" s="395"/>
    </row>
    <row r="15" spans="1:37">
      <c r="A15" s="395" t="s">
        <v>994</v>
      </c>
      <c r="D15" s="1965">
        <f>(D9/C9)*100-100</f>
        <v>13.008806092486736</v>
      </c>
      <c r="E15" s="1965">
        <f t="shared" si="11"/>
        <v>-2.5443609620339771</v>
      </c>
      <c r="F15" s="1965">
        <f t="shared" si="11"/>
        <v>6.7257436152936805</v>
      </c>
      <c r="G15" s="1965">
        <f t="shared" si="11"/>
        <v>115.66835727052077</v>
      </c>
      <c r="H15" s="1965">
        <f t="shared" si="11"/>
        <v>-35.866777901327907</v>
      </c>
      <c r="I15" s="1965">
        <f t="shared" si="11"/>
        <v>149.77727485578072</v>
      </c>
      <c r="J15" s="1965">
        <f t="shared" si="11"/>
        <v>75.029651142547465</v>
      </c>
      <c r="K15" s="1965">
        <f t="shared" si="11"/>
        <v>-0.274772026182319</v>
      </c>
      <c r="L15" s="1965">
        <f t="shared" si="11"/>
        <v>30.935657549968226</v>
      </c>
      <c r="M15" s="1965">
        <f t="shared" si="11"/>
        <v>-0.9302166274328556</v>
      </c>
      <c r="N15" s="1965">
        <f t="shared" si="11"/>
        <v>-10.523898863156276</v>
      </c>
      <c r="O15" s="1965">
        <f t="shared" si="12"/>
        <v>0.97126357217243253</v>
      </c>
      <c r="P15" s="1965">
        <f t="shared" si="12"/>
        <v>-41.050576748069879</v>
      </c>
      <c r="Q15" s="1965">
        <f t="shared" si="12"/>
        <v>66.227123047612395</v>
      </c>
      <c r="R15" s="395"/>
    </row>
    <row r="16" spans="1:37">
      <c r="A16" s="395" t="s">
        <v>995</v>
      </c>
      <c r="D16" s="1965" t="e">
        <f>(D11/C11)*100-100</f>
        <v>#DIV/0!</v>
      </c>
      <c r="E16" s="1965" t="e">
        <f t="shared" ref="E16:N16" si="13">(E11/D11)*100-100</f>
        <v>#DIV/0!</v>
      </c>
      <c r="F16" s="1965" t="e">
        <f t="shared" si="13"/>
        <v>#DIV/0!</v>
      </c>
      <c r="G16" s="1965" t="e">
        <f t="shared" si="13"/>
        <v>#DIV/0!</v>
      </c>
      <c r="H16" s="1965">
        <f t="shared" si="13"/>
        <v>58.707166569346612</v>
      </c>
      <c r="I16" s="1965">
        <f t="shared" si="13"/>
        <v>59.16300526627677</v>
      </c>
      <c r="J16" s="1965">
        <f t="shared" si="13"/>
        <v>26.878422668406429</v>
      </c>
      <c r="K16" s="1965">
        <f t="shared" si="13"/>
        <v>2.0320812234091932</v>
      </c>
      <c r="L16" s="1965">
        <f t="shared" si="13"/>
        <v>1.7085297634188379</v>
      </c>
      <c r="M16" s="1965">
        <f t="shared" si="13"/>
        <v>-7.8367682274564885</v>
      </c>
      <c r="N16" s="1965">
        <f t="shared" si="13"/>
        <v>-4.1808604006069316</v>
      </c>
      <c r="O16" s="1965">
        <f>(O11/N11)*100-100</f>
        <v>-3.5645913283646138</v>
      </c>
      <c r="P16" s="1965">
        <f>(P11/O11)*100-100</f>
        <v>4.4906103920502289</v>
      </c>
      <c r="Q16" s="1965">
        <f>(Q11/P11)*100-100</f>
        <v>-21.794346300319972</v>
      </c>
      <c r="R16" s="395"/>
    </row>
    <row r="19" spans="1:29" ht="15">
      <c r="A19" s="1873" t="s">
        <v>7106</v>
      </c>
      <c r="B19" s="1873"/>
      <c r="C19" s="395"/>
      <c r="D19" s="395"/>
      <c r="E19" s="395"/>
      <c r="F19" s="395"/>
      <c r="G19" s="395"/>
      <c r="O19" s="395"/>
      <c r="P19" s="395"/>
      <c r="Q19" s="395"/>
      <c r="AB19" s="395"/>
      <c r="AC19" s="395"/>
    </row>
    <row r="20" spans="1:29">
      <c r="A20" s="1633"/>
      <c r="B20" s="1633"/>
      <c r="C20" s="395"/>
      <c r="D20" s="395"/>
      <c r="E20" s="395"/>
      <c r="F20" s="395"/>
      <c r="G20" s="395"/>
      <c r="O20" s="395"/>
      <c r="P20" s="395"/>
      <c r="Q20" s="395"/>
      <c r="AB20" s="395"/>
      <c r="AC20" s="395"/>
    </row>
    <row r="21" spans="1:29">
      <c r="A21" s="1989" t="s">
        <v>623</v>
      </c>
      <c r="B21" s="1991"/>
      <c r="C21" s="1991" t="s">
        <v>1002</v>
      </c>
      <c r="D21" s="1991"/>
      <c r="E21" s="1991"/>
      <c r="F21" s="1991"/>
      <c r="G21" s="1991"/>
      <c r="H21" s="1990">
        <v>2007</v>
      </c>
      <c r="I21" s="1990">
        <v>2008</v>
      </c>
      <c r="J21" s="1990">
        <v>2009</v>
      </c>
      <c r="K21" s="1990">
        <v>2010</v>
      </c>
      <c r="L21" s="1990">
        <v>2011</v>
      </c>
      <c r="M21" s="1990">
        <v>2012</v>
      </c>
      <c r="N21" s="1990">
        <v>2013</v>
      </c>
      <c r="O21" s="1990">
        <v>2014</v>
      </c>
      <c r="P21" s="1990">
        <v>2015</v>
      </c>
      <c r="Q21" s="1990">
        <v>2016</v>
      </c>
      <c r="R21" s="1990">
        <v>2017</v>
      </c>
      <c r="S21" s="1990">
        <v>2018</v>
      </c>
      <c r="T21" s="1990">
        <v>2019</v>
      </c>
      <c r="U21" s="1990">
        <v>2020</v>
      </c>
      <c r="V21" s="1990">
        <v>2021</v>
      </c>
      <c r="W21" s="2050">
        <v>2022</v>
      </c>
      <c r="X21" s="1973"/>
      <c r="Y21" s="1973"/>
      <c r="Z21" s="1973"/>
      <c r="AA21" s="1973"/>
      <c r="AB21" s="1633"/>
      <c r="AC21" s="1633"/>
    </row>
    <row r="22" spans="1:29">
      <c r="A22" s="1984" t="s">
        <v>1003</v>
      </c>
      <c r="B22" s="1985"/>
      <c r="C22" s="1986"/>
      <c r="D22" s="1986"/>
      <c r="E22" s="1986"/>
      <c r="F22" s="1986"/>
      <c r="G22" s="1986"/>
      <c r="H22" s="1987"/>
      <c r="I22" s="1987"/>
      <c r="J22" s="1987"/>
      <c r="K22" s="1987"/>
      <c r="L22" s="1987"/>
      <c r="M22" s="1987"/>
      <c r="N22" s="1987"/>
      <c r="O22" s="1986"/>
      <c r="P22" s="1986"/>
      <c r="Q22" s="1986"/>
      <c r="R22" s="1987"/>
      <c r="S22" s="1987"/>
      <c r="T22" s="1987"/>
      <c r="U22" s="1987"/>
      <c r="V22" s="1987"/>
      <c r="W22" s="1988"/>
      <c r="AB22" s="395"/>
      <c r="AC22" s="395"/>
    </row>
    <row r="23" spans="1:29">
      <c r="A23" s="2048" t="s">
        <v>1004</v>
      </c>
      <c r="B23" s="1999"/>
      <c r="C23" s="397"/>
      <c r="D23" s="397"/>
      <c r="E23" s="397"/>
      <c r="F23" s="397"/>
      <c r="G23" s="1996"/>
      <c r="H23" s="1487"/>
      <c r="I23" s="1487"/>
      <c r="J23" s="1487"/>
      <c r="K23" s="1487"/>
      <c r="L23" s="1487"/>
      <c r="M23" s="1487"/>
      <c r="N23" s="1487"/>
      <c r="O23" s="397"/>
      <c r="P23" s="397"/>
      <c r="Q23" s="397"/>
      <c r="R23" s="1487"/>
      <c r="S23" s="1487"/>
      <c r="T23" s="1487"/>
      <c r="U23" s="1487"/>
      <c r="V23" s="1487"/>
      <c r="W23" s="1489"/>
      <c r="AB23" s="395"/>
      <c r="AC23" s="395"/>
    </row>
    <row r="24" spans="1:29">
      <c r="A24" s="1997" t="s">
        <v>1637</v>
      </c>
      <c r="B24" s="583"/>
      <c r="C24" s="397" t="s">
        <v>1012</v>
      </c>
      <c r="D24" s="397"/>
      <c r="E24" s="397"/>
      <c r="F24" s="397"/>
      <c r="G24" s="1998"/>
      <c r="H24" s="1487">
        <v>89085.23</v>
      </c>
      <c r="I24" s="1487">
        <v>89973.119999999995</v>
      </c>
      <c r="J24" s="1487">
        <v>98680.67</v>
      </c>
      <c r="K24" s="1487">
        <v>123001.94</v>
      </c>
      <c r="L24" s="1487">
        <v>140130.20000000001</v>
      </c>
      <c r="M24" s="1487">
        <v>152813.25</v>
      </c>
      <c r="N24" s="1487">
        <v>174475.82</v>
      </c>
      <c r="O24" s="1487">
        <v>158982.51</v>
      </c>
      <c r="P24" s="1487">
        <v>171804.51</v>
      </c>
      <c r="Q24" s="1487">
        <v>426.25</v>
      </c>
      <c r="R24" s="1487"/>
      <c r="S24" s="1487"/>
      <c r="T24" s="1487"/>
      <c r="U24" s="1487"/>
      <c r="V24" s="1487"/>
      <c r="W24" s="1489"/>
      <c r="AB24" s="395"/>
      <c r="AC24" s="395"/>
    </row>
    <row r="25" spans="1:29">
      <c r="A25" s="1997" t="s">
        <v>1638</v>
      </c>
      <c r="B25" s="583"/>
      <c r="C25" s="397" t="s">
        <v>1014</v>
      </c>
      <c r="D25" s="397"/>
      <c r="E25" s="397"/>
      <c r="F25" s="397"/>
      <c r="G25" s="1998"/>
      <c r="H25" s="1487">
        <v>4573.74</v>
      </c>
      <c r="I25" s="1487">
        <v>5114.4799999999996</v>
      </c>
      <c r="J25" s="1487">
        <v>5901.28</v>
      </c>
      <c r="K25" s="1487">
        <v>7872.38</v>
      </c>
      <c r="L25" s="1487">
        <v>9944.7800000000007</v>
      </c>
      <c r="M25" s="1487">
        <v>9669.82</v>
      </c>
      <c r="N25" s="1487">
        <v>12043.88</v>
      </c>
      <c r="O25" s="1487">
        <v>15406.39</v>
      </c>
      <c r="P25" s="1487">
        <v>11790.82</v>
      </c>
      <c r="Q25" s="1487">
        <v>1474.01</v>
      </c>
      <c r="R25" s="1487"/>
      <c r="S25" s="1487"/>
      <c r="T25" s="1487"/>
      <c r="U25" s="1487"/>
      <c r="V25" s="1487"/>
      <c r="W25" s="1489"/>
      <c r="AB25" s="395"/>
      <c r="AC25" s="395"/>
    </row>
    <row r="26" spans="1:29">
      <c r="A26" s="1997" t="s">
        <v>1639</v>
      </c>
      <c r="B26" s="583"/>
      <c r="C26" s="397" t="s">
        <v>1016</v>
      </c>
      <c r="D26" s="397"/>
      <c r="E26" s="397"/>
      <c r="F26" s="397"/>
      <c r="G26" s="1998"/>
      <c r="H26" s="1487"/>
      <c r="I26" s="1487"/>
      <c r="J26" s="1487"/>
      <c r="K26" s="1487"/>
      <c r="L26" s="1487"/>
      <c r="M26" s="1487"/>
      <c r="N26" s="1487"/>
      <c r="O26" s="1487">
        <v>10731.82</v>
      </c>
      <c r="P26" s="1487">
        <v>11000.55</v>
      </c>
      <c r="Q26" s="1487"/>
      <c r="R26" s="1487"/>
      <c r="S26" s="1487"/>
      <c r="T26" s="1487"/>
      <c r="U26" s="1487"/>
      <c r="V26" s="1487"/>
      <c r="W26" s="1489"/>
      <c r="AB26" s="395"/>
      <c r="AC26" s="395"/>
    </row>
    <row r="27" spans="1:29">
      <c r="A27" s="1997" t="s">
        <v>1640</v>
      </c>
      <c r="B27" s="583">
        <v>620200</v>
      </c>
      <c r="C27" s="397" t="s">
        <v>1051</v>
      </c>
      <c r="D27" s="397"/>
      <c r="E27" s="397"/>
      <c r="F27" s="397"/>
      <c r="G27" s="1998"/>
      <c r="H27" s="1487">
        <v>70796.97</v>
      </c>
      <c r="I27" s="1487">
        <v>77743.759999999995</v>
      </c>
      <c r="J27" s="1487">
        <v>74905.289999999994</v>
      </c>
      <c r="K27" s="1487">
        <v>73734.960000000006</v>
      </c>
      <c r="L27" s="1487">
        <v>39781.589999999997</v>
      </c>
      <c r="M27" s="1487">
        <v>41806.800000000003</v>
      </c>
      <c r="N27" s="1487">
        <v>51637.13</v>
      </c>
      <c r="O27" s="1487">
        <v>51536.02</v>
      </c>
      <c r="P27" s="1487">
        <v>54499.77</v>
      </c>
      <c r="Q27" s="1487">
        <v>233519.49</v>
      </c>
      <c r="R27" s="1487">
        <v>242889.38</v>
      </c>
      <c r="S27" s="1487">
        <v>256276.76</v>
      </c>
      <c r="T27" s="1487">
        <v>280683.81</v>
      </c>
      <c r="U27" s="1487">
        <v>307765.46000000002</v>
      </c>
      <c r="V27" s="1487">
        <v>335039.46999999997</v>
      </c>
      <c r="W27" s="1489"/>
      <c r="AB27" s="395"/>
      <c r="AC27" s="395"/>
    </row>
    <row r="28" spans="1:29">
      <c r="A28" s="1997" t="s">
        <v>1641</v>
      </c>
      <c r="B28" s="583"/>
      <c r="C28" s="397" t="s">
        <v>1054</v>
      </c>
      <c r="D28" s="397"/>
      <c r="E28" s="397"/>
      <c r="F28" s="397"/>
      <c r="G28" s="1998"/>
      <c r="H28" s="1487">
        <v>5282.8</v>
      </c>
      <c r="I28" s="1487">
        <v>5260.43</v>
      </c>
      <c r="J28" s="1487">
        <v>5350.28</v>
      </c>
      <c r="K28" s="1487">
        <v>5815.14</v>
      </c>
      <c r="L28" s="1487">
        <v>3756.4</v>
      </c>
      <c r="M28" s="1487">
        <v>2630.03</v>
      </c>
      <c r="N28" s="1487">
        <v>3021.53</v>
      </c>
      <c r="O28" s="1487">
        <v>5771</v>
      </c>
      <c r="P28" s="1487">
        <v>4146.92</v>
      </c>
      <c r="Q28" s="1487">
        <v>19189.259999999998</v>
      </c>
      <c r="R28" s="1487">
        <v>20591.73</v>
      </c>
      <c r="S28" s="1487">
        <v>18621.59</v>
      </c>
      <c r="T28" s="1487">
        <v>23205.07</v>
      </c>
      <c r="U28" s="1487"/>
      <c r="V28" s="1487"/>
      <c r="W28" s="1489"/>
      <c r="AB28" s="395"/>
      <c r="AC28" s="395"/>
    </row>
    <row r="29" spans="1:29">
      <c r="A29" s="1997" t="s">
        <v>1642</v>
      </c>
      <c r="B29" s="583"/>
      <c r="C29" s="397" t="s">
        <v>1022</v>
      </c>
      <c r="D29" s="397"/>
      <c r="E29" s="397"/>
      <c r="F29" s="397"/>
      <c r="G29" s="1998"/>
      <c r="H29" s="1487"/>
      <c r="I29" s="1487"/>
      <c r="J29" s="1487"/>
      <c r="K29" s="1487"/>
      <c r="L29" s="1487"/>
      <c r="M29" s="1487"/>
      <c r="N29" s="1487"/>
      <c r="O29" s="1487">
        <v>3874</v>
      </c>
      <c r="P29" s="1487">
        <v>3877.12</v>
      </c>
      <c r="Q29" s="1487">
        <v>15362.48</v>
      </c>
      <c r="R29" s="1487">
        <v>15246.63</v>
      </c>
      <c r="S29" s="1487">
        <v>16830.150000000001</v>
      </c>
      <c r="T29" s="1487">
        <v>17926.93</v>
      </c>
      <c r="U29" s="1487"/>
      <c r="V29" s="1487"/>
      <c r="W29" s="1489"/>
      <c r="AB29" s="395"/>
      <c r="AC29" s="395"/>
    </row>
    <row r="30" spans="1:29">
      <c r="A30" s="1997"/>
      <c r="B30" s="583">
        <v>620300</v>
      </c>
      <c r="C30" s="397" t="s">
        <v>7497</v>
      </c>
      <c r="D30" s="397"/>
      <c r="E30" s="397"/>
      <c r="F30" s="397"/>
      <c r="G30" s="1998"/>
      <c r="H30" s="1487"/>
      <c r="I30" s="1487"/>
      <c r="J30" s="1487"/>
      <c r="K30" s="1487"/>
      <c r="L30" s="1487"/>
      <c r="M30" s="1487"/>
      <c r="N30" s="1487"/>
      <c r="O30" s="1487"/>
      <c r="P30" s="1487"/>
      <c r="Q30" s="1487"/>
      <c r="R30" s="1487"/>
      <c r="S30" s="1487"/>
      <c r="T30" s="1487"/>
      <c r="U30" s="1487">
        <v>3911.43</v>
      </c>
      <c r="V30" s="1487">
        <v>4082.97</v>
      </c>
      <c r="W30" s="1489"/>
      <c r="AB30" s="395"/>
      <c r="AC30" s="395"/>
    </row>
    <row r="31" spans="1:29">
      <c r="A31" s="1997" t="s">
        <v>1643</v>
      </c>
      <c r="B31" s="583"/>
      <c r="C31" s="397" t="s">
        <v>1644</v>
      </c>
      <c r="D31" s="397"/>
      <c r="E31" s="397"/>
      <c r="F31" s="397"/>
      <c r="G31" s="1998"/>
      <c r="H31" s="1487"/>
      <c r="I31" s="1487"/>
      <c r="J31" s="1487"/>
      <c r="K31" s="1487"/>
      <c r="L31" s="1487"/>
      <c r="M31" s="1487"/>
      <c r="N31" s="1487"/>
      <c r="O31" s="1487"/>
      <c r="P31" s="1487"/>
      <c r="Q31" s="1487">
        <v>3242.65</v>
      </c>
      <c r="R31" s="1487">
        <v>9753.52</v>
      </c>
      <c r="S31" s="1487">
        <v>3972.84</v>
      </c>
      <c r="T31" s="1487"/>
      <c r="U31" s="1487"/>
      <c r="V31" s="1487"/>
      <c r="W31" s="1489"/>
      <c r="AB31" s="395"/>
      <c r="AC31" s="395"/>
    </row>
    <row r="32" spans="1:29">
      <c r="A32" s="1997" t="s">
        <v>1645</v>
      </c>
      <c r="B32" s="583"/>
      <c r="C32" s="397" t="s">
        <v>1030</v>
      </c>
      <c r="D32" s="397"/>
      <c r="E32" s="397"/>
      <c r="F32" s="397"/>
      <c r="G32" s="1998"/>
      <c r="H32" s="1487">
        <v>5169.08</v>
      </c>
      <c r="I32" s="1487">
        <v>3287.48</v>
      </c>
      <c r="J32" s="1487">
        <v>6474.02</v>
      </c>
      <c r="K32" s="1487">
        <v>7874</v>
      </c>
      <c r="L32" s="1487">
        <v>13810.21</v>
      </c>
      <c r="M32" s="1487">
        <v>9182.42</v>
      </c>
      <c r="N32" s="1487">
        <v>15538.5</v>
      </c>
      <c r="O32" s="1487">
        <v>15688.51</v>
      </c>
      <c r="P32" s="1487">
        <v>57679.4</v>
      </c>
      <c r="Q32" s="1487">
        <v>429</v>
      </c>
      <c r="R32" s="1487">
        <v>132.56</v>
      </c>
      <c r="S32" s="1487"/>
      <c r="T32" s="1487"/>
      <c r="U32" s="1487"/>
      <c r="V32" s="1487"/>
      <c r="W32" s="1489"/>
      <c r="AB32" s="395"/>
      <c r="AC32" s="395"/>
    </row>
    <row r="33" spans="1:29">
      <c r="A33" s="1997" t="s">
        <v>1646</v>
      </c>
      <c r="B33" s="583">
        <v>621200</v>
      </c>
      <c r="C33" s="397" t="s">
        <v>1058</v>
      </c>
      <c r="D33" s="397"/>
      <c r="E33" s="397"/>
      <c r="F33" s="397"/>
      <c r="G33" s="1998"/>
      <c r="H33" s="1487">
        <v>15455.02</v>
      </c>
      <c r="I33" s="1487">
        <v>17707.07</v>
      </c>
      <c r="J33" s="1487">
        <v>19057.310000000001</v>
      </c>
      <c r="K33" s="1487">
        <v>18457.18</v>
      </c>
      <c r="L33" s="1487">
        <v>11878.47</v>
      </c>
      <c r="M33" s="1487">
        <v>15387.3</v>
      </c>
      <c r="N33" s="1487">
        <v>15919.92</v>
      </c>
      <c r="O33" s="1487">
        <v>14340.23</v>
      </c>
      <c r="P33" s="1487">
        <v>18353.57</v>
      </c>
      <c r="Q33" s="1487">
        <v>78700.490000000005</v>
      </c>
      <c r="R33" s="1487">
        <v>83097.72</v>
      </c>
      <c r="S33" s="1487">
        <v>85821.64</v>
      </c>
      <c r="T33" s="1487">
        <v>92905.98</v>
      </c>
      <c r="U33" s="1487">
        <v>87657.27</v>
      </c>
      <c r="V33" s="1487">
        <v>95659.97</v>
      </c>
      <c r="W33" s="1489"/>
      <c r="AB33" s="395"/>
      <c r="AC33" s="395"/>
    </row>
    <row r="34" spans="1:29">
      <c r="A34" s="1997"/>
      <c r="B34" s="583">
        <v>621300</v>
      </c>
      <c r="C34" s="397" t="s">
        <v>7501</v>
      </c>
      <c r="D34" s="397"/>
      <c r="E34" s="397"/>
      <c r="F34" s="397"/>
      <c r="G34" s="1998"/>
      <c r="H34" s="1487"/>
      <c r="I34" s="1487"/>
      <c r="J34" s="1487"/>
      <c r="K34" s="1487"/>
      <c r="L34" s="1487"/>
      <c r="M34" s="1487"/>
      <c r="N34" s="1487"/>
      <c r="O34" s="1487"/>
      <c r="P34" s="1487"/>
      <c r="Q34" s="1487"/>
      <c r="R34" s="1487"/>
      <c r="S34" s="1487"/>
      <c r="T34" s="1487"/>
      <c r="U34" s="1487">
        <v>211.98</v>
      </c>
      <c r="V34" s="1487">
        <v>211.3</v>
      </c>
      <c r="W34" s="1489"/>
      <c r="AB34" s="395"/>
      <c r="AC34" s="395"/>
    </row>
    <row r="35" spans="1:29">
      <c r="A35" s="1997" t="s">
        <v>1647</v>
      </c>
      <c r="B35" s="583"/>
      <c r="C35" s="397" t="s">
        <v>1648</v>
      </c>
      <c r="D35" s="397"/>
      <c r="E35" s="397"/>
      <c r="F35" s="397"/>
      <c r="G35" s="1998"/>
      <c r="H35" s="1487"/>
      <c r="I35" s="1487"/>
      <c r="J35" s="1487"/>
      <c r="K35" s="1487"/>
      <c r="L35" s="1487"/>
      <c r="M35" s="1487"/>
      <c r="N35" s="1487"/>
      <c r="O35" s="1487">
        <v>3337.59</v>
      </c>
      <c r="P35" s="1487">
        <v>3635.01</v>
      </c>
      <c r="Q35" s="1487">
        <v>8.5299999999999994</v>
      </c>
      <c r="R35" s="1487"/>
      <c r="S35" s="1487"/>
      <c r="T35" s="1487"/>
      <c r="U35" s="1487"/>
      <c r="V35" s="1487"/>
      <c r="W35" s="1489"/>
      <c r="AB35" s="395"/>
      <c r="AC35" s="395"/>
    </row>
    <row r="36" spans="1:29">
      <c r="A36" s="1997" t="s">
        <v>1649</v>
      </c>
      <c r="B36" s="583"/>
      <c r="C36" s="397" t="s">
        <v>1650</v>
      </c>
      <c r="D36" s="397"/>
      <c r="E36" s="397"/>
      <c r="F36" s="397"/>
      <c r="G36" s="1998"/>
      <c r="H36" s="1487"/>
      <c r="I36" s="1487"/>
      <c r="J36" s="1487"/>
      <c r="K36" s="1487"/>
      <c r="L36" s="1487"/>
      <c r="M36" s="1487"/>
      <c r="N36" s="1487"/>
      <c r="O36" s="1487">
        <v>231</v>
      </c>
      <c r="P36" s="1487">
        <v>231</v>
      </c>
      <c r="Q36" s="1487"/>
      <c r="R36" s="1487"/>
      <c r="S36" s="1487"/>
      <c r="T36" s="1487"/>
      <c r="U36" s="1487"/>
      <c r="V36" s="1487"/>
      <c r="W36" s="1489"/>
      <c r="AB36" s="395"/>
      <c r="AC36" s="395"/>
    </row>
    <row r="37" spans="1:29">
      <c r="A37" s="1997" t="s">
        <v>1651</v>
      </c>
      <c r="B37" s="583">
        <v>622200</v>
      </c>
      <c r="C37" s="397" t="s">
        <v>1442</v>
      </c>
      <c r="D37" s="397"/>
      <c r="E37" s="397"/>
      <c r="F37" s="397"/>
      <c r="G37" s="1998"/>
      <c r="H37" s="1487"/>
      <c r="I37" s="1487"/>
      <c r="J37" s="1487"/>
      <c r="K37" s="1487"/>
      <c r="L37" s="1487"/>
      <c r="M37" s="1487"/>
      <c r="N37" s="1487"/>
      <c r="O37" s="1487">
        <v>1204.47</v>
      </c>
      <c r="P37" s="1487">
        <v>151.29</v>
      </c>
      <c r="Q37" s="1487">
        <v>1954.24</v>
      </c>
      <c r="R37" s="1487">
        <v>3495.4</v>
      </c>
      <c r="S37" s="1487">
        <v>3745.12</v>
      </c>
      <c r="T37" s="1487">
        <v>9498.4</v>
      </c>
      <c r="U37" s="1487">
        <v>6155.3</v>
      </c>
      <c r="V37" s="1487">
        <v>13401.58</v>
      </c>
      <c r="W37" s="1489"/>
      <c r="AB37" s="395"/>
      <c r="AC37" s="395"/>
    </row>
    <row r="38" spans="1:29">
      <c r="A38" s="1997" t="s">
        <v>1652</v>
      </c>
      <c r="B38" s="583">
        <v>622600</v>
      </c>
      <c r="C38" s="397" t="s">
        <v>1286</v>
      </c>
      <c r="D38" s="397"/>
      <c r="E38" s="397"/>
      <c r="F38" s="397"/>
      <c r="G38" s="1998"/>
      <c r="H38" s="1487"/>
      <c r="I38" s="1487"/>
      <c r="J38" s="1487"/>
      <c r="K38" s="1487"/>
      <c r="L38" s="1487"/>
      <c r="M38" s="1487"/>
      <c r="N38" s="1487"/>
      <c r="O38" s="1487">
        <v>147.59</v>
      </c>
      <c r="P38" s="1487">
        <v>154</v>
      </c>
      <c r="Q38" s="1487"/>
      <c r="R38" s="1487">
        <v>429</v>
      </c>
      <c r="S38" s="1487">
        <v>467.5</v>
      </c>
      <c r="T38" s="1487">
        <v>470.04</v>
      </c>
      <c r="U38" s="1487">
        <v>560.86</v>
      </c>
      <c r="V38" s="1487">
        <v>412.51</v>
      </c>
      <c r="W38" s="1489"/>
      <c r="AB38" s="395"/>
      <c r="AC38" s="395"/>
    </row>
    <row r="39" spans="1:29">
      <c r="A39" s="1997" t="s">
        <v>1653</v>
      </c>
      <c r="B39" s="583">
        <v>623200</v>
      </c>
      <c r="C39" s="397" t="s">
        <v>1045</v>
      </c>
      <c r="D39" s="397"/>
      <c r="E39" s="397"/>
      <c r="F39" s="397"/>
      <c r="G39" s="1998"/>
      <c r="H39" s="1487">
        <v>0</v>
      </c>
      <c r="I39" s="1487">
        <v>0</v>
      </c>
      <c r="J39" s="1487">
        <v>172.76</v>
      </c>
      <c r="K39" s="1487">
        <v>250.58</v>
      </c>
      <c r="L39" s="1487">
        <v>82.18</v>
      </c>
      <c r="M39" s="1487">
        <v>58.96</v>
      </c>
      <c r="N39" s="1487">
        <v>56.85</v>
      </c>
      <c r="O39" s="1487">
        <v>204.64</v>
      </c>
      <c r="P39" s="1487">
        <v>75.599999999999994</v>
      </c>
      <c r="Q39" s="1487">
        <v>260.88</v>
      </c>
      <c r="R39" s="1487">
        <v>648.33000000000004</v>
      </c>
      <c r="S39" s="1487">
        <v>394.22</v>
      </c>
      <c r="T39" s="1487">
        <v>219.38</v>
      </c>
      <c r="U39" s="1487">
        <v>185.81</v>
      </c>
      <c r="V39" s="1487">
        <v>586.83000000000004</v>
      </c>
      <c r="W39" s="1489"/>
      <c r="AB39" s="395"/>
      <c r="AC39" s="395"/>
    </row>
    <row r="40" spans="1:29">
      <c r="A40" s="1997" t="s">
        <v>1654</v>
      </c>
      <c r="B40" s="583">
        <v>623100</v>
      </c>
      <c r="C40" s="397" t="s">
        <v>1047</v>
      </c>
      <c r="D40" s="397"/>
      <c r="E40" s="397"/>
      <c r="F40" s="397"/>
      <c r="G40" s="1998"/>
      <c r="H40" s="1487">
        <v>4827.7700000000004</v>
      </c>
      <c r="I40" s="1487">
        <v>4752</v>
      </c>
      <c r="J40" s="1487">
        <v>6450</v>
      </c>
      <c r="K40" s="1487">
        <v>6905</v>
      </c>
      <c r="L40" s="1487">
        <v>7745</v>
      </c>
      <c r="M40" s="1487">
        <v>8633</v>
      </c>
      <c r="N40" s="1487">
        <v>8181.5</v>
      </c>
      <c r="O40" s="1487">
        <v>8833.5</v>
      </c>
      <c r="P40" s="1487">
        <v>8426</v>
      </c>
      <c r="Q40" s="1487">
        <v>9514</v>
      </c>
      <c r="R40" s="1487">
        <v>9888</v>
      </c>
      <c r="S40" s="1487">
        <v>10044</v>
      </c>
      <c r="T40" s="1487">
        <v>9564</v>
      </c>
      <c r="U40" s="1487">
        <v>12871.76</v>
      </c>
      <c r="V40" s="1487">
        <v>11738.44</v>
      </c>
      <c r="W40" s="1489"/>
      <c r="AB40" s="395"/>
      <c r="AC40" s="395"/>
    </row>
    <row r="41" spans="1:29">
      <c r="A41" s="1997" t="s">
        <v>1655</v>
      </c>
      <c r="B41" s="583">
        <v>623000</v>
      </c>
      <c r="C41" s="397" t="s">
        <v>1067</v>
      </c>
      <c r="D41" s="397"/>
      <c r="E41" s="397"/>
      <c r="F41" s="397"/>
      <c r="G41" s="1998"/>
      <c r="H41" s="1487">
        <v>1490</v>
      </c>
      <c r="I41" s="1487">
        <v>1693</v>
      </c>
      <c r="J41" s="1487">
        <v>1848.91</v>
      </c>
      <c r="K41" s="1487">
        <v>1760.96</v>
      </c>
      <c r="L41" s="1487">
        <v>1729.39</v>
      </c>
      <c r="M41" s="1487">
        <v>1616.09</v>
      </c>
      <c r="N41" s="1487">
        <v>1004.6</v>
      </c>
      <c r="O41" s="1487">
        <v>1269.3499999999999</v>
      </c>
      <c r="P41" s="1487">
        <v>1304.44</v>
      </c>
      <c r="Q41" s="1487">
        <v>1298.69</v>
      </c>
      <c r="R41" s="1487">
        <v>872.24</v>
      </c>
      <c r="S41" s="1487">
        <v>835.98</v>
      </c>
      <c r="T41" s="1487">
        <v>1050.44</v>
      </c>
      <c r="U41" s="1487">
        <v>1222.8800000000001</v>
      </c>
      <c r="V41" s="1487">
        <v>1281.04</v>
      </c>
      <c r="W41" s="1489"/>
      <c r="AB41" s="395"/>
      <c r="AC41" s="395"/>
    </row>
    <row r="42" spans="1:29">
      <c r="A42" s="1997" t="s">
        <v>1656</v>
      </c>
      <c r="B42" s="583"/>
      <c r="C42" s="397" t="s">
        <v>1061</v>
      </c>
      <c r="D42" s="397"/>
      <c r="E42" s="397"/>
      <c r="F42" s="397"/>
      <c r="G42" s="1998"/>
      <c r="H42" s="1487">
        <v>7578.94</v>
      </c>
      <c r="I42" s="1487">
        <v>7669.56</v>
      </c>
      <c r="J42" s="1487">
        <v>5895.3</v>
      </c>
      <c r="K42" s="1487">
        <v>4421.46</v>
      </c>
      <c r="L42" s="1487">
        <v>0</v>
      </c>
      <c r="M42" s="1487">
        <v>0</v>
      </c>
      <c r="N42" s="1487">
        <v>0</v>
      </c>
      <c r="O42" s="1487"/>
      <c r="P42" s="1487"/>
      <c r="Q42" s="1487"/>
      <c r="R42" s="1487"/>
      <c r="S42" s="1487"/>
      <c r="T42" s="1487"/>
      <c r="U42" s="1487"/>
      <c r="V42" s="1487"/>
      <c r="W42" s="1489"/>
      <c r="AB42" s="395"/>
      <c r="AC42" s="395"/>
    </row>
    <row r="43" spans="1:29">
      <c r="A43" s="1997" t="s">
        <v>1657</v>
      </c>
      <c r="B43" s="583"/>
      <c r="C43" s="397" t="s">
        <v>1063</v>
      </c>
      <c r="D43" s="397"/>
      <c r="E43" s="397"/>
      <c r="F43" s="397"/>
      <c r="G43" s="1998"/>
      <c r="H43" s="1487">
        <v>0</v>
      </c>
      <c r="I43" s="1487">
        <v>0</v>
      </c>
      <c r="J43" s="1487">
        <v>0</v>
      </c>
      <c r="K43" s="1487">
        <v>0</v>
      </c>
      <c r="L43" s="1487">
        <v>7000.95</v>
      </c>
      <c r="M43" s="1487">
        <v>4041.22</v>
      </c>
      <c r="N43" s="1487">
        <v>1594.51</v>
      </c>
      <c r="O43" s="1487"/>
      <c r="P43" s="1487"/>
      <c r="Q43" s="1487"/>
      <c r="R43" s="1487"/>
      <c r="S43" s="1487"/>
      <c r="T43" s="1487"/>
      <c r="U43" s="1487"/>
      <c r="V43" s="1487"/>
      <c r="W43" s="1489"/>
      <c r="AB43" s="395"/>
      <c r="AC43" s="395"/>
    </row>
    <row r="44" spans="1:29">
      <c r="A44" s="1997" t="s">
        <v>1658</v>
      </c>
      <c r="B44" s="583"/>
      <c r="C44" s="397" t="s">
        <v>1045</v>
      </c>
      <c r="D44" s="397"/>
      <c r="E44" s="397"/>
      <c r="F44" s="397"/>
      <c r="G44" s="1998"/>
      <c r="H44" s="1487">
        <v>0</v>
      </c>
      <c r="I44" s="1487">
        <v>0</v>
      </c>
      <c r="J44" s="1487">
        <v>190.61</v>
      </c>
      <c r="K44" s="1487">
        <v>323.13</v>
      </c>
      <c r="L44" s="1487">
        <v>277.42</v>
      </c>
      <c r="M44" s="1487">
        <v>291.79000000000002</v>
      </c>
      <c r="N44" s="1487">
        <v>126.05</v>
      </c>
      <c r="O44" s="1487"/>
      <c r="P44" s="1487"/>
      <c r="Q44" s="1487"/>
      <c r="R44" s="1487"/>
      <c r="S44" s="1487"/>
      <c r="T44" s="1487"/>
      <c r="U44" s="1487"/>
      <c r="V44" s="1487"/>
      <c r="W44" s="1489"/>
      <c r="AB44" s="395"/>
      <c r="AC44" s="395"/>
    </row>
    <row r="45" spans="1:29">
      <c r="A45" s="1997" t="s">
        <v>1659</v>
      </c>
      <c r="B45" s="583"/>
      <c r="C45" s="397" t="s">
        <v>1069</v>
      </c>
      <c r="D45" s="397"/>
      <c r="E45" s="397"/>
      <c r="F45" s="397"/>
      <c r="G45" s="2002"/>
      <c r="H45" s="1487">
        <v>235.34</v>
      </c>
      <c r="I45" s="1487">
        <v>238.5</v>
      </c>
      <c r="J45" s="1487">
        <v>261.62</v>
      </c>
      <c r="K45" s="1487">
        <v>292.41000000000003</v>
      </c>
      <c r="L45" s="1487">
        <v>308.05</v>
      </c>
      <c r="M45" s="1487">
        <v>305.32</v>
      </c>
      <c r="N45" s="1487">
        <v>339.78</v>
      </c>
      <c r="O45" s="1487"/>
      <c r="P45" s="1487"/>
      <c r="Q45" s="1487"/>
      <c r="R45" s="1487"/>
      <c r="S45" s="1487"/>
      <c r="T45" s="1487"/>
      <c r="U45" s="1487"/>
      <c r="V45" s="1487"/>
      <c r="W45" s="1489"/>
      <c r="AB45" s="395"/>
      <c r="AC45" s="395"/>
    </row>
    <row r="46" spans="1:29">
      <c r="A46" s="2046"/>
      <c r="B46" s="2064"/>
      <c r="C46" s="2047" t="s">
        <v>1083</v>
      </c>
      <c r="D46" s="2047"/>
      <c r="E46" s="2047"/>
      <c r="F46" s="2047"/>
      <c r="G46" s="2047"/>
      <c r="H46" s="2005">
        <f t="shared" ref="H46:V46" si="14">SUM(H24:H45)</f>
        <v>204494.88999999996</v>
      </c>
      <c r="I46" s="2005">
        <f t="shared" si="14"/>
        <v>213439.4</v>
      </c>
      <c r="J46" s="2005">
        <f t="shared" si="14"/>
        <v>225188.04999999996</v>
      </c>
      <c r="K46" s="2005">
        <f t="shared" si="14"/>
        <v>250709.14</v>
      </c>
      <c r="L46" s="2005">
        <f t="shared" si="14"/>
        <v>236444.64</v>
      </c>
      <c r="M46" s="2005">
        <f t="shared" si="14"/>
        <v>246436</v>
      </c>
      <c r="N46" s="2005">
        <f t="shared" si="14"/>
        <v>283940.07</v>
      </c>
      <c r="O46" s="2005">
        <f t="shared" si="14"/>
        <v>291558.62000000005</v>
      </c>
      <c r="P46" s="2005">
        <f t="shared" si="14"/>
        <v>347130</v>
      </c>
      <c r="Q46" s="2005">
        <f t="shared" si="14"/>
        <v>365379.97000000003</v>
      </c>
      <c r="R46" s="2005">
        <f t="shared" si="14"/>
        <v>387044.51000000007</v>
      </c>
      <c r="S46" s="2005">
        <f t="shared" si="14"/>
        <v>397009.80000000005</v>
      </c>
      <c r="T46" s="2005">
        <f t="shared" si="14"/>
        <v>435524.05</v>
      </c>
      <c r="U46" s="2005">
        <f t="shared" si="14"/>
        <v>420542.75</v>
      </c>
      <c r="V46" s="2005">
        <f t="shared" si="14"/>
        <v>462414.10999999993</v>
      </c>
      <c r="W46" s="2007"/>
      <c r="AB46" s="395"/>
      <c r="AC46" s="395"/>
    </row>
    <row r="47" spans="1:29">
      <c r="A47" s="1993" t="s">
        <v>990</v>
      </c>
      <c r="B47" s="1994"/>
      <c r="C47" s="1995"/>
      <c r="D47" s="1995"/>
      <c r="E47" s="1995"/>
      <c r="F47" s="1995"/>
      <c r="G47" s="1996"/>
      <c r="H47" s="2016"/>
      <c r="I47" s="2016"/>
      <c r="J47" s="2016"/>
      <c r="K47" s="2016"/>
      <c r="L47" s="2016"/>
      <c r="M47" s="2016"/>
      <c r="N47" s="2016"/>
      <c r="O47" s="1995"/>
      <c r="P47" s="1995"/>
      <c r="Q47" s="1995"/>
      <c r="R47" s="2016"/>
      <c r="S47" s="2016"/>
      <c r="T47" s="2016"/>
      <c r="U47" s="2016"/>
      <c r="V47" s="2016"/>
      <c r="W47" s="2017"/>
      <c r="AB47" s="395"/>
      <c r="AC47" s="395"/>
    </row>
    <row r="48" spans="1:29">
      <c r="A48" s="1997" t="s">
        <v>1660</v>
      </c>
      <c r="B48" s="583"/>
      <c r="C48" s="397" t="s">
        <v>1661</v>
      </c>
      <c r="D48" s="397"/>
      <c r="E48" s="397"/>
      <c r="F48" s="397"/>
      <c r="G48" s="1998"/>
      <c r="H48" s="1487"/>
      <c r="I48" s="1487"/>
      <c r="J48" s="1487"/>
      <c r="K48" s="1487"/>
      <c r="L48" s="1487"/>
      <c r="M48" s="1487"/>
      <c r="N48" s="1487"/>
      <c r="O48" s="1487">
        <v>30056.54</v>
      </c>
      <c r="P48" s="1487">
        <v>12194</v>
      </c>
      <c r="Q48" s="1487">
        <v>13648.14</v>
      </c>
      <c r="R48" s="1487">
        <v>6489.22</v>
      </c>
      <c r="S48" s="1487">
        <v>16070.55</v>
      </c>
      <c r="T48" s="1487">
        <v>7416.39</v>
      </c>
      <c r="U48" s="1487"/>
      <c r="V48" s="1487"/>
      <c r="W48" s="1489"/>
      <c r="AB48" s="395"/>
      <c r="AC48" s="395"/>
    </row>
    <row r="49" spans="1:29">
      <c r="A49" s="1997" t="s">
        <v>1662</v>
      </c>
      <c r="B49" s="583">
        <v>616401</v>
      </c>
      <c r="C49" s="397" t="s">
        <v>7530</v>
      </c>
      <c r="D49" s="397"/>
      <c r="E49" s="397"/>
      <c r="F49" s="397"/>
      <c r="G49" s="1998"/>
      <c r="H49" s="1487"/>
      <c r="I49" s="1487"/>
      <c r="J49" s="1487"/>
      <c r="K49" s="1487"/>
      <c r="L49" s="1487"/>
      <c r="M49" s="1487"/>
      <c r="N49" s="1487"/>
      <c r="O49" s="1487">
        <v>169188.03</v>
      </c>
      <c r="P49" s="1487">
        <v>201452.66</v>
      </c>
      <c r="Q49" s="1487">
        <v>271737.49</v>
      </c>
      <c r="R49" s="1487">
        <v>242231.21</v>
      </c>
      <c r="S49" s="1487">
        <v>189512.32000000001</v>
      </c>
      <c r="T49" s="1487">
        <v>217234.27</v>
      </c>
      <c r="U49" s="1487">
        <v>90053.13</v>
      </c>
      <c r="V49" s="1487">
        <v>231247.02</v>
      </c>
      <c r="W49" s="1489"/>
      <c r="AB49" s="395"/>
      <c r="AC49" s="395"/>
    </row>
    <row r="50" spans="1:29">
      <c r="A50" s="1997" t="s">
        <v>1663</v>
      </c>
      <c r="B50" s="583">
        <v>615400</v>
      </c>
      <c r="C50" s="397" t="s">
        <v>1664</v>
      </c>
      <c r="D50" s="397"/>
      <c r="E50" s="397"/>
      <c r="F50" s="397"/>
      <c r="G50" s="1998"/>
      <c r="H50" s="1487"/>
      <c r="I50" s="1487"/>
      <c r="J50" s="1487"/>
      <c r="K50" s="1487"/>
      <c r="L50" s="1487"/>
      <c r="M50" s="1487"/>
      <c r="N50" s="1487"/>
      <c r="O50" s="1487">
        <v>20581.86</v>
      </c>
      <c r="P50" s="1487">
        <v>18726.53</v>
      </c>
      <c r="Q50" s="1487">
        <v>22420.06</v>
      </c>
      <c r="R50" s="1487">
        <v>31100.57</v>
      </c>
      <c r="S50" s="1487">
        <v>24937.759999999998</v>
      </c>
      <c r="T50" s="1487">
        <v>30082.07</v>
      </c>
      <c r="U50" s="1487">
        <v>24016.89</v>
      </c>
      <c r="V50" s="1487">
        <v>36332.21</v>
      </c>
      <c r="W50" s="1489"/>
      <c r="AB50" s="395"/>
      <c r="AC50" s="395"/>
    </row>
    <row r="51" spans="1:29">
      <c r="A51" s="1997" t="s">
        <v>1665</v>
      </c>
      <c r="B51" s="583">
        <v>643000</v>
      </c>
      <c r="C51" s="397" t="s">
        <v>7531</v>
      </c>
      <c r="D51" s="397"/>
      <c r="E51" s="397"/>
      <c r="F51" s="397"/>
      <c r="G51" s="1998"/>
      <c r="H51" s="1487"/>
      <c r="I51" s="1487"/>
      <c r="J51" s="1487"/>
      <c r="K51" s="1487"/>
      <c r="L51" s="1487"/>
      <c r="M51" s="1487"/>
      <c r="N51" s="1487"/>
      <c r="O51" s="1487">
        <v>20500</v>
      </c>
      <c r="P51" s="1487">
        <v>20500</v>
      </c>
      <c r="Q51" s="1487">
        <v>20500</v>
      </c>
      <c r="R51" s="1487">
        <v>20500</v>
      </c>
      <c r="S51" s="1487">
        <v>30269.65</v>
      </c>
      <c r="T51" s="1487">
        <v>20500</v>
      </c>
      <c r="U51" s="1487">
        <v>28500</v>
      </c>
      <c r="V51" s="1487">
        <v>28785</v>
      </c>
      <c r="W51" s="1489"/>
      <c r="AB51" s="395"/>
      <c r="AC51" s="395"/>
    </row>
    <row r="52" spans="1:29">
      <c r="A52" s="1997" t="s">
        <v>1667</v>
      </c>
      <c r="B52" s="583">
        <v>602300</v>
      </c>
      <c r="C52" s="397" t="s">
        <v>1668</v>
      </c>
      <c r="D52" s="397"/>
      <c r="E52" s="397"/>
      <c r="F52" s="397"/>
      <c r="G52" s="1998"/>
      <c r="H52" s="1487">
        <v>741.08</v>
      </c>
      <c r="I52" s="1487">
        <v>1352.93</v>
      </c>
      <c r="J52" s="1487">
        <v>568.91</v>
      </c>
      <c r="K52" s="1487">
        <v>0</v>
      </c>
      <c r="L52" s="1487">
        <v>13320.2</v>
      </c>
      <c r="M52" s="1487">
        <v>6777.68</v>
      </c>
      <c r="N52" s="1487">
        <v>7293.85</v>
      </c>
      <c r="O52" s="1487">
        <v>44571.72</v>
      </c>
      <c r="P52" s="1487">
        <v>34246.589999999997</v>
      </c>
      <c r="Q52" s="1487">
        <v>37808.71</v>
      </c>
      <c r="R52" s="1487">
        <v>43819.15</v>
      </c>
      <c r="S52" s="1487">
        <v>35274.68</v>
      </c>
      <c r="T52" s="1487">
        <v>34761.300000000003</v>
      </c>
      <c r="U52" s="1487">
        <v>34520.36</v>
      </c>
      <c r="V52" s="1487">
        <v>31361.97</v>
      </c>
      <c r="W52" s="1489"/>
      <c r="AB52" s="395"/>
      <c r="AC52" s="395"/>
    </row>
    <row r="53" spans="1:29">
      <c r="A53" s="1997" t="s">
        <v>1669</v>
      </c>
      <c r="B53" s="583">
        <v>610000</v>
      </c>
      <c r="C53" s="397" t="s">
        <v>1670</v>
      </c>
      <c r="D53" s="397"/>
      <c r="E53" s="397"/>
      <c r="F53" s="397"/>
      <c r="G53" s="1998"/>
      <c r="H53" s="1487"/>
      <c r="I53" s="1487"/>
      <c r="J53" s="1487"/>
      <c r="K53" s="1487"/>
      <c r="L53" s="1487"/>
      <c r="M53" s="1487"/>
      <c r="N53" s="1487"/>
      <c r="O53" s="1487"/>
      <c r="P53" s="1487">
        <v>448</v>
      </c>
      <c r="Q53" s="1487">
        <v>454.72</v>
      </c>
      <c r="R53" s="1487">
        <v>463.94</v>
      </c>
      <c r="S53" s="1487">
        <v>473.85</v>
      </c>
      <c r="T53" s="1487">
        <v>484.92</v>
      </c>
      <c r="U53" s="1487">
        <v>488.6</v>
      </c>
      <c r="V53" s="1487">
        <v>490.61</v>
      </c>
      <c r="W53" s="1489"/>
      <c r="AB53" s="395"/>
      <c r="AC53" s="395"/>
    </row>
    <row r="54" spans="1:29">
      <c r="A54" s="1997" t="s">
        <v>1671</v>
      </c>
      <c r="B54" s="583">
        <v>610300</v>
      </c>
      <c r="C54" s="397" t="s">
        <v>1672</v>
      </c>
      <c r="D54" s="397"/>
      <c r="E54" s="397"/>
      <c r="F54" s="397"/>
      <c r="G54" s="1998"/>
      <c r="H54" s="1487"/>
      <c r="I54" s="1487"/>
      <c r="J54" s="1487"/>
      <c r="K54" s="1487"/>
      <c r="L54" s="1487"/>
      <c r="M54" s="1487"/>
      <c r="N54" s="1487"/>
      <c r="O54" s="1487">
        <v>287.97000000000003</v>
      </c>
      <c r="P54" s="1487">
        <v>227.97</v>
      </c>
      <c r="Q54" s="1487">
        <v>816.2</v>
      </c>
      <c r="R54" s="1487">
        <v>1306.3900000000001</v>
      </c>
      <c r="S54" s="1487">
        <v>1259.95</v>
      </c>
      <c r="T54" s="1487">
        <v>928.22</v>
      </c>
      <c r="U54" s="1487">
        <v>1486.49</v>
      </c>
      <c r="V54" s="1487">
        <v>918.73</v>
      </c>
      <c r="W54" s="1489"/>
      <c r="AB54" s="395"/>
      <c r="AC54" s="395"/>
    </row>
    <row r="55" spans="1:29">
      <c r="A55" s="1997" t="s">
        <v>1673</v>
      </c>
      <c r="B55" s="583">
        <v>611000</v>
      </c>
      <c r="C55" s="397" t="s">
        <v>1674</v>
      </c>
      <c r="D55" s="397"/>
      <c r="E55" s="397"/>
      <c r="F55" s="397"/>
      <c r="G55" s="1998"/>
      <c r="H55" s="1487"/>
      <c r="I55" s="1487"/>
      <c r="J55" s="1487"/>
      <c r="K55" s="1487"/>
      <c r="L55" s="1487"/>
      <c r="M55" s="1487"/>
      <c r="N55" s="1487"/>
      <c r="O55" s="1487">
        <v>7271.26</v>
      </c>
      <c r="P55" s="1487">
        <v>6868.9</v>
      </c>
      <c r="Q55" s="1487">
        <v>6971.01</v>
      </c>
      <c r="R55" s="1487">
        <v>4719.66</v>
      </c>
      <c r="S55" s="1487">
        <v>4731.04</v>
      </c>
      <c r="T55" s="1487">
        <v>2381.27</v>
      </c>
      <c r="U55" s="1487">
        <v>13205.24</v>
      </c>
      <c r="V55" s="1487">
        <v>7818.38</v>
      </c>
      <c r="W55" s="1489"/>
      <c r="AB55" s="395"/>
      <c r="AC55" s="395"/>
    </row>
    <row r="56" spans="1:29">
      <c r="A56" s="1997" t="s">
        <v>1675</v>
      </c>
      <c r="B56" s="583">
        <v>611300</v>
      </c>
      <c r="C56" s="397" t="s">
        <v>1676</v>
      </c>
      <c r="D56" s="397"/>
      <c r="E56" s="397"/>
      <c r="F56" s="397"/>
      <c r="G56" s="1998"/>
      <c r="H56" s="1487"/>
      <c r="I56" s="1487"/>
      <c r="J56" s="1487"/>
      <c r="K56" s="1487"/>
      <c r="L56" s="1487"/>
      <c r="M56" s="1487"/>
      <c r="N56" s="1487"/>
      <c r="O56" s="1487">
        <v>392.31</v>
      </c>
      <c r="P56" s="1487">
        <v>437.42</v>
      </c>
      <c r="Q56" s="1487">
        <v>1214.2</v>
      </c>
      <c r="R56" s="1487">
        <v>952.44</v>
      </c>
      <c r="S56" s="1487">
        <v>922.22</v>
      </c>
      <c r="T56" s="1487">
        <v>34.96</v>
      </c>
      <c r="U56" s="1487">
        <v>898.4</v>
      </c>
      <c r="V56" s="1487">
        <v>623.4</v>
      </c>
      <c r="W56" s="1489"/>
      <c r="AB56" s="395"/>
      <c r="AC56" s="395"/>
    </row>
    <row r="57" spans="1:29">
      <c r="A57" s="1997" t="s">
        <v>1677</v>
      </c>
      <c r="B57" s="583">
        <v>612000</v>
      </c>
      <c r="C57" s="397" t="s">
        <v>1678</v>
      </c>
      <c r="D57" s="397"/>
      <c r="E57" s="397"/>
      <c r="F57" s="397"/>
      <c r="G57" s="1998"/>
      <c r="H57" s="1487"/>
      <c r="I57" s="1487"/>
      <c r="J57" s="1487"/>
      <c r="K57" s="1487"/>
      <c r="L57" s="1487"/>
      <c r="M57" s="1487"/>
      <c r="N57" s="1487"/>
      <c r="O57" s="1487">
        <v>223.35</v>
      </c>
      <c r="P57" s="1487">
        <v>225.16</v>
      </c>
      <c r="Q57" s="1487">
        <v>224.34</v>
      </c>
      <c r="R57" s="1487">
        <v>183.56</v>
      </c>
      <c r="S57" s="1487">
        <v>187.39</v>
      </c>
      <c r="T57" s="1487">
        <v>156.49</v>
      </c>
      <c r="U57" s="1487">
        <v>161.13</v>
      </c>
      <c r="V57" s="1487">
        <v>0</v>
      </c>
      <c r="W57" s="1489"/>
      <c r="AB57" s="395"/>
      <c r="AC57" s="395"/>
    </row>
    <row r="58" spans="1:29">
      <c r="A58" s="1997" t="s">
        <v>1679</v>
      </c>
      <c r="B58" s="583">
        <v>612100</v>
      </c>
      <c r="C58" s="397" t="s">
        <v>1365</v>
      </c>
      <c r="D58" s="397"/>
      <c r="E58" s="397"/>
      <c r="F58" s="397"/>
      <c r="G58" s="1998"/>
      <c r="H58" s="1487"/>
      <c r="I58" s="1487"/>
      <c r="J58" s="1487"/>
      <c r="K58" s="1487"/>
      <c r="L58" s="1487"/>
      <c r="M58" s="1487"/>
      <c r="N58" s="1487"/>
      <c r="O58" s="1487">
        <v>168.52</v>
      </c>
      <c r="P58" s="1487">
        <v>123.41</v>
      </c>
      <c r="Q58" s="1487">
        <v>99.16</v>
      </c>
      <c r="R58" s="1487"/>
      <c r="S58" s="1487"/>
      <c r="T58" s="1487"/>
      <c r="U58" s="1487">
        <v>80.52</v>
      </c>
      <c r="V58" s="1487">
        <v>0</v>
      </c>
      <c r="W58" s="1489"/>
      <c r="AB58" s="395"/>
      <c r="AC58" s="395"/>
    </row>
    <row r="59" spans="1:29">
      <c r="A59" s="1997" t="s">
        <v>1680</v>
      </c>
      <c r="B59" s="583"/>
      <c r="C59" s="397" t="s">
        <v>7467</v>
      </c>
      <c r="D59" s="397"/>
      <c r="E59" s="397"/>
      <c r="F59" s="397"/>
      <c r="G59" s="1998"/>
      <c r="H59" s="1487">
        <v>3230</v>
      </c>
      <c r="I59" s="1487">
        <v>3195</v>
      </c>
      <c r="J59" s="1487">
        <v>3053</v>
      </c>
      <c r="K59" s="1487">
        <v>3971.75</v>
      </c>
      <c r="L59" s="1487">
        <v>5443.59</v>
      </c>
      <c r="M59" s="1487">
        <v>8288.6200000000008</v>
      </c>
      <c r="N59" s="1487">
        <v>5417.4</v>
      </c>
      <c r="O59" s="1487">
        <v>2071.8000000000002</v>
      </c>
      <c r="P59" s="1487">
        <v>9988.81</v>
      </c>
      <c r="Q59" s="1487">
        <v>19731.759999999998</v>
      </c>
      <c r="R59" s="1487">
        <v>32923.74</v>
      </c>
      <c r="S59" s="1487">
        <v>32092.74</v>
      </c>
      <c r="T59" s="1487">
        <v>37573.19</v>
      </c>
      <c r="U59" s="1487">
        <v>14102.15</v>
      </c>
      <c r="V59" s="1487">
        <v>27789.79</v>
      </c>
      <c r="W59" s="1489"/>
      <c r="AB59" s="395"/>
      <c r="AC59" s="395"/>
    </row>
    <row r="60" spans="1:29">
      <c r="A60" s="1997"/>
      <c r="B60" s="583">
        <v>616100</v>
      </c>
      <c r="C60" s="397" t="s">
        <v>7529</v>
      </c>
      <c r="D60" s="397"/>
      <c r="E60" s="397"/>
      <c r="F60" s="397"/>
      <c r="G60" s="1998"/>
      <c r="H60" s="1487"/>
      <c r="I60" s="1487"/>
      <c r="J60" s="1487"/>
      <c r="K60" s="1487"/>
      <c r="L60" s="1487"/>
      <c r="M60" s="1487"/>
      <c r="N60" s="1487"/>
      <c r="O60" s="1487"/>
      <c r="P60" s="1487"/>
      <c r="Q60" s="1487"/>
      <c r="R60" s="1487"/>
      <c r="S60" s="1487"/>
      <c r="T60" s="1487"/>
      <c r="U60" s="1487">
        <v>3977.4</v>
      </c>
      <c r="V60" s="1487">
        <v>5775.69</v>
      </c>
      <c r="W60" s="1489"/>
      <c r="AB60" s="395"/>
      <c r="AC60" s="395"/>
    </row>
    <row r="61" spans="1:29">
      <c r="A61" s="1997" t="s">
        <v>1681</v>
      </c>
      <c r="B61" s="583">
        <v>615000</v>
      </c>
      <c r="C61" s="397" t="s">
        <v>1096</v>
      </c>
      <c r="D61" s="397"/>
      <c r="E61" s="397"/>
      <c r="F61" s="397"/>
      <c r="G61" s="1998"/>
      <c r="H61" s="1487">
        <v>2521.2800000000002</v>
      </c>
      <c r="I61" s="1487">
        <v>1850.17</v>
      </c>
      <c r="J61" s="1487">
        <v>1136.07</v>
      </c>
      <c r="K61" s="1487">
        <v>1905.62</v>
      </c>
      <c r="L61" s="1487">
        <v>1159.5999999999999</v>
      </c>
      <c r="M61" s="1487">
        <v>2670.84</v>
      </c>
      <c r="N61" s="1487">
        <v>3231.59</v>
      </c>
      <c r="O61" s="1487">
        <v>2769.84</v>
      </c>
      <c r="P61" s="1487">
        <v>3288.77</v>
      </c>
      <c r="Q61" s="1487">
        <v>2182</v>
      </c>
      <c r="R61" s="1487">
        <v>1934.76</v>
      </c>
      <c r="S61" s="1487">
        <v>2329.9</v>
      </c>
      <c r="T61" s="1487">
        <v>3804.51</v>
      </c>
      <c r="U61" s="1487">
        <v>1767.02</v>
      </c>
      <c r="V61" s="1487">
        <v>2276.33</v>
      </c>
      <c r="W61" s="1489"/>
      <c r="AB61" s="395"/>
      <c r="AC61" s="395"/>
    </row>
    <row r="62" spans="1:29">
      <c r="A62" s="1997" t="s">
        <v>1682</v>
      </c>
      <c r="B62" s="583"/>
      <c r="C62" s="397" t="s">
        <v>1100</v>
      </c>
      <c r="D62" s="397"/>
      <c r="E62" s="397"/>
      <c r="F62" s="397"/>
      <c r="G62" s="1998"/>
      <c r="H62" s="1487">
        <v>6043.12</v>
      </c>
      <c r="I62" s="1487">
        <v>5899.83</v>
      </c>
      <c r="J62" s="1487">
        <v>6028.41</v>
      </c>
      <c r="K62" s="1487">
        <v>2930.17</v>
      </c>
      <c r="L62" s="1487">
        <v>2424.75</v>
      </c>
      <c r="M62" s="1487">
        <v>2242.39</v>
      </c>
      <c r="N62" s="1487">
        <v>2511.0500000000002</v>
      </c>
      <c r="O62" s="1487">
        <v>2359.1799999999998</v>
      </c>
      <c r="P62" s="1487">
        <v>3522.05</v>
      </c>
      <c r="Q62" s="1487">
        <v>1423.8</v>
      </c>
      <c r="R62" s="1487">
        <v>1951.15</v>
      </c>
      <c r="S62" s="1487">
        <v>569.28</v>
      </c>
      <c r="T62" s="1487"/>
      <c r="U62" s="1487"/>
      <c r="V62" s="1487"/>
      <c r="W62" s="1489"/>
      <c r="AB62" s="395"/>
      <c r="AC62" s="395"/>
    </row>
    <row r="63" spans="1:29">
      <c r="A63" s="1997" t="s">
        <v>1683</v>
      </c>
      <c r="B63" s="583">
        <v>615100</v>
      </c>
      <c r="C63" s="397" t="s">
        <v>1102</v>
      </c>
      <c r="D63" s="397"/>
      <c r="E63" s="397"/>
      <c r="F63" s="397"/>
      <c r="G63" s="1998"/>
      <c r="H63" s="1487">
        <v>792.28</v>
      </c>
      <c r="I63" s="1487">
        <v>1315.98</v>
      </c>
      <c r="J63" s="1487">
        <v>1623.41</v>
      </c>
      <c r="K63" s="1487">
        <v>1762.89</v>
      </c>
      <c r="L63" s="1487">
        <v>1790.69</v>
      </c>
      <c r="M63" s="1487">
        <v>2171.2199999999998</v>
      </c>
      <c r="N63" s="1487">
        <v>3262.96</v>
      </c>
      <c r="O63" s="1487">
        <v>3384.67</v>
      </c>
      <c r="P63" s="1487">
        <v>2796.07</v>
      </c>
      <c r="Q63" s="1487">
        <v>3035.33</v>
      </c>
      <c r="R63" s="1487">
        <v>2645.18</v>
      </c>
      <c r="S63" s="1487">
        <v>2410.34</v>
      </c>
      <c r="T63" s="1487">
        <v>1543.16</v>
      </c>
      <c r="U63" s="1487">
        <v>1860.47</v>
      </c>
      <c r="V63" s="1487">
        <v>2074.0500000000002</v>
      </c>
      <c r="W63" s="1489"/>
      <c r="AB63" s="395"/>
      <c r="AC63" s="395"/>
    </row>
    <row r="64" spans="1:29">
      <c r="A64" s="1997" t="s">
        <v>1684</v>
      </c>
      <c r="C64" s="397" t="s">
        <v>1685</v>
      </c>
      <c r="D64" s="397"/>
      <c r="E64" s="397"/>
      <c r="F64" s="397"/>
      <c r="G64" s="1998"/>
      <c r="H64" s="1487">
        <v>2172.3200000000002</v>
      </c>
      <c r="I64" s="1487">
        <v>2184.7800000000002</v>
      </c>
      <c r="J64" s="1487">
        <v>1325.97</v>
      </c>
      <c r="K64" s="1487">
        <v>5718.16</v>
      </c>
      <c r="L64" s="1487">
        <v>1241.77</v>
      </c>
      <c r="M64" s="1487">
        <v>323.68</v>
      </c>
      <c r="N64" s="1487">
        <v>208.73</v>
      </c>
      <c r="O64" s="1487">
        <v>2563.0300000000002</v>
      </c>
      <c r="P64" s="1487">
        <v>2500.27</v>
      </c>
      <c r="Q64" s="1487">
        <v>1252.52</v>
      </c>
      <c r="R64" s="1487">
        <v>675.07</v>
      </c>
      <c r="S64" s="1487">
        <v>10484.959999999999</v>
      </c>
      <c r="T64" s="1487">
        <v>36.770000000000003</v>
      </c>
      <c r="U64" s="1487"/>
      <c r="V64" s="1487"/>
      <c r="W64" s="1489"/>
      <c r="AB64" s="395"/>
      <c r="AC64" s="395"/>
    </row>
    <row r="65" spans="1:29">
      <c r="A65" s="1997" t="s">
        <v>1686</v>
      </c>
      <c r="B65" s="583">
        <v>613000</v>
      </c>
      <c r="C65" s="397" t="s">
        <v>7526</v>
      </c>
      <c r="D65" s="397"/>
      <c r="E65" s="397"/>
      <c r="F65" s="397"/>
      <c r="G65" s="1998"/>
      <c r="H65" s="1487"/>
      <c r="I65" s="1487"/>
      <c r="J65" s="1487"/>
      <c r="K65" s="1487"/>
      <c r="L65" s="1487"/>
      <c r="M65" s="1487"/>
      <c r="N65" s="1487"/>
      <c r="O65" s="1487">
        <v>5278.59</v>
      </c>
      <c r="P65" s="1487">
        <v>5706.09</v>
      </c>
      <c r="Q65" s="1487">
        <v>4203.3</v>
      </c>
      <c r="R65" s="1487">
        <v>3741.06</v>
      </c>
      <c r="S65" s="1487">
        <v>3122</v>
      </c>
      <c r="T65" s="1487">
        <v>2267.77</v>
      </c>
      <c r="U65" s="1487">
        <v>1914.59</v>
      </c>
      <c r="V65" s="1487">
        <v>2363.56</v>
      </c>
      <c r="W65" s="1489"/>
      <c r="AB65" s="395"/>
      <c r="AC65" s="395"/>
    </row>
    <row r="66" spans="1:29">
      <c r="A66" s="1997" t="s">
        <v>1687</v>
      </c>
      <c r="B66" s="583">
        <v>613010</v>
      </c>
      <c r="C66" s="397" t="s">
        <v>1138</v>
      </c>
      <c r="D66" s="397"/>
      <c r="E66" s="397"/>
      <c r="F66" s="397"/>
      <c r="G66" s="1998"/>
      <c r="H66" s="1487">
        <v>16530.66</v>
      </c>
      <c r="I66" s="1487">
        <v>10491.11</v>
      </c>
      <c r="J66" s="1487">
        <v>3937.16</v>
      </c>
      <c r="K66" s="1487">
        <v>3789.37</v>
      </c>
      <c r="L66" s="1487">
        <v>4444.05</v>
      </c>
      <c r="M66" s="1487">
        <v>4598.1400000000003</v>
      </c>
      <c r="N66" s="1487">
        <v>4074.64</v>
      </c>
      <c r="O66" s="1487">
        <v>453.75</v>
      </c>
      <c r="P66" s="1487">
        <v>66.319999999999993</v>
      </c>
      <c r="Q66" s="1487">
        <v>0</v>
      </c>
      <c r="R66" s="1487">
        <v>1134.3800000000001</v>
      </c>
      <c r="S66" s="1487">
        <v>275.38</v>
      </c>
      <c r="T66" s="1487">
        <v>131.88999999999999</v>
      </c>
      <c r="U66" s="1487"/>
      <c r="V66" s="1487">
        <v>162.13999999999999</v>
      </c>
      <c r="W66" s="1489"/>
      <c r="AB66" s="395"/>
      <c r="AC66" s="395"/>
    </row>
    <row r="67" spans="1:29">
      <c r="A67" s="1997" t="s">
        <v>1688</v>
      </c>
      <c r="B67" s="583"/>
      <c r="C67" s="397" t="s">
        <v>1498</v>
      </c>
      <c r="D67" s="397"/>
      <c r="E67" s="397"/>
      <c r="F67" s="397"/>
      <c r="G67" s="1998"/>
      <c r="H67" s="1487">
        <v>0</v>
      </c>
      <c r="I67" s="1487">
        <v>0</v>
      </c>
      <c r="J67" s="1487">
        <v>0</v>
      </c>
      <c r="K67" s="1487">
        <v>654.54999999999995</v>
      </c>
      <c r="L67" s="1487">
        <v>83.49</v>
      </c>
      <c r="M67" s="1487">
        <v>0</v>
      </c>
      <c r="N67" s="1487">
        <v>101.64</v>
      </c>
      <c r="O67" s="1487">
        <v>1053.22</v>
      </c>
      <c r="P67" s="1487">
        <v>419.5</v>
      </c>
      <c r="Q67" s="1487">
        <v>644.48</v>
      </c>
      <c r="R67" s="1487">
        <v>338.2</v>
      </c>
      <c r="S67" s="1487">
        <v>1622.21</v>
      </c>
      <c r="T67" s="1487">
        <v>1252.9000000000001</v>
      </c>
      <c r="U67" s="1487"/>
      <c r="V67" s="1487"/>
      <c r="W67" s="1489"/>
      <c r="AB67" s="395"/>
      <c r="AC67" s="395"/>
    </row>
    <row r="68" spans="1:29">
      <c r="A68" s="1997"/>
      <c r="B68" s="583">
        <v>613100</v>
      </c>
      <c r="C68" s="397" t="s">
        <v>7527</v>
      </c>
      <c r="D68" s="397"/>
      <c r="E68" s="397"/>
      <c r="F68" s="397"/>
      <c r="G68" s="1998"/>
      <c r="H68" s="1487"/>
      <c r="I68" s="1487"/>
      <c r="J68" s="1487"/>
      <c r="K68" s="1487"/>
      <c r="L68" s="1487"/>
      <c r="M68" s="1487"/>
      <c r="N68" s="1487"/>
      <c r="O68" s="1487"/>
      <c r="P68" s="1487"/>
      <c r="Q68" s="1487"/>
      <c r="R68" s="1487"/>
      <c r="S68" s="1487"/>
      <c r="T68" s="1487"/>
      <c r="U68" s="1487">
        <v>323.25</v>
      </c>
      <c r="V68" s="1487">
        <v>333.88</v>
      </c>
      <c r="W68" s="1489"/>
      <c r="AB68" s="395"/>
      <c r="AC68" s="395"/>
    </row>
    <row r="69" spans="1:29">
      <c r="A69" s="1997"/>
      <c r="B69" s="583">
        <v>613110</v>
      </c>
      <c r="C69" s="397" t="s">
        <v>7528</v>
      </c>
      <c r="D69" s="397"/>
      <c r="E69" s="397"/>
      <c r="F69" s="397"/>
      <c r="G69" s="1998"/>
      <c r="H69" s="1487"/>
      <c r="I69" s="1487"/>
      <c r="J69" s="1487"/>
      <c r="K69" s="1487"/>
      <c r="L69" s="1487"/>
      <c r="M69" s="1487"/>
      <c r="N69" s="1487"/>
      <c r="O69" s="1487"/>
      <c r="P69" s="1487"/>
      <c r="Q69" s="1487"/>
      <c r="R69" s="1487"/>
      <c r="S69" s="1487"/>
      <c r="T69" s="1487"/>
      <c r="U69" s="1487">
        <v>4978.8599999999997</v>
      </c>
      <c r="V69" s="1487">
        <v>4781.8100000000004</v>
      </c>
      <c r="W69" s="1489"/>
      <c r="AB69" s="395"/>
      <c r="AC69" s="395"/>
    </row>
    <row r="70" spans="1:29">
      <c r="A70" s="1997" t="s">
        <v>1689</v>
      </c>
      <c r="B70" s="583">
        <v>615700</v>
      </c>
      <c r="C70" s="397" t="s">
        <v>1109</v>
      </c>
      <c r="D70" s="397"/>
      <c r="E70" s="397"/>
      <c r="F70" s="397"/>
      <c r="G70" s="1998"/>
      <c r="H70" s="1487">
        <v>437.24</v>
      </c>
      <c r="I70" s="1487">
        <v>40</v>
      </c>
      <c r="J70" s="1487">
        <v>899.8</v>
      </c>
      <c r="K70" s="1487">
        <v>481.73</v>
      </c>
      <c r="L70" s="1487">
        <v>1217.25</v>
      </c>
      <c r="M70" s="1487">
        <v>598.92999999999995</v>
      </c>
      <c r="N70" s="1487">
        <v>533.6</v>
      </c>
      <c r="O70" s="1487">
        <v>3749.63</v>
      </c>
      <c r="P70" s="1487">
        <v>2574.9</v>
      </c>
      <c r="Q70" s="1487">
        <v>1629.38</v>
      </c>
      <c r="R70" s="1487">
        <v>1027.26</v>
      </c>
      <c r="S70" s="1487">
        <v>2018.31</v>
      </c>
      <c r="T70" s="1487">
        <v>3802.58</v>
      </c>
      <c r="U70" s="1487">
        <v>3041.6</v>
      </c>
      <c r="V70" s="1487">
        <v>1748.24</v>
      </c>
      <c r="W70" s="1489"/>
      <c r="AB70" s="395"/>
      <c r="AC70" s="395"/>
    </row>
    <row r="71" spans="1:29">
      <c r="A71" s="1997" t="s">
        <v>1690</v>
      </c>
      <c r="B71" s="583">
        <v>615610</v>
      </c>
      <c r="C71" s="397" t="s">
        <v>1111</v>
      </c>
      <c r="D71" s="397"/>
      <c r="E71" s="397"/>
      <c r="F71" s="397"/>
      <c r="G71" s="1998"/>
      <c r="H71" s="1487">
        <v>147.26</v>
      </c>
      <c r="I71" s="1487">
        <v>209.61</v>
      </c>
      <c r="J71" s="1487">
        <v>287.47000000000003</v>
      </c>
      <c r="K71" s="1487">
        <v>433.86</v>
      </c>
      <c r="L71" s="1487">
        <v>707.95</v>
      </c>
      <c r="M71" s="1487">
        <v>900.11</v>
      </c>
      <c r="N71" s="1487">
        <v>992.73</v>
      </c>
      <c r="O71" s="1487">
        <v>987.7</v>
      </c>
      <c r="P71" s="1487">
        <v>1209.22</v>
      </c>
      <c r="Q71" s="1487"/>
      <c r="R71" s="1487">
        <v>990.93</v>
      </c>
      <c r="S71" s="1487">
        <v>1149.6500000000001</v>
      </c>
      <c r="T71" s="1487">
        <v>706.07</v>
      </c>
      <c r="U71" s="1487">
        <v>571.41999999999996</v>
      </c>
      <c r="V71" s="1487">
        <v>57.44</v>
      </c>
      <c r="W71" s="1489"/>
      <c r="AB71" s="395"/>
      <c r="AC71" s="395"/>
    </row>
    <row r="72" spans="1:29">
      <c r="A72" s="1997" t="s">
        <v>7524</v>
      </c>
      <c r="B72" s="583"/>
      <c r="C72" s="397" t="s">
        <v>7525</v>
      </c>
      <c r="D72" s="397"/>
      <c r="E72" s="397"/>
      <c r="F72" s="397"/>
      <c r="G72" s="1998"/>
      <c r="H72" s="1487"/>
      <c r="I72" s="1487"/>
      <c r="J72" s="1487"/>
      <c r="K72" s="1487"/>
      <c r="L72" s="1487"/>
      <c r="M72" s="1487"/>
      <c r="N72" s="1487"/>
      <c r="O72" s="1487"/>
      <c r="P72" s="1487"/>
      <c r="Q72" s="1487"/>
      <c r="R72" s="1487"/>
      <c r="S72" s="1487"/>
      <c r="T72" s="1487">
        <v>4958.49</v>
      </c>
      <c r="U72" s="1487"/>
      <c r="V72" s="1487"/>
      <c r="W72" s="1489"/>
      <c r="AB72" s="395"/>
      <c r="AC72" s="395"/>
    </row>
    <row r="73" spans="1:29">
      <c r="A73" s="1997" t="s">
        <v>1691</v>
      </c>
      <c r="B73" s="583"/>
      <c r="C73" s="397" t="s">
        <v>1363</v>
      </c>
      <c r="D73" s="397"/>
      <c r="E73" s="397"/>
      <c r="F73" s="397"/>
      <c r="G73" s="1998"/>
      <c r="H73" s="1487">
        <v>175</v>
      </c>
      <c r="I73" s="1487">
        <v>175</v>
      </c>
      <c r="J73" s="1487">
        <v>175</v>
      </c>
      <c r="K73" s="1487">
        <v>175</v>
      </c>
      <c r="L73" s="1487">
        <v>175</v>
      </c>
      <c r="M73" s="1487">
        <v>175</v>
      </c>
      <c r="N73" s="1487">
        <v>195</v>
      </c>
      <c r="O73" s="1487">
        <v>700.95</v>
      </c>
      <c r="P73" s="1487">
        <v>350</v>
      </c>
      <c r="Q73" s="1487">
        <v>102</v>
      </c>
      <c r="R73" s="1487">
        <v>981.27</v>
      </c>
      <c r="S73" s="1487">
        <v>544.5</v>
      </c>
      <c r="T73" s="1487">
        <v>465.85</v>
      </c>
      <c r="U73" s="1487"/>
      <c r="V73" s="1487"/>
      <c r="W73" s="1489"/>
      <c r="AB73" s="395"/>
      <c r="AC73" s="395"/>
    </row>
    <row r="74" spans="1:29">
      <c r="A74" s="1997" t="s">
        <v>1692</v>
      </c>
      <c r="B74" s="583">
        <v>602000</v>
      </c>
      <c r="C74" s="397" t="s">
        <v>1147</v>
      </c>
      <c r="D74" s="397"/>
      <c r="E74" s="397"/>
      <c r="F74" s="397"/>
      <c r="G74" s="1998"/>
      <c r="H74" s="1487">
        <v>4680.3100000000004</v>
      </c>
      <c r="I74" s="1487">
        <v>4249.5600000000004</v>
      </c>
      <c r="J74" s="1487">
        <v>4035.25</v>
      </c>
      <c r="K74" s="1487">
        <v>3808.4</v>
      </c>
      <c r="L74" s="1487">
        <v>2543.3200000000002</v>
      </c>
      <c r="M74" s="1487">
        <v>4912.3100000000004</v>
      </c>
      <c r="N74" s="1487">
        <v>2930.71</v>
      </c>
      <c r="O74" s="1487">
        <v>4358.54</v>
      </c>
      <c r="P74" s="1487">
        <v>6104.79</v>
      </c>
      <c r="Q74" s="1487">
        <v>4505.72</v>
      </c>
      <c r="R74" s="1487">
        <v>10513.11</v>
      </c>
      <c r="S74" s="1487">
        <v>2542.29</v>
      </c>
      <c r="T74" s="1487">
        <v>7517.61</v>
      </c>
      <c r="U74" s="1487">
        <v>4241.12</v>
      </c>
      <c r="V74" s="1487">
        <v>4803.71</v>
      </c>
      <c r="W74" s="1489"/>
      <c r="AB74" s="395"/>
      <c r="AC74" s="395"/>
    </row>
    <row r="75" spans="1:29">
      <c r="A75" s="1997" t="s">
        <v>1693</v>
      </c>
      <c r="B75" s="583">
        <v>615300</v>
      </c>
      <c r="C75" s="397" t="s">
        <v>1113</v>
      </c>
      <c r="D75" s="397"/>
      <c r="E75" s="397"/>
      <c r="F75" s="397"/>
      <c r="G75" s="1998"/>
      <c r="H75" s="1487"/>
      <c r="I75" s="1487"/>
      <c r="J75" s="1487"/>
      <c r="K75" s="1487"/>
      <c r="L75" s="1487"/>
      <c r="M75" s="1487"/>
      <c r="N75" s="1487"/>
      <c r="O75" s="1487">
        <v>195</v>
      </c>
      <c r="P75" s="1487">
        <v>195</v>
      </c>
      <c r="Q75" s="1487">
        <v>210</v>
      </c>
      <c r="R75" s="1487">
        <v>195</v>
      </c>
      <c r="S75" s="1487">
        <v>235.95</v>
      </c>
      <c r="T75" s="1487">
        <v>140</v>
      </c>
      <c r="U75" s="1487">
        <v>541.9</v>
      </c>
      <c r="V75" s="1487">
        <v>356.2</v>
      </c>
      <c r="W75" s="1489"/>
      <c r="AB75" s="395"/>
      <c r="AC75" s="395"/>
    </row>
    <row r="76" spans="1:29">
      <c r="A76" s="1997" t="s">
        <v>1694</v>
      </c>
      <c r="B76" s="583">
        <v>615620</v>
      </c>
      <c r="C76" s="397" t="s">
        <v>1115</v>
      </c>
      <c r="D76" s="397"/>
      <c r="E76" s="397"/>
      <c r="F76" s="397"/>
      <c r="G76" s="1998"/>
      <c r="H76" s="1487">
        <v>0</v>
      </c>
      <c r="I76" s="1487">
        <v>0</v>
      </c>
      <c r="J76" s="1487">
        <v>0</v>
      </c>
      <c r="K76" s="1487">
        <v>151</v>
      </c>
      <c r="L76" s="1487">
        <v>1070.71</v>
      </c>
      <c r="M76" s="1487">
        <v>199.65</v>
      </c>
      <c r="N76" s="1487">
        <v>427.2</v>
      </c>
      <c r="O76" s="1487">
        <v>124.63</v>
      </c>
      <c r="P76" s="1487">
        <v>306.14999999999998</v>
      </c>
      <c r="Q76" s="1487">
        <v>1536.2</v>
      </c>
      <c r="R76" s="1487">
        <v>112.17</v>
      </c>
      <c r="S76" s="1487">
        <v>0</v>
      </c>
      <c r="T76" s="1487"/>
      <c r="U76" s="1487">
        <v>390</v>
      </c>
      <c r="V76" s="1487">
        <v>490</v>
      </c>
      <c r="W76" s="1489"/>
      <c r="AB76" s="395"/>
      <c r="AC76" s="395"/>
    </row>
    <row r="77" spans="1:29">
      <c r="A77" s="1997" t="s">
        <v>1695</v>
      </c>
      <c r="B77" s="583"/>
      <c r="C77" s="397" t="s">
        <v>1666</v>
      </c>
      <c r="D77" s="397"/>
      <c r="E77" s="397"/>
      <c r="F77" s="397"/>
      <c r="G77" s="1998"/>
      <c r="H77" s="1487"/>
      <c r="I77" s="1487"/>
      <c r="J77" s="1487"/>
      <c r="K77" s="1487"/>
      <c r="L77" s="1487"/>
      <c r="M77" s="1487"/>
      <c r="N77" s="1487"/>
      <c r="O77" s="1487"/>
      <c r="P77" s="1487"/>
      <c r="Q77" s="1487"/>
      <c r="R77" s="1487">
        <v>1867.27</v>
      </c>
      <c r="S77" s="1487">
        <v>3589.22</v>
      </c>
      <c r="T77" s="1487">
        <v>2012.54</v>
      </c>
      <c r="U77" s="1487"/>
      <c r="V77" s="1487"/>
      <c r="W77" s="1489"/>
      <c r="AB77" s="395"/>
      <c r="AC77" s="395"/>
    </row>
    <row r="78" spans="1:29">
      <c r="A78" s="1997" t="s">
        <v>1696</v>
      </c>
      <c r="B78" s="583">
        <v>614900</v>
      </c>
      <c r="C78" s="397" t="s">
        <v>1697</v>
      </c>
      <c r="D78" s="397"/>
      <c r="E78" s="397"/>
      <c r="F78" s="397"/>
      <c r="G78" s="1998"/>
      <c r="H78" s="1487"/>
      <c r="I78" s="1487"/>
      <c r="J78" s="1487"/>
      <c r="K78" s="1487"/>
      <c r="L78" s="1487"/>
      <c r="M78" s="1487"/>
      <c r="N78" s="1487"/>
      <c r="O78" s="1487"/>
      <c r="P78" s="1487"/>
      <c r="Q78" s="1487">
        <v>46409.43</v>
      </c>
      <c r="R78" s="1487">
        <v>45658.59</v>
      </c>
      <c r="S78" s="1487">
        <v>34314.74</v>
      </c>
      <c r="T78" s="1487">
        <v>33538.129999999997</v>
      </c>
      <c r="U78" s="1487">
        <v>12574.16</v>
      </c>
      <c r="V78" s="1487">
        <v>14778.15</v>
      </c>
      <c r="W78" s="1489"/>
      <c r="AB78" s="395"/>
      <c r="AC78" s="395"/>
    </row>
    <row r="79" spans="1:29">
      <c r="A79" s="1997" t="s">
        <v>1698</v>
      </c>
      <c r="B79" s="583">
        <v>640900</v>
      </c>
      <c r="C79" s="397" t="s">
        <v>1699</v>
      </c>
      <c r="D79" s="397"/>
      <c r="E79" s="397"/>
      <c r="F79" s="397"/>
      <c r="G79" s="1998"/>
      <c r="H79" s="1487"/>
      <c r="I79" s="1487"/>
      <c r="J79" s="1487"/>
      <c r="K79" s="1487"/>
      <c r="L79" s="1487"/>
      <c r="M79" s="1487"/>
      <c r="N79" s="1487"/>
      <c r="O79" s="1487"/>
      <c r="P79" s="1487"/>
      <c r="Q79" s="1487"/>
      <c r="R79" s="1487"/>
      <c r="S79" s="1487">
        <v>416.59</v>
      </c>
      <c r="T79" s="1487">
        <v>460.76</v>
      </c>
      <c r="U79" s="1487">
        <v>43.69</v>
      </c>
      <c r="V79" s="1487">
        <v>44.09</v>
      </c>
      <c r="W79" s="1489"/>
      <c r="AB79" s="395"/>
      <c r="AC79" s="395"/>
    </row>
    <row r="80" spans="1:29">
      <c r="A80" s="1997"/>
      <c r="B80" s="583">
        <v>659000</v>
      </c>
      <c r="C80" s="397" t="s">
        <v>7353</v>
      </c>
      <c r="D80" s="397"/>
      <c r="E80" s="397"/>
      <c r="F80" s="397"/>
      <c r="G80" s="1998"/>
      <c r="H80" s="1487"/>
      <c r="I80" s="1487"/>
      <c r="J80" s="1487"/>
      <c r="K80" s="1487"/>
      <c r="L80" s="1487"/>
      <c r="M80" s="1487"/>
      <c r="N80" s="1487"/>
      <c r="O80" s="1487"/>
      <c r="P80" s="1487"/>
      <c r="Q80" s="1487"/>
      <c r="R80" s="1487"/>
      <c r="S80" s="1487"/>
      <c r="T80" s="1487"/>
      <c r="U80" s="1487">
        <v>425.47</v>
      </c>
      <c r="V80" s="1487">
        <v>454.16</v>
      </c>
      <c r="W80" s="1489"/>
      <c r="AB80" s="395"/>
      <c r="AC80" s="395"/>
    </row>
    <row r="81" spans="1:29">
      <c r="A81" s="1997" t="s">
        <v>1700</v>
      </c>
      <c r="B81" s="583"/>
      <c r="C81" s="397" t="s">
        <v>1098</v>
      </c>
      <c r="D81" s="397"/>
      <c r="E81" s="397"/>
      <c r="F81" s="397"/>
      <c r="G81" s="1998"/>
      <c r="H81" s="1487">
        <v>0</v>
      </c>
      <c r="I81" s="1487">
        <v>0</v>
      </c>
      <c r="J81" s="1487">
        <v>40.409999999999997</v>
      </c>
      <c r="K81" s="1487">
        <v>0</v>
      </c>
      <c r="L81" s="1487">
        <v>0</v>
      </c>
      <c r="M81" s="1487">
        <v>0</v>
      </c>
      <c r="N81" s="1487">
        <v>0</v>
      </c>
      <c r="O81" s="1487"/>
      <c r="P81" s="1487"/>
      <c r="Q81" s="1487"/>
      <c r="R81" s="1487"/>
      <c r="S81" s="1487"/>
      <c r="T81" s="1487"/>
      <c r="U81" s="1487"/>
      <c r="V81" s="1487"/>
      <c r="W81" s="1489"/>
      <c r="AB81" s="395"/>
      <c r="AC81" s="395"/>
    </row>
    <row r="82" spans="1:29">
      <c r="A82" s="1997" t="s">
        <v>1701</v>
      </c>
      <c r="B82" s="583"/>
      <c r="C82" s="397" t="s">
        <v>1702</v>
      </c>
      <c r="D82" s="397"/>
      <c r="E82" s="397"/>
      <c r="F82" s="397"/>
      <c r="G82" s="1998"/>
      <c r="H82" s="1487">
        <v>0</v>
      </c>
      <c r="I82" s="1487">
        <v>0</v>
      </c>
      <c r="J82" s="1487">
        <v>0</v>
      </c>
      <c r="K82" s="1487">
        <v>0</v>
      </c>
      <c r="L82" s="1487">
        <v>56121.25</v>
      </c>
      <c r="M82" s="1487">
        <v>12571.46</v>
      </c>
      <c r="N82" s="1487">
        <v>140385.01</v>
      </c>
      <c r="O82" s="1487"/>
      <c r="P82" s="1487"/>
      <c r="Q82" s="1487"/>
      <c r="R82" s="1487"/>
      <c r="S82" s="1487"/>
      <c r="T82" s="1487"/>
      <c r="U82" s="1487"/>
      <c r="V82" s="1487"/>
      <c r="W82" s="1489"/>
      <c r="AB82" s="395"/>
      <c r="AC82" s="395"/>
    </row>
    <row r="83" spans="1:29">
      <c r="A83" s="1997" t="s">
        <v>1703</v>
      </c>
      <c r="B83" s="583"/>
      <c r="C83" s="397" t="s">
        <v>1704</v>
      </c>
      <c r="D83" s="397"/>
      <c r="E83" s="397"/>
      <c r="F83" s="397"/>
      <c r="G83" s="1998"/>
      <c r="H83" s="1487">
        <v>43682.25</v>
      </c>
      <c r="I83" s="1487">
        <v>49849.06</v>
      </c>
      <c r="J83" s="1487">
        <v>48986.85</v>
      </c>
      <c r="K83" s="1487">
        <v>51901.19</v>
      </c>
      <c r="L83" s="1487">
        <v>65346.09</v>
      </c>
      <c r="M83" s="1487">
        <v>61508.42</v>
      </c>
      <c r="N83" s="1487">
        <v>57072.38</v>
      </c>
      <c r="O83" s="1487"/>
      <c r="P83" s="1487"/>
      <c r="Q83" s="1487"/>
      <c r="R83" s="1487"/>
      <c r="S83" s="1487"/>
      <c r="T83" s="1487"/>
      <c r="U83" s="1487"/>
      <c r="V83" s="1487"/>
      <c r="W83" s="1489"/>
      <c r="AB83" s="395"/>
      <c r="AC83" s="395"/>
    </row>
    <row r="84" spans="1:29">
      <c r="A84" s="1997" t="s">
        <v>1705</v>
      </c>
      <c r="B84" s="583"/>
      <c r="C84" s="397" t="s">
        <v>1706</v>
      </c>
      <c r="D84" s="397"/>
      <c r="E84" s="397"/>
      <c r="F84" s="397"/>
      <c r="G84" s="1998"/>
      <c r="H84" s="1487">
        <v>1003.09</v>
      </c>
      <c r="I84" s="1487">
        <v>1715.3</v>
      </c>
      <c r="J84" s="1487">
        <v>1189.8399999999999</v>
      </c>
      <c r="K84" s="1487">
        <v>1939.48</v>
      </c>
      <c r="L84" s="1487">
        <v>331.5</v>
      </c>
      <c r="M84" s="1487">
        <v>613.29999999999995</v>
      </c>
      <c r="N84" s="1487">
        <v>377.36</v>
      </c>
      <c r="O84" s="1487"/>
      <c r="P84" s="1487"/>
      <c r="Q84" s="1487"/>
      <c r="R84" s="1487"/>
      <c r="S84" s="1487"/>
      <c r="T84" s="1487"/>
      <c r="U84" s="1487"/>
      <c r="V84" s="1487"/>
      <c r="W84" s="1489"/>
      <c r="AB84" s="395"/>
      <c r="AC84" s="395"/>
    </row>
    <row r="85" spans="1:29">
      <c r="A85" s="1997" t="s">
        <v>1707</v>
      </c>
      <c r="B85" s="583"/>
      <c r="C85" s="397" t="s">
        <v>1595</v>
      </c>
      <c r="D85" s="397"/>
      <c r="E85" s="397"/>
      <c r="F85" s="397"/>
      <c r="G85" s="1998"/>
      <c r="H85" s="1487">
        <v>174.16</v>
      </c>
      <c r="I85" s="1487">
        <v>150</v>
      </c>
      <c r="J85" s="1487">
        <v>200</v>
      </c>
      <c r="K85" s="1487">
        <v>199.32</v>
      </c>
      <c r="L85" s="1487">
        <v>103.63</v>
      </c>
      <c r="M85" s="1487">
        <v>183.79</v>
      </c>
      <c r="N85" s="1487">
        <v>99.16</v>
      </c>
      <c r="O85" s="1487"/>
      <c r="P85" s="1487"/>
      <c r="Q85" s="1487"/>
      <c r="R85" s="1487"/>
      <c r="S85" s="1487"/>
      <c r="T85" s="1487"/>
      <c r="U85" s="1487"/>
      <c r="V85" s="1487"/>
      <c r="W85" s="1489"/>
      <c r="AB85" s="395"/>
      <c r="AC85" s="395"/>
    </row>
    <row r="86" spans="1:29">
      <c r="A86" s="1997" t="s">
        <v>1708</v>
      </c>
      <c r="B86" s="583"/>
      <c r="C86" s="397" t="s">
        <v>1709</v>
      </c>
      <c r="D86" s="397"/>
      <c r="E86" s="397"/>
      <c r="F86" s="397"/>
      <c r="G86" s="1998"/>
      <c r="H86" s="1487"/>
      <c r="I86" s="1487"/>
      <c r="J86" s="1487"/>
      <c r="K86" s="1487"/>
      <c r="L86" s="1487"/>
      <c r="M86" s="1487"/>
      <c r="N86" s="1487"/>
      <c r="O86" s="1487">
        <v>6128</v>
      </c>
      <c r="P86" s="1487">
        <v>6312.61</v>
      </c>
      <c r="Q86" s="1487"/>
      <c r="R86" s="1487"/>
      <c r="S86" s="1487"/>
      <c r="T86" s="1487"/>
      <c r="U86" s="1487"/>
      <c r="V86" s="1487"/>
      <c r="W86" s="1489"/>
      <c r="AB86" s="395"/>
      <c r="AC86" s="395"/>
    </row>
    <row r="87" spans="1:29">
      <c r="A87" s="1997" t="s">
        <v>1710</v>
      </c>
      <c r="B87" s="583"/>
      <c r="C87" s="397" t="s">
        <v>1102</v>
      </c>
      <c r="D87" s="397"/>
      <c r="E87" s="397"/>
      <c r="F87" s="397"/>
      <c r="G87" s="1998"/>
      <c r="H87" s="1487"/>
      <c r="I87" s="1487"/>
      <c r="J87" s="1487"/>
      <c r="K87" s="1487"/>
      <c r="L87" s="1487"/>
      <c r="M87" s="1487"/>
      <c r="N87" s="1487"/>
      <c r="O87" s="1487">
        <v>936.23</v>
      </c>
      <c r="P87" s="1487">
        <v>1153.1400000000001</v>
      </c>
      <c r="Q87" s="1487"/>
      <c r="R87" s="1487"/>
      <c r="S87" s="1487"/>
      <c r="T87" s="1487"/>
      <c r="U87" s="1487"/>
      <c r="V87" s="1487"/>
      <c r="W87" s="1489"/>
      <c r="AB87" s="395"/>
      <c r="AC87" s="395"/>
    </row>
    <row r="88" spans="1:29">
      <c r="A88" s="1997" t="s">
        <v>1711</v>
      </c>
      <c r="B88" s="583"/>
      <c r="C88" s="397" t="s">
        <v>1712</v>
      </c>
      <c r="D88" s="397"/>
      <c r="E88" s="397"/>
      <c r="F88" s="397"/>
      <c r="G88" s="1998"/>
      <c r="H88" s="1487"/>
      <c r="I88" s="1487"/>
      <c r="J88" s="1487"/>
      <c r="K88" s="1487"/>
      <c r="L88" s="1487"/>
      <c r="M88" s="1487"/>
      <c r="N88" s="1487"/>
      <c r="O88" s="1487">
        <v>22662.18</v>
      </c>
      <c r="P88" s="1487">
        <v>9001.31</v>
      </c>
      <c r="Q88" s="1487"/>
      <c r="R88" s="1487"/>
      <c r="S88" s="1487"/>
      <c r="T88" s="1487"/>
      <c r="U88" s="1487"/>
      <c r="V88" s="1487"/>
      <c r="W88" s="1489"/>
      <c r="AB88" s="395"/>
      <c r="AC88" s="395"/>
    </row>
    <row r="89" spans="1:29">
      <c r="A89" s="1997" t="s">
        <v>1713</v>
      </c>
      <c r="B89" s="583"/>
      <c r="C89" s="397" t="s">
        <v>1714</v>
      </c>
      <c r="D89" s="397"/>
      <c r="E89" s="397"/>
      <c r="F89" s="397"/>
      <c r="G89" s="1998"/>
      <c r="H89" s="1487"/>
      <c r="I89" s="1487"/>
      <c r="J89" s="1487"/>
      <c r="K89" s="1487"/>
      <c r="L89" s="1487"/>
      <c r="M89" s="1487"/>
      <c r="N89" s="1487"/>
      <c r="O89" s="1487">
        <v>1380.75</v>
      </c>
      <c r="P89" s="1487">
        <v>2479.8200000000002</v>
      </c>
      <c r="Q89" s="1487"/>
      <c r="R89" s="1487"/>
      <c r="S89" s="1487">
        <v>8850.44</v>
      </c>
      <c r="T89" s="1487"/>
      <c r="U89" s="1487"/>
      <c r="V89" s="1487"/>
      <c r="W89" s="1489"/>
      <c r="AB89" s="395"/>
      <c r="AC89" s="395"/>
    </row>
    <row r="90" spans="1:29">
      <c r="A90" s="2046"/>
      <c r="B90" s="2064"/>
      <c r="C90" s="2047" t="s">
        <v>1162</v>
      </c>
      <c r="D90" s="2047"/>
      <c r="E90" s="2047"/>
      <c r="F90" s="2047"/>
      <c r="G90" s="2047"/>
      <c r="H90" s="2005">
        <f t="shared" ref="H90:N90" si="15">SUM(H71:H85)</f>
        <v>49862.07</v>
      </c>
      <c r="I90" s="2005">
        <f t="shared" si="15"/>
        <v>56348.53</v>
      </c>
      <c r="J90" s="2005">
        <f t="shared" si="15"/>
        <v>54914.819999999992</v>
      </c>
      <c r="K90" s="2005">
        <f t="shared" si="15"/>
        <v>58608.250000000007</v>
      </c>
      <c r="L90" s="2005">
        <f t="shared" si="15"/>
        <v>126399.45000000001</v>
      </c>
      <c r="M90" s="2005">
        <f t="shared" si="15"/>
        <v>81064.039999999994</v>
      </c>
      <c r="N90" s="2005">
        <f t="shared" si="15"/>
        <v>202479.55000000002</v>
      </c>
      <c r="O90" s="2005">
        <f t="shared" ref="O90:V90" si="16">SUM(O48:O89)</f>
        <v>354399.25</v>
      </c>
      <c r="P90" s="2005">
        <f t="shared" si="16"/>
        <v>353425.46</v>
      </c>
      <c r="Q90" s="2005">
        <f t="shared" si="16"/>
        <v>462759.95</v>
      </c>
      <c r="R90" s="2005">
        <f t="shared" si="16"/>
        <v>458455.28</v>
      </c>
      <c r="S90" s="2005">
        <f t="shared" si="16"/>
        <v>410207.91000000009</v>
      </c>
      <c r="T90" s="2005">
        <f t="shared" si="16"/>
        <v>414192.11</v>
      </c>
      <c r="U90" s="2005">
        <f t="shared" si="16"/>
        <v>244163.85999999996</v>
      </c>
      <c r="V90" s="2005">
        <f t="shared" si="16"/>
        <v>405866.56</v>
      </c>
      <c r="W90" s="2007"/>
      <c r="AB90" s="395"/>
      <c r="AC90" s="395"/>
    </row>
    <row r="91" spans="1:29">
      <c r="A91" s="2048" t="s">
        <v>1163</v>
      </c>
      <c r="B91" s="1999"/>
      <c r="C91" s="397"/>
      <c r="D91" s="397"/>
      <c r="E91" s="397"/>
      <c r="F91" s="397"/>
      <c r="G91" s="1996"/>
      <c r="H91" s="1487"/>
      <c r="I91" s="1487"/>
      <c r="J91" s="1487"/>
      <c r="K91" s="1487"/>
      <c r="L91" s="1487"/>
      <c r="M91" s="1487"/>
      <c r="N91" s="1487"/>
      <c r="O91" s="397"/>
      <c r="P91" s="397"/>
      <c r="Q91" s="397"/>
      <c r="R91" s="1487"/>
      <c r="S91" s="1487"/>
      <c r="T91" s="1487"/>
      <c r="U91" s="1487"/>
      <c r="V91" s="1487"/>
      <c r="W91" s="1489"/>
      <c r="AB91" s="395"/>
      <c r="AC91" s="395"/>
    </row>
    <row r="92" spans="1:29">
      <c r="A92" s="1997" t="s">
        <v>1715</v>
      </c>
      <c r="B92" s="583"/>
      <c r="C92" s="397" t="s">
        <v>1716</v>
      </c>
      <c r="D92" s="397"/>
      <c r="E92" s="397"/>
      <c r="F92" s="397"/>
      <c r="G92" s="1998"/>
      <c r="H92" s="1487">
        <v>1500</v>
      </c>
      <c r="I92" s="1487">
        <v>1500</v>
      </c>
      <c r="J92" s="1487">
        <v>2000</v>
      </c>
      <c r="K92" s="1487">
        <v>2500</v>
      </c>
      <c r="L92" s="1487"/>
      <c r="M92" s="1487"/>
      <c r="N92" s="1487"/>
      <c r="O92" s="1487"/>
      <c r="P92" s="1487"/>
      <c r="Q92" s="1487"/>
      <c r="R92" s="1487"/>
      <c r="S92" s="1487"/>
      <c r="T92" s="1487"/>
      <c r="U92" s="1487"/>
      <c r="V92" s="1487"/>
      <c r="W92" s="1489"/>
      <c r="AB92" s="395"/>
      <c r="AC92" s="395"/>
    </row>
    <row r="93" spans="1:29">
      <c r="A93" s="1997" t="s">
        <v>1717</v>
      </c>
      <c r="B93" s="583">
        <v>623400</v>
      </c>
      <c r="C93" s="397" t="s">
        <v>1718</v>
      </c>
      <c r="D93" s="397"/>
      <c r="E93" s="397"/>
      <c r="F93" s="397"/>
      <c r="G93" s="1998"/>
      <c r="H93" s="1487">
        <v>186.2</v>
      </c>
      <c r="I93" s="1487">
        <v>186.2</v>
      </c>
      <c r="J93" s="1487">
        <v>186.2</v>
      </c>
      <c r="K93" s="1487">
        <v>186.2</v>
      </c>
      <c r="L93" s="1487">
        <v>279.3</v>
      </c>
      <c r="M93" s="1487">
        <v>279.3</v>
      </c>
      <c r="N93" s="1487">
        <v>290.25</v>
      </c>
      <c r="O93" s="1487">
        <v>427.5</v>
      </c>
      <c r="P93" s="1487">
        <v>312.52</v>
      </c>
      <c r="Q93" s="1487">
        <v>360.33</v>
      </c>
      <c r="R93" s="1487">
        <v>348.36</v>
      </c>
      <c r="S93" s="1487">
        <v>401.18</v>
      </c>
      <c r="T93" s="1487">
        <v>406.84</v>
      </c>
      <c r="U93" s="1487">
        <v>490.2</v>
      </c>
      <c r="V93" s="1487">
        <v>494.5</v>
      </c>
      <c r="W93" s="1489"/>
      <c r="AB93" s="395"/>
      <c r="AC93" s="395"/>
    </row>
    <row r="94" spans="1:29">
      <c r="A94" s="1997" t="s">
        <v>1719</v>
      </c>
      <c r="B94" s="583"/>
      <c r="C94" s="397" t="s">
        <v>1720</v>
      </c>
      <c r="D94" s="397"/>
      <c r="E94" s="397"/>
      <c r="F94" s="397"/>
      <c r="G94" s="2002"/>
      <c r="H94" s="1487">
        <v>22872</v>
      </c>
      <c r="I94" s="1487">
        <v>23872</v>
      </c>
      <c r="J94" s="1487">
        <v>23872</v>
      </c>
      <c r="K94" s="1487">
        <v>23872</v>
      </c>
      <c r="L94" s="1487">
        <v>14872</v>
      </c>
      <c r="M94" s="1487">
        <v>33872</v>
      </c>
      <c r="N94" s="1487">
        <v>8872</v>
      </c>
      <c r="O94" s="1487"/>
      <c r="P94" s="1487"/>
      <c r="Q94" s="1487"/>
      <c r="R94" s="1487"/>
      <c r="S94" s="1487"/>
      <c r="T94" s="1487"/>
      <c r="U94" s="1487"/>
      <c r="V94" s="1487"/>
      <c r="W94" s="1489"/>
      <c r="AB94" s="395"/>
      <c r="AC94" s="395"/>
    </row>
    <row r="95" spans="1:29">
      <c r="A95" s="2046"/>
      <c r="B95" s="2064"/>
      <c r="C95" s="2047" t="s">
        <v>1181</v>
      </c>
      <c r="D95" s="2047"/>
      <c r="E95" s="2047"/>
      <c r="F95" s="2047"/>
      <c r="G95" s="2047"/>
      <c r="H95" s="2005">
        <f t="shared" ref="H95:V95" si="17">SUM(H92:H94)</f>
        <v>24558.2</v>
      </c>
      <c r="I95" s="2005">
        <f t="shared" si="17"/>
        <v>25558.2</v>
      </c>
      <c r="J95" s="2005">
        <f t="shared" si="17"/>
        <v>26058.2</v>
      </c>
      <c r="K95" s="2005">
        <f t="shared" si="17"/>
        <v>26558.2</v>
      </c>
      <c r="L95" s="2005">
        <f t="shared" si="17"/>
        <v>15151.3</v>
      </c>
      <c r="M95" s="2005">
        <f t="shared" si="17"/>
        <v>34151.300000000003</v>
      </c>
      <c r="N95" s="2005">
        <f t="shared" si="17"/>
        <v>9162.25</v>
      </c>
      <c r="O95" s="2005">
        <f t="shared" si="17"/>
        <v>427.5</v>
      </c>
      <c r="P95" s="2005">
        <f t="shared" si="17"/>
        <v>312.52</v>
      </c>
      <c r="Q95" s="2005">
        <f t="shared" si="17"/>
        <v>360.33</v>
      </c>
      <c r="R95" s="2005">
        <f t="shared" si="17"/>
        <v>348.36</v>
      </c>
      <c r="S95" s="2005">
        <f t="shared" si="17"/>
        <v>401.18</v>
      </c>
      <c r="T95" s="2005">
        <f t="shared" si="17"/>
        <v>406.84</v>
      </c>
      <c r="U95" s="2005">
        <f t="shared" si="17"/>
        <v>490.2</v>
      </c>
      <c r="V95" s="2005">
        <f t="shared" si="17"/>
        <v>494.5</v>
      </c>
      <c r="W95" s="2007"/>
      <c r="AB95" s="395"/>
      <c r="AC95" s="395"/>
    </row>
    <row r="96" spans="1:29">
      <c r="A96" s="2048" t="s">
        <v>47</v>
      </c>
      <c r="B96" s="1999"/>
      <c r="C96" s="397"/>
      <c r="D96" s="397"/>
      <c r="E96" s="397"/>
      <c r="F96" s="397"/>
      <c r="G96" s="1996"/>
      <c r="H96" s="1487"/>
      <c r="I96" s="1487"/>
      <c r="J96" s="1487"/>
      <c r="K96" s="1487"/>
      <c r="L96" s="1487"/>
      <c r="M96" s="1487"/>
      <c r="N96" s="1487"/>
      <c r="O96" s="397"/>
      <c r="P96" s="397"/>
      <c r="Q96" s="397"/>
      <c r="R96" s="1487"/>
      <c r="S96" s="1487"/>
      <c r="T96" s="1487"/>
      <c r="U96" s="1487"/>
      <c r="V96" s="1487"/>
      <c r="W96" s="1489"/>
      <c r="AB96" s="395"/>
      <c r="AC96" s="395"/>
    </row>
    <row r="97" spans="1:29">
      <c r="A97" s="1997"/>
      <c r="B97" s="583"/>
      <c r="C97" s="397" t="s">
        <v>1182</v>
      </c>
      <c r="D97" s="397"/>
      <c r="E97" s="397"/>
      <c r="F97" s="397"/>
      <c r="G97" s="1998"/>
      <c r="H97" s="1487"/>
      <c r="I97" s="1487"/>
      <c r="J97" s="1487"/>
      <c r="K97" s="1487"/>
      <c r="L97" s="1487"/>
      <c r="M97" s="1487"/>
      <c r="N97" s="1487"/>
      <c r="O97" s="1487"/>
      <c r="P97" s="1487"/>
      <c r="Q97" s="397"/>
      <c r="R97" s="1487"/>
      <c r="S97" s="1487"/>
      <c r="T97" s="1487"/>
      <c r="U97" s="1487"/>
      <c r="V97" s="1487"/>
      <c r="W97" s="1489"/>
      <c r="AB97" s="395"/>
      <c r="AC97" s="395"/>
    </row>
    <row r="98" spans="1:29">
      <c r="A98" s="1997"/>
      <c r="B98" s="583"/>
      <c r="C98" s="397" t="s">
        <v>1183</v>
      </c>
      <c r="D98" s="397"/>
      <c r="E98" s="397"/>
      <c r="F98" s="397"/>
      <c r="G98" s="1998"/>
      <c r="H98" s="1487"/>
      <c r="I98" s="1487"/>
      <c r="J98" s="1487"/>
      <c r="K98" s="1487"/>
      <c r="L98" s="1487"/>
      <c r="M98" s="1487"/>
      <c r="N98" s="1487"/>
      <c r="O98" s="1487"/>
      <c r="P98" s="1487"/>
      <c r="Q98" s="397"/>
      <c r="R98" s="1487"/>
      <c r="S98" s="1487"/>
      <c r="T98" s="1487"/>
      <c r="U98" s="1487"/>
      <c r="V98" s="1487"/>
      <c r="W98" s="1489"/>
      <c r="AB98" s="395"/>
      <c r="AC98" s="395"/>
    </row>
    <row r="99" spans="1:29">
      <c r="A99" s="1997"/>
      <c r="B99" s="583"/>
      <c r="C99" s="397" t="s">
        <v>1184</v>
      </c>
      <c r="D99" s="397"/>
      <c r="E99" s="397"/>
      <c r="F99" s="397"/>
      <c r="G99" s="2002"/>
      <c r="H99" s="1487">
        <f t="shared" ref="H99:V99" si="18">H143</f>
        <v>0</v>
      </c>
      <c r="I99" s="1487">
        <f t="shared" si="18"/>
        <v>0</v>
      </c>
      <c r="J99" s="1487">
        <f t="shared" si="18"/>
        <v>0</v>
      </c>
      <c r="K99" s="1487">
        <f t="shared" si="18"/>
        <v>0</v>
      </c>
      <c r="L99" s="1487">
        <f t="shared" si="18"/>
        <v>13546.37</v>
      </c>
      <c r="M99" s="1487">
        <f t="shared" si="18"/>
        <v>21499.059999999998</v>
      </c>
      <c r="N99" s="1487">
        <f t="shared" si="18"/>
        <v>34218.550000000003</v>
      </c>
      <c r="O99" s="1487">
        <f t="shared" si="18"/>
        <v>43415.956499999993</v>
      </c>
      <c r="P99" s="1487">
        <f t="shared" si="18"/>
        <v>44298.203999999998</v>
      </c>
      <c r="Q99" s="1487">
        <f t="shared" si="18"/>
        <v>45055.051999999996</v>
      </c>
      <c r="R99" s="1487">
        <f t="shared" si="18"/>
        <v>41524.191999999995</v>
      </c>
      <c r="S99" s="1487">
        <f t="shared" si="18"/>
        <v>39788.123500000002</v>
      </c>
      <c r="T99" s="1487">
        <f t="shared" si="18"/>
        <v>38369.839500000002</v>
      </c>
      <c r="U99" s="1487">
        <f t="shared" si="18"/>
        <v>40092.879499999995</v>
      </c>
      <c r="V99" s="1487">
        <f t="shared" si="18"/>
        <v>31354.898500000003</v>
      </c>
      <c r="W99" s="1489"/>
      <c r="AB99" s="395"/>
      <c r="AC99" s="395"/>
    </row>
    <row r="100" spans="1:29">
      <c r="A100" s="2046"/>
      <c r="B100" s="2064"/>
      <c r="C100" s="2047" t="s">
        <v>1185</v>
      </c>
      <c r="D100" s="2047"/>
      <c r="E100" s="2047"/>
      <c r="F100" s="2047"/>
      <c r="G100" s="2047"/>
      <c r="H100" s="2005">
        <f t="shared" ref="H100:S100" si="19">SUM(H97:H99)</f>
        <v>0</v>
      </c>
      <c r="I100" s="2005">
        <f t="shared" si="19"/>
        <v>0</v>
      </c>
      <c r="J100" s="2005">
        <f t="shared" si="19"/>
        <v>0</v>
      </c>
      <c r="K100" s="2005">
        <f t="shared" si="19"/>
        <v>0</v>
      </c>
      <c r="L100" s="2005">
        <f t="shared" si="19"/>
        <v>13546.37</v>
      </c>
      <c r="M100" s="2005">
        <f t="shared" si="19"/>
        <v>21499.059999999998</v>
      </c>
      <c r="N100" s="2005">
        <f t="shared" si="19"/>
        <v>34218.550000000003</v>
      </c>
      <c r="O100" s="2005">
        <f t="shared" si="19"/>
        <v>43415.956499999993</v>
      </c>
      <c r="P100" s="2005">
        <f t="shared" si="19"/>
        <v>44298.203999999998</v>
      </c>
      <c r="Q100" s="2005">
        <f t="shared" si="19"/>
        <v>45055.051999999996</v>
      </c>
      <c r="R100" s="2005">
        <f t="shared" si="19"/>
        <v>41524.191999999995</v>
      </c>
      <c r="S100" s="2005">
        <f t="shared" si="19"/>
        <v>39788.123500000002</v>
      </c>
      <c r="T100" s="2005">
        <f>SUM(T97:T99)</f>
        <v>38369.839500000002</v>
      </c>
      <c r="U100" s="2005">
        <f>SUM(U97:U99)</f>
        <v>40092.879499999995</v>
      </c>
      <c r="V100" s="2005">
        <f>SUM(V97:V99)</f>
        <v>31354.898500000003</v>
      </c>
      <c r="W100" s="2007"/>
      <c r="AB100" s="395"/>
      <c r="AC100" s="395"/>
    </row>
    <row r="101" spans="1:29">
      <c r="A101" s="2021"/>
      <c r="B101" s="2069"/>
      <c r="C101" s="2022" t="s">
        <v>1186</v>
      </c>
      <c r="D101" s="2022"/>
      <c r="E101" s="2022"/>
      <c r="F101" s="2022"/>
      <c r="G101" s="2022"/>
      <c r="H101" s="2009">
        <f t="shared" ref="H101:S101" si="20">H46+H90+H95+H100</f>
        <v>278915.15999999997</v>
      </c>
      <c r="I101" s="2009">
        <f t="shared" si="20"/>
        <v>295346.13</v>
      </c>
      <c r="J101" s="2009">
        <f t="shared" si="20"/>
        <v>306161.06999999995</v>
      </c>
      <c r="K101" s="2009">
        <f t="shared" si="20"/>
        <v>335875.59</v>
      </c>
      <c r="L101" s="2009">
        <f t="shared" si="20"/>
        <v>391541.76000000001</v>
      </c>
      <c r="M101" s="2009">
        <f t="shared" si="20"/>
        <v>383150.39999999997</v>
      </c>
      <c r="N101" s="2009">
        <f t="shared" si="20"/>
        <v>529800.42000000004</v>
      </c>
      <c r="O101" s="2009">
        <f t="shared" si="20"/>
        <v>689801.32650000008</v>
      </c>
      <c r="P101" s="2009">
        <f t="shared" si="20"/>
        <v>745166.18400000001</v>
      </c>
      <c r="Q101" s="2009">
        <f t="shared" si="20"/>
        <v>873555.30200000003</v>
      </c>
      <c r="R101" s="2009">
        <f t="shared" si="20"/>
        <v>887372.34200000006</v>
      </c>
      <c r="S101" s="2009">
        <f t="shared" si="20"/>
        <v>847407.01350000023</v>
      </c>
      <c r="T101" s="2009">
        <f>T46+T90+T95+T100</f>
        <v>888492.83949999989</v>
      </c>
      <c r="U101" s="2009">
        <f>U46+U90+U95+U100</f>
        <v>705289.68949999998</v>
      </c>
      <c r="V101" s="2009">
        <f>V46+V90+V95+V100</f>
        <v>900130.06849999994</v>
      </c>
      <c r="W101" s="2011"/>
      <c r="AB101" s="395"/>
      <c r="AC101" s="395"/>
    </row>
    <row r="102" spans="1:29">
      <c r="A102" s="1984" t="s">
        <v>1187</v>
      </c>
      <c r="B102" s="1985"/>
      <c r="C102" s="1986"/>
      <c r="D102" s="1986"/>
      <c r="E102" s="1986"/>
      <c r="F102" s="1986"/>
      <c r="G102" s="1986"/>
      <c r="H102" s="2013">
        <v>2007</v>
      </c>
      <c r="I102" s="2013">
        <v>2008</v>
      </c>
      <c r="J102" s="2013">
        <v>2009</v>
      </c>
      <c r="K102" s="2013">
        <v>2010</v>
      </c>
      <c r="L102" s="2013">
        <v>2011</v>
      </c>
      <c r="M102" s="2013">
        <v>2012</v>
      </c>
      <c r="N102" s="2013">
        <v>2013</v>
      </c>
      <c r="O102" s="2013">
        <v>2014</v>
      </c>
      <c r="P102" s="2013">
        <v>2015</v>
      </c>
      <c r="Q102" s="2013">
        <v>2016</v>
      </c>
      <c r="R102" s="2013">
        <v>2017</v>
      </c>
      <c r="S102" s="2013">
        <v>2018</v>
      </c>
      <c r="T102" s="2013">
        <v>2019</v>
      </c>
      <c r="U102" s="2013">
        <v>2020</v>
      </c>
      <c r="V102" s="2013">
        <v>2021</v>
      </c>
      <c r="W102" s="2014">
        <v>2022</v>
      </c>
      <c r="AB102" s="395"/>
      <c r="AC102" s="395"/>
    </row>
    <row r="103" spans="1:29">
      <c r="A103" s="2015"/>
      <c r="B103" s="2270"/>
      <c r="C103" s="1995" t="s">
        <v>1721</v>
      </c>
      <c r="D103" s="1995"/>
      <c r="E103" s="1995"/>
      <c r="F103" s="1995"/>
      <c r="G103" s="1996"/>
      <c r="H103" s="2016"/>
      <c r="I103" s="2016"/>
      <c r="J103" s="2016"/>
      <c r="K103" s="2016">
        <f>213510.78+5694.03</f>
        <v>219204.81</v>
      </c>
      <c r="L103" s="2016"/>
      <c r="M103" s="2016"/>
      <c r="N103" s="2016"/>
      <c r="O103" s="2016"/>
      <c r="P103" s="2016"/>
      <c r="Q103" s="2016"/>
      <c r="R103" s="2016"/>
      <c r="S103" s="2016"/>
      <c r="T103" s="2016"/>
      <c r="U103" s="2016"/>
      <c r="V103" s="2016"/>
      <c r="W103" s="2017"/>
      <c r="AB103" s="395"/>
      <c r="AC103" s="395"/>
    </row>
    <row r="104" spans="1:29">
      <c r="A104" s="1997"/>
      <c r="B104" s="583"/>
      <c r="C104" s="397" t="s">
        <v>1722</v>
      </c>
      <c r="D104" s="397"/>
      <c r="E104" s="397"/>
      <c r="F104" s="397"/>
      <c r="G104" s="1998"/>
      <c r="H104" s="1487"/>
      <c r="I104" s="1487"/>
      <c r="J104" s="1487"/>
      <c r="K104" s="1487"/>
      <c r="L104" s="1487"/>
      <c r="M104" s="1487">
        <v>83669.5</v>
      </c>
      <c r="N104" s="1487">
        <v>184227.03</v>
      </c>
      <c r="O104" s="1487">
        <v>302826.34999999998</v>
      </c>
      <c r="P104" s="1487">
        <v>37148.080000000002</v>
      </c>
      <c r="Q104" s="1487"/>
      <c r="R104" s="1487"/>
      <c r="S104" s="1487"/>
      <c r="T104" s="1487"/>
      <c r="U104" s="1487"/>
      <c r="V104" s="1487"/>
      <c r="W104" s="1489"/>
      <c r="AB104" s="395"/>
      <c r="AC104" s="395"/>
    </row>
    <row r="105" spans="1:29">
      <c r="A105" s="1997"/>
      <c r="B105" s="583"/>
      <c r="C105" s="397" t="s">
        <v>1723</v>
      </c>
      <c r="D105" s="397"/>
      <c r="E105" s="397"/>
      <c r="F105" s="397"/>
      <c r="G105" s="1998"/>
      <c r="H105" s="1487"/>
      <c r="I105" s="1487"/>
      <c r="J105" s="1487"/>
      <c r="K105" s="1487"/>
      <c r="L105" s="1487"/>
      <c r="M105" s="1487"/>
      <c r="N105" s="1487">
        <v>17540.68</v>
      </c>
      <c r="O105" s="1487"/>
      <c r="P105" s="1487"/>
      <c r="Q105" s="1487"/>
      <c r="R105" s="1487"/>
      <c r="S105" s="1487"/>
      <c r="T105" s="1487"/>
      <c r="U105" s="1487"/>
      <c r="V105" s="1487"/>
      <c r="W105" s="1489"/>
      <c r="AB105" s="395"/>
      <c r="AC105" s="395"/>
    </row>
    <row r="106" spans="1:29">
      <c r="A106" s="1997"/>
      <c r="B106" s="583"/>
      <c r="C106" s="397" t="s">
        <v>1381</v>
      </c>
      <c r="D106" s="397"/>
      <c r="E106" s="397"/>
      <c r="F106" s="397"/>
      <c r="G106" s="1998"/>
      <c r="H106" s="1487"/>
      <c r="I106" s="1487"/>
      <c r="J106" s="1487"/>
      <c r="K106" s="1487">
        <v>4832.26</v>
      </c>
      <c r="L106" s="1487"/>
      <c r="M106" s="1487">
        <v>18846.03</v>
      </c>
      <c r="N106" s="1487"/>
      <c r="O106" s="1487">
        <v>1718.27</v>
      </c>
      <c r="P106" s="1487">
        <v>11693.23</v>
      </c>
      <c r="Q106" s="1487"/>
      <c r="R106" s="1487"/>
      <c r="S106" s="1487"/>
      <c r="T106" s="1487"/>
      <c r="U106" s="1487"/>
      <c r="V106" s="1487">
        <v>45864.75</v>
      </c>
      <c r="W106" s="1489"/>
      <c r="AB106" s="395"/>
      <c r="AC106" s="395"/>
    </row>
    <row r="107" spans="1:29">
      <c r="A107" s="1997"/>
      <c r="B107" s="583"/>
      <c r="C107" s="397" t="s">
        <v>1724</v>
      </c>
      <c r="D107" s="397"/>
      <c r="E107" s="397"/>
      <c r="F107" s="397"/>
      <c r="G107" s="2002"/>
      <c r="H107" s="1487"/>
      <c r="I107" s="1487"/>
      <c r="J107" s="1487"/>
      <c r="K107" s="1487">
        <v>2435.73</v>
      </c>
      <c r="L107" s="1487"/>
      <c r="M107" s="1487"/>
      <c r="N107" s="1487"/>
      <c r="O107" s="1487">
        <v>10871.5</v>
      </c>
      <c r="P107" s="1487">
        <v>6345.36</v>
      </c>
      <c r="Q107" s="1487">
        <f>E118+E119</f>
        <v>11052.24</v>
      </c>
      <c r="R107" s="1487">
        <v>1191.73</v>
      </c>
      <c r="S107" s="1487">
        <f>E116</f>
        <v>8860.42</v>
      </c>
      <c r="T107" s="1487">
        <v>5498.36</v>
      </c>
      <c r="U107" s="1487">
        <v>8615.2000000000007</v>
      </c>
      <c r="V107" s="1487"/>
      <c r="W107" s="1489"/>
      <c r="AB107" s="395"/>
      <c r="AC107" s="395"/>
    </row>
    <row r="108" spans="1:29">
      <c r="A108" s="2021"/>
      <c r="B108" s="2069"/>
      <c r="C108" s="2022" t="s">
        <v>1192</v>
      </c>
      <c r="D108" s="2022"/>
      <c r="E108" s="2022"/>
      <c r="F108" s="2022"/>
      <c r="G108" s="2022"/>
      <c r="H108" s="2009">
        <f t="shared" ref="H108:V108" si="21">SUM(H103:H107)</f>
        <v>0</v>
      </c>
      <c r="I108" s="2009">
        <f t="shared" si="21"/>
        <v>0</v>
      </c>
      <c r="J108" s="2009">
        <f t="shared" si="21"/>
        <v>0</v>
      </c>
      <c r="K108" s="2009">
        <f t="shared" si="21"/>
        <v>226472.80000000002</v>
      </c>
      <c r="L108" s="2009">
        <f t="shared" si="21"/>
        <v>0</v>
      </c>
      <c r="M108" s="2009">
        <f t="shared" si="21"/>
        <v>102515.53</v>
      </c>
      <c r="N108" s="2009">
        <f t="shared" si="21"/>
        <v>201767.71</v>
      </c>
      <c r="O108" s="2009">
        <f t="shared" si="21"/>
        <v>315416.12</v>
      </c>
      <c r="P108" s="2009">
        <f t="shared" si="21"/>
        <v>55186.67</v>
      </c>
      <c r="Q108" s="2009">
        <f t="shared" si="21"/>
        <v>11052.24</v>
      </c>
      <c r="R108" s="2009">
        <f t="shared" si="21"/>
        <v>1191.73</v>
      </c>
      <c r="S108" s="2009">
        <f t="shared" si="21"/>
        <v>8860.42</v>
      </c>
      <c r="T108" s="2009">
        <f t="shared" si="21"/>
        <v>5498.36</v>
      </c>
      <c r="U108" s="2009">
        <f t="shared" si="21"/>
        <v>8615.2000000000007</v>
      </c>
      <c r="V108" s="2009">
        <f t="shared" si="21"/>
        <v>45864.75</v>
      </c>
      <c r="W108" s="2011"/>
      <c r="AB108" s="395"/>
      <c r="AC108" s="395"/>
    </row>
    <row r="109" spans="1:29">
      <c r="A109" s="1633"/>
      <c r="B109" s="1633"/>
      <c r="C109" s="395"/>
      <c r="D109" s="395"/>
      <c r="E109" s="395"/>
      <c r="F109" s="395"/>
      <c r="G109" s="395"/>
      <c r="O109" s="395"/>
      <c r="P109" s="395"/>
      <c r="Q109" s="395"/>
      <c r="AB109" s="395"/>
      <c r="AC109" s="395"/>
    </row>
    <row r="110" spans="1:29">
      <c r="A110" s="380"/>
      <c r="B110" s="380"/>
      <c r="C110" s="395"/>
      <c r="D110" s="1570"/>
      <c r="E110" s="1570"/>
      <c r="F110" s="1570"/>
      <c r="G110" s="1570"/>
      <c r="O110" s="395"/>
      <c r="P110" s="395"/>
      <c r="Q110" s="395"/>
      <c r="AB110" s="395"/>
      <c r="AC110" s="395"/>
    </row>
    <row r="111" spans="1:29">
      <c r="A111" s="2067"/>
      <c r="B111" s="2068"/>
      <c r="C111" s="2026" t="s">
        <v>1725</v>
      </c>
      <c r="D111" s="2049"/>
      <c r="E111" s="2027"/>
      <c r="F111" s="2027" t="s">
        <v>1194</v>
      </c>
      <c r="G111" s="2028" t="s">
        <v>1195</v>
      </c>
      <c r="H111" s="1990">
        <v>2007</v>
      </c>
      <c r="I111" s="1990">
        <v>2008</v>
      </c>
      <c r="J111" s="1990">
        <v>2009</v>
      </c>
      <c r="K111" s="1990">
        <v>2010</v>
      </c>
      <c r="L111" s="1990">
        <v>2011</v>
      </c>
      <c r="M111" s="1990">
        <v>2012</v>
      </c>
      <c r="N111" s="1990">
        <v>2013</v>
      </c>
      <c r="O111" s="1990">
        <v>2014</v>
      </c>
      <c r="P111" s="1990">
        <v>2015</v>
      </c>
      <c r="Q111" s="1990">
        <v>2016</v>
      </c>
      <c r="R111" s="1990">
        <v>2017</v>
      </c>
      <c r="S111" s="1990">
        <v>2018</v>
      </c>
      <c r="T111" s="1990">
        <v>2019</v>
      </c>
      <c r="U111" s="1990">
        <v>2020</v>
      </c>
      <c r="V111" s="1990">
        <v>2021</v>
      </c>
      <c r="W111" s="2050">
        <v>2022</v>
      </c>
      <c r="AB111" s="395"/>
      <c r="AC111" s="395"/>
    </row>
    <row r="112" spans="1:29">
      <c r="A112" s="2036"/>
      <c r="B112" s="3816"/>
      <c r="C112" s="397"/>
      <c r="D112" s="397"/>
      <c r="E112" s="1487"/>
      <c r="F112" s="1487"/>
      <c r="G112" s="1487"/>
      <c r="H112" s="2076"/>
      <c r="I112" s="2076"/>
      <c r="J112" s="1487"/>
      <c r="K112" s="1487"/>
      <c r="L112" s="1487"/>
      <c r="M112" s="1487"/>
      <c r="N112" s="1487"/>
      <c r="O112" s="1487"/>
      <c r="P112" s="1487"/>
      <c r="Q112" s="1487"/>
      <c r="R112" s="1487"/>
      <c r="S112" s="1487"/>
      <c r="T112" s="1487"/>
      <c r="U112" s="1487"/>
      <c r="V112" s="1487"/>
      <c r="W112" s="1489"/>
      <c r="AB112" s="395"/>
      <c r="AC112" s="395"/>
    </row>
    <row r="113" spans="1:29">
      <c r="A113" s="2037">
        <v>2021</v>
      </c>
      <c r="B113" s="3816"/>
      <c r="C113" s="397" t="s">
        <v>8100</v>
      </c>
      <c r="D113" s="397"/>
      <c r="E113" s="1487">
        <v>45864.75</v>
      </c>
      <c r="F113" s="2039" t="s">
        <v>1197</v>
      </c>
      <c r="G113" s="1487">
        <f>E113/5</f>
        <v>9172.9500000000007</v>
      </c>
      <c r="H113" s="2076"/>
      <c r="I113" s="2076"/>
      <c r="J113" s="1487"/>
      <c r="K113" s="1487"/>
      <c r="L113" s="1487"/>
      <c r="M113" s="1487"/>
      <c r="N113" s="1487"/>
      <c r="O113" s="1487"/>
      <c r="P113" s="1487"/>
      <c r="Q113" s="1487"/>
      <c r="R113" s="1487"/>
      <c r="S113" s="1487"/>
      <c r="T113" s="1487"/>
      <c r="U113" s="1487"/>
      <c r="V113" s="1487">
        <v>9172.9500000000007</v>
      </c>
      <c r="W113" s="1489">
        <v>9172.9500000000007</v>
      </c>
      <c r="AB113" s="395"/>
      <c r="AC113" s="395"/>
    </row>
    <row r="114" spans="1:29">
      <c r="A114" s="2037">
        <v>2020</v>
      </c>
      <c r="B114" s="3816"/>
      <c r="C114" s="397" t="s">
        <v>1199</v>
      </c>
      <c r="D114" s="397"/>
      <c r="E114" s="1487">
        <v>8615.2000000000007</v>
      </c>
      <c r="F114" s="2039" t="s">
        <v>1197</v>
      </c>
      <c r="G114" s="1487">
        <f t="shared" ref="G114:G119" si="22">E114/5</f>
        <v>1723.0400000000002</v>
      </c>
      <c r="H114" s="2076"/>
      <c r="I114" s="2076"/>
      <c r="J114" s="1487"/>
      <c r="K114" s="1487"/>
      <c r="L114" s="1487"/>
      <c r="M114" s="1487"/>
      <c r="N114" s="1487"/>
      <c r="O114" s="1487"/>
      <c r="P114" s="1487"/>
      <c r="Q114" s="1487"/>
      <c r="R114" s="1487"/>
      <c r="S114" s="1487"/>
      <c r="T114" s="1487"/>
      <c r="U114" s="1487">
        <v>1723.04</v>
      </c>
      <c r="V114" s="1487">
        <v>1723.04</v>
      </c>
      <c r="W114" s="1489">
        <v>1723.04</v>
      </c>
      <c r="AB114" s="395"/>
      <c r="AC114" s="395"/>
    </row>
    <row r="115" spans="1:29">
      <c r="A115" s="2037">
        <v>2019</v>
      </c>
      <c r="B115" s="3816"/>
      <c r="C115" s="397" t="s">
        <v>1726</v>
      </c>
      <c r="D115" s="397"/>
      <c r="E115" s="1487">
        <v>5498.36</v>
      </c>
      <c r="F115" s="2039" t="s">
        <v>1197</v>
      </c>
      <c r="G115" s="1487">
        <f t="shared" si="22"/>
        <v>1099.672</v>
      </c>
      <c r="H115" s="2076"/>
      <c r="I115" s="2076"/>
      <c r="J115" s="1487"/>
      <c r="K115" s="1487"/>
      <c r="L115" s="1487"/>
      <c r="M115" s="1487"/>
      <c r="N115" s="1487"/>
      <c r="O115" s="1487"/>
      <c r="P115" s="1487"/>
      <c r="Q115" s="1487"/>
      <c r="R115" s="1487"/>
      <c r="S115" s="1487"/>
      <c r="T115" s="1487">
        <v>1099.67</v>
      </c>
      <c r="U115" s="1487">
        <v>1099.67</v>
      </c>
      <c r="V115" s="1487">
        <v>1099.67</v>
      </c>
      <c r="W115" s="1489">
        <v>1099.67</v>
      </c>
      <c r="AB115" s="395"/>
      <c r="AC115" s="395"/>
    </row>
    <row r="116" spans="1:29">
      <c r="A116" s="2037">
        <v>2018</v>
      </c>
      <c r="B116" s="3816"/>
      <c r="C116" s="397" t="s">
        <v>1726</v>
      </c>
      <c r="D116" s="397"/>
      <c r="E116" s="1487">
        <f>4139.41+4721.01</f>
        <v>8860.42</v>
      </c>
      <c r="F116" s="2039" t="s">
        <v>1197</v>
      </c>
      <c r="G116" s="1487">
        <f t="shared" si="22"/>
        <v>1772.0840000000001</v>
      </c>
      <c r="H116" s="2076"/>
      <c r="I116" s="2076"/>
      <c r="J116" s="1487"/>
      <c r="K116" s="1487"/>
      <c r="L116" s="1487"/>
      <c r="M116" s="1487"/>
      <c r="N116" s="1487"/>
      <c r="O116" s="1487"/>
      <c r="P116" s="1487"/>
      <c r="Q116" s="1487"/>
      <c r="R116" s="1487"/>
      <c r="S116" s="1487">
        <v>1772.08</v>
      </c>
      <c r="T116" s="1487">
        <v>1772.08</v>
      </c>
      <c r="U116" s="1487">
        <v>1772.08</v>
      </c>
      <c r="V116" s="1487">
        <v>1772.08</v>
      </c>
      <c r="W116" s="1489">
        <v>1772.08</v>
      </c>
      <c r="AB116" s="395"/>
      <c r="AC116" s="395"/>
    </row>
    <row r="117" spans="1:29">
      <c r="A117" s="2037">
        <v>2017</v>
      </c>
      <c r="B117" s="3816"/>
      <c r="C117" s="397" t="s">
        <v>1727</v>
      </c>
      <c r="D117" s="397"/>
      <c r="E117" s="1487">
        <v>1191.73</v>
      </c>
      <c r="F117" s="2039" t="s">
        <v>1197</v>
      </c>
      <c r="G117" s="1487">
        <f t="shared" si="22"/>
        <v>238.346</v>
      </c>
      <c r="H117" s="2076"/>
      <c r="I117" s="2076"/>
      <c r="J117" s="1487"/>
      <c r="K117" s="1487"/>
      <c r="L117" s="1487"/>
      <c r="M117" s="1487"/>
      <c r="N117" s="1487"/>
      <c r="O117" s="1487"/>
      <c r="P117" s="1487"/>
      <c r="Q117" s="1487"/>
      <c r="R117" s="1487">
        <v>238.35</v>
      </c>
      <c r="S117" s="1487">
        <v>238.35</v>
      </c>
      <c r="T117" s="1487">
        <v>238.35</v>
      </c>
      <c r="U117" s="1487">
        <v>238.35</v>
      </c>
      <c r="V117" s="1487">
        <v>238.35</v>
      </c>
      <c r="W117" s="1489"/>
      <c r="AB117" s="395"/>
      <c r="AC117" s="395"/>
    </row>
    <row r="118" spans="1:29">
      <c r="A118" s="2037">
        <v>2016</v>
      </c>
      <c r="B118" s="3816"/>
      <c r="C118" s="397" t="s">
        <v>1199</v>
      </c>
      <c r="D118" s="397"/>
      <c r="E118" s="1487">
        <v>3025</v>
      </c>
      <c r="F118" s="2039" t="s">
        <v>1197</v>
      </c>
      <c r="G118" s="1487">
        <f t="shared" si="22"/>
        <v>605</v>
      </c>
      <c r="H118" s="2076"/>
      <c r="I118" s="2076"/>
      <c r="J118" s="1487"/>
      <c r="K118" s="1487"/>
      <c r="L118" s="1487"/>
      <c r="M118" s="1487"/>
      <c r="N118" s="1487"/>
      <c r="O118" s="1487"/>
      <c r="P118" s="1487"/>
      <c r="Q118" s="1487">
        <f>G118</f>
        <v>605</v>
      </c>
      <c r="R118" s="1487">
        <f>G118</f>
        <v>605</v>
      </c>
      <c r="S118" s="1487">
        <f>G118</f>
        <v>605</v>
      </c>
      <c r="T118" s="1487">
        <f>G118</f>
        <v>605</v>
      </c>
      <c r="U118" s="1487">
        <f>G118</f>
        <v>605</v>
      </c>
      <c r="V118" s="1487"/>
      <c r="W118" s="1489"/>
      <c r="AB118" s="395"/>
      <c r="AC118" s="395"/>
    </row>
    <row r="119" spans="1:29">
      <c r="A119" s="2037"/>
      <c r="B119" s="3816"/>
      <c r="C119" s="397" t="s">
        <v>1728</v>
      </c>
      <c r="D119" s="397"/>
      <c r="E119" s="1487">
        <v>8027.24</v>
      </c>
      <c r="F119" s="2039" t="s">
        <v>1197</v>
      </c>
      <c r="G119" s="1487">
        <f t="shared" si="22"/>
        <v>1605.4479999999999</v>
      </c>
      <c r="H119" s="2076"/>
      <c r="I119" s="2076"/>
      <c r="J119" s="1487"/>
      <c r="K119" s="1487"/>
      <c r="L119" s="1487"/>
      <c r="M119" s="1487"/>
      <c r="N119" s="1487"/>
      <c r="O119" s="1487"/>
      <c r="P119" s="1487"/>
      <c r="Q119" s="1487">
        <f>G119</f>
        <v>1605.4479999999999</v>
      </c>
      <c r="R119" s="1487">
        <f>G119</f>
        <v>1605.4479999999999</v>
      </c>
      <c r="S119" s="1487">
        <f>G119</f>
        <v>1605.4479999999999</v>
      </c>
      <c r="T119" s="1487">
        <f>G119</f>
        <v>1605.4479999999999</v>
      </c>
      <c r="U119" s="1487">
        <f>G119</f>
        <v>1605.4479999999999</v>
      </c>
      <c r="V119" s="1487"/>
      <c r="W119" s="1489"/>
      <c r="AB119" s="395"/>
      <c r="AC119" s="395"/>
    </row>
    <row r="120" spans="1:29">
      <c r="A120" s="2037">
        <v>2015</v>
      </c>
      <c r="B120" s="3816"/>
      <c r="C120" s="397" t="s">
        <v>1729</v>
      </c>
      <c r="D120" s="397"/>
      <c r="E120" s="1487">
        <f>37148.08-91657.49</f>
        <v>-54509.41</v>
      </c>
      <c r="F120" s="2039" t="s">
        <v>1385</v>
      </c>
      <c r="G120" s="1487">
        <f>E120/20</f>
        <v>-2725.4705000000004</v>
      </c>
      <c r="H120" s="1487"/>
      <c r="I120" s="1487"/>
      <c r="J120" s="1487"/>
      <c r="K120" s="1487"/>
      <c r="L120" s="1487"/>
      <c r="M120" s="1487"/>
      <c r="N120" s="1487"/>
      <c r="O120" s="1487"/>
      <c r="P120" s="1487">
        <f>G120</f>
        <v>-2725.4705000000004</v>
      </c>
      <c r="Q120" s="1487">
        <f>G120</f>
        <v>-2725.4705000000004</v>
      </c>
      <c r="R120" s="1487">
        <f>G120</f>
        <v>-2725.4705000000004</v>
      </c>
      <c r="S120" s="1487">
        <f>G120</f>
        <v>-2725.4705000000004</v>
      </c>
      <c r="T120" s="1487">
        <f>G120</f>
        <v>-2725.4705000000004</v>
      </c>
      <c r="U120" s="1487">
        <f>G120</f>
        <v>-2725.4705000000004</v>
      </c>
      <c r="V120" s="1487">
        <f>G120</f>
        <v>-2725.4705000000004</v>
      </c>
      <c r="W120" s="1489"/>
      <c r="AB120" s="395"/>
      <c r="AC120" s="395"/>
    </row>
    <row r="121" spans="1:29">
      <c r="A121" s="2037"/>
      <c r="B121" s="3816"/>
      <c r="C121" s="397" t="s">
        <v>1199</v>
      </c>
      <c r="D121" s="397"/>
      <c r="E121" s="1487">
        <f>3120.71+3224.65</f>
        <v>6345.3600000000006</v>
      </c>
      <c r="F121" s="2039" t="s">
        <v>1197</v>
      </c>
      <c r="G121" s="1487">
        <f>(E121+E122)/5</f>
        <v>3607.7179999999998</v>
      </c>
      <c r="H121" s="1487"/>
      <c r="I121" s="1487"/>
      <c r="J121" s="1487"/>
      <c r="K121" s="1487"/>
      <c r="L121" s="1487"/>
      <c r="M121" s="1487"/>
      <c r="N121" s="1487"/>
      <c r="O121" s="1487"/>
      <c r="P121" s="1487">
        <f>G121</f>
        <v>3607.7179999999998</v>
      </c>
      <c r="Q121" s="1487">
        <f>G121</f>
        <v>3607.7179999999998</v>
      </c>
      <c r="R121" s="1487">
        <f>G121</f>
        <v>3607.7179999999998</v>
      </c>
      <c r="S121" s="1487">
        <f>G121</f>
        <v>3607.7179999999998</v>
      </c>
      <c r="T121" s="1487">
        <f>G121</f>
        <v>3607.7179999999998</v>
      </c>
      <c r="U121" s="1487">
        <f>G121</f>
        <v>3607.7179999999998</v>
      </c>
      <c r="V121" s="1487"/>
      <c r="W121" s="1489"/>
      <c r="AB121" s="395"/>
      <c r="AC121" s="395"/>
    </row>
    <row r="122" spans="1:29">
      <c r="A122" s="2037"/>
      <c r="B122" s="3816"/>
      <c r="C122" s="397" t="s">
        <v>1728</v>
      </c>
      <c r="D122" s="397"/>
      <c r="E122" s="1487">
        <f>4275.55+7417.68</f>
        <v>11693.23</v>
      </c>
      <c r="F122" s="1487"/>
      <c r="G122" s="1487"/>
      <c r="H122" s="1487"/>
      <c r="I122" s="1487"/>
      <c r="J122" s="1487"/>
      <c r="K122" s="1487"/>
      <c r="L122" s="1487"/>
      <c r="M122" s="1487"/>
      <c r="N122" s="1487"/>
      <c r="O122" s="1487"/>
      <c r="P122" s="1487"/>
      <c r="Q122" s="1487"/>
      <c r="R122" s="1487"/>
      <c r="S122" s="1487"/>
      <c r="T122" s="1487"/>
      <c r="U122" s="1487"/>
      <c r="V122" s="1487"/>
      <c r="W122" s="1489"/>
      <c r="AB122" s="395"/>
      <c r="AC122" s="395"/>
    </row>
    <row r="123" spans="1:29">
      <c r="A123" s="2037"/>
      <c r="B123" s="3816"/>
      <c r="C123" s="397"/>
      <c r="D123" s="397"/>
      <c r="E123" s="2042">
        <f>SUM(E120:E122)</f>
        <v>-36470.820000000007</v>
      </c>
      <c r="F123" s="1487"/>
      <c r="G123" s="1487"/>
      <c r="H123" s="1487"/>
      <c r="I123" s="1487"/>
      <c r="J123" s="1487"/>
      <c r="K123" s="1487"/>
      <c r="L123" s="1487"/>
      <c r="M123" s="1487"/>
      <c r="N123" s="1487"/>
      <c r="O123" s="1487"/>
      <c r="P123" s="1487"/>
      <c r="Q123" s="1487"/>
      <c r="R123" s="1487"/>
      <c r="S123" s="1487"/>
      <c r="T123" s="1487"/>
      <c r="U123" s="1487"/>
      <c r="V123" s="1487"/>
      <c r="W123" s="1489"/>
      <c r="AB123" s="395"/>
      <c r="AC123" s="395"/>
    </row>
    <row r="124" spans="1:29">
      <c r="A124" s="2037">
        <v>2014</v>
      </c>
      <c r="B124" s="3816"/>
      <c r="C124" s="397" t="s">
        <v>1199</v>
      </c>
      <c r="D124" s="397"/>
      <c r="E124" s="1487">
        <f>8132.83+2738.67</f>
        <v>10871.5</v>
      </c>
      <c r="F124" s="2039" t="s">
        <v>1197</v>
      </c>
      <c r="G124" s="1487">
        <f>E127/5</f>
        <v>2517.9540000000002</v>
      </c>
      <c r="H124" s="2076"/>
      <c r="I124" s="2076"/>
      <c r="J124" s="1487"/>
      <c r="K124" s="1487"/>
      <c r="L124" s="1487"/>
      <c r="M124" s="1487"/>
      <c r="N124" s="1487"/>
      <c r="O124" s="1487">
        <f>G124</f>
        <v>2517.9540000000002</v>
      </c>
      <c r="P124" s="1487">
        <f>G124</f>
        <v>2517.9540000000002</v>
      </c>
      <c r="Q124" s="1487">
        <f>G124</f>
        <v>2517.9540000000002</v>
      </c>
      <c r="R124" s="1487">
        <f>G124</f>
        <v>2517.9540000000002</v>
      </c>
      <c r="S124" s="1487">
        <f>G124</f>
        <v>2517.9540000000002</v>
      </c>
      <c r="T124" s="1487"/>
      <c r="U124" s="1487"/>
      <c r="V124" s="1487"/>
      <c r="W124" s="1489"/>
      <c r="AB124" s="395"/>
      <c r="AC124" s="395"/>
    </row>
    <row r="125" spans="1:29">
      <c r="A125" s="2037"/>
      <c r="B125" s="3816"/>
      <c r="C125" s="397" t="s">
        <v>1728</v>
      </c>
      <c r="D125" s="397"/>
      <c r="E125" s="1487">
        <v>1718.27</v>
      </c>
      <c r="F125" s="2039" t="s">
        <v>1197</v>
      </c>
      <c r="G125" s="1487"/>
      <c r="H125" s="2076"/>
      <c r="I125" s="2076"/>
      <c r="J125" s="1487"/>
      <c r="K125" s="1487"/>
      <c r="L125" s="1487"/>
      <c r="M125" s="1487"/>
      <c r="N125" s="1487"/>
      <c r="O125" s="1487"/>
      <c r="P125" s="1487"/>
      <c r="Q125" s="1487"/>
      <c r="R125" s="1487"/>
      <c r="S125" s="1487"/>
      <c r="T125" s="1487"/>
      <c r="U125" s="1487"/>
      <c r="V125" s="1487"/>
      <c r="W125" s="1489"/>
      <c r="AB125" s="395"/>
      <c r="AC125" s="395"/>
    </row>
    <row r="126" spans="1:29">
      <c r="A126" s="2037"/>
      <c r="B126" s="3816"/>
      <c r="C126" s="397" t="s">
        <v>1730</v>
      </c>
      <c r="D126" s="397"/>
      <c r="E126" s="1487">
        <f>302826.35-169237.3</f>
        <v>133589.04999999999</v>
      </c>
      <c r="F126" s="2039" t="s">
        <v>1385</v>
      </c>
      <c r="G126" s="1487">
        <f>E126/20</f>
        <v>6679.4524999999994</v>
      </c>
      <c r="H126" s="2076"/>
      <c r="I126" s="2076"/>
      <c r="J126" s="1487"/>
      <c r="K126" s="1487"/>
      <c r="L126" s="1487"/>
      <c r="M126" s="1487"/>
      <c r="N126" s="1487"/>
      <c r="O126" s="1487">
        <f>G126</f>
        <v>6679.4524999999994</v>
      </c>
      <c r="P126" s="1487">
        <f>G126</f>
        <v>6679.4524999999994</v>
      </c>
      <c r="Q126" s="1487">
        <f>G126</f>
        <v>6679.4524999999994</v>
      </c>
      <c r="R126" s="1487">
        <f>G126</f>
        <v>6679.4524999999994</v>
      </c>
      <c r="S126" s="1487">
        <f>G126</f>
        <v>6679.4524999999994</v>
      </c>
      <c r="T126" s="1487">
        <f>G126</f>
        <v>6679.4524999999994</v>
      </c>
      <c r="U126" s="1487">
        <f>G126</f>
        <v>6679.4524999999994</v>
      </c>
      <c r="V126" s="1487">
        <f>G126</f>
        <v>6679.4524999999994</v>
      </c>
      <c r="W126" s="1489"/>
      <c r="AB126" s="395"/>
      <c r="AC126" s="395"/>
    </row>
    <row r="127" spans="1:29">
      <c r="A127" s="2037"/>
      <c r="B127" s="3816"/>
      <c r="C127" s="397"/>
      <c r="D127" s="397"/>
      <c r="E127" s="2042">
        <f>SUM(E124:E125)</f>
        <v>12589.77</v>
      </c>
      <c r="F127" s="1487"/>
      <c r="G127" s="1487"/>
      <c r="H127" s="2076"/>
      <c r="I127" s="2076"/>
      <c r="J127" s="1487"/>
      <c r="K127" s="1487"/>
      <c r="L127" s="1487"/>
      <c r="M127" s="1487"/>
      <c r="N127" s="1487"/>
      <c r="O127" s="1487"/>
      <c r="P127" s="1487"/>
      <c r="Q127" s="1487"/>
      <c r="R127" s="1487"/>
      <c r="S127" s="1487"/>
      <c r="T127" s="1487"/>
      <c r="U127" s="1487"/>
      <c r="V127" s="1487"/>
      <c r="W127" s="1489"/>
      <c r="AB127" s="395"/>
      <c r="AC127" s="395"/>
    </row>
    <row r="128" spans="1:29">
      <c r="A128" s="2037">
        <v>2013</v>
      </c>
      <c r="B128" s="3816"/>
      <c r="C128" s="397" t="s">
        <v>1731</v>
      </c>
      <c r="D128" s="397"/>
      <c r="E128" s="1487">
        <f>9660.73+2917.94+4962.01</f>
        <v>17540.68</v>
      </c>
      <c r="F128" s="2039" t="s">
        <v>1197</v>
      </c>
      <c r="G128" s="1487">
        <f>E128/5</f>
        <v>3508.136</v>
      </c>
      <c r="H128" s="2076"/>
      <c r="I128" s="2076"/>
      <c r="J128" s="2076"/>
      <c r="K128" s="2076"/>
      <c r="L128" s="2076"/>
      <c r="M128" s="1487"/>
      <c r="N128" s="1487">
        <v>3508.14</v>
      </c>
      <c r="O128" s="1487">
        <v>3508.14</v>
      </c>
      <c r="P128" s="1487">
        <v>3508.14</v>
      </c>
      <c r="Q128" s="1487">
        <v>3508.14</v>
      </c>
      <c r="R128" s="1487">
        <v>3508.14</v>
      </c>
      <c r="S128" s="2076"/>
      <c r="T128" s="1487"/>
      <c r="U128" s="1487"/>
      <c r="V128" s="1487"/>
      <c r="W128" s="1489"/>
      <c r="AB128" s="395"/>
      <c r="AC128" s="395"/>
    </row>
    <row r="129" spans="1:29">
      <c r="A129" s="2037"/>
      <c r="B129" s="3816"/>
      <c r="C129" s="397" t="s">
        <v>1730</v>
      </c>
      <c r="D129" s="397"/>
      <c r="E129" s="1487">
        <v>184227.03</v>
      </c>
      <c r="F129" s="2039" t="s">
        <v>1385</v>
      </c>
      <c r="G129" s="1487">
        <f>E129/20</f>
        <v>9211.3515000000007</v>
      </c>
      <c r="H129" s="2076"/>
      <c r="I129" s="2076"/>
      <c r="J129" s="2076"/>
      <c r="K129" s="2076"/>
      <c r="L129" s="2076"/>
      <c r="M129" s="1487"/>
      <c r="N129" s="1487">
        <v>9211.35</v>
      </c>
      <c r="O129" s="1487">
        <v>9211.35</v>
      </c>
      <c r="P129" s="1487">
        <v>9211.35</v>
      </c>
      <c r="Q129" s="1487">
        <v>9211.35</v>
      </c>
      <c r="R129" s="1487">
        <v>9211.35</v>
      </c>
      <c r="S129" s="1487">
        <f>G129</f>
        <v>9211.3515000000007</v>
      </c>
      <c r="T129" s="1487">
        <f>G129</f>
        <v>9211.3515000000007</v>
      </c>
      <c r="U129" s="1487">
        <f>G129</f>
        <v>9211.3515000000007</v>
      </c>
      <c r="V129" s="1487">
        <f>G129</f>
        <v>9211.3515000000007</v>
      </c>
      <c r="W129" s="1489"/>
      <c r="AB129" s="395"/>
      <c r="AC129" s="395"/>
    </row>
    <row r="130" spans="1:29">
      <c r="A130" s="2037"/>
      <c r="B130" s="3816"/>
      <c r="C130" s="397"/>
      <c r="D130" s="397"/>
      <c r="E130" s="2042">
        <f>SUM(E128:E129)</f>
        <v>201767.71</v>
      </c>
      <c r="F130" s="2039"/>
      <c r="G130" s="1487"/>
      <c r="H130" s="2076"/>
      <c r="I130" s="2076"/>
      <c r="J130" s="2076"/>
      <c r="K130" s="2076"/>
      <c r="L130" s="2076"/>
      <c r="M130" s="1487"/>
      <c r="N130" s="1487"/>
      <c r="O130" s="1487"/>
      <c r="P130" s="1487"/>
      <c r="Q130" s="1487"/>
      <c r="R130" s="1487"/>
      <c r="S130" s="2076"/>
      <c r="T130" s="1487"/>
      <c r="U130" s="1487"/>
      <c r="V130" s="1487"/>
      <c r="W130" s="1489"/>
      <c r="AB130" s="395"/>
      <c r="AC130" s="395"/>
    </row>
    <row r="131" spans="1:29">
      <c r="A131" s="2037">
        <v>2012</v>
      </c>
      <c r="B131" s="3816"/>
      <c r="C131" s="397" t="s">
        <v>1732</v>
      </c>
      <c r="D131" s="397"/>
      <c r="E131" s="1487">
        <v>16881.05</v>
      </c>
      <c r="F131" s="2039" t="s">
        <v>1197</v>
      </c>
      <c r="G131" s="1487">
        <f>E134/5</f>
        <v>20503.106</v>
      </c>
      <c r="H131" s="2076"/>
      <c r="I131" s="2076"/>
      <c r="J131" s="2076"/>
      <c r="K131" s="2076"/>
      <c r="L131" s="2076"/>
      <c r="M131" s="1487">
        <v>3769.21</v>
      </c>
      <c r="N131" s="1487">
        <v>3769.21</v>
      </c>
      <c r="O131" s="1487">
        <v>3769.21</v>
      </c>
      <c r="P131" s="1487">
        <v>3769.21</v>
      </c>
      <c r="Q131" s="1487">
        <v>3769.21</v>
      </c>
      <c r="R131" s="2076"/>
      <c r="S131" s="2076"/>
      <c r="T131" s="1487"/>
      <c r="U131" s="1487"/>
      <c r="V131" s="1487"/>
      <c r="W131" s="1489"/>
      <c r="AB131" s="395"/>
      <c r="AC131" s="395"/>
    </row>
    <row r="132" spans="1:29">
      <c r="A132" s="2037"/>
      <c r="B132" s="3816"/>
      <c r="C132" s="397" t="s">
        <v>1196</v>
      </c>
      <c r="D132" s="397"/>
      <c r="E132" s="1487">
        <v>1964.98</v>
      </c>
      <c r="F132" s="1487"/>
      <c r="G132" s="1487"/>
      <c r="H132" s="2076"/>
      <c r="I132" s="2076"/>
      <c r="J132" s="2076"/>
      <c r="K132" s="2076"/>
      <c r="L132" s="2076"/>
      <c r="M132" s="1487"/>
      <c r="N132" s="1487"/>
      <c r="O132" s="1487"/>
      <c r="P132" s="1487"/>
      <c r="Q132" s="1487"/>
      <c r="R132" s="2076"/>
      <c r="S132" s="2076"/>
      <c r="T132" s="1487"/>
      <c r="U132" s="1487"/>
      <c r="V132" s="1487"/>
      <c r="W132" s="1489"/>
      <c r="AB132" s="395"/>
      <c r="AC132" s="395"/>
    </row>
    <row r="133" spans="1:29">
      <c r="A133" s="2037"/>
      <c r="B133" s="3816"/>
      <c r="C133" s="397" t="s">
        <v>1730</v>
      </c>
      <c r="D133" s="397"/>
      <c r="E133" s="1487">
        <v>83669.5</v>
      </c>
      <c r="F133" s="2039" t="s">
        <v>1385</v>
      </c>
      <c r="G133" s="1487">
        <f>E133/20</f>
        <v>4183.4750000000004</v>
      </c>
      <c r="H133" s="2076"/>
      <c r="I133" s="2076"/>
      <c r="J133" s="2076"/>
      <c r="K133" s="2076"/>
      <c r="L133" s="2076"/>
      <c r="M133" s="1487">
        <v>4183.4799999999996</v>
      </c>
      <c r="N133" s="1487">
        <v>4183.4799999999996</v>
      </c>
      <c r="O133" s="1487">
        <v>4183.4799999999996</v>
      </c>
      <c r="P133" s="1487">
        <v>4183.4799999999996</v>
      </c>
      <c r="Q133" s="1487">
        <v>4183.4799999999996</v>
      </c>
      <c r="R133" s="1487">
        <v>4183.4799999999996</v>
      </c>
      <c r="S133" s="1487">
        <f>G133</f>
        <v>4183.4750000000004</v>
      </c>
      <c r="T133" s="1487">
        <f>G133</f>
        <v>4183.4750000000004</v>
      </c>
      <c r="U133" s="1487">
        <f>G133</f>
        <v>4183.4750000000004</v>
      </c>
      <c r="V133" s="1487">
        <f>G133</f>
        <v>4183.4750000000004</v>
      </c>
      <c r="W133" s="1489"/>
      <c r="AB133" s="395"/>
      <c r="AC133" s="395"/>
    </row>
    <row r="134" spans="1:29">
      <c r="A134" s="2037"/>
      <c r="B134" s="3816"/>
      <c r="C134" s="397"/>
      <c r="D134" s="397"/>
      <c r="E134" s="2042">
        <f>SUM(E131:E133)</f>
        <v>102515.53</v>
      </c>
      <c r="F134" s="1487"/>
      <c r="G134" s="1487"/>
      <c r="H134" s="2076"/>
      <c r="I134" s="2076"/>
      <c r="J134" s="2076"/>
      <c r="K134" s="2076"/>
      <c r="L134" s="2076"/>
      <c r="M134" s="1487"/>
      <c r="N134" s="1487"/>
      <c r="O134" s="1487"/>
      <c r="P134" s="1487"/>
      <c r="Q134" s="1487"/>
      <c r="R134" s="2076"/>
      <c r="S134" s="2076"/>
      <c r="T134" s="1487"/>
      <c r="U134" s="1487"/>
      <c r="V134" s="1487"/>
      <c r="W134" s="1489"/>
      <c r="AB134" s="395"/>
      <c r="AC134" s="395"/>
    </row>
    <row r="135" spans="1:29">
      <c r="A135" s="2037">
        <v>2011</v>
      </c>
      <c r="B135" s="3816"/>
      <c r="C135" s="397"/>
      <c r="D135" s="397"/>
      <c r="E135" s="1487"/>
      <c r="F135" s="2039"/>
      <c r="G135" s="1487">
        <f>E135/5</f>
        <v>0</v>
      </c>
      <c r="H135" s="2076"/>
      <c r="I135" s="2076"/>
      <c r="J135" s="2076"/>
      <c r="K135" s="2076"/>
      <c r="L135" s="2076"/>
      <c r="M135" s="2076"/>
      <c r="N135" s="2076"/>
      <c r="O135" s="2076"/>
      <c r="P135" s="2039"/>
      <c r="Q135" s="2039"/>
      <c r="R135" s="2039"/>
      <c r="S135" s="2039"/>
      <c r="T135" s="2039"/>
      <c r="U135" s="1487"/>
      <c r="V135" s="1487"/>
      <c r="W135" s="1489"/>
      <c r="AB135" s="395"/>
      <c r="AC135" s="395"/>
    </row>
    <row r="136" spans="1:29">
      <c r="A136" s="2037">
        <v>2010</v>
      </c>
      <c r="B136" s="3816"/>
      <c r="C136" s="397" t="s">
        <v>1721</v>
      </c>
      <c r="D136" s="397"/>
      <c r="E136" s="1487">
        <f>213510.78+5694.03-98277.16</f>
        <v>120927.65</v>
      </c>
      <c r="F136" s="2039" t="s">
        <v>1198</v>
      </c>
      <c r="G136" s="1487">
        <f>E136/10</f>
        <v>12092.764999999999</v>
      </c>
      <c r="H136" s="2039"/>
      <c r="I136" s="2039"/>
      <c r="J136" s="2039"/>
      <c r="K136" s="1487"/>
      <c r="L136" s="1487">
        <v>12092.77</v>
      </c>
      <c r="M136" s="1487">
        <v>12092.77</v>
      </c>
      <c r="N136" s="1487">
        <v>12092.77</v>
      </c>
      <c r="O136" s="1487">
        <v>12092.77</v>
      </c>
      <c r="P136" s="1487">
        <v>12092.77</v>
      </c>
      <c r="Q136" s="1487">
        <v>12092.77</v>
      </c>
      <c r="R136" s="1487">
        <v>12092.77</v>
      </c>
      <c r="S136" s="2039">
        <f>G136</f>
        <v>12092.764999999999</v>
      </c>
      <c r="T136" s="1487">
        <f>G136</f>
        <v>12092.764999999999</v>
      </c>
      <c r="U136" s="1487">
        <f>G136</f>
        <v>12092.764999999999</v>
      </c>
      <c r="V136" s="1487"/>
      <c r="W136" s="1489"/>
    </row>
    <row r="137" spans="1:29">
      <c r="A137" s="2037"/>
      <c r="B137" s="3816"/>
      <c r="C137" s="397" t="s">
        <v>1381</v>
      </c>
      <c r="D137" s="397"/>
      <c r="E137" s="1487">
        <v>4832.26</v>
      </c>
      <c r="F137" s="2039" t="s">
        <v>1197</v>
      </c>
      <c r="G137" s="1487">
        <f>(E137+E138)/5</f>
        <v>1453.598</v>
      </c>
      <c r="H137" s="2076"/>
      <c r="I137" s="2076"/>
      <c r="J137" s="2076"/>
      <c r="K137" s="1487"/>
      <c r="L137" s="1487">
        <v>1453.6</v>
      </c>
      <c r="M137" s="1487">
        <v>1453.6</v>
      </c>
      <c r="N137" s="1487">
        <v>1453.6</v>
      </c>
      <c r="O137" s="1487">
        <v>1453.6</v>
      </c>
      <c r="P137" s="1487">
        <v>1453.6</v>
      </c>
      <c r="Q137" s="1487"/>
      <c r="R137" s="1487"/>
      <c r="S137" s="2076"/>
      <c r="T137" s="1487"/>
      <c r="U137" s="1487"/>
      <c r="V137" s="1487"/>
      <c r="W137" s="1489"/>
      <c r="AB137" s="395"/>
      <c r="AC137" s="395"/>
    </row>
    <row r="138" spans="1:29">
      <c r="A138" s="2037"/>
      <c r="B138" s="3816"/>
      <c r="C138" s="397" t="s">
        <v>1724</v>
      </c>
      <c r="D138" s="397"/>
      <c r="E138" s="1487">
        <v>2435.73</v>
      </c>
      <c r="F138" s="2039" t="s">
        <v>1197</v>
      </c>
      <c r="G138" s="2039"/>
      <c r="H138" s="2076"/>
      <c r="I138" s="2076"/>
      <c r="J138" s="2076"/>
      <c r="K138" s="2076"/>
      <c r="L138" s="2076"/>
      <c r="M138" s="2076"/>
      <c r="N138" s="2076"/>
      <c r="O138" s="2076"/>
      <c r="P138" s="2076"/>
      <c r="Q138" s="2076"/>
      <c r="R138" s="2076"/>
      <c r="S138" s="2076"/>
      <c r="T138" s="1487"/>
      <c r="U138" s="1487"/>
      <c r="V138" s="1487"/>
      <c r="W138" s="1489"/>
      <c r="AB138" s="395"/>
      <c r="AC138" s="395"/>
    </row>
    <row r="139" spans="1:29">
      <c r="A139" s="2037"/>
      <c r="B139" s="3816"/>
      <c r="C139" s="397"/>
      <c r="D139" s="397"/>
      <c r="E139" s="2043">
        <f>SUM(E136:E138)</f>
        <v>128195.63999999998</v>
      </c>
      <c r="F139" s="1487"/>
      <c r="G139" s="2039"/>
      <c r="H139" s="2076"/>
      <c r="I139" s="2076"/>
      <c r="J139" s="2076"/>
      <c r="K139" s="2076"/>
      <c r="L139" s="2076"/>
      <c r="M139" s="2076"/>
      <c r="N139" s="2076"/>
      <c r="O139" s="2076"/>
      <c r="P139" s="2076"/>
      <c r="Q139" s="2076"/>
      <c r="R139" s="2076"/>
      <c r="S139" s="2076"/>
      <c r="T139" s="1487"/>
      <c r="U139" s="1487"/>
      <c r="V139" s="1487"/>
      <c r="W139" s="1489"/>
      <c r="AB139" s="395"/>
      <c r="AC139" s="395"/>
    </row>
    <row r="140" spans="1:29">
      <c r="A140" s="2037">
        <v>2009</v>
      </c>
      <c r="B140" s="3816"/>
      <c r="C140" s="397"/>
      <c r="D140" s="397"/>
      <c r="E140" s="1487"/>
      <c r="F140" s="1487"/>
      <c r="G140" s="1487"/>
      <c r="H140" s="1487"/>
      <c r="I140" s="1487"/>
      <c r="J140" s="1487"/>
      <c r="K140" s="1487"/>
      <c r="L140" s="397"/>
      <c r="M140" s="397"/>
      <c r="N140" s="397"/>
      <c r="O140" s="1487"/>
      <c r="P140" s="1487"/>
      <c r="Q140" s="1487"/>
      <c r="R140" s="1487"/>
      <c r="S140" s="1487"/>
      <c r="T140" s="1487"/>
      <c r="U140" s="1487"/>
      <c r="V140" s="1487"/>
      <c r="W140" s="1489"/>
      <c r="AB140" s="395"/>
      <c r="AC140" s="395"/>
    </row>
    <row r="141" spans="1:29">
      <c r="A141" s="2037">
        <v>2008</v>
      </c>
      <c r="B141" s="3816"/>
      <c r="C141" s="397"/>
      <c r="D141" s="397"/>
      <c r="E141" s="1487"/>
      <c r="F141" s="2039"/>
      <c r="G141" s="1487"/>
      <c r="H141" s="1487"/>
      <c r="I141" s="1487"/>
      <c r="J141" s="1487"/>
      <c r="K141" s="1487"/>
      <c r="L141" s="1487"/>
      <c r="M141" s="1487"/>
      <c r="N141" s="1487"/>
      <c r="O141" s="1487"/>
      <c r="P141" s="1487"/>
      <c r="Q141" s="1487"/>
      <c r="R141" s="1487"/>
      <c r="S141" s="1487"/>
      <c r="T141" s="1487"/>
      <c r="U141" s="1487"/>
      <c r="V141" s="1487"/>
      <c r="W141" s="1489"/>
      <c r="AB141" s="395"/>
      <c r="AC141" s="395"/>
    </row>
    <row r="142" spans="1:29">
      <c r="A142" s="2037">
        <v>2007</v>
      </c>
      <c r="B142" s="3816"/>
      <c r="C142" s="397"/>
      <c r="D142" s="397"/>
      <c r="E142" s="1487"/>
      <c r="F142" s="2039"/>
      <c r="G142" s="1487"/>
      <c r="H142" s="1487"/>
      <c r="I142" s="1487"/>
      <c r="J142" s="1487"/>
      <c r="K142" s="1487"/>
      <c r="L142" s="1487"/>
      <c r="M142" s="1487"/>
      <c r="N142" s="1487"/>
      <c r="O142" s="1487"/>
      <c r="P142" s="1487"/>
      <c r="Q142" s="1487"/>
      <c r="R142" s="1487"/>
      <c r="S142" s="1487"/>
      <c r="T142" s="1487"/>
      <c r="U142" s="1487"/>
      <c r="V142" s="1487"/>
      <c r="W142" s="1489"/>
      <c r="AB142" s="395"/>
      <c r="AC142" s="395"/>
    </row>
    <row r="143" spans="1:29">
      <c r="A143" s="2021"/>
      <c r="B143" s="2069"/>
      <c r="C143" s="2022" t="s">
        <v>1201</v>
      </c>
      <c r="D143" s="2022"/>
      <c r="E143" s="2010"/>
      <c r="F143" s="2010"/>
      <c r="G143" s="2010"/>
      <c r="H143" s="2009">
        <f>SUM(H135:H142)</f>
        <v>0</v>
      </c>
      <c r="I143" s="2009">
        <f>SUM(I135:I142)</f>
        <v>0</v>
      </c>
      <c r="J143" s="2009">
        <f>SUM(J135:J142)</f>
        <v>0</v>
      </c>
      <c r="K143" s="2009">
        <f>SUM(K135:K142)</f>
        <v>0</v>
      </c>
      <c r="L143" s="2009">
        <f t="shared" ref="L143:V143" si="23">SUM(L112:L142)</f>
        <v>13546.37</v>
      </c>
      <c r="M143" s="2009">
        <f t="shared" si="23"/>
        <v>21499.059999999998</v>
      </c>
      <c r="N143" s="2009">
        <f t="shared" si="23"/>
        <v>34218.550000000003</v>
      </c>
      <c r="O143" s="2009">
        <f t="shared" si="23"/>
        <v>43415.956499999993</v>
      </c>
      <c r="P143" s="2009">
        <f t="shared" si="23"/>
        <v>44298.203999999998</v>
      </c>
      <c r="Q143" s="2009">
        <f t="shared" si="23"/>
        <v>45055.051999999996</v>
      </c>
      <c r="R143" s="2009">
        <f t="shared" si="23"/>
        <v>41524.191999999995</v>
      </c>
      <c r="S143" s="2009">
        <f t="shared" si="23"/>
        <v>39788.123500000002</v>
      </c>
      <c r="T143" s="2009">
        <f t="shared" si="23"/>
        <v>38369.839500000002</v>
      </c>
      <c r="U143" s="2009">
        <f t="shared" si="23"/>
        <v>40092.879499999995</v>
      </c>
      <c r="V143" s="2009">
        <f t="shared" si="23"/>
        <v>31354.898500000003</v>
      </c>
      <c r="W143" s="2011"/>
      <c r="AB143" s="395"/>
      <c r="AC143" s="395"/>
    </row>
    <row r="144" spans="1:29">
      <c r="A144" s="1633"/>
      <c r="B144" s="1633"/>
      <c r="C144" s="395"/>
      <c r="D144" s="395"/>
      <c r="E144" s="395"/>
      <c r="F144" s="395"/>
      <c r="G144" s="395"/>
      <c r="O144" s="395"/>
      <c r="P144" s="395"/>
      <c r="Q144" s="395"/>
      <c r="AB144" s="395"/>
      <c r="AC144" s="395"/>
    </row>
    <row r="145" spans="1:29">
      <c r="A145" s="1633"/>
      <c r="B145" s="1633"/>
      <c r="C145" s="395"/>
      <c r="D145" s="395"/>
      <c r="E145" s="395"/>
      <c r="F145" s="395"/>
      <c r="G145" s="395"/>
      <c r="O145" s="395"/>
      <c r="P145" s="395"/>
      <c r="Q145" s="395"/>
      <c r="AB145" s="395"/>
      <c r="AC145" s="395"/>
    </row>
    <row r="146" spans="1:29" ht="15">
      <c r="A146" s="1873" t="s">
        <v>7107</v>
      </c>
      <c r="B146" s="1873"/>
      <c r="C146" s="395"/>
      <c r="D146" s="395"/>
      <c r="E146" s="395"/>
      <c r="F146" s="395"/>
      <c r="G146" s="395"/>
      <c r="O146" s="395"/>
      <c r="P146" s="395"/>
      <c r="Q146" s="395"/>
    </row>
    <row r="147" spans="1:29">
      <c r="A147" s="1633"/>
      <c r="B147" s="1633"/>
      <c r="C147" s="395"/>
      <c r="D147" s="395"/>
      <c r="E147" s="395"/>
      <c r="F147" s="395"/>
      <c r="G147" s="395"/>
      <c r="O147" s="395"/>
      <c r="P147" s="395"/>
      <c r="Q147" s="395"/>
    </row>
    <row r="148" spans="1:29">
      <c r="A148" s="1989" t="s">
        <v>623</v>
      </c>
      <c r="B148" s="1991"/>
      <c r="C148" s="1991" t="s">
        <v>1002</v>
      </c>
      <c r="D148" s="1991"/>
      <c r="E148" s="1991"/>
      <c r="F148" s="1991"/>
      <c r="G148" s="1991"/>
      <c r="H148" s="1990">
        <v>2007</v>
      </c>
      <c r="I148" s="1990">
        <v>2008</v>
      </c>
      <c r="J148" s="1990">
        <v>2009</v>
      </c>
      <c r="K148" s="1990">
        <v>2010</v>
      </c>
      <c r="L148" s="1990">
        <v>2011</v>
      </c>
      <c r="M148" s="1990">
        <v>2012</v>
      </c>
      <c r="N148" s="1990">
        <v>2013</v>
      </c>
      <c r="O148" s="1990">
        <v>2014</v>
      </c>
      <c r="P148" s="1990">
        <v>2015</v>
      </c>
      <c r="Q148" s="1990">
        <v>2016</v>
      </c>
      <c r="R148" s="1990">
        <v>2017</v>
      </c>
      <c r="S148" s="1990">
        <v>2018</v>
      </c>
      <c r="T148" s="1990">
        <v>2019</v>
      </c>
      <c r="U148" s="1990">
        <v>2020</v>
      </c>
      <c r="V148" s="1990">
        <v>2021</v>
      </c>
      <c r="W148" s="2050">
        <v>2022</v>
      </c>
      <c r="X148" s="1973"/>
      <c r="Y148" s="1973"/>
      <c r="Z148" s="1973"/>
      <c r="AA148" s="1973"/>
    </row>
    <row r="149" spans="1:29">
      <c r="A149" s="1984" t="s">
        <v>1003</v>
      </c>
      <c r="B149" s="1985"/>
      <c r="C149" s="1986"/>
      <c r="D149" s="1986"/>
      <c r="E149" s="1986"/>
      <c r="F149" s="1986"/>
      <c r="G149" s="1986"/>
      <c r="H149" s="1987"/>
      <c r="I149" s="1987"/>
      <c r="J149" s="1987"/>
      <c r="K149" s="1987"/>
      <c r="L149" s="1987"/>
      <c r="M149" s="1987"/>
      <c r="N149" s="1987"/>
      <c r="O149" s="1986"/>
      <c r="P149" s="1986"/>
      <c r="Q149" s="1986"/>
      <c r="R149" s="1987"/>
      <c r="S149" s="1987"/>
      <c r="T149" s="1987"/>
      <c r="U149" s="1987"/>
      <c r="V149" s="1987"/>
      <c r="W149" s="1988"/>
    </row>
    <row r="150" spans="1:29">
      <c r="A150" s="2048" t="s">
        <v>1202</v>
      </c>
      <c r="B150" s="1999"/>
      <c r="C150" s="397"/>
      <c r="D150" s="397"/>
      <c r="E150" s="397"/>
      <c r="F150" s="397"/>
      <c r="G150" s="397"/>
      <c r="H150" s="1487"/>
      <c r="I150" s="1487"/>
      <c r="J150" s="1487"/>
      <c r="K150" s="1487"/>
      <c r="L150" s="1487"/>
      <c r="M150" s="1487"/>
      <c r="N150" s="1487"/>
      <c r="O150" s="397"/>
      <c r="P150" s="397"/>
      <c r="Q150" s="397"/>
      <c r="R150" s="1487"/>
      <c r="S150" s="1487"/>
      <c r="T150" s="1487"/>
      <c r="U150" s="1487"/>
      <c r="V150" s="1487"/>
      <c r="W150" s="1489"/>
    </row>
    <row r="151" spans="1:29">
      <c r="A151" s="1997" t="s">
        <v>1733</v>
      </c>
      <c r="B151" s="583">
        <v>700150</v>
      </c>
      <c r="C151" s="397" t="s">
        <v>1734</v>
      </c>
      <c r="D151" s="397"/>
      <c r="E151" s="397"/>
      <c r="F151" s="397"/>
      <c r="G151" s="397"/>
      <c r="H151" s="1487">
        <v>1436.31</v>
      </c>
      <c r="I151" s="1487">
        <v>854.9</v>
      </c>
      <c r="J151" s="1487">
        <v>1010.05</v>
      </c>
      <c r="K151" s="1487">
        <v>265.42</v>
      </c>
      <c r="L151" s="1487">
        <v>20555.8</v>
      </c>
      <c r="M151" s="1487">
        <v>18959</v>
      </c>
      <c r="N151" s="1487">
        <v>8384.39</v>
      </c>
      <c r="O151" s="1487">
        <v>88415.03</v>
      </c>
      <c r="P151" s="1487">
        <v>83110.240000000005</v>
      </c>
      <c r="Q151" s="1487">
        <v>78069.47</v>
      </c>
      <c r="R151" s="1487">
        <v>91050.79</v>
      </c>
      <c r="S151" s="1487">
        <v>84604.4</v>
      </c>
      <c r="T151" s="1487">
        <v>70511.460000000006</v>
      </c>
      <c r="U151" s="1487">
        <v>38576.06</v>
      </c>
      <c r="V151" s="1487">
        <v>56200.28</v>
      </c>
      <c r="W151" s="1489"/>
    </row>
    <row r="152" spans="1:29">
      <c r="A152" s="1997" t="s">
        <v>1735</v>
      </c>
      <c r="B152" s="583">
        <v>701000</v>
      </c>
      <c r="C152" s="397" t="s">
        <v>1736</v>
      </c>
      <c r="D152" s="397"/>
      <c r="E152" s="397"/>
      <c r="F152" s="397"/>
      <c r="G152" s="397"/>
      <c r="H152" s="1487"/>
      <c r="I152" s="1487"/>
      <c r="J152" s="1487"/>
      <c r="K152" s="1487"/>
      <c r="L152" s="1487"/>
      <c r="M152" s="1487"/>
      <c r="N152" s="1487"/>
      <c r="O152" s="1487"/>
      <c r="P152" s="1487"/>
      <c r="Q152" s="1487">
        <v>18704.2</v>
      </c>
      <c r="R152" s="1487">
        <v>19729.419999999998</v>
      </c>
      <c r="S152" s="1487">
        <v>20287.63</v>
      </c>
      <c r="T152" s="1487"/>
      <c r="U152" s="1487">
        <v>3700.12</v>
      </c>
      <c r="V152" s="1487">
        <v>29868.44</v>
      </c>
      <c r="W152" s="1489"/>
    </row>
    <row r="153" spans="1:29">
      <c r="A153" s="1997" t="s">
        <v>1737</v>
      </c>
      <c r="B153" s="583"/>
      <c r="C153" s="397" t="s">
        <v>1206</v>
      </c>
      <c r="D153" s="397"/>
      <c r="E153" s="397"/>
      <c r="F153" s="397"/>
      <c r="G153" s="397"/>
      <c r="H153" s="1487">
        <v>17346.009999999998</v>
      </c>
      <c r="I153" s="1487">
        <v>17244.599999999999</v>
      </c>
      <c r="J153" s="1487">
        <v>15695.45</v>
      </c>
      <c r="K153" s="1487">
        <v>16573.57</v>
      </c>
      <c r="L153" s="1487">
        <v>19456.080000000002</v>
      </c>
      <c r="M153" s="1487">
        <v>29626.22</v>
      </c>
      <c r="N153" s="1487">
        <v>45951.199999999997</v>
      </c>
      <c r="O153" s="1487">
        <v>43343.26</v>
      </c>
      <c r="P153" s="1487">
        <v>32882.21</v>
      </c>
      <c r="Q153" s="1487">
        <v>22037.81</v>
      </c>
      <c r="R153" s="1487">
        <v>16549.830000000002</v>
      </c>
      <c r="S153" s="1487">
        <v>13553.25</v>
      </c>
      <c r="T153" s="1487"/>
      <c r="U153" s="1487"/>
      <c r="V153" s="1487"/>
      <c r="W153" s="1489"/>
    </row>
    <row r="154" spans="1:29">
      <c r="A154" s="1997" t="s">
        <v>1738</v>
      </c>
      <c r="B154" s="583">
        <v>700000</v>
      </c>
      <c r="C154" s="397" t="s">
        <v>1219</v>
      </c>
      <c r="D154" s="397"/>
      <c r="E154" s="397"/>
      <c r="F154" s="397"/>
      <c r="G154" s="397"/>
      <c r="H154" s="1487">
        <v>210</v>
      </c>
      <c r="I154" s="1487">
        <v>0</v>
      </c>
      <c r="J154" s="1487">
        <v>0</v>
      </c>
      <c r="K154" s="1487">
        <v>875.64</v>
      </c>
      <c r="L154" s="1487">
        <v>37.25</v>
      </c>
      <c r="M154" s="1487">
        <v>13.8</v>
      </c>
      <c r="N154" s="1487">
        <v>0</v>
      </c>
      <c r="O154" s="1487">
        <v>6392.75</v>
      </c>
      <c r="P154" s="1487">
        <v>794.55</v>
      </c>
      <c r="Q154" s="1487">
        <v>4900</v>
      </c>
      <c r="R154" s="1487">
        <v>494.3</v>
      </c>
      <c r="S154" s="1487">
        <v>271.14999999999998</v>
      </c>
      <c r="T154" s="1487">
        <v>492.7</v>
      </c>
      <c r="U154" s="1487">
        <v>2000</v>
      </c>
      <c r="V154" s="1487"/>
      <c r="W154" s="1489"/>
    </row>
    <row r="155" spans="1:29">
      <c r="A155" s="1997" t="s">
        <v>1739</v>
      </c>
      <c r="B155" s="583">
        <v>700160</v>
      </c>
      <c r="C155" s="397" t="s">
        <v>7532</v>
      </c>
      <c r="D155" s="397"/>
      <c r="E155" s="397"/>
      <c r="F155" s="397"/>
      <c r="G155" s="397"/>
      <c r="H155" s="1487"/>
      <c r="I155" s="1487"/>
      <c r="J155" s="1487"/>
      <c r="K155" s="1487"/>
      <c r="L155" s="1487"/>
      <c r="M155" s="1487"/>
      <c r="N155" s="1487"/>
      <c r="O155" s="1487"/>
      <c r="P155" s="1487">
        <v>4190.9399999999996</v>
      </c>
      <c r="Q155" s="1487">
        <v>62304.83</v>
      </c>
      <c r="R155" s="1487">
        <v>58785.45</v>
      </c>
      <c r="S155" s="1487">
        <v>33888.46</v>
      </c>
      <c r="T155" s="1487">
        <v>33294.36</v>
      </c>
      <c r="U155" s="1487">
        <v>12313.09</v>
      </c>
      <c r="V155" s="1487">
        <v>19815.349999999999</v>
      </c>
      <c r="W155" s="1489"/>
    </row>
    <row r="156" spans="1:29">
      <c r="A156" s="1997" t="s">
        <v>1740</v>
      </c>
      <c r="B156" s="583"/>
      <c r="C156" s="397" t="s">
        <v>1213</v>
      </c>
      <c r="D156" s="397"/>
      <c r="E156" s="397"/>
      <c r="F156" s="397"/>
      <c r="G156" s="397"/>
      <c r="H156" s="1487">
        <v>1501.29</v>
      </c>
      <c r="I156" s="1487">
        <v>1721.72</v>
      </c>
      <c r="J156" s="1487">
        <v>2120.5</v>
      </c>
      <c r="K156" s="1487">
        <v>4173.43</v>
      </c>
      <c r="L156" s="1487">
        <v>1716.8</v>
      </c>
      <c r="M156" s="1487">
        <v>1940.64</v>
      </c>
      <c r="N156" s="1487">
        <v>8668.8799999999992</v>
      </c>
      <c r="O156" s="1487">
        <v>8636.3799999999992</v>
      </c>
      <c r="P156" s="1487">
        <v>0</v>
      </c>
      <c r="Q156" s="1487">
        <v>0</v>
      </c>
      <c r="R156" s="1487">
        <v>0</v>
      </c>
      <c r="S156" s="1487">
        <v>24</v>
      </c>
      <c r="T156" s="1487"/>
      <c r="U156" s="1487"/>
      <c r="V156" s="1487"/>
      <c r="W156" s="1489"/>
    </row>
    <row r="157" spans="1:29">
      <c r="A157" s="1997" t="s">
        <v>1741</v>
      </c>
      <c r="B157" s="583">
        <v>747000</v>
      </c>
      <c r="C157" s="397" t="s">
        <v>1742</v>
      </c>
      <c r="D157" s="397"/>
      <c r="E157" s="397"/>
      <c r="F157" s="397"/>
      <c r="G157" s="397"/>
      <c r="H157" s="1487"/>
      <c r="I157" s="1487"/>
      <c r="J157" s="1487"/>
      <c r="K157" s="1487"/>
      <c r="L157" s="1487"/>
      <c r="M157" s="1487"/>
      <c r="N157" s="1487"/>
      <c r="O157" s="1487">
        <v>8112.5</v>
      </c>
      <c r="P157" s="1487">
        <v>8687.5</v>
      </c>
      <c r="Q157" s="1487">
        <v>7267.12</v>
      </c>
      <c r="R157" s="1487">
        <v>2540</v>
      </c>
      <c r="S157" s="1487">
        <v>4600</v>
      </c>
      <c r="T157" s="1487"/>
      <c r="U157" s="1487">
        <v>1901</v>
      </c>
      <c r="V157" s="1487">
        <v>10022.5</v>
      </c>
      <c r="W157" s="1489"/>
    </row>
    <row r="158" spans="1:29">
      <c r="A158" s="1997" t="s">
        <v>1743</v>
      </c>
      <c r="B158" s="583"/>
      <c r="C158" s="397" t="s">
        <v>1744</v>
      </c>
      <c r="D158" s="397"/>
      <c r="E158" s="397"/>
      <c r="F158" s="397"/>
      <c r="G158" s="397"/>
      <c r="H158" s="1487"/>
      <c r="I158" s="1487"/>
      <c r="J158" s="1487"/>
      <c r="K158" s="1487"/>
      <c r="L158" s="1487"/>
      <c r="M158" s="1487"/>
      <c r="N158" s="1487"/>
      <c r="O158" s="1487">
        <v>3022.7</v>
      </c>
      <c r="P158" s="1487">
        <v>1024.5999999999999</v>
      </c>
      <c r="Q158" s="1487">
        <v>1101</v>
      </c>
      <c r="R158" s="1487">
        <v>1560</v>
      </c>
      <c r="S158" s="1487">
        <v>2380</v>
      </c>
      <c r="T158" s="1487">
        <v>1970</v>
      </c>
      <c r="U158" s="1487"/>
      <c r="V158" s="1487"/>
      <c r="W158" s="1489"/>
    </row>
    <row r="159" spans="1:29">
      <c r="A159" s="1997" t="s">
        <v>1743</v>
      </c>
      <c r="B159" s="583"/>
      <c r="C159" s="1487" t="s">
        <v>1745</v>
      </c>
      <c r="D159" s="1487"/>
      <c r="E159" s="1487"/>
      <c r="F159" s="1487"/>
      <c r="G159" s="1487"/>
      <c r="H159" s="1487"/>
      <c r="I159" s="1487"/>
      <c r="J159" s="1487"/>
      <c r="K159" s="1487"/>
      <c r="L159" s="1487"/>
      <c r="M159" s="1487"/>
      <c r="N159" s="1487"/>
      <c r="O159" s="1487"/>
      <c r="P159" s="1487"/>
      <c r="Q159" s="1487"/>
      <c r="R159" s="1487"/>
      <c r="S159" s="1487">
        <v>715.63</v>
      </c>
      <c r="T159" s="1487"/>
      <c r="U159" s="1487"/>
      <c r="V159" s="1487"/>
      <c r="W159" s="1489"/>
    </row>
    <row r="160" spans="1:29">
      <c r="A160" s="1997" t="s">
        <v>1746</v>
      </c>
      <c r="B160" s="583">
        <v>745900</v>
      </c>
      <c r="C160" s="397" t="s">
        <v>1747</v>
      </c>
      <c r="D160" s="397"/>
      <c r="E160" s="397"/>
      <c r="F160" s="397"/>
      <c r="G160" s="397"/>
      <c r="H160" s="1487"/>
      <c r="I160" s="1487"/>
      <c r="J160" s="1487"/>
      <c r="K160" s="1487"/>
      <c r="L160" s="1487"/>
      <c r="M160" s="1487"/>
      <c r="N160" s="1487"/>
      <c r="O160" s="1487">
        <v>159.9</v>
      </c>
      <c r="P160" s="1487">
        <v>414.25</v>
      </c>
      <c r="Q160" s="1487">
        <v>374.28</v>
      </c>
      <c r="R160" s="1487">
        <v>350.9</v>
      </c>
      <c r="S160" s="1487">
        <v>486.31</v>
      </c>
      <c r="T160" s="1487">
        <v>322.66000000000003</v>
      </c>
      <c r="U160" s="1487">
        <v>60</v>
      </c>
      <c r="V160" s="1487">
        <v>226.92</v>
      </c>
      <c r="W160" s="1489"/>
    </row>
    <row r="161" spans="1:23">
      <c r="A161" s="1997" t="s">
        <v>1748</v>
      </c>
      <c r="B161" s="583">
        <v>745000</v>
      </c>
      <c r="C161" s="397" t="s">
        <v>1749</v>
      </c>
      <c r="D161" s="397"/>
      <c r="E161" s="397"/>
      <c r="F161" s="397"/>
      <c r="G161" s="397"/>
      <c r="H161" s="1487"/>
      <c r="I161" s="1487"/>
      <c r="J161" s="1487"/>
      <c r="K161" s="1487"/>
      <c r="L161" s="1487"/>
      <c r="M161" s="1487"/>
      <c r="N161" s="1487"/>
      <c r="O161" s="1487">
        <v>2256.1999999999998</v>
      </c>
      <c r="P161" s="1487">
        <v>2224.3000000000002</v>
      </c>
      <c r="Q161" s="1487">
        <v>2276.5</v>
      </c>
      <c r="R161" s="1487">
        <v>2383.8000000000002</v>
      </c>
      <c r="S161" s="1487">
        <v>2437.4499999999998</v>
      </c>
      <c r="T161" s="1487">
        <v>2676.7</v>
      </c>
      <c r="U161" s="1487">
        <v>2177.9</v>
      </c>
      <c r="V161" s="1487">
        <v>2463.5500000000002</v>
      </c>
      <c r="W161" s="1489"/>
    </row>
    <row r="162" spans="1:23">
      <c r="A162" s="1997" t="s">
        <v>1750</v>
      </c>
      <c r="B162" s="583">
        <v>740900</v>
      </c>
      <c r="C162" s="397" t="s">
        <v>1751</v>
      </c>
      <c r="D162" s="397"/>
      <c r="E162" s="397"/>
      <c r="F162" s="397"/>
      <c r="G162" s="397"/>
      <c r="H162" s="1487"/>
      <c r="I162" s="1487"/>
      <c r="J162" s="1487"/>
      <c r="K162" s="1487"/>
      <c r="L162" s="1487"/>
      <c r="M162" s="1487"/>
      <c r="N162" s="1487"/>
      <c r="O162" s="1487"/>
      <c r="P162" s="1487">
        <v>5850</v>
      </c>
      <c r="Q162" s="1487">
        <v>5000</v>
      </c>
      <c r="R162" s="1487">
        <v>22307.11</v>
      </c>
      <c r="S162" s="1487"/>
      <c r="T162" s="1487"/>
      <c r="U162" s="1487">
        <v>12110</v>
      </c>
      <c r="V162" s="1487">
        <v>2880</v>
      </c>
      <c r="W162" s="1489"/>
    </row>
    <row r="163" spans="1:23">
      <c r="A163" s="1997" t="s">
        <v>1752</v>
      </c>
      <c r="B163" s="583"/>
      <c r="C163" s="397" t="s">
        <v>1398</v>
      </c>
      <c r="D163" s="397"/>
      <c r="E163" s="397"/>
      <c r="F163" s="397"/>
      <c r="G163" s="397"/>
      <c r="H163" s="1487"/>
      <c r="I163" s="1487"/>
      <c r="J163" s="1487"/>
      <c r="K163" s="1487"/>
      <c r="L163" s="1487"/>
      <c r="M163" s="1487"/>
      <c r="N163" s="1487"/>
      <c r="O163" s="1487"/>
      <c r="P163" s="1487"/>
      <c r="Q163" s="1487">
        <v>1180.51</v>
      </c>
      <c r="R163" s="1487"/>
      <c r="S163" s="1487"/>
      <c r="T163" s="1487"/>
      <c r="U163" s="1487"/>
      <c r="V163" s="1487"/>
      <c r="W163" s="1489"/>
    </row>
    <row r="164" spans="1:23">
      <c r="A164" s="1997" t="s">
        <v>1753</v>
      </c>
      <c r="B164" s="583"/>
      <c r="C164" s="397" t="s">
        <v>1204</v>
      </c>
      <c r="D164" s="397"/>
      <c r="E164" s="397"/>
      <c r="F164" s="397"/>
      <c r="G164" s="397"/>
      <c r="H164" s="1487">
        <v>0</v>
      </c>
      <c r="I164" s="1487">
        <v>0</v>
      </c>
      <c r="J164" s="1487">
        <v>0</v>
      </c>
      <c r="K164" s="1487">
        <v>66.5</v>
      </c>
      <c r="L164" s="1487">
        <v>0</v>
      </c>
      <c r="M164" s="1487">
        <v>20</v>
      </c>
      <c r="N164" s="1487">
        <v>85</v>
      </c>
      <c r="O164" s="1487"/>
      <c r="P164" s="1487"/>
      <c r="Q164" s="1487"/>
      <c r="R164" s="1487"/>
      <c r="S164" s="1487"/>
      <c r="T164" s="1487"/>
      <c r="U164" s="1487"/>
      <c r="V164" s="1487"/>
      <c r="W164" s="1489"/>
    </row>
    <row r="165" spans="1:23">
      <c r="A165" s="1997" t="s">
        <v>1754</v>
      </c>
      <c r="B165" s="583"/>
      <c r="C165" s="397" t="s">
        <v>1204</v>
      </c>
      <c r="D165" s="397"/>
      <c r="E165" s="397"/>
      <c r="F165" s="397"/>
      <c r="G165" s="397"/>
      <c r="H165" s="1487">
        <v>759</v>
      </c>
      <c r="I165" s="1487">
        <v>0</v>
      </c>
      <c r="J165" s="1487">
        <v>0</v>
      </c>
      <c r="K165" s="1487">
        <v>0</v>
      </c>
      <c r="L165" s="1487">
        <v>0</v>
      </c>
      <c r="M165" s="1487">
        <v>0</v>
      </c>
      <c r="N165" s="1487">
        <v>0</v>
      </c>
      <c r="O165" s="1487"/>
      <c r="P165" s="1487"/>
      <c r="Q165" s="1487"/>
      <c r="R165" s="1487"/>
      <c r="S165" s="1487"/>
      <c r="T165" s="1487"/>
      <c r="U165" s="1487"/>
      <c r="V165" s="1487"/>
      <c r="W165" s="1489"/>
    </row>
    <row r="166" spans="1:23">
      <c r="A166" s="1997" t="s">
        <v>1755</v>
      </c>
      <c r="B166" s="583"/>
      <c r="C166" s="397" t="s">
        <v>1206</v>
      </c>
      <c r="D166" s="397"/>
      <c r="E166" s="397"/>
      <c r="F166" s="397"/>
      <c r="G166" s="397"/>
      <c r="H166" s="1487">
        <v>0</v>
      </c>
      <c r="I166" s="1487">
        <v>0</v>
      </c>
      <c r="J166" s="1487">
        <v>0</v>
      </c>
      <c r="K166" s="1487">
        <v>0</v>
      </c>
      <c r="L166" s="1487">
        <v>2668</v>
      </c>
      <c r="M166" s="1487">
        <v>1755.6</v>
      </c>
      <c r="N166" s="1487">
        <v>0</v>
      </c>
      <c r="O166" s="397"/>
      <c r="P166" s="397"/>
      <c r="Q166" s="397"/>
      <c r="R166" s="1487"/>
      <c r="S166" s="1487"/>
      <c r="T166" s="1487"/>
      <c r="U166" s="1487"/>
      <c r="V166" s="1487"/>
      <c r="W166" s="1489"/>
    </row>
    <row r="167" spans="1:23">
      <c r="A167" s="1997" t="s">
        <v>1756</v>
      </c>
      <c r="B167" s="583"/>
      <c r="C167" s="397" t="s">
        <v>1213</v>
      </c>
      <c r="D167" s="397"/>
      <c r="E167" s="397"/>
      <c r="F167" s="397"/>
      <c r="G167" s="397"/>
      <c r="H167" s="1487">
        <v>0</v>
      </c>
      <c r="I167" s="1487">
        <v>0</v>
      </c>
      <c r="J167" s="1487">
        <v>0</v>
      </c>
      <c r="K167" s="1487">
        <v>237.3</v>
      </c>
      <c r="L167" s="1487">
        <v>275</v>
      </c>
      <c r="M167" s="1487">
        <v>184.5</v>
      </c>
      <c r="N167" s="1487">
        <v>378</v>
      </c>
      <c r="O167" s="397"/>
      <c r="P167" s="397"/>
      <c r="Q167" s="397"/>
      <c r="R167" s="1487"/>
      <c r="S167" s="1487"/>
      <c r="T167" s="1487"/>
      <c r="U167" s="1487"/>
      <c r="V167" s="1487"/>
      <c r="W167" s="1489"/>
    </row>
    <row r="168" spans="1:23">
      <c r="A168" s="2046"/>
      <c r="B168" s="2064"/>
      <c r="C168" s="2047" t="s">
        <v>1221</v>
      </c>
      <c r="D168" s="2047"/>
      <c r="E168" s="2047"/>
      <c r="F168" s="2047"/>
      <c r="G168" s="2047"/>
      <c r="H168" s="2005">
        <f t="shared" ref="H168:V168" si="24">SUM(H151:H167)</f>
        <v>21252.61</v>
      </c>
      <c r="I168" s="2005">
        <f t="shared" si="24"/>
        <v>19821.22</v>
      </c>
      <c r="J168" s="2005">
        <f t="shared" si="24"/>
        <v>18826</v>
      </c>
      <c r="K168" s="2005">
        <f t="shared" si="24"/>
        <v>22191.859999999997</v>
      </c>
      <c r="L168" s="2005">
        <f t="shared" si="24"/>
        <v>44708.930000000008</v>
      </c>
      <c r="M168" s="2005">
        <f t="shared" si="24"/>
        <v>52499.76</v>
      </c>
      <c r="N168" s="2005">
        <f t="shared" si="24"/>
        <v>63467.469999999994</v>
      </c>
      <c r="O168" s="2005">
        <f t="shared" si="24"/>
        <v>160338.72000000003</v>
      </c>
      <c r="P168" s="2005">
        <f t="shared" si="24"/>
        <v>139178.59000000003</v>
      </c>
      <c r="Q168" s="2005">
        <f t="shared" si="24"/>
        <v>203215.72</v>
      </c>
      <c r="R168" s="2005">
        <f t="shared" si="24"/>
        <v>215751.59999999998</v>
      </c>
      <c r="S168" s="2005">
        <f t="shared" si="24"/>
        <v>163248.28</v>
      </c>
      <c r="T168" s="2005">
        <f t="shared" si="24"/>
        <v>109267.88</v>
      </c>
      <c r="U168" s="2005">
        <f t="shared" si="24"/>
        <v>72838.170000000013</v>
      </c>
      <c r="V168" s="2005">
        <f t="shared" si="24"/>
        <v>121477.04000000001</v>
      </c>
      <c r="W168" s="2007"/>
    </row>
    <row r="169" spans="1:23">
      <c r="A169" s="2048" t="s">
        <v>1163</v>
      </c>
      <c r="B169" s="1999"/>
      <c r="C169" s="397"/>
      <c r="D169" s="397"/>
      <c r="E169" s="397"/>
      <c r="F169" s="397"/>
      <c r="G169" s="397"/>
      <c r="H169" s="1487"/>
      <c r="I169" s="1487"/>
      <c r="J169" s="1487"/>
      <c r="K169" s="1487"/>
      <c r="L169" s="1487"/>
      <c r="M169" s="1487"/>
      <c r="N169" s="1487"/>
      <c r="O169" s="397"/>
      <c r="P169" s="397"/>
      <c r="Q169" s="397"/>
      <c r="R169" s="1487"/>
      <c r="S169" s="1487"/>
      <c r="T169" s="1487"/>
      <c r="U169" s="1487"/>
      <c r="V169" s="1487"/>
      <c r="W169" s="1489"/>
    </row>
    <row r="170" spans="1:23">
      <c r="A170" s="1997" t="s">
        <v>1757</v>
      </c>
      <c r="B170" s="583">
        <v>740800</v>
      </c>
      <c r="C170" s="397" t="s">
        <v>1225</v>
      </c>
      <c r="D170" s="397"/>
      <c r="E170" s="397"/>
      <c r="F170" s="397"/>
      <c r="G170" s="397"/>
      <c r="H170" s="1487">
        <v>5087.1899999999996</v>
      </c>
      <c r="I170" s="1487">
        <v>5645.02</v>
      </c>
      <c r="J170" s="1487">
        <v>23593.599999999999</v>
      </c>
      <c r="K170" s="1487">
        <v>16001.98</v>
      </c>
      <c r="L170" s="1487">
        <v>15299.58</v>
      </c>
      <c r="M170" s="1487">
        <v>33482.879999999997</v>
      </c>
      <c r="N170" s="1487">
        <v>36992.22</v>
      </c>
      <c r="O170" s="1487">
        <v>46830.01</v>
      </c>
      <c r="P170" s="1487">
        <v>53047.7</v>
      </c>
      <c r="Q170" s="1487">
        <v>112990.13</v>
      </c>
      <c r="R170" s="1487">
        <f>60688.73+54535</f>
        <v>115223.73000000001</v>
      </c>
      <c r="S170" s="1487">
        <v>62061.74</v>
      </c>
      <c r="T170" s="1487">
        <v>-56149.32</v>
      </c>
      <c r="U170" s="1487">
        <v>60423.05</v>
      </c>
      <c r="V170" s="1487">
        <v>59648.32</v>
      </c>
      <c r="W170" s="1489"/>
    </row>
    <row r="171" spans="1:23">
      <c r="A171" s="1997" t="s">
        <v>1758</v>
      </c>
      <c r="B171" s="583"/>
      <c r="C171" s="397" t="s">
        <v>1407</v>
      </c>
      <c r="D171" s="397"/>
      <c r="E171" s="397"/>
      <c r="F171" s="397"/>
      <c r="G171" s="397"/>
      <c r="H171" s="1487">
        <v>36812</v>
      </c>
      <c r="I171" s="1487">
        <v>42266</v>
      </c>
      <c r="J171" s="1487">
        <v>42266</v>
      </c>
      <c r="K171" s="1487">
        <v>42266</v>
      </c>
      <c r="L171" s="1487">
        <v>49083</v>
      </c>
      <c r="M171" s="1487">
        <v>53173</v>
      </c>
      <c r="N171" s="1487">
        <v>53173</v>
      </c>
      <c r="O171" s="1487">
        <f>5*10907</f>
        <v>54535</v>
      </c>
      <c r="P171" s="1487">
        <v>54535</v>
      </c>
      <c r="Q171" s="1487"/>
      <c r="R171" s="1487"/>
      <c r="S171" s="1487"/>
      <c r="T171" s="1487"/>
      <c r="U171" s="1487"/>
      <c r="V171" s="1487"/>
      <c r="W171" s="1489"/>
    </row>
    <row r="172" spans="1:23">
      <c r="A172" s="2046"/>
      <c r="B172" s="2064"/>
      <c r="C172" s="2047" t="s">
        <v>1181</v>
      </c>
      <c r="D172" s="2047"/>
      <c r="E172" s="2047"/>
      <c r="F172" s="2047"/>
      <c r="G172" s="2047"/>
      <c r="H172" s="2005">
        <f t="shared" ref="H172:V172" si="25">SUM(H170:H171)</f>
        <v>41899.19</v>
      </c>
      <c r="I172" s="2005">
        <f t="shared" si="25"/>
        <v>47911.020000000004</v>
      </c>
      <c r="J172" s="2005">
        <f t="shared" si="25"/>
        <v>65859.600000000006</v>
      </c>
      <c r="K172" s="2005">
        <f t="shared" si="25"/>
        <v>58267.979999999996</v>
      </c>
      <c r="L172" s="2005">
        <f t="shared" si="25"/>
        <v>64382.58</v>
      </c>
      <c r="M172" s="2005">
        <f t="shared" si="25"/>
        <v>86655.88</v>
      </c>
      <c r="N172" s="2005">
        <f t="shared" si="25"/>
        <v>90165.22</v>
      </c>
      <c r="O172" s="2005">
        <f t="shared" si="25"/>
        <v>101365.01000000001</v>
      </c>
      <c r="P172" s="2005">
        <f t="shared" si="25"/>
        <v>107582.7</v>
      </c>
      <c r="Q172" s="2005">
        <f t="shared" si="25"/>
        <v>112990.13</v>
      </c>
      <c r="R172" s="2005">
        <f t="shared" si="25"/>
        <v>115223.73000000001</v>
      </c>
      <c r="S172" s="2005">
        <f t="shared" si="25"/>
        <v>62061.74</v>
      </c>
      <c r="T172" s="2005">
        <f t="shared" si="25"/>
        <v>-56149.32</v>
      </c>
      <c r="U172" s="2005">
        <f t="shared" si="25"/>
        <v>60423.05</v>
      </c>
      <c r="V172" s="2005">
        <f t="shared" si="25"/>
        <v>59648.32</v>
      </c>
      <c r="W172" s="2007"/>
    </row>
    <row r="173" spans="1:23">
      <c r="A173" s="1993" t="s">
        <v>47</v>
      </c>
      <c r="B173" s="1994"/>
      <c r="C173" s="1995"/>
      <c r="D173" s="1995"/>
      <c r="E173" s="1995"/>
      <c r="F173" s="1995"/>
      <c r="G173" s="1995"/>
      <c r="H173" s="2016"/>
      <c r="I173" s="2016"/>
      <c r="J173" s="2016"/>
      <c r="K173" s="2016"/>
      <c r="L173" s="2016"/>
      <c r="M173" s="2016"/>
      <c r="N173" s="2016"/>
      <c r="O173" s="2016"/>
      <c r="P173" s="2016"/>
      <c r="Q173" s="2016"/>
      <c r="R173" s="2016"/>
      <c r="S173" s="2016"/>
      <c r="T173" s="2016"/>
      <c r="U173" s="2016"/>
      <c r="V173" s="2016"/>
      <c r="W173" s="2017"/>
    </row>
    <row r="174" spans="1:23">
      <c r="A174" s="1997"/>
      <c r="B174" s="583"/>
      <c r="C174" s="397"/>
      <c r="D174" s="397"/>
      <c r="E174" s="397"/>
      <c r="F174" s="397"/>
      <c r="G174" s="397"/>
      <c r="H174" s="1487"/>
      <c r="I174" s="1487"/>
      <c r="J174" s="1487"/>
      <c r="K174" s="1487"/>
      <c r="L174" s="1487"/>
      <c r="M174" s="1487"/>
      <c r="N174" s="1487"/>
      <c r="O174" s="1487"/>
      <c r="P174" s="1487"/>
      <c r="Q174" s="1487"/>
      <c r="R174" s="1487"/>
      <c r="S174" s="1487"/>
      <c r="T174" s="1487"/>
      <c r="U174" s="1487"/>
      <c r="V174" s="1487"/>
      <c r="W174" s="1489"/>
    </row>
    <row r="175" spans="1:23">
      <c r="A175" s="2046"/>
      <c r="B175" s="2064"/>
      <c r="C175" s="2047" t="s">
        <v>1185</v>
      </c>
      <c r="D175" s="2047"/>
      <c r="E175" s="2047"/>
      <c r="F175" s="2047"/>
      <c r="G175" s="2047"/>
      <c r="H175" s="2005">
        <f t="shared" ref="H175:M175" si="26">SUM(H174)</f>
        <v>0</v>
      </c>
      <c r="I175" s="2005">
        <f t="shared" si="26"/>
        <v>0</v>
      </c>
      <c r="J175" s="2005">
        <f t="shared" si="26"/>
        <v>0</v>
      </c>
      <c r="K175" s="2005">
        <f t="shared" si="26"/>
        <v>0</v>
      </c>
      <c r="L175" s="2005">
        <f t="shared" si="26"/>
        <v>0</v>
      </c>
      <c r="M175" s="2005">
        <f t="shared" si="26"/>
        <v>0</v>
      </c>
      <c r="N175" s="2005">
        <f t="shared" ref="N175:S175" si="27">SUM(N174)</f>
        <v>0</v>
      </c>
      <c r="O175" s="2005">
        <f t="shared" si="27"/>
        <v>0</v>
      </c>
      <c r="P175" s="2005">
        <f t="shared" si="27"/>
        <v>0</v>
      </c>
      <c r="Q175" s="2005">
        <f t="shared" si="27"/>
        <v>0</v>
      </c>
      <c r="R175" s="2005">
        <f t="shared" si="27"/>
        <v>0</v>
      </c>
      <c r="S175" s="2005">
        <f t="shared" si="27"/>
        <v>0</v>
      </c>
      <c r="T175" s="2005">
        <f>SUM(T174)</f>
        <v>0</v>
      </c>
      <c r="U175" s="2005">
        <f>SUM(U174)</f>
        <v>0</v>
      </c>
      <c r="V175" s="2005">
        <f>SUM(V174)</f>
        <v>0</v>
      </c>
      <c r="W175" s="2007"/>
    </row>
    <row r="176" spans="1:23">
      <c r="A176" s="2021"/>
      <c r="B176" s="2069"/>
      <c r="C176" s="2022" t="s">
        <v>1234</v>
      </c>
      <c r="D176" s="2022"/>
      <c r="E176" s="2022"/>
      <c r="F176" s="2022"/>
      <c r="G176" s="2022"/>
      <c r="H176" s="2009">
        <f t="shared" ref="H176:S176" si="28">H168+H172+H175</f>
        <v>63151.8</v>
      </c>
      <c r="I176" s="2009">
        <f t="shared" si="28"/>
        <v>67732.240000000005</v>
      </c>
      <c r="J176" s="2009">
        <f t="shared" si="28"/>
        <v>84685.6</v>
      </c>
      <c r="K176" s="2009">
        <f t="shared" si="28"/>
        <v>80459.839999999997</v>
      </c>
      <c r="L176" s="2009">
        <f t="shared" si="28"/>
        <v>109091.51000000001</v>
      </c>
      <c r="M176" s="2009">
        <f t="shared" si="28"/>
        <v>139155.64000000001</v>
      </c>
      <c r="N176" s="2009">
        <f t="shared" si="28"/>
        <v>153632.69</v>
      </c>
      <c r="O176" s="2009">
        <f t="shared" si="28"/>
        <v>261703.73000000004</v>
      </c>
      <c r="P176" s="2009">
        <f t="shared" si="28"/>
        <v>246761.29000000004</v>
      </c>
      <c r="Q176" s="2009">
        <f t="shared" si="28"/>
        <v>316205.84999999998</v>
      </c>
      <c r="R176" s="2009">
        <f t="shared" si="28"/>
        <v>330975.32999999996</v>
      </c>
      <c r="S176" s="2009">
        <f t="shared" si="28"/>
        <v>225310.02</v>
      </c>
      <c r="T176" s="2009">
        <f>T168+T172+T175</f>
        <v>53118.560000000005</v>
      </c>
      <c r="U176" s="2009">
        <f>U168+U172+U175</f>
        <v>133261.22000000003</v>
      </c>
      <c r="V176" s="2009">
        <f>V168+V172+V175</f>
        <v>181125.36000000002</v>
      </c>
      <c r="W176" s="2011"/>
    </row>
    <row r="177" spans="1:17">
      <c r="A177" s="1633"/>
      <c r="B177" s="1633"/>
      <c r="C177" s="395"/>
      <c r="D177" s="395"/>
      <c r="E177" s="395"/>
      <c r="F177" s="395"/>
      <c r="G177" s="395"/>
      <c r="O177" s="395"/>
      <c r="P177" s="395"/>
      <c r="Q177" s="395"/>
    </row>
    <row r="178" spans="1:17">
      <c r="A178" s="1633"/>
      <c r="B178" s="1633"/>
      <c r="C178" s="395"/>
      <c r="D178" s="395"/>
      <c r="E178" s="395"/>
      <c r="F178" s="395"/>
      <c r="G178" s="395"/>
      <c r="O178" s="395"/>
      <c r="P178" s="395"/>
      <c r="Q178" s="395"/>
    </row>
    <row r="179" spans="1:17">
      <c r="A179" s="1633"/>
      <c r="B179" s="1633"/>
      <c r="C179" s="395"/>
      <c r="D179" s="395"/>
      <c r="E179" s="395"/>
      <c r="F179" s="395"/>
      <c r="G179" s="395"/>
      <c r="O179" s="395"/>
      <c r="P179" s="395"/>
      <c r="Q179" s="395"/>
    </row>
  </sheetData>
  <mergeCells count="1">
    <mergeCell ref="A1:M1"/>
  </mergeCells>
  <hyperlinks>
    <hyperlink ref="A1" location="GLOBAAL!A1" display="Toerisme" xr:uid="{00000000-0004-0000-3F00-000000000000}"/>
    <hyperlink ref="A1:M1" location="FINANCIËN!A1" display="Toerisme" xr:uid="{00000000-0004-0000-3F00-000001000000}"/>
  </hyperlinks>
  <pageMargins left="0.7" right="0.7" top="0.75" bottom="0.75" header="0.3" footer="0.3"/>
  <pageSetup paperSize="9" orientation="landscape"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EBD531"/>
  </sheetPr>
  <dimension ref="A1:S66"/>
  <sheetViews>
    <sheetView zoomScaleNormal="100" workbookViewId="0">
      <selection sqref="A1:K1"/>
    </sheetView>
  </sheetViews>
  <sheetFormatPr defaultColWidth="9.140625" defaultRowHeight="12.75"/>
  <cols>
    <col min="1" max="1" width="48" style="395" customWidth="1"/>
    <col min="2" max="2" width="11.7109375" style="1549" bestFit="1" customWidth="1"/>
    <col min="3" max="3" width="12.28515625" style="1549" bestFit="1" customWidth="1"/>
    <col min="4" max="4" width="22.7109375" style="3909" bestFit="1" customWidth="1"/>
    <col min="5" max="5" width="8" style="1478" bestFit="1" customWidth="1"/>
    <col min="6" max="6" width="10.140625" style="1549" customWidth="1"/>
    <col min="7" max="7" width="10.42578125" style="1549" customWidth="1"/>
    <col min="8" max="8" width="10" style="1549" customWidth="1"/>
    <col min="9" max="9" width="11.28515625" style="1549" customWidth="1"/>
    <col min="10" max="10" width="10.85546875" style="1549" customWidth="1"/>
    <col min="11" max="11" width="10" style="1549" customWidth="1"/>
    <col min="12" max="12" width="10.5703125" style="1550" customWidth="1"/>
    <col min="13" max="13" width="11.28515625" style="1549" customWidth="1"/>
    <col min="14" max="14" width="9.42578125" style="1551" customWidth="1"/>
    <col min="15" max="15" width="11.85546875" style="395" customWidth="1"/>
    <col min="16" max="16" width="11.7109375" style="395" bestFit="1" customWidth="1"/>
    <col min="17" max="17" width="11.140625" style="395" customWidth="1"/>
    <col min="18" max="18" width="84.7109375" style="395" bestFit="1" customWidth="1"/>
    <col min="19" max="19" width="13.140625" style="395" bestFit="1" customWidth="1"/>
    <col min="20" max="16384" width="9.140625" style="395"/>
  </cols>
  <sheetData>
    <row r="1" spans="1:19" ht="21">
      <c r="A1" s="4757" t="s">
        <v>39</v>
      </c>
      <c r="B1" s="4758"/>
      <c r="C1" s="4758"/>
      <c r="D1" s="4758"/>
      <c r="E1" s="4758"/>
      <c r="F1" s="4758"/>
      <c r="G1" s="4758"/>
      <c r="H1" s="4758"/>
      <c r="I1" s="4758"/>
      <c r="J1" s="4758"/>
      <c r="K1" s="4758"/>
    </row>
    <row r="2" spans="1:19" s="1148" customFormat="1" ht="21">
      <c r="A2" s="1537"/>
      <c r="B2" s="1537"/>
      <c r="C2" s="1537"/>
      <c r="D2" s="1537"/>
      <c r="E2" s="1537"/>
      <c r="F2" s="1537"/>
      <c r="G2" s="1537"/>
      <c r="H2" s="1537"/>
      <c r="I2" s="1537"/>
      <c r="J2" s="1537"/>
      <c r="K2" s="1537"/>
      <c r="L2" s="3938"/>
      <c r="M2" s="1811"/>
      <c r="N2" s="3939"/>
    </row>
    <row r="3" spans="1:19" ht="19.5" thickBot="1">
      <c r="A3" s="3937" t="s">
        <v>2588</v>
      </c>
      <c r="B3" s="3936" t="s">
        <v>7634</v>
      </c>
      <c r="C3" s="3935" t="s">
        <v>7633</v>
      </c>
      <c r="D3" s="3934" t="s">
        <v>7632</v>
      </c>
      <c r="E3" s="3932" t="s">
        <v>7631</v>
      </c>
      <c r="F3" s="3932" t="s">
        <v>7630</v>
      </c>
      <c r="G3" s="3932" t="s">
        <v>7629</v>
      </c>
      <c r="H3" s="3932" t="s">
        <v>7628</v>
      </c>
      <c r="I3" s="3932" t="s">
        <v>2592</v>
      </c>
      <c r="J3" s="3932" t="s">
        <v>2593</v>
      </c>
      <c r="K3" s="3932" t="s">
        <v>2594</v>
      </c>
      <c r="L3" s="3932" t="s">
        <v>2595</v>
      </c>
      <c r="M3" s="3932" t="s">
        <v>2656</v>
      </c>
      <c r="N3" s="3932" t="s">
        <v>7627</v>
      </c>
      <c r="O3" s="3932" t="s">
        <v>7626</v>
      </c>
      <c r="P3" s="3932" t="s">
        <v>660</v>
      </c>
      <c r="Q3" s="3933" t="s">
        <v>7625</v>
      </c>
      <c r="R3" s="3932" t="s">
        <v>217</v>
      </c>
      <c r="S3" s="3931"/>
    </row>
    <row r="4" spans="1:19" ht="15" hidden="1">
      <c r="A4" s="3920" t="s">
        <v>7624</v>
      </c>
      <c r="B4" s="3919">
        <v>20000</v>
      </c>
      <c r="C4" s="3919"/>
      <c r="D4" s="3928"/>
      <c r="E4" s="3917">
        <v>20000</v>
      </c>
      <c r="F4" s="3917"/>
      <c r="G4" s="3917"/>
      <c r="H4" s="3914">
        <f t="shared" ref="H4:H42" si="0">B4-SUM(E4:G4)</f>
        <v>0</v>
      </c>
      <c r="I4" s="3916">
        <v>20000</v>
      </c>
      <c r="J4" s="3916"/>
      <c r="K4" s="3915"/>
      <c r="L4" s="3915"/>
      <c r="M4" s="3915"/>
      <c r="N4" s="3915"/>
      <c r="O4" s="3914">
        <f t="shared" ref="O4:O33" si="1">SUM(I4:N4)</f>
        <v>20000</v>
      </c>
      <c r="P4" s="3913">
        <f t="shared" ref="P4:P33" si="2">B4-O4</f>
        <v>0</v>
      </c>
      <c r="Q4" s="3912"/>
      <c r="R4" s="3926" t="s">
        <v>7623</v>
      </c>
      <c r="S4"/>
    </row>
    <row r="5" spans="1:19" ht="15" hidden="1">
      <c r="A5" s="3920" t="s">
        <v>7622</v>
      </c>
      <c r="B5" s="3919">
        <v>11790</v>
      </c>
      <c r="C5" s="3919"/>
      <c r="D5" s="3928"/>
      <c r="E5" s="3917">
        <v>5895</v>
      </c>
      <c r="F5" s="3917">
        <v>5895</v>
      </c>
      <c r="G5" s="3917"/>
      <c r="H5" s="3914">
        <f t="shared" si="0"/>
        <v>0</v>
      </c>
      <c r="I5" s="3916">
        <v>5895</v>
      </c>
      <c r="J5" s="3916">
        <v>5895</v>
      </c>
      <c r="K5" s="3915"/>
      <c r="L5" s="3915"/>
      <c r="M5" s="3915"/>
      <c r="N5" s="3915"/>
      <c r="O5" s="3914">
        <f t="shared" si="1"/>
        <v>11790</v>
      </c>
      <c r="P5" s="3913">
        <f t="shared" si="2"/>
        <v>0</v>
      </c>
      <c r="Q5" s="3912"/>
      <c r="R5" s="3926"/>
      <c r="S5"/>
    </row>
    <row r="6" spans="1:19" ht="15" hidden="1">
      <c r="A6" s="3920" t="s">
        <v>7621</v>
      </c>
      <c r="B6" s="3919">
        <v>11500.02</v>
      </c>
      <c r="C6" s="3919"/>
      <c r="D6" s="3928"/>
      <c r="E6" s="3917">
        <v>5750.01</v>
      </c>
      <c r="F6" s="3917">
        <v>5750.01</v>
      </c>
      <c r="G6" s="3917"/>
      <c r="H6" s="3914">
        <f t="shared" si="0"/>
        <v>0</v>
      </c>
      <c r="I6" s="3916">
        <v>5750.01</v>
      </c>
      <c r="J6" s="3916">
        <v>5750.01</v>
      </c>
      <c r="K6" s="3915"/>
      <c r="L6" s="3915"/>
      <c r="M6" s="3915"/>
      <c r="N6" s="3915"/>
      <c r="O6" s="3914">
        <f t="shared" si="1"/>
        <v>11500.02</v>
      </c>
      <c r="P6" s="3913">
        <f t="shared" si="2"/>
        <v>0</v>
      </c>
      <c r="Q6" s="3912"/>
      <c r="R6" s="3926"/>
      <c r="S6"/>
    </row>
    <row r="7" spans="1:19" ht="15" hidden="1">
      <c r="A7" s="3920" t="s">
        <v>7620</v>
      </c>
      <c r="B7" s="3930">
        <v>13690.5</v>
      </c>
      <c r="C7" s="3930"/>
      <c r="D7" s="3929"/>
      <c r="E7" s="3917">
        <v>13690.5</v>
      </c>
      <c r="F7" s="3917"/>
      <c r="G7" s="3917"/>
      <c r="H7" s="3914">
        <f t="shared" si="0"/>
        <v>0</v>
      </c>
      <c r="I7" s="3916">
        <v>13690.5</v>
      </c>
      <c r="J7" s="3916"/>
      <c r="K7" s="3915"/>
      <c r="L7" s="3915"/>
      <c r="M7" s="3915"/>
      <c r="N7" s="3915"/>
      <c r="O7" s="3914">
        <f t="shared" si="1"/>
        <v>13690.5</v>
      </c>
      <c r="P7" s="3913">
        <f t="shared" si="2"/>
        <v>0</v>
      </c>
      <c r="Q7" s="3912"/>
      <c r="R7" s="3926"/>
      <c r="S7"/>
    </row>
    <row r="8" spans="1:19" ht="15" hidden="1">
      <c r="A8" s="3920" t="s">
        <v>2606</v>
      </c>
      <c r="B8" s="3919">
        <v>1089145.01</v>
      </c>
      <c r="C8" s="3919"/>
      <c r="D8" s="3928"/>
      <c r="E8" s="3917">
        <v>784000</v>
      </c>
      <c r="F8" s="3917">
        <v>305145.01</v>
      </c>
      <c r="G8" s="3917"/>
      <c r="H8" s="3914">
        <f t="shared" si="0"/>
        <v>0</v>
      </c>
      <c r="I8" s="3916">
        <v>784000</v>
      </c>
      <c r="J8" s="3916">
        <v>305145.01</v>
      </c>
      <c r="K8" s="3915"/>
      <c r="L8" s="3915"/>
      <c r="M8" s="3915"/>
      <c r="N8" s="3915"/>
      <c r="O8" s="3914">
        <f t="shared" si="1"/>
        <v>1089145.01</v>
      </c>
      <c r="P8" s="3913">
        <f t="shared" si="2"/>
        <v>0</v>
      </c>
      <c r="Q8" s="3912"/>
      <c r="R8" s="3926" t="s">
        <v>7619</v>
      </c>
      <c r="S8"/>
    </row>
    <row r="9" spans="1:19" ht="15" hidden="1">
      <c r="A9" s="3920" t="s">
        <v>7618</v>
      </c>
      <c r="B9" s="3919">
        <v>19500</v>
      </c>
      <c r="C9" s="3919"/>
      <c r="D9" s="3928"/>
      <c r="E9" s="3917">
        <v>19500</v>
      </c>
      <c r="F9" s="3917"/>
      <c r="G9" s="3917"/>
      <c r="H9" s="3914">
        <f t="shared" si="0"/>
        <v>0</v>
      </c>
      <c r="I9" s="3916">
        <v>19500</v>
      </c>
      <c r="J9" s="3916"/>
      <c r="K9" s="3916"/>
      <c r="L9" s="3916"/>
      <c r="M9" s="3916"/>
      <c r="N9" s="3916"/>
      <c r="O9" s="3914">
        <f t="shared" si="1"/>
        <v>19500</v>
      </c>
      <c r="P9" s="3913">
        <f t="shared" si="2"/>
        <v>0</v>
      </c>
      <c r="Q9" s="3912"/>
      <c r="R9" s="3922"/>
      <c r="S9"/>
    </row>
    <row r="10" spans="1:19" ht="15" hidden="1">
      <c r="A10" s="3920" t="s">
        <v>7617</v>
      </c>
      <c r="B10" s="3919">
        <v>7833.92</v>
      </c>
      <c r="C10" s="3919"/>
      <c r="D10" s="3928"/>
      <c r="E10" s="3917">
        <v>7833.92</v>
      </c>
      <c r="F10" s="3917"/>
      <c r="G10" s="3917"/>
      <c r="H10" s="3914">
        <f t="shared" si="0"/>
        <v>0</v>
      </c>
      <c r="I10" s="3916">
        <v>7833.92</v>
      </c>
      <c r="J10" s="3916"/>
      <c r="K10" s="3916"/>
      <c r="L10" s="3916"/>
      <c r="M10" s="3916"/>
      <c r="N10" s="3916"/>
      <c r="O10" s="3914">
        <f t="shared" si="1"/>
        <v>7833.92</v>
      </c>
      <c r="P10" s="3913">
        <f t="shared" si="2"/>
        <v>0</v>
      </c>
      <c r="Q10" s="3912"/>
      <c r="R10" s="3922"/>
      <c r="S10"/>
    </row>
    <row r="11" spans="1:19" ht="15" hidden="1">
      <c r="A11" s="3920" t="s">
        <v>7616</v>
      </c>
      <c r="B11" s="3919">
        <v>15304</v>
      </c>
      <c r="C11" s="3919"/>
      <c r="D11" s="3928"/>
      <c r="E11" s="3917"/>
      <c r="F11" s="3917"/>
      <c r="G11" s="3917"/>
      <c r="H11" s="3914">
        <f t="shared" si="0"/>
        <v>15304</v>
      </c>
      <c r="I11" s="3916">
        <v>15304</v>
      </c>
      <c r="J11" s="3916"/>
      <c r="K11" s="3916"/>
      <c r="L11" s="3916"/>
      <c r="M11" s="3916"/>
      <c r="N11" s="3916"/>
      <c r="O11" s="3914">
        <f t="shared" si="1"/>
        <v>15304</v>
      </c>
      <c r="P11" s="3913">
        <f t="shared" si="2"/>
        <v>0</v>
      </c>
      <c r="Q11" s="3912"/>
      <c r="R11" s="3922"/>
      <c r="S11"/>
    </row>
    <row r="12" spans="1:19" ht="15" hidden="1">
      <c r="A12" s="3920" t="s">
        <v>7605</v>
      </c>
      <c r="B12" s="3919">
        <v>19500</v>
      </c>
      <c r="C12" s="3919"/>
      <c r="D12" s="3928"/>
      <c r="E12" s="3917">
        <v>19500</v>
      </c>
      <c r="F12" s="3917"/>
      <c r="G12" s="3917"/>
      <c r="H12" s="3914">
        <f t="shared" si="0"/>
        <v>0</v>
      </c>
      <c r="I12" s="3916">
        <v>19500</v>
      </c>
      <c r="J12" s="3916"/>
      <c r="K12" s="3915"/>
      <c r="L12" s="3915"/>
      <c r="M12" s="3915"/>
      <c r="N12" s="3915"/>
      <c r="O12" s="3914">
        <f t="shared" si="1"/>
        <v>19500</v>
      </c>
      <c r="P12" s="3913">
        <f t="shared" si="2"/>
        <v>0</v>
      </c>
      <c r="Q12" s="3912"/>
      <c r="R12" s="3926" t="s">
        <v>7615</v>
      </c>
      <c r="S12"/>
    </row>
    <row r="13" spans="1:19" ht="15" hidden="1">
      <c r="A13" s="3920" t="s">
        <v>7614</v>
      </c>
      <c r="B13" s="3919">
        <f>660726</f>
        <v>660726</v>
      </c>
      <c r="C13" s="3919"/>
      <c r="D13" s="3918"/>
      <c r="E13" s="3917"/>
      <c r="F13" s="3917"/>
      <c r="G13" s="3917"/>
      <c r="H13" s="3914">
        <f t="shared" si="0"/>
        <v>660726</v>
      </c>
      <c r="I13" s="3916">
        <v>269015.31</v>
      </c>
      <c r="J13" s="3916">
        <v>218122.34</v>
      </c>
      <c r="K13" s="3927">
        <v>127076.22</v>
      </c>
      <c r="L13" s="3927">
        <v>46511.69</v>
      </c>
      <c r="M13" s="3915"/>
      <c r="N13" s="3915"/>
      <c r="O13" s="3914">
        <f t="shared" si="1"/>
        <v>660725.56000000006</v>
      </c>
      <c r="P13" s="3913">
        <f t="shared" si="2"/>
        <v>0.43999999994412065</v>
      </c>
      <c r="Q13" s="3912"/>
      <c r="R13" s="3926"/>
      <c r="S13"/>
    </row>
    <row r="14" spans="1:19" ht="15" hidden="1">
      <c r="A14" s="3920" t="s">
        <v>7613</v>
      </c>
      <c r="B14" s="3919">
        <v>15000</v>
      </c>
      <c r="C14" s="3919"/>
      <c r="D14" s="3918"/>
      <c r="E14" s="3917"/>
      <c r="F14" s="3917"/>
      <c r="G14" s="3917"/>
      <c r="H14" s="3914">
        <f t="shared" si="0"/>
        <v>15000</v>
      </c>
      <c r="I14" s="3916">
        <v>15000</v>
      </c>
      <c r="J14" s="3916"/>
      <c r="K14" s="3927"/>
      <c r="L14" s="3927"/>
      <c r="M14" s="3915"/>
      <c r="N14" s="3915"/>
      <c r="O14" s="3914">
        <f t="shared" si="1"/>
        <v>15000</v>
      </c>
      <c r="P14" s="3913">
        <f t="shared" si="2"/>
        <v>0</v>
      </c>
      <c r="Q14" s="3912"/>
      <c r="R14" s="3926" t="s">
        <v>7612</v>
      </c>
      <c r="S14"/>
    </row>
    <row r="15" spans="1:19" ht="15" hidden="1">
      <c r="A15" s="3920" t="s">
        <v>7611</v>
      </c>
      <c r="B15" s="3919">
        <f>109690.14+109690.14</f>
        <v>219380.28</v>
      </c>
      <c r="C15" s="3918" t="s">
        <v>7610</v>
      </c>
      <c r="D15" s="3918"/>
      <c r="E15" s="3917">
        <v>109690</v>
      </c>
      <c r="F15" s="3917">
        <v>109690.14</v>
      </c>
      <c r="G15" s="3917"/>
      <c r="H15" s="3914">
        <f t="shared" si="0"/>
        <v>0.13999999998486601</v>
      </c>
      <c r="I15" s="3916">
        <v>109690.14</v>
      </c>
      <c r="J15" s="3916">
        <v>109690.14</v>
      </c>
      <c r="K15" s="3915"/>
      <c r="L15" s="3915"/>
      <c r="M15" s="3915"/>
      <c r="N15" s="3915"/>
      <c r="O15" s="3914">
        <f t="shared" si="1"/>
        <v>219380.28</v>
      </c>
      <c r="P15" s="3913">
        <f t="shared" si="2"/>
        <v>0</v>
      </c>
      <c r="Q15" s="3912"/>
      <c r="R15" s="3922"/>
      <c r="S15"/>
    </row>
    <row r="16" spans="1:19" ht="15" hidden="1">
      <c r="A16" s="3920" t="s">
        <v>7609</v>
      </c>
      <c r="B16" s="3919">
        <v>150000</v>
      </c>
      <c r="C16" s="3918"/>
      <c r="D16" s="3918"/>
      <c r="E16" s="3917"/>
      <c r="F16" s="3917"/>
      <c r="G16" s="3917"/>
      <c r="H16" s="3914">
        <f t="shared" si="0"/>
        <v>150000</v>
      </c>
      <c r="I16" s="3916">
        <v>37500</v>
      </c>
      <c r="J16" s="3916">
        <v>112500</v>
      </c>
      <c r="K16" s="3915"/>
      <c r="L16" s="3915"/>
      <c r="M16" s="3915"/>
      <c r="N16" s="3915"/>
      <c r="O16" s="3914">
        <f t="shared" si="1"/>
        <v>150000</v>
      </c>
      <c r="P16" s="3913">
        <f t="shared" si="2"/>
        <v>0</v>
      </c>
      <c r="Q16" s="3912"/>
      <c r="R16" s="3926"/>
      <c r="S16"/>
    </row>
    <row r="17" spans="1:19" ht="15" hidden="1">
      <c r="A17" s="3920" t="s">
        <v>7579</v>
      </c>
      <c r="B17" s="3919">
        <v>143470</v>
      </c>
      <c r="C17" s="3918"/>
      <c r="D17" s="3918"/>
      <c r="E17" s="3917"/>
      <c r="F17" s="3917"/>
      <c r="G17" s="3917"/>
      <c r="H17" s="3914">
        <f>B17-SUM(E17:G17)</f>
        <v>143470</v>
      </c>
      <c r="I17" s="3916">
        <v>143470</v>
      </c>
      <c r="J17" s="3916"/>
      <c r="K17" s="3915"/>
      <c r="L17" s="3915"/>
      <c r="M17" s="3915"/>
      <c r="N17" s="3915"/>
      <c r="O17" s="3914">
        <f>SUM(I17:N17)</f>
        <v>143470</v>
      </c>
      <c r="P17" s="3913">
        <f>B17-O17</f>
        <v>0</v>
      </c>
      <c r="Q17" s="3912"/>
      <c r="R17" s="3911" t="s">
        <v>7578</v>
      </c>
      <c r="S17"/>
    </row>
    <row r="18" spans="1:19" ht="15">
      <c r="A18" s="3920" t="s">
        <v>7608</v>
      </c>
      <c r="B18" s="3921">
        <v>180532.02</v>
      </c>
      <c r="C18" s="3918"/>
      <c r="D18" s="3918" t="s">
        <v>7607</v>
      </c>
      <c r="E18" s="3917"/>
      <c r="F18" s="3917"/>
      <c r="G18" s="3917"/>
      <c r="H18" s="3914">
        <f t="shared" si="0"/>
        <v>180532.02</v>
      </c>
      <c r="I18" s="3916">
        <v>29666.75</v>
      </c>
      <c r="J18" s="3916">
        <v>10155.219999999999</v>
      </c>
      <c r="K18" s="3915">
        <v>25706.82</v>
      </c>
      <c r="L18" s="3915">
        <v>43867.18</v>
      </c>
      <c r="M18" s="3915">
        <v>18562.68</v>
      </c>
      <c r="N18" s="3915">
        <v>6608.7</v>
      </c>
      <c r="O18" s="3914">
        <f t="shared" si="1"/>
        <v>134567.35</v>
      </c>
      <c r="P18" s="3913">
        <f>B18-O18</f>
        <v>45964.669999999984</v>
      </c>
      <c r="Q18" s="3912">
        <v>43876</v>
      </c>
      <c r="R18" s="3926" t="s">
        <v>7606</v>
      </c>
      <c r="S18"/>
    </row>
    <row r="19" spans="1:19" ht="15">
      <c r="A19" s="3920" t="s">
        <v>7605</v>
      </c>
      <c r="B19" s="3919">
        <v>195943.75</v>
      </c>
      <c r="C19" s="3918"/>
      <c r="D19" s="3918" t="s">
        <v>7604</v>
      </c>
      <c r="E19" s="3917">
        <v>123935.75</v>
      </c>
      <c r="F19" s="3917">
        <v>72008</v>
      </c>
      <c r="G19" s="3917"/>
      <c r="H19" s="3914">
        <f t="shared" si="0"/>
        <v>0</v>
      </c>
      <c r="I19" s="3916">
        <v>123935.75</v>
      </c>
      <c r="J19" s="3916">
        <v>72008</v>
      </c>
      <c r="K19" s="3915"/>
      <c r="L19" s="3915"/>
      <c r="M19" s="3915"/>
      <c r="N19" s="3915"/>
      <c r="O19" s="3914">
        <f t="shared" si="1"/>
        <v>195943.75</v>
      </c>
      <c r="P19" s="3913">
        <f t="shared" si="2"/>
        <v>0</v>
      </c>
      <c r="Q19" s="3912"/>
      <c r="R19" s="3926" t="s">
        <v>7603</v>
      </c>
      <c r="S19"/>
    </row>
    <row r="20" spans="1:19" ht="15">
      <c r="A20" s="3920" t="s">
        <v>7602</v>
      </c>
      <c r="B20" s="3921">
        <v>446662</v>
      </c>
      <c r="C20" s="3918"/>
      <c r="D20" s="3918"/>
      <c r="E20" s="3917"/>
      <c r="F20" s="3917"/>
      <c r="G20" s="3917"/>
      <c r="H20" s="3914">
        <f t="shared" si="0"/>
        <v>446662</v>
      </c>
      <c r="I20" s="3916"/>
      <c r="J20" s="3916"/>
      <c r="K20" s="3915"/>
      <c r="L20" s="3915"/>
      <c r="M20" s="3915"/>
      <c r="N20" s="3915"/>
      <c r="O20" s="3914">
        <f t="shared" si="1"/>
        <v>0</v>
      </c>
      <c r="P20" s="3913">
        <f t="shared" si="2"/>
        <v>446662</v>
      </c>
      <c r="Q20" s="3912"/>
      <c r="R20" s="3926"/>
      <c r="S20"/>
    </row>
    <row r="21" spans="1:19" ht="15">
      <c r="A21" s="3920" t="s">
        <v>7601</v>
      </c>
      <c r="B21" s="3919">
        <v>180656.03</v>
      </c>
      <c r="C21" s="3918" t="s">
        <v>7600</v>
      </c>
      <c r="D21" s="3925"/>
      <c r="E21" s="3917">
        <v>72262</v>
      </c>
      <c r="F21" s="3917"/>
      <c r="G21" s="3917"/>
      <c r="H21" s="3914">
        <f t="shared" si="0"/>
        <v>108394.03</v>
      </c>
      <c r="I21" s="3916">
        <v>72262.41</v>
      </c>
      <c r="J21" s="3916"/>
      <c r="K21" s="3915"/>
      <c r="L21" s="3915"/>
      <c r="M21" s="3915"/>
      <c r="N21" s="3915"/>
      <c r="O21" s="3914">
        <f t="shared" si="1"/>
        <v>72262.41</v>
      </c>
      <c r="P21" s="3913">
        <f t="shared" si="2"/>
        <v>108393.62</v>
      </c>
      <c r="Q21" s="3912"/>
      <c r="R21" s="3911" t="s">
        <v>7599</v>
      </c>
      <c r="S21"/>
    </row>
    <row r="22" spans="1:19" ht="15">
      <c r="A22" s="3920" t="s">
        <v>7598</v>
      </c>
      <c r="B22" s="3919">
        <v>20000</v>
      </c>
      <c r="C22" s="3918" t="s">
        <v>7597</v>
      </c>
      <c r="D22" s="3918"/>
      <c r="E22" s="3917">
        <v>10000</v>
      </c>
      <c r="F22" s="3917"/>
      <c r="G22" s="3917"/>
      <c r="H22" s="3914">
        <f t="shared" si="0"/>
        <v>10000</v>
      </c>
      <c r="I22" s="3916">
        <v>10000</v>
      </c>
      <c r="J22" s="3916">
        <v>10000</v>
      </c>
      <c r="K22" s="3915"/>
      <c r="L22" s="3915"/>
      <c r="M22" s="3915"/>
      <c r="N22" s="3915"/>
      <c r="O22" s="3914">
        <f t="shared" si="1"/>
        <v>20000</v>
      </c>
      <c r="P22" s="3913">
        <f t="shared" si="2"/>
        <v>0</v>
      </c>
      <c r="Q22" s="3912"/>
      <c r="R22" s="3911" t="s">
        <v>7596</v>
      </c>
      <c r="S22"/>
    </row>
    <row r="23" spans="1:19" ht="15">
      <c r="A23" s="3920" t="s">
        <v>7595</v>
      </c>
      <c r="B23" s="3919">
        <v>19980</v>
      </c>
      <c r="C23" s="3918" t="s">
        <v>7594</v>
      </c>
      <c r="D23" s="3918" t="s">
        <v>7593</v>
      </c>
      <c r="E23" s="3917">
        <v>13980</v>
      </c>
      <c r="F23" s="3917"/>
      <c r="G23" s="3917"/>
      <c r="H23" s="3914">
        <f t="shared" si="0"/>
        <v>6000</v>
      </c>
      <c r="I23" s="3916">
        <v>13980</v>
      </c>
      <c r="J23" s="3916"/>
      <c r="K23" s="3915"/>
      <c r="L23" s="3915"/>
      <c r="M23" s="3915"/>
      <c r="N23" s="3915"/>
      <c r="O23" s="3914">
        <f t="shared" si="1"/>
        <v>13980</v>
      </c>
      <c r="P23" s="3913">
        <f t="shared" si="2"/>
        <v>6000</v>
      </c>
      <c r="Q23" s="3912"/>
      <c r="R23" s="3922"/>
      <c r="S23"/>
    </row>
    <row r="24" spans="1:19" ht="15">
      <c r="A24" s="3920" t="s">
        <v>7592</v>
      </c>
      <c r="B24" s="3919">
        <v>94859.36</v>
      </c>
      <c r="C24" s="3918"/>
      <c r="D24" s="3918" t="s">
        <v>7591</v>
      </c>
      <c r="E24" s="3917"/>
      <c r="F24" s="3917"/>
      <c r="G24" s="3917"/>
      <c r="H24" s="3914">
        <f t="shared" si="0"/>
        <v>94859.36</v>
      </c>
      <c r="I24" s="3916"/>
      <c r="J24" s="3916"/>
      <c r="K24" s="3915"/>
      <c r="L24" s="3915"/>
      <c r="M24" s="3915"/>
      <c r="N24" s="3915"/>
      <c r="O24" s="3914">
        <f t="shared" si="1"/>
        <v>0</v>
      </c>
      <c r="P24" s="3913">
        <f t="shared" si="2"/>
        <v>94859.36</v>
      </c>
      <c r="Q24" s="3912"/>
      <c r="R24" s="3911" t="s">
        <v>8123</v>
      </c>
      <c r="S24"/>
    </row>
    <row r="25" spans="1:19" ht="15">
      <c r="A25" s="3920" t="s">
        <v>7590</v>
      </c>
      <c r="B25" s="3919">
        <v>43560</v>
      </c>
      <c r="C25" s="3918" t="s">
        <v>7589</v>
      </c>
      <c r="D25" s="3924" t="s">
        <v>7588</v>
      </c>
      <c r="E25" s="3917">
        <f>B25*60%</f>
        <v>26136</v>
      </c>
      <c r="F25" s="3917"/>
      <c r="G25" s="3917"/>
      <c r="H25" s="3914">
        <f t="shared" si="0"/>
        <v>17424</v>
      </c>
      <c r="I25" s="3916">
        <v>26136</v>
      </c>
      <c r="J25" s="3916">
        <v>9172.58</v>
      </c>
      <c r="K25" s="3915"/>
      <c r="L25" s="3915"/>
      <c r="M25" s="3915"/>
      <c r="N25" s="3915"/>
      <c r="O25" s="3914">
        <f t="shared" si="1"/>
        <v>35308.58</v>
      </c>
      <c r="P25" s="3913">
        <f t="shared" si="2"/>
        <v>8251.4199999999983</v>
      </c>
      <c r="Q25" s="3912"/>
      <c r="R25" s="3922"/>
      <c r="S25"/>
    </row>
    <row r="26" spans="1:19" ht="15">
      <c r="A26" s="3920" t="s">
        <v>7587</v>
      </c>
      <c r="B26" s="3919">
        <f>84000-43560</f>
        <v>40440</v>
      </c>
      <c r="C26" s="3918"/>
      <c r="D26" s="3924" t="s">
        <v>7586</v>
      </c>
      <c r="E26" s="3917"/>
      <c r="F26" s="3917"/>
      <c r="G26" s="3917"/>
      <c r="H26" s="3914">
        <f t="shared" si="0"/>
        <v>40440</v>
      </c>
      <c r="I26" s="3916"/>
      <c r="J26" s="3916"/>
      <c r="K26" s="3915"/>
      <c r="L26" s="3915"/>
      <c r="M26" s="3915"/>
      <c r="N26" s="3915"/>
      <c r="O26" s="3914">
        <f t="shared" si="1"/>
        <v>0</v>
      </c>
      <c r="P26" s="3913">
        <f t="shared" si="2"/>
        <v>40440</v>
      </c>
      <c r="Q26" s="3912"/>
      <c r="R26" s="3922"/>
      <c r="S26"/>
    </row>
    <row r="27" spans="1:19" ht="15">
      <c r="A27" s="3920" t="s">
        <v>7585</v>
      </c>
      <c r="B27" s="3919"/>
      <c r="C27" s="3918"/>
      <c r="D27" s="3918"/>
      <c r="E27" s="3917"/>
      <c r="F27" s="3917"/>
      <c r="G27" s="3917"/>
      <c r="H27" s="3914">
        <f t="shared" si="0"/>
        <v>0</v>
      </c>
      <c r="I27" s="3916"/>
      <c r="J27" s="3916"/>
      <c r="K27" s="3915"/>
      <c r="L27" s="3915"/>
      <c r="M27" s="3915"/>
      <c r="N27" s="3915"/>
      <c r="O27" s="3914">
        <f t="shared" si="1"/>
        <v>0</v>
      </c>
      <c r="P27" s="3913">
        <f t="shared" si="2"/>
        <v>0</v>
      </c>
      <c r="Q27" s="3912"/>
      <c r="R27" s="3922" t="s">
        <v>7583</v>
      </c>
      <c r="S27"/>
    </row>
    <row r="28" spans="1:19" ht="15">
      <c r="A28" s="3920" t="s">
        <v>7584</v>
      </c>
      <c r="B28" s="3919">
        <v>40202.58</v>
      </c>
      <c r="C28" s="3918"/>
      <c r="D28" s="3918"/>
      <c r="E28" s="3917"/>
      <c r="F28" s="3917"/>
      <c r="G28" s="3917"/>
      <c r="H28" s="3914">
        <f t="shared" si="0"/>
        <v>40202.58</v>
      </c>
      <c r="I28" s="3916"/>
      <c r="J28" s="3916"/>
      <c r="K28" s="3915"/>
      <c r="L28" s="3915"/>
      <c r="M28" s="3915"/>
      <c r="N28" s="3915"/>
      <c r="O28" s="3914">
        <f t="shared" si="1"/>
        <v>0</v>
      </c>
      <c r="P28" s="3913">
        <f t="shared" si="2"/>
        <v>40202.58</v>
      </c>
      <c r="Q28" s="3912"/>
      <c r="R28" s="3911" t="s">
        <v>8076</v>
      </c>
      <c r="S28"/>
    </row>
    <row r="29" spans="1:19" ht="15">
      <c r="A29" s="3920" t="s">
        <v>7582</v>
      </c>
      <c r="B29" s="3919">
        <v>273655.28000000003</v>
      </c>
      <c r="C29" s="3918"/>
      <c r="D29" s="3918"/>
      <c r="E29" s="3917"/>
      <c r="F29" s="3917"/>
      <c r="G29" s="3917"/>
      <c r="H29" s="3914">
        <f t="shared" si="0"/>
        <v>273655.28000000003</v>
      </c>
      <c r="I29" s="3916"/>
      <c r="J29" s="3916"/>
      <c r="K29" s="3915"/>
      <c r="L29" s="3915"/>
      <c r="M29" s="3915"/>
      <c r="N29" s="3915"/>
      <c r="O29" s="3914">
        <f t="shared" si="1"/>
        <v>0</v>
      </c>
      <c r="P29" s="3913">
        <f t="shared" si="2"/>
        <v>273655.28000000003</v>
      </c>
      <c r="Q29" s="3912">
        <v>44834</v>
      </c>
      <c r="R29" s="3911" t="s">
        <v>7581</v>
      </c>
      <c r="S29" s="3923" t="s">
        <v>7580</v>
      </c>
    </row>
    <row r="30" spans="1:19" ht="15">
      <c r="A30" s="3920" t="s">
        <v>7577</v>
      </c>
      <c r="B30" s="3921">
        <v>400000</v>
      </c>
      <c r="C30" s="3918"/>
      <c r="D30" s="3918"/>
      <c r="E30" s="3917"/>
      <c r="F30" s="3917"/>
      <c r="G30" s="3917"/>
      <c r="H30" s="3914">
        <f t="shared" si="0"/>
        <v>400000</v>
      </c>
      <c r="I30" s="3916"/>
      <c r="J30" s="3916"/>
      <c r="K30" s="3915"/>
      <c r="L30" s="3915"/>
      <c r="M30" s="3915"/>
      <c r="N30" s="3915"/>
      <c r="O30" s="3914">
        <f t="shared" si="1"/>
        <v>0</v>
      </c>
      <c r="P30" s="3913">
        <f t="shared" si="2"/>
        <v>400000</v>
      </c>
      <c r="Q30" s="3912"/>
      <c r="R30" s="3922" t="s">
        <v>7576</v>
      </c>
      <c r="S30"/>
    </row>
    <row r="31" spans="1:19" ht="15">
      <c r="A31" s="3920" t="s">
        <v>7575</v>
      </c>
      <c r="B31" s="3921">
        <v>6079.65</v>
      </c>
      <c r="C31" s="3918"/>
      <c r="D31" s="3918"/>
      <c r="E31" s="3917"/>
      <c r="F31" s="3917"/>
      <c r="G31" s="3917"/>
      <c r="H31" s="3914">
        <f t="shared" si="0"/>
        <v>6079.65</v>
      </c>
      <c r="I31" s="3916"/>
      <c r="J31" s="3916"/>
      <c r="K31" s="3915"/>
      <c r="L31" s="3915"/>
      <c r="M31" s="3915"/>
      <c r="N31" s="3915"/>
      <c r="O31" s="3914">
        <f t="shared" si="1"/>
        <v>0</v>
      </c>
      <c r="P31" s="3913">
        <f t="shared" si="2"/>
        <v>6079.65</v>
      </c>
      <c r="Q31" s="3912"/>
      <c r="R31" s="3911" t="s">
        <v>7574</v>
      </c>
      <c r="S31"/>
    </row>
    <row r="32" spans="1:19" ht="15">
      <c r="A32" s="4288" t="s">
        <v>7573</v>
      </c>
      <c r="B32" s="3919">
        <v>58066.64</v>
      </c>
      <c r="C32" s="3918"/>
      <c r="D32" s="3918" t="s">
        <v>7572</v>
      </c>
      <c r="E32" s="3917"/>
      <c r="F32" s="3917"/>
      <c r="G32" s="3917"/>
      <c r="H32" s="3914">
        <f t="shared" si="0"/>
        <v>58066.64</v>
      </c>
      <c r="I32" s="3916"/>
      <c r="J32" s="3916"/>
      <c r="K32" s="3915"/>
      <c r="L32" s="3915"/>
      <c r="M32" s="3915"/>
      <c r="N32" s="3915"/>
      <c r="O32" s="3914">
        <f t="shared" si="1"/>
        <v>0</v>
      </c>
      <c r="P32" s="3913">
        <f t="shared" si="2"/>
        <v>58066.64</v>
      </c>
      <c r="Q32" s="3912"/>
      <c r="R32" s="3911" t="s">
        <v>7571</v>
      </c>
    </row>
    <row r="33" spans="1:19" ht="15">
      <c r="A33" s="3920" t="s">
        <v>7570</v>
      </c>
      <c r="B33" s="3919">
        <v>148647.95000000001</v>
      </c>
      <c r="C33" s="3918" t="s">
        <v>7569</v>
      </c>
      <c r="D33" s="3918" t="s">
        <v>7568</v>
      </c>
      <c r="E33" s="3917"/>
      <c r="F33" s="3917"/>
      <c r="G33" s="3917"/>
      <c r="H33" s="3914">
        <f t="shared" si="0"/>
        <v>148647.95000000001</v>
      </c>
      <c r="I33" s="3916"/>
      <c r="J33" s="3916"/>
      <c r="K33" s="3915"/>
      <c r="L33" s="3915"/>
      <c r="M33" s="3915"/>
      <c r="N33" s="3915"/>
      <c r="O33" s="3914">
        <f t="shared" si="1"/>
        <v>0</v>
      </c>
      <c r="P33" s="3913">
        <f t="shared" si="2"/>
        <v>148647.95000000001</v>
      </c>
      <c r="Q33" s="3912"/>
      <c r="R33" s="3911" t="s">
        <v>7567</v>
      </c>
    </row>
    <row r="34" spans="1:19" ht="15">
      <c r="A34" s="3920" t="s">
        <v>7638</v>
      </c>
      <c r="B34" s="3919">
        <f>52502.86-11616.74</f>
        <v>40886.120000000003</v>
      </c>
      <c r="C34" s="3918"/>
      <c r="D34" s="3918"/>
      <c r="E34" s="3917"/>
      <c r="F34" s="3917"/>
      <c r="G34" s="3917"/>
      <c r="H34" s="3914">
        <f t="shared" si="0"/>
        <v>40886.120000000003</v>
      </c>
      <c r="I34" s="3916">
        <v>26251.43</v>
      </c>
      <c r="J34" s="3916">
        <v>14634.69</v>
      </c>
      <c r="K34" s="3915"/>
      <c r="L34" s="3915"/>
      <c r="M34" s="3915"/>
      <c r="N34" s="3915"/>
      <c r="O34" s="3914">
        <f t="shared" ref="O34" si="3">SUM(I34:N34)</f>
        <v>40886.120000000003</v>
      </c>
      <c r="P34" s="3913">
        <f t="shared" ref="P34" si="4">B34-O34</f>
        <v>0</v>
      </c>
      <c r="Q34" s="3951"/>
      <c r="R34" s="3952" t="s">
        <v>8111</v>
      </c>
    </row>
    <row r="35" spans="1:19" ht="15">
      <c r="A35" s="3920" t="s">
        <v>7820</v>
      </c>
      <c r="B35" s="3919">
        <v>85695.22</v>
      </c>
      <c r="C35" s="3918"/>
      <c r="D35" s="3918" t="s">
        <v>8101</v>
      </c>
      <c r="E35" s="3917"/>
      <c r="F35" s="3917"/>
      <c r="G35" s="3917"/>
      <c r="H35" s="3914">
        <f t="shared" si="0"/>
        <v>85695.22</v>
      </c>
      <c r="I35" s="3916"/>
      <c r="J35" s="3916"/>
      <c r="K35" s="3915"/>
      <c r="L35" s="3915"/>
      <c r="M35" s="3915"/>
      <c r="N35" s="3915"/>
      <c r="O35" s="3914">
        <f t="shared" ref="O35:O47" si="5">SUM(I35:N35)</f>
        <v>0</v>
      </c>
      <c r="P35" s="3913">
        <f t="shared" ref="P35:P47" si="6">B35-O35</f>
        <v>85695.22</v>
      </c>
      <c r="Q35" s="3951"/>
      <c r="R35" s="3952" t="s">
        <v>8102</v>
      </c>
      <c r="S35" s="3923" t="s">
        <v>8103</v>
      </c>
    </row>
    <row r="36" spans="1:19" ht="15">
      <c r="A36" s="3920" t="s">
        <v>8017</v>
      </c>
      <c r="B36" s="3919">
        <v>43494.76</v>
      </c>
      <c r="C36" s="3918"/>
      <c r="D36" s="3918"/>
      <c r="E36" s="3917"/>
      <c r="F36" s="3917"/>
      <c r="G36" s="3917"/>
      <c r="H36" s="3914">
        <f t="shared" si="0"/>
        <v>43494.76</v>
      </c>
      <c r="I36" s="3916">
        <v>43494.76</v>
      </c>
      <c r="J36" s="3916"/>
      <c r="K36" s="3915"/>
      <c r="L36" s="3915"/>
      <c r="M36" s="3915"/>
      <c r="N36" s="3915"/>
      <c r="O36" s="3914">
        <f t="shared" si="5"/>
        <v>43494.76</v>
      </c>
      <c r="P36" s="3913">
        <f t="shared" si="6"/>
        <v>0</v>
      </c>
      <c r="Q36" s="3951"/>
      <c r="R36" s="3952" t="s">
        <v>8003</v>
      </c>
    </row>
    <row r="37" spans="1:19" ht="15">
      <c r="A37" s="3920" t="s">
        <v>8004</v>
      </c>
      <c r="B37" s="3919">
        <v>103166.67</v>
      </c>
      <c r="C37" s="3918"/>
      <c r="D37" s="3918"/>
      <c r="E37" s="3917"/>
      <c r="F37" s="3917"/>
      <c r="G37" s="3917"/>
      <c r="H37" s="3914">
        <f t="shared" si="0"/>
        <v>103166.67</v>
      </c>
      <c r="I37" s="3916"/>
      <c r="J37" s="3916"/>
      <c r="K37" s="3915"/>
      <c r="L37" s="3915"/>
      <c r="M37" s="3915"/>
      <c r="N37" s="3915"/>
      <c r="O37" s="3914">
        <f t="shared" si="5"/>
        <v>0</v>
      </c>
      <c r="P37" s="3913">
        <f t="shared" si="6"/>
        <v>103166.67</v>
      </c>
      <c r="Q37" s="3951"/>
      <c r="R37" s="3952" t="s">
        <v>8005</v>
      </c>
      <c r="S37" s="3923" t="s">
        <v>8006</v>
      </c>
    </row>
    <row r="38" spans="1:19" ht="15">
      <c r="A38" s="4288" t="s">
        <v>8007</v>
      </c>
      <c r="B38" s="3919">
        <v>360000</v>
      </c>
      <c r="C38" s="3918"/>
      <c r="D38" s="3918" t="s">
        <v>8008</v>
      </c>
      <c r="E38" s="3917"/>
      <c r="F38" s="3917"/>
      <c r="G38" s="3917"/>
      <c r="H38" s="3914">
        <f t="shared" si="0"/>
        <v>360000</v>
      </c>
      <c r="I38" s="3916"/>
      <c r="J38" s="3916"/>
      <c r="K38" s="3915"/>
      <c r="L38" s="3915"/>
      <c r="M38" s="3915"/>
      <c r="N38" s="3915"/>
      <c r="O38" s="3914">
        <f t="shared" si="5"/>
        <v>0</v>
      </c>
      <c r="P38" s="3913">
        <f t="shared" si="6"/>
        <v>360000</v>
      </c>
      <c r="Q38" s="3951"/>
      <c r="R38" s="3952" t="s">
        <v>8013</v>
      </c>
      <c r="S38" s="3923"/>
    </row>
    <row r="39" spans="1:19" ht="15">
      <c r="A39" s="4288" t="s">
        <v>8012</v>
      </c>
      <c r="B39" s="3919">
        <v>36000</v>
      </c>
      <c r="C39" s="3918"/>
      <c r="D39" s="3918" t="s">
        <v>8009</v>
      </c>
      <c r="E39" s="3917"/>
      <c r="F39" s="3917"/>
      <c r="G39" s="3917"/>
      <c r="H39" s="3914">
        <f t="shared" si="0"/>
        <v>36000</v>
      </c>
      <c r="I39" s="3916"/>
      <c r="J39" s="3916"/>
      <c r="K39" s="3915"/>
      <c r="L39" s="3915"/>
      <c r="M39" s="3915"/>
      <c r="N39" s="3915"/>
      <c r="O39" s="3914">
        <f t="shared" si="5"/>
        <v>0</v>
      </c>
      <c r="P39" s="3913">
        <f t="shared" si="6"/>
        <v>36000</v>
      </c>
      <c r="Q39" s="3951"/>
      <c r="R39" s="3952" t="s">
        <v>8013</v>
      </c>
      <c r="S39" s="3923"/>
    </row>
    <row r="40" spans="1:19" ht="15">
      <c r="A40" s="4288" t="s">
        <v>8007</v>
      </c>
      <c r="B40" s="3919">
        <v>12600</v>
      </c>
      <c r="C40" s="3918"/>
      <c r="D40" s="3918" t="s">
        <v>8010</v>
      </c>
      <c r="E40" s="3917"/>
      <c r="F40" s="3917"/>
      <c r="G40" s="3917"/>
      <c r="H40" s="3914">
        <f t="shared" si="0"/>
        <v>12600</v>
      </c>
      <c r="I40" s="3916"/>
      <c r="J40" s="3916"/>
      <c r="K40" s="3915"/>
      <c r="L40" s="3915"/>
      <c r="M40" s="3915"/>
      <c r="N40" s="3915"/>
      <c r="O40" s="3914">
        <f t="shared" si="5"/>
        <v>0</v>
      </c>
      <c r="P40" s="3913">
        <f t="shared" si="6"/>
        <v>12600</v>
      </c>
      <c r="Q40" s="3951"/>
      <c r="R40" s="3952" t="s">
        <v>8013</v>
      </c>
      <c r="S40" s="3923"/>
    </row>
    <row r="41" spans="1:19" ht="15">
      <c r="A41" s="4288" t="s">
        <v>8012</v>
      </c>
      <c r="B41" s="3919">
        <v>9000</v>
      </c>
      <c r="C41" s="3918"/>
      <c r="D41" s="3918" t="s">
        <v>8011</v>
      </c>
      <c r="E41" s="3917"/>
      <c r="F41" s="3917"/>
      <c r="G41" s="3917"/>
      <c r="H41" s="3914">
        <f t="shared" si="0"/>
        <v>9000</v>
      </c>
      <c r="I41" s="3916"/>
      <c r="J41" s="3916"/>
      <c r="K41" s="3915"/>
      <c r="L41" s="3915"/>
      <c r="M41" s="3915"/>
      <c r="N41" s="3915"/>
      <c r="O41" s="3914">
        <f t="shared" si="5"/>
        <v>0</v>
      </c>
      <c r="P41" s="3913">
        <f t="shared" si="6"/>
        <v>9000</v>
      </c>
      <c r="Q41" s="3951"/>
      <c r="R41" s="3952" t="s">
        <v>8013</v>
      </c>
      <c r="S41" s="3923"/>
    </row>
    <row r="42" spans="1:19" ht="15">
      <c r="A42" s="3920" t="s">
        <v>8099</v>
      </c>
      <c r="B42" s="3919">
        <v>4000</v>
      </c>
      <c r="C42" s="3918" t="s">
        <v>8122</v>
      </c>
      <c r="D42" s="3918"/>
      <c r="E42" s="3917">
        <v>2800</v>
      </c>
      <c r="F42" s="3917"/>
      <c r="G42" s="3917"/>
      <c r="H42" s="3914">
        <f t="shared" si="0"/>
        <v>1200</v>
      </c>
      <c r="I42" s="3916">
        <v>2800</v>
      </c>
      <c r="J42" s="3916"/>
      <c r="K42" s="3915"/>
      <c r="L42" s="3915"/>
      <c r="M42" s="3915"/>
      <c r="N42" s="3915"/>
      <c r="O42" s="3914">
        <f t="shared" si="5"/>
        <v>2800</v>
      </c>
      <c r="P42" s="3913">
        <f t="shared" si="6"/>
        <v>1200</v>
      </c>
      <c r="Q42" s="3951"/>
      <c r="R42" s="3952" t="s">
        <v>8014</v>
      </c>
      <c r="S42" s="3923" t="s">
        <v>8015</v>
      </c>
    </row>
    <row r="43" spans="1:19" ht="15">
      <c r="A43" s="3920"/>
      <c r="B43" s="3919"/>
      <c r="C43" s="3918"/>
      <c r="D43" s="3918"/>
      <c r="E43" s="3917"/>
      <c r="F43" s="3917"/>
      <c r="G43" s="3917"/>
      <c r="H43" s="3914"/>
      <c r="I43" s="3916"/>
      <c r="J43" s="3916"/>
      <c r="K43" s="3915"/>
      <c r="L43" s="3915"/>
      <c r="M43" s="3915"/>
      <c r="N43" s="3915"/>
      <c r="O43" s="3914"/>
      <c r="P43" s="3913">
        <f t="shared" si="6"/>
        <v>0</v>
      </c>
      <c r="Q43" s="3951"/>
      <c r="R43" s="3952" t="s">
        <v>8121</v>
      </c>
      <c r="S43" s="3923"/>
    </row>
    <row r="44" spans="1:19" ht="15">
      <c r="A44" s="3920"/>
      <c r="B44" s="3919"/>
      <c r="C44" s="3918"/>
      <c r="D44" s="3918"/>
      <c r="E44" s="3917"/>
      <c r="F44" s="3917"/>
      <c r="G44" s="3917"/>
      <c r="H44" s="3914"/>
      <c r="I44" s="3916"/>
      <c r="J44" s="3916"/>
      <c r="K44" s="3915"/>
      <c r="L44" s="3915"/>
      <c r="M44" s="3915"/>
      <c r="N44" s="3915"/>
      <c r="O44" s="3914"/>
      <c r="P44" s="3913">
        <f t="shared" si="6"/>
        <v>0</v>
      </c>
      <c r="Q44" s="3951"/>
      <c r="R44" s="3952"/>
      <c r="S44" s="3923"/>
    </row>
    <row r="45" spans="1:19" ht="15">
      <c r="A45" s="3920"/>
      <c r="B45" s="3919"/>
      <c r="C45" s="3918"/>
      <c r="D45" s="3918"/>
      <c r="E45" s="3917"/>
      <c r="F45" s="3917"/>
      <c r="G45" s="3917"/>
      <c r="H45" s="3914"/>
      <c r="I45" s="3916"/>
      <c r="J45" s="3916"/>
      <c r="K45" s="3915"/>
      <c r="L45" s="3915"/>
      <c r="M45" s="3915"/>
      <c r="N45" s="3915"/>
      <c r="O45" s="3914"/>
      <c r="P45" s="3913">
        <f t="shared" si="6"/>
        <v>0</v>
      </c>
      <c r="Q45" s="3951"/>
      <c r="R45" s="3952"/>
      <c r="S45" s="3923"/>
    </row>
    <row r="46" spans="1:19" ht="15">
      <c r="A46" s="3920"/>
      <c r="B46" s="3919"/>
      <c r="C46" s="3918"/>
      <c r="D46" s="3918"/>
      <c r="E46" s="3917"/>
      <c r="F46" s="3917"/>
      <c r="G46" s="3917"/>
      <c r="H46" s="3914"/>
      <c r="I46" s="3916"/>
      <c r="J46" s="3916"/>
      <c r="K46" s="3915"/>
      <c r="L46" s="3915"/>
      <c r="M46" s="3915"/>
      <c r="N46" s="3915"/>
      <c r="O46" s="3914"/>
      <c r="P46" s="3913">
        <f t="shared" si="6"/>
        <v>0</v>
      </c>
      <c r="Q46" s="3951"/>
      <c r="R46" s="3952"/>
      <c r="S46" s="3923"/>
    </row>
    <row r="47" spans="1:19" ht="15">
      <c r="A47" s="3920"/>
      <c r="B47" s="3919"/>
      <c r="C47" s="3918"/>
      <c r="D47" s="3918"/>
      <c r="E47" s="3917"/>
      <c r="F47" s="3917"/>
      <c r="G47" s="3917"/>
      <c r="H47" s="3914"/>
      <c r="I47" s="3916"/>
      <c r="J47" s="3916"/>
      <c r="K47" s="3915"/>
      <c r="L47" s="3915"/>
      <c r="M47" s="3915"/>
      <c r="N47" s="3915"/>
      <c r="O47" s="3914">
        <f t="shared" si="5"/>
        <v>0</v>
      </c>
      <c r="P47" s="3913">
        <f t="shared" si="6"/>
        <v>0</v>
      </c>
      <c r="Q47" s="3951"/>
      <c r="R47" s="3952"/>
    </row>
    <row r="48" spans="1:19" s="1478" customFormat="1" ht="15">
      <c r="B48" s="1549"/>
      <c r="C48" s="3910"/>
      <c r="D48" s="2533"/>
      <c r="F48" s="1549"/>
      <c r="G48" s="1549"/>
      <c r="H48" s="1549"/>
      <c r="I48" s="1549"/>
      <c r="J48" s="1549"/>
      <c r="K48" s="1549"/>
      <c r="L48" s="1550"/>
      <c r="M48" s="1549"/>
      <c r="N48" s="1551"/>
    </row>
    <row r="49" spans="2:16" s="1478" customFormat="1" ht="15">
      <c r="B49" s="3950">
        <f>SUM(B18:B48)</f>
        <v>2844128.0300000003</v>
      </c>
      <c r="C49" s="3910"/>
      <c r="D49" s="2533"/>
      <c r="F49" s="1549"/>
      <c r="G49" s="1549"/>
      <c r="H49" s="1549"/>
      <c r="I49" s="1549"/>
      <c r="J49" s="1549"/>
      <c r="K49" s="1549"/>
      <c r="L49" s="1550"/>
      <c r="M49" s="1549"/>
      <c r="N49" s="1551"/>
      <c r="P49" s="1677">
        <f>SUM(P4:P48)</f>
        <v>2284885.5</v>
      </c>
    </row>
    <row r="50" spans="2:16" s="1478" customFormat="1" ht="15">
      <c r="B50" s="1549"/>
      <c r="C50" s="3910"/>
      <c r="D50" s="2533"/>
      <c r="F50" s="1549"/>
      <c r="G50" s="1549"/>
      <c r="H50" s="1549"/>
      <c r="I50" s="1549"/>
      <c r="J50" s="1549"/>
      <c r="K50" s="1549"/>
      <c r="L50" s="1550"/>
      <c r="M50" s="1549"/>
      <c r="N50" s="1551"/>
    </row>
    <row r="51" spans="2:16" s="1478" customFormat="1" ht="15">
      <c r="B51" s="1549"/>
      <c r="C51" s="3910"/>
      <c r="D51" s="2533"/>
      <c r="F51" s="1549"/>
      <c r="G51" s="1549"/>
      <c r="H51" s="1549"/>
      <c r="I51" s="1549"/>
      <c r="J51" s="1549"/>
      <c r="K51" s="1549"/>
      <c r="L51" s="1550"/>
      <c r="M51" s="1549"/>
      <c r="N51" s="1551"/>
    </row>
    <row r="52" spans="2:16" s="1478" customFormat="1" ht="15">
      <c r="B52" s="1549"/>
      <c r="C52" s="3910"/>
      <c r="D52" s="2533"/>
      <c r="F52" s="1549"/>
      <c r="G52" s="1549"/>
      <c r="H52" s="1549"/>
      <c r="I52" s="1549"/>
      <c r="J52" s="1549"/>
      <c r="K52" s="1549"/>
      <c r="L52" s="1550"/>
      <c r="M52" s="1549"/>
      <c r="N52" s="1551"/>
    </row>
    <row r="53" spans="2:16" s="1478" customFormat="1" ht="15">
      <c r="B53" s="1549"/>
      <c r="C53" s="3910"/>
      <c r="D53" s="2533"/>
      <c r="F53" s="1549"/>
      <c r="G53" s="1549"/>
      <c r="H53" s="1549"/>
      <c r="I53" s="1549"/>
      <c r="J53" s="1549"/>
      <c r="K53" s="1549"/>
      <c r="L53" s="1550"/>
      <c r="M53" s="1549"/>
      <c r="N53" s="1551"/>
    </row>
    <row r="54" spans="2:16" s="1478" customFormat="1" ht="15">
      <c r="B54" s="1549"/>
      <c r="C54" s="3910"/>
      <c r="D54" s="2533"/>
      <c r="F54" s="1549"/>
      <c r="G54" s="1549"/>
      <c r="H54" s="1549"/>
      <c r="I54" s="1549"/>
      <c r="J54" s="1549"/>
      <c r="K54" s="1549"/>
      <c r="L54" s="1550"/>
      <c r="M54" s="1549"/>
      <c r="N54" s="1551"/>
    </row>
    <row r="55" spans="2:16" s="1478" customFormat="1" ht="15">
      <c r="B55" s="1549"/>
      <c r="C55" s="3910"/>
      <c r="D55" s="2533"/>
      <c r="F55" s="1549"/>
      <c r="G55" s="1549"/>
      <c r="H55" s="1549"/>
      <c r="I55" s="1549"/>
      <c r="J55" s="1549"/>
      <c r="K55" s="1549"/>
      <c r="L55" s="1550"/>
      <c r="M55" s="1549"/>
      <c r="N55" s="1551"/>
    </row>
    <row r="56" spans="2:16" s="1478" customFormat="1" ht="15">
      <c r="B56" s="1549"/>
      <c r="C56" s="3910"/>
      <c r="D56" s="2533"/>
      <c r="F56" s="1549"/>
      <c r="G56" s="1549"/>
      <c r="H56" s="1549"/>
      <c r="I56" s="1549"/>
      <c r="J56" s="1549"/>
      <c r="K56" s="1549"/>
      <c r="L56" s="1550"/>
      <c r="M56" s="1549"/>
      <c r="N56" s="1551"/>
    </row>
    <row r="57" spans="2:16" s="1478" customFormat="1" ht="15">
      <c r="B57" s="1549"/>
      <c r="C57" s="3910"/>
      <c r="D57" s="2533"/>
      <c r="F57" s="1549"/>
      <c r="G57" s="1549"/>
      <c r="H57" s="1549"/>
      <c r="I57" s="1549"/>
      <c r="J57" s="1549"/>
      <c r="K57" s="1549"/>
      <c r="L57" s="1550"/>
      <c r="M57" s="1549"/>
      <c r="N57" s="1551"/>
    </row>
    <row r="58" spans="2:16" s="1478" customFormat="1" ht="15">
      <c r="B58" s="1549"/>
      <c r="C58" s="3910"/>
      <c r="D58" s="2533"/>
      <c r="F58" s="1549"/>
      <c r="G58" s="1549"/>
      <c r="H58" s="1549"/>
      <c r="I58" s="1549"/>
      <c r="J58" s="1549"/>
      <c r="K58" s="1549"/>
      <c r="L58" s="1550"/>
      <c r="M58" s="1549"/>
      <c r="N58" s="1551"/>
    </row>
    <row r="59" spans="2:16" s="1478" customFormat="1" ht="15">
      <c r="B59" s="1549"/>
      <c r="C59" s="3910"/>
      <c r="D59" s="2533"/>
      <c r="F59" s="1549"/>
      <c r="G59" s="1549"/>
      <c r="H59" s="1549"/>
      <c r="I59" s="1549"/>
      <c r="J59" s="1549"/>
      <c r="K59" s="1549"/>
      <c r="L59" s="1550"/>
      <c r="M59" s="1549"/>
      <c r="N59" s="1551"/>
    </row>
    <row r="60" spans="2:16" s="1478" customFormat="1" ht="15">
      <c r="B60" s="1549"/>
      <c r="C60" s="3910"/>
      <c r="D60" s="2533"/>
      <c r="F60" s="1549"/>
      <c r="G60" s="1549"/>
      <c r="H60" s="1549"/>
      <c r="I60" s="1549"/>
      <c r="J60" s="1549"/>
      <c r="K60" s="1549"/>
      <c r="L60" s="1550"/>
      <c r="M60" s="1549"/>
      <c r="N60" s="1551"/>
    </row>
    <row r="61" spans="2:16" s="1478" customFormat="1" ht="15">
      <c r="B61" s="1549"/>
      <c r="C61" s="3910"/>
      <c r="D61" s="2533"/>
      <c r="F61" s="1549"/>
      <c r="G61" s="1549"/>
      <c r="H61" s="1549"/>
      <c r="I61" s="1549"/>
      <c r="J61" s="1549"/>
      <c r="K61" s="1549"/>
      <c r="L61" s="1550"/>
      <c r="M61" s="1549"/>
      <c r="N61" s="1551"/>
    </row>
    <row r="62" spans="2:16" s="1478" customFormat="1" ht="15">
      <c r="B62" s="1549"/>
      <c r="C62" s="3910"/>
      <c r="D62" s="3909"/>
      <c r="F62" s="1549"/>
      <c r="G62" s="1549"/>
      <c r="H62" s="1549"/>
      <c r="I62" s="1549"/>
      <c r="J62" s="1549"/>
      <c r="K62" s="1549"/>
      <c r="L62" s="1550"/>
      <c r="M62" s="1549"/>
      <c r="N62" s="1551"/>
    </row>
    <row r="63" spans="2:16" s="1478" customFormat="1" ht="15">
      <c r="B63" s="1549"/>
      <c r="C63" s="3910"/>
      <c r="D63" s="3909"/>
      <c r="F63" s="1549"/>
      <c r="G63" s="1549"/>
      <c r="H63" s="1549"/>
      <c r="I63" s="1549"/>
      <c r="J63" s="1549"/>
      <c r="K63" s="1549"/>
      <c r="L63" s="1550"/>
      <c r="M63" s="1549"/>
      <c r="N63" s="1551"/>
    </row>
    <row r="64" spans="2:16" s="3909" customFormat="1" ht="15">
      <c r="B64" s="1549"/>
      <c r="C64" s="3910"/>
      <c r="E64" s="1478"/>
      <c r="F64" s="1549"/>
      <c r="G64" s="1549"/>
      <c r="H64" s="1549"/>
      <c r="I64" s="1549"/>
      <c r="J64" s="1549"/>
      <c r="K64" s="1549"/>
      <c r="L64" s="1550"/>
      <c r="M64" s="1549"/>
      <c r="N64" s="1551"/>
    </row>
    <row r="65" spans="2:14" s="3909" customFormat="1" ht="15">
      <c r="B65" s="1549"/>
      <c r="C65" s="3910"/>
      <c r="E65" s="1478"/>
      <c r="F65" s="1549"/>
      <c r="G65" s="1549"/>
      <c r="H65" s="1549"/>
      <c r="I65" s="1549"/>
      <c r="J65" s="1549"/>
      <c r="K65" s="1549"/>
      <c r="L65" s="1550"/>
      <c r="M65" s="1549"/>
      <c r="N65" s="1551"/>
    </row>
    <row r="66" spans="2:14" s="3909" customFormat="1">
      <c r="B66" s="1549"/>
      <c r="C66" s="1486"/>
      <c r="E66" s="1478"/>
      <c r="F66" s="1549"/>
      <c r="G66" s="1549"/>
      <c r="H66" s="1549"/>
      <c r="I66" s="1549"/>
      <c r="J66" s="1549"/>
      <c r="K66" s="1549"/>
      <c r="L66" s="1550"/>
      <c r="M66" s="1549"/>
      <c r="N66" s="1551"/>
    </row>
  </sheetData>
  <mergeCells count="1">
    <mergeCell ref="A1:K1"/>
  </mergeCells>
  <hyperlinks>
    <hyperlink ref="A1" location="GLOBAAL!A1" display="Investeringssubsidies" xr:uid="{00000000-0004-0000-4000-000000000000}"/>
    <hyperlink ref="A1:J1" location="FINANCIËN!A1" display="Investeringssubsidies" xr:uid="{00000000-0004-0000-4000-000001000000}"/>
    <hyperlink ref="R31" r:id="rId1" xr:uid="{00000000-0004-0000-4000-000002000000}"/>
    <hyperlink ref="R32" r:id="rId2" xr:uid="{00000000-0004-0000-4000-000003000000}"/>
    <hyperlink ref="R33" r:id="rId3" xr:uid="{00000000-0004-0000-4000-000004000000}"/>
    <hyperlink ref="R17" r:id="rId4" xr:uid="{00000000-0004-0000-4000-000005000000}"/>
    <hyperlink ref="R22" r:id="rId5" xr:uid="{00000000-0004-0000-4000-000006000000}"/>
    <hyperlink ref="R21" r:id="rId6" xr:uid="{00000000-0004-0000-4000-000007000000}"/>
    <hyperlink ref="R29" r:id="rId7" xr:uid="{00000000-0004-0000-4000-000008000000}"/>
    <hyperlink ref="S29" r:id="rId8" xr:uid="{00000000-0004-0000-4000-000009000000}"/>
    <hyperlink ref="R36" r:id="rId9" xr:uid="{00000000-0004-0000-4000-00000A000000}"/>
    <hyperlink ref="R37" r:id="rId10" xr:uid="{00000000-0004-0000-4000-00000B000000}"/>
    <hyperlink ref="S37" r:id="rId11" xr:uid="{00000000-0004-0000-4000-00000C000000}"/>
    <hyperlink ref="R38" r:id="rId12" xr:uid="{00000000-0004-0000-4000-00000D000000}"/>
    <hyperlink ref="R39" r:id="rId13" xr:uid="{00000000-0004-0000-4000-00000E000000}"/>
    <hyperlink ref="R40" r:id="rId14" xr:uid="{00000000-0004-0000-4000-00000F000000}"/>
    <hyperlink ref="R41" r:id="rId15" xr:uid="{00000000-0004-0000-4000-000010000000}"/>
    <hyperlink ref="R42" r:id="rId16" xr:uid="{00000000-0004-0000-4000-000011000000}"/>
    <hyperlink ref="S42" r:id="rId17" xr:uid="{00000000-0004-0000-4000-000012000000}"/>
    <hyperlink ref="R28" r:id="rId18" xr:uid="{00000000-0004-0000-4000-000013000000}"/>
    <hyperlink ref="R35" r:id="rId19" xr:uid="{00000000-0004-0000-4000-000014000000}"/>
    <hyperlink ref="S35" r:id="rId20" xr:uid="{00000000-0004-0000-4000-000015000000}"/>
    <hyperlink ref="R43" r:id="rId21" xr:uid="{00000000-0004-0000-4000-000016000000}"/>
    <hyperlink ref="R24" r:id="rId22" xr:uid="{00000000-0004-0000-4000-000017000000}"/>
  </hyperlinks>
  <pageMargins left="3.937007874015748E-2" right="3.937007874015748E-2" top="0.15748031496062992" bottom="0.15748031496062992" header="0.31496062992125984" footer="0.31496062992125984"/>
  <pageSetup paperSize="8" orientation="portrait" copies="2" r:id="rId23"/>
  <headerFooter alignWithMargins="0"/>
  <legacyDrawing r:id="rId24"/>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EBD531"/>
  </sheetPr>
  <dimension ref="A1:M66"/>
  <sheetViews>
    <sheetView zoomScaleNormal="100" workbookViewId="0">
      <selection activeCell="F12" sqref="F12"/>
    </sheetView>
  </sheetViews>
  <sheetFormatPr defaultColWidth="9.140625" defaultRowHeight="12.75"/>
  <cols>
    <col min="1" max="1" width="39.28515625" style="395" customWidth="1"/>
    <col min="2" max="2" width="14.7109375" style="1478" customWidth="1"/>
    <col min="3" max="3" width="5.7109375" style="1478" customWidth="1"/>
    <col min="4" max="4" width="15.42578125" style="1549" customWidth="1"/>
    <col min="5" max="5" width="11.7109375" style="1549" customWidth="1"/>
    <col min="6" max="6" width="11.85546875" style="1549" customWidth="1"/>
    <col min="7" max="7" width="11.28515625" style="1549" customWidth="1"/>
    <col min="8" max="8" width="10.85546875" style="1549" customWidth="1"/>
    <col min="9" max="9" width="10" style="1549" customWidth="1"/>
    <col min="10" max="10" width="14.5703125" style="1550" customWidth="1"/>
    <col min="11" max="11" width="15.42578125" style="1549" bestFit="1" customWidth="1"/>
    <col min="12" max="12" width="11.42578125" style="1551" bestFit="1" customWidth="1"/>
    <col min="13" max="13" width="13.85546875" style="395" bestFit="1" customWidth="1"/>
    <col min="14" max="16" width="9.140625" style="395"/>
    <col min="17" max="17" width="13.140625" style="395" bestFit="1" customWidth="1"/>
    <col min="18" max="16384" width="9.140625" style="395"/>
  </cols>
  <sheetData>
    <row r="1" spans="1:13" ht="21">
      <c r="A1" s="4757" t="s">
        <v>50</v>
      </c>
      <c r="B1" s="4758"/>
      <c r="C1" s="4758"/>
      <c r="D1" s="4758"/>
      <c r="E1" s="4758"/>
      <c r="F1" s="4758"/>
      <c r="G1" s="4758"/>
      <c r="H1" s="4758"/>
      <c r="I1" s="4758"/>
    </row>
    <row r="2" spans="1:13" ht="13.5" thickBot="1"/>
    <row r="3" spans="1:13" s="1579" customFormat="1" ht="21" customHeight="1" thickBot="1">
      <c r="A3" s="1580" t="s">
        <v>2587</v>
      </c>
      <c r="B3" s="1581"/>
      <c r="C3" s="1581"/>
      <c r="D3" s="1582"/>
      <c r="E3" s="1582"/>
      <c r="F3" s="1582"/>
      <c r="G3" s="1582"/>
      <c r="H3" s="1582"/>
      <c r="I3" s="1582"/>
      <c r="J3" s="1583"/>
      <c r="K3" s="1584"/>
      <c r="L3" s="1578"/>
    </row>
    <row r="4" spans="1:13" ht="13.5" thickBot="1">
      <c r="A4" s="1552"/>
      <c r="B4" s="1553"/>
      <c r="C4" s="1553"/>
      <c r="D4" s="1554"/>
      <c r="E4" s="1554"/>
      <c r="F4" s="1554"/>
      <c r="G4" s="1554"/>
      <c r="H4" s="1554"/>
      <c r="I4" s="1554"/>
      <c r="J4" s="1555"/>
      <c r="K4" s="1554"/>
    </row>
    <row r="5" spans="1:13" ht="12.75" customHeight="1" thickBot="1">
      <c r="A5" s="1556" t="s">
        <v>2588</v>
      </c>
      <c r="B5" s="1557" t="s">
        <v>2589</v>
      </c>
      <c r="C5" s="1557" t="s">
        <v>2590</v>
      </c>
      <c r="D5" s="1558" t="s">
        <v>2591</v>
      </c>
      <c r="E5" s="1558" t="s">
        <v>2592</v>
      </c>
      <c r="F5" s="1558" t="s">
        <v>2593</v>
      </c>
      <c r="G5" s="1558" t="s">
        <v>2594</v>
      </c>
      <c r="H5" s="1558" t="s">
        <v>2595</v>
      </c>
      <c r="I5" s="1558"/>
      <c r="J5" s="1559" t="s">
        <v>2596</v>
      </c>
      <c r="K5" s="1560" t="s">
        <v>660</v>
      </c>
    </row>
    <row r="6" spans="1:13" hidden="1">
      <c r="A6" s="1561" t="s">
        <v>2597</v>
      </c>
      <c r="B6" s="1562" t="s">
        <v>2598</v>
      </c>
      <c r="C6" s="1562">
        <v>1095</v>
      </c>
      <c r="D6" s="1563">
        <f>407943.53-92375.81</f>
        <v>315567.72000000003</v>
      </c>
      <c r="E6" s="1564">
        <v>273000</v>
      </c>
      <c r="F6" s="1564">
        <v>42567.72</v>
      </c>
      <c r="G6" s="1564"/>
      <c r="H6" s="1564"/>
      <c r="I6" s="1564"/>
      <c r="J6" s="1564">
        <f t="shared" ref="J6:J13" si="0">E6+F6+G6+H6</f>
        <v>315567.71999999997</v>
      </c>
      <c r="K6" s="1565">
        <f t="shared" ref="K6:K13" si="1">D6-J6</f>
        <v>0</v>
      </c>
    </row>
    <row r="7" spans="1:13" hidden="1">
      <c r="A7" s="1561" t="s">
        <v>2599</v>
      </c>
      <c r="B7" s="1562" t="s">
        <v>2600</v>
      </c>
      <c r="C7" s="1562">
        <v>1092</v>
      </c>
      <c r="D7" s="1563">
        <v>105720.48</v>
      </c>
      <c r="E7" s="1564">
        <v>84000</v>
      </c>
      <c r="F7" s="1564">
        <v>21720.48</v>
      </c>
      <c r="G7" s="1564"/>
      <c r="H7" s="1564"/>
      <c r="I7" s="1564"/>
      <c r="J7" s="1564">
        <f t="shared" si="0"/>
        <v>105720.48</v>
      </c>
      <c r="K7" s="1565">
        <f t="shared" si="1"/>
        <v>0</v>
      </c>
      <c r="L7" s="1551" t="s">
        <v>2601</v>
      </c>
    </row>
    <row r="8" spans="1:13" hidden="1">
      <c r="A8" s="1561" t="s">
        <v>2602</v>
      </c>
      <c r="B8" s="1562" t="s">
        <v>2603</v>
      </c>
      <c r="C8" s="1562">
        <v>1093</v>
      </c>
      <c r="D8" s="1563">
        <f>91851.52+614419.75-12073.8-101342.02</f>
        <v>592855.44999999995</v>
      </c>
      <c r="E8" s="1564">
        <v>72000</v>
      </c>
      <c r="F8" s="1564">
        <v>405000</v>
      </c>
      <c r="G8" s="1564">
        <v>7777.72</v>
      </c>
      <c r="H8" s="1564">
        <v>108077.73</v>
      </c>
      <c r="I8" s="1564"/>
      <c r="J8" s="1564">
        <f t="shared" si="0"/>
        <v>592855.44999999995</v>
      </c>
      <c r="K8" s="1565">
        <f t="shared" si="1"/>
        <v>0</v>
      </c>
      <c r="L8" s="1551" t="s">
        <v>2604</v>
      </c>
      <c r="M8" s="395" t="s">
        <v>2605</v>
      </c>
    </row>
    <row r="9" spans="1:13">
      <c r="A9" s="1561" t="s">
        <v>2606</v>
      </c>
      <c r="B9" s="1562" t="s">
        <v>2607</v>
      </c>
      <c r="C9" s="1562">
        <v>1123</v>
      </c>
      <c r="D9" s="1563">
        <v>1089145.01</v>
      </c>
      <c r="E9" s="1564">
        <v>784000</v>
      </c>
      <c r="F9" s="1564"/>
      <c r="G9" s="1564"/>
      <c r="H9" s="1564"/>
      <c r="I9" s="1564"/>
      <c r="J9" s="1564">
        <f t="shared" si="0"/>
        <v>784000</v>
      </c>
      <c r="K9" s="1565">
        <f t="shared" si="1"/>
        <v>305145.01</v>
      </c>
      <c r="L9" s="1551" t="s">
        <v>2608</v>
      </c>
    </row>
    <row r="10" spans="1:13">
      <c r="A10" s="1561" t="s">
        <v>2609</v>
      </c>
      <c r="B10" s="1562"/>
      <c r="C10" s="1562"/>
      <c r="D10" s="1563"/>
      <c r="E10" s="1588">
        <v>470000</v>
      </c>
      <c r="F10" s="1588">
        <v>147581.53</v>
      </c>
      <c r="G10" s="1564"/>
      <c r="H10" s="1564"/>
      <c r="I10" s="1564"/>
      <c r="J10" s="1564">
        <f t="shared" si="0"/>
        <v>617581.53</v>
      </c>
      <c r="K10" s="1565">
        <f t="shared" si="1"/>
        <v>-617581.53</v>
      </c>
    </row>
    <row r="11" spans="1:13">
      <c r="A11" s="1561" t="s">
        <v>2610</v>
      </c>
      <c r="B11" s="1562"/>
      <c r="C11" s="1562"/>
      <c r="D11" s="1563">
        <v>149030.48000000001</v>
      </c>
      <c r="E11" s="1587">
        <v>106000</v>
      </c>
      <c r="F11" s="1564"/>
      <c r="G11" s="1564"/>
      <c r="H11" s="1564"/>
      <c r="I11" s="1564"/>
      <c r="J11" s="1564">
        <f t="shared" si="0"/>
        <v>106000</v>
      </c>
      <c r="K11" s="1565">
        <f t="shared" si="1"/>
        <v>43030.48000000001</v>
      </c>
      <c r="L11" s="1551" t="s">
        <v>2611</v>
      </c>
      <c r="M11" s="395" t="s">
        <v>2612</v>
      </c>
    </row>
    <row r="12" spans="1:13">
      <c r="A12" s="1561" t="s">
        <v>2613</v>
      </c>
      <c r="B12" s="1562"/>
      <c r="C12" s="1562"/>
      <c r="D12" s="1563">
        <v>225575.72</v>
      </c>
      <c r="E12" s="1587">
        <v>80000</v>
      </c>
      <c r="F12" s="1564"/>
      <c r="G12" s="1564"/>
      <c r="H12" s="1564"/>
      <c r="I12" s="1564"/>
      <c r="J12" s="1564">
        <f t="shared" si="0"/>
        <v>80000</v>
      </c>
      <c r="K12" s="1565">
        <f t="shared" si="1"/>
        <v>145575.72</v>
      </c>
      <c r="L12" s="1551" t="s">
        <v>2614</v>
      </c>
      <c r="M12" s="395" t="s">
        <v>2612</v>
      </c>
    </row>
    <row r="13" spans="1:13">
      <c r="A13" s="1561" t="s">
        <v>2615</v>
      </c>
      <c r="B13" s="1562"/>
      <c r="C13" s="1562"/>
      <c r="D13" s="1563">
        <v>785152.98</v>
      </c>
      <c r="E13" s="1587">
        <v>628000</v>
      </c>
      <c r="F13" s="1564"/>
      <c r="G13" s="1564"/>
      <c r="H13" s="1564"/>
      <c r="I13" s="1564"/>
      <c r="J13" s="1564">
        <f t="shared" si="0"/>
        <v>628000</v>
      </c>
      <c r="K13" s="1565">
        <f t="shared" si="1"/>
        <v>157152.97999999998</v>
      </c>
      <c r="L13" s="1551" t="s">
        <v>2616</v>
      </c>
    </row>
    <row r="14" spans="1:13">
      <c r="A14" s="1561" t="s">
        <v>2617</v>
      </c>
      <c r="B14" s="1562"/>
      <c r="C14" s="1562"/>
      <c r="D14" s="1563">
        <v>311640.09000000003</v>
      </c>
      <c r="E14" s="1564"/>
      <c r="F14" s="1564"/>
      <c r="G14" s="1564"/>
      <c r="H14" s="1564"/>
      <c r="I14" s="1564"/>
      <c r="J14" s="1564">
        <f>E14+F14+G14+H14</f>
        <v>0</v>
      </c>
      <c r="K14" s="1565">
        <f>D14-J14</f>
        <v>311640.09000000003</v>
      </c>
      <c r="L14" s="1551" t="s">
        <v>2618</v>
      </c>
      <c r="M14" s="395" t="s">
        <v>2612</v>
      </c>
    </row>
    <row r="15" spans="1:13">
      <c r="A15" s="1561" t="s">
        <v>2617</v>
      </c>
      <c r="B15" s="1562"/>
      <c r="C15" s="1562"/>
      <c r="D15" s="1563">
        <v>1863752.89</v>
      </c>
      <c r="E15" s="1564"/>
      <c r="F15" s="1564"/>
      <c r="G15" s="1564"/>
      <c r="H15" s="1564"/>
      <c r="I15" s="1564"/>
      <c r="J15" s="1564">
        <f>E15+F15+G15+H15</f>
        <v>0</v>
      </c>
      <c r="K15" s="1565">
        <f>D15-J15</f>
        <v>1863752.89</v>
      </c>
      <c r="L15" s="1551" t="s">
        <v>2619</v>
      </c>
      <c r="M15" s="395" t="s">
        <v>2612</v>
      </c>
    </row>
    <row r="16" spans="1:13" ht="13.5" thickBot="1">
      <c r="A16" s="1561" t="s">
        <v>2620</v>
      </c>
      <c r="B16" s="1562"/>
      <c r="C16" s="1562"/>
      <c r="D16" s="1563">
        <v>180532.02</v>
      </c>
      <c r="E16" s="1588">
        <v>29666.75</v>
      </c>
      <c r="F16" s="1588">
        <v>10155.219999999999</v>
      </c>
      <c r="G16" s="1588">
        <v>25706.82</v>
      </c>
      <c r="H16" s="1564"/>
      <c r="I16" s="1564"/>
      <c r="J16" s="1564">
        <f>E16+F16+G16+H16</f>
        <v>65528.79</v>
      </c>
      <c r="K16" s="1565">
        <f>D16-J16</f>
        <v>115003.22999999998</v>
      </c>
      <c r="L16" s="1590" t="s">
        <v>2621</v>
      </c>
    </row>
    <row r="17" spans="1:12" ht="13.5" thickBot="1">
      <c r="A17" s="1566"/>
      <c r="B17" s="1585"/>
      <c r="C17" s="1585"/>
      <c r="D17" s="1586">
        <f>SUM(D6:D16)</f>
        <v>5618972.8399999999</v>
      </c>
      <c r="E17" s="1567"/>
      <c r="F17" s="1567"/>
      <c r="G17" s="1567"/>
      <c r="H17" s="1567"/>
      <c r="I17" s="1567"/>
      <c r="J17" s="1586">
        <f>SUM(J6:J16)</f>
        <v>3295253.9699999997</v>
      </c>
      <c r="K17" s="1568">
        <f>SUM(K6:K16)</f>
        <v>2323718.8699999996</v>
      </c>
    </row>
    <row r="18" spans="1:12" ht="13.5" thickBot="1">
      <c r="A18" s="1552"/>
      <c r="B18" s="1553"/>
      <c r="C18" s="1553"/>
      <c r="D18" s="1554"/>
      <c r="E18" s="1554"/>
      <c r="F18" s="1554"/>
      <c r="G18" s="1554"/>
      <c r="H18" s="1554"/>
      <c r="I18" s="1554"/>
      <c r="J18" s="1555"/>
      <c r="K18" s="1554"/>
    </row>
    <row r="19" spans="1:12" s="1579" customFormat="1" ht="21" customHeight="1" thickBot="1">
      <c r="A19" s="1580" t="s">
        <v>2622</v>
      </c>
      <c r="B19" s="1581"/>
      <c r="C19" s="1581"/>
      <c r="D19" s="1582"/>
      <c r="E19" s="1582"/>
      <c r="F19" s="1582"/>
      <c r="G19" s="1582"/>
      <c r="H19" s="1582"/>
      <c r="I19" s="1582"/>
      <c r="J19" s="1583"/>
      <c r="K19" s="1584"/>
      <c r="L19" s="1578"/>
    </row>
    <row r="20" spans="1:12" ht="13.5" thickBot="1">
      <c r="A20" s="1552"/>
      <c r="B20" s="1553"/>
      <c r="C20" s="1553"/>
      <c r="D20" s="1554"/>
      <c r="E20" s="1554"/>
      <c r="F20" s="1554"/>
      <c r="G20" s="1554"/>
      <c r="H20" s="1554"/>
      <c r="I20" s="1554"/>
      <c r="J20" s="1555"/>
      <c r="K20" s="1554"/>
    </row>
    <row r="21" spans="1:12" ht="13.5" thickBot="1">
      <c r="A21" s="1556" t="s">
        <v>2588</v>
      </c>
      <c r="B21" s="1557" t="s">
        <v>2589</v>
      </c>
      <c r="C21" s="1557" t="s">
        <v>2590</v>
      </c>
      <c r="D21" s="1558" t="s">
        <v>2591</v>
      </c>
      <c r="E21" s="1558" t="s">
        <v>2592</v>
      </c>
      <c r="F21" s="1558" t="s">
        <v>2593</v>
      </c>
      <c r="G21" s="1558" t="s">
        <v>2594</v>
      </c>
      <c r="H21" s="1558" t="s">
        <v>2595</v>
      </c>
      <c r="I21" s="1558"/>
      <c r="J21" s="1559" t="s">
        <v>2596</v>
      </c>
      <c r="K21" s="1559" t="s">
        <v>660</v>
      </c>
    </row>
    <row r="22" spans="1:12" s="1552" customFormat="1" hidden="1">
      <c r="A22" s="1561" t="s">
        <v>2623</v>
      </c>
      <c r="B22" s="1562" t="s">
        <v>2624</v>
      </c>
      <c r="C22" s="1562">
        <v>1040</v>
      </c>
      <c r="D22" s="1563">
        <f>14396.89-14396.89</f>
        <v>0</v>
      </c>
      <c r="E22" s="1564"/>
      <c r="F22" s="1564"/>
      <c r="G22" s="1564"/>
      <c r="H22" s="1564"/>
      <c r="I22" s="1564"/>
      <c r="J22" s="1564">
        <f t="shared" ref="J22:J31" si="2">E22+F22+G22+H22</f>
        <v>0</v>
      </c>
      <c r="K22" s="1563">
        <f t="shared" ref="K22:K31" si="3">D22-J22</f>
        <v>0</v>
      </c>
      <c r="L22" s="1571"/>
    </row>
    <row r="23" spans="1:12" hidden="1">
      <c r="A23" s="1561" t="s">
        <v>2625</v>
      </c>
      <c r="B23" s="1562" t="s">
        <v>2626</v>
      </c>
      <c r="C23" s="1562">
        <v>1066</v>
      </c>
      <c r="D23" s="1563">
        <f>6802.92-1152.84</f>
        <v>5650.08</v>
      </c>
      <c r="E23" s="1564">
        <v>5650.08</v>
      </c>
      <c r="F23" s="1564"/>
      <c r="G23" s="1564"/>
      <c r="H23" s="1564"/>
      <c r="I23" s="1564"/>
      <c r="J23" s="1564">
        <f t="shared" si="2"/>
        <v>5650.08</v>
      </c>
      <c r="K23" s="1563">
        <f t="shared" si="3"/>
        <v>0</v>
      </c>
    </row>
    <row r="24" spans="1:12" hidden="1">
      <c r="A24" s="1561" t="s">
        <v>2627</v>
      </c>
      <c r="B24" s="1562" t="s">
        <v>2628</v>
      </c>
      <c r="C24" s="1562">
        <v>1067</v>
      </c>
      <c r="D24" s="1563">
        <f>2267.64-384.28</f>
        <v>1883.36</v>
      </c>
      <c r="E24" s="1564">
        <v>1883.36</v>
      </c>
      <c r="F24" s="1564"/>
      <c r="G24" s="1564"/>
      <c r="H24" s="1564"/>
      <c r="I24" s="1564"/>
      <c r="J24" s="1564">
        <f t="shared" si="2"/>
        <v>1883.36</v>
      </c>
      <c r="K24" s="1563">
        <f t="shared" si="3"/>
        <v>0</v>
      </c>
    </row>
    <row r="25" spans="1:12" hidden="1">
      <c r="A25" s="1561" t="s">
        <v>2629</v>
      </c>
      <c r="B25" s="1562" t="s">
        <v>2630</v>
      </c>
      <c r="C25" s="1562">
        <v>1110</v>
      </c>
      <c r="D25" s="1563">
        <f>265268.18-7913.98</f>
        <v>257354.19999999998</v>
      </c>
      <c r="E25" s="1564">
        <v>66317.039999999994</v>
      </c>
      <c r="F25" s="1564">
        <v>191037.16</v>
      </c>
      <c r="G25" s="1564"/>
      <c r="H25" s="1564"/>
      <c r="I25" s="1564"/>
      <c r="J25" s="1564">
        <f t="shared" si="2"/>
        <v>257354.2</v>
      </c>
      <c r="K25" s="1572">
        <f t="shared" si="3"/>
        <v>0</v>
      </c>
    </row>
    <row r="26" spans="1:12" hidden="1">
      <c r="A26" s="1561" t="s">
        <v>2631</v>
      </c>
      <c r="B26" s="1562" t="s">
        <v>2632</v>
      </c>
      <c r="C26" s="1562">
        <v>1111</v>
      </c>
      <c r="D26" s="1563">
        <f>88422.73-2638</f>
        <v>85784.73</v>
      </c>
      <c r="E26" s="1564">
        <v>22105.68</v>
      </c>
      <c r="F26" s="1564">
        <v>63679.05</v>
      </c>
      <c r="G26" s="1564"/>
      <c r="H26" s="1564"/>
      <c r="I26" s="1564"/>
      <c r="J26" s="1564">
        <f t="shared" si="2"/>
        <v>85784.73000000001</v>
      </c>
      <c r="K26" s="1572">
        <f t="shared" si="3"/>
        <v>0</v>
      </c>
    </row>
    <row r="27" spans="1:12">
      <c r="A27" s="1561" t="s">
        <v>2633</v>
      </c>
      <c r="B27" s="1562" t="s">
        <v>2634</v>
      </c>
      <c r="C27" s="1562">
        <v>1106</v>
      </c>
      <c r="D27" s="1563">
        <v>2760</v>
      </c>
      <c r="E27" s="1564"/>
      <c r="F27" s="1564"/>
      <c r="G27" s="1564"/>
      <c r="H27" s="1564"/>
      <c r="I27" s="1564"/>
      <c r="J27" s="1564">
        <f t="shared" si="2"/>
        <v>0</v>
      </c>
      <c r="K27" s="1563">
        <f t="shared" si="3"/>
        <v>2760</v>
      </c>
    </row>
    <row r="28" spans="1:12" hidden="1">
      <c r="A28" s="1561" t="s">
        <v>2635</v>
      </c>
      <c r="B28" s="1562" t="s">
        <v>2636</v>
      </c>
      <c r="C28" s="1562">
        <v>1109</v>
      </c>
      <c r="D28" s="1563">
        <v>10533.45</v>
      </c>
      <c r="E28" s="1564">
        <v>10533.45</v>
      </c>
      <c r="F28" s="1564"/>
      <c r="G28" s="1564"/>
      <c r="H28" s="1564"/>
      <c r="I28" s="1564"/>
      <c r="J28" s="1564">
        <f t="shared" si="2"/>
        <v>10533.45</v>
      </c>
      <c r="K28" s="1563">
        <f t="shared" si="3"/>
        <v>0</v>
      </c>
    </row>
    <row r="29" spans="1:12" hidden="1">
      <c r="A29" s="1561" t="s">
        <v>2637</v>
      </c>
      <c r="B29" s="1562" t="s">
        <v>2638</v>
      </c>
      <c r="C29" s="1562">
        <v>1146</v>
      </c>
      <c r="D29" s="1563">
        <f>12650+100</f>
        <v>12750</v>
      </c>
      <c r="E29" s="1564">
        <v>12750</v>
      </c>
      <c r="F29" s="1564"/>
      <c r="G29" s="1564"/>
      <c r="H29" s="1564"/>
      <c r="I29" s="1564"/>
      <c r="J29" s="1564">
        <f t="shared" si="2"/>
        <v>12750</v>
      </c>
      <c r="K29" s="1563">
        <f t="shared" si="3"/>
        <v>0</v>
      </c>
    </row>
    <row r="30" spans="1:12">
      <c r="A30" s="1561" t="s">
        <v>2639</v>
      </c>
      <c r="B30" s="1562" t="s">
        <v>2640</v>
      </c>
      <c r="C30" s="1562">
        <v>1121</v>
      </c>
      <c r="D30" s="1563">
        <f>236530.75+7763.99</f>
        <v>244294.74</v>
      </c>
      <c r="E30" s="1564">
        <v>59132.69</v>
      </c>
      <c r="F30" s="1588">
        <f>177398.06</f>
        <v>177398.06</v>
      </c>
      <c r="G30" s="1564"/>
      <c r="H30" s="1564"/>
      <c r="I30" s="1564"/>
      <c r="J30" s="1564">
        <f t="shared" si="2"/>
        <v>236530.75</v>
      </c>
      <c r="K30" s="1563">
        <f t="shared" si="3"/>
        <v>7763.9899999999907</v>
      </c>
    </row>
    <row r="31" spans="1:12">
      <c r="A31" s="1561" t="s">
        <v>2641</v>
      </c>
      <c r="B31" s="1562" t="s">
        <v>2642</v>
      </c>
      <c r="C31" s="1562">
        <v>1122</v>
      </c>
      <c r="D31" s="1563">
        <f>78843.58+2588</f>
        <v>81431.58</v>
      </c>
      <c r="E31" s="1564">
        <v>19710.900000000001</v>
      </c>
      <c r="F31" s="1564">
        <v>39421.79</v>
      </c>
      <c r="G31" s="1588">
        <v>10351.99</v>
      </c>
      <c r="H31" s="1588">
        <v>51867.83</v>
      </c>
      <c r="I31" s="1564"/>
      <c r="J31" s="1564">
        <f t="shared" si="2"/>
        <v>121352.51000000001</v>
      </c>
      <c r="K31" s="1563">
        <f t="shared" si="3"/>
        <v>-39920.930000000008</v>
      </c>
    </row>
    <row r="32" spans="1:12">
      <c r="A32" s="1561" t="s">
        <v>2643</v>
      </c>
      <c r="B32" s="1562" t="s">
        <v>2644</v>
      </c>
      <c r="C32" s="1562">
        <v>1132</v>
      </c>
      <c r="D32" s="1563">
        <v>20498.07</v>
      </c>
      <c r="E32" s="1588">
        <v>20498.07</v>
      </c>
      <c r="F32" s="1564"/>
      <c r="G32" s="1564"/>
      <c r="H32" s="1564"/>
      <c r="I32" s="1564"/>
      <c r="J32" s="1564">
        <f>E32+F32+G32+H32</f>
        <v>20498.07</v>
      </c>
      <c r="K32" s="1563">
        <f>D32-J32</f>
        <v>0</v>
      </c>
    </row>
    <row r="33" spans="1:13">
      <c r="A33" s="1561" t="s">
        <v>2645</v>
      </c>
      <c r="B33" s="1562" t="s">
        <v>2646</v>
      </c>
      <c r="C33" s="1562">
        <v>1133</v>
      </c>
      <c r="D33" s="1563">
        <v>6832.69</v>
      </c>
      <c r="E33" s="1588">
        <v>6672.65</v>
      </c>
      <c r="F33" s="1564"/>
      <c r="G33" s="1564"/>
      <c r="H33" s="1564"/>
      <c r="I33" s="1564"/>
      <c r="J33" s="1564">
        <f>E33+F33+G33+H33</f>
        <v>6672.65</v>
      </c>
      <c r="K33" s="1563">
        <f>D33-J33</f>
        <v>160.03999999999996</v>
      </c>
    </row>
    <row r="34" spans="1:13">
      <c r="A34" s="1561" t="s">
        <v>2647</v>
      </c>
      <c r="B34" s="1562" t="s">
        <v>2648</v>
      </c>
      <c r="C34" s="1562">
        <v>1142</v>
      </c>
      <c r="D34" s="1563">
        <v>39832.57</v>
      </c>
      <c r="E34" s="1588">
        <v>30980.89</v>
      </c>
      <c r="F34" s="1564"/>
      <c r="G34" s="1564"/>
      <c r="H34" s="1564"/>
      <c r="I34" s="1564"/>
      <c r="J34" s="1564">
        <f>E34+F34+G34+H34</f>
        <v>30980.89</v>
      </c>
      <c r="K34" s="1563">
        <f>D34-J34</f>
        <v>8851.68</v>
      </c>
    </row>
    <row r="35" spans="1:13">
      <c r="A35" s="1561" t="s">
        <v>2649</v>
      </c>
      <c r="B35" s="1562" t="s">
        <v>2650</v>
      </c>
      <c r="C35" s="1562">
        <v>1143</v>
      </c>
      <c r="D35" s="1563">
        <v>13277.52</v>
      </c>
      <c r="E35" s="1588">
        <v>5532.3</v>
      </c>
      <c r="F35" s="1564"/>
      <c r="G35" s="1564"/>
      <c r="H35" s="1564"/>
      <c r="I35" s="1564"/>
      <c r="J35" s="1564">
        <f>E35+F35+G35+H35</f>
        <v>5532.3</v>
      </c>
      <c r="K35" s="1563">
        <f>D35-J35</f>
        <v>7745.22</v>
      </c>
    </row>
    <row r="36" spans="1:13">
      <c r="A36" s="1561" t="s">
        <v>2651</v>
      </c>
      <c r="B36" s="1562" t="s">
        <v>2652</v>
      </c>
      <c r="C36" s="1562">
        <v>1149</v>
      </c>
      <c r="D36" s="1563">
        <v>18510</v>
      </c>
      <c r="E36" s="1588">
        <v>19250</v>
      </c>
      <c r="F36" s="1564"/>
      <c r="G36" s="1564"/>
      <c r="H36" s="1564"/>
      <c r="I36" s="1564"/>
      <c r="J36" s="1564">
        <f>E36+F36+G36+H36</f>
        <v>19250</v>
      </c>
      <c r="K36" s="1563">
        <f>D36-J36</f>
        <v>-740</v>
      </c>
    </row>
    <row r="37" spans="1:13" ht="13.5" thickBot="1">
      <c r="A37" s="1561" t="s">
        <v>2653</v>
      </c>
      <c r="B37" s="1562"/>
      <c r="C37" s="1562"/>
      <c r="D37" s="1563">
        <v>13810.08</v>
      </c>
      <c r="E37" s="1564"/>
      <c r="F37" s="1564"/>
      <c r="G37" s="1564"/>
      <c r="H37" s="1564"/>
      <c r="I37" s="1564"/>
      <c r="J37" s="1564"/>
      <c r="K37" s="1563"/>
    </row>
    <row r="38" spans="1:13" s="1552" customFormat="1" ht="13.5" thickBot="1">
      <c r="A38" s="1566"/>
      <c r="B38" s="1585"/>
      <c r="C38" s="1585"/>
      <c r="D38" s="1586">
        <f>SUM(D22:D37)</f>
        <v>815203.06999999972</v>
      </c>
      <c r="E38" s="1567"/>
      <c r="F38" s="1567"/>
      <c r="G38" s="1567"/>
      <c r="H38" s="1567"/>
      <c r="I38" s="1567"/>
      <c r="J38" s="1586">
        <f>SUM(J22:J37)</f>
        <v>814772.99000000011</v>
      </c>
      <c r="K38" s="1573">
        <f>SUM(K22:K37)</f>
        <v>-13380.000000000015</v>
      </c>
      <c r="L38" s="1571"/>
    </row>
    <row r="39" spans="1:13" ht="13.5" thickBot="1">
      <c r="A39" s="1552"/>
      <c r="B39" s="1553"/>
      <c r="C39" s="1553"/>
      <c r="D39" s="1554"/>
      <c r="E39" s="1554"/>
      <c r="F39" s="1554"/>
      <c r="G39" s="1554"/>
      <c r="H39" s="1554"/>
      <c r="I39" s="1554"/>
      <c r="J39" s="1555"/>
      <c r="K39" s="1554"/>
    </row>
    <row r="40" spans="1:13" s="1579" customFormat="1" ht="21" customHeight="1" thickBot="1">
      <c r="A40" s="1580" t="s">
        <v>2654</v>
      </c>
      <c r="B40" s="1581"/>
      <c r="C40" s="1581"/>
      <c r="D40" s="1582"/>
      <c r="E40" s="1582"/>
      <c r="F40" s="1582"/>
      <c r="G40" s="1582"/>
      <c r="H40" s="1582"/>
      <c r="I40" s="1582"/>
      <c r="J40" s="1583"/>
      <c r="K40" s="1584"/>
      <c r="L40" s="1578"/>
    </row>
    <row r="41" spans="1:13" ht="13.5" thickBot="1">
      <c r="A41" s="1552"/>
      <c r="B41" s="1553"/>
      <c r="C41" s="1553"/>
      <c r="D41" s="1554"/>
      <c r="E41" s="1554"/>
      <c r="F41" s="1554"/>
      <c r="G41" s="1554"/>
      <c r="H41" s="1554"/>
      <c r="I41" s="1554"/>
      <c r="J41" s="1555"/>
      <c r="K41" s="1554"/>
    </row>
    <row r="42" spans="1:13" ht="12.75" customHeight="1" thickBot="1">
      <c r="A42" s="1556" t="s">
        <v>2588</v>
      </c>
      <c r="B42" s="1557" t="s">
        <v>2655</v>
      </c>
      <c r="C42" s="1557" t="s">
        <v>2590</v>
      </c>
      <c r="D42" s="1558" t="s">
        <v>2591</v>
      </c>
      <c r="E42" s="1559" t="s">
        <v>2592</v>
      </c>
      <c r="F42" s="1559" t="s">
        <v>2593</v>
      </c>
      <c r="G42" s="1559" t="s">
        <v>2594</v>
      </c>
      <c r="H42" s="1559" t="s">
        <v>2595</v>
      </c>
      <c r="I42" s="1559" t="s">
        <v>2656</v>
      </c>
      <c r="J42" s="1559" t="s">
        <v>2596</v>
      </c>
      <c r="K42" s="1560" t="s">
        <v>660</v>
      </c>
    </row>
    <row r="43" spans="1:13" hidden="1">
      <c r="A43" s="1561" t="s">
        <v>2657</v>
      </c>
      <c r="B43" s="1562" t="s">
        <v>2658</v>
      </c>
      <c r="C43" s="1562">
        <v>1038</v>
      </c>
      <c r="D43" s="1563">
        <v>2500</v>
      </c>
      <c r="E43" s="1564">
        <v>2500</v>
      </c>
      <c r="F43" s="1564"/>
      <c r="G43" s="1564"/>
      <c r="H43" s="1574"/>
      <c r="I43" s="1574"/>
      <c r="J43" s="1564">
        <f t="shared" ref="J43:J49" si="4">E43+F43+G43+H43</f>
        <v>2500</v>
      </c>
      <c r="K43" s="1563">
        <f t="shared" ref="K43:K50" si="5">D43-J43</f>
        <v>0</v>
      </c>
    </row>
    <row r="44" spans="1:13" hidden="1">
      <c r="A44" s="1561" t="s">
        <v>2659</v>
      </c>
      <c r="B44" s="1562" t="s">
        <v>2660</v>
      </c>
      <c r="C44" s="1562">
        <v>1043</v>
      </c>
      <c r="D44" s="1563">
        <f>4*5000-20000</f>
        <v>0</v>
      </c>
      <c r="E44" s="1564"/>
      <c r="F44" s="1564"/>
      <c r="G44" s="1564"/>
      <c r="H44" s="1574"/>
      <c r="I44" s="1574"/>
      <c r="J44" s="1564">
        <f t="shared" si="4"/>
        <v>0</v>
      </c>
      <c r="K44" s="1563">
        <f t="shared" si="5"/>
        <v>0</v>
      </c>
      <c r="L44" s="1569"/>
    </row>
    <row r="45" spans="1:13" hidden="1">
      <c r="A45" s="1561" t="s">
        <v>2661</v>
      </c>
      <c r="B45" s="1562" t="s">
        <v>2662</v>
      </c>
      <c r="C45" s="1562">
        <v>1045</v>
      </c>
      <c r="D45" s="1563">
        <v>8443.3799999999992</v>
      </c>
      <c r="E45" s="1564">
        <v>8443.3799999999992</v>
      </c>
      <c r="F45" s="1564"/>
      <c r="G45" s="1564"/>
      <c r="H45" s="1574"/>
      <c r="I45" s="1574"/>
      <c r="J45" s="1564">
        <f t="shared" si="4"/>
        <v>8443.3799999999992</v>
      </c>
      <c r="K45" s="1563">
        <f t="shared" si="5"/>
        <v>0</v>
      </c>
    </row>
    <row r="46" spans="1:13" hidden="1">
      <c r="A46" s="1561" t="s">
        <v>2663</v>
      </c>
      <c r="B46" s="1562" t="s">
        <v>2664</v>
      </c>
      <c r="C46" s="1562">
        <v>1022</v>
      </c>
      <c r="D46" s="1563">
        <v>6700.9</v>
      </c>
      <c r="E46" s="1564">
        <v>6700.9</v>
      </c>
      <c r="F46" s="1564"/>
      <c r="G46" s="1564"/>
      <c r="H46" s="1574"/>
      <c r="I46" s="1574"/>
      <c r="J46" s="1564">
        <f t="shared" si="4"/>
        <v>6700.9</v>
      </c>
      <c r="K46" s="1563">
        <f t="shared" si="5"/>
        <v>0</v>
      </c>
    </row>
    <row r="47" spans="1:13" hidden="1">
      <c r="A47" s="1561" t="s">
        <v>2665</v>
      </c>
      <c r="B47" s="1562" t="s">
        <v>2666</v>
      </c>
      <c r="C47" s="1562">
        <v>1096</v>
      </c>
      <c r="D47" s="1563">
        <v>86000</v>
      </c>
      <c r="E47" s="1564">
        <v>52606</v>
      </c>
      <c r="F47" s="1564">
        <v>24794</v>
      </c>
      <c r="G47" s="1564">
        <v>8600</v>
      </c>
      <c r="H47" s="1574"/>
      <c r="I47" s="1574"/>
      <c r="J47" s="1564">
        <f t="shared" si="4"/>
        <v>86000</v>
      </c>
      <c r="K47" s="1563">
        <f t="shared" si="5"/>
        <v>0</v>
      </c>
    </row>
    <row r="48" spans="1:13" ht="13.5" hidden="1" customHeight="1">
      <c r="A48" s="1561" t="s">
        <v>2667</v>
      </c>
      <c r="B48" s="1562" t="s">
        <v>2668</v>
      </c>
      <c r="C48" s="1562">
        <v>1115</v>
      </c>
      <c r="D48" s="1563">
        <v>41702.160000000003</v>
      </c>
      <c r="E48" s="1564">
        <v>41702.160000000003</v>
      </c>
      <c r="F48" s="1564"/>
      <c r="G48" s="1564"/>
      <c r="H48" s="1574"/>
      <c r="I48" s="1574"/>
      <c r="J48" s="1564">
        <f t="shared" si="4"/>
        <v>41702.160000000003</v>
      </c>
      <c r="K48" s="1563">
        <f>D48-J48</f>
        <v>0</v>
      </c>
      <c r="M48" s="1549"/>
    </row>
    <row r="49" spans="1:12">
      <c r="A49" s="1561" t="s">
        <v>2669</v>
      </c>
      <c r="B49" s="1562" t="s">
        <v>2670</v>
      </c>
      <c r="C49" s="1562">
        <v>1119</v>
      </c>
      <c r="D49" s="1563">
        <v>56575</v>
      </c>
      <c r="E49" s="1564">
        <v>31826.62</v>
      </c>
      <c r="F49" s="1564">
        <f>15673.38+588.75</f>
        <v>16262.13</v>
      </c>
      <c r="G49" s="1588">
        <f>4750+42.48</f>
        <v>4792.4799999999996</v>
      </c>
      <c r="H49" s="1574"/>
      <c r="I49" s="1574"/>
      <c r="J49" s="1564">
        <f t="shared" si="4"/>
        <v>52881.229999999996</v>
      </c>
      <c r="K49" s="1563">
        <f>D49-J49</f>
        <v>3693.7700000000041</v>
      </c>
      <c r="L49" s="1551" t="s">
        <v>2605</v>
      </c>
    </row>
    <row r="50" spans="1:12" ht="12.75" customHeight="1">
      <c r="A50" s="1561" t="s">
        <v>2671</v>
      </c>
      <c r="B50" s="1562" t="s">
        <v>2672</v>
      </c>
      <c r="C50" s="1562">
        <v>1127</v>
      </c>
      <c r="D50" s="1563">
        <f>33621.97+17.26+7351.29+361109.48</f>
        <v>402100</v>
      </c>
      <c r="E50" s="1564">
        <f>33621.97+17.26</f>
        <v>33639.230000000003</v>
      </c>
      <c r="F50" s="1564">
        <v>7351.29</v>
      </c>
      <c r="G50" s="1588">
        <v>189930.98</v>
      </c>
      <c r="H50" s="1589">
        <v>57653.62</v>
      </c>
      <c r="I50" s="1574">
        <v>85202.93</v>
      </c>
      <c r="J50" s="1564">
        <f>E50+F50+G50+H50+I50</f>
        <v>373778.05</v>
      </c>
      <c r="K50" s="1563">
        <f t="shared" si="5"/>
        <v>28321.950000000012</v>
      </c>
      <c r="L50" s="1551" t="s">
        <v>2605</v>
      </c>
    </row>
    <row r="51" spans="1:12" ht="12.75" customHeight="1">
      <c r="A51" s="1561" t="s">
        <v>2673</v>
      </c>
      <c r="B51" s="1562" t="s">
        <v>2674</v>
      </c>
      <c r="C51" s="1562">
        <v>1098</v>
      </c>
      <c r="D51" s="1563">
        <v>157191.99</v>
      </c>
      <c r="E51" s="1588">
        <v>96171.62</v>
      </c>
      <c r="F51" s="1588">
        <v>58014.33</v>
      </c>
      <c r="G51" s="1564"/>
      <c r="H51" s="1574"/>
      <c r="I51" s="1574"/>
      <c r="J51" s="1564">
        <f>E51+F51+G51+H51</f>
        <v>154185.95000000001</v>
      </c>
      <c r="K51" s="1563">
        <f>D51-J51</f>
        <v>3006.039999999979</v>
      </c>
      <c r="L51" s="1551" t="s">
        <v>2605</v>
      </c>
    </row>
    <row r="52" spans="1:12" hidden="1">
      <c r="A52" s="1561" t="s">
        <v>2675</v>
      </c>
      <c r="B52" s="1562" t="s">
        <v>2676</v>
      </c>
      <c r="C52" s="1562">
        <v>1107</v>
      </c>
      <c r="D52" s="1563">
        <v>92761.96</v>
      </c>
      <c r="E52" s="1564">
        <v>73101.83</v>
      </c>
      <c r="F52" s="1588">
        <v>2772.13</v>
      </c>
      <c r="G52" s="1564"/>
      <c r="H52" s="1574"/>
      <c r="I52" s="1574"/>
      <c r="J52" s="1564">
        <f>E52+F52+G52+H52</f>
        <v>75873.960000000006</v>
      </c>
      <c r="K52" s="1563">
        <v>0</v>
      </c>
    </row>
    <row r="53" spans="1:12">
      <c r="A53" s="1561" t="s">
        <v>2677</v>
      </c>
      <c r="B53" s="1562" t="s">
        <v>2678</v>
      </c>
      <c r="C53" s="1562">
        <v>1131</v>
      </c>
      <c r="D53" s="1563">
        <v>124868</v>
      </c>
      <c r="E53" s="1564">
        <v>24973</v>
      </c>
      <c r="F53" s="1588">
        <v>55406</v>
      </c>
      <c r="G53" s="1588">
        <v>21539</v>
      </c>
      <c r="H53" s="1589">
        <v>893</v>
      </c>
      <c r="I53" s="1589">
        <v>4171</v>
      </c>
      <c r="J53" s="1564">
        <f>E53+F53+G53+H53</f>
        <v>102811</v>
      </c>
      <c r="K53" s="1563">
        <f t="shared" ref="K53:K60" si="6">D53-J53</f>
        <v>22057</v>
      </c>
      <c r="L53" s="1551" t="s">
        <v>2605</v>
      </c>
    </row>
    <row r="54" spans="1:12">
      <c r="A54" s="1561" t="s">
        <v>2679</v>
      </c>
      <c r="B54" s="1562" t="s">
        <v>2680</v>
      </c>
      <c r="C54" s="1562">
        <v>1131</v>
      </c>
      <c r="D54" s="1563">
        <v>225000</v>
      </c>
      <c r="E54" s="1564">
        <v>90000</v>
      </c>
      <c r="F54" s="1588">
        <v>64473</v>
      </c>
      <c r="G54" s="1588">
        <v>46628</v>
      </c>
      <c r="H54" s="1574"/>
      <c r="I54" s="1574"/>
      <c r="J54" s="1564">
        <f>E54+F54+G54+H54</f>
        <v>201101</v>
      </c>
      <c r="K54" s="1563">
        <f t="shared" si="6"/>
        <v>23899</v>
      </c>
      <c r="L54" s="1551" t="s">
        <v>2605</v>
      </c>
    </row>
    <row r="55" spans="1:12" s="1570" customFormat="1">
      <c r="A55" s="1561" t="s">
        <v>2681</v>
      </c>
      <c r="B55" s="1562" t="s">
        <v>2678</v>
      </c>
      <c r="C55" s="1562">
        <v>1130</v>
      </c>
      <c r="D55" s="1563">
        <v>31237.5</v>
      </c>
      <c r="E55" s="1588">
        <v>1127.78</v>
      </c>
      <c r="F55" s="1588">
        <v>30109.72</v>
      </c>
      <c r="G55" s="1591"/>
      <c r="H55" s="1574"/>
      <c r="I55" s="1574"/>
      <c r="J55" s="1564">
        <f t="shared" ref="J55:J60" si="7">E55+F55+H55+G55</f>
        <v>31237.5</v>
      </c>
      <c r="K55" s="1563">
        <f t="shared" si="6"/>
        <v>0</v>
      </c>
      <c r="L55" s="1569" t="s">
        <v>2605</v>
      </c>
    </row>
    <row r="56" spans="1:12" s="1570" customFormat="1">
      <c r="A56" s="1561" t="s">
        <v>2682</v>
      </c>
      <c r="B56" s="1562" t="s">
        <v>2683</v>
      </c>
      <c r="C56" s="1562">
        <v>1130</v>
      </c>
      <c r="D56" s="1563">
        <v>90871</v>
      </c>
      <c r="E56" s="1564">
        <v>6153.2</v>
      </c>
      <c r="F56" s="1588">
        <v>39479.120000000003</v>
      </c>
      <c r="G56" s="1588">
        <v>34323.29</v>
      </c>
      <c r="H56" s="1589">
        <v>8601.56</v>
      </c>
      <c r="I56" s="1574"/>
      <c r="J56" s="1564">
        <f t="shared" si="7"/>
        <v>88557.17</v>
      </c>
      <c r="K56" s="1563">
        <f t="shared" si="6"/>
        <v>2313.8300000000017</v>
      </c>
      <c r="L56" s="1569" t="s">
        <v>2605</v>
      </c>
    </row>
    <row r="57" spans="1:12" s="1570" customFormat="1">
      <c r="A57" s="1561" t="s">
        <v>2684</v>
      </c>
      <c r="B57" s="1562" t="s">
        <v>2685</v>
      </c>
      <c r="C57" s="1562">
        <v>1137</v>
      </c>
      <c r="D57" s="1563">
        <f>659406+84728.45</f>
        <v>744134.45</v>
      </c>
      <c r="E57" s="1588">
        <v>331270.18</v>
      </c>
      <c r="F57" s="1588">
        <v>23440.76</v>
      </c>
      <c r="G57" s="1589">
        <v>249251.55</v>
      </c>
      <c r="H57" s="1589">
        <v>130274.49</v>
      </c>
      <c r="I57" s="1574"/>
      <c r="J57" s="1564">
        <f t="shared" si="7"/>
        <v>734236.98</v>
      </c>
      <c r="K57" s="1563">
        <f t="shared" si="6"/>
        <v>9897.4699999999721</v>
      </c>
      <c r="L57" s="1551" t="s">
        <v>2686</v>
      </c>
    </row>
    <row r="58" spans="1:12" s="1570" customFormat="1">
      <c r="A58" s="1561" t="s">
        <v>2687</v>
      </c>
      <c r="B58" s="1562"/>
      <c r="C58" s="1562"/>
      <c r="D58" s="1563">
        <v>50000</v>
      </c>
      <c r="E58" s="1588">
        <v>45000</v>
      </c>
      <c r="F58" s="1588">
        <v>5000</v>
      </c>
      <c r="G58" s="1591"/>
      <c r="H58" s="1574"/>
      <c r="I58" s="1574"/>
      <c r="J58" s="1564">
        <f t="shared" si="7"/>
        <v>50000</v>
      </c>
      <c r="K58" s="1563">
        <f t="shared" si="6"/>
        <v>0</v>
      </c>
      <c r="L58" s="1551"/>
    </row>
    <row r="59" spans="1:12" s="1570" customFormat="1">
      <c r="A59" s="1561" t="s">
        <v>2688</v>
      </c>
      <c r="B59" s="1562"/>
      <c r="C59" s="1562"/>
      <c r="D59" s="1563">
        <v>234926</v>
      </c>
      <c r="E59" s="1588">
        <v>234926</v>
      </c>
      <c r="F59" s="1564"/>
      <c r="G59" s="1591"/>
      <c r="H59" s="1574"/>
      <c r="I59" s="1574"/>
      <c r="J59" s="1564">
        <f t="shared" si="7"/>
        <v>234926</v>
      </c>
      <c r="K59" s="1563">
        <f t="shared" si="6"/>
        <v>0</v>
      </c>
      <c r="L59" s="1551"/>
    </row>
    <row r="60" spans="1:12" s="1570" customFormat="1" ht="13.5" thickBot="1">
      <c r="A60" s="1561" t="s">
        <v>2689</v>
      </c>
      <c r="B60" s="1562"/>
      <c r="C60" s="1562"/>
      <c r="D60" s="1563">
        <v>20000</v>
      </c>
      <c r="E60" s="1588">
        <v>20000</v>
      </c>
      <c r="F60" s="1564"/>
      <c r="G60" s="1591"/>
      <c r="H60" s="1575"/>
      <c r="I60" s="1576"/>
      <c r="J60" s="1564">
        <f t="shared" si="7"/>
        <v>20000</v>
      </c>
      <c r="K60" s="1563">
        <f t="shared" si="6"/>
        <v>0</v>
      </c>
      <c r="L60" s="1551"/>
    </row>
    <row r="61" spans="1:12" ht="14.25" thickTop="1" thickBot="1">
      <c r="A61" s="1566"/>
      <c r="B61" s="1592"/>
      <c r="C61" s="1593"/>
      <c r="D61" s="1594">
        <f>SUM(D43:D60)</f>
        <v>2375012.34</v>
      </c>
      <c r="E61" s="1567"/>
      <c r="F61" s="1595"/>
      <c r="G61" s="1567"/>
      <c r="H61" s="1567"/>
      <c r="I61" s="1567"/>
      <c r="J61" s="1586">
        <f>SUM(J43:J60)</f>
        <v>2264935.2799999998</v>
      </c>
      <c r="K61" s="1596">
        <f>SUM(K43:K60)</f>
        <v>93189.059999999969</v>
      </c>
    </row>
    <row r="63" spans="1:12">
      <c r="K63" s="1577">
        <f>K17+K38+K61</f>
        <v>2403527.9299999997</v>
      </c>
    </row>
    <row r="64" spans="1:12">
      <c r="H64" s="1549" t="s">
        <v>2690</v>
      </c>
      <c r="J64" s="1550" t="s">
        <v>2691</v>
      </c>
      <c r="K64" s="1577">
        <f>2498664.07-18000</f>
        <v>2480664.0699999998</v>
      </c>
    </row>
    <row r="66" spans="10:12">
      <c r="J66" s="1550" t="s">
        <v>805</v>
      </c>
      <c r="K66" s="1577">
        <f>K63-K64</f>
        <v>-77136.14000000013</v>
      </c>
      <c r="L66" s="1551" t="s">
        <v>2692</v>
      </c>
    </row>
  </sheetData>
  <mergeCells count="1">
    <mergeCell ref="A1:I1"/>
  </mergeCells>
  <hyperlinks>
    <hyperlink ref="A1" location="GLOBAAL!A1" display="Investeringssubsidies" xr:uid="{00000000-0004-0000-4100-000000000000}"/>
    <hyperlink ref="A1:H1" location="FINANCIËN!A1" display="Investeringssubsidies" xr:uid="{00000000-0004-0000-4100-000001000000}"/>
  </hyperlinks>
  <pageMargins left="3.937007874015748E-2" right="3.937007874015748E-2" top="0.15748031496062992" bottom="0.15748031496062992" header="0.31496062992125984" footer="0.31496062992125984"/>
  <pageSetup paperSize="8" orientation="portrait" copies="2" r:id="rId1"/>
  <headerFooter alignWithMargins="0"/>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EBD531"/>
    <pageSetUpPr fitToPage="1"/>
  </sheetPr>
  <dimension ref="A1:AK412"/>
  <sheetViews>
    <sheetView zoomScaleNormal="100" workbookViewId="0">
      <pane ySplit="3" topLeftCell="A4" activePane="bottomLeft" state="frozen"/>
      <selection pane="bottomLeft" activeCell="AK35" sqref="AK35"/>
    </sheetView>
  </sheetViews>
  <sheetFormatPr defaultColWidth="9.140625" defaultRowHeight="15"/>
  <cols>
    <col min="1" max="1" width="19.7109375" style="379" customWidth="1"/>
    <col min="2" max="2" width="32.7109375" style="379" bestFit="1" customWidth="1"/>
    <col min="3" max="3" width="21.5703125" style="379" customWidth="1"/>
    <col min="4" max="5" width="10.140625" style="379" hidden="1" customWidth="1"/>
    <col min="6" max="6" width="10.7109375" style="379" hidden="1" customWidth="1"/>
    <col min="7" max="7" width="6.85546875" style="379" hidden="1" customWidth="1"/>
    <col min="8" max="10" width="10.140625" style="379" hidden="1" customWidth="1"/>
    <col min="11" max="11" width="0.28515625" style="379" customWidth="1"/>
    <col min="12" max="12" width="11" style="379" hidden="1" customWidth="1"/>
    <col min="13" max="13" width="10.85546875" style="379" hidden="1" customWidth="1"/>
    <col min="14" max="14" width="12" style="379" hidden="1" customWidth="1"/>
    <col min="15" max="15" width="10.140625" style="379" hidden="1" customWidth="1"/>
    <col min="16" max="16" width="11.85546875" style="379" hidden="1" customWidth="1"/>
    <col min="17" max="17" width="10.85546875" style="379" hidden="1" customWidth="1"/>
    <col min="18" max="18" width="10.7109375" style="379" hidden="1" customWidth="1"/>
    <col min="19" max="19" width="10.140625" style="379" hidden="1" customWidth="1"/>
    <col min="20" max="20" width="10.7109375" style="379" hidden="1" customWidth="1"/>
    <col min="21" max="25" width="11.7109375" style="379" hidden="1" customWidth="1"/>
    <col min="26" max="26" width="9.140625" style="379"/>
    <col min="27" max="27" width="11.7109375" style="379" bestFit="1" customWidth="1"/>
    <col min="28" max="28" width="9.140625" style="379"/>
    <col min="29" max="29" width="12.28515625" style="379" bestFit="1" customWidth="1"/>
    <col min="30" max="30" width="9.140625" style="379"/>
    <col min="31" max="31" width="11.7109375" style="379" bestFit="1" customWidth="1"/>
    <col min="32" max="32" width="10" style="3538" bestFit="1" customWidth="1"/>
    <col min="33" max="33" width="11.28515625" style="379" bestFit="1" customWidth="1"/>
    <col min="34" max="34" width="9.140625" style="3538"/>
    <col min="35" max="35" width="11.28515625" style="3538" bestFit="1" customWidth="1"/>
    <col min="36" max="37" width="9.140625" style="3538"/>
    <col min="38" max="16384" width="9.140625" style="379"/>
  </cols>
  <sheetData>
    <row r="1" spans="1:37" s="2077" customFormat="1" ht="21">
      <c r="A1" s="4757" t="s">
        <v>2942</v>
      </c>
      <c r="B1" s="4758"/>
      <c r="C1" s="4758"/>
      <c r="D1" s="4758"/>
      <c r="E1" s="4758"/>
      <c r="F1" s="4758"/>
      <c r="G1" s="4758"/>
      <c r="H1" s="4758"/>
      <c r="I1" s="4758"/>
      <c r="J1" s="4758"/>
      <c r="K1" s="4758"/>
      <c r="L1" s="4758"/>
      <c r="M1" s="4758"/>
      <c r="N1" s="4758"/>
      <c r="O1" s="4758"/>
      <c r="P1" s="4758"/>
      <c r="Q1" s="4758"/>
      <c r="R1" s="4758"/>
      <c r="S1" s="4758"/>
      <c r="T1" s="4758"/>
      <c r="W1" s="2078"/>
      <c r="Y1" s="2078"/>
      <c r="AF1" s="2078"/>
      <c r="AH1" s="2078"/>
      <c r="AI1" s="2078"/>
      <c r="AJ1" s="2078"/>
      <c r="AK1" s="2078"/>
    </row>
    <row r="2" spans="1:37" ht="18.75">
      <c r="A2" s="2079"/>
      <c r="B2" s="2080"/>
      <c r="C2" s="395"/>
      <c r="D2" s="1633"/>
      <c r="E2" s="1633"/>
      <c r="F2" s="1550"/>
      <c r="G2" s="1633"/>
      <c r="H2" s="395"/>
      <c r="I2" s="1550"/>
      <c r="J2" s="395"/>
      <c r="K2" s="395"/>
      <c r="L2" s="395"/>
      <c r="M2" s="1549"/>
      <c r="N2" s="395"/>
      <c r="O2" s="1549"/>
      <c r="P2" s="395"/>
      <c r="Q2" s="1549"/>
      <c r="R2" s="395"/>
      <c r="S2" s="395"/>
      <c r="T2" s="395"/>
      <c r="U2" s="395"/>
      <c r="V2" s="395"/>
      <c r="W2" s="1549"/>
      <c r="X2" s="395"/>
      <c r="Y2" s="1549"/>
      <c r="Z2" s="395"/>
      <c r="AA2" s="395"/>
      <c r="AB2" s="395"/>
      <c r="AC2" s="2001"/>
      <c r="AD2" s="2001"/>
      <c r="AE2" s="2001"/>
      <c r="AF2" s="3537"/>
    </row>
    <row r="3" spans="1:37" ht="21" customHeight="1">
      <c r="A3" s="2134"/>
      <c r="B3" s="2135" t="s">
        <v>624</v>
      </c>
      <c r="C3" s="2171" t="s">
        <v>623</v>
      </c>
      <c r="D3" s="2135" t="s">
        <v>913</v>
      </c>
      <c r="E3" s="2136" t="s">
        <v>938</v>
      </c>
      <c r="F3" s="2137" t="s">
        <v>914</v>
      </c>
      <c r="G3" s="2136" t="s">
        <v>939</v>
      </c>
      <c r="H3" s="2138" t="s">
        <v>914</v>
      </c>
      <c r="I3" s="2139" t="s">
        <v>939</v>
      </c>
      <c r="J3" s="2138" t="s">
        <v>915</v>
      </c>
      <c r="K3" s="2136" t="s">
        <v>940</v>
      </c>
      <c r="L3" s="2137" t="s">
        <v>916</v>
      </c>
      <c r="M3" s="2139" t="s">
        <v>941</v>
      </c>
      <c r="N3" s="2137" t="s">
        <v>917</v>
      </c>
      <c r="O3" s="2139" t="s">
        <v>942</v>
      </c>
      <c r="P3" s="2137" t="s">
        <v>918</v>
      </c>
      <c r="Q3" s="2137" t="s">
        <v>943</v>
      </c>
      <c r="R3" s="2189" t="s">
        <v>919</v>
      </c>
      <c r="S3" s="2140" t="s">
        <v>944</v>
      </c>
      <c r="T3" s="2189" t="s">
        <v>920</v>
      </c>
      <c r="U3" s="2140" t="s">
        <v>945</v>
      </c>
      <c r="V3" s="2189" t="s">
        <v>921</v>
      </c>
      <c r="W3" s="2140" t="s">
        <v>946</v>
      </c>
      <c r="X3" s="2137" t="s">
        <v>922</v>
      </c>
      <c r="Y3" s="2137" t="s">
        <v>947</v>
      </c>
      <c r="Z3" s="2189" t="s">
        <v>923</v>
      </c>
      <c r="AA3" s="2140" t="s">
        <v>948</v>
      </c>
      <c r="AB3" s="2137" t="s">
        <v>924</v>
      </c>
      <c r="AC3" s="2137" t="s">
        <v>949</v>
      </c>
      <c r="AD3" s="2189" t="s">
        <v>925</v>
      </c>
      <c r="AE3" s="2140" t="s">
        <v>2943</v>
      </c>
      <c r="AF3" s="2189" t="s">
        <v>7243</v>
      </c>
      <c r="AG3" s="2140" t="s">
        <v>7244</v>
      </c>
      <c r="AH3" s="2189" t="s">
        <v>7343</v>
      </c>
      <c r="AI3" s="2140" t="s">
        <v>7543</v>
      </c>
      <c r="AJ3" s="2189" t="s">
        <v>7834</v>
      </c>
      <c r="AK3" s="2140" t="s">
        <v>8264</v>
      </c>
    </row>
    <row r="4" spans="1:37" s="1570" customFormat="1" ht="12.75" customHeight="1">
      <c r="A4" s="2008" t="s">
        <v>2944</v>
      </c>
      <c r="B4" s="2081"/>
      <c r="C4" s="2172"/>
      <c r="D4" s="2084"/>
      <c r="E4" s="2083"/>
      <c r="F4" s="2084"/>
      <c r="G4" s="2083"/>
      <c r="H4" s="2082"/>
      <c r="I4" s="2083">
        <f>SUM(I5:I16)</f>
        <v>829419.89999999991</v>
      </c>
      <c r="J4" s="2082"/>
      <c r="K4" s="2083">
        <f>SUM(K5:K16)</f>
        <v>828954.95999999985</v>
      </c>
      <c r="L4" s="2082"/>
      <c r="M4" s="2083">
        <f>SUM(M5:M16)</f>
        <v>828954.95999999985</v>
      </c>
      <c r="N4" s="2082"/>
      <c r="O4" s="2083">
        <f>SUM(O5:O16)</f>
        <v>839268.84999999986</v>
      </c>
      <c r="P4" s="2082"/>
      <c r="Q4" s="2084">
        <f>SUM(Q5:Q16)</f>
        <v>826597.60999999987</v>
      </c>
      <c r="R4" s="2190"/>
      <c r="S4" s="2191">
        <f>SUM(S5:S16)</f>
        <v>850403.27999999991</v>
      </c>
      <c r="T4" s="2190"/>
      <c r="U4" s="2191">
        <f>SUM(U5:U19)</f>
        <v>1175529.52</v>
      </c>
      <c r="V4" s="2008"/>
      <c r="W4" s="2211"/>
      <c r="X4" s="2022"/>
      <c r="Y4" s="2230"/>
      <c r="Z4" s="2008"/>
      <c r="AA4" s="2211"/>
      <c r="AB4" s="2022"/>
      <c r="AC4" s="2230"/>
      <c r="AD4" s="2240"/>
      <c r="AE4" s="2086"/>
      <c r="AF4" s="2240"/>
      <c r="AG4" s="2086"/>
      <c r="AH4" s="3881"/>
      <c r="AI4" s="3550"/>
      <c r="AJ4" s="3881"/>
      <c r="AK4" s="2086"/>
    </row>
    <row r="5" spans="1:37" s="1570" customFormat="1" ht="13.5" hidden="1" customHeight="1">
      <c r="A5" s="2063"/>
      <c r="B5" s="583">
        <v>1</v>
      </c>
      <c r="C5" s="2173" t="s">
        <v>2945</v>
      </c>
      <c r="D5" s="2090"/>
      <c r="E5" s="2089"/>
      <c r="F5" s="2090"/>
      <c r="G5" s="2089"/>
      <c r="H5" s="2088"/>
      <c r="I5" s="2091">
        <v>44981.48</v>
      </c>
      <c r="J5" s="2088"/>
      <c r="K5" s="2091">
        <v>69079.58</v>
      </c>
      <c r="L5" s="2088"/>
      <c r="M5" s="2091">
        <v>69079.58</v>
      </c>
      <c r="N5" s="2088"/>
      <c r="O5" s="2091">
        <v>69079.58</v>
      </c>
      <c r="P5" s="2088"/>
      <c r="Q5" s="2092">
        <v>69079.58</v>
      </c>
      <c r="R5" s="2192"/>
      <c r="S5" s="2193">
        <v>69079.58</v>
      </c>
      <c r="T5" s="2192"/>
      <c r="U5" s="2193">
        <v>69079.58</v>
      </c>
      <c r="V5" s="2063"/>
      <c r="W5" s="2212"/>
      <c r="X5" s="1591"/>
      <c r="Y5" s="2163"/>
      <c r="Z5" s="2063"/>
      <c r="AA5" s="2212"/>
      <c r="AB5" s="1591"/>
      <c r="AC5" s="2163"/>
      <c r="AD5" s="2241"/>
      <c r="AE5" s="2141"/>
      <c r="AF5" s="2241"/>
      <c r="AG5" s="2141"/>
      <c r="AH5" s="2132"/>
      <c r="AI5" s="2132"/>
      <c r="AJ5" s="3883"/>
      <c r="AK5" s="2212"/>
    </row>
    <row r="6" spans="1:37" s="1570" customFormat="1" ht="13.5" hidden="1" customHeight="1">
      <c r="A6" s="2063"/>
      <c r="B6" s="583">
        <v>2</v>
      </c>
      <c r="C6" s="2173" t="s">
        <v>2946</v>
      </c>
      <c r="D6" s="2090"/>
      <c r="E6" s="2089"/>
      <c r="F6" s="2090"/>
      <c r="G6" s="2089"/>
      <c r="H6" s="2088"/>
      <c r="I6" s="2091">
        <v>44981.48</v>
      </c>
      <c r="J6" s="2088"/>
      <c r="K6" s="2091">
        <v>69079.58</v>
      </c>
      <c r="L6" s="2088"/>
      <c r="M6" s="2091">
        <v>69079.58</v>
      </c>
      <c r="N6" s="2088"/>
      <c r="O6" s="2091">
        <v>69079.58</v>
      </c>
      <c r="P6" s="2088"/>
      <c r="Q6" s="2092">
        <v>69079.58</v>
      </c>
      <c r="R6" s="2192"/>
      <c r="S6" s="2193">
        <v>69079.58</v>
      </c>
      <c r="T6" s="2192"/>
      <c r="U6" s="2193">
        <v>69079.58</v>
      </c>
      <c r="V6" s="2063"/>
      <c r="W6" s="2212"/>
      <c r="X6" s="1591"/>
      <c r="Y6" s="2163"/>
      <c r="Z6" s="2063"/>
      <c r="AA6" s="2212"/>
      <c r="AB6" s="1591"/>
      <c r="AC6" s="2163"/>
      <c r="AD6" s="2241"/>
      <c r="AE6" s="2141"/>
      <c r="AF6" s="2241"/>
      <c r="AG6" s="2141"/>
      <c r="AH6" s="2132"/>
      <c r="AI6" s="2132"/>
      <c r="AJ6" s="3883"/>
      <c r="AK6" s="2212"/>
    </row>
    <row r="7" spans="1:37" s="1570" customFormat="1" ht="13.5" hidden="1" customHeight="1">
      <c r="A7" s="2063"/>
      <c r="B7" s="583">
        <v>3</v>
      </c>
      <c r="D7" s="2090"/>
      <c r="E7" s="2089"/>
      <c r="F7" s="2090"/>
      <c r="G7" s="2089"/>
      <c r="H7" s="2088"/>
      <c r="I7" s="2091">
        <v>44981.48</v>
      </c>
      <c r="J7" s="2088"/>
      <c r="K7" s="2091">
        <v>69079.58</v>
      </c>
      <c r="L7" s="2088"/>
      <c r="M7" s="2091">
        <v>69079.58</v>
      </c>
      <c r="N7" s="2088"/>
      <c r="O7" s="2091">
        <v>69079.58</v>
      </c>
      <c r="P7" s="2088"/>
      <c r="Q7" s="2092">
        <v>69079.58</v>
      </c>
      <c r="R7" s="2192"/>
      <c r="S7" s="2193">
        <v>69079.58</v>
      </c>
      <c r="T7" s="2192"/>
      <c r="U7" s="2193">
        <v>69079.58</v>
      </c>
      <c r="V7" s="2063"/>
      <c r="W7" s="2212"/>
      <c r="X7" s="1591"/>
      <c r="Y7" s="2163"/>
      <c r="Z7" s="2063"/>
      <c r="AA7" s="2212"/>
      <c r="AB7" s="1591"/>
      <c r="AC7" s="2163"/>
      <c r="AD7" s="2241"/>
      <c r="AE7" s="2141"/>
      <c r="AF7" s="2241"/>
      <c r="AG7" s="2141"/>
      <c r="AH7" s="2132"/>
      <c r="AI7" s="2132"/>
      <c r="AJ7" s="3883"/>
      <c r="AK7" s="2212"/>
    </row>
    <row r="8" spans="1:37" s="1570" customFormat="1" ht="13.5" hidden="1" customHeight="1">
      <c r="A8" s="2063"/>
      <c r="B8" s="583">
        <v>4</v>
      </c>
      <c r="C8" s="2174"/>
      <c r="D8" s="2090"/>
      <c r="E8" s="2089"/>
      <c r="F8" s="2090"/>
      <c r="G8" s="2089"/>
      <c r="H8" s="2088"/>
      <c r="I8" s="2091">
        <v>44981.4</v>
      </c>
      <c r="J8" s="2088"/>
      <c r="K8" s="2091">
        <v>69079.58</v>
      </c>
      <c r="L8" s="2088"/>
      <c r="M8" s="2091">
        <v>69079.58</v>
      </c>
      <c r="N8" s="2088"/>
      <c r="O8" s="2091">
        <v>69079.58</v>
      </c>
      <c r="P8" s="2088"/>
      <c r="Q8" s="2092">
        <v>69079.58</v>
      </c>
      <c r="R8" s="2192"/>
      <c r="S8" s="2193">
        <v>69079.58</v>
      </c>
      <c r="T8" s="2192"/>
      <c r="U8" s="2193"/>
      <c r="V8" s="2063"/>
      <c r="W8" s="2212"/>
      <c r="X8" s="1591"/>
      <c r="Y8" s="2163"/>
      <c r="Z8" s="2063"/>
      <c r="AA8" s="2212"/>
      <c r="AB8" s="1591"/>
      <c r="AC8" s="2163"/>
      <c r="AD8" s="2241"/>
      <c r="AE8" s="2141"/>
      <c r="AF8" s="2241"/>
      <c r="AG8" s="2141"/>
      <c r="AH8" s="2132"/>
      <c r="AI8" s="2132"/>
      <c r="AJ8" s="3883"/>
      <c r="AK8" s="2212"/>
    </row>
    <row r="9" spans="1:37" s="1570" customFormat="1" ht="13.5" hidden="1" customHeight="1">
      <c r="A9" s="2063"/>
      <c r="B9" s="583">
        <v>5</v>
      </c>
      <c r="C9" s="2174"/>
      <c r="D9" s="2090"/>
      <c r="E9" s="2089"/>
      <c r="F9" s="2090"/>
      <c r="G9" s="2089"/>
      <c r="H9" s="2088"/>
      <c r="I9" s="2091">
        <v>44981.4</v>
      </c>
      <c r="J9" s="2088"/>
      <c r="K9" s="2091">
        <v>69079.58</v>
      </c>
      <c r="L9" s="2088"/>
      <c r="M9" s="2091">
        <v>69079.58</v>
      </c>
      <c r="N9" s="2088"/>
      <c r="O9" s="2091">
        <v>69079.58</v>
      </c>
      <c r="P9" s="2088"/>
      <c r="Q9" s="2092">
        <v>69079.58</v>
      </c>
      <c r="R9" s="2192"/>
      <c r="S9" s="2193">
        <v>69079.58</v>
      </c>
      <c r="T9" s="2192"/>
      <c r="U9" s="2193"/>
      <c r="V9" s="2063"/>
      <c r="W9" s="2212"/>
      <c r="X9" s="1591"/>
      <c r="Y9" s="2163"/>
      <c r="Z9" s="2063"/>
      <c r="AA9" s="2212"/>
      <c r="AB9" s="1591"/>
      <c r="AC9" s="2163"/>
      <c r="AD9" s="2241"/>
      <c r="AE9" s="2141"/>
      <c r="AF9" s="2241"/>
      <c r="AG9" s="2141"/>
      <c r="AH9" s="2132"/>
      <c r="AI9" s="2132"/>
      <c r="AJ9" s="3883"/>
      <c r="AK9" s="2212"/>
    </row>
    <row r="10" spans="1:37" s="1570" customFormat="1" ht="13.5" hidden="1" customHeight="1">
      <c r="A10" s="2063"/>
      <c r="B10" s="583">
        <v>6</v>
      </c>
      <c r="C10" s="2174"/>
      <c r="D10" s="2090"/>
      <c r="E10" s="2089"/>
      <c r="F10" s="2090"/>
      <c r="G10" s="2089"/>
      <c r="H10" s="2088"/>
      <c r="I10" s="2091">
        <v>44981.4</v>
      </c>
      <c r="J10" s="2088"/>
      <c r="K10" s="2091">
        <v>69079.58</v>
      </c>
      <c r="L10" s="2088"/>
      <c r="M10" s="2091">
        <v>69079.58</v>
      </c>
      <c r="N10" s="2088"/>
      <c r="O10" s="2091">
        <v>79185.94</v>
      </c>
      <c r="P10" s="2088"/>
      <c r="Q10" s="2092">
        <v>69079.58</v>
      </c>
      <c r="R10" s="2192"/>
      <c r="S10" s="2193">
        <v>69079.58</v>
      </c>
      <c r="T10" s="2192"/>
      <c r="U10" s="2193"/>
      <c r="V10" s="2063"/>
      <c r="W10" s="2212"/>
      <c r="X10" s="1591"/>
      <c r="Y10" s="2163"/>
      <c r="Z10" s="2063"/>
      <c r="AA10" s="2212"/>
      <c r="AB10" s="1591"/>
      <c r="AC10" s="2163"/>
      <c r="AD10" s="2241"/>
      <c r="AE10" s="2141"/>
      <c r="AF10" s="2241"/>
      <c r="AG10" s="2141"/>
      <c r="AH10" s="2132"/>
      <c r="AI10" s="2132"/>
      <c r="AJ10" s="3883"/>
      <c r="AK10" s="2212"/>
    </row>
    <row r="11" spans="1:37" s="1570" customFormat="1" ht="13.5" hidden="1" customHeight="1">
      <c r="A11" s="2063"/>
      <c r="B11" s="583">
        <v>7</v>
      </c>
      <c r="C11" s="2174"/>
      <c r="D11" s="2090"/>
      <c r="E11" s="2089"/>
      <c r="F11" s="2090"/>
      <c r="G11" s="2089"/>
      <c r="H11" s="2088"/>
      <c r="I11" s="2091">
        <v>334623.86</v>
      </c>
      <c r="J11" s="2088"/>
      <c r="K11" s="2091">
        <v>69079.58</v>
      </c>
      <c r="L11" s="2088"/>
      <c r="M11" s="2091">
        <v>69079.58</v>
      </c>
      <c r="N11" s="2088"/>
      <c r="O11" s="2091">
        <v>69079.58</v>
      </c>
      <c r="P11" s="2088"/>
      <c r="Q11" s="2092">
        <v>66722.23</v>
      </c>
      <c r="R11" s="2192"/>
      <c r="S11" s="2193">
        <v>69079.58</v>
      </c>
      <c r="T11" s="2192"/>
      <c r="U11" s="2193"/>
      <c r="V11" s="2063"/>
      <c r="W11" s="2212"/>
      <c r="X11" s="1591"/>
      <c r="Y11" s="2163"/>
      <c r="Z11" s="2063"/>
      <c r="AA11" s="2212"/>
      <c r="AB11" s="1591"/>
      <c r="AC11" s="2163"/>
      <c r="AD11" s="2241"/>
      <c r="AE11" s="2141"/>
      <c r="AF11" s="2241"/>
      <c r="AG11" s="2141"/>
      <c r="AH11" s="2132"/>
      <c r="AI11" s="2132"/>
      <c r="AJ11" s="3883"/>
      <c r="AK11" s="2212"/>
    </row>
    <row r="12" spans="1:37" s="1570" customFormat="1" ht="13.5" hidden="1" customHeight="1">
      <c r="A12" s="2063"/>
      <c r="B12" s="583">
        <v>8</v>
      </c>
      <c r="C12" s="2174"/>
      <c r="D12" s="2090"/>
      <c r="E12" s="2089"/>
      <c r="F12" s="2090"/>
      <c r="G12" s="2089"/>
      <c r="H12" s="2088"/>
      <c r="I12" s="2091">
        <v>44981.48</v>
      </c>
      <c r="J12" s="2088"/>
      <c r="K12" s="2091">
        <v>69079.58</v>
      </c>
      <c r="L12" s="2088"/>
      <c r="M12" s="2091">
        <v>69079.58</v>
      </c>
      <c r="N12" s="2088"/>
      <c r="O12" s="2091">
        <v>69079.58</v>
      </c>
      <c r="P12" s="2088"/>
      <c r="Q12" s="2092">
        <v>69079.58</v>
      </c>
      <c r="R12" s="2192"/>
      <c r="S12" s="2193">
        <v>69079.58</v>
      </c>
      <c r="T12" s="2192"/>
      <c r="U12" s="2193"/>
      <c r="V12" s="2063"/>
      <c r="W12" s="2212"/>
      <c r="X12" s="1591"/>
      <c r="Y12" s="2163"/>
      <c r="Z12" s="2063"/>
      <c r="AA12" s="2212"/>
      <c r="AB12" s="1591"/>
      <c r="AC12" s="2163"/>
      <c r="AD12" s="2241"/>
      <c r="AE12" s="2141"/>
      <c r="AF12" s="2241"/>
      <c r="AG12" s="2141"/>
      <c r="AH12" s="2132"/>
      <c r="AI12" s="2132"/>
      <c r="AJ12" s="3883"/>
      <c r="AK12" s="2212"/>
    </row>
    <row r="13" spans="1:37" s="1570" customFormat="1" ht="13.5" hidden="1" customHeight="1">
      <c r="A13" s="2063"/>
      <c r="B13" s="583">
        <v>9</v>
      </c>
      <c r="C13" s="2174"/>
      <c r="D13" s="2090"/>
      <c r="E13" s="2089"/>
      <c r="F13" s="2090"/>
      <c r="G13" s="2089"/>
      <c r="H13" s="2088"/>
      <c r="I13" s="2091">
        <v>44981.48</v>
      </c>
      <c r="J13" s="2088"/>
      <c r="K13" s="2091">
        <v>69079.58</v>
      </c>
      <c r="L13" s="2088"/>
      <c r="M13" s="2091">
        <v>69079.58</v>
      </c>
      <c r="N13" s="2088"/>
      <c r="O13" s="2091">
        <v>69079.58</v>
      </c>
      <c r="P13" s="2088"/>
      <c r="Q13" s="2092">
        <v>69079.58</v>
      </c>
      <c r="R13" s="2192"/>
      <c r="S13" s="2193">
        <f>69079.58+21486.65</f>
        <v>90566.23000000001</v>
      </c>
      <c r="T13" s="2192"/>
      <c r="U13" s="2193"/>
      <c r="V13" s="2063"/>
      <c r="W13" s="2212"/>
      <c r="X13" s="1591"/>
      <c r="Y13" s="2163"/>
      <c r="Z13" s="2063"/>
      <c r="AA13" s="2212"/>
      <c r="AB13" s="1591"/>
      <c r="AC13" s="2163"/>
      <c r="AD13" s="2241"/>
      <c r="AE13" s="2141"/>
      <c r="AF13" s="2241"/>
      <c r="AG13" s="2141"/>
      <c r="AH13" s="2132"/>
      <c r="AI13" s="2132"/>
      <c r="AJ13" s="3883"/>
      <c r="AK13" s="2212"/>
    </row>
    <row r="14" spans="1:37" s="1570" customFormat="1" ht="13.5" hidden="1" customHeight="1">
      <c r="A14" s="2063"/>
      <c r="B14" s="583">
        <v>10</v>
      </c>
      <c r="C14" s="2174"/>
      <c r="D14" s="2090"/>
      <c r="E14" s="2089"/>
      <c r="F14" s="2090"/>
      <c r="G14" s="2089"/>
      <c r="H14" s="2088"/>
      <c r="I14" s="2091">
        <v>44981.48</v>
      </c>
      <c r="J14" s="2088"/>
      <c r="K14" s="2091">
        <v>69079.58</v>
      </c>
      <c r="L14" s="2088"/>
      <c r="M14" s="2091">
        <v>69079.58</v>
      </c>
      <c r="N14" s="2088"/>
      <c r="O14" s="2091">
        <v>69287.11</v>
      </c>
      <c r="P14" s="2088"/>
      <c r="Q14" s="2092">
        <v>69079.58</v>
      </c>
      <c r="R14" s="2192"/>
      <c r="S14" s="2193">
        <v>69041.25</v>
      </c>
      <c r="T14" s="2192"/>
      <c r="U14" s="2193"/>
      <c r="V14" s="2063"/>
      <c r="W14" s="2212"/>
      <c r="X14" s="1591"/>
      <c r="Y14" s="2163"/>
      <c r="Z14" s="2063"/>
      <c r="AA14" s="2212"/>
      <c r="AB14" s="1591"/>
      <c r="AC14" s="2163"/>
      <c r="AD14" s="2241"/>
      <c r="AE14" s="2141"/>
      <c r="AF14" s="2241"/>
      <c r="AG14" s="2141"/>
      <c r="AH14" s="2132"/>
      <c r="AI14" s="2132"/>
      <c r="AJ14" s="3883"/>
      <c r="AK14" s="2212"/>
    </row>
    <row r="15" spans="1:37" s="1570" customFormat="1" ht="13.5" hidden="1" customHeight="1">
      <c r="A15" s="2063"/>
      <c r="B15" s="583">
        <v>11</v>
      </c>
      <c r="C15" s="2174"/>
      <c r="D15" s="2090"/>
      <c r="E15" s="2089"/>
      <c r="F15" s="2090"/>
      <c r="G15" s="2089"/>
      <c r="H15" s="2088"/>
      <c r="I15" s="2091">
        <v>44981.48</v>
      </c>
      <c r="J15" s="2088"/>
      <c r="K15" s="2091">
        <v>69079.58</v>
      </c>
      <c r="L15" s="2088"/>
      <c r="M15" s="2091">
        <v>69079.58</v>
      </c>
      <c r="N15" s="2088"/>
      <c r="O15" s="2091">
        <v>69079.58</v>
      </c>
      <c r="P15" s="2088"/>
      <c r="Q15" s="2092">
        <v>69079.58</v>
      </c>
      <c r="R15" s="2192"/>
      <c r="S15" s="2193">
        <v>69079.58</v>
      </c>
      <c r="T15" s="2192"/>
      <c r="U15" s="2193"/>
      <c r="V15" s="2063"/>
      <c r="W15" s="2212"/>
      <c r="X15" s="1591"/>
      <c r="Y15" s="2163"/>
      <c r="Z15" s="2063"/>
      <c r="AA15" s="2212"/>
      <c r="AB15" s="1591"/>
      <c r="AC15" s="2163"/>
      <c r="AD15" s="2241"/>
      <c r="AE15" s="2141"/>
      <c r="AF15" s="2241"/>
      <c r="AG15" s="2141"/>
      <c r="AH15" s="2132"/>
      <c r="AI15" s="2132"/>
      <c r="AJ15" s="3883"/>
      <c r="AK15" s="2212"/>
    </row>
    <row r="16" spans="1:37" s="1570" customFormat="1" ht="13.5" hidden="1" customHeight="1">
      <c r="A16" s="2063"/>
      <c r="B16" s="583">
        <v>12</v>
      </c>
      <c r="C16" s="2174"/>
      <c r="D16" s="2090"/>
      <c r="E16" s="2089"/>
      <c r="F16" s="2090"/>
      <c r="G16" s="2089"/>
      <c r="H16" s="2088"/>
      <c r="I16" s="2091">
        <v>44981.48</v>
      </c>
      <c r="J16" s="2088"/>
      <c r="K16" s="2091">
        <v>69079.58</v>
      </c>
      <c r="L16" s="2088"/>
      <c r="M16" s="2091">
        <v>69079.58</v>
      </c>
      <c r="N16" s="2088"/>
      <c r="O16" s="2091">
        <v>69079.58</v>
      </c>
      <c r="P16" s="2088"/>
      <c r="Q16" s="2092">
        <v>69079.58</v>
      </c>
      <c r="R16" s="2192"/>
      <c r="S16" s="2193">
        <v>69079.58</v>
      </c>
      <c r="T16" s="2192"/>
      <c r="U16" s="2193"/>
      <c r="V16" s="2063"/>
      <c r="W16" s="2212"/>
      <c r="X16" s="1591"/>
      <c r="Y16" s="2163"/>
      <c r="Z16" s="2063"/>
      <c r="AA16" s="2212"/>
      <c r="AB16" s="1591"/>
      <c r="AC16" s="2163"/>
      <c r="AD16" s="2241"/>
      <c r="AE16" s="2141"/>
      <c r="AF16" s="2241"/>
      <c r="AG16" s="2141"/>
      <c r="AH16" s="2132"/>
      <c r="AI16" s="2132"/>
      <c r="AJ16" s="3883"/>
      <c r="AK16" s="2212"/>
    </row>
    <row r="17" spans="1:37" s="1570" customFormat="1" ht="13.5" customHeight="1">
      <c r="A17" s="2063"/>
      <c r="B17" s="583"/>
      <c r="C17" s="2174" t="s">
        <v>2947</v>
      </c>
      <c r="D17" s="2090"/>
      <c r="E17" s="2089"/>
      <c r="F17" s="2090"/>
      <c r="G17" s="2089"/>
      <c r="H17" s="2088"/>
      <c r="I17" s="2091"/>
      <c r="J17" s="2088"/>
      <c r="K17" s="2091"/>
      <c r="L17" s="2088"/>
      <c r="M17" s="2091"/>
      <c r="N17" s="2088"/>
      <c r="O17" s="2091"/>
      <c r="P17" s="2088"/>
      <c r="Q17" s="2092"/>
      <c r="R17" s="2192"/>
      <c r="S17" s="2193"/>
      <c r="T17" s="2192"/>
      <c r="U17" s="2193"/>
      <c r="V17" s="2063"/>
      <c r="W17" s="2212"/>
      <c r="X17" s="1591"/>
      <c r="Y17" s="2163"/>
      <c r="Z17" s="2063"/>
      <c r="AA17" s="2212"/>
      <c r="AB17" s="1591"/>
      <c r="AC17" s="2163"/>
      <c r="AD17" s="2241"/>
      <c r="AE17" s="2141"/>
      <c r="AF17" s="2241"/>
      <c r="AG17" s="2141"/>
      <c r="AH17" s="3882"/>
      <c r="AI17" s="2279"/>
      <c r="AJ17" s="3883"/>
      <c r="AK17" s="2212"/>
    </row>
    <row r="18" spans="1:37" s="1570" customFormat="1" ht="13.5" customHeight="1">
      <c r="A18" s="2063"/>
      <c r="B18" s="583"/>
      <c r="C18" s="1998" t="s">
        <v>2948</v>
      </c>
      <c r="D18" s="2090"/>
      <c r="E18" s="2089"/>
      <c r="F18" s="2090"/>
      <c r="G18" s="2089"/>
      <c r="H18" s="2088"/>
      <c r="I18" s="2091"/>
      <c r="J18" s="2088"/>
      <c r="K18" s="2091"/>
      <c r="L18" s="2088"/>
      <c r="M18" s="2091"/>
      <c r="N18" s="2088"/>
      <c r="O18" s="2091"/>
      <c r="P18" s="2088"/>
      <c r="Q18" s="2092"/>
      <c r="R18" s="2192"/>
      <c r="S18" s="2193"/>
      <c r="T18" s="2192"/>
      <c r="U18" s="2193">
        <f>180273.9+180273.9</f>
        <v>360547.8</v>
      </c>
      <c r="V18" s="2063"/>
      <c r="W18" s="2212"/>
      <c r="X18" s="1591"/>
      <c r="Y18" s="2163"/>
      <c r="Z18" s="2063"/>
      <c r="AA18" s="2212"/>
      <c r="AB18" s="1591"/>
      <c r="AC18" s="2163"/>
      <c r="AD18" s="2241"/>
      <c r="AE18" s="2141"/>
      <c r="AF18" s="2241"/>
      <c r="AG18" s="2141"/>
      <c r="AH18" s="3883"/>
      <c r="AI18" s="2163"/>
      <c r="AJ18" s="3883"/>
      <c r="AK18" s="2212"/>
    </row>
    <row r="19" spans="1:37" s="1570" customFormat="1" ht="13.5" customHeight="1">
      <c r="A19" s="2063"/>
      <c r="B19" s="583"/>
      <c r="C19" s="1998" t="s">
        <v>2949</v>
      </c>
      <c r="D19" s="2090"/>
      <c r="E19" s="2089"/>
      <c r="F19" s="2090"/>
      <c r="G19" s="2089"/>
      <c r="H19" s="2088"/>
      <c r="I19" s="2091"/>
      <c r="J19" s="2088"/>
      <c r="K19" s="2091"/>
      <c r="L19" s="2088"/>
      <c r="M19" s="2091"/>
      <c r="N19" s="2088"/>
      <c r="O19" s="2091"/>
      <c r="P19" s="2088"/>
      <c r="Q19" s="2092"/>
      <c r="R19" s="2192"/>
      <c r="S19" s="2193"/>
      <c r="T19" s="2192"/>
      <c r="U19" s="2193">
        <f>303032.23+303032.23+4054.85-2376.33</f>
        <v>607742.98</v>
      </c>
      <c r="V19" s="2213"/>
      <c r="W19" s="2205">
        <f>644408.18+644408.18</f>
        <v>1288816.3600000001</v>
      </c>
      <c r="X19" s="1486"/>
      <c r="Y19" s="1486">
        <f>644408.18+644408.18</f>
        <v>1288816.3600000001</v>
      </c>
      <c r="Z19" s="2213"/>
      <c r="AA19" s="2205">
        <f>644408.18+644408.18</f>
        <v>1288816.3600000001</v>
      </c>
      <c r="AB19" s="1486"/>
      <c r="AC19" s="1486">
        <f>644408.18+644408.18</f>
        <v>1288816.3600000001</v>
      </c>
      <c r="AD19" s="2242"/>
      <c r="AE19" s="2142">
        <f>644408.18+644408.18</f>
        <v>1288816.3600000001</v>
      </c>
      <c r="AF19" s="2242"/>
      <c r="AG19" s="2142">
        <f>644408.18+644408.18</f>
        <v>1288816.3600000001</v>
      </c>
      <c r="AH19" s="3884"/>
      <c r="AI19" s="1519">
        <f>644408.18*2</f>
        <v>1288816.3600000001</v>
      </c>
      <c r="AJ19" s="3884"/>
      <c r="AK19" s="3885"/>
    </row>
    <row r="20" spans="1:37" s="1570" customFormat="1" ht="12.75" hidden="1">
      <c r="A20" s="2008" t="s">
        <v>2950</v>
      </c>
      <c r="B20" s="2069"/>
      <c r="C20" s="2175"/>
      <c r="D20" s="2084"/>
      <c r="E20" s="2083"/>
      <c r="F20" s="2084"/>
      <c r="G20" s="2083"/>
      <c r="H20" s="2082"/>
      <c r="I20" s="2083">
        <f>SUM(I21:I33)</f>
        <v>101621.33000000002</v>
      </c>
      <c r="J20" s="2082"/>
      <c r="K20" s="2083">
        <f>SUM(K21:K33)</f>
        <v>96838.06</v>
      </c>
      <c r="L20" s="2082"/>
      <c r="M20" s="2083">
        <f>SUM(M21:M33)</f>
        <v>101490.58999999997</v>
      </c>
      <c r="N20" s="2082"/>
      <c r="O20" s="2083">
        <f>SUM(O21:O33)</f>
        <v>97213.419999999984</v>
      </c>
      <c r="P20" s="2082"/>
      <c r="Q20" s="2084">
        <f>SUM(Q21:Q33)</f>
        <v>100314.21</v>
      </c>
      <c r="R20" s="2190"/>
      <c r="S20" s="2191">
        <f>SUM(S21:S33)</f>
        <v>100111.21999999999</v>
      </c>
      <c r="T20" s="2190"/>
      <c r="U20" s="2191">
        <f>SUM(U21:U33)</f>
        <v>102207.35999999999</v>
      </c>
      <c r="V20" s="2008" t="s">
        <v>2951</v>
      </c>
      <c r="W20" s="2172"/>
      <c r="X20" s="2022"/>
      <c r="Y20" s="2230"/>
      <c r="Z20" s="2008"/>
      <c r="AA20" s="2211"/>
      <c r="AB20" s="2022"/>
      <c r="AC20" s="2230"/>
      <c r="AD20" s="2240"/>
      <c r="AE20" s="2086"/>
      <c r="AF20" s="2240"/>
      <c r="AG20" s="2086"/>
      <c r="AH20" s="2132"/>
      <c r="AI20" s="2132"/>
      <c r="AJ20" s="2132"/>
      <c r="AK20" s="2132"/>
    </row>
    <row r="21" spans="1:37" s="1570" customFormat="1" ht="13.5" hidden="1" customHeight="1">
      <c r="A21" s="2063"/>
      <c r="B21" s="583">
        <v>1</v>
      </c>
      <c r="C21" s="2174"/>
      <c r="D21" s="2090"/>
      <c r="E21" s="2089"/>
      <c r="F21" s="2090"/>
      <c r="G21" s="2089"/>
      <c r="H21" s="2088"/>
      <c r="I21" s="2091">
        <v>8669.24</v>
      </c>
      <c r="J21" s="2088"/>
      <c r="K21" s="2091">
        <f>7557.67+998.84</f>
        <v>8556.51</v>
      </c>
      <c r="L21" s="2088"/>
      <c r="M21" s="2091">
        <f>8090.65+164.89</f>
        <v>8255.5399999999991</v>
      </c>
      <c r="N21" s="2088"/>
      <c r="O21" s="2091">
        <f>1249.8+5716.59+1210.49</f>
        <v>8176.88</v>
      </c>
      <c r="P21" s="2088"/>
      <c r="Q21" s="2092">
        <v>8682.4599999999991</v>
      </c>
      <c r="R21" s="2192"/>
      <c r="S21" s="2193">
        <v>8090.65</v>
      </c>
      <c r="T21" s="2192"/>
      <c r="U21" s="2193">
        <f>8715.55+624.9</f>
        <v>9340.4499999999989</v>
      </c>
      <c r="V21" s="2063" t="s">
        <v>2952</v>
      </c>
      <c r="W21" s="2212"/>
      <c r="X21" s="1591"/>
      <c r="Y21" s="2163"/>
      <c r="Z21" s="2063"/>
      <c r="AA21" s="2212"/>
      <c r="AB21" s="1591"/>
      <c r="AC21" s="2163"/>
      <c r="AD21" s="2241"/>
      <c r="AE21" s="2141"/>
      <c r="AF21" s="2241"/>
      <c r="AG21" s="2141"/>
      <c r="AH21" s="2132"/>
      <c r="AI21" s="2132"/>
      <c r="AJ21" s="2132"/>
      <c r="AK21" s="2132"/>
    </row>
    <row r="22" spans="1:37" s="1570" customFormat="1" ht="13.5" hidden="1" customHeight="1">
      <c r="A22" s="2063"/>
      <c r="B22" s="583">
        <v>2</v>
      </c>
      <c r="C22" s="2174"/>
      <c r="D22" s="2090"/>
      <c r="E22" s="2089"/>
      <c r="F22" s="2090"/>
      <c r="G22" s="2089"/>
      <c r="H22" s="2088"/>
      <c r="I22" s="2091">
        <v>8421.2800000000007</v>
      </c>
      <c r="J22" s="2088"/>
      <c r="K22" s="2091">
        <f>8557.51+254.26</f>
        <v>8811.77</v>
      </c>
      <c r="L22" s="2088"/>
      <c r="M22" s="2091">
        <f>7033.54+3.19</f>
        <v>7036.73</v>
      </c>
      <c r="N22" s="2088"/>
      <c r="O22" s="2091">
        <v>7465.75</v>
      </c>
      <c r="P22" s="2088"/>
      <c r="Q22" s="2092">
        <v>7661.4</v>
      </c>
      <c r="R22" s="2192"/>
      <c r="S22" s="2193">
        <f>7465.75+624.9</f>
        <v>8090.65</v>
      </c>
      <c r="T22" s="2192"/>
      <c r="U22" s="2193">
        <v>8715.5499999999993</v>
      </c>
      <c r="V22" s="2063"/>
      <c r="W22" s="2212"/>
      <c r="X22" s="1591"/>
      <c r="Y22" s="2163"/>
      <c r="Z22" s="2063"/>
      <c r="AA22" s="2212"/>
      <c r="AB22" s="1591"/>
      <c r="AC22" s="2163"/>
      <c r="AD22" s="2241"/>
      <c r="AE22" s="2141"/>
      <c r="AF22" s="2241"/>
      <c r="AG22" s="2141"/>
      <c r="AH22" s="2132"/>
      <c r="AI22" s="2132"/>
      <c r="AJ22" s="2132"/>
      <c r="AK22" s="2132"/>
    </row>
    <row r="23" spans="1:37" s="1570" customFormat="1" ht="13.5" hidden="1" customHeight="1">
      <c r="A23" s="2063"/>
      <c r="B23" s="583">
        <v>3</v>
      </c>
      <c r="C23" s="2174"/>
      <c r="D23" s="2090"/>
      <c r="E23" s="2089"/>
      <c r="F23" s="2090"/>
      <c r="G23" s="2089"/>
      <c r="H23" s="2088"/>
      <c r="I23" s="2091">
        <v>8669.24</v>
      </c>
      <c r="J23" s="2088"/>
      <c r="K23" s="2091">
        <v>8557.51</v>
      </c>
      <c r="L23" s="2088"/>
      <c r="M23" s="2091">
        <v>8682.4599999999991</v>
      </c>
      <c r="N23" s="2088"/>
      <c r="O23" s="2091">
        <v>8682.4599999999991</v>
      </c>
      <c r="P23" s="2088"/>
      <c r="Q23" s="2092">
        <f>7965.67+624.9+1863.82</f>
        <v>10454.39</v>
      </c>
      <c r="R23" s="2192"/>
      <c r="S23" s="2193">
        <f>8090.65+874.86</f>
        <v>8965.51</v>
      </c>
      <c r="T23" s="2192"/>
      <c r="U23" s="2193">
        <v>8715.5499999999993</v>
      </c>
      <c r="V23" s="2063"/>
      <c r="W23" s="2212"/>
      <c r="X23" s="1591"/>
      <c r="Y23" s="2163"/>
      <c r="Z23" s="2063"/>
      <c r="AA23" s="2212"/>
      <c r="AB23" s="1591"/>
      <c r="AC23" s="2163"/>
      <c r="AD23" s="2241"/>
      <c r="AE23" s="2141"/>
      <c r="AF23" s="2241"/>
      <c r="AG23" s="2141"/>
      <c r="AH23" s="2132"/>
      <c r="AI23" s="2132"/>
      <c r="AJ23" s="2132"/>
      <c r="AK23" s="2132"/>
    </row>
    <row r="24" spans="1:37" s="1570" customFormat="1" ht="13.5" hidden="1" customHeight="1">
      <c r="A24" s="2063"/>
      <c r="B24" s="583">
        <v>4</v>
      </c>
      <c r="C24" s="2174"/>
      <c r="D24" s="2090"/>
      <c r="E24" s="2089"/>
      <c r="F24" s="2090"/>
      <c r="G24" s="2089"/>
      <c r="H24" s="2088"/>
      <c r="I24" s="2091">
        <v>8669.24</v>
      </c>
      <c r="J24" s="2088"/>
      <c r="K24" s="2091">
        <f>6590.89</f>
        <v>6590.89</v>
      </c>
      <c r="L24" s="2088"/>
      <c r="M24" s="2091">
        <v>8682.4599999999991</v>
      </c>
      <c r="N24" s="2088"/>
      <c r="O24" s="2091">
        <f>8090.65+624.9</f>
        <v>8715.5499999999993</v>
      </c>
      <c r="P24" s="2088"/>
      <c r="Q24" s="2092">
        <f>7965.67+624.9</f>
        <v>8590.57</v>
      </c>
      <c r="R24" s="2192"/>
      <c r="S24" s="2193">
        <f>7498.8+624.9</f>
        <v>8123.7</v>
      </c>
      <c r="T24" s="2192"/>
      <c r="U24" s="2193">
        <f>8715.55+120.05</f>
        <v>8835.5999999999985</v>
      </c>
      <c r="V24" s="2063"/>
      <c r="W24" s="2212"/>
      <c r="X24" s="1591"/>
      <c r="Y24" s="2163"/>
      <c r="Z24" s="2063"/>
      <c r="AA24" s="2212"/>
      <c r="AB24" s="1591"/>
      <c r="AC24" s="2163"/>
      <c r="AD24" s="2241"/>
      <c r="AE24" s="2141"/>
      <c r="AF24" s="2241"/>
      <c r="AG24" s="2141"/>
      <c r="AH24" s="2132"/>
      <c r="AI24" s="2132"/>
      <c r="AJ24" s="2132"/>
      <c r="AK24" s="2132"/>
    </row>
    <row r="25" spans="1:37" s="1570" customFormat="1" ht="13.5" hidden="1" customHeight="1">
      <c r="A25" s="2063"/>
      <c r="B25" s="583">
        <v>5</v>
      </c>
      <c r="C25" s="2174"/>
      <c r="D25" s="2090"/>
      <c r="E25" s="2089"/>
      <c r="F25" s="2090"/>
      <c r="G25" s="2089"/>
      <c r="H25" s="2088"/>
      <c r="I25" s="2091">
        <v>8669.24</v>
      </c>
      <c r="J25" s="2088"/>
      <c r="K25" s="2091">
        <f>4801.82+1124.82</f>
        <v>5926.6399999999994</v>
      </c>
      <c r="L25" s="2088"/>
      <c r="M25" s="2091">
        <v>8682.4599999999991</v>
      </c>
      <c r="N25" s="2088"/>
      <c r="O25" s="2091">
        <v>6840.85</v>
      </c>
      <c r="P25" s="2088"/>
      <c r="Q25" s="2092">
        <f>7595.09</f>
        <v>7595.09</v>
      </c>
      <c r="R25" s="2192"/>
      <c r="S25" s="2193">
        <f>7518.35+624.9</f>
        <v>8143.25</v>
      </c>
      <c r="T25" s="2192"/>
      <c r="U25" s="2193">
        <v>8090.65</v>
      </c>
      <c r="V25" s="2063"/>
      <c r="W25" s="2212"/>
      <c r="X25" s="1591"/>
      <c r="Y25" s="2163"/>
      <c r="Z25" s="2063"/>
      <c r="AA25" s="2212"/>
      <c r="AB25" s="1591"/>
      <c r="AC25" s="2163"/>
      <c r="AD25" s="2241"/>
      <c r="AE25" s="2141"/>
      <c r="AF25" s="2241"/>
      <c r="AG25" s="2141"/>
      <c r="AH25" s="2132"/>
      <c r="AI25" s="2132"/>
      <c r="AJ25" s="2132"/>
      <c r="AK25" s="2132"/>
    </row>
    <row r="26" spans="1:37" s="1570" customFormat="1" ht="13.5" hidden="1" customHeight="1">
      <c r="A26" s="2063"/>
      <c r="B26" s="583">
        <v>6</v>
      </c>
      <c r="C26" s="2174"/>
      <c r="D26" s="2090"/>
      <c r="E26" s="2089"/>
      <c r="F26" s="2090"/>
      <c r="G26" s="2089"/>
      <c r="H26" s="2088"/>
      <c r="I26" s="2091">
        <v>8669.24</v>
      </c>
      <c r="J26" s="2088"/>
      <c r="K26" s="2091">
        <f>7340.77+624.9</f>
        <v>7965.67</v>
      </c>
      <c r="L26" s="2088"/>
      <c r="M26" s="2091">
        <v>8682.4599999999991</v>
      </c>
      <c r="N26" s="2088"/>
      <c r="O26" s="2091">
        <f>591.85+8057.6</f>
        <v>8649.4500000000007</v>
      </c>
      <c r="P26" s="2088"/>
      <c r="Q26" s="2092">
        <f>8623.62+624.9</f>
        <v>9248.52</v>
      </c>
      <c r="R26" s="2192"/>
      <c r="S26" s="2193">
        <f>8123.7+624.9</f>
        <v>8748.6</v>
      </c>
      <c r="T26" s="2192"/>
      <c r="U26" s="2193">
        <f>8090.65+624.9</f>
        <v>8715.5499999999993</v>
      </c>
      <c r="V26" s="2063"/>
      <c r="W26" s="2212"/>
      <c r="X26" s="1591"/>
      <c r="Y26" s="2163"/>
      <c r="Z26" s="2063"/>
      <c r="AA26" s="2212"/>
      <c r="AB26" s="1591"/>
      <c r="AC26" s="2163"/>
      <c r="AD26" s="2241"/>
      <c r="AE26" s="2141"/>
      <c r="AF26" s="2241"/>
      <c r="AG26" s="2141"/>
      <c r="AH26" s="2132"/>
      <c r="AI26" s="2132"/>
      <c r="AJ26" s="2132"/>
      <c r="AK26" s="2132"/>
    </row>
    <row r="27" spans="1:37" s="1570" customFormat="1" ht="13.5" hidden="1" customHeight="1">
      <c r="A27" s="2063"/>
      <c r="B27" s="583">
        <v>7</v>
      </c>
      <c r="C27" s="2174"/>
      <c r="D27" s="2090"/>
      <c r="E27" s="2089"/>
      <c r="F27" s="2090"/>
      <c r="G27" s="2089"/>
      <c r="H27" s="2088"/>
      <c r="I27" s="2091">
        <v>8669.24</v>
      </c>
      <c r="J27" s="2088"/>
      <c r="K27" s="2091">
        <f>7340.77+1249.8</f>
        <v>8590.57</v>
      </c>
      <c r="L27" s="2088"/>
      <c r="M27" s="2091">
        <v>6215.95</v>
      </c>
      <c r="N27" s="2088"/>
      <c r="O27" s="2091">
        <f>4900.05+624.9</f>
        <v>5524.95</v>
      </c>
      <c r="P27" s="2088"/>
      <c r="Q27" s="2092">
        <f>7998.72+624.9</f>
        <v>8623.6200000000008</v>
      </c>
      <c r="R27" s="2192"/>
      <c r="S27" s="2193">
        <f>8748.56</f>
        <v>8748.56</v>
      </c>
      <c r="T27" s="2192"/>
      <c r="U27" s="2193">
        <v>8715.5499999999993</v>
      </c>
      <c r="V27" s="2063"/>
      <c r="W27" s="2212"/>
      <c r="X27" s="1591"/>
      <c r="Y27" s="2163"/>
      <c r="Z27" s="2063"/>
      <c r="AA27" s="2212"/>
      <c r="AB27" s="1591"/>
      <c r="AC27" s="2163"/>
      <c r="AD27" s="2241"/>
      <c r="AE27" s="2141"/>
      <c r="AF27" s="2241"/>
      <c r="AG27" s="2141"/>
      <c r="AH27" s="2132"/>
      <c r="AI27" s="2132"/>
      <c r="AJ27" s="2132"/>
      <c r="AK27" s="2132"/>
    </row>
    <row r="28" spans="1:37" s="1570" customFormat="1" ht="13.5" hidden="1" customHeight="1">
      <c r="A28" s="2063"/>
      <c r="B28" s="583">
        <v>8</v>
      </c>
      <c r="C28" s="2174"/>
      <c r="D28" s="2090"/>
      <c r="E28" s="2089"/>
      <c r="F28" s="2090"/>
      <c r="G28" s="2089"/>
      <c r="H28" s="2088"/>
      <c r="I28" s="2091">
        <f>6990.66+1249.8</f>
        <v>8240.4599999999991</v>
      </c>
      <c r="J28" s="2088"/>
      <c r="K28" s="2091">
        <f>7465.75+1341.69</f>
        <v>8807.44</v>
      </c>
      <c r="L28" s="2088"/>
      <c r="M28" s="2091">
        <f>6840.85+1841.61</f>
        <v>8682.4600000000009</v>
      </c>
      <c r="N28" s="2088"/>
      <c r="O28" s="2091">
        <f>4407.3+624.9</f>
        <v>5032.2</v>
      </c>
      <c r="P28" s="2088"/>
      <c r="Q28" s="2092">
        <f>6837.21</f>
        <v>6837.21</v>
      </c>
      <c r="R28" s="2192"/>
      <c r="S28" s="2193">
        <f>7498.76+1249.76</f>
        <v>8748.52</v>
      </c>
      <c r="T28" s="2192"/>
      <c r="U28" s="2193">
        <f>4594.63+3124.5</f>
        <v>7719.13</v>
      </c>
      <c r="V28" s="2063"/>
      <c r="W28" s="2212"/>
      <c r="X28" s="1591"/>
      <c r="Y28" s="2163"/>
      <c r="Z28" s="2063"/>
      <c r="AA28" s="2212"/>
      <c r="AB28" s="1591"/>
      <c r="AC28" s="2163"/>
      <c r="AD28" s="2241"/>
      <c r="AE28" s="2141"/>
      <c r="AF28" s="2241"/>
      <c r="AG28" s="2141"/>
      <c r="AH28" s="2132"/>
      <c r="AI28" s="2132"/>
      <c r="AJ28" s="2132"/>
      <c r="AK28" s="2132"/>
    </row>
    <row r="29" spans="1:37" s="1570" customFormat="1" ht="13.5" hidden="1" customHeight="1">
      <c r="A29" s="2063"/>
      <c r="B29" s="583">
        <v>9</v>
      </c>
      <c r="C29" s="2174"/>
      <c r="D29" s="2090"/>
      <c r="E29" s="2089"/>
      <c r="F29" s="2090"/>
      <c r="G29" s="2089"/>
      <c r="H29" s="2088"/>
      <c r="I29" s="2091">
        <f>6932.77+624.9</f>
        <v>7557.67</v>
      </c>
      <c r="J29" s="2088"/>
      <c r="K29" s="2091">
        <v>8465.59</v>
      </c>
      <c r="L29" s="2088"/>
      <c r="M29" s="2091">
        <f>8682.46+1840.23</f>
        <v>10522.689999999999</v>
      </c>
      <c r="N29" s="2088"/>
      <c r="O29" s="2091">
        <f>7307.72+1216.75</f>
        <v>8524.4700000000012</v>
      </c>
      <c r="P29" s="2088"/>
      <c r="Q29" s="2092">
        <f>6215.95+1249.8</f>
        <v>7465.75</v>
      </c>
      <c r="R29" s="2192"/>
      <c r="S29" s="2193">
        <f>8123.7+624.9</f>
        <v>8748.6</v>
      </c>
      <c r="T29" s="2192"/>
      <c r="U29" s="2193">
        <f>8090.65+1249.8</f>
        <v>9340.4499999999989</v>
      </c>
      <c r="V29" s="2063"/>
      <c r="W29" s="2212"/>
      <c r="X29" s="1591"/>
      <c r="Y29" s="2163"/>
      <c r="Z29" s="2063"/>
      <c r="AA29" s="2212"/>
      <c r="AB29" s="1591"/>
      <c r="AC29" s="2163"/>
      <c r="AD29" s="2241"/>
      <c r="AE29" s="2141"/>
      <c r="AF29" s="2241"/>
      <c r="AG29" s="2141"/>
      <c r="AH29" s="2132"/>
      <c r="AI29" s="2132"/>
      <c r="AJ29" s="2132"/>
      <c r="AK29" s="2132"/>
    </row>
    <row r="30" spans="1:37" s="1570" customFormat="1" ht="13.5" hidden="1" customHeight="1">
      <c r="A30" s="2063"/>
      <c r="B30" s="583">
        <v>10</v>
      </c>
      <c r="C30" s="2174"/>
      <c r="D30" s="2090"/>
      <c r="E30" s="2089"/>
      <c r="F30" s="2090"/>
      <c r="G30" s="2089"/>
      <c r="H30" s="2088"/>
      <c r="I30" s="2091">
        <f>5433.01+999.84</f>
        <v>6432.85</v>
      </c>
      <c r="J30" s="2088"/>
      <c r="K30" s="2091">
        <f>6215.95+2466.51</f>
        <v>8682.4599999999991</v>
      </c>
      <c r="L30" s="2088"/>
      <c r="M30" s="2091">
        <f>7465.75+1216.71</f>
        <v>8682.4599999999991</v>
      </c>
      <c r="N30" s="2088"/>
      <c r="O30" s="2091">
        <f>7307.72+624.9</f>
        <v>7932.62</v>
      </c>
      <c r="P30" s="2088"/>
      <c r="Q30" s="2092">
        <v>7465.75</v>
      </c>
      <c r="R30" s="2192"/>
      <c r="S30" s="2193">
        <f>7498.8+624.9</f>
        <v>8123.7</v>
      </c>
      <c r="T30" s="2192"/>
      <c r="U30" s="2193">
        <f>8090.65+657.91</f>
        <v>8748.56</v>
      </c>
      <c r="V30" s="2063"/>
      <c r="W30" s="2212"/>
      <c r="X30" s="1591"/>
      <c r="Y30" s="2163"/>
      <c r="Z30" s="2063"/>
      <c r="AA30" s="2212"/>
      <c r="AB30" s="1591"/>
      <c r="AC30" s="2163"/>
      <c r="AD30" s="2241"/>
      <c r="AE30" s="2141"/>
      <c r="AF30" s="2241"/>
      <c r="AG30" s="2141"/>
      <c r="AH30" s="2132"/>
      <c r="AI30" s="2132"/>
      <c r="AJ30" s="2132"/>
      <c r="AK30" s="2132"/>
    </row>
    <row r="31" spans="1:37" s="1570" customFormat="1" ht="13.5" hidden="1" customHeight="1">
      <c r="A31" s="2063"/>
      <c r="B31" s="583">
        <v>11</v>
      </c>
      <c r="C31" s="2174"/>
      <c r="D31" s="2090"/>
      <c r="E31" s="2089"/>
      <c r="F31" s="2090"/>
      <c r="G31" s="2089"/>
      <c r="H31" s="2088"/>
      <c r="I31" s="2091">
        <f>5189.14+1124.82</f>
        <v>6313.96</v>
      </c>
      <c r="J31" s="2088"/>
      <c r="K31" s="2091">
        <f>6542.56+624.9</f>
        <v>7167.46</v>
      </c>
      <c r="L31" s="2088"/>
      <c r="M31" s="2091">
        <v>8682.4599999999991</v>
      </c>
      <c r="N31" s="2088"/>
      <c r="O31" s="2091">
        <f>5803+7807.64+124.98</f>
        <v>13735.619999999999</v>
      </c>
      <c r="P31" s="2088"/>
      <c r="Q31" s="2092">
        <f>8715.55</f>
        <v>8715.5499999999993</v>
      </c>
      <c r="R31" s="2192"/>
      <c r="S31" s="2193">
        <f>6863.93</f>
        <v>6863.93</v>
      </c>
      <c r="T31" s="2192"/>
      <c r="U31" s="2193">
        <f>6804.73</f>
        <v>6804.73</v>
      </c>
      <c r="V31" s="2063"/>
      <c r="W31" s="2212"/>
      <c r="X31" s="1591"/>
      <c r="Y31" s="2163"/>
      <c r="Z31" s="2063"/>
      <c r="AA31" s="2212"/>
      <c r="AB31" s="1591"/>
      <c r="AC31" s="2163"/>
      <c r="AD31" s="2241"/>
      <c r="AE31" s="2141"/>
      <c r="AF31" s="2241"/>
      <c r="AG31" s="2141"/>
      <c r="AH31" s="2132"/>
      <c r="AI31" s="2132"/>
      <c r="AJ31" s="2132"/>
      <c r="AK31" s="2132"/>
    </row>
    <row r="32" spans="1:37" s="1570" customFormat="1" ht="13.5" hidden="1" customHeight="1">
      <c r="A32" s="2063"/>
      <c r="B32" s="583">
        <v>12</v>
      </c>
      <c r="C32" s="2174"/>
      <c r="D32" s="2090"/>
      <c r="E32" s="2089"/>
      <c r="F32" s="2090"/>
      <c r="G32" s="2089"/>
      <c r="H32" s="2088"/>
      <c r="I32" s="2091">
        <f>6932.77+1249.8</f>
        <v>8182.5700000000006</v>
      </c>
      <c r="J32" s="2088"/>
      <c r="K32" s="2091">
        <f>8090.65+624.9</f>
        <v>8715.5499999999993</v>
      </c>
      <c r="L32" s="2088"/>
      <c r="M32" s="2091">
        <v>8682.4599999999991</v>
      </c>
      <c r="N32" s="2088"/>
      <c r="O32" s="2091">
        <f>7932.62</f>
        <v>7932.62</v>
      </c>
      <c r="P32" s="2088"/>
      <c r="Q32" s="2092">
        <f>8715.55+258.35</f>
        <v>8973.9</v>
      </c>
      <c r="R32" s="2192"/>
      <c r="S32" s="2193">
        <f>8715.55</f>
        <v>8715.5499999999993</v>
      </c>
      <c r="T32" s="2192"/>
      <c r="U32" s="2193">
        <f>8465.59</f>
        <v>8465.59</v>
      </c>
      <c r="V32" s="2063"/>
      <c r="W32" s="2212"/>
      <c r="X32" s="1591"/>
      <c r="Y32" s="2163"/>
      <c r="Z32" s="2063"/>
      <c r="AA32" s="2212"/>
      <c r="AB32" s="1591"/>
      <c r="AC32" s="2163"/>
      <c r="AD32" s="2241"/>
      <c r="AE32" s="2141"/>
      <c r="AF32" s="2241"/>
      <c r="AG32" s="2141"/>
      <c r="AH32" s="2132"/>
      <c r="AI32" s="2132"/>
      <c r="AJ32" s="2132"/>
      <c r="AK32" s="2132"/>
    </row>
    <row r="33" spans="1:37" s="1570" customFormat="1" ht="12.75" hidden="1">
      <c r="A33" s="2063"/>
      <c r="B33" s="583" t="s">
        <v>2953</v>
      </c>
      <c r="C33" s="2174"/>
      <c r="D33" s="2090"/>
      <c r="E33" s="2089"/>
      <c r="F33" s="2090"/>
      <c r="G33" s="2089"/>
      <c r="H33" s="2088"/>
      <c r="I33" s="2091">
        <v>4457.1000000000004</v>
      </c>
      <c r="J33" s="2088"/>
      <c r="K33" s="2094"/>
      <c r="L33" s="2088"/>
      <c r="M33" s="2094"/>
      <c r="N33" s="2088"/>
      <c r="O33" s="2094"/>
      <c r="P33" s="2088"/>
      <c r="Q33" s="2095"/>
      <c r="R33" s="2192"/>
      <c r="S33" s="2194"/>
      <c r="T33" s="2192"/>
      <c r="U33" s="2194"/>
      <c r="V33" s="2063"/>
      <c r="W33" s="2212"/>
      <c r="X33" s="1591"/>
      <c r="Y33" s="2163"/>
      <c r="Z33" s="2063"/>
      <c r="AA33" s="2212"/>
      <c r="AB33" s="1591"/>
      <c r="AC33" s="2163"/>
      <c r="AD33" s="2241"/>
      <c r="AE33" s="2141"/>
      <c r="AF33" s="2241"/>
      <c r="AG33" s="2141"/>
      <c r="AH33" s="2132"/>
      <c r="AI33" s="2132"/>
      <c r="AJ33" s="2132"/>
      <c r="AK33" s="2132"/>
    </row>
    <row r="34" spans="1:37" s="1570" customFormat="1" ht="12.75">
      <c r="A34" s="2008" t="s">
        <v>2954</v>
      </c>
      <c r="B34" s="2069"/>
      <c r="C34" s="2172" t="s">
        <v>1757</v>
      </c>
      <c r="D34" s="2084"/>
      <c r="E34" s="2083">
        <f>SUM(E35:E38)</f>
        <v>53678.820000000007</v>
      </c>
      <c r="F34" s="2084"/>
      <c r="G34" s="2083"/>
      <c r="H34" s="2082"/>
      <c r="I34" s="2083">
        <f>SUM(I35:I38)</f>
        <v>46891.81</v>
      </c>
      <c r="J34" s="2082"/>
      <c r="K34" s="2083">
        <f>SUM(K35:K38)</f>
        <v>47576.780000000006</v>
      </c>
      <c r="L34" s="2082"/>
      <c r="M34" s="2083">
        <f>SUM(M35:M38)</f>
        <v>57264</v>
      </c>
      <c r="N34" s="2082"/>
      <c r="O34" s="2083">
        <f>SUM(O35:O38)</f>
        <v>59082.51</v>
      </c>
      <c r="P34" s="2082"/>
      <c r="Q34" s="2084">
        <f>SUM(Q35:Q38)</f>
        <v>59810.600000000006</v>
      </c>
      <c r="R34" s="2190"/>
      <c r="S34" s="2191">
        <f>SUM(S35:S39)</f>
        <v>60112.119999999995</v>
      </c>
      <c r="T34" s="2190"/>
      <c r="U34" s="2191">
        <f>SUM(U35:U38)</f>
        <v>60688.729999999996</v>
      </c>
      <c r="V34" s="2008"/>
      <c r="W34" s="2211">
        <f>SUM(W35:W38)</f>
        <v>60612.959999999999</v>
      </c>
      <c r="X34" s="2022"/>
      <c r="Y34" s="2230">
        <f>SUM(Y35:Y38)</f>
        <v>57718.7</v>
      </c>
      <c r="Z34" s="2008"/>
      <c r="AA34" s="2211">
        <f>SUM(AA35:AA38)</f>
        <v>62122.04</v>
      </c>
      <c r="AB34" s="2022"/>
      <c r="AC34" s="2230">
        <f>SUM(AC35:AC38)</f>
        <v>62122.04</v>
      </c>
      <c r="AD34" s="2240"/>
      <c r="AE34" s="2086">
        <f>SUM(AE35:AE38)</f>
        <v>63629.66</v>
      </c>
      <c r="AF34" s="2240"/>
      <c r="AG34" s="2086">
        <f>SUM(AG35:AG38)</f>
        <v>56441.71</v>
      </c>
      <c r="AH34" s="3881"/>
      <c r="AI34" s="2086">
        <f>SUM(AI35:AI38)</f>
        <v>32389.84</v>
      </c>
      <c r="AJ34" s="3881"/>
      <c r="AK34" s="2086">
        <f>SUM(AK35:AK41)</f>
        <v>8097.46</v>
      </c>
    </row>
    <row r="35" spans="1:37" s="1570" customFormat="1" ht="12.75">
      <c r="A35" s="2063"/>
      <c r="B35" s="583" t="s">
        <v>783</v>
      </c>
      <c r="C35" s="2174" t="s">
        <v>2955</v>
      </c>
      <c r="D35" s="2090"/>
      <c r="E35" s="2091">
        <f>10762.54+348.04</f>
        <v>11110.580000000002</v>
      </c>
      <c r="F35" s="2090"/>
      <c r="G35" s="2089"/>
      <c r="H35" s="2088"/>
      <c r="I35" s="2091">
        <f>10762.54-2490.03</f>
        <v>8272.51</v>
      </c>
      <c r="J35" s="2088"/>
      <c r="K35" s="2091">
        <f>10918.54-4128.4</f>
        <v>6790.1400000000012</v>
      </c>
      <c r="L35" s="2088"/>
      <c r="M35" s="2096">
        <f>11452.8-2756.36</f>
        <v>8696.4399999999987</v>
      </c>
      <c r="N35" s="2088"/>
      <c r="O35" s="2096">
        <f>11766.75+2941.69</f>
        <v>14708.44</v>
      </c>
      <c r="P35" s="2088"/>
      <c r="Q35" s="1048">
        <f>11962.12+2990.53</f>
        <v>14952.650000000001</v>
      </c>
      <c r="R35" s="2192"/>
      <c r="S35" s="2195">
        <f>12022.42+355.89</f>
        <v>12378.31</v>
      </c>
      <c r="T35" s="2192"/>
      <c r="U35" s="2195">
        <f>12183.21+3045.8</f>
        <v>15229.009999999998</v>
      </c>
      <c r="V35" s="2063"/>
      <c r="W35" s="2205">
        <f>12183.21+2970.03</f>
        <v>15153.24</v>
      </c>
      <c r="X35" s="1591"/>
      <c r="Y35" s="1486">
        <f>12183.21+2970.03</f>
        <v>15153.24</v>
      </c>
      <c r="Z35" s="2063"/>
      <c r="AA35" s="2205">
        <f>12424.41+3106.1</f>
        <v>15530.51</v>
      </c>
      <c r="AB35" s="1591"/>
      <c r="AC35" s="1486">
        <f>12424.41+3106.1</f>
        <v>15530.51</v>
      </c>
      <c r="AD35" s="2241"/>
      <c r="AE35" s="2142">
        <f>12424.41+3106.1</f>
        <v>15530.51</v>
      </c>
      <c r="AF35" s="2241"/>
      <c r="AG35" s="2142">
        <f>16114.75</f>
        <v>16114.75</v>
      </c>
      <c r="AH35" s="3882"/>
      <c r="AI35" s="2266">
        <v>8097.46</v>
      </c>
      <c r="AJ35" s="3883"/>
      <c r="AK35" s="2205">
        <v>8097.46</v>
      </c>
    </row>
    <row r="36" spans="1:37" s="1570" customFormat="1" ht="12.75">
      <c r="A36" s="2063"/>
      <c r="B36" s="583" t="s">
        <v>784</v>
      </c>
      <c r="C36" s="2174"/>
      <c r="D36" s="2090"/>
      <c r="E36" s="2091">
        <f>10762.54+2623.7</f>
        <v>13386.240000000002</v>
      </c>
      <c r="F36" s="2090"/>
      <c r="G36" s="2089"/>
      <c r="H36" s="2088"/>
      <c r="I36" s="2091">
        <f>10762.54+950.42</f>
        <v>11712.960000000001</v>
      </c>
      <c r="J36" s="2088"/>
      <c r="K36" s="2091">
        <f>10918.54-4218.4</f>
        <v>6700.1400000000012</v>
      </c>
      <c r="L36" s="2088"/>
      <c r="M36" s="2096">
        <f>11452.8-4255.63</f>
        <v>7197.1699999999992</v>
      </c>
      <c r="N36" s="2088"/>
      <c r="O36" s="2096">
        <f>11766.75+2941.69</f>
        <v>14708.44</v>
      </c>
      <c r="P36" s="2088"/>
      <c r="Q36" s="1048">
        <f>11962.12+2990.53</f>
        <v>14952.650000000001</v>
      </c>
      <c r="R36" s="2192"/>
      <c r="S36" s="2195">
        <f>12022.42-4545.79</f>
        <v>7476.63</v>
      </c>
      <c r="T36" s="2192"/>
      <c r="U36" s="2195">
        <f>12183.21+2970.03</f>
        <v>15153.24</v>
      </c>
      <c r="V36" s="2063"/>
      <c r="W36" s="2205">
        <f>12183.21+2970.03</f>
        <v>15153.24</v>
      </c>
      <c r="X36" s="1591"/>
      <c r="Y36" s="1486">
        <f>12183.21+2970.03</f>
        <v>15153.24</v>
      </c>
      <c r="Z36" s="2063"/>
      <c r="AA36" s="2205">
        <f>12424.41+3106.1</f>
        <v>15530.51</v>
      </c>
      <c r="AB36" s="1591"/>
      <c r="AC36" s="1486">
        <f>12424.41+3106.1</f>
        <v>15530.51</v>
      </c>
      <c r="AD36" s="2241"/>
      <c r="AE36" s="2142">
        <f>12826.44+3206.61</f>
        <v>16033.050000000001</v>
      </c>
      <c r="AF36" s="2241"/>
      <c r="AG36" s="2142">
        <v>16114.75</v>
      </c>
      <c r="AH36" s="3883"/>
      <c r="AI36" s="2205">
        <v>8097.46</v>
      </c>
      <c r="AJ36" s="3883"/>
      <c r="AK36" s="2212"/>
    </row>
    <row r="37" spans="1:37" s="1570" customFormat="1" ht="12.75">
      <c r="A37" s="2063"/>
      <c r="B37" s="583" t="s">
        <v>604</v>
      </c>
      <c r="C37" s="2174"/>
      <c r="D37" s="2090"/>
      <c r="E37" s="2091">
        <f>10762.54+2623.7</f>
        <v>13386.240000000002</v>
      </c>
      <c r="F37" s="2090"/>
      <c r="G37" s="2089"/>
      <c r="H37" s="2088"/>
      <c r="I37" s="2091">
        <f>10762.54+2690.63</f>
        <v>13453.170000000002</v>
      </c>
      <c r="J37" s="2088"/>
      <c r="K37" s="2091">
        <f>10918.54-3413.4</f>
        <v>7505.1400000000012</v>
      </c>
      <c r="L37" s="2088"/>
      <c r="M37" s="2096">
        <f>11452.8-3130.29</f>
        <v>8322.5099999999984</v>
      </c>
      <c r="N37" s="2088"/>
      <c r="O37" s="2096">
        <f>11766.75+2941.69</f>
        <v>14708.44</v>
      </c>
      <c r="P37" s="2088"/>
      <c r="Q37" s="1048">
        <f>11962.12+2990.53</f>
        <v>14952.650000000001</v>
      </c>
      <c r="R37" s="2192"/>
      <c r="S37" s="2195">
        <f>12022.42-4545.79</f>
        <v>7476.63</v>
      </c>
      <c r="T37" s="2192"/>
      <c r="U37" s="2195">
        <f>12183.21+2970.03</f>
        <v>15153.24</v>
      </c>
      <c r="V37" s="2063"/>
      <c r="W37" s="2205">
        <f>12183.21+2970.03</f>
        <v>15153.24</v>
      </c>
      <c r="X37" s="1591"/>
      <c r="Y37" s="1486">
        <f>12183.21+3045.8</f>
        <v>15229.009999999998</v>
      </c>
      <c r="Z37" s="2063"/>
      <c r="AA37" s="2205">
        <f>12424.41+3106.1</f>
        <v>15530.51</v>
      </c>
      <c r="AB37" s="1591"/>
      <c r="AC37" s="1486">
        <f>12424.41+3106.1</f>
        <v>15530.51</v>
      </c>
      <c r="AD37" s="2241"/>
      <c r="AE37" s="2142">
        <f>12826.44+3206.61</f>
        <v>16033.050000000001</v>
      </c>
      <c r="AF37" s="2241"/>
      <c r="AG37" s="2142">
        <v>16114.75</v>
      </c>
      <c r="AH37" s="3883"/>
      <c r="AI37" s="2205">
        <v>8097.46</v>
      </c>
      <c r="AJ37" s="3883"/>
      <c r="AK37" s="2212"/>
    </row>
    <row r="38" spans="1:37">
      <c r="A38" s="2063"/>
      <c r="B38" s="583" t="s">
        <v>605</v>
      </c>
      <c r="C38" s="2174"/>
      <c r="D38" s="2090"/>
      <c r="E38" s="2091">
        <f>10762.54+502.59+4530.63</f>
        <v>15795.760000000002</v>
      </c>
      <c r="F38" s="2090"/>
      <c r="G38" s="2089"/>
      <c r="H38" s="2088"/>
      <c r="I38" s="2096">
        <f>10762.54+2690.63</f>
        <v>13453.170000000002</v>
      </c>
      <c r="J38" s="2097"/>
      <c r="K38" s="2096">
        <f>10918.54-3808.59+19471.41</f>
        <v>26581.360000000001</v>
      </c>
      <c r="L38" s="2097"/>
      <c r="M38" s="2096">
        <f>11452.8+2863.2+18731.88</f>
        <v>33047.880000000005</v>
      </c>
      <c r="N38" s="2097"/>
      <c r="O38" s="2096">
        <f>11766.75+2941.69+248.75</f>
        <v>14957.19</v>
      </c>
      <c r="P38" s="2097"/>
      <c r="Q38" s="1048">
        <f>11962.12+2990.53</f>
        <v>14952.650000000001</v>
      </c>
      <c r="R38" s="2196"/>
      <c r="S38" s="2195">
        <f>12022.42+3005.61</f>
        <v>15028.03</v>
      </c>
      <c r="T38" s="2196"/>
      <c r="U38" s="2195">
        <f>12183.21+2970.03</f>
        <v>15153.24</v>
      </c>
      <c r="V38" s="2148"/>
      <c r="W38" s="2205">
        <f>12183.21+2970.03</f>
        <v>15153.24</v>
      </c>
      <c r="X38" s="397"/>
      <c r="Y38" s="1486">
        <v>12183.21</v>
      </c>
      <c r="Z38" s="2148"/>
      <c r="AA38" s="2205">
        <f>12424.41+3106.1</f>
        <v>15530.51</v>
      </c>
      <c r="AB38" s="397"/>
      <c r="AC38" s="1486">
        <f>12424.41+3106.1</f>
        <v>15530.51</v>
      </c>
      <c r="AD38" s="2243"/>
      <c r="AE38" s="2142">
        <f>12826.44+3206.61</f>
        <v>16033.050000000001</v>
      </c>
      <c r="AF38" s="2243"/>
      <c r="AG38" s="2142">
        <f>8097.46</f>
        <v>8097.46</v>
      </c>
      <c r="AH38" s="3886"/>
      <c r="AI38" s="2205">
        <v>8097.46</v>
      </c>
      <c r="AJ38" s="3886"/>
      <c r="AK38" s="2143"/>
    </row>
    <row r="39" spans="1:37">
      <c r="A39" s="2063"/>
      <c r="B39" s="583"/>
      <c r="C39" s="2174"/>
      <c r="D39" s="2090"/>
      <c r="E39" s="2091"/>
      <c r="F39" s="2090"/>
      <c r="G39" s="2089"/>
      <c r="H39" s="2088"/>
      <c r="I39" s="2096"/>
      <c r="J39" s="2097"/>
      <c r="K39" s="2096"/>
      <c r="L39" s="2097"/>
      <c r="M39" s="2096"/>
      <c r="N39" s="2097"/>
      <c r="O39" s="2096"/>
      <c r="P39" s="2097"/>
      <c r="Q39" s="1048"/>
      <c r="R39" s="2196"/>
      <c r="S39" s="2195">
        <v>17752.52</v>
      </c>
      <c r="T39" s="2196"/>
      <c r="U39" s="2195"/>
      <c r="V39" s="2148"/>
      <c r="W39" s="2205"/>
      <c r="X39" s="397"/>
      <c r="Y39" s="1486"/>
      <c r="Z39" s="2148"/>
      <c r="AA39" s="2205"/>
      <c r="AB39" s="397"/>
      <c r="AC39" s="1486">
        <v>-60612.959999999999</v>
      </c>
      <c r="AD39" s="2243"/>
      <c r="AE39" s="2143"/>
      <c r="AF39" s="2243"/>
      <c r="AG39" s="2143"/>
      <c r="AH39" s="3886"/>
      <c r="AI39" s="2143"/>
      <c r="AJ39" s="3886"/>
      <c r="AK39" s="2143"/>
    </row>
    <row r="40" spans="1:37">
      <c r="A40" s="2063"/>
      <c r="B40" s="583"/>
      <c r="C40" s="2174"/>
      <c r="D40" s="2090"/>
      <c r="E40" s="2091"/>
      <c r="F40" s="2090"/>
      <c r="G40" s="2089"/>
      <c r="H40" s="2088"/>
      <c r="I40" s="2096"/>
      <c r="J40" s="2097"/>
      <c r="K40" s="2096"/>
      <c r="L40" s="2097"/>
      <c r="M40" s="2096"/>
      <c r="N40" s="2097"/>
      <c r="O40" s="2096"/>
      <c r="P40" s="2097"/>
      <c r="Q40" s="1048"/>
      <c r="R40" s="2196"/>
      <c r="S40" s="2195"/>
      <c r="T40" s="2196"/>
      <c r="U40" s="2195"/>
      <c r="V40" s="2148"/>
      <c r="W40" s="2205"/>
      <c r="X40" s="397"/>
      <c r="Y40" s="1486"/>
      <c r="Z40" s="2148"/>
      <c r="AA40" s="2205"/>
      <c r="AB40" s="397"/>
      <c r="AC40" s="1486">
        <v>-60764.5</v>
      </c>
      <c r="AD40" s="2243"/>
      <c r="AE40" s="2143"/>
      <c r="AF40" s="2243"/>
      <c r="AG40" s="2143"/>
      <c r="AH40" s="3886"/>
      <c r="AI40" s="2143"/>
      <c r="AJ40" s="3886"/>
      <c r="AK40" s="2143"/>
    </row>
    <row r="41" spans="1:37" ht="13.5" customHeight="1">
      <c r="A41" s="2063"/>
      <c r="B41" s="583"/>
      <c r="C41" s="2174"/>
      <c r="D41" s="2090"/>
      <c r="E41" s="2091"/>
      <c r="F41" s="2090"/>
      <c r="G41" s="2089"/>
      <c r="H41" s="2088"/>
      <c r="I41" s="2096"/>
      <c r="J41" s="2097"/>
      <c r="K41" s="2096"/>
      <c r="L41" s="2097"/>
      <c r="M41" s="2096"/>
      <c r="N41" s="2097"/>
      <c r="O41" s="2096"/>
      <c r="P41" s="2097"/>
      <c r="Q41" s="1048"/>
      <c r="R41" s="2196"/>
      <c r="S41" s="2195"/>
      <c r="T41" s="2196"/>
      <c r="U41" s="2195"/>
      <c r="V41" s="2148"/>
      <c r="W41" s="2205"/>
      <c r="X41" s="397"/>
      <c r="Y41" s="1486"/>
      <c r="Z41" s="2148"/>
      <c r="AA41" s="2205"/>
      <c r="AB41" s="397"/>
      <c r="AC41" s="1486"/>
      <c r="AD41" s="2243"/>
      <c r="AE41" s="2143"/>
      <c r="AF41" s="2243"/>
      <c r="AG41" s="2143"/>
      <c r="AH41" s="3887"/>
      <c r="AI41" s="2169"/>
      <c r="AJ41" s="3886"/>
      <c r="AK41" s="2143"/>
    </row>
    <row r="42" spans="1:37">
      <c r="A42" s="2008" t="s">
        <v>2956</v>
      </c>
      <c r="B42" s="2069"/>
      <c r="C42" s="2172" t="s">
        <v>8016</v>
      </c>
      <c r="D42" s="2084"/>
      <c r="E42" s="2098"/>
      <c r="F42" s="2084"/>
      <c r="G42" s="2083"/>
      <c r="H42" s="2082"/>
      <c r="I42" s="2098"/>
      <c r="J42" s="2099"/>
      <c r="K42" s="2098"/>
      <c r="L42" s="2099"/>
      <c r="M42" s="2098"/>
      <c r="N42" s="2099"/>
      <c r="O42" s="2098"/>
      <c r="P42" s="2099"/>
      <c r="Q42" s="2084">
        <f>SUM(Q43:Q45)</f>
        <v>0</v>
      </c>
      <c r="R42" s="2197"/>
      <c r="S42" s="2191">
        <f>SUM(S43:S43)</f>
        <v>26393.52</v>
      </c>
      <c r="T42" s="2197"/>
      <c r="U42" s="2191">
        <f>SUM(U43:U55)</f>
        <v>71674.240000000005</v>
      </c>
      <c r="V42" s="2190"/>
      <c r="W42" s="2191">
        <f>SUM(W43:W55)</f>
        <v>26562.6</v>
      </c>
      <c r="X42" s="2100"/>
      <c r="Y42" s="2230">
        <f>SUM(Y43:Y45)</f>
        <v>37261.119999999995</v>
      </c>
      <c r="Z42" s="2257"/>
      <c r="AA42" s="2211">
        <f>SUM(AA43:AA45)</f>
        <v>9513.76</v>
      </c>
      <c r="AB42" s="2100"/>
      <c r="AC42" s="2230">
        <f>SUM(AC43:AC45)</f>
        <v>62638.96</v>
      </c>
      <c r="AD42" s="2244"/>
      <c r="AE42" s="2086">
        <f>SUM(AE43:AE45)</f>
        <v>0</v>
      </c>
      <c r="AF42" s="2244"/>
      <c r="AG42" s="2086">
        <f>SUM(AG43:AG44)</f>
        <v>53258.009999999995</v>
      </c>
      <c r="AH42" s="3888"/>
      <c r="AI42" s="3550">
        <f>SUM(AI43:AI44)</f>
        <v>38795.29</v>
      </c>
      <c r="AJ42" s="3881"/>
      <c r="AK42" s="2086">
        <f>SUM(AK43:AK55)</f>
        <v>0</v>
      </c>
    </row>
    <row r="43" spans="1:37">
      <c r="A43" s="2063"/>
      <c r="B43" s="583" t="s">
        <v>2957</v>
      </c>
      <c r="C43" s="2174"/>
      <c r="D43" s="2090"/>
      <c r="E43" s="2091"/>
      <c r="F43" s="2090"/>
      <c r="G43" s="2089"/>
      <c r="H43" s="2088"/>
      <c r="I43" s="2096"/>
      <c r="J43" s="2097"/>
      <c r="K43" s="2096"/>
      <c r="L43" s="2097"/>
      <c r="M43" s="2096"/>
      <c r="N43" s="2097"/>
      <c r="O43" s="2096"/>
      <c r="P43" s="2097"/>
      <c r="Q43" s="1048"/>
      <c r="R43" s="2196"/>
      <c r="S43" s="2195">
        <v>26393.52</v>
      </c>
      <c r="T43" s="2196"/>
      <c r="U43" s="2195">
        <v>26393.52</v>
      </c>
      <c r="V43" s="2148"/>
      <c r="W43" s="2205">
        <v>26562.6</v>
      </c>
      <c r="X43" s="397"/>
      <c r="Y43" s="1486">
        <v>26562.6</v>
      </c>
      <c r="Z43" s="2148"/>
      <c r="AA43" s="2258"/>
      <c r="AB43" s="397"/>
      <c r="AC43" s="1486">
        <v>26562.6</v>
      </c>
      <c r="AD43" s="2243"/>
      <c r="AE43" s="2143"/>
      <c r="AF43" s="3766"/>
      <c r="AG43" s="3767">
        <v>26562.6</v>
      </c>
      <c r="AH43" s="3886"/>
      <c r="AI43" s="2143">
        <v>10230.780000000001</v>
      </c>
      <c r="AJ43" s="3886"/>
      <c r="AK43" s="2143"/>
    </row>
    <row r="44" spans="1:37">
      <c r="A44" s="2063"/>
      <c r="B44" s="583"/>
      <c r="C44" s="2174"/>
      <c r="D44" s="2090"/>
      <c r="E44" s="2091"/>
      <c r="F44" s="2090"/>
      <c r="G44" s="2089"/>
      <c r="H44" s="2088"/>
      <c r="I44" s="2096"/>
      <c r="J44" s="2097"/>
      <c r="K44" s="2096"/>
      <c r="L44" s="2097"/>
      <c r="M44" s="2096"/>
      <c r="N44" s="2097"/>
      <c r="O44" s="2096"/>
      <c r="P44" s="2097"/>
      <c r="Q44" s="1048"/>
      <c r="R44" s="2196"/>
      <c r="S44" s="2195"/>
      <c r="T44" s="2196"/>
      <c r="U44" s="2195"/>
      <c r="V44" s="2148"/>
      <c r="W44" s="2205"/>
      <c r="X44" s="397"/>
      <c r="Y44" s="1486"/>
      <c r="Z44" s="2148"/>
      <c r="AA44" s="2258"/>
      <c r="AB44" s="397"/>
      <c r="AC44" s="1486">
        <v>26562.6</v>
      </c>
      <c r="AD44" s="2243"/>
      <c r="AE44" s="2143"/>
      <c r="AF44" s="3766"/>
      <c r="AG44" s="3767">
        <v>26695.41</v>
      </c>
      <c r="AH44" s="3886"/>
      <c r="AI44" s="2143">
        <v>28564.51</v>
      </c>
      <c r="AJ44" s="3886"/>
      <c r="AK44" s="2143"/>
    </row>
    <row r="45" spans="1:37">
      <c r="A45" s="2063"/>
      <c r="B45" s="583"/>
      <c r="C45" s="2174"/>
      <c r="D45" s="2090"/>
      <c r="E45" s="2091"/>
      <c r="F45" s="2090"/>
      <c r="G45" s="2089"/>
      <c r="H45" s="2088"/>
      <c r="I45" s="2096"/>
      <c r="J45" s="2097"/>
      <c r="K45" s="2096"/>
      <c r="L45" s="2097"/>
      <c r="M45" s="2096"/>
      <c r="N45" s="2097"/>
      <c r="O45" s="2096"/>
      <c r="P45" s="2097"/>
      <c r="Q45" s="1048"/>
      <c r="R45" s="2196"/>
      <c r="S45" s="2195"/>
      <c r="T45" s="2196"/>
      <c r="U45" s="2193">
        <v>32699.86</v>
      </c>
      <c r="V45" s="2148"/>
      <c r="W45" s="2205"/>
      <c r="X45" s="397"/>
      <c r="Y45" s="1486">
        <v>10698.52</v>
      </c>
      <c r="Z45" s="2148"/>
      <c r="AA45" s="2205">
        <v>9513.76</v>
      </c>
      <c r="AB45" s="397"/>
      <c r="AC45" s="1486">
        <v>9513.76</v>
      </c>
      <c r="AD45" s="2243"/>
      <c r="AF45" s="3766"/>
      <c r="AG45" s="3767">
        <v>9513.76</v>
      </c>
      <c r="AH45" s="3886"/>
      <c r="AI45" s="2143"/>
      <c r="AJ45" s="3886"/>
      <c r="AK45" s="2143"/>
    </row>
    <row r="46" spans="1:37">
      <c r="A46" s="2063"/>
      <c r="B46" s="583" t="s">
        <v>7185</v>
      </c>
      <c r="C46" s="2174"/>
      <c r="D46" s="2090"/>
      <c r="E46" s="2091"/>
      <c r="F46" s="2090"/>
      <c r="G46" s="2089"/>
      <c r="H46" s="2088"/>
      <c r="I46" s="2096"/>
      <c r="J46" s="2097"/>
      <c r="K46" s="2096"/>
      <c r="L46" s="2097"/>
      <c r="M46" s="2096"/>
      <c r="N46" s="2097"/>
      <c r="O46" s="2096"/>
      <c r="P46" s="2097"/>
      <c r="Q46" s="1048"/>
      <c r="R46" s="2196"/>
      <c r="S46" s="2195"/>
      <c r="T46" s="2196"/>
      <c r="U46" s="2193"/>
      <c r="V46" s="2148"/>
      <c r="W46" s="2205"/>
      <c r="X46" s="397"/>
      <c r="Y46" s="1486"/>
      <c r="Z46" s="2148"/>
      <c r="AA46" s="2205"/>
      <c r="AB46" s="397"/>
      <c r="AC46" s="2544"/>
      <c r="AD46" s="2243"/>
      <c r="AE46" s="2544">
        <v>24786.92</v>
      </c>
      <c r="AF46" s="3766"/>
      <c r="AG46" s="3767">
        <v>9561.33</v>
      </c>
      <c r="AH46" s="3886"/>
      <c r="AI46" s="2143">
        <v>27958.34</v>
      </c>
      <c r="AJ46" s="3886"/>
      <c r="AK46" s="2143"/>
    </row>
    <row r="47" spans="1:37">
      <c r="A47" s="2063"/>
      <c r="B47" s="583"/>
      <c r="C47" s="2174"/>
      <c r="D47" s="2090"/>
      <c r="E47" s="2091"/>
      <c r="F47" s="2090"/>
      <c r="G47" s="2089"/>
      <c r="H47" s="2088"/>
      <c r="I47" s="2096"/>
      <c r="J47" s="2097"/>
      <c r="K47" s="2096"/>
      <c r="L47" s="2097"/>
      <c r="M47" s="2096"/>
      <c r="N47" s="2097"/>
      <c r="O47" s="2096"/>
      <c r="P47" s="2097"/>
      <c r="Q47" s="1048"/>
      <c r="R47" s="2196"/>
      <c r="S47" s="2195"/>
      <c r="T47" s="2196"/>
      <c r="U47" s="2193">
        <v>12580.86</v>
      </c>
      <c r="V47" s="2148"/>
      <c r="W47" s="2205"/>
      <c r="X47" s="397"/>
      <c r="Y47" s="1486"/>
      <c r="Z47" s="2148"/>
      <c r="AA47" s="2205"/>
      <c r="AB47" s="397"/>
      <c r="AC47" s="1486"/>
      <c r="AE47" s="1486">
        <f>19542.9</f>
        <v>19542.900000000001</v>
      </c>
      <c r="AF47" s="3766"/>
      <c r="AG47" s="3767">
        <v>29894.16</v>
      </c>
      <c r="AH47" s="3886"/>
      <c r="AI47" s="2143"/>
      <c r="AJ47" s="3886"/>
      <c r="AK47" s="2143"/>
    </row>
    <row r="48" spans="1:37">
      <c r="A48" s="2063"/>
      <c r="B48" s="583" t="s">
        <v>7537</v>
      </c>
      <c r="C48" s="2174"/>
      <c r="D48" s="2090"/>
      <c r="E48" s="2091"/>
      <c r="F48" s="2090"/>
      <c r="G48" s="2089"/>
      <c r="H48" s="2088"/>
      <c r="I48" s="2096"/>
      <c r="J48" s="2097"/>
      <c r="K48" s="2096"/>
      <c r="L48" s="2097"/>
      <c r="M48" s="2096"/>
      <c r="N48" s="2097"/>
      <c r="O48" s="2096"/>
      <c r="P48" s="2097"/>
      <c r="Q48" s="1048"/>
      <c r="R48" s="2196"/>
      <c r="S48" s="2195"/>
      <c r="T48" s="2196"/>
      <c r="U48" s="2193"/>
      <c r="V48" s="2148"/>
      <c r="W48" s="2205"/>
      <c r="X48" s="397"/>
      <c r="Y48" s="1486"/>
      <c r="Z48" s="2148"/>
      <c r="AA48" s="2205"/>
      <c r="AB48" s="397"/>
      <c r="AC48" s="1486"/>
      <c r="AE48" s="1486"/>
      <c r="AF48" s="3766"/>
      <c r="AG48" s="3767">
        <f>8253.06+8611.2+8253.06+21277.12</f>
        <v>46394.44</v>
      </c>
      <c r="AH48" s="3886"/>
      <c r="AI48" s="2143">
        <f>2569+4854.17+127522.84+17049.44+13355.15+7823.78+4598.66</f>
        <v>177773.04</v>
      </c>
      <c r="AJ48" s="3886"/>
      <c r="AK48" s="2143"/>
    </row>
    <row r="49" spans="1:37">
      <c r="A49" s="2063"/>
      <c r="B49" s="583"/>
      <c r="C49" s="2174"/>
      <c r="D49" s="2090"/>
      <c r="E49" s="2091"/>
      <c r="F49" s="2090"/>
      <c r="G49" s="2089"/>
      <c r="H49" s="2088"/>
      <c r="I49" s="2096"/>
      <c r="J49" s="2097"/>
      <c r="K49" s="2096"/>
      <c r="L49" s="2097"/>
      <c r="M49" s="2096"/>
      <c r="N49" s="2097"/>
      <c r="O49" s="2096"/>
      <c r="P49" s="2097"/>
      <c r="Q49" s="1048"/>
      <c r="R49" s="2196"/>
      <c r="S49" s="2195"/>
      <c r="T49" s="2196"/>
      <c r="U49" s="2193"/>
      <c r="V49" s="2148"/>
      <c r="W49" s="2205"/>
      <c r="X49" s="397"/>
      <c r="Y49" s="1486"/>
      <c r="Z49" s="2148"/>
      <c r="AA49" s="2205"/>
      <c r="AB49" s="397"/>
      <c r="AC49" s="1486"/>
      <c r="AE49" s="1486"/>
      <c r="AF49" s="3766"/>
      <c r="AG49" s="3767"/>
      <c r="AH49" s="3886"/>
      <c r="AI49" s="2143"/>
      <c r="AJ49" s="3886"/>
      <c r="AK49" s="2143"/>
    </row>
    <row r="50" spans="1:37">
      <c r="A50" s="2144" t="s">
        <v>2958</v>
      </c>
      <c r="B50" s="2101"/>
      <c r="C50" s="2174" t="s">
        <v>2959</v>
      </c>
      <c r="D50" s="2090"/>
      <c r="E50" s="2091"/>
      <c r="F50" s="2090"/>
      <c r="G50" s="2089"/>
      <c r="H50" s="2088"/>
      <c r="I50" s="2096"/>
      <c r="J50" s="2097"/>
      <c r="K50" s="2096"/>
      <c r="L50" s="2097"/>
      <c r="M50" s="2096"/>
      <c r="N50" s="2097"/>
      <c r="O50" s="2096"/>
      <c r="P50" s="2097"/>
      <c r="Q50" s="1048"/>
      <c r="R50" s="2196"/>
      <c r="S50" s="2195"/>
      <c r="T50" s="2196"/>
      <c r="U50" s="2193"/>
      <c r="V50" s="2148"/>
      <c r="W50" s="2205"/>
      <c r="X50" s="397"/>
      <c r="Y50" s="1486">
        <f>112029.36+56014.68+56014.68</f>
        <v>224058.72</v>
      </c>
      <c r="Z50" s="2148"/>
      <c r="AA50" s="2205">
        <f>111395.67+55697.84</f>
        <v>167093.51</v>
      </c>
      <c r="AB50" s="397"/>
      <c r="AC50" s="1486">
        <f>111395.67+55697.84+55697.84</f>
        <v>222791.35</v>
      </c>
      <c r="AD50" s="2243"/>
      <c r="AE50" s="2143">
        <f>111395.67+55697.84+55697.84</f>
        <v>222791.35</v>
      </c>
      <c r="AF50" s="3766"/>
      <c r="AG50" s="3767">
        <v>222791.35</v>
      </c>
      <c r="AH50" s="3886"/>
      <c r="AI50" s="2143">
        <v>222791.35</v>
      </c>
      <c r="AJ50" s="3886"/>
      <c r="AK50" s="2143"/>
    </row>
    <row r="51" spans="1:37">
      <c r="A51" s="2144" t="s">
        <v>2960</v>
      </c>
      <c r="B51" s="2101"/>
      <c r="C51" s="2174" t="s">
        <v>2959</v>
      </c>
      <c r="D51" s="2090"/>
      <c r="E51" s="2091"/>
      <c r="F51" s="2090"/>
      <c r="G51" s="2089"/>
      <c r="H51" s="2088"/>
      <c r="I51" s="2096"/>
      <c r="J51" s="2097"/>
      <c r="K51" s="2096">
        <v>7</v>
      </c>
      <c r="L51" s="2097"/>
      <c r="M51" s="2096"/>
      <c r="N51" s="2097"/>
      <c r="O51" s="2096"/>
      <c r="P51" s="2097"/>
      <c r="Q51" s="1048"/>
      <c r="R51" s="2196"/>
      <c r="S51" s="2195"/>
      <c r="T51" s="2196"/>
      <c r="U51" s="1998"/>
      <c r="V51" s="2148"/>
      <c r="W51" s="2205"/>
      <c r="X51" s="397"/>
      <c r="Y51" s="1486">
        <v>230559.63</v>
      </c>
      <c r="Z51" s="2148"/>
      <c r="AA51" s="2205">
        <v>230559.63</v>
      </c>
      <c r="AB51" s="397"/>
      <c r="AC51" s="1486">
        <v>230559.63</v>
      </c>
      <c r="AD51" s="2243"/>
      <c r="AE51" s="2143">
        <v>230559.63</v>
      </c>
      <c r="AF51" s="3766"/>
      <c r="AG51" s="3767">
        <v>230559.63</v>
      </c>
      <c r="AH51" s="3886"/>
      <c r="AI51" s="2143">
        <v>230559.63</v>
      </c>
      <c r="AJ51" s="3886"/>
      <c r="AK51" s="2143"/>
    </row>
    <row r="52" spans="1:37">
      <c r="A52" s="2144" t="s">
        <v>7079</v>
      </c>
      <c r="B52" s="2101"/>
      <c r="C52" s="2174" t="s">
        <v>7080</v>
      </c>
      <c r="D52" s="2090"/>
      <c r="E52" s="2091"/>
      <c r="F52" s="2090"/>
      <c r="G52" s="2089"/>
      <c r="H52" s="2088"/>
      <c r="I52" s="2096"/>
      <c r="J52" s="2097"/>
      <c r="K52" s="2096"/>
      <c r="L52" s="2097"/>
      <c r="M52" s="2096"/>
      <c r="N52" s="2097"/>
      <c r="O52" s="2096"/>
      <c r="P52" s="2097"/>
      <c r="Q52" s="1048"/>
      <c r="R52" s="2196"/>
      <c r="S52" s="2195"/>
      <c r="T52" s="2196"/>
      <c r="U52" s="1998"/>
      <c r="V52" s="2148"/>
      <c r="W52" s="2205"/>
      <c r="X52" s="397"/>
      <c r="Y52" s="1486"/>
      <c r="Z52" s="2148"/>
      <c r="AA52" s="2205"/>
      <c r="AB52" s="397"/>
      <c r="AC52" s="1486"/>
      <c r="AD52" s="2243"/>
      <c r="AE52" s="2143">
        <v>287122</v>
      </c>
      <c r="AF52" s="3766"/>
      <c r="AG52" s="3767">
        <v>588181</v>
      </c>
      <c r="AH52" s="3886"/>
      <c r="AI52" s="2143">
        <v>607533</v>
      </c>
      <c r="AJ52" s="3886"/>
      <c r="AK52" s="2143"/>
    </row>
    <row r="53" spans="1:37">
      <c r="A53" s="2144" t="s">
        <v>8267</v>
      </c>
      <c r="B53" s="2101"/>
      <c r="C53" s="2174" t="s">
        <v>8268</v>
      </c>
      <c r="D53" s="2090"/>
      <c r="E53" s="2091"/>
      <c r="F53" s="2090"/>
      <c r="G53" s="2089"/>
      <c r="H53" s="2088"/>
      <c r="I53" s="2096"/>
      <c r="J53" s="2097"/>
      <c r="K53" s="2096"/>
      <c r="L53" s="2097"/>
      <c r="M53" s="2096"/>
      <c r="N53" s="2097"/>
      <c r="O53" s="2096"/>
      <c r="P53" s="2097"/>
      <c r="Q53" s="1048"/>
      <c r="R53" s="2196"/>
      <c r="S53" s="2195"/>
      <c r="T53" s="2196"/>
      <c r="U53" s="1998"/>
      <c r="V53" s="2148"/>
      <c r="W53" s="2205"/>
      <c r="X53" s="397"/>
      <c r="Y53" s="1486"/>
      <c r="Z53" s="2148"/>
      <c r="AA53" s="2205"/>
      <c r="AB53" s="397"/>
      <c r="AC53" s="1486"/>
      <c r="AD53" s="2243"/>
      <c r="AE53" s="2143"/>
      <c r="AF53" s="3766"/>
      <c r="AG53" s="3767"/>
      <c r="AH53" s="3886"/>
      <c r="AI53" s="2143">
        <v>108927.06</v>
      </c>
      <c r="AJ53" s="3886"/>
      <c r="AK53" s="2143"/>
    </row>
    <row r="54" spans="1:37">
      <c r="A54" s="2144" t="s">
        <v>2961</v>
      </c>
      <c r="B54" s="2101"/>
      <c r="C54" s="2174" t="s">
        <v>7081</v>
      </c>
      <c r="D54" s="2090"/>
      <c r="E54" s="2091"/>
      <c r="F54" s="2090"/>
      <c r="G54" s="2089"/>
      <c r="H54" s="2088"/>
      <c r="I54" s="2096"/>
      <c r="J54" s="2097"/>
      <c r="K54" s="2096"/>
      <c r="L54" s="2097"/>
      <c r="M54" s="2096"/>
      <c r="N54" s="2097"/>
      <c r="O54" s="2096"/>
      <c r="P54" s="2097"/>
      <c r="Q54" s="1048"/>
      <c r="R54" s="2196"/>
      <c r="S54" s="2195"/>
      <c r="T54" s="2196"/>
      <c r="U54" s="1998"/>
      <c r="V54" s="2148"/>
      <c r="W54" s="2205"/>
      <c r="X54" s="397"/>
      <c r="Y54" s="1486"/>
      <c r="Z54" s="2148"/>
      <c r="AA54" s="2205">
        <f>248717.16+13662.45+4314.34</f>
        <v>266693.95</v>
      </c>
      <c r="AB54" s="397"/>
      <c r="AC54" s="1486">
        <v>262565.06</v>
      </c>
      <c r="AD54" s="2243"/>
      <c r="AE54" s="2143">
        <f>325.04+5149+23435.17</f>
        <v>28909.21</v>
      </c>
      <c r="AF54" s="3766"/>
      <c r="AG54" s="3767">
        <f>5439.07+33287.07+0.8</f>
        <v>38726.94</v>
      </c>
      <c r="AH54" s="3886"/>
      <c r="AI54" s="2143">
        <f>2016.61+45390.73+967.68</f>
        <v>48375.020000000004</v>
      </c>
      <c r="AJ54" s="3886"/>
      <c r="AK54" s="2143"/>
    </row>
    <row r="55" spans="1:37">
      <c r="A55" s="2148"/>
      <c r="B55" s="583"/>
      <c r="C55" s="1998"/>
      <c r="D55" s="2092"/>
      <c r="E55" s="2091"/>
      <c r="F55" s="2092"/>
      <c r="G55" s="2091"/>
      <c r="H55" s="2097"/>
      <c r="I55" s="2091"/>
      <c r="J55" s="2097"/>
      <c r="K55" s="2091"/>
      <c r="L55" s="2097"/>
      <c r="M55" s="2091"/>
      <c r="N55" s="2097"/>
      <c r="O55" s="2091"/>
      <c r="P55" s="2097"/>
      <c r="Q55" s="2092"/>
      <c r="R55" s="2196"/>
      <c r="S55" s="2193"/>
      <c r="T55" s="2196"/>
      <c r="U55" s="2193"/>
      <c r="V55" s="2148"/>
      <c r="W55" s="2205"/>
      <c r="X55" s="397"/>
      <c r="Y55" s="1486"/>
      <c r="Z55" s="2148"/>
      <c r="AA55" s="2205"/>
      <c r="AB55" s="397"/>
      <c r="AC55" s="1486"/>
      <c r="AD55" s="2243"/>
      <c r="AE55" s="2143"/>
      <c r="AF55" s="3768"/>
      <c r="AG55" s="3769"/>
      <c r="AH55" s="3887"/>
      <c r="AI55" s="2169"/>
      <c r="AJ55" s="3887"/>
      <c r="AK55" s="2169"/>
    </row>
    <row r="56" spans="1:37" hidden="1">
      <c r="A56" s="2259" t="s">
        <v>2962</v>
      </c>
      <c r="B56" s="2270"/>
      <c r="C56" s="2260" t="s">
        <v>2963</v>
      </c>
      <c r="D56" s="2274"/>
      <c r="E56" s="2272"/>
      <c r="F56" s="2274"/>
      <c r="G56" s="2272"/>
      <c r="H56" s="2310"/>
      <c r="I56" s="2272"/>
      <c r="J56" s="2310"/>
      <c r="K56" s="2262">
        <f>SUM(K57:K58)</f>
        <v>1200</v>
      </c>
      <c r="L56" s="2310"/>
      <c r="M56" s="2262">
        <f>SUM(M57:M58)</f>
        <v>0</v>
      </c>
      <c r="N56" s="2310"/>
      <c r="O56" s="2262">
        <f>SUM(O57:O58)</f>
        <v>0</v>
      </c>
      <c r="P56" s="2310"/>
      <c r="Q56" s="2261">
        <f>SUM(Q57:Q58)</f>
        <v>0</v>
      </c>
      <c r="R56" s="2311"/>
      <c r="S56" s="2265">
        <f>SUM(S57:S58)</f>
        <v>0</v>
      </c>
      <c r="T56" s="2239"/>
      <c r="U56" s="1996"/>
      <c r="V56" s="2239"/>
      <c r="W56" s="2266"/>
      <c r="X56" s="1995"/>
      <c r="Y56" s="2267"/>
      <c r="Z56" s="2239"/>
      <c r="AA56" s="2266"/>
      <c r="AB56" s="1995"/>
      <c r="AC56" s="2267"/>
      <c r="AD56" s="2268"/>
      <c r="AE56" s="2269"/>
      <c r="AF56" s="2268"/>
      <c r="AG56" s="2269"/>
    </row>
    <row r="57" spans="1:37" hidden="1">
      <c r="A57" s="2148"/>
      <c r="B57" s="583"/>
      <c r="C57" s="1998"/>
      <c r="D57" s="2092"/>
      <c r="E57" s="2091"/>
      <c r="F57" s="2092"/>
      <c r="G57" s="2091"/>
      <c r="H57" s="2097"/>
      <c r="I57" s="2091"/>
      <c r="J57" s="2097"/>
      <c r="K57" s="2091">
        <v>1200</v>
      </c>
      <c r="L57" s="2097"/>
      <c r="M57" s="2091"/>
      <c r="N57" s="2097"/>
      <c r="O57" s="2091"/>
      <c r="P57" s="2097"/>
      <c r="Q57" s="2092"/>
      <c r="R57" s="2196"/>
      <c r="S57" s="2193"/>
      <c r="T57" s="2148"/>
      <c r="U57" s="1998"/>
      <c r="V57" s="2148"/>
      <c r="W57" s="2205"/>
      <c r="X57" s="397"/>
      <c r="Y57" s="1486"/>
      <c r="Z57" s="2148"/>
      <c r="AA57" s="2205"/>
      <c r="AB57" s="397"/>
      <c r="AC57" s="1486"/>
      <c r="AD57" s="2243"/>
      <c r="AE57" s="2143"/>
      <c r="AF57" s="2243"/>
      <c r="AG57" s="2143"/>
    </row>
    <row r="58" spans="1:37" hidden="1">
      <c r="A58" s="2148"/>
      <c r="B58" s="583"/>
      <c r="C58" s="1998"/>
      <c r="D58" s="2092"/>
      <c r="E58" s="2091"/>
      <c r="F58" s="2092"/>
      <c r="G58" s="2091"/>
      <c r="H58" s="2097"/>
      <c r="I58" s="2091"/>
      <c r="J58" s="2097"/>
      <c r="K58" s="2091"/>
      <c r="L58" s="2097"/>
      <c r="M58" s="2091"/>
      <c r="N58" s="2097"/>
      <c r="O58" s="2091"/>
      <c r="P58" s="2097"/>
      <c r="Q58" s="2092"/>
      <c r="R58" s="2196"/>
      <c r="S58" s="2193"/>
      <c r="T58" s="2148"/>
      <c r="U58" s="1998"/>
      <c r="V58" s="2148"/>
      <c r="W58" s="2205"/>
      <c r="X58" s="397"/>
      <c r="Y58" s="1486"/>
      <c r="Z58" s="2148"/>
      <c r="AA58" s="2205"/>
      <c r="AB58" s="397"/>
      <c r="AC58" s="1486"/>
      <c r="AD58" s="2243"/>
      <c r="AE58" s="2143"/>
      <c r="AF58" s="2243"/>
      <c r="AG58" s="2143"/>
    </row>
    <row r="59" spans="1:37" hidden="1">
      <c r="A59" s="2148"/>
      <c r="B59" s="583"/>
      <c r="C59" s="1998"/>
      <c r="D59" s="2092"/>
      <c r="E59" s="2091"/>
      <c r="F59" s="2092"/>
      <c r="G59" s="2091"/>
      <c r="H59" s="2097"/>
      <c r="I59" s="2091"/>
      <c r="J59" s="2097"/>
      <c r="K59" s="2091"/>
      <c r="L59" s="2097"/>
      <c r="M59" s="2091"/>
      <c r="N59" s="2097"/>
      <c r="O59" s="2091"/>
      <c r="P59" s="2097"/>
      <c r="Q59" s="2092"/>
      <c r="R59" s="2196"/>
      <c r="S59" s="2193"/>
      <c r="T59" s="2148"/>
      <c r="U59" s="1998"/>
      <c r="V59" s="2148"/>
      <c r="W59" s="2205"/>
      <c r="X59" s="397"/>
      <c r="Y59" s="1486"/>
      <c r="Z59" s="2148"/>
      <c r="AA59" s="2205"/>
      <c r="AB59" s="397"/>
      <c r="AC59" s="1486"/>
      <c r="AD59" s="2243"/>
      <c r="AE59" s="2143"/>
      <c r="AF59" s="2243"/>
      <c r="AG59" s="2143"/>
    </row>
    <row r="60" spans="1:37">
      <c r="A60" s="2008" t="s">
        <v>2964</v>
      </c>
      <c r="B60" s="2069"/>
      <c r="C60" s="2172" t="s">
        <v>7324</v>
      </c>
      <c r="D60" s="2188"/>
      <c r="E60" s="2083">
        <f>SUM(E61:E64)</f>
        <v>2855.8900000000003</v>
      </c>
      <c r="F60" s="2188"/>
      <c r="G60" s="2098"/>
      <c r="H60" s="2082">
        <v>10500</v>
      </c>
      <c r="I60" s="2083">
        <f>SUM(I61:I64)</f>
        <v>11897.65</v>
      </c>
      <c r="J60" s="2082">
        <v>10500</v>
      </c>
      <c r="K60" s="2083">
        <f>SUM(K61:K64)</f>
        <v>19538.05</v>
      </c>
      <c r="L60" s="2082">
        <v>10500</v>
      </c>
      <c r="M60" s="2083">
        <f>SUM(M61:M64)</f>
        <v>14805.24</v>
      </c>
      <c r="N60" s="2082"/>
      <c r="O60" s="2083">
        <f>SUM(O61:O64)</f>
        <v>0</v>
      </c>
      <c r="P60" s="2082"/>
      <c r="Q60" s="2084">
        <f>SUM(Q61:Q64)</f>
        <v>6440.5300000000007</v>
      </c>
      <c r="R60" s="2190"/>
      <c r="S60" s="2191">
        <f>SUM(S61:S64)</f>
        <v>8881.5600000000013</v>
      </c>
      <c r="T60" s="2190"/>
      <c r="U60" s="2191">
        <f>SUM(U61:U64)</f>
        <v>9992.33</v>
      </c>
      <c r="V60" s="2257"/>
      <c r="W60" s="2211">
        <f>SUM(W61:W64)</f>
        <v>10022.66</v>
      </c>
      <c r="X60" s="2100"/>
      <c r="Y60" s="2230">
        <f>SUM(Y61:Y64)</f>
        <v>10011.42</v>
      </c>
      <c r="Z60" s="2257"/>
      <c r="AA60" s="2211">
        <f>SUM(AA61:AA64)</f>
        <v>9639.43</v>
      </c>
      <c r="AB60" s="2100"/>
      <c r="AC60" s="2230">
        <f>SUM(AC61:AC64)</f>
        <v>8113.2199999999993</v>
      </c>
      <c r="AD60" s="2244"/>
      <c r="AE60" s="2086">
        <f>SUM(AE61:AE64)</f>
        <v>1103.48</v>
      </c>
      <c r="AF60" s="2244"/>
      <c r="AG60" s="2086">
        <f>SUM(AG61:AG64)</f>
        <v>6874.09</v>
      </c>
      <c r="AH60" s="3888"/>
      <c r="AI60" s="3550">
        <f>SUM(AI61:AI64)</f>
        <v>5641.98</v>
      </c>
      <c r="AJ60" s="3881"/>
      <c r="AK60" s="2086">
        <f t="shared" ref="AK60" si="0">SUM(AK61:AK64)</f>
        <v>0</v>
      </c>
    </row>
    <row r="61" spans="1:37">
      <c r="A61" s="1997" t="s">
        <v>2965</v>
      </c>
      <c r="B61" s="583" t="s">
        <v>602</v>
      </c>
      <c r="C61" s="1998"/>
      <c r="D61" s="2092"/>
      <c r="E61" s="2091"/>
      <c r="F61" s="2092"/>
      <c r="G61" s="2091"/>
      <c r="H61" s="2097"/>
      <c r="I61" s="2091">
        <f>2538.25+317.64</f>
        <v>2855.89</v>
      </c>
      <c r="J61" s="2097"/>
      <c r="K61" s="2091">
        <f>2157.65+1992.77</f>
        <v>4150.42</v>
      </c>
      <c r="L61" s="2097"/>
      <c r="M61" s="2091">
        <f>1467.29+2350.92</f>
        <v>3818.21</v>
      </c>
      <c r="N61" s="2097"/>
      <c r="O61" s="2091"/>
      <c r="P61" s="2097"/>
      <c r="Q61" s="2092">
        <f>1484.1+41.89</f>
        <v>1525.99</v>
      </c>
      <c r="R61" s="2196"/>
      <c r="S61" s="2195">
        <v>2058.7399999999998</v>
      </c>
      <c r="T61" s="2196"/>
      <c r="U61" s="2195">
        <f>2058.88+214.99</f>
        <v>2273.87</v>
      </c>
      <c r="V61" s="2148"/>
      <c r="W61" s="2205">
        <v>2336.11</v>
      </c>
      <c r="X61" s="397"/>
      <c r="Y61" s="1486">
        <v>2395.94</v>
      </c>
      <c r="Z61" s="2148"/>
      <c r="AA61" s="2205">
        <f>2560.9</f>
        <v>2560.9</v>
      </c>
      <c r="AB61" s="397"/>
      <c r="AC61" s="1486">
        <v>2014.33</v>
      </c>
      <c r="AD61" s="2243"/>
      <c r="AE61" s="2143">
        <v>1059.53</v>
      </c>
      <c r="AF61" s="2243"/>
      <c r="AG61" s="2143">
        <v>1556.32</v>
      </c>
      <c r="AH61" s="3889"/>
      <c r="AI61" s="2269">
        <v>1653.59</v>
      </c>
      <c r="AJ61" s="3886"/>
      <c r="AK61" s="2143"/>
    </row>
    <row r="62" spans="1:37">
      <c r="A62" s="1997" t="s">
        <v>2966</v>
      </c>
      <c r="B62" s="583" t="s">
        <v>784</v>
      </c>
      <c r="C62" s="1998"/>
      <c r="D62" s="2092"/>
      <c r="E62" s="2091"/>
      <c r="F62" s="2092"/>
      <c r="G62" s="2091"/>
      <c r="H62" s="2097"/>
      <c r="I62" s="2091">
        <f>2855.89</f>
        <v>2855.89</v>
      </c>
      <c r="J62" s="2097"/>
      <c r="K62" s="2091">
        <f>2241.86+2157.65</f>
        <v>4399.51</v>
      </c>
      <c r="L62" s="2097"/>
      <c r="M62" s="2091">
        <f>1799.14+1477.06</f>
        <v>3276.2</v>
      </c>
      <c r="N62" s="2097"/>
      <c r="O62" s="2091"/>
      <c r="P62" s="2097"/>
      <c r="Q62" s="2092">
        <f>1609.26-250.08</f>
        <v>1359.18</v>
      </c>
      <c r="R62" s="2196"/>
      <c r="S62" s="2195">
        <f>2470.48-410.71</f>
        <v>2059.77</v>
      </c>
      <c r="T62" s="2196"/>
      <c r="U62" s="2195">
        <v>2507.59</v>
      </c>
      <c r="V62" s="2148"/>
      <c r="W62" s="2205">
        <v>2533.14</v>
      </c>
      <c r="X62" s="397"/>
      <c r="Y62" s="1486">
        <v>2395.94</v>
      </c>
      <c r="Z62" s="2148"/>
      <c r="AA62" s="2205">
        <v>2491.4699999999998</v>
      </c>
      <c r="AB62" s="397"/>
      <c r="AC62" s="1486">
        <v>2095.9899999999998</v>
      </c>
      <c r="AD62" s="2243"/>
      <c r="AE62" s="2149" t="s">
        <v>861</v>
      </c>
      <c r="AF62" s="2243"/>
      <c r="AG62" s="3940">
        <v>1469.86</v>
      </c>
      <c r="AH62" s="3886"/>
      <c r="AI62" s="2143">
        <v>1154.6500000000001</v>
      </c>
      <c r="AJ62" s="3886"/>
      <c r="AK62" s="2143"/>
    </row>
    <row r="63" spans="1:37">
      <c r="A63" s="1997" t="s">
        <v>2967</v>
      </c>
      <c r="B63" s="583" t="s">
        <v>604</v>
      </c>
      <c r="C63" s="2177" t="s">
        <v>2968</v>
      </c>
      <c r="D63" s="2092"/>
      <c r="E63" s="2091"/>
      <c r="F63" s="2092"/>
      <c r="G63" s="2091"/>
      <c r="H63" s="2097"/>
      <c r="I63" s="2091">
        <v>2855.89</v>
      </c>
      <c r="J63" s="2097"/>
      <c r="K63" s="2091">
        <f>2157.65+2241.86+1151.81</f>
        <v>5551.32</v>
      </c>
      <c r="L63" s="2097"/>
      <c r="M63" s="2091">
        <f>1496.61+1822.96</f>
        <v>3319.5699999999997</v>
      </c>
      <c r="N63" s="2097"/>
      <c r="O63" s="2096"/>
      <c r="P63" s="2097"/>
      <c r="Q63" s="1048">
        <f>1654.69-295.51</f>
        <v>1359.18</v>
      </c>
      <c r="R63" s="2196"/>
      <c r="S63" s="2195">
        <f>2196.67-136.9</f>
        <v>2059.77</v>
      </c>
      <c r="T63" s="2196"/>
      <c r="U63" s="2195">
        <v>2507.59</v>
      </c>
      <c r="V63" s="2148"/>
      <c r="W63" s="2205">
        <f>1741.09+654.85</f>
        <v>2395.94</v>
      </c>
      <c r="X63" s="397"/>
      <c r="Y63" s="1486">
        <v>2443.67</v>
      </c>
      <c r="Z63" s="2148"/>
      <c r="AA63" s="2205">
        <v>1821.07</v>
      </c>
      <c r="AB63" s="397"/>
      <c r="AC63" s="1486">
        <v>2138.14</v>
      </c>
      <c r="AD63" s="2243"/>
      <c r="AE63" s="2143"/>
      <c r="AF63" s="2243"/>
      <c r="AG63" s="2143">
        <v>1556.2</v>
      </c>
      <c r="AH63" s="3886"/>
      <c r="AI63" s="2143">
        <v>1162.1400000000001</v>
      </c>
      <c r="AJ63" s="3886"/>
      <c r="AK63" s="2143"/>
    </row>
    <row r="64" spans="1:37" ht="15.75" thickBot="1">
      <c r="A64" s="1997"/>
      <c r="B64" s="583" t="s">
        <v>605</v>
      </c>
      <c r="C64" s="1998"/>
      <c r="D64" s="2092"/>
      <c r="E64" s="2091">
        <f>2614.01+241.88</f>
        <v>2855.8900000000003</v>
      </c>
      <c r="F64" s="2092"/>
      <c r="G64" s="2091"/>
      <c r="H64" s="2097"/>
      <c r="I64" s="2096">
        <v>3329.98</v>
      </c>
      <c r="J64" s="2097"/>
      <c r="K64" s="2091">
        <f>2547.72+2889.08</f>
        <v>5436.7999999999993</v>
      </c>
      <c r="L64" s="2097"/>
      <c r="M64" s="2096">
        <v>4391.26</v>
      </c>
      <c r="N64" s="2097"/>
      <c r="O64" s="2096"/>
      <c r="P64" s="2097"/>
      <c r="Q64" s="1048">
        <f>2252.73-56.55</f>
        <v>2196.1799999999998</v>
      </c>
      <c r="R64" s="2196"/>
      <c r="S64" s="2195">
        <v>2703.28</v>
      </c>
      <c r="T64" s="2196"/>
      <c r="U64" s="2195">
        <v>2703.28</v>
      </c>
      <c r="V64" s="2148"/>
      <c r="W64" s="2205">
        <v>2757.47</v>
      </c>
      <c r="X64" s="397"/>
      <c r="Y64" s="1486">
        <v>2775.87</v>
      </c>
      <c r="Z64" s="2148"/>
      <c r="AA64" s="2205">
        <v>2765.99</v>
      </c>
      <c r="AB64" s="397"/>
      <c r="AC64" s="1486">
        <v>1864.76</v>
      </c>
      <c r="AD64" s="2243"/>
      <c r="AE64" s="2143">
        <v>43.95</v>
      </c>
      <c r="AF64" s="2243"/>
      <c r="AG64" s="2143">
        <f>470.97+1820.74</f>
        <v>2291.71</v>
      </c>
      <c r="AH64" s="3886"/>
      <c r="AI64" s="2143">
        <f>1671.6</f>
        <v>1671.6</v>
      </c>
      <c r="AJ64" s="3886"/>
      <c r="AK64" s="2143"/>
    </row>
    <row r="65" spans="1:37" s="1570" customFormat="1" ht="12.75">
      <c r="A65" s="2148"/>
      <c r="B65" s="2122"/>
      <c r="C65" s="2180" t="s">
        <v>2969</v>
      </c>
      <c r="D65" s="2108">
        <f>E60-D60</f>
        <v>2855.8900000000003</v>
      </c>
      <c r="E65" s="2091"/>
      <c r="F65" s="2119">
        <f>G61-F61</f>
        <v>0</v>
      </c>
      <c r="G65" s="2091"/>
      <c r="H65" s="2119">
        <f>I60-H60</f>
        <v>1397.6499999999996</v>
      </c>
      <c r="I65" s="2091"/>
      <c r="J65" s="2119">
        <f>K60-J60</f>
        <v>9038.0499999999993</v>
      </c>
      <c r="K65" s="2091"/>
      <c r="L65" s="2119">
        <f>M60-L60</f>
        <v>4305.24</v>
      </c>
      <c r="M65" s="2091"/>
      <c r="N65" s="2119">
        <f>O60-N60</f>
        <v>0</v>
      </c>
      <c r="O65" s="2091"/>
      <c r="P65" s="2119">
        <f>Q60-P60</f>
        <v>6440.5300000000007</v>
      </c>
      <c r="Q65" s="2092"/>
      <c r="R65" s="2203">
        <f>S60-R60</f>
        <v>8881.5600000000013</v>
      </c>
      <c r="S65" s="2193"/>
      <c r="T65" s="2203">
        <f>U60-T60</f>
        <v>9992.33</v>
      </c>
      <c r="U65" s="2193"/>
      <c r="V65" s="2063"/>
      <c r="W65" s="2212"/>
      <c r="X65" s="1591"/>
      <c r="Y65" s="2163"/>
      <c r="Z65" s="2063"/>
      <c r="AA65" s="2212"/>
      <c r="AB65" s="1591"/>
      <c r="AC65" s="2163"/>
      <c r="AD65" s="2241"/>
      <c r="AE65" s="2141"/>
      <c r="AF65" s="2241"/>
      <c r="AG65" s="2141"/>
      <c r="AH65" s="3884"/>
      <c r="AI65" s="3885"/>
      <c r="AJ65" s="3884"/>
      <c r="AK65" s="3885"/>
    </row>
    <row r="66" spans="1:37" s="1570" customFormat="1" ht="12.75" hidden="1">
      <c r="A66" s="2309" t="s">
        <v>2970</v>
      </c>
      <c r="B66" s="2270"/>
      <c r="C66" s="2061" t="s">
        <v>2971</v>
      </c>
      <c r="D66" s="2261"/>
      <c r="E66" s="2274"/>
      <c r="F66" s="2261"/>
      <c r="G66" s="2274"/>
      <c r="H66" s="2263"/>
      <c r="I66" s="2272"/>
      <c r="J66" s="2263"/>
      <c r="K66" s="2272"/>
      <c r="L66" s="2263"/>
      <c r="M66" s="2272"/>
      <c r="N66" s="2263"/>
      <c r="O66" s="2272"/>
      <c r="P66" s="2263"/>
      <c r="Q66" s="2261">
        <f>SUM(Q67:Q69)</f>
        <v>15475.52</v>
      </c>
      <c r="R66" s="2264"/>
      <c r="S66" s="2265">
        <f>SUM(S67:S69)</f>
        <v>0</v>
      </c>
      <c r="T66" s="2264"/>
      <c r="U66" s="2265">
        <f>SUM(U67:U69)</f>
        <v>0</v>
      </c>
      <c r="V66" s="2259"/>
      <c r="W66" s="2277"/>
      <c r="X66" s="2278"/>
      <c r="Y66" s="2279"/>
      <c r="Z66" s="2259"/>
      <c r="AA66" s="2277"/>
      <c r="AB66" s="2278"/>
      <c r="AC66" s="2279"/>
      <c r="AD66" s="2280"/>
      <c r="AE66" s="2281"/>
      <c r="AF66" s="2280"/>
      <c r="AG66" s="2281"/>
      <c r="AH66" s="2132"/>
      <c r="AI66" s="2132"/>
      <c r="AJ66" s="2132"/>
      <c r="AK66" s="2132"/>
    </row>
    <row r="67" spans="1:37" s="1570" customFormat="1" ht="12.75" hidden="1">
      <c r="A67" s="2148"/>
      <c r="B67" s="583">
        <v>2013</v>
      </c>
      <c r="C67" s="2177"/>
      <c r="D67" s="2090"/>
      <c r="E67" s="2092"/>
      <c r="F67" s="2090"/>
      <c r="G67" s="2092"/>
      <c r="H67" s="2088"/>
      <c r="I67" s="2091"/>
      <c r="J67" s="2088"/>
      <c r="K67" s="2091"/>
      <c r="L67" s="2088"/>
      <c r="M67" s="2091"/>
      <c r="N67" s="2088"/>
      <c r="O67" s="2091"/>
      <c r="P67" s="2088"/>
      <c r="Q67" s="2092">
        <v>15475.52</v>
      </c>
      <c r="R67" s="2192"/>
      <c r="S67" s="2193"/>
      <c r="T67" s="2192"/>
      <c r="U67" s="2193"/>
      <c r="V67" s="2063"/>
      <c r="W67" s="2212"/>
      <c r="X67" s="1591"/>
      <c r="Y67" s="2163"/>
      <c r="Z67" s="2063"/>
      <c r="AA67" s="2212"/>
      <c r="AB67" s="1591"/>
      <c r="AC67" s="2163"/>
      <c r="AD67" s="2241"/>
      <c r="AE67" s="2141"/>
      <c r="AF67" s="2241"/>
      <c r="AG67" s="2141"/>
      <c r="AH67" s="2132"/>
      <c r="AI67" s="2132"/>
      <c r="AJ67" s="2132"/>
      <c r="AK67" s="2132"/>
    </row>
    <row r="68" spans="1:37" s="1570" customFormat="1" ht="12.75" hidden="1">
      <c r="A68" s="2148"/>
      <c r="B68" s="583"/>
      <c r="C68" s="2177"/>
      <c r="D68" s="2090"/>
      <c r="E68" s="2092"/>
      <c r="F68" s="2090"/>
      <c r="G68" s="2092"/>
      <c r="H68" s="2088"/>
      <c r="I68" s="2091"/>
      <c r="J68" s="2088"/>
      <c r="K68" s="2091"/>
      <c r="L68" s="2088"/>
      <c r="M68" s="2091"/>
      <c r="N68" s="2088"/>
      <c r="O68" s="2091"/>
      <c r="P68" s="2088"/>
      <c r="Q68" s="1591"/>
      <c r="R68" s="2192"/>
      <c r="S68" s="2174"/>
      <c r="T68" s="2192"/>
      <c r="U68" s="2174"/>
      <c r="V68" s="2063"/>
      <c r="W68" s="2212"/>
      <c r="X68" s="1591"/>
      <c r="Y68" s="2163"/>
      <c r="Z68" s="2063"/>
      <c r="AA68" s="2212"/>
      <c r="AB68" s="1591"/>
      <c r="AC68" s="2163"/>
      <c r="AD68" s="2241"/>
      <c r="AE68" s="2141"/>
      <c r="AF68" s="2241"/>
      <c r="AG68" s="2141"/>
      <c r="AH68" s="2132"/>
      <c r="AI68" s="2132"/>
      <c r="AJ68" s="2132"/>
      <c r="AK68" s="2132"/>
    </row>
    <row r="69" spans="1:37" s="1570" customFormat="1" ht="13.5" hidden="1" thickBot="1">
      <c r="A69" s="2145"/>
      <c r="B69" s="590"/>
      <c r="C69" s="2179"/>
      <c r="D69" s="2115"/>
      <c r="E69" s="2104"/>
      <c r="F69" s="2115"/>
      <c r="G69" s="2104"/>
      <c r="H69" s="2116"/>
      <c r="I69" s="2103"/>
      <c r="J69" s="2116"/>
      <c r="K69" s="2103"/>
      <c r="L69" s="2116"/>
      <c r="M69" s="2103"/>
      <c r="N69" s="2116"/>
      <c r="O69" s="2103"/>
      <c r="P69" s="2116"/>
      <c r="Q69" s="2104"/>
      <c r="R69" s="2202"/>
      <c r="S69" s="2198"/>
      <c r="T69" s="2202"/>
      <c r="U69" s="2198"/>
      <c r="V69" s="2210"/>
      <c r="W69" s="2215"/>
      <c r="X69" s="2124"/>
      <c r="Y69" s="2232"/>
      <c r="Z69" s="2210"/>
      <c r="AA69" s="2215"/>
      <c r="AB69" s="2124"/>
      <c r="AC69" s="2232"/>
      <c r="AD69" s="2246"/>
      <c r="AE69" s="2150"/>
      <c r="AF69" s="2246"/>
      <c r="AG69" s="2150"/>
      <c r="AH69" s="2132"/>
      <c r="AI69" s="2132"/>
      <c r="AJ69" s="2132"/>
      <c r="AK69" s="2132"/>
    </row>
    <row r="70" spans="1:37" s="1570" customFormat="1" ht="12.75" hidden="1">
      <c r="A70" s="2063" t="s">
        <v>2555</v>
      </c>
      <c r="B70" s="583"/>
      <c r="C70" s="2177" t="s">
        <v>2972</v>
      </c>
      <c r="D70" s="2090"/>
      <c r="E70" s="2092"/>
      <c r="F70" s="2090"/>
      <c r="G70" s="2092"/>
      <c r="H70" s="2088"/>
      <c r="I70" s="2091"/>
      <c r="J70" s="2088"/>
      <c r="K70" s="2091"/>
      <c r="L70" s="2088"/>
      <c r="M70" s="2091"/>
      <c r="N70" s="2088"/>
      <c r="O70" s="2091"/>
      <c r="P70" s="2088"/>
      <c r="Q70" s="2092"/>
      <c r="R70" s="2192"/>
      <c r="S70" s="2193"/>
      <c r="T70" s="2192"/>
      <c r="U70" s="2193"/>
      <c r="V70" s="2147"/>
      <c r="W70" s="2216"/>
      <c r="X70" s="2106"/>
      <c r="Y70" s="2233"/>
      <c r="Z70" s="2147"/>
      <c r="AA70" s="2216"/>
      <c r="AB70" s="2106"/>
      <c r="AC70" s="2233"/>
      <c r="AD70" s="2247"/>
      <c r="AE70" s="2151"/>
      <c r="AF70" s="2247"/>
      <c r="AG70" s="2151"/>
      <c r="AH70" s="2132"/>
      <c r="AI70" s="2132"/>
      <c r="AJ70" s="2132"/>
      <c r="AK70" s="2132"/>
    </row>
    <row r="71" spans="1:37" s="1570" customFormat="1" ht="12.75" hidden="1">
      <c r="A71" s="2148"/>
      <c r="B71" s="583" t="s">
        <v>2973</v>
      </c>
      <c r="C71" s="2177"/>
      <c r="D71" s="2090"/>
      <c r="E71" s="2092"/>
      <c r="F71" s="2090"/>
      <c r="G71" s="2092"/>
      <c r="H71" s="2088"/>
      <c r="I71" s="2091"/>
      <c r="J71" s="2088"/>
      <c r="K71" s="2091"/>
      <c r="L71" s="2088"/>
      <c r="M71" s="2091"/>
      <c r="N71" s="2088"/>
      <c r="O71" s="2091"/>
      <c r="P71" s="2088"/>
      <c r="Q71" s="2092">
        <v>7746.44</v>
      </c>
      <c r="R71" s="2192"/>
      <c r="S71" s="2193"/>
      <c r="T71" s="2192"/>
      <c r="U71" s="2193"/>
      <c r="V71" s="2063"/>
      <c r="W71" s="2212"/>
      <c r="X71" s="1591"/>
      <c r="Y71" s="2163"/>
      <c r="Z71" s="2063"/>
      <c r="AA71" s="2212"/>
      <c r="AB71" s="1591"/>
      <c r="AC71" s="2163"/>
      <c r="AD71" s="2241"/>
      <c r="AE71" s="2141"/>
      <c r="AF71" s="2241"/>
      <c r="AG71" s="2141"/>
      <c r="AH71" s="2132"/>
      <c r="AI71" s="2132"/>
      <c r="AJ71" s="2132"/>
      <c r="AK71" s="2132"/>
    </row>
    <row r="72" spans="1:37" s="1570" customFormat="1" ht="12.75" hidden="1">
      <c r="A72" s="2148"/>
      <c r="B72" s="583"/>
      <c r="C72" s="2177"/>
      <c r="D72" s="2090"/>
      <c r="E72" s="2092"/>
      <c r="F72" s="2090"/>
      <c r="G72" s="2092"/>
      <c r="H72" s="2088"/>
      <c r="I72" s="2091"/>
      <c r="J72" s="2088"/>
      <c r="K72" s="2091"/>
      <c r="L72" s="2088"/>
      <c r="M72" s="2091"/>
      <c r="N72" s="2088"/>
      <c r="O72" s="2091"/>
      <c r="P72" s="2088"/>
      <c r="Q72" s="2092"/>
      <c r="R72" s="2192"/>
      <c r="S72" s="2193"/>
      <c r="T72" s="2192"/>
      <c r="U72" s="2193"/>
      <c r="V72" s="2063"/>
      <c r="W72" s="2212"/>
      <c r="X72" s="1591"/>
      <c r="Y72" s="2163"/>
      <c r="Z72" s="2063"/>
      <c r="AA72" s="2212"/>
      <c r="AB72" s="1591"/>
      <c r="AC72" s="2163"/>
      <c r="AD72" s="2241"/>
      <c r="AE72" s="2141"/>
      <c r="AF72" s="2241"/>
      <c r="AG72" s="2141"/>
      <c r="AH72" s="2132"/>
      <c r="AI72" s="2132"/>
      <c r="AJ72" s="2132"/>
      <c r="AK72" s="2132"/>
    </row>
    <row r="73" spans="1:37" s="1570" customFormat="1" ht="13.5" hidden="1" thickBot="1">
      <c r="A73" s="2148"/>
      <c r="B73" s="583"/>
      <c r="C73" s="2177"/>
      <c r="D73" s="2090"/>
      <c r="E73" s="2092"/>
      <c r="F73" s="2090"/>
      <c r="G73" s="2092"/>
      <c r="H73" s="2088"/>
      <c r="I73" s="2091"/>
      <c r="J73" s="2088"/>
      <c r="K73" s="2091"/>
      <c r="L73" s="2088"/>
      <c r="M73" s="2091"/>
      <c r="N73" s="2088"/>
      <c r="O73" s="2091"/>
      <c r="P73" s="2088"/>
      <c r="Q73" s="2092"/>
      <c r="R73" s="2192"/>
      <c r="S73" s="2193"/>
      <c r="T73" s="2192"/>
      <c r="U73" s="2193"/>
      <c r="V73" s="2210"/>
      <c r="W73" s="2215"/>
      <c r="X73" s="2124"/>
      <c r="Y73" s="2232"/>
      <c r="Z73" s="2210"/>
      <c r="AA73" s="2215"/>
      <c r="AB73" s="2124"/>
      <c r="AC73" s="2232"/>
      <c r="AD73" s="2246"/>
      <c r="AE73" s="2150"/>
      <c r="AF73" s="2246"/>
      <c r="AG73" s="2150"/>
      <c r="AH73" s="2132"/>
      <c r="AI73" s="2132"/>
      <c r="AJ73" s="2132"/>
      <c r="AK73" s="2132"/>
    </row>
    <row r="74" spans="1:37" s="1570" customFormat="1" ht="12.75" hidden="1">
      <c r="A74" s="2008" t="s">
        <v>2974</v>
      </c>
      <c r="B74" s="2069"/>
      <c r="C74" s="2295" t="s">
        <v>2975</v>
      </c>
      <c r="D74" s="2084"/>
      <c r="E74" s="2188"/>
      <c r="F74" s="2084"/>
      <c r="G74" s="2188"/>
      <c r="H74" s="2082"/>
      <c r="I74" s="2098"/>
      <c r="J74" s="2084"/>
      <c r="K74" s="2098"/>
      <c r="L74" s="2084"/>
      <c r="M74" s="2098"/>
      <c r="N74" s="2084"/>
      <c r="O74" s="2098"/>
      <c r="P74" s="2084"/>
      <c r="Q74" s="2084">
        <f>SUM(Q76:Q78)</f>
        <v>5000</v>
      </c>
      <c r="R74" s="2190"/>
      <c r="S74" s="2191">
        <f>SUM(S76:S78)</f>
        <v>27472</v>
      </c>
      <c r="T74" s="2190"/>
      <c r="U74" s="2191">
        <f>SUM(U76:U78)</f>
        <v>27472</v>
      </c>
      <c r="V74" s="2217"/>
      <c r="W74" s="2218"/>
      <c r="X74" s="2209"/>
      <c r="Y74" s="2234"/>
      <c r="Z74" s="2217"/>
      <c r="AA74" s="2218"/>
      <c r="AB74" s="2209"/>
      <c r="AC74" s="2234"/>
      <c r="AD74" s="2248"/>
      <c r="AE74" s="2152"/>
      <c r="AF74" s="2248"/>
      <c r="AG74" s="2152"/>
      <c r="AH74" s="2132"/>
      <c r="AI74" s="2132"/>
      <c r="AJ74" s="2132"/>
      <c r="AK74" s="2132"/>
    </row>
    <row r="75" spans="1:37" s="1570" customFormat="1" ht="12.75" hidden="1">
      <c r="A75" s="2063"/>
      <c r="B75" s="583" t="s">
        <v>2976</v>
      </c>
      <c r="C75" s="2177"/>
      <c r="D75" s="2090"/>
      <c r="E75" s="2092"/>
      <c r="F75" s="2090"/>
      <c r="G75" s="2092"/>
      <c r="H75" s="2088"/>
      <c r="I75" s="2091"/>
      <c r="J75" s="2090"/>
      <c r="K75" s="2091"/>
      <c r="L75" s="2090"/>
      <c r="M75" s="2091"/>
      <c r="N75" s="2090"/>
      <c r="O75" s="2091">
        <v>15000</v>
      </c>
      <c r="P75" s="2090"/>
      <c r="Q75" s="2092">
        <v>14308</v>
      </c>
      <c r="R75" s="2192"/>
      <c r="S75" s="2193"/>
      <c r="T75" s="2192"/>
      <c r="U75" s="2193"/>
      <c r="V75" s="2219"/>
      <c r="W75" s="2220"/>
      <c r="X75" s="2129"/>
      <c r="Y75" s="2235"/>
      <c r="Z75" s="2219"/>
      <c r="AA75" s="2220"/>
      <c r="AB75" s="2129"/>
      <c r="AC75" s="2235"/>
      <c r="AD75" s="5"/>
      <c r="AE75" s="2153"/>
      <c r="AF75" s="5"/>
      <c r="AG75" s="2153"/>
      <c r="AH75" s="2132"/>
      <c r="AI75" s="2132"/>
      <c r="AJ75" s="2132"/>
      <c r="AK75" s="2132"/>
    </row>
    <row r="76" spans="1:37" s="1570" customFormat="1" ht="13.5" hidden="1" thickBot="1">
      <c r="A76" s="2148"/>
      <c r="B76" s="583" t="s">
        <v>2977</v>
      </c>
      <c r="C76" s="2177"/>
      <c r="D76" s="2115"/>
      <c r="E76" s="2103"/>
      <c r="F76" s="2115"/>
      <c r="G76" s="2104"/>
      <c r="H76" s="2088"/>
      <c r="I76" s="2091"/>
      <c r="J76" s="2090"/>
      <c r="K76" s="2091"/>
      <c r="L76" s="2090"/>
      <c r="M76" s="2091"/>
      <c r="N76" s="2090"/>
      <c r="O76" s="2091"/>
      <c r="P76" s="2090"/>
      <c r="Q76" s="2092">
        <v>5000</v>
      </c>
      <c r="R76" s="2192"/>
      <c r="S76" s="2193">
        <v>6132</v>
      </c>
      <c r="T76" s="2192"/>
      <c r="U76" s="2193">
        <v>6132</v>
      </c>
      <c r="V76" s="2219"/>
      <c r="W76" s="2220"/>
      <c r="X76" s="2129"/>
      <c r="Y76" s="2235"/>
      <c r="Z76" s="2219"/>
      <c r="AA76" s="2220"/>
      <c r="AB76" s="2129"/>
      <c r="AC76" s="2235"/>
      <c r="AD76" s="5"/>
      <c r="AE76" s="2153"/>
      <c r="AF76" s="5"/>
      <c r="AG76" s="2153"/>
      <c r="AH76" s="2132"/>
      <c r="AI76" s="2132"/>
      <c r="AJ76" s="2132"/>
      <c r="AK76" s="2132"/>
    </row>
    <row r="77" spans="1:37" s="1570" customFormat="1" ht="12.75" hidden="1">
      <c r="A77" s="2148"/>
      <c r="B77" s="583" t="s">
        <v>2978</v>
      </c>
      <c r="C77" s="2177"/>
      <c r="D77" s="2090"/>
      <c r="E77" s="2091"/>
      <c r="F77" s="2090"/>
      <c r="G77" s="2092"/>
      <c r="H77" s="2088"/>
      <c r="I77" s="2091"/>
      <c r="J77" s="2090"/>
      <c r="K77" s="2091"/>
      <c r="L77" s="2090"/>
      <c r="M77" s="2091"/>
      <c r="N77" s="2090"/>
      <c r="O77" s="2091"/>
      <c r="P77" s="2090"/>
      <c r="Q77" s="2092"/>
      <c r="R77" s="2192"/>
      <c r="S77" s="2193">
        <v>21340</v>
      </c>
      <c r="T77" s="2192"/>
      <c r="U77" s="2193">
        <v>21340</v>
      </c>
      <c r="V77" s="2219"/>
      <c r="W77" s="2220"/>
      <c r="X77" s="2129"/>
      <c r="Y77" s="2235"/>
      <c r="Z77" s="2219"/>
      <c r="AA77" s="2220"/>
      <c r="AB77" s="2129"/>
      <c r="AC77" s="2235"/>
      <c r="AD77" s="5"/>
      <c r="AE77" s="2153"/>
      <c r="AF77" s="5"/>
      <c r="AG77" s="2153"/>
      <c r="AH77" s="2132"/>
      <c r="AI77" s="2132"/>
      <c r="AJ77" s="2132"/>
      <c r="AK77" s="2132"/>
    </row>
    <row r="78" spans="1:37" s="1570" customFormat="1" ht="12.75" hidden="1">
      <c r="A78" s="2148"/>
      <c r="B78" s="583"/>
      <c r="C78" s="2181" t="s">
        <v>2969</v>
      </c>
      <c r="D78" s="2090"/>
      <c r="E78" s="2091"/>
      <c r="F78" s="2090"/>
      <c r="G78" s="2092"/>
      <c r="H78" s="2088"/>
      <c r="I78" s="2091"/>
      <c r="J78" s="2090"/>
      <c r="K78" s="2091"/>
      <c r="L78" s="2090"/>
      <c r="M78" s="2091"/>
      <c r="N78" s="2090"/>
      <c r="O78" s="2091"/>
      <c r="P78" s="2090"/>
      <c r="Q78" s="2092"/>
      <c r="R78" s="2192"/>
      <c r="S78" s="2193"/>
      <c r="T78" s="2192"/>
      <c r="U78" s="2193"/>
      <c r="V78" s="2219"/>
      <c r="W78" s="2220"/>
      <c r="X78" s="2129"/>
      <c r="Y78" s="2235"/>
      <c r="Z78" s="2219"/>
      <c r="AA78" s="2220"/>
      <c r="AB78" s="2129"/>
      <c r="AC78" s="2235"/>
      <c r="AD78" s="5"/>
      <c r="AE78" s="2153"/>
      <c r="AF78" s="5"/>
      <c r="AG78" s="2153"/>
      <c r="AH78" s="2132"/>
      <c r="AI78" s="2132"/>
      <c r="AJ78" s="2132"/>
      <c r="AK78" s="2132"/>
    </row>
    <row r="79" spans="1:37" s="1570" customFormat="1" ht="12.75" hidden="1">
      <c r="A79" s="2008" t="s">
        <v>2979</v>
      </c>
      <c r="B79" s="2081"/>
      <c r="C79" s="2172" t="s">
        <v>2980</v>
      </c>
      <c r="D79" s="2084">
        <v>91924</v>
      </c>
      <c r="E79" s="2083">
        <f>SUM(E80:E92)</f>
        <v>92183.679999999993</v>
      </c>
      <c r="F79" s="2084">
        <v>91924</v>
      </c>
      <c r="G79" s="2083">
        <f>SUM(G80:G92)</f>
        <v>0</v>
      </c>
      <c r="H79" s="2082">
        <v>91924</v>
      </c>
      <c r="I79" s="2083">
        <f>SUM(I80:I92)</f>
        <v>91094.73</v>
      </c>
      <c r="J79" s="2082">
        <v>91924</v>
      </c>
      <c r="K79" s="2083">
        <f>SUM(K80:K92)</f>
        <v>91989.97</v>
      </c>
      <c r="L79" s="2084">
        <v>91924</v>
      </c>
      <c r="M79" s="2083">
        <f>SUM(M80:M92)</f>
        <v>156972.84</v>
      </c>
      <c r="N79" s="2084">
        <v>141797</v>
      </c>
      <c r="O79" s="2083">
        <f>SUM(O80:O92)</f>
        <v>6357.95</v>
      </c>
      <c r="P79" s="2084">
        <v>141797</v>
      </c>
      <c r="Q79" s="2084">
        <f>SUM(Q80:Q92)</f>
        <v>146904.99</v>
      </c>
      <c r="R79" s="2190">
        <v>141797</v>
      </c>
      <c r="S79" s="2191">
        <f>SUM(S80:S92)</f>
        <v>0</v>
      </c>
      <c r="T79" s="2303"/>
      <c r="U79" s="2304"/>
      <c r="V79" s="2003"/>
      <c r="W79" s="2305"/>
      <c r="X79" s="2020"/>
      <c r="Y79" s="2306"/>
      <c r="Z79" s="2003"/>
      <c r="AA79" s="2305"/>
      <c r="AB79" s="2020"/>
      <c r="AC79" s="2306"/>
      <c r="AD79" s="2307"/>
      <c r="AE79" s="2308"/>
      <c r="AF79" s="2307"/>
      <c r="AG79" s="2308"/>
      <c r="AH79" s="2132"/>
      <c r="AI79" s="2132"/>
      <c r="AJ79" s="2132"/>
      <c r="AK79" s="2132"/>
    </row>
    <row r="80" spans="1:37" s="1570" customFormat="1" ht="12.75" hidden="1">
      <c r="A80" s="2063"/>
      <c r="B80" s="2117" t="s">
        <v>2981</v>
      </c>
      <c r="C80" s="2174"/>
      <c r="D80" s="2090"/>
      <c r="E80" s="2091">
        <v>1079.8699999999999</v>
      </c>
      <c r="F80" s="2090"/>
      <c r="G80" s="2089"/>
      <c r="H80" s="2088"/>
      <c r="I80" s="2091" t="s">
        <v>177</v>
      </c>
      <c r="J80" s="2088"/>
      <c r="K80" s="2091" t="s">
        <v>177</v>
      </c>
      <c r="L80" s="2090"/>
      <c r="M80" s="2091" t="s">
        <v>177</v>
      </c>
      <c r="N80" s="2090"/>
      <c r="O80" s="2091" t="s">
        <v>177</v>
      </c>
      <c r="P80" s="2090"/>
      <c r="Q80" s="2092"/>
      <c r="R80" s="2192"/>
      <c r="S80" s="2193"/>
      <c r="T80" s="2192"/>
      <c r="U80" s="2193"/>
      <c r="V80" s="2063"/>
      <c r="W80" s="2212"/>
      <c r="X80" s="1591"/>
      <c r="Y80" s="2163"/>
      <c r="Z80" s="2063"/>
      <c r="AA80" s="2212"/>
      <c r="AB80" s="1591"/>
      <c r="AC80" s="2163"/>
      <c r="AD80" s="2241"/>
      <c r="AE80" s="2141"/>
      <c r="AF80" s="2241"/>
      <c r="AG80" s="2141"/>
      <c r="AH80" s="2132"/>
      <c r="AI80" s="2132"/>
      <c r="AJ80" s="2132"/>
      <c r="AK80" s="2132"/>
    </row>
    <row r="81" spans="1:37" s="1570" customFormat="1" ht="12.75" hidden="1">
      <c r="A81" s="2063"/>
      <c r="B81" s="2118" t="s">
        <v>2982</v>
      </c>
      <c r="C81" s="2174"/>
      <c r="D81" s="2090"/>
      <c r="E81" s="2091">
        <v>4603.8100000000004</v>
      </c>
      <c r="F81" s="2090"/>
      <c r="G81" s="2089"/>
      <c r="H81" s="2088"/>
      <c r="I81" s="2096">
        <v>4594.7299999999996</v>
      </c>
      <c r="J81" s="2088"/>
      <c r="K81" s="2091"/>
      <c r="L81" s="2090"/>
      <c r="M81" s="2091">
        <v>4836.8900000000003</v>
      </c>
      <c r="N81" s="2090"/>
      <c r="O81" s="2096">
        <v>4960.7</v>
      </c>
      <c r="P81" s="2090"/>
      <c r="Q81" s="1048">
        <v>5019.42</v>
      </c>
      <c r="R81" s="2192"/>
      <c r="S81" s="2195"/>
      <c r="T81" s="2192"/>
      <c r="U81" s="2195"/>
      <c r="V81" s="2063"/>
      <c r="W81" s="2212"/>
      <c r="X81" s="1591"/>
      <c r="Y81" s="2163"/>
      <c r="Z81" s="2063"/>
      <c r="AA81" s="2212"/>
      <c r="AB81" s="1591"/>
      <c r="AC81" s="2163"/>
      <c r="AD81" s="2241"/>
      <c r="AE81" s="2141"/>
      <c r="AF81" s="2241"/>
      <c r="AG81" s="2141"/>
      <c r="AH81" s="2132"/>
      <c r="AI81" s="2132"/>
      <c r="AJ81" s="2132"/>
      <c r="AK81" s="2132"/>
    </row>
    <row r="82" spans="1:37" s="1570" customFormat="1" ht="12.75" hidden="1">
      <c r="A82" s="2063"/>
      <c r="B82" s="2118" t="s">
        <v>2983</v>
      </c>
      <c r="C82" s="2174"/>
      <c r="D82" s="2090"/>
      <c r="E82" s="2091"/>
      <c r="F82" s="2090"/>
      <c r="G82" s="2089"/>
      <c r="H82" s="2088"/>
      <c r="I82" s="2096"/>
      <c r="J82" s="2088"/>
      <c r="K82" s="2091">
        <v>65.97</v>
      </c>
      <c r="L82" s="2090"/>
      <c r="M82" s="2091">
        <f>25.85+24.27</f>
        <v>50.120000000000005</v>
      </c>
      <c r="N82" s="2090"/>
      <c r="O82" s="2096">
        <v>115.99</v>
      </c>
      <c r="P82" s="2090"/>
      <c r="Q82" s="1048">
        <v>15.9</v>
      </c>
      <c r="R82" s="2192"/>
      <c r="S82" s="2195"/>
      <c r="T82" s="2192"/>
      <c r="U82" s="2195"/>
      <c r="V82" s="2063"/>
      <c r="W82" s="2212"/>
      <c r="X82" s="1591"/>
      <c r="Y82" s="2163"/>
      <c r="Z82" s="2063"/>
      <c r="AA82" s="2212"/>
      <c r="AB82" s="1591"/>
      <c r="AC82" s="2163"/>
      <c r="AD82" s="2241"/>
      <c r="AE82" s="2141"/>
      <c r="AF82" s="2241"/>
      <c r="AG82" s="2141"/>
      <c r="AH82" s="2132"/>
      <c r="AI82" s="2132"/>
      <c r="AJ82" s="2132"/>
      <c r="AK82" s="2132"/>
    </row>
    <row r="83" spans="1:37" s="1570" customFormat="1" ht="12.75" hidden="1">
      <c r="A83" s="2063"/>
      <c r="B83" s="2118" t="s">
        <v>2983</v>
      </c>
      <c r="C83" s="2174"/>
      <c r="D83" s="2090"/>
      <c r="E83" s="2091"/>
      <c r="F83" s="2090"/>
      <c r="G83" s="2089"/>
      <c r="H83" s="2088"/>
      <c r="I83" s="2096"/>
      <c r="J83" s="2088"/>
      <c r="K83" s="2091"/>
      <c r="L83" s="2090"/>
      <c r="M83" s="2091">
        <v>16.39</v>
      </c>
      <c r="N83" s="2090"/>
      <c r="O83" s="2096" t="s">
        <v>177</v>
      </c>
      <c r="P83" s="2090"/>
      <c r="Q83" s="1048">
        <v>48.27</v>
      </c>
      <c r="R83" s="2192"/>
      <c r="S83" s="2195"/>
      <c r="T83" s="2192"/>
      <c r="U83" s="2195"/>
      <c r="V83" s="2063"/>
      <c r="W83" s="2212"/>
      <c r="X83" s="1591"/>
      <c r="Y83" s="2163"/>
      <c r="Z83" s="2063"/>
      <c r="AA83" s="2212"/>
      <c r="AB83" s="1591"/>
      <c r="AC83" s="2163"/>
      <c r="AD83" s="2241"/>
      <c r="AE83" s="2141"/>
      <c r="AF83" s="2241"/>
      <c r="AG83" s="2141"/>
      <c r="AH83" s="2132"/>
      <c r="AI83" s="2132"/>
      <c r="AJ83" s="2132"/>
      <c r="AK83" s="2132"/>
    </row>
    <row r="84" spans="1:37" s="1570" customFormat="1" ht="12.75" hidden="1">
      <c r="A84" s="2063"/>
      <c r="B84" s="2118" t="s">
        <v>2983</v>
      </c>
      <c r="C84" s="2174"/>
      <c r="D84" s="2090"/>
      <c r="E84" s="2091"/>
      <c r="F84" s="2090"/>
      <c r="G84" s="2089"/>
      <c r="H84" s="2088"/>
      <c r="I84" s="2096"/>
      <c r="J84" s="2088"/>
      <c r="K84" s="2091"/>
      <c r="L84" s="2090"/>
      <c r="M84" s="2091">
        <v>25.53</v>
      </c>
      <c r="N84" s="2090"/>
      <c r="O84" s="2096" t="s">
        <v>177</v>
      </c>
      <c r="P84" s="2090"/>
      <c r="Q84" s="1048">
        <v>24.4</v>
      </c>
      <c r="R84" s="2192"/>
      <c r="S84" s="2195"/>
      <c r="T84" s="2192"/>
      <c r="U84" s="2195"/>
      <c r="V84" s="2063"/>
      <c r="W84" s="2212"/>
      <c r="X84" s="1591"/>
      <c r="Y84" s="2163"/>
      <c r="Z84" s="2063"/>
      <c r="AA84" s="2212"/>
      <c r="AB84" s="1591"/>
      <c r="AC84" s="2163"/>
      <c r="AD84" s="2241"/>
      <c r="AE84" s="2141"/>
      <c r="AF84" s="2241"/>
      <c r="AG84" s="2141"/>
      <c r="AH84" s="2132"/>
      <c r="AI84" s="2132"/>
      <c r="AJ84" s="2132"/>
      <c r="AK84" s="2132"/>
    </row>
    <row r="85" spans="1:37" s="1570" customFormat="1" ht="12.75" hidden="1">
      <c r="A85" s="2063"/>
      <c r="B85" s="2118" t="s">
        <v>2983</v>
      </c>
      <c r="C85" s="2174"/>
      <c r="D85" s="2090"/>
      <c r="E85" s="2091"/>
      <c r="F85" s="2090"/>
      <c r="G85" s="2089"/>
      <c r="H85" s="2088"/>
      <c r="I85" s="2096"/>
      <c r="J85" s="2088"/>
      <c r="K85" s="2091"/>
      <c r="L85" s="2090"/>
      <c r="M85" s="2096">
        <v>9.77</v>
      </c>
      <c r="N85" s="2090"/>
      <c r="O85" s="2096">
        <v>48.27</v>
      </c>
      <c r="P85" s="2090"/>
      <c r="Q85" s="1048"/>
      <c r="R85" s="2192"/>
      <c r="S85" s="2195"/>
      <c r="T85" s="2192"/>
      <c r="U85" s="2195"/>
      <c r="V85" s="2063"/>
      <c r="W85" s="2212"/>
      <c r="X85" s="1591"/>
      <c r="Y85" s="2163"/>
      <c r="Z85" s="2063"/>
      <c r="AA85" s="2212"/>
      <c r="AB85" s="1591"/>
      <c r="AC85" s="2163"/>
      <c r="AD85" s="2241"/>
      <c r="AE85" s="2141"/>
      <c r="AF85" s="2241"/>
      <c r="AG85" s="2141"/>
      <c r="AH85" s="2132"/>
      <c r="AI85" s="2132"/>
      <c r="AJ85" s="2132"/>
      <c r="AK85" s="2132"/>
    </row>
    <row r="86" spans="1:37" s="1570" customFormat="1" ht="12.75" hidden="1">
      <c r="A86" s="2063"/>
      <c r="B86" s="2118" t="s">
        <v>2984</v>
      </c>
      <c r="C86" s="2174"/>
      <c r="D86" s="2090"/>
      <c r="E86" s="2091"/>
      <c r="F86" s="2090"/>
      <c r="G86" s="2089"/>
      <c r="H86" s="2088"/>
      <c r="I86" s="2096"/>
      <c r="J86" s="2088"/>
      <c r="K86" s="2091"/>
      <c r="L86" s="2090"/>
      <c r="M86" s="2091">
        <v>9554.66</v>
      </c>
      <c r="N86" s="2090"/>
      <c r="O86" s="2096"/>
      <c r="P86" s="2090"/>
      <c r="Q86" s="1048"/>
      <c r="R86" s="2192"/>
      <c r="S86" s="2195"/>
      <c r="T86" s="2192"/>
      <c r="U86" s="2195"/>
      <c r="V86" s="2063"/>
      <c r="W86" s="2212"/>
      <c r="X86" s="1591"/>
      <c r="Y86" s="2163"/>
      <c r="Z86" s="2063"/>
      <c r="AA86" s="2212"/>
      <c r="AB86" s="1591"/>
      <c r="AC86" s="2163"/>
      <c r="AD86" s="2241"/>
      <c r="AE86" s="2141"/>
      <c r="AF86" s="2241"/>
      <c r="AG86" s="2141"/>
      <c r="AH86" s="2132"/>
      <c r="AI86" s="2132"/>
      <c r="AJ86" s="2132"/>
      <c r="AK86" s="2132"/>
    </row>
    <row r="87" spans="1:37" s="1570" customFormat="1" ht="12.75" hidden="1">
      <c r="A87" s="2063"/>
      <c r="B87" s="2118" t="s">
        <v>2985</v>
      </c>
      <c r="C87" s="2174"/>
      <c r="D87" s="2090"/>
      <c r="E87" s="2091"/>
      <c r="F87" s="2090"/>
      <c r="G87" s="2089"/>
      <c r="H87" s="2088"/>
      <c r="I87" s="2096"/>
      <c r="J87" s="2088"/>
      <c r="K87" s="2091"/>
      <c r="L87" s="2090"/>
      <c r="M87" s="2091">
        <v>682.48</v>
      </c>
      <c r="N87" s="2090"/>
      <c r="O87" s="2096"/>
      <c r="P87" s="2090"/>
      <c r="Q87" s="1048"/>
      <c r="R87" s="2192"/>
      <c r="S87" s="2195"/>
      <c r="T87" s="2192"/>
      <c r="U87" s="2195"/>
      <c r="V87" s="2063"/>
      <c r="W87" s="2212"/>
      <c r="X87" s="1591"/>
      <c r="Y87" s="2163"/>
      <c r="Z87" s="2063"/>
      <c r="AA87" s="2212"/>
      <c r="AB87" s="1591"/>
      <c r="AC87" s="2163"/>
      <c r="AD87" s="2241"/>
      <c r="AE87" s="2141"/>
      <c r="AF87" s="2241"/>
      <c r="AG87" s="2141"/>
      <c r="AH87" s="2132"/>
      <c r="AI87" s="2132"/>
      <c r="AJ87" s="2132"/>
      <c r="AK87" s="2132"/>
    </row>
    <row r="88" spans="1:37" s="1570" customFormat="1" ht="12.75" hidden="1">
      <c r="A88" s="2063"/>
      <c r="B88" s="2118" t="s">
        <v>2986</v>
      </c>
      <c r="C88" s="2174"/>
      <c r="D88" s="2090"/>
      <c r="E88" s="2091"/>
      <c r="F88" s="2090"/>
      <c r="G88" s="2089"/>
      <c r="H88" s="2088"/>
      <c r="I88" s="2096"/>
      <c r="J88" s="2088"/>
      <c r="K88" s="2091"/>
      <c r="L88" s="2090"/>
      <c r="M88" s="2091"/>
      <c r="N88" s="2090"/>
      <c r="O88" s="2096"/>
      <c r="P88" s="2090"/>
      <c r="Q88" s="1048"/>
      <c r="R88" s="2192"/>
      <c r="S88" s="2195"/>
      <c r="T88" s="2192"/>
      <c r="U88" s="2195"/>
      <c r="V88" s="2063"/>
      <c r="W88" s="2212"/>
      <c r="X88" s="397">
        <v>193871.81</v>
      </c>
      <c r="Y88" s="2163"/>
      <c r="Z88" s="2148">
        <v>193871.81</v>
      </c>
      <c r="AA88" s="2212"/>
      <c r="AB88" s="397"/>
      <c r="AC88" s="2163"/>
      <c r="AD88" s="2249"/>
      <c r="AE88" s="2141"/>
      <c r="AF88" s="2249"/>
      <c r="AG88" s="2141"/>
      <c r="AH88" s="2132"/>
      <c r="AI88" s="2132"/>
      <c r="AJ88" s="2132"/>
      <c r="AK88" s="2132"/>
    </row>
    <row r="89" spans="1:37" s="1570" customFormat="1" ht="12.75" hidden="1">
      <c r="A89" s="2063"/>
      <c r="B89" s="2118" t="s">
        <v>2987</v>
      </c>
      <c r="C89" s="2174"/>
      <c r="D89" s="2090"/>
      <c r="E89" s="2091"/>
      <c r="F89" s="2090"/>
      <c r="G89" s="2089"/>
      <c r="H89" s="2088"/>
      <c r="I89" s="2096"/>
      <c r="J89" s="2088"/>
      <c r="K89" s="2091"/>
      <c r="L89" s="2090"/>
      <c r="M89" s="2091"/>
      <c r="N89" s="2090"/>
      <c r="O89" s="2096"/>
      <c r="P89" s="2090"/>
      <c r="Q89" s="1048"/>
      <c r="R89" s="2192"/>
      <c r="S89" s="2195"/>
      <c r="T89" s="2192"/>
      <c r="U89" s="2195"/>
      <c r="V89" s="2063"/>
      <c r="W89" s="2212"/>
      <c r="X89" s="397">
        <v>156124.94</v>
      </c>
      <c r="Y89" s="2163"/>
      <c r="Z89" s="2148">
        <v>156124.94</v>
      </c>
      <c r="AA89" s="2212"/>
      <c r="AB89" s="397"/>
      <c r="AC89" s="2163"/>
      <c r="AD89" s="2249"/>
      <c r="AE89" s="2141"/>
      <c r="AF89" s="2249"/>
      <c r="AG89" s="2141"/>
      <c r="AH89" s="2132"/>
      <c r="AI89" s="2132"/>
      <c r="AJ89" s="2132"/>
      <c r="AK89" s="2132"/>
    </row>
    <row r="90" spans="1:37" s="1570" customFormat="1" ht="12.75" hidden="1">
      <c r="A90" s="2063"/>
      <c r="B90" s="2118" t="s">
        <v>2988</v>
      </c>
      <c r="C90" s="2174"/>
      <c r="D90" s="2090"/>
      <c r="E90" s="2091"/>
      <c r="F90" s="2090"/>
      <c r="G90" s="2089"/>
      <c r="H90" s="2088"/>
      <c r="I90" s="2096"/>
      <c r="J90" s="2088"/>
      <c r="K90" s="2091"/>
      <c r="L90" s="2090"/>
      <c r="M90" s="2091"/>
      <c r="N90" s="2090"/>
      <c r="O90" s="2096">
        <f>407.24+825.75</f>
        <v>1232.99</v>
      </c>
      <c r="P90" s="2090"/>
      <c r="Q90" s="1048"/>
      <c r="R90" s="2192"/>
      <c r="S90" s="2195"/>
      <c r="T90" s="2192"/>
      <c r="U90" s="2195"/>
      <c r="V90" s="2063"/>
      <c r="W90" s="2212"/>
      <c r="X90" s="1591"/>
      <c r="Y90" s="2163"/>
      <c r="Z90" s="2063"/>
      <c r="AA90" s="2212"/>
      <c r="AB90" s="1591"/>
      <c r="AC90" s="2163"/>
      <c r="AD90" s="2241"/>
      <c r="AE90" s="2141"/>
      <c r="AF90" s="2241"/>
      <c r="AG90" s="2141"/>
      <c r="AH90" s="2132"/>
      <c r="AI90" s="2132"/>
      <c r="AJ90" s="2132"/>
      <c r="AK90" s="2132"/>
    </row>
    <row r="91" spans="1:37" hidden="1">
      <c r="A91" s="2063"/>
      <c r="B91" s="2118" t="s">
        <v>2989</v>
      </c>
      <c r="C91" s="2174"/>
      <c r="D91" s="2090"/>
      <c r="E91" s="2091">
        <v>86500</v>
      </c>
      <c r="F91" s="2090"/>
      <c r="G91" s="2089"/>
      <c r="H91" s="2088"/>
      <c r="I91" s="2091">
        <v>86500</v>
      </c>
      <c r="J91" s="2088"/>
      <c r="K91" s="2091">
        <v>91924</v>
      </c>
      <c r="L91" s="2090"/>
      <c r="M91" s="2091">
        <v>141797</v>
      </c>
      <c r="N91" s="2090"/>
      <c r="O91" s="2096"/>
      <c r="P91" s="2090"/>
      <c r="Q91" s="1048">
        <v>141797</v>
      </c>
      <c r="R91" s="2192"/>
      <c r="S91" s="2195"/>
      <c r="T91" s="2192"/>
      <c r="U91" s="2195"/>
      <c r="V91" s="2148"/>
      <c r="W91" s="2205"/>
      <c r="X91" s="397"/>
      <c r="Y91" s="1486"/>
      <c r="Z91" s="2148"/>
      <c r="AA91" s="2205"/>
      <c r="AB91" s="397"/>
      <c r="AC91" s="1486"/>
      <c r="AD91" s="2243"/>
      <c r="AE91" s="2143"/>
      <c r="AF91" s="2243"/>
      <c r="AG91" s="2143"/>
    </row>
    <row r="92" spans="1:37" s="1570" customFormat="1" ht="24.75" hidden="1" customHeight="1">
      <c r="A92" s="2148"/>
      <c r="B92" s="583"/>
      <c r="C92" s="2180" t="s">
        <v>2969</v>
      </c>
      <c r="D92" s="2108">
        <f>E79-D79</f>
        <v>259.67999999999302</v>
      </c>
      <c r="E92" s="2091"/>
      <c r="F92" s="2119">
        <f>G79-F79</f>
        <v>-91924</v>
      </c>
      <c r="G92" s="2091"/>
      <c r="H92" s="2119">
        <f>I79-H79</f>
        <v>-829.27000000000407</v>
      </c>
      <c r="I92" s="2091"/>
      <c r="J92" s="2119">
        <f>K79-J79</f>
        <v>65.970000000001164</v>
      </c>
      <c r="K92" s="2091"/>
      <c r="L92" s="2119">
        <f>M79-L79</f>
        <v>65048.84</v>
      </c>
      <c r="M92" s="2091"/>
      <c r="N92" s="2119">
        <f>O79-N79</f>
        <v>-135439.04999999999</v>
      </c>
      <c r="O92" s="2091"/>
      <c r="P92" s="2119">
        <f>Q79-P79</f>
        <v>5107.9899999999907</v>
      </c>
      <c r="Q92" s="2092"/>
      <c r="R92" s="2203">
        <f>S79-R79</f>
        <v>-141797</v>
      </c>
      <c r="S92" s="2193"/>
      <c r="T92" s="2203"/>
      <c r="U92" s="2193"/>
      <c r="V92" s="2063"/>
      <c r="W92" s="2212"/>
      <c r="X92" s="1591"/>
      <c r="Y92" s="2163"/>
      <c r="Z92" s="2063"/>
      <c r="AA92" s="2212"/>
      <c r="AB92" s="1591"/>
      <c r="AC92" s="2163"/>
      <c r="AD92" s="2241"/>
      <c r="AE92" s="2141"/>
      <c r="AF92" s="2241"/>
      <c r="AG92" s="2141"/>
      <c r="AH92" s="2132"/>
      <c r="AI92" s="2132"/>
      <c r="AJ92" s="2132"/>
      <c r="AK92" s="2132"/>
    </row>
    <row r="93" spans="1:37" s="1570" customFormat="1" ht="12.75" hidden="1">
      <c r="A93" s="2259" t="s">
        <v>2990</v>
      </c>
      <c r="B93" s="2270"/>
      <c r="C93" s="2061" t="s">
        <v>2991</v>
      </c>
      <c r="D93" s="2261"/>
      <c r="E93" s="2274"/>
      <c r="F93" s="2263"/>
      <c r="G93" s="2272"/>
      <c r="H93" s="2261"/>
      <c r="I93" s="2262">
        <f>SUM(I95:I100)</f>
        <v>18418.5</v>
      </c>
      <c r="J93" s="2263"/>
      <c r="K93" s="2261">
        <f>SUM(K95:K100)</f>
        <v>9440.82</v>
      </c>
      <c r="L93" s="2263"/>
      <c r="M93" s="2262"/>
      <c r="N93" s="2263"/>
      <c r="O93" s="2262"/>
      <c r="P93" s="2263">
        <v>55147</v>
      </c>
      <c r="Q93" s="2261">
        <f>SUM(Q96:Q101)</f>
        <v>85062.59</v>
      </c>
      <c r="R93" s="2264">
        <v>55147</v>
      </c>
      <c r="S93" s="2265">
        <f>SUM(S96:S101)</f>
        <v>0</v>
      </c>
      <c r="T93" s="2264"/>
      <c r="U93" s="2265"/>
      <c r="V93" s="2259"/>
      <c r="W93" s="2277"/>
      <c r="X93" s="2278"/>
      <c r="Y93" s="2279"/>
      <c r="Z93" s="2259"/>
      <c r="AA93" s="2277"/>
      <c r="AB93" s="2278"/>
      <c r="AC93" s="2279"/>
      <c r="AD93" s="2280"/>
      <c r="AE93" s="2281"/>
      <c r="AF93" s="2280"/>
      <c r="AG93" s="2281"/>
      <c r="AH93" s="2132"/>
      <c r="AI93" s="2132"/>
      <c r="AJ93" s="2132"/>
      <c r="AK93" s="2132"/>
    </row>
    <row r="94" spans="1:37" s="1570" customFormat="1" ht="12.75" hidden="1">
      <c r="A94" s="2063"/>
      <c r="B94" s="583" t="s">
        <v>2992</v>
      </c>
      <c r="C94" s="2177"/>
      <c r="D94" s="2090"/>
      <c r="E94" s="2092"/>
      <c r="F94" s="2088"/>
      <c r="G94" s="2091"/>
      <c r="H94" s="2090"/>
      <c r="I94" s="2089"/>
      <c r="J94" s="2088"/>
      <c r="K94" s="2090"/>
      <c r="L94" s="2088"/>
      <c r="M94" s="2089"/>
      <c r="N94" s="2088"/>
      <c r="O94" s="2089"/>
      <c r="P94" s="2088"/>
      <c r="Q94" s="2092">
        <v>295.33999999999997</v>
      </c>
      <c r="R94" s="2192"/>
      <c r="S94" s="2193"/>
      <c r="T94" s="2192"/>
      <c r="U94" s="2193"/>
      <c r="V94" s="2063"/>
      <c r="W94" s="2212"/>
      <c r="X94" s="1591"/>
      <c r="Y94" s="2163"/>
      <c r="Z94" s="2063"/>
      <c r="AA94" s="2212"/>
      <c r="AB94" s="1591"/>
      <c r="AC94" s="2163"/>
      <c r="AD94" s="2241"/>
      <c r="AE94" s="2141"/>
      <c r="AF94" s="2241"/>
      <c r="AG94" s="2141"/>
      <c r="AH94" s="2132"/>
      <c r="AI94" s="2132"/>
      <c r="AJ94" s="2132"/>
      <c r="AK94" s="2132"/>
    </row>
    <row r="95" spans="1:37" s="1570" customFormat="1" ht="12.75" hidden="1">
      <c r="A95" s="2148"/>
      <c r="B95" s="2120" t="s">
        <v>2993</v>
      </c>
      <c r="C95" s="2177"/>
      <c r="D95" s="2090"/>
      <c r="E95" s="2092"/>
      <c r="F95" s="2088"/>
      <c r="G95" s="2091"/>
      <c r="H95" s="2090"/>
      <c r="I95" s="2091">
        <v>7291.73</v>
      </c>
      <c r="J95" s="2088"/>
      <c r="K95" s="2092">
        <v>4353.38</v>
      </c>
      <c r="L95" s="2088"/>
      <c r="M95" s="2091" t="s">
        <v>177</v>
      </c>
      <c r="N95" s="2088"/>
      <c r="O95" s="2096"/>
      <c r="P95" s="2088"/>
      <c r="Q95" s="1048"/>
      <c r="R95" s="2192"/>
      <c r="S95" s="2195"/>
      <c r="T95" s="2192"/>
      <c r="U95" s="2195"/>
      <c r="V95" s="2063"/>
      <c r="W95" s="2212"/>
      <c r="X95" s="1591"/>
      <c r="Y95" s="2163"/>
      <c r="Z95" s="2063"/>
      <c r="AA95" s="2212"/>
      <c r="AB95" s="1591"/>
      <c r="AC95" s="2163"/>
      <c r="AD95" s="2241"/>
      <c r="AE95" s="2141"/>
      <c r="AF95" s="2241"/>
      <c r="AG95" s="2141"/>
      <c r="AH95" s="2132"/>
      <c r="AI95" s="2132"/>
      <c r="AJ95" s="2132"/>
      <c r="AK95" s="2132"/>
    </row>
    <row r="96" spans="1:37" s="1570" customFormat="1" ht="12.75" hidden="1">
      <c r="A96" s="2148"/>
      <c r="B96" s="583" t="s">
        <v>2994</v>
      </c>
      <c r="C96" s="2177"/>
      <c r="D96" s="2090"/>
      <c r="E96" s="2092"/>
      <c r="F96" s="2088"/>
      <c r="G96" s="2091"/>
      <c r="H96" s="2090"/>
      <c r="I96" s="2091">
        <v>6348.07</v>
      </c>
      <c r="J96" s="2088"/>
      <c r="K96" s="2092">
        <v>5087.4399999999996</v>
      </c>
      <c r="L96" s="2088"/>
      <c r="M96" s="2091" t="s">
        <v>177</v>
      </c>
      <c r="N96" s="2088"/>
      <c r="O96" s="2096"/>
      <c r="P96" s="2088"/>
      <c r="Q96" s="1048"/>
      <c r="R96" s="2192"/>
      <c r="S96" s="2195"/>
      <c r="T96" s="2192"/>
      <c r="U96" s="2195"/>
      <c r="V96" s="2063"/>
      <c r="W96" s="2212"/>
      <c r="X96" s="1591"/>
      <c r="Y96" s="2163"/>
      <c r="Z96" s="2063"/>
      <c r="AA96" s="2212"/>
      <c r="AB96" s="1591"/>
      <c r="AC96" s="2163"/>
      <c r="AD96" s="2241"/>
      <c r="AE96" s="2141"/>
      <c r="AF96" s="2241"/>
      <c r="AG96" s="2141"/>
      <c r="AH96" s="2132"/>
      <c r="AI96" s="2132"/>
      <c r="AJ96" s="2132"/>
      <c r="AK96" s="2132"/>
    </row>
    <row r="97" spans="1:37" s="1570" customFormat="1" ht="12.75" hidden="1">
      <c r="A97" s="2148"/>
      <c r="B97" s="583" t="s">
        <v>2995</v>
      </c>
      <c r="C97" s="2177"/>
      <c r="D97" s="2090"/>
      <c r="E97" s="2092"/>
      <c r="F97" s="2088"/>
      <c r="G97" s="2091"/>
      <c r="H97" s="2090"/>
      <c r="I97" s="2091">
        <v>4778.7</v>
      </c>
      <c r="J97" s="2088"/>
      <c r="K97" s="2092"/>
      <c r="L97" s="2088"/>
      <c r="M97" s="2091" t="s">
        <v>177</v>
      </c>
      <c r="N97" s="2088"/>
      <c r="O97" s="2096"/>
      <c r="P97" s="2088"/>
      <c r="Q97" s="1048"/>
      <c r="R97" s="2192"/>
      <c r="S97" s="2195"/>
      <c r="T97" s="2192"/>
      <c r="U97" s="2195"/>
      <c r="V97" s="2063"/>
      <c r="W97" s="2212"/>
      <c r="X97" s="1591"/>
      <c r="Y97" s="2163"/>
      <c r="Z97" s="2063"/>
      <c r="AA97" s="2212"/>
      <c r="AB97" s="1591"/>
      <c r="AC97" s="2163"/>
      <c r="AD97" s="2241"/>
      <c r="AE97" s="2141"/>
      <c r="AF97" s="2241"/>
      <c r="AG97" s="2141"/>
      <c r="AH97" s="2132"/>
      <c r="AI97" s="2132"/>
      <c r="AJ97" s="2132"/>
      <c r="AK97" s="2132"/>
    </row>
    <row r="98" spans="1:37" s="1570" customFormat="1" ht="12.75" hidden="1">
      <c r="A98" s="2148"/>
      <c r="B98" s="583" t="s">
        <v>2996</v>
      </c>
      <c r="C98" s="2177"/>
      <c r="D98" s="2090"/>
      <c r="E98" s="2092"/>
      <c r="F98" s="2088"/>
      <c r="G98" s="2091"/>
      <c r="H98" s="2090"/>
      <c r="I98" s="2091"/>
      <c r="J98" s="2088"/>
      <c r="K98" s="2092"/>
      <c r="L98" s="2088"/>
      <c r="M98" s="2091">
        <v>1900</v>
      </c>
      <c r="N98" s="2088"/>
      <c r="O98" s="2096"/>
      <c r="P98" s="2088"/>
      <c r="Q98" s="1048"/>
      <c r="R98" s="2192"/>
      <c r="S98" s="2195"/>
      <c r="T98" s="2192"/>
      <c r="U98" s="2195"/>
      <c r="V98" s="2063"/>
      <c r="W98" s="2212"/>
      <c r="X98" s="1591"/>
      <c r="Y98" s="2163"/>
      <c r="Z98" s="2063"/>
      <c r="AA98" s="2212"/>
      <c r="AB98" s="1591"/>
      <c r="AC98" s="2163"/>
      <c r="AD98" s="2241"/>
      <c r="AE98" s="2141"/>
      <c r="AF98" s="2241"/>
      <c r="AG98" s="2141"/>
      <c r="AH98" s="2132"/>
      <c r="AI98" s="2132"/>
      <c r="AJ98" s="2132"/>
      <c r="AK98" s="2132"/>
    </row>
    <row r="99" spans="1:37" s="1570" customFormat="1" ht="12.75" hidden="1">
      <c r="A99" s="2148"/>
      <c r="B99" s="583" t="s">
        <v>2997</v>
      </c>
      <c r="C99" s="2177"/>
      <c r="D99" s="2090"/>
      <c r="E99" s="2092"/>
      <c r="F99" s="2088"/>
      <c r="G99" s="2091"/>
      <c r="H99" s="2090"/>
      <c r="I99" s="2091"/>
      <c r="J99" s="2088"/>
      <c r="K99" s="2092"/>
      <c r="L99" s="2088"/>
      <c r="M99" s="2091">
        <f>3294.94+4842.4</f>
        <v>8137.34</v>
      </c>
      <c r="N99" s="2088"/>
      <c r="O99" s="2096">
        <v>3766.05</v>
      </c>
      <c r="P99" s="2088"/>
      <c r="Q99" s="1048"/>
      <c r="R99" s="2192"/>
      <c r="S99" s="2195"/>
      <c r="T99" s="2192"/>
      <c r="U99" s="2195"/>
      <c r="V99" s="2063"/>
      <c r="W99" s="2212"/>
      <c r="X99" s="1591"/>
      <c r="Y99" s="2163"/>
      <c r="Z99" s="2063"/>
      <c r="AA99" s="2212"/>
      <c r="AB99" s="1591"/>
      <c r="AC99" s="2163"/>
      <c r="AD99" s="2241"/>
      <c r="AE99" s="2141"/>
      <c r="AF99" s="2241"/>
      <c r="AG99" s="2141"/>
      <c r="AH99" s="2132"/>
      <c r="AI99" s="2132"/>
      <c r="AJ99" s="2132"/>
      <c r="AK99" s="2132"/>
    </row>
    <row r="100" spans="1:37" hidden="1">
      <c r="A100" s="2148"/>
      <c r="B100" s="583" t="s">
        <v>2998</v>
      </c>
      <c r="C100" s="2177"/>
      <c r="D100" s="2090"/>
      <c r="E100" s="2092"/>
      <c r="F100" s="2088"/>
      <c r="G100" s="2091"/>
      <c r="H100" s="2090"/>
      <c r="I100" s="2091"/>
      <c r="J100" s="2088"/>
      <c r="K100" s="2092"/>
      <c r="L100" s="2088"/>
      <c r="M100" s="2096">
        <v>5371.9</v>
      </c>
      <c r="N100" s="2088"/>
      <c r="O100" s="2096"/>
      <c r="P100" s="2088"/>
      <c r="Q100" s="1048"/>
      <c r="R100" s="2192"/>
      <c r="S100" s="2195"/>
      <c r="T100" s="2192"/>
      <c r="U100" s="2195"/>
      <c r="V100" s="2148"/>
      <c r="W100" s="2205"/>
      <c r="X100" s="397"/>
      <c r="Y100" s="1486"/>
      <c r="Z100" s="2148"/>
      <c r="AA100" s="2205"/>
      <c r="AB100" s="397"/>
      <c r="AC100" s="1486"/>
      <c r="AD100" s="2243"/>
      <c r="AE100" s="2143"/>
      <c r="AF100" s="2243"/>
      <c r="AG100" s="2143"/>
    </row>
    <row r="101" spans="1:37" hidden="1">
      <c r="A101" s="2148"/>
      <c r="B101" s="583" t="s">
        <v>2999</v>
      </c>
      <c r="C101" s="2177"/>
      <c r="D101" s="2090"/>
      <c r="E101" s="2092"/>
      <c r="F101" s="2088"/>
      <c r="G101" s="2091"/>
      <c r="H101" s="2090"/>
      <c r="I101" s="2091"/>
      <c r="J101" s="2088"/>
      <c r="K101" s="2092"/>
      <c r="L101" s="2088"/>
      <c r="M101" s="2096"/>
      <c r="N101" s="2088"/>
      <c r="O101" s="2096">
        <v>13787</v>
      </c>
      <c r="P101" s="2088"/>
      <c r="Q101" s="1048">
        <f>5377.04+79685.55</f>
        <v>85062.59</v>
      </c>
      <c r="R101" s="2192"/>
      <c r="S101" s="2195"/>
      <c r="T101" s="2192"/>
      <c r="U101" s="2195"/>
      <c r="V101" s="2148"/>
      <c r="W101" s="2205"/>
      <c r="X101" s="397"/>
      <c r="Y101" s="1486"/>
      <c r="Z101" s="2148"/>
      <c r="AA101" s="2205"/>
      <c r="AB101" s="397"/>
      <c r="AC101" s="1486"/>
      <c r="AD101" s="2243"/>
      <c r="AE101" s="2143"/>
      <c r="AF101" s="2243"/>
      <c r="AG101" s="2143"/>
    </row>
    <row r="102" spans="1:37" s="1570" customFormat="1" ht="12.75" hidden="1">
      <c r="A102" s="2148"/>
      <c r="B102" s="583"/>
      <c r="C102" s="2180"/>
      <c r="D102" s="2108"/>
      <c r="E102" s="2092"/>
      <c r="F102" s="2088"/>
      <c r="G102" s="2091"/>
      <c r="H102" s="2108"/>
      <c r="I102" s="2091"/>
      <c r="J102" s="2119"/>
      <c r="K102" s="2092"/>
      <c r="L102" s="2088"/>
      <c r="M102" s="2091"/>
      <c r="N102" s="2088"/>
      <c r="O102" s="2091"/>
      <c r="P102" s="2119">
        <f>P93-Q93</f>
        <v>-29915.589999999997</v>
      </c>
      <c r="Q102" s="2092"/>
      <c r="R102" s="2203">
        <f>R93-S93</f>
        <v>55147</v>
      </c>
      <c r="S102" s="2193"/>
      <c r="T102" s="2203"/>
      <c r="U102" s="2193"/>
      <c r="V102" s="2063"/>
      <c r="W102" s="2212"/>
      <c r="X102" s="1591"/>
      <c r="Y102" s="2163"/>
      <c r="Z102" s="2063"/>
      <c r="AA102" s="2212"/>
      <c r="AB102" s="1591"/>
      <c r="AC102" s="2163"/>
      <c r="AD102" s="2241"/>
      <c r="AE102" s="2141"/>
      <c r="AF102" s="2241"/>
      <c r="AG102" s="2141"/>
      <c r="AH102" s="2132"/>
      <c r="AI102" s="2132"/>
      <c r="AJ102" s="2132"/>
      <c r="AK102" s="2132"/>
    </row>
    <row r="103" spans="1:37" s="1570" customFormat="1" ht="12.75">
      <c r="A103" s="2008" t="s">
        <v>8119</v>
      </c>
      <c r="B103" s="2069"/>
      <c r="C103" s="2295" t="s">
        <v>7323</v>
      </c>
      <c r="D103" s="2084"/>
      <c r="E103" s="2188"/>
      <c r="F103" s="2082"/>
      <c r="G103" s="2098"/>
      <c r="H103" s="2084"/>
      <c r="I103" s="2188"/>
      <c r="J103" s="2082"/>
      <c r="K103" s="2098"/>
      <c r="L103" s="2082"/>
      <c r="M103" s="2188"/>
      <c r="N103" s="2082">
        <v>5868</v>
      </c>
      <c r="O103" s="2083">
        <f>SUM(O105:O108)</f>
        <v>14276.189999999999</v>
      </c>
      <c r="P103" s="2082">
        <v>2118</v>
      </c>
      <c r="Q103" s="2084">
        <f>SUM(Q105:Q108)</f>
        <v>8299.56</v>
      </c>
      <c r="R103" s="2190">
        <v>2118</v>
      </c>
      <c r="S103" s="2191">
        <f>SUM(S105:S108)</f>
        <v>5536.24</v>
      </c>
      <c r="T103" s="2190">
        <v>2118</v>
      </c>
      <c r="U103" s="2191">
        <f>SUM(U105:U108)</f>
        <v>6364.06</v>
      </c>
      <c r="V103" s="2008"/>
      <c r="W103" s="2211">
        <f>SUM(W105:W108)</f>
        <v>6512.56</v>
      </c>
      <c r="X103" s="2022"/>
      <c r="Y103" s="2230">
        <f>SUM(Y104:Y108)</f>
        <v>6457.85</v>
      </c>
      <c r="Z103" s="2008"/>
      <c r="AA103" s="2211">
        <f>SUM(AA105:AA108)</f>
        <v>6632.47</v>
      </c>
      <c r="AB103" s="2022"/>
      <c r="AC103" s="2230">
        <f>SUM(AC105:AC108)</f>
        <v>6771.7199999999993</v>
      </c>
      <c r="AD103" s="2240"/>
      <c r="AE103" s="2086">
        <f>SUM(AE105:AE108)</f>
        <v>6740.47</v>
      </c>
      <c r="AF103" s="2240"/>
      <c r="AG103" s="2086">
        <f>SUM(AG105:AG108)</f>
        <v>5874.24</v>
      </c>
      <c r="AH103" s="3881"/>
      <c r="AI103" s="3550">
        <f>SUM(AI105:AI108)</f>
        <v>12867.05</v>
      </c>
      <c r="AJ103" s="3881"/>
      <c r="AK103" s="2086">
        <f>SUM(AK104:AK109)</f>
        <v>0</v>
      </c>
    </row>
    <row r="104" spans="1:37" s="1570" customFormat="1" ht="12.75">
      <c r="A104" s="2063"/>
      <c r="B104" s="583" t="s">
        <v>3000</v>
      </c>
      <c r="C104" s="2177"/>
      <c r="D104" s="2090"/>
      <c r="E104" s="2092"/>
      <c r="F104" s="2088"/>
      <c r="G104" s="2091"/>
      <c r="H104" s="2090"/>
      <c r="I104" s="2092"/>
      <c r="J104" s="2088"/>
      <c r="K104" s="2091"/>
      <c r="L104" s="2088"/>
      <c r="M104" s="2092"/>
      <c r="N104" s="2088"/>
      <c r="O104" s="2089"/>
      <c r="P104" s="2088"/>
      <c r="Q104" s="2090"/>
      <c r="R104" s="2192"/>
      <c r="S104" s="2204"/>
      <c r="T104" s="2192"/>
      <c r="U104" s="2204"/>
      <c r="V104" s="2063"/>
      <c r="W104" s="2212">
        <v>140.5</v>
      </c>
      <c r="X104" s="1591"/>
      <c r="Y104" s="2163"/>
      <c r="Z104" s="2063"/>
      <c r="AA104" s="2212"/>
      <c r="AB104" s="1591"/>
      <c r="AC104" s="2163"/>
      <c r="AD104" s="2241"/>
      <c r="AE104" s="2141"/>
      <c r="AF104" s="2241"/>
      <c r="AG104" s="2141"/>
      <c r="AH104" s="3882"/>
      <c r="AI104" s="2277"/>
      <c r="AJ104" s="3883"/>
      <c r="AK104" s="2212"/>
    </row>
    <row r="105" spans="1:37" s="1570" customFormat="1" ht="12.75">
      <c r="A105" s="2063"/>
      <c r="B105" s="583" t="s">
        <v>602</v>
      </c>
      <c r="C105" s="2177"/>
      <c r="D105" s="2090"/>
      <c r="E105" s="2092"/>
      <c r="F105" s="2088"/>
      <c r="G105" s="2091"/>
      <c r="H105" s="2090"/>
      <c r="I105" s="2092"/>
      <c r="J105" s="2088"/>
      <c r="K105" s="2091"/>
      <c r="L105" s="2088"/>
      <c r="M105" s="2092"/>
      <c r="N105" s="2088"/>
      <c r="O105" s="2091">
        <v>1517.58</v>
      </c>
      <c r="P105" s="2088"/>
      <c r="Q105" s="2092">
        <f>1913.77</f>
        <v>1913.77</v>
      </c>
      <c r="R105" s="2192"/>
      <c r="S105" s="2195">
        <v>1278.95</v>
      </c>
      <c r="T105" s="2192"/>
      <c r="U105" s="2195">
        <f>1284.62+140.5</f>
        <v>1425.12</v>
      </c>
      <c r="V105" s="2063"/>
      <c r="W105" s="2205">
        <v>1598.66</v>
      </c>
      <c r="X105" s="1591"/>
      <c r="Y105" s="1486">
        <v>1537.15</v>
      </c>
      <c r="Z105" s="2063"/>
      <c r="AA105" s="2205">
        <f>1573.36</f>
        <v>1573.36</v>
      </c>
      <c r="AB105" s="1591"/>
      <c r="AC105" s="1486">
        <v>1616.03</v>
      </c>
      <c r="AD105" s="2241"/>
      <c r="AE105" s="2142">
        <v>1621.5</v>
      </c>
      <c r="AF105" s="2241"/>
      <c r="AG105" s="2142">
        <v>1665.41</v>
      </c>
      <c r="AH105" s="3883"/>
      <c r="AI105" s="2212"/>
      <c r="AJ105" s="3883"/>
      <c r="AK105" s="2212"/>
    </row>
    <row r="106" spans="1:37" s="1570" customFormat="1" ht="12.75">
      <c r="A106" s="2063"/>
      <c r="B106" s="583" t="s">
        <v>784</v>
      </c>
      <c r="C106" s="2177"/>
      <c r="D106" s="2090"/>
      <c r="E106" s="2092"/>
      <c r="F106" s="2088"/>
      <c r="G106" s="2091"/>
      <c r="H106" s="2090"/>
      <c r="I106" s="2092"/>
      <c r="J106" s="2088"/>
      <c r="K106" s="2091"/>
      <c r="L106" s="2088"/>
      <c r="M106" s="2092"/>
      <c r="N106" s="2088"/>
      <c r="O106" s="2091">
        <v>1537.67</v>
      </c>
      <c r="P106" s="2088"/>
      <c r="Q106" s="2092">
        <v>1918.43</v>
      </c>
      <c r="R106" s="2192"/>
      <c r="S106" s="2195">
        <v>1278.95</v>
      </c>
      <c r="T106" s="2192"/>
      <c r="U106" s="2195">
        <v>1568.38</v>
      </c>
      <c r="V106" s="2063"/>
      <c r="W106" s="2205">
        <v>1613.81</v>
      </c>
      <c r="X106" s="1591"/>
      <c r="Y106" s="1486">
        <v>1496.88</v>
      </c>
      <c r="Z106" s="2063"/>
      <c r="AA106" s="2205">
        <v>1573.36</v>
      </c>
      <c r="AB106" s="1591"/>
      <c r="AC106" s="1486">
        <v>1621.62</v>
      </c>
      <c r="AD106" s="2241"/>
      <c r="AE106" s="2142">
        <v>1543.75</v>
      </c>
      <c r="AF106" s="2241"/>
      <c r="AG106" s="2142">
        <f>1671.11+477.49</f>
        <v>2148.6</v>
      </c>
      <c r="AH106" s="3883"/>
      <c r="AI106" s="2205">
        <f>1798.56+12.99+1815.54</f>
        <v>3627.09</v>
      </c>
      <c r="AJ106" s="3883"/>
      <c r="AK106" s="2212"/>
    </row>
    <row r="107" spans="1:37" s="1570" customFormat="1" ht="12.75">
      <c r="A107" s="2148"/>
      <c r="B107" s="583" t="s">
        <v>604</v>
      </c>
      <c r="C107" s="2177" t="s">
        <v>3001</v>
      </c>
      <c r="D107" s="2090"/>
      <c r="E107" s="2092"/>
      <c r="F107" s="2088"/>
      <c r="G107" s="2091"/>
      <c r="H107" s="2090"/>
      <c r="I107" s="2092"/>
      <c r="J107" s="2088"/>
      <c r="K107" s="2091"/>
      <c r="L107" s="2088"/>
      <c r="M107" s="2092"/>
      <c r="N107" s="2088"/>
      <c r="O107" s="2091">
        <f>1101.76+1525.05+2630.58</f>
        <v>5257.3899999999994</v>
      </c>
      <c r="P107" s="2088"/>
      <c r="Q107" s="2092">
        <v>1918.43</v>
      </c>
      <c r="R107" s="2192"/>
      <c r="S107" s="2195">
        <v>1278.96</v>
      </c>
      <c r="T107" s="2192"/>
      <c r="U107" s="2195">
        <v>1568.38</v>
      </c>
      <c r="V107" s="2063"/>
      <c r="W107" s="2205">
        <f>29.53+1468.38</f>
        <v>1497.91</v>
      </c>
      <c r="X107" s="1591"/>
      <c r="Y107" s="1486">
        <v>1573.24</v>
      </c>
      <c r="Z107" s="2063"/>
      <c r="AA107" s="2205">
        <v>1573.24</v>
      </c>
      <c r="AB107" s="1591"/>
      <c r="AC107" s="1486">
        <v>1621.5</v>
      </c>
      <c r="AD107" s="2241"/>
      <c r="AE107" s="2142">
        <f>1653.89</f>
        <v>1653.89</v>
      </c>
      <c r="AF107" s="2241"/>
      <c r="AG107" s="2142">
        <v>1670.98</v>
      </c>
      <c r="AH107" s="3883"/>
      <c r="AI107" s="2205">
        <f>2031.72+1736.57+6.74</f>
        <v>3775.0299999999997</v>
      </c>
      <c r="AJ107" s="3883"/>
      <c r="AK107" s="2212"/>
    </row>
    <row r="108" spans="1:37" s="1570" customFormat="1" ht="13.5" thickBot="1">
      <c r="A108" s="2148"/>
      <c r="B108" s="583" t="s">
        <v>605</v>
      </c>
      <c r="C108" s="2177" t="s">
        <v>7770</v>
      </c>
      <c r="D108" s="2090"/>
      <c r="E108" s="2092"/>
      <c r="F108" s="2088"/>
      <c r="G108" s="2091"/>
      <c r="H108" s="2090"/>
      <c r="I108" s="2092"/>
      <c r="J108" s="2088"/>
      <c r="K108" s="2091"/>
      <c r="L108" s="2088"/>
      <c r="M108" s="2092"/>
      <c r="N108" s="2088"/>
      <c r="O108" s="2091">
        <f>1778.65+985.6+3199.3</f>
        <v>5963.55</v>
      </c>
      <c r="P108" s="2088"/>
      <c r="Q108" s="1048">
        <v>2548.9299999999998</v>
      </c>
      <c r="R108" s="2192"/>
      <c r="S108" s="2195">
        <v>1699.38</v>
      </c>
      <c r="T108" s="2192"/>
      <c r="U108" s="2195">
        <v>1802.18</v>
      </c>
      <c r="V108" s="2063"/>
      <c r="W108" s="2205">
        <v>1802.18</v>
      </c>
      <c r="X108" s="1591"/>
      <c r="Y108" s="1486">
        <v>1850.58</v>
      </c>
      <c r="Z108" s="2063"/>
      <c r="AA108" s="2205">
        <v>1912.51</v>
      </c>
      <c r="AB108" s="1591"/>
      <c r="AC108" s="1486">
        <v>1912.57</v>
      </c>
      <c r="AD108" s="2241"/>
      <c r="AE108" s="2142">
        <v>1921.33</v>
      </c>
      <c r="AF108" s="2241"/>
      <c r="AG108" s="2142">
        <f>389.25</f>
        <v>389.25</v>
      </c>
      <c r="AH108" s="3883"/>
      <c r="AI108" s="2205">
        <f>348.27+2300.33+2816.33</f>
        <v>5464.93</v>
      </c>
      <c r="AJ108" s="3883"/>
      <c r="AK108" s="2212"/>
    </row>
    <row r="109" spans="1:37" s="1570" customFormat="1" ht="12.75">
      <c r="A109" s="2148"/>
      <c r="B109" s="583"/>
      <c r="C109" s="2177" t="s">
        <v>8120</v>
      </c>
      <c r="D109" s="2090"/>
      <c r="E109" s="2092"/>
      <c r="F109" s="2088"/>
      <c r="G109" s="2091"/>
      <c r="H109" s="2090"/>
      <c r="I109" s="2092"/>
      <c r="J109" s="2088"/>
      <c r="K109" s="2091"/>
      <c r="L109" s="2088"/>
      <c r="M109" s="2092"/>
      <c r="N109" s="2119">
        <f>O103-N103</f>
        <v>8408.1899999999987</v>
      </c>
      <c r="O109" s="2091"/>
      <c r="P109" s="2119">
        <f>Q103-P103</f>
        <v>6181.5599999999995</v>
      </c>
      <c r="Q109" s="2092"/>
      <c r="R109" s="2203">
        <f>S103-R103</f>
        <v>3418.24</v>
      </c>
      <c r="S109" s="2193"/>
      <c r="T109" s="2203">
        <f>U103-T103</f>
        <v>4246.0600000000004</v>
      </c>
      <c r="U109" s="2193"/>
      <c r="V109" s="2063"/>
      <c r="W109" s="2212"/>
      <c r="X109" s="1591"/>
      <c r="Y109" s="2163"/>
      <c r="Z109" s="2063"/>
      <c r="AA109" s="2212"/>
      <c r="AB109" s="1591"/>
      <c r="AC109" s="2163"/>
      <c r="AD109" s="2241"/>
      <c r="AE109" s="2141"/>
      <c r="AF109" s="2241"/>
      <c r="AG109" s="2141"/>
      <c r="AH109" s="3884"/>
      <c r="AI109" s="3885"/>
      <c r="AJ109" s="3884"/>
      <c r="AK109" s="3885"/>
    </row>
    <row r="110" spans="1:37" s="1570" customFormat="1" ht="12.75">
      <c r="A110" s="2008" t="s">
        <v>8157</v>
      </c>
      <c r="B110" s="2069"/>
      <c r="C110" s="2295" t="s">
        <v>7409</v>
      </c>
      <c r="D110" s="2084"/>
      <c r="E110" s="2188"/>
      <c r="F110" s="2082"/>
      <c r="G110" s="2098"/>
      <c r="H110" s="2084"/>
      <c r="I110" s="2188"/>
      <c r="J110" s="2082"/>
      <c r="K110" s="2098"/>
      <c r="L110" s="2082"/>
      <c r="M110" s="2188"/>
      <c r="N110" s="2082">
        <v>5868</v>
      </c>
      <c r="O110" s="2083">
        <f>SUM(O112:O115)</f>
        <v>12758.61</v>
      </c>
      <c r="P110" s="2082">
        <v>2118</v>
      </c>
      <c r="Q110" s="2084">
        <f>SUM(Q112:Q115)</f>
        <v>6385.79</v>
      </c>
      <c r="R110" s="2190">
        <v>2118</v>
      </c>
      <c r="S110" s="2191">
        <f>SUM(S112:S115)</f>
        <v>4257.29</v>
      </c>
      <c r="T110" s="2190">
        <v>2118</v>
      </c>
      <c r="U110" s="2191">
        <f>SUM(U112:U115)</f>
        <v>4938.9400000000005</v>
      </c>
      <c r="V110" s="2008"/>
      <c r="W110" s="2211">
        <f>SUM(W112:W115)</f>
        <v>0</v>
      </c>
      <c r="X110" s="2022"/>
      <c r="Y110" s="2230">
        <f>SUM(Y111:Y115)</f>
        <v>0</v>
      </c>
      <c r="Z110" s="2008"/>
      <c r="AA110" s="2211">
        <f>SUM(AA112:AA115)</f>
        <v>0</v>
      </c>
      <c r="AB110" s="2022"/>
      <c r="AC110" s="2230">
        <f>SUM(AC112:AC115)</f>
        <v>0</v>
      </c>
      <c r="AD110" s="2240"/>
      <c r="AE110" s="2086">
        <f>SUM(AE112:AE115)</f>
        <v>0</v>
      </c>
      <c r="AF110" s="2240"/>
      <c r="AG110" s="2086">
        <f>SUM(AG112:AG115)</f>
        <v>0</v>
      </c>
      <c r="AH110" s="3881"/>
      <c r="AI110" s="2086">
        <f>SUM(AI112:AI115)</f>
        <v>0</v>
      </c>
      <c r="AJ110" s="3881"/>
      <c r="AK110" s="2086">
        <f>SUM(AK111:AK115)</f>
        <v>0</v>
      </c>
    </row>
    <row r="111" spans="1:37" s="1570" customFormat="1" ht="12.75">
      <c r="A111" s="2063"/>
      <c r="B111" s="583" t="s">
        <v>602</v>
      </c>
      <c r="C111" s="2177"/>
      <c r="D111" s="2090"/>
      <c r="E111" s="2092"/>
      <c r="F111" s="2088"/>
      <c r="G111" s="2091"/>
      <c r="H111" s="2090"/>
      <c r="I111" s="2092"/>
      <c r="J111" s="2088"/>
      <c r="K111" s="2091"/>
      <c r="L111" s="2088"/>
      <c r="M111" s="2092"/>
      <c r="N111" s="2088"/>
      <c r="O111" s="2091">
        <v>1517.58</v>
      </c>
      <c r="P111" s="2088"/>
      <c r="Q111" s="2092">
        <f>1913.77</f>
        <v>1913.77</v>
      </c>
      <c r="R111" s="2192"/>
      <c r="S111" s="2195">
        <v>1278.95</v>
      </c>
      <c r="T111" s="2192"/>
      <c r="U111" s="2195">
        <f>1284.62+140.5</f>
        <v>1425.12</v>
      </c>
      <c r="V111" s="2063"/>
      <c r="W111" s="2205"/>
      <c r="X111" s="1591"/>
      <c r="Y111" s="1486"/>
      <c r="Z111" s="2063"/>
      <c r="AA111" s="2205"/>
      <c r="AB111" s="1591"/>
      <c r="AC111" s="1486"/>
      <c r="AD111" s="2241"/>
      <c r="AE111" s="2142"/>
      <c r="AF111" s="2241"/>
      <c r="AG111" s="2142"/>
      <c r="AH111" s="3883"/>
      <c r="AI111" s="2212"/>
      <c r="AJ111" s="3883"/>
      <c r="AK111" s="2212"/>
    </row>
    <row r="112" spans="1:37" s="1570" customFormat="1" ht="12.75">
      <c r="A112" s="2063"/>
      <c r="B112" s="583" t="s">
        <v>784</v>
      </c>
      <c r="C112" s="2177"/>
      <c r="D112" s="2090"/>
      <c r="E112" s="2092"/>
      <c r="F112" s="2088"/>
      <c r="G112" s="2091"/>
      <c r="H112" s="2090"/>
      <c r="I112" s="2092"/>
      <c r="J112" s="2088"/>
      <c r="K112" s="2091"/>
      <c r="L112" s="2088"/>
      <c r="M112" s="2092"/>
      <c r="N112" s="2088"/>
      <c r="O112" s="2091">
        <v>1537.67</v>
      </c>
      <c r="P112" s="2088"/>
      <c r="Q112" s="2092">
        <v>1918.43</v>
      </c>
      <c r="R112" s="2192"/>
      <c r="S112" s="2195">
        <v>1278.95</v>
      </c>
      <c r="T112" s="2192"/>
      <c r="U112" s="2195">
        <v>1568.38</v>
      </c>
      <c r="V112" s="2063"/>
      <c r="W112" s="2205"/>
      <c r="X112" s="1591"/>
      <c r="Y112" s="1486"/>
      <c r="Z112" s="2063"/>
      <c r="AA112" s="2205"/>
      <c r="AB112" s="1591"/>
      <c r="AC112" s="1486"/>
      <c r="AD112" s="2241"/>
      <c r="AE112" s="2142"/>
      <c r="AF112" s="2241"/>
      <c r="AG112" s="2142"/>
      <c r="AH112" s="3883"/>
      <c r="AI112" s="2205"/>
      <c r="AJ112" s="3883"/>
      <c r="AK112" s="2212"/>
    </row>
    <row r="113" spans="1:37" s="1570" customFormat="1" ht="12.75">
      <c r="A113" s="2148"/>
      <c r="B113" s="583" t="s">
        <v>604</v>
      </c>
      <c r="C113" s="2177"/>
      <c r="D113" s="2090"/>
      <c r="E113" s="2092"/>
      <c r="F113" s="2088"/>
      <c r="G113" s="2091"/>
      <c r="H113" s="2090"/>
      <c r="I113" s="2092"/>
      <c r="J113" s="2088"/>
      <c r="K113" s="2091"/>
      <c r="L113" s="2088"/>
      <c r="M113" s="2092"/>
      <c r="N113" s="2088"/>
      <c r="O113" s="2091">
        <f>1101.76+1525.05+2630.58</f>
        <v>5257.3899999999994</v>
      </c>
      <c r="P113" s="2088"/>
      <c r="Q113" s="2092">
        <v>1918.43</v>
      </c>
      <c r="R113" s="2192"/>
      <c r="S113" s="2195">
        <v>1278.96</v>
      </c>
      <c r="T113" s="2192"/>
      <c r="U113" s="2195">
        <v>1568.38</v>
      </c>
      <c r="V113" s="2063"/>
      <c r="W113" s="2205"/>
      <c r="X113" s="1591"/>
      <c r="Y113" s="1486"/>
      <c r="Z113" s="2063"/>
      <c r="AA113" s="2205"/>
      <c r="AB113" s="1591"/>
      <c r="AC113" s="1486"/>
      <c r="AD113" s="2241"/>
      <c r="AE113" s="2142"/>
      <c r="AF113" s="2241"/>
      <c r="AG113" s="2142"/>
      <c r="AH113" s="3883"/>
      <c r="AI113" s="2205"/>
      <c r="AJ113" s="3883"/>
      <c r="AK113" s="2212"/>
    </row>
    <row r="114" spans="1:37" s="1570" customFormat="1" ht="13.5" thickBot="1">
      <c r="A114" s="2148"/>
      <c r="B114" s="583" t="s">
        <v>605</v>
      </c>
      <c r="C114" s="2177" t="s">
        <v>8158</v>
      </c>
      <c r="D114" s="2090"/>
      <c r="E114" s="2092"/>
      <c r="F114" s="2088"/>
      <c r="G114" s="2091"/>
      <c r="H114" s="2090"/>
      <c r="I114" s="2092"/>
      <c r="J114" s="2088"/>
      <c r="K114" s="2091"/>
      <c r="L114" s="2088"/>
      <c r="M114" s="2092"/>
      <c r="N114" s="2088"/>
      <c r="O114" s="2091">
        <f>1778.65+985.6+3199.3</f>
        <v>5963.55</v>
      </c>
      <c r="P114" s="2088"/>
      <c r="Q114" s="1048">
        <v>2548.9299999999998</v>
      </c>
      <c r="R114" s="2192"/>
      <c r="S114" s="2195">
        <v>1699.38</v>
      </c>
      <c r="T114" s="2192"/>
      <c r="U114" s="2195">
        <v>1802.18</v>
      </c>
      <c r="V114" s="2063"/>
      <c r="W114" s="2205"/>
      <c r="X114" s="1591"/>
      <c r="Y114" s="1486"/>
      <c r="Z114" s="2063"/>
      <c r="AA114" s="2205"/>
      <c r="AB114" s="1591"/>
      <c r="AC114" s="1486"/>
      <c r="AD114" s="2241"/>
      <c r="AE114" s="2142"/>
      <c r="AF114" s="2241"/>
      <c r="AG114" s="2142"/>
      <c r="AH114" s="3883"/>
      <c r="AI114" s="2212"/>
      <c r="AJ114" s="3883"/>
      <c r="AK114" s="2212"/>
    </row>
    <row r="115" spans="1:37" s="1570" customFormat="1" ht="12.75">
      <c r="A115" s="2148"/>
      <c r="B115" s="583"/>
      <c r="C115" s="2177"/>
      <c r="D115" s="2090"/>
      <c r="E115" s="2092"/>
      <c r="F115" s="2088"/>
      <c r="G115" s="2091"/>
      <c r="H115" s="2090"/>
      <c r="I115" s="2092"/>
      <c r="J115" s="2088"/>
      <c r="K115" s="2091"/>
      <c r="L115" s="2088"/>
      <c r="M115" s="2092"/>
      <c r="N115" s="2119">
        <f>O109-N109</f>
        <v>-8408.1899999999987</v>
      </c>
      <c r="O115" s="2091"/>
      <c r="P115" s="2119">
        <f>Q109-P109</f>
        <v>-6181.5599999999995</v>
      </c>
      <c r="Q115" s="2092"/>
      <c r="R115" s="2203">
        <f>S109-R109</f>
        <v>-3418.24</v>
      </c>
      <c r="S115" s="2193"/>
      <c r="T115" s="2203">
        <f>U109-T109</f>
        <v>-4246.0600000000004</v>
      </c>
      <c r="U115" s="2193"/>
      <c r="V115" s="2063"/>
      <c r="W115" s="2212"/>
      <c r="X115" s="1591"/>
      <c r="Y115" s="2163"/>
      <c r="Z115" s="2063"/>
      <c r="AA115" s="2212"/>
      <c r="AB115" s="1591"/>
      <c r="AC115" s="2163"/>
      <c r="AD115" s="2241"/>
      <c r="AE115" s="2141"/>
      <c r="AF115" s="2241"/>
      <c r="AG115" s="2141"/>
      <c r="AH115" s="3884"/>
      <c r="AI115" s="3885"/>
      <c r="AJ115" s="3884"/>
      <c r="AK115" s="3885"/>
    </row>
    <row r="116" spans="1:37" s="1570" customFormat="1" ht="12.75" hidden="1">
      <c r="A116" s="2259" t="s">
        <v>3002</v>
      </c>
      <c r="B116" s="2060"/>
      <c r="C116" s="2260" t="s">
        <v>3003</v>
      </c>
      <c r="D116" s="2261">
        <v>22500</v>
      </c>
      <c r="E116" s="2262">
        <f>SUM(E117:E119)</f>
        <v>8898</v>
      </c>
      <c r="F116" s="2261">
        <v>22500</v>
      </c>
      <c r="G116" s="2262">
        <f>SUM(G117:G119)</f>
        <v>0</v>
      </c>
      <c r="H116" s="2263">
        <v>22500</v>
      </c>
      <c r="I116" s="2262">
        <f>SUM(I117:I119)</f>
        <v>6533.83</v>
      </c>
      <c r="J116" s="2263">
        <v>12500</v>
      </c>
      <c r="K116" s="2262">
        <f>SUM(K117:K119)</f>
        <v>-3051.6000000000004</v>
      </c>
      <c r="L116" s="2263"/>
      <c r="M116" s="2262"/>
      <c r="N116" s="2263"/>
      <c r="O116" s="2262"/>
      <c r="P116" s="2263"/>
      <c r="Q116" s="2261"/>
      <c r="R116" s="2264"/>
      <c r="S116" s="2265"/>
      <c r="T116" s="2259"/>
      <c r="U116" s="2260"/>
      <c r="V116" s="2259"/>
      <c r="W116" s="2277"/>
      <c r="X116" s="2278"/>
      <c r="Y116" s="2279"/>
      <c r="Z116" s="2259"/>
      <c r="AA116" s="2277"/>
      <c r="AB116" s="2278"/>
      <c r="AC116" s="2279"/>
      <c r="AD116" s="2280"/>
      <c r="AE116" s="2281"/>
      <c r="AF116" s="2280"/>
      <c r="AG116" s="2281"/>
      <c r="AH116" s="2132"/>
      <c r="AI116" s="2132"/>
      <c r="AJ116" s="2132"/>
      <c r="AK116" s="2132"/>
    </row>
    <row r="117" spans="1:37" s="1570" customFormat="1" ht="12.75" hidden="1">
      <c r="A117" s="2063"/>
      <c r="B117" s="583" t="s">
        <v>3004</v>
      </c>
      <c r="C117" s="2174"/>
      <c r="D117" s="2090"/>
      <c r="E117" s="2091">
        <v>8898</v>
      </c>
      <c r="F117" s="2092"/>
      <c r="G117" s="2091"/>
      <c r="H117" s="2097"/>
      <c r="I117" s="2091">
        <f>6201.6+8898-8565.77</f>
        <v>6533.83</v>
      </c>
      <c r="J117" s="2088"/>
      <c r="K117" s="2091">
        <f>6201.6-4488.35+4488.35-9253.2</f>
        <v>-3051.6000000000004</v>
      </c>
      <c r="L117" s="2088"/>
      <c r="M117" s="2091" t="s">
        <v>177</v>
      </c>
      <c r="N117" s="2088"/>
      <c r="O117" s="2091" t="s">
        <v>177</v>
      </c>
      <c r="P117" s="2088"/>
      <c r="Q117" s="2092"/>
      <c r="R117" s="2192"/>
      <c r="S117" s="2193"/>
      <c r="T117" s="2063"/>
      <c r="U117" s="2174"/>
      <c r="V117" s="2063"/>
      <c r="W117" s="2212"/>
      <c r="X117" s="1591"/>
      <c r="Y117" s="2163"/>
      <c r="Z117" s="2063"/>
      <c r="AA117" s="2212"/>
      <c r="AB117" s="1591"/>
      <c r="AC117" s="2163"/>
      <c r="AD117" s="2241"/>
      <c r="AE117" s="2141"/>
      <c r="AF117" s="2241"/>
      <c r="AG117" s="2141"/>
      <c r="AH117" s="2132"/>
      <c r="AI117" s="2132"/>
      <c r="AJ117" s="2132"/>
      <c r="AK117" s="2132"/>
    </row>
    <row r="118" spans="1:37" s="1570" customFormat="1" ht="12.75" hidden="1">
      <c r="A118" s="2063"/>
      <c r="B118" s="387"/>
      <c r="C118" s="2174"/>
      <c r="D118" s="2090"/>
      <c r="E118" s="2089"/>
      <c r="F118" s="2090"/>
      <c r="G118" s="2089"/>
      <c r="H118" s="2088"/>
      <c r="I118" s="2089"/>
      <c r="J118" s="2088"/>
      <c r="K118" s="2089"/>
      <c r="L118" s="2088"/>
      <c r="M118" s="2089"/>
      <c r="N118" s="2088"/>
      <c r="O118" s="2089"/>
      <c r="P118" s="2088"/>
      <c r="Q118" s="2090"/>
      <c r="R118" s="2192"/>
      <c r="S118" s="2204"/>
      <c r="T118" s="2063"/>
      <c r="U118" s="2174"/>
      <c r="V118" s="2063"/>
      <c r="W118" s="2212"/>
      <c r="X118" s="1591"/>
      <c r="Y118" s="2163"/>
      <c r="Z118" s="2063"/>
      <c r="AA118" s="2212"/>
      <c r="AB118" s="1591"/>
      <c r="AC118" s="2163"/>
      <c r="AD118" s="2241"/>
      <c r="AE118" s="2141"/>
      <c r="AF118" s="2241"/>
      <c r="AG118" s="2141"/>
      <c r="AH118" s="2132"/>
      <c r="AI118" s="2132"/>
      <c r="AJ118" s="2132"/>
      <c r="AK118" s="2132"/>
    </row>
    <row r="119" spans="1:37" s="1570" customFormat="1" ht="12.75" hidden="1">
      <c r="A119" s="2148"/>
      <c r="B119" s="583"/>
      <c r="C119" s="2180" t="s">
        <v>2969</v>
      </c>
      <c r="D119" s="2108">
        <f>E116-D116</f>
        <v>-13602</v>
      </c>
      <c r="E119" s="2091"/>
      <c r="F119" s="2119">
        <f>G116-F116</f>
        <v>-22500</v>
      </c>
      <c r="G119" s="2091"/>
      <c r="H119" s="2119">
        <f>I116-H116</f>
        <v>-15966.17</v>
      </c>
      <c r="I119" s="2091"/>
      <c r="J119" s="2119">
        <f>K116-J116</f>
        <v>-15551.6</v>
      </c>
      <c r="K119" s="2091"/>
      <c r="L119" s="2088"/>
      <c r="M119" s="2091"/>
      <c r="N119" s="2088"/>
      <c r="O119" s="2091"/>
      <c r="P119" s="2088"/>
      <c r="Q119" s="2092"/>
      <c r="R119" s="2192"/>
      <c r="S119" s="2193"/>
      <c r="T119" s="2063"/>
      <c r="U119" s="2174"/>
      <c r="V119" s="2063"/>
      <c r="W119" s="2212"/>
      <c r="X119" s="1591"/>
      <c r="Y119" s="2163"/>
      <c r="Z119" s="2063"/>
      <c r="AA119" s="2212"/>
      <c r="AB119" s="1591"/>
      <c r="AC119" s="2163"/>
      <c r="AD119" s="2241"/>
      <c r="AE119" s="2141"/>
      <c r="AF119" s="2241"/>
      <c r="AG119" s="2141"/>
      <c r="AH119" s="2132"/>
      <c r="AI119" s="2132"/>
      <c r="AJ119" s="2132"/>
      <c r="AK119" s="2132"/>
    </row>
    <row r="120" spans="1:37" s="1570" customFormat="1" ht="12.75" hidden="1">
      <c r="A120" s="2008" t="s">
        <v>3005</v>
      </c>
      <c r="B120" s="2081"/>
      <c r="C120" s="2172" t="s">
        <v>3006</v>
      </c>
      <c r="D120" s="2084">
        <v>20000</v>
      </c>
      <c r="E120" s="2083">
        <f>SUM(E121:E132)</f>
        <v>18873.250000000004</v>
      </c>
      <c r="F120" s="2084">
        <v>20000</v>
      </c>
      <c r="G120" s="2083">
        <f>SUM(G121:G132)</f>
        <v>0</v>
      </c>
      <c r="H120" s="2082">
        <v>20000</v>
      </c>
      <c r="I120" s="2083">
        <f>SUM(I121:I132)</f>
        <v>20009.259999999998</v>
      </c>
      <c r="J120" s="2082">
        <v>20000</v>
      </c>
      <c r="K120" s="2083">
        <f>SUM(K121:K132)</f>
        <v>22326.97</v>
      </c>
      <c r="L120" s="2084">
        <v>20000</v>
      </c>
      <c r="M120" s="2083">
        <f>SUM(M121:M132)</f>
        <v>14454.59</v>
      </c>
      <c r="N120" s="2084">
        <v>20000</v>
      </c>
      <c r="O120" s="2083">
        <f>SUM(O121:O132)</f>
        <v>16260.760000000002</v>
      </c>
      <c r="P120" s="2084">
        <v>20000</v>
      </c>
      <c r="Q120" s="2084">
        <f>SUM(Q121:Q132)</f>
        <v>18849.300000000003</v>
      </c>
      <c r="R120" s="2190">
        <v>20000</v>
      </c>
      <c r="S120" s="2191">
        <f>SUM(S121:S132)</f>
        <v>20309.62</v>
      </c>
      <c r="T120" s="2190">
        <v>20000</v>
      </c>
      <c r="U120" s="2211">
        <f>SUM(U121:U131)</f>
        <v>23677.429999999997</v>
      </c>
      <c r="V120" s="2008"/>
      <c r="W120" s="2211">
        <f>SUM(W121:W128)</f>
        <v>15659.470000000001</v>
      </c>
      <c r="X120" s="2022"/>
      <c r="Y120" s="2230">
        <f>SUM(Y121:Y131)</f>
        <v>15133.26</v>
      </c>
      <c r="Z120" s="2008"/>
      <c r="AA120" s="2211">
        <f>SUM(AA121:AA131)</f>
        <v>15161.95</v>
      </c>
      <c r="AB120" s="2022"/>
      <c r="AC120" s="2211">
        <f>SUM(AC121:AC131)</f>
        <v>10370.660000000002</v>
      </c>
      <c r="AD120" s="2301"/>
      <c r="AE120" s="2302"/>
      <c r="AF120" s="2301"/>
      <c r="AG120" s="2302"/>
      <c r="AH120" s="2132"/>
      <c r="AI120" s="2132"/>
      <c r="AJ120" s="2132"/>
      <c r="AK120" s="2132"/>
    </row>
    <row r="121" spans="1:37" s="1570" customFormat="1" ht="12.75" hidden="1">
      <c r="A121" s="2063"/>
      <c r="B121" s="583" t="s">
        <v>3007</v>
      </c>
      <c r="C121" s="2174" t="s">
        <v>3008</v>
      </c>
      <c r="D121" s="2090"/>
      <c r="E121" s="2091">
        <v>8717.07</v>
      </c>
      <c r="F121" s="2090"/>
      <c r="G121" s="2089"/>
      <c r="H121" s="2088"/>
      <c r="I121" s="2091">
        <v>9107.77</v>
      </c>
      <c r="J121" s="2088"/>
      <c r="K121" s="2091">
        <v>11037.36</v>
      </c>
      <c r="L121" s="2090"/>
      <c r="M121" s="2091">
        <v>7094.06</v>
      </c>
      <c r="N121" s="2090"/>
      <c r="O121" s="2091">
        <v>8134.52</v>
      </c>
      <c r="P121" s="2090"/>
      <c r="Q121" s="2092">
        <v>9319.4</v>
      </c>
      <c r="R121" s="2192"/>
      <c r="S121" s="2193">
        <v>10042.870000000001</v>
      </c>
      <c r="T121" s="2063"/>
      <c r="U121" s="2205">
        <v>11994.89</v>
      </c>
      <c r="V121" s="2063"/>
      <c r="W121" s="2205">
        <v>9993.1200000000008</v>
      </c>
      <c r="X121" s="1591"/>
      <c r="Y121" s="1486">
        <v>7455.35</v>
      </c>
      <c r="Z121" s="2063"/>
      <c r="AA121" s="2205">
        <v>7325.96</v>
      </c>
      <c r="AB121" s="1591"/>
      <c r="AC121" s="1486">
        <v>5103.03</v>
      </c>
      <c r="AD121" s="2250"/>
      <c r="AE121" s="2154"/>
      <c r="AF121" s="2250"/>
      <c r="AG121" s="2154"/>
      <c r="AH121" s="2132"/>
      <c r="AI121" s="2132"/>
      <c r="AJ121" s="2132"/>
      <c r="AK121" s="2132"/>
    </row>
    <row r="122" spans="1:37" s="1570" customFormat="1" ht="12.75" hidden="1">
      <c r="A122" s="2063"/>
      <c r="B122" s="583" t="s">
        <v>3009</v>
      </c>
      <c r="C122" s="2174"/>
      <c r="D122" s="2090"/>
      <c r="E122" s="2091">
        <v>8706.8700000000008</v>
      </c>
      <c r="F122" s="2090"/>
      <c r="G122" s="2089"/>
      <c r="H122" s="2087"/>
      <c r="I122" s="2091">
        <v>10525.45</v>
      </c>
      <c r="J122" s="2087"/>
      <c r="K122" s="2091">
        <v>11000.11</v>
      </c>
      <c r="L122" s="1591"/>
      <c r="M122" s="2096">
        <v>7063.65</v>
      </c>
      <c r="N122" s="1591"/>
      <c r="O122" s="2096">
        <v>7923.41</v>
      </c>
      <c r="P122" s="1591"/>
      <c r="Q122" s="1048">
        <v>9288.75</v>
      </c>
      <c r="R122" s="2063"/>
      <c r="S122" s="2195">
        <v>10004.549999999999</v>
      </c>
      <c r="T122" s="2063"/>
      <c r="U122" s="2205">
        <v>11397.5</v>
      </c>
      <c r="V122" s="2063"/>
      <c r="W122" s="2205">
        <v>5374.4</v>
      </c>
      <c r="X122" s="1591"/>
      <c r="Y122" s="1486">
        <v>7441.51</v>
      </c>
      <c r="Z122" s="2063"/>
      <c r="AA122" s="2205">
        <v>7304.99</v>
      </c>
      <c r="AB122" s="1591"/>
      <c r="AC122" s="1486">
        <v>5088.38</v>
      </c>
      <c r="AD122" s="2250"/>
      <c r="AE122" s="2154"/>
      <c r="AF122" s="2250"/>
      <c r="AG122" s="2154"/>
      <c r="AH122" s="2132"/>
      <c r="AI122" s="2132"/>
      <c r="AJ122" s="2132"/>
      <c r="AK122" s="2132"/>
    </row>
    <row r="123" spans="1:37" s="1570" customFormat="1" ht="12.75" hidden="1">
      <c r="A123" s="2063"/>
      <c r="B123" s="583" t="s">
        <v>3010</v>
      </c>
      <c r="C123" s="2174"/>
      <c r="D123" s="2090"/>
      <c r="E123" s="2091">
        <v>203.22</v>
      </c>
      <c r="F123" s="2090"/>
      <c r="G123" s="2089"/>
      <c r="H123" s="2088"/>
      <c r="I123" s="2091">
        <v>209.76</v>
      </c>
      <c r="J123" s="2088"/>
      <c r="K123" s="2091">
        <v>158.37</v>
      </c>
      <c r="L123" s="2090"/>
      <c r="M123" s="2091">
        <v>165.77</v>
      </c>
      <c r="N123" s="2090"/>
      <c r="O123" s="2091">
        <v>111.52</v>
      </c>
      <c r="P123" s="2090"/>
      <c r="Q123" s="2092">
        <v>131.79</v>
      </c>
      <c r="R123" s="2192"/>
      <c r="S123" s="2193">
        <v>143.88</v>
      </c>
      <c r="T123" s="2063"/>
      <c r="U123" s="2205">
        <v>154.37</v>
      </c>
      <c r="V123" s="2063"/>
      <c r="W123" s="2205">
        <v>163.35</v>
      </c>
      <c r="X123" s="1591"/>
      <c r="Y123" s="1486">
        <v>130.56</v>
      </c>
      <c r="Z123" s="2063"/>
      <c r="AA123" s="2205">
        <v>129.62</v>
      </c>
      <c r="AB123" s="1591"/>
      <c r="AC123" s="1486">
        <v>100.02</v>
      </c>
      <c r="AD123" s="2250"/>
      <c r="AE123" s="2154"/>
      <c r="AF123" s="2250"/>
      <c r="AG123" s="2154"/>
      <c r="AH123" s="2132"/>
      <c r="AI123" s="2132"/>
      <c r="AJ123" s="2132"/>
      <c r="AK123" s="2132"/>
    </row>
    <row r="124" spans="1:37" s="1570" customFormat="1" ht="12.75" hidden="1">
      <c r="A124" s="2063"/>
      <c r="B124" s="583" t="s">
        <v>3011</v>
      </c>
      <c r="C124" s="2174"/>
      <c r="D124" s="2090"/>
      <c r="E124" s="2091">
        <v>135.47999999999999</v>
      </c>
      <c r="F124" s="2090"/>
      <c r="G124" s="2089"/>
      <c r="H124" s="2087"/>
      <c r="I124" s="2091">
        <f>139.85+3.15</f>
        <v>143</v>
      </c>
      <c r="J124" s="2087"/>
      <c r="K124" s="2122">
        <v>105.16</v>
      </c>
      <c r="L124" s="1591"/>
      <c r="M124" s="2091">
        <v>110.52</v>
      </c>
      <c r="N124" s="1591"/>
      <c r="O124" s="2091">
        <v>71.61</v>
      </c>
      <c r="P124" s="1591"/>
      <c r="Q124" s="2092">
        <v>87.87</v>
      </c>
      <c r="R124" s="2063"/>
      <c r="S124" s="2193">
        <v>95.04</v>
      </c>
      <c r="T124" s="2063"/>
      <c r="U124" s="2205">
        <v>102.91</v>
      </c>
      <c r="V124" s="2063"/>
      <c r="W124" s="2205">
        <v>108.9</v>
      </c>
      <c r="X124" s="1591"/>
      <c r="Y124" s="1486">
        <v>87.04</v>
      </c>
      <c r="Z124" s="2063"/>
      <c r="AA124" s="2205">
        <v>86.42</v>
      </c>
      <c r="AB124" s="1591"/>
      <c r="AC124" s="397">
        <v>66.69</v>
      </c>
      <c r="AD124" s="2250"/>
      <c r="AE124" s="2155"/>
      <c r="AF124" s="2250"/>
      <c r="AG124" s="2155"/>
      <c r="AH124" s="2132"/>
      <c r="AI124" s="2132"/>
      <c r="AJ124" s="2132"/>
      <c r="AK124" s="2132"/>
    </row>
    <row r="125" spans="1:37" hidden="1">
      <c r="A125" s="2063"/>
      <c r="B125" s="583" t="s">
        <v>3012</v>
      </c>
      <c r="C125" s="2174"/>
      <c r="D125" s="2090"/>
      <c r="E125" s="2091">
        <v>990.96</v>
      </c>
      <c r="F125" s="2090"/>
      <c r="G125" s="2089"/>
      <c r="H125" s="2087"/>
      <c r="I125" s="2091"/>
      <c r="J125" s="2087"/>
      <c r="K125" s="2122"/>
      <c r="L125" s="1591"/>
      <c r="M125" s="2091" t="s">
        <v>177</v>
      </c>
      <c r="N125" s="1591"/>
      <c r="O125" s="2091"/>
      <c r="P125" s="1591"/>
      <c r="Q125" s="2092"/>
      <c r="R125" s="2063"/>
      <c r="S125" s="2193"/>
      <c r="T125" s="2148"/>
      <c r="U125" s="2205"/>
      <c r="V125" s="2148"/>
      <c r="W125" s="2205"/>
      <c r="X125" s="397"/>
      <c r="Y125" s="1486"/>
      <c r="Z125" s="2148"/>
      <c r="AA125" s="2205"/>
      <c r="AB125" s="397"/>
      <c r="AC125" s="1486"/>
      <c r="AD125" s="2251"/>
      <c r="AE125" s="2154"/>
      <c r="AF125" s="2251"/>
      <c r="AG125" s="2154"/>
    </row>
    <row r="126" spans="1:37" hidden="1">
      <c r="A126" s="2063"/>
      <c r="B126" s="583" t="s">
        <v>3013</v>
      </c>
      <c r="C126" s="2174"/>
      <c r="D126" s="2090"/>
      <c r="E126" s="2091"/>
      <c r="F126" s="2090"/>
      <c r="G126" s="2089"/>
      <c r="H126" s="2087"/>
      <c r="I126" s="2091"/>
      <c r="J126" s="2087"/>
      <c r="K126" s="2122"/>
      <c r="L126" s="1591"/>
      <c r="M126" s="2096">
        <v>1.92</v>
      </c>
      <c r="N126" s="1591"/>
      <c r="O126" s="2096"/>
      <c r="P126" s="1591"/>
      <c r="Q126" s="1048"/>
      <c r="R126" s="2063"/>
      <c r="S126" s="2195"/>
      <c r="T126" s="2148"/>
      <c r="U126" s="2205"/>
      <c r="V126" s="2148"/>
      <c r="W126" s="2205"/>
      <c r="X126" s="397"/>
      <c r="Y126" s="1486"/>
      <c r="Z126" s="2148"/>
      <c r="AA126" s="2205"/>
      <c r="AB126" s="397"/>
      <c r="AC126" s="1486"/>
      <c r="AD126" s="2251"/>
      <c r="AE126" s="2154"/>
      <c r="AF126" s="2251"/>
      <c r="AG126" s="2154"/>
    </row>
    <row r="127" spans="1:37" s="1570" customFormat="1" ht="12.75" hidden="1">
      <c r="A127" s="2063"/>
      <c r="B127" s="583" t="s">
        <v>3014</v>
      </c>
      <c r="C127" s="2174"/>
      <c r="D127" s="2090"/>
      <c r="E127" s="2091">
        <v>92.79</v>
      </c>
      <c r="F127" s="2090"/>
      <c r="G127" s="2089"/>
      <c r="H127" s="2087"/>
      <c r="I127" s="2091"/>
      <c r="J127" s="2087"/>
      <c r="K127" s="2091"/>
      <c r="L127" s="1591"/>
      <c r="M127" s="2091">
        <v>1.66</v>
      </c>
      <c r="N127" s="1591"/>
      <c r="O127" s="2091"/>
      <c r="P127" s="1591"/>
      <c r="Q127" s="2092"/>
      <c r="R127" s="2063"/>
      <c r="S127" s="2193"/>
      <c r="T127" s="2063"/>
      <c r="U127" s="2205"/>
      <c r="V127" s="2063"/>
      <c r="W127" s="2205"/>
      <c r="X127" s="1591"/>
      <c r="Y127" s="1486"/>
      <c r="Z127" s="2063"/>
      <c r="AA127" s="2205"/>
      <c r="AB127" s="1591"/>
      <c r="AC127" s="1486"/>
      <c r="AD127" s="2250"/>
      <c r="AE127" s="2154"/>
      <c r="AF127" s="2250"/>
      <c r="AG127" s="2154"/>
      <c r="AH127" s="2132"/>
      <c r="AI127" s="2132"/>
      <c r="AJ127" s="2132"/>
      <c r="AK127" s="2132"/>
    </row>
    <row r="128" spans="1:37" s="1570" customFormat="1" ht="12.75" hidden="1">
      <c r="A128" s="2063"/>
      <c r="B128" s="583" t="s">
        <v>3015</v>
      </c>
      <c r="C128" s="2174"/>
      <c r="D128" s="2090"/>
      <c r="E128" s="2091">
        <v>26.86</v>
      </c>
      <c r="F128" s="2090"/>
      <c r="G128" s="2089"/>
      <c r="H128" s="2087"/>
      <c r="I128" s="2091">
        <v>23.28</v>
      </c>
      <c r="J128" s="2087"/>
      <c r="K128" s="2122">
        <v>25.97</v>
      </c>
      <c r="L128" s="1591"/>
      <c r="M128" s="2091">
        <v>17.010000000000002</v>
      </c>
      <c r="N128" s="1591"/>
      <c r="O128" s="2091">
        <v>19.7</v>
      </c>
      <c r="P128" s="1591"/>
      <c r="Q128" s="2092">
        <v>21.49</v>
      </c>
      <c r="R128" s="2063"/>
      <c r="S128" s="2193">
        <v>23.28</v>
      </c>
      <c r="T128" s="2063"/>
      <c r="U128" s="2205">
        <v>27.76</v>
      </c>
      <c r="V128" s="2063"/>
      <c r="W128" s="2205">
        <v>19.7</v>
      </c>
      <c r="X128" s="1591"/>
      <c r="Y128" s="1486">
        <v>18.8</v>
      </c>
      <c r="Z128" s="2063"/>
      <c r="AA128" s="2205">
        <v>17.91</v>
      </c>
      <c r="AB128" s="1591"/>
      <c r="AC128" s="1486">
        <v>12.54</v>
      </c>
      <c r="AD128" s="2250"/>
      <c r="AE128" s="2154"/>
      <c r="AF128" s="2250"/>
      <c r="AG128" s="2154"/>
      <c r="AH128" s="2132"/>
      <c r="AI128" s="2132"/>
      <c r="AJ128" s="2132"/>
      <c r="AK128" s="2132"/>
    </row>
    <row r="129" spans="1:37" s="1570" customFormat="1" ht="12.75" hidden="1">
      <c r="A129" s="2063"/>
      <c r="B129" s="583" t="s">
        <v>735</v>
      </c>
      <c r="C129" s="2174"/>
      <c r="D129" s="2090"/>
      <c r="E129" s="2091"/>
      <c r="F129" s="2090"/>
      <c r="G129" s="2089"/>
      <c r="H129" s="2087"/>
      <c r="I129" s="2091"/>
      <c r="J129" s="2087"/>
      <c r="K129" s="2122"/>
      <c r="L129" s="1591"/>
      <c r="M129" s="2091"/>
      <c r="N129" s="1591"/>
      <c r="O129" s="2091"/>
      <c r="P129" s="1591"/>
      <c r="Q129" s="2092"/>
      <c r="R129" s="2063"/>
      <c r="S129" s="2193"/>
      <c r="T129" s="2063"/>
      <c r="U129" s="2205"/>
      <c r="V129" s="2063"/>
      <c r="W129" s="2205"/>
      <c r="X129" s="1591"/>
      <c r="Y129" s="1486"/>
      <c r="Z129" s="2063"/>
      <c r="AA129" s="2205">
        <v>125</v>
      </c>
      <c r="AB129" s="1591"/>
      <c r="AC129" s="1486"/>
      <c r="AD129" s="2250"/>
      <c r="AE129" s="2154"/>
      <c r="AF129" s="2250"/>
      <c r="AG129" s="2154"/>
      <c r="AH129" s="2132"/>
      <c r="AI129" s="2132"/>
      <c r="AJ129" s="2132"/>
      <c r="AK129" s="2132"/>
    </row>
    <row r="130" spans="1:37" s="1570" customFormat="1" ht="12.75" hidden="1">
      <c r="A130" s="2063"/>
      <c r="B130" s="583" t="s">
        <v>3016</v>
      </c>
      <c r="C130" s="2174"/>
      <c r="D130" s="2090"/>
      <c r="E130" s="2091"/>
      <c r="F130" s="2090"/>
      <c r="G130" s="2089"/>
      <c r="H130" s="2087"/>
      <c r="I130" s="2091"/>
      <c r="J130" s="2087"/>
      <c r="K130" s="2122"/>
      <c r="L130" s="1591"/>
      <c r="M130" s="2091"/>
      <c r="N130" s="1591"/>
      <c r="O130" s="2091"/>
      <c r="P130" s="1591"/>
      <c r="Q130" s="2092"/>
      <c r="R130" s="2063"/>
      <c r="S130" s="2193"/>
      <c r="T130" s="2063"/>
      <c r="U130" s="2205"/>
      <c r="V130" s="2063"/>
      <c r="W130" s="2205"/>
      <c r="X130" s="1591"/>
      <c r="Y130" s="1486"/>
      <c r="Z130" s="2063"/>
      <c r="AA130" s="2205">
        <v>172.05</v>
      </c>
      <c r="AB130" s="1591"/>
      <c r="AC130" s="1486"/>
      <c r="AD130" s="2250"/>
      <c r="AE130" s="2154"/>
      <c r="AF130" s="2250"/>
      <c r="AG130" s="2154"/>
      <c r="AH130" s="2132"/>
      <c r="AI130" s="2132"/>
      <c r="AJ130" s="2132"/>
      <c r="AK130" s="2132"/>
    </row>
    <row r="131" spans="1:37" s="1570" customFormat="1" ht="12.75" hidden="1">
      <c r="A131" s="2063"/>
      <c r="B131" s="583"/>
      <c r="C131" s="2174"/>
      <c r="D131" s="2090"/>
      <c r="E131" s="2114"/>
      <c r="F131" s="2090"/>
      <c r="G131" s="2089"/>
      <c r="H131" s="2087"/>
      <c r="I131" s="2091"/>
      <c r="J131" s="2087"/>
      <c r="K131" s="2122"/>
      <c r="L131" s="1591"/>
      <c r="M131" s="2091"/>
      <c r="N131" s="1591"/>
      <c r="O131" s="2091"/>
      <c r="P131" s="1591"/>
      <c r="Q131" s="2092"/>
      <c r="R131" s="2063"/>
      <c r="S131" s="2193"/>
      <c r="T131" s="2063"/>
      <c r="U131" s="2174"/>
      <c r="V131" s="2063"/>
      <c r="W131" s="2212"/>
      <c r="X131" s="1591"/>
      <c r="Y131" s="1486"/>
      <c r="Z131" s="2063"/>
      <c r="AA131" s="2205"/>
      <c r="AB131" s="1591"/>
      <c r="AC131" s="1486"/>
      <c r="AD131" s="2250"/>
      <c r="AE131" s="2154"/>
      <c r="AF131" s="2250"/>
      <c r="AG131" s="2154"/>
      <c r="AH131" s="2132"/>
      <c r="AI131" s="2132"/>
      <c r="AJ131" s="2132"/>
      <c r="AK131" s="2132"/>
    </row>
    <row r="132" spans="1:37" s="1570" customFormat="1" ht="12.75" hidden="1">
      <c r="A132" s="2148"/>
      <c r="B132" s="583"/>
      <c r="C132" s="2180" t="s">
        <v>2969</v>
      </c>
      <c r="D132" s="2108">
        <f>E120-D120</f>
        <v>-1126.7499999999964</v>
      </c>
      <c r="E132" s="2091"/>
      <c r="F132" s="2119">
        <f>G120-F120</f>
        <v>-20000</v>
      </c>
      <c r="G132" s="2091"/>
      <c r="H132" s="2119">
        <f>I120-H120</f>
        <v>9.2599999999983993</v>
      </c>
      <c r="I132" s="2091"/>
      <c r="J132" s="2119">
        <f>K120-J120</f>
        <v>2326.9700000000012</v>
      </c>
      <c r="K132" s="2091"/>
      <c r="L132" s="2119">
        <f>M120-L120</f>
        <v>-5545.41</v>
      </c>
      <c r="M132" s="2091"/>
      <c r="N132" s="2119">
        <f>O120-N120</f>
        <v>-3739.239999999998</v>
      </c>
      <c r="O132" s="2091"/>
      <c r="P132" s="2119">
        <f>Q120-P120</f>
        <v>-1150.6999999999971</v>
      </c>
      <c r="Q132" s="2092"/>
      <c r="R132" s="2203">
        <f>S120-R120</f>
        <v>309.61999999999898</v>
      </c>
      <c r="S132" s="2193"/>
      <c r="T132" s="2294">
        <f>U120-T120</f>
        <v>3677.4299999999967</v>
      </c>
      <c r="U132" s="2174"/>
      <c r="V132" s="2063"/>
      <c r="W132" s="2212"/>
      <c r="X132" s="1591"/>
      <c r="Y132" s="2163"/>
      <c r="Z132" s="2063"/>
      <c r="AA132" s="2212"/>
      <c r="AB132" s="1591"/>
      <c r="AC132" s="2163"/>
      <c r="AD132" s="2241"/>
      <c r="AE132" s="2141"/>
      <c r="AF132" s="2241"/>
      <c r="AG132" s="2141"/>
      <c r="AH132" s="2132"/>
      <c r="AI132" s="2132"/>
      <c r="AJ132" s="2132"/>
      <c r="AK132" s="2132"/>
    </row>
    <row r="133" spans="1:37" s="1570" customFormat="1" ht="12.75">
      <c r="A133" s="2008" t="s">
        <v>3017</v>
      </c>
      <c r="B133" s="2081"/>
      <c r="C133" s="2172" t="s">
        <v>3018</v>
      </c>
      <c r="D133" s="2084">
        <v>10100</v>
      </c>
      <c r="E133" s="2083">
        <f>SUM(E140:E150)</f>
        <v>8335.5600000000013</v>
      </c>
      <c r="F133" s="2084">
        <v>15000</v>
      </c>
      <c r="G133" s="2083">
        <f>SUM(G140:G150)</f>
        <v>0</v>
      </c>
      <c r="H133" s="2082">
        <v>15000</v>
      </c>
      <c r="I133" s="2083">
        <f>SUM(I134:I150)</f>
        <v>18298.499999999996</v>
      </c>
      <c r="J133" s="2084">
        <v>15000</v>
      </c>
      <c r="K133" s="2083">
        <f>SUM(K134:K150)</f>
        <v>14701.45</v>
      </c>
      <c r="L133" s="2082">
        <v>15000</v>
      </c>
      <c r="M133" s="2083">
        <f>SUM(M134:M150)</f>
        <v>17686.84</v>
      </c>
      <c r="N133" s="2082">
        <v>15000</v>
      </c>
      <c r="O133" s="2083">
        <f>SUM(O134:O150)</f>
        <v>17196.37</v>
      </c>
      <c r="P133" s="2082">
        <v>15000</v>
      </c>
      <c r="Q133" s="2084">
        <f>SUM(Q134:Q150)</f>
        <v>16423.7</v>
      </c>
      <c r="R133" s="2190">
        <v>15000</v>
      </c>
      <c r="S133" s="2191">
        <f>SUM(S134:S150)</f>
        <v>16543.649999999998</v>
      </c>
      <c r="T133" s="2190">
        <v>31000</v>
      </c>
      <c r="U133" s="2211">
        <f>SUM(U134:U148)</f>
        <v>15160.9</v>
      </c>
      <c r="V133" s="2300"/>
      <c r="W133" s="2211">
        <f>SUM(W134:W148)</f>
        <v>13165.539999999999</v>
      </c>
      <c r="X133" s="2022"/>
      <c r="Y133" s="2230">
        <f>SUM(Y134:Y148)</f>
        <v>12639.13</v>
      </c>
      <c r="Z133" s="2008"/>
      <c r="AA133" s="2211">
        <f>SUM(AA134:AA148)</f>
        <v>23489.230000000003</v>
      </c>
      <c r="AB133" s="2022"/>
      <c r="AC133" s="2230">
        <f>SUM(AC134:AC148)</f>
        <v>12404.22</v>
      </c>
      <c r="AD133" s="2240"/>
      <c r="AE133" s="2086">
        <f>SUM(AE134:AE148)</f>
        <v>1365.4899999999998</v>
      </c>
      <c r="AF133" s="2240"/>
      <c r="AG133" s="2086">
        <f>SUM(AG134:AG148)</f>
        <v>643.21</v>
      </c>
      <c r="AH133" s="3881"/>
      <c r="AI133" s="2086">
        <f>SUM(AI134:AI148)</f>
        <v>3798.61</v>
      </c>
      <c r="AJ133" s="3881"/>
      <c r="AK133" s="2086">
        <f>SUM(AK134:AK150)</f>
        <v>898.18999999999994</v>
      </c>
    </row>
    <row r="134" spans="1:37" s="1570" customFormat="1" ht="12.75">
      <c r="A134" s="2063"/>
      <c r="B134" s="583" t="s">
        <v>3019</v>
      </c>
      <c r="C134" s="2174" t="s">
        <v>3020</v>
      </c>
      <c r="D134" s="2090"/>
      <c r="E134" s="2091">
        <v>5500</v>
      </c>
      <c r="F134" s="2090"/>
      <c r="G134" s="2089"/>
      <c r="H134" s="2088"/>
      <c r="I134" s="2091">
        <v>5800</v>
      </c>
      <c r="J134" s="2090"/>
      <c r="K134" s="2091">
        <v>5500</v>
      </c>
      <c r="L134" s="2088"/>
      <c r="M134" s="2091">
        <v>5400</v>
      </c>
      <c r="N134" s="2088"/>
      <c r="O134" s="2091">
        <v>6000</v>
      </c>
      <c r="P134" s="2088"/>
      <c r="Q134" s="2092">
        <v>6100</v>
      </c>
      <c r="R134" s="2192"/>
      <c r="S134" s="2193">
        <v>6200</v>
      </c>
      <c r="T134" s="2063"/>
      <c r="U134" s="2205">
        <v>5400</v>
      </c>
      <c r="V134" s="2063"/>
      <c r="W134" s="2205">
        <v>5300</v>
      </c>
      <c r="X134" s="1591"/>
      <c r="Y134" s="1486">
        <v>5200</v>
      </c>
      <c r="Z134" s="2148"/>
      <c r="AA134" s="2205">
        <v>5100</v>
      </c>
      <c r="AB134" s="397"/>
      <c r="AC134" s="1486">
        <v>5103.03</v>
      </c>
      <c r="AD134" s="2249"/>
      <c r="AE134" s="3762"/>
      <c r="AF134" s="2249"/>
      <c r="AG134" s="2142"/>
      <c r="AH134" s="3882"/>
      <c r="AI134" s="2277"/>
      <c r="AJ134" s="3883"/>
      <c r="AK134" s="2212"/>
    </row>
    <row r="135" spans="1:37" s="1570" customFormat="1" ht="12.75">
      <c r="A135" s="2063"/>
      <c r="B135" s="583" t="s">
        <v>3021</v>
      </c>
      <c r="C135" s="2174" t="s">
        <v>7826</v>
      </c>
      <c r="D135" s="2090"/>
      <c r="E135" s="2091"/>
      <c r="F135" s="2090"/>
      <c r="G135" s="2089"/>
      <c r="H135" s="2088"/>
      <c r="I135" s="2091"/>
      <c r="J135" s="2090"/>
      <c r="K135" s="2091"/>
      <c r="L135" s="2088"/>
      <c r="M135" s="2091"/>
      <c r="N135" s="2088"/>
      <c r="O135" s="2091"/>
      <c r="P135" s="2088"/>
      <c r="Q135" s="2092"/>
      <c r="R135" s="2192"/>
      <c r="S135" s="2193"/>
      <c r="T135" s="2063"/>
      <c r="U135" s="2205"/>
      <c r="V135" s="2063"/>
      <c r="W135" s="2205"/>
      <c r="X135" s="1591"/>
      <c r="Y135" s="1486"/>
      <c r="Z135" s="2148"/>
      <c r="AA135" s="2205">
        <v>9865.85</v>
      </c>
      <c r="AB135" s="397"/>
      <c r="AC135" s="1486"/>
      <c r="AD135" s="2249"/>
      <c r="AE135" s="2142"/>
      <c r="AF135" s="2249"/>
      <c r="AG135" s="2142"/>
      <c r="AH135" s="3883"/>
      <c r="AI135" s="2212"/>
      <c r="AJ135" s="3883"/>
      <c r="AK135" s="2212"/>
    </row>
    <row r="136" spans="1:37" s="1570" customFormat="1" ht="12.75" hidden="1">
      <c r="A136" s="2063"/>
      <c r="B136" s="583" t="s">
        <v>3022</v>
      </c>
      <c r="C136" s="2174"/>
      <c r="D136" s="2090"/>
      <c r="E136" s="2091"/>
      <c r="F136" s="2090"/>
      <c r="G136" s="2089"/>
      <c r="H136" s="2088"/>
      <c r="I136" s="2091"/>
      <c r="J136" s="2090"/>
      <c r="K136" s="2091"/>
      <c r="L136" s="2088"/>
      <c r="M136" s="2091"/>
      <c r="N136" s="2088"/>
      <c r="O136" s="2091"/>
      <c r="P136" s="2088"/>
      <c r="Q136" s="2092"/>
      <c r="R136" s="2192"/>
      <c r="S136" s="2193"/>
      <c r="T136" s="2063"/>
      <c r="U136" s="2205"/>
      <c r="V136" s="2063"/>
      <c r="W136" s="2205">
        <v>23.3</v>
      </c>
      <c r="X136" s="1591"/>
      <c r="Y136" s="1486"/>
      <c r="Z136" s="2148"/>
      <c r="AA136" s="2205"/>
      <c r="AB136" s="397"/>
      <c r="AC136" s="1486"/>
      <c r="AD136" s="2249"/>
      <c r="AE136" s="2142"/>
      <c r="AF136" s="2249"/>
      <c r="AG136" s="2142"/>
      <c r="AH136" s="3883"/>
      <c r="AI136" s="2212"/>
      <c r="AJ136" s="3883"/>
      <c r="AK136" s="2212"/>
    </row>
    <row r="137" spans="1:37" s="1570" customFormat="1" ht="12.75">
      <c r="A137" s="2063"/>
      <c r="B137" s="583" t="s">
        <v>3023</v>
      </c>
      <c r="C137" s="2174"/>
      <c r="D137" s="2090"/>
      <c r="E137" s="2091">
        <v>1077.25</v>
      </c>
      <c r="F137" s="2090"/>
      <c r="G137" s="2089"/>
      <c r="H137" s="2088"/>
      <c r="I137" s="2091">
        <v>1168</v>
      </c>
      <c r="J137" s="2090"/>
      <c r="K137" s="2091">
        <v>935</v>
      </c>
      <c r="L137" s="2088"/>
      <c r="M137" s="2091">
        <v>895</v>
      </c>
      <c r="N137" s="2088"/>
      <c r="O137" s="2091">
        <v>883</v>
      </c>
      <c r="P137" s="2088"/>
      <c r="Q137" s="2092">
        <v>821</v>
      </c>
      <c r="R137" s="2192"/>
      <c r="S137" s="2193">
        <v>805</v>
      </c>
      <c r="T137" s="2063"/>
      <c r="U137" s="2205">
        <v>807.65</v>
      </c>
      <c r="V137" s="2063"/>
      <c r="W137" s="2205">
        <v>797</v>
      </c>
      <c r="X137" s="1591"/>
      <c r="Y137" s="1486">
        <v>789</v>
      </c>
      <c r="Z137" s="2148"/>
      <c r="AA137" s="2205">
        <v>797</v>
      </c>
      <c r="AB137" s="397"/>
      <c r="AC137" s="1486">
        <v>780</v>
      </c>
      <c r="AD137" s="2249"/>
      <c r="AE137" s="2142">
        <v>734.46</v>
      </c>
      <c r="AF137" s="2249"/>
      <c r="AG137" s="2142"/>
      <c r="AH137" s="3883"/>
      <c r="AI137" s="2205">
        <v>712.46</v>
      </c>
      <c r="AJ137" s="3883"/>
      <c r="AK137" s="2212"/>
    </row>
    <row r="138" spans="1:37" s="1570" customFormat="1" ht="12.75">
      <c r="A138" s="2063"/>
      <c r="B138" s="583" t="s">
        <v>3024</v>
      </c>
      <c r="C138" s="2174"/>
      <c r="D138" s="2090"/>
      <c r="E138" s="2091">
        <v>1055.6199999999999</v>
      </c>
      <c r="F138" s="2090"/>
      <c r="G138" s="2089"/>
      <c r="H138" s="2087"/>
      <c r="I138" s="2091">
        <v>725.83</v>
      </c>
      <c r="J138" s="1591"/>
      <c r="K138" s="2091">
        <v>776.63</v>
      </c>
      <c r="L138" s="2087"/>
      <c r="M138" s="2091">
        <v>966.5</v>
      </c>
      <c r="N138" s="2087"/>
      <c r="O138" s="2091">
        <v>272.22000000000003</v>
      </c>
      <c r="P138" s="2087"/>
      <c r="Q138" s="2092">
        <v>317.2</v>
      </c>
      <c r="R138" s="2063"/>
      <c r="S138" s="2193">
        <v>785.76</v>
      </c>
      <c r="T138" s="2063"/>
      <c r="U138" s="2205">
        <v>729.83</v>
      </c>
      <c r="V138" s="2063"/>
      <c r="W138" s="2205"/>
      <c r="X138" s="1591"/>
      <c r="Y138" s="1486">
        <v>722.68</v>
      </c>
      <c r="Z138" s="2148"/>
      <c r="AA138" s="2205">
        <v>464.64</v>
      </c>
      <c r="AB138" s="397"/>
      <c r="AC138" s="1486">
        <v>464.64</v>
      </c>
      <c r="AD138" s="2249"/>
      <c r="AE138" s="2142"/>
      <c r="AF138" s="2249"/>
      <c r="AG138" s="2142">
        <v>507.29</v>
      </c>
      <c r="AH138" s="3883"/>
      <c r="AI138" s="2212"/>
      <c r="AJ138" s="3883"/>
      <c r="AK138" s="2212"/>
    </row>
    <row r="139" spans="1:37" s="1570" customFormat="1" ht="12.75" hidden="1">
      <c r="A139" s="2063"/>
      <c r="B139" s="583" t="s">
        <v>3024</v>
      </c>
      <c r="C139" s="2174"/>
      <c r="D139" s="2090"/>
      <c r="E139" s="2091"/>
      <c r="F139" s="2090"/>
      <c r="G139" s="2089"/>
      <c r="H139" s="2087"/>
      <c r="I139" s="2091"/>
      <c r="J139" s="1591"/>
      <c r="K139" s="2091"/>
      <c r="L139" s="2087"/>
      <c r="M139" s="2091"/>
      <c r="N139" s="2087"/>
      <c r="O139" s="2091">
        <v>770.42</v>
      </c>
      <c r="P139" s="2087"/>
      <c r="Q139" s="2092">
        <v>519.29999999999995</v>
      </c>
      <c r="R139" s="2063"/>
      <c r="T139" s="2063"/>
      <c r="V139" s="2063"/>
      <c r="W139" s="2205"/>
      <c r="X139" s="1591"/>
      <c r="Y139" s="1486"/>
      <c r="Z139" s="2148"/>
      <c r="AA139" s="2205"/>
      <c r="AB139" s="397"/>
      <c r="AC139" s="1486"/>
      <c r="AD139" s="2249"/>
      <c r="AE139" s="2142"/>
      <c r="AF139" s="2249"/>
      <c r="AG139" s="2142"/>
      <c r="AH139" s="3883"/>
      <c r="AI139" s="2212"/>
      <c r="AJ139" s="3883"/>
      <c r="AK139" s="2212"/>
    </row>
    <row r="140" spans="1:37" s="1570" customFormat="1" ht="12.75">
      <c r="A140" s="2063"/>
      <c r="B140" s="583" t="s">
        <v>3025</v>
      </c>
      <c r="C140" s="2174"/>
      <c r="D140" s="2090"/>
      <c r="E140" s="2091">
        <f>6520.52+191.84</f>
        <v>6712.3600000000006</v>
      </c>
      <c r="F140" s="2090"/>
      <c r="G140" s="2089"/>
      <c r="H140" s="2087"/>
      <c r="I140" s="2091">
        <v>7238.68</v>
      </c>
      <c r="J140" s="1591"/>
      <c r="K140" s="2122">
        <v>6867.16</v>
      </c>
      <c r="L140" s="2087"/>
      <c r="M140" s="2091">
        <v>7129.58</v>
      </c>
      <c r="N140" s="2087"/>
      <c r="O140" s="2091">
        <v>5836.7</v>
      </c>
      <c r="P140" s="2087"/>
      <c r="Q140" s="2092">
        <v>5650.09</v>
      </c>
      <c r="R140" s="2063"/>
      <c r="S140" s="2193">
        <v>5751.88</v>
      </c>
      <c r="T140" s="2063"/>
      <c r="U140" s="2205">
        <v>5391.6</v>
      </c>
      <c r="V140" s="2063"/>
      <c r="W140" s="2205">
        <v>5280</v>
      </c>
      <c r="X140" s="1591"/>
      <c r="Y140" s="1486">
        <v>5247.75</v>
      </c>
      <c r="Z140" s="2148"/>
      <c r="AA140" s="2205">
        <v>5189.05</v>
      </c>
      <c r="AB140" s="397"/>
      <c r="AC140" s="1486">
        <v>5088.38</v>
      </c>
      <c r="AD140" s="2249"/>
      <c r="AE140" s="3762"/>
      <c r="AF140" s="2249"/>
      <c r="AG140" s="2142"/>
      <c r="AH140" s="3883"/>
      <c r="AI140" s="2212"/>
      <c r="AJ140" s="3883"/>
      <c r="AK140" s="2212"/>
    </row>
    <row r="141" spans="1:37" s="1570" customFormat="1" ht="12.75">
      <c r="A141" s="2063"/>
      <c r="B141" s="583" t="s">
        <v>3026</v>
      </c>
      <c r="C141" s="2174"/>
      <c r="D141" s="2090"/>
      <c r="E141" s="2091">
        <f>503.24+376.76</f>
        <v>880</v>
      </c>
      <c r="F141" s="2090"/>
      <c r="G141" s="2089"/>
      <c r="H141" s="2087"/>
      <c r="I141" s="2091">
        <v>2332.59</v>
      </c>
      <c r="J141" s="1591"/>
      <c r="K141" s="2114"/>
      <c r="L141" s="2087"/>
      <c r="M141" s="2091">
        <v>2528.7600000000002</v>
      </c>
      <c r="N141" s="2087"/>
      <c r="O141" s="2091">
        <f>2435.6+266.58</f>
        <v>2702.18</v>
      </c>
      <c r="P141" s="2087"/>
      <c r="Q141" s="2092">
        <v>2303.38</v>
      </c>
      <c r="R141" s="2063"/>
      <c r="S141" s="2193">
        <v>2306.52</v>
      </c>
      <c r="T141" s="2063"/>
      <c r="U141" s="2205">
        <v>2133.56</v>
      </c>
      <c r="V141" s="2063"/>
      <c r="W141" s="2205">
        <v>1076.8800000000001</v>
      </c>
      <c r="X141" s="1591"/>
      <c r="Y141" s="2163"/>
      <c r="Z141" s="2063"/>
      <c r="AA141" s="2205">
        <v>1388.93</v>
      </c>
      <c r="AB141" s="1591"/>
      <c r="AC141" s="2163"/>
      <c r="AD141" s="2241"/>
      <c r="AE141" s="2141"/>
      <c r="AF141" s="2241"/>
      <c r="AG141" s="2141"/>
      <c r="AH141" s="3883"/>
      <c r="AI141" s="2212"/>
      <c r="AJ141" s="3883"/>
      <c r="AK141" s="2212"/>
    </row>
    <row r="142" spans="1:37" s="1570" customFormat="1" ht="12.75" hidden="1">
      <c r="A142" s="2063"/>
      <c r="B142" s="583" t="s">
        <v>3027</v>
      </c>
      <c r="C142" s="2174"/>
      <c r="D142" s="2090"/>
      <c r="E142" s="2091"/>
      <c r="F142" s="2090"/>
      <c r="G142" s="2089"/>
      <c r="H142" s="2087"/>
      <c r="I142" s="2091"/>
      <c r="J142" s="1591"/>
      <c r="K142" s="2114"/>
      <c r="L142" s="2087"/>
      <c r="M142" s="2091"/>
      <c r="N142" s="2087"/>
      <c r="O142" s="2091"/>
      <c r="P142" s="2087"/>
      <c r="Q142" s="2092"/>
      <c r="R142" s="2063"/>
      <c r="S142" s="2193"/>
      <c r="T142" s="2063"/>
      <c r="U142" s="2205"/>
      <c r="V142" s="2063"/>
      <c r="W142" s="2205"/>
      <c r="X142" s="1591"/>
      <c r="Y142" s="2163"/>
      <c r="Z142" s="2063"/>
      <c r="AA142" s="2212"/>
      <c r="AB142" s="1591"/>
      <c r="AC142" s="2163"/>
      <c r="AD142" s="2241"/>
      <c r="AE142" s="2141"/>
      <c r="AF142" s="2241"/>
      <c r="AG142" s="2141"/>
      <c r="AH142" s="3883"/>
      <c r="AI142" s="2212"/>
      <c r="AJ142" s="3883"/>
      <c r="AK142" s="2212"/>
    </row>
    <row r="143" spans="1:37">
      <c r="A143" s="2063"/>
      <c r="B143" s="583" t="s">
        <v>3028</v>
      </c>
      <c r="C143" s="2174"/>
      <c r="D143" s="2090"/>
      <c r="E143" s="2091">
        <v>743.2</v>
      </c>
      <c r="F143" s="2090"/>
      <c r="G143" s="2089"/>
      <c r="H143" s="2087"/>
      <c r="I143" s="2091">
        <v>287.12</v>
      </c>
      <c r="J143" s="1591"/>
      <c r="K143" s="2122">
        <v>622.66</v>
      </c>
      <c r="L143" s="2087"/>
      <c r="M143" s="2091">
        <v>599.74</v>
      </c>
      <c r="N143" s="2087"/>
      <c r="O143" s="2091">
        <v>566.12</v>
      </c>
      <c r="P143" s="2087"/>
      <c r="Q143" s="2092">
        <v>547.62</v>
      </c>
      <c r="R143" s="2063"/>
      <c r="S143" s="2193">
        <v>530.73</v>
      </c>
      <c r="T143" s="2148"/>
      <c r="U143" s="2205">
        <v>538.44000000000005</v>
      </c>
      <c r="V143" s="2148"/>
      <c r="W143" s="2205">
        <v>531.4</v>
      </c>
      <c r="X143" s="397"/>
      <c r="Y143" s="1486">
        <v>526.23</v>
      </c>
      <c r="Z143" s="2148"/>
      <c r="AA143" s="2205">
        <v>531.99</v>
      </c>
      <c r="AB143" s="397"/>
      <c r="AC143" s="1486">
        <v>519.77</v>
      </c>
      <c r="AD143" s="2243"/>
      <c r="AE143" s="2143">
        <v>489.64</v>
      </c>
      <c r="AF143" s="2243"/>
      <c r="AG143" s="2143"/>
      <c r="AH143" s="3886"/>
      <c r="AI143" s="2143">
        <v>475.18</v>
      </c>
      <c r="AJ143" s="3886"/>
      <c r="AK143" s="2143"/>
    </row>
    <row r="144" spans="1:37" hidden="1">
      <c r="A144" s="2063"/>
      <c r="B144" s="583"/>
      <c r="C144" s="2174"/>
      <c r="D144" s="2090"/>
      <c r="E144" s="2091"/>
      <c r="F144" s="2090"/>
      <c r="G144" s="2089"/>
      <c r="H144" s="2087"/>
      <c r="I144" s="2091">
        <v>402.19</v>
      </c>
      <c r="J144" s="1591"/>
      <c r="K144" s="2122"/>
      <c r="L144" s="2087"/>
      <c r="M144" s="2091"/>
      <c r="N144" s="2087"/>
      <c r="O144" s="2091"/>
      <c r="P144" s="2087"/>
      <c r="Q144" s="2092"/>
      <c r="R144" s="2063"/>
      <c r="S144" s="2193"/>
      <c r="T144" s="2148"/>
      <c r="U144" s="2205"/>
      <c r="V144" s="2148"/>
      <c r="W144" s="2205"/>
      <c r="X144" s="397"/>
      <c r="Y144" s="1486"/>
      <c r="Z144" s="2148"/>
      <c r="AA144" s="2205"/>
      <c r="AB144" s="397"/>
      <c r="AC144" s="397"/>
      <c r="AD144" s="2243"/>
      <c r="AE144" s="2143"/>
      <c r="AF144" s="2243"/>
      <c r="AG144" s="2143"/>
      <c r="AH144" s="3886"/>
      <c r="AI144" s="2143"/>
      <c r="AJ144" s="3886"/>
      <c r="AK144" s="2143"/>
    </row>
    <row r="145" spans="1:37">
      <c r="A145" s="2063"/>
      <c r="B145" s="583" t="s">
        <v>3029</v>
      </c>
      <c r="C145" s="2174"/>
      <c r="D145" s="2090"/>
      <c r="E145" s="2091"/>
      <c r="F145" s="2090"/>
      <c r="G145" s="2089"/>
      <c r="H145" s="2087"/>
      <c r="I145" s="2091"/>
      <c r="J145" s="1591"/>
      <c r="K145" s="2122"/>
      <c r="L145" s="2087"/>
      <c r="M145" s="2091"/>
      <c r="N145" s="2087"/>
      <c r="O145" s="2091"/>
      <c r="P145" s="2087"/>
      <c r="Q145" s="2092"/>
      <c r="R145" s="2063"/>
      <c r="S145" s="2193"/>
      <c r="T145" s="2148"/>
      <c r="U145" s="2205"/>
      <c r="V145" s="2148"/>
      <c r="W145" s="2205"/>
      <c r="X145" s="397"/>
      <c r="Y145" s="1486"/>
      <c r="Z145" s="2148"/>
      <c r="AA145" s="2205"/>
      <c r="AB145" s="397"/>
      <c r="AC145" s="1486">
        <v>306.3</v>
      </c>
      <c r="AD145" s="2243"/>
      <c r="AE145" s="2143"/>
      <c r="AF145" s="2243"/>
      <c r="AG145" s="2143"/>
      <c r="AH145" s="3886"/>
      <c r="AI145" s="2143"/>
      <c r="AJ145" s="3886"/>
      <c r="AK145" s="2143"/>
    </row>
    <row r="146" spans="1:37">
      <c r="A146" s="2063"/>
      <c r="B146" s="583" t="s">
        <v>3015</v>
      </c>
      <c r="C146" s="2174"/>
      <c r="D146" s="2090"/>
      <c r="E146" s="2091"/>
      <c r="F146" s="2090"/>
      <c r="G146" s="2089"/>
      <c r="H146" s="2087"/>
      <c r="I146" s="2091"/>
      <c r="J146" s="1591"/>
      <c r="K146" s="2122"/>
      <c r="L146" s="2087"/>
      <c r="M146" s="2091"/>
      <c r="N146" s="2087"/>
      <c r="O146" s="2091"/>
      <c r="P146" s="2087"/>
      <c r="Q146" s="2092"/>
      <c r="R146" s="2063"/>
      <c r="S146" s="2193"/>
      <c r="T146" s="2148"/>
      <c r="U146" s="2205"/>
      <c r="V146" s="2148"/>
      <c r="W146" s="2205"/>
      <c r="X146" s="397"/>
      <c r="Y146" s="1486"/>
      <c r="Z146" s="2148"/>
      <c r="AA146" s="2205"/>
      <c r="AB146" s="397"/>
      <c r="AC146" s="1486"/>
      <c r="AD146" s="2243"/>
      <c r="AE146" s="2143"/>
      <c r="AF146" s="2243"/>
      <c r="AG146" s="2143"/>
      <c r="AH146" s="3886"/>
      <c r="AI146" s="2143">
        <v>1468.37</v>
      </c>
      <c r="AJ146" s="3886"/>
      <c r="AK146" s="2143">
        <v>744.66</v>
      </c>
    </row>
    <row r="147" spans="1:37">
      <c r="A147" s="2063"/>
      <c r="B147" s="583" t="s">
        <v>3015</v>
      </c>
      <c r="C147" s="2174"/>
      <c r="D147" s="2090"/>
      <c r="E147" s="2091"/>
      <c r="F147" s="2090"/>
      <c r="G147" s="2089"/>
      <c r="H147" s="2087"/>
      <c r="I147" s="2091"/>
      <c r="J147" s="1591"/>
      <c r="K147" s="2122"/>
      <c r="L147" s="2087"/>
      <c r="M147" s="2091"/>
      <c r="N147" s="2087"/>
      <c r="O147" s="2091"/>
      <c r="P147" s="2087"/>
      <c r="Q147" s="2092"/>
      <c r="R147" s="2063"/>
      <c r="S147" s="2193"/>
      <c r="T147" s="2148"/>
      <c r="U147" s="2205"/>
      <c r="V147" s="2148"/>
      <c r="W147" s="2205"/>
      <c r="X147" s="397"/>
      <c r="Y147" s="1486"/>
      <c r="Z147" s="2148"/>
      <c r="AA147" s="2205"/>
      <c r="AB147" s="397"/>
      <c r="AC147" s="1486"/>
      <c r="AD147" s="2243"/>
      <c r="AE147" s="2143"/>
      <c r="AF147" s="2243"/>
      <c r="AG147" s="2143"/>
      <c r="AH147" s="3886"/>
      <c r="AI147" s="2143">
        <v>978.91</v>
      </c>
      <c r="AJ147" s="3886"/>
      <c r="AK147" s="2143">
        <v>153.53</v>
      </c>
    </row>
    <row r="148" spans="1:37">
      <c r="A148" s="2148"/>
      <c r="B148" s="583" t="s">
        <v>3030</v>
      </c>
      <c r="C148" s="2174"/>
      <c r="D148" s="2090"/>
      <c r="E148" s="2091"/>
      <c r="F148" s="2090"/>
      <c r="G148" s="2089"/>
      <c r="H148" s="2087"/>
      <c r="I148" s="2091">
        <f>175.85+168.24</f>
        <v>344.09000000000003</v>
      </c>
      <c r="J148" s="1591"/>
      <c r="K148" s="2122"/>
      <c r="L148" s="2087"/>
      <c r="M148" s="2091">
        <v>167.26</v>
      </c>
      <c r="N148" s="2087"/>
      <c r="O148" s="2091">
        <v>165.73</v>
      </c>
      <c r="P148" s="2087"/>
      <c r="Q148" s="2092">
        <v>165.11</v>
      </c>
      <c r="R148" s="2063"/>
      <c r="S148" s="2193">
        <v>163.76</v>
      </c>
      <c r="T148" s="2148"/>
      <c r="U148" s="2205">
        <v>159.82</v>
      </c>
      <c r="V148" s="2148"/>
      <c r="W148" s="2205">
        <v>156.96</v>
      </c>
      <c r="X148" s="397"/>
      <c r="Y148" s="1486">
        <v>153.47</v>
      </c>
      <c r="Z148" s="2148"/>
      <c r="AA148" s="2205">
        <v>151.77000000000001</v>
      </c>
      <c r="AB148" s="397"/>
      <c r="AC148" s="1486">
        <v>142.1</v>
      </c>
      <c r="AD148" s="2243"/>
      <c r="AE148" s="2143">
        <v>141.38999999999999</v>
      </c>
      <c r="AF148" s="2243"/>
      <c r="AG148" s="2143">
        <v>135.91999999999999</v>
      </c>
      <c r="AH148" s="3886"/>
      <c r="AI148" s="2143">
        <v>163.69</v>
      </c>
      <c r="AJ148" s="3886"/>
      <c r="AK148" s="2143"/>
    </row>
    <row r="149" spans="1:37" ht="15.75" thickBot="1">
      <c r="A149" s="2148"/>
      <c r="B149" s="583" t="s">
        <v>7544</v>
      </c>
      <c r="C149" s="2174"/>
      <c r="D149" s="2090"/>
      <c r="E149" s="2091"/>
      <c r="F149" s="2090"/>
      <c r="G149" s="2089"/>
      <c r="H149" s="2087"/>
      <c r="I149" s="2091"/>
      <c r="J149" s="1591"/>
      <c r="K149" s="2122"/>
      <c r="L149" s="2087"/>
      <c r="M149" s="2091"/>
      <c r="N149" s="2087"/>
      <c r="O149" s="2091"/>
      <c r="P149" s="2087"/>
      <c r="Q149" s="2092"/>
      <c r="R149" s="2063"/>
      <c r="S149" s="2193"/>
      <c r="T149" s="2148"/>
      <c r="U149" s="2205"/>
      <c r="V149" s="2148"/>
      <c r="W149" s="2205"/>
      <c r="X149" s="397"/>
      <c r="Y149" s="1486"/>
      <c r="Z149" s="2148"/>
      <c r="AA149" s="2205"/>
      <c r="AB149" s="397"/>
      <c r="AC149" s="1486"/>
      <c r="AD149" s="2243"/>
      <c r="AE149" s="2143"/>
      <c r="AF149" s="2243"/>
      <c r="AG149" s="2143">
        <v>8333</v>
      </c>
      <c r="AH149" s="3886"/>
      <c r="AI149" s="2143"/>
      <c r="AJ149" s="3886"/>
      <c r="AK149" s="2143"/>
    </row>
    <row r="150" spans="1:37">
      <c r="A150" s="2148"/>
      <c r="B150" s="583"/>
      <c r="C150" s="2180" t="s">
        <v>2969</v>
      </c>
      <c r="D150" s="2108">
        <f>E133-D133</f>
        <v>-1764.4399999999987</v>
      </c>
      <c r="E150" s="2091"/>
      <c r="F150" s="2119">
        <f>G133-F133</f>
        <v>-15000</v>
      </c>
      <c r="G150" s="2091"/>
      <c r="H150" s="2119">
        <f>I133-H133</f>
        <v>3298.4999999999964</v>
      </c>
      <c r="I150" s="2091"/>
      <c r="J150" s="2119">
        <f>K133-J133</f>
        <v>-298.54999999999927</v>
      </c>
      <c r="K150" s="2091"/>
      <c r="L150" s="2119">
        <f>M133-L133</f>
        <v>2686.84</v>
      </c>
      <c r="M150" s="2091"/>
      <c r="N150" s="2119">
        <f>O133-N133</f>
        <v>2196.369999999999</v>
      </c>
      <c r="O150" s="2091"/>
      <c r="P150" s="2119">
        <f>Q133-P133</f>
        <v>1423.7000000000007</v>
      </c>
      <c r="Q150" s="2092"/>
      <c r="R150" s="2297">
        <f>S133-R133</f>
        <v>1543.6499999999978</v>
      </c>
      <c r="S150" s="2193"/>
      <c r="T150" s="2298">
        <f>U133-T133</f>
        <v>-15839.1</v>
      </c>
      <c r="U150" s="1998"/>
      <c r="V150" s="2148"/>
      <c r="W150" s="2205"/>
      <c r="X150" s="397"/>
      <c r="Y150" s="1486"/>
      <c r="Z150" s="2148"/>
      <c r="AA150" s="2205"/>
      <c r="AB150" s="397"/>
      <c r="AC150" s="1486"/>
      <c r="AD150" s="2243"/>
      <c r="AE150" s="2143"/>
      <c r="AF150" s="2243"/>
      <c r="AG150" s="2143"/>
      <c r="AH150" s="3887"/>
      <c r="AI150" s="2169"/>
      <c r="AJ150" s="3887"/>
      <c r="AK150" s="2169"/>
    </row>
    <row r="151" spans="1:37">
      <c r="A151" s="2008" t="s">
        <v>3031</v>
      </c>
      <c r="B151" s="2081"/>
      <c r="C151" s="2172" t="s">
        <v>3032</v>
      </c>
      <c r="D151" s="2084">
        <v>158387</v>
      </c>
      <c r="E151" s="2083">
        <f>SUM(E152:E168)</f>
        <v>120019.16999999998</v>
      </c>
      <c r="F151" s="2084"/>
      <c r="G151" s="2098"/>
      <c r="H151" s="2299">
        <v>161938</v>
      </c>
      <c r="I151" s="2083">
        <f>SUM(I152:I167)</f>
        <v>121594.04000000002</v>
      </c>
      <c r="J151" s="2299">
        <v>164270</v>
      </c>
      <c r="K151" s="2083">
        <f>SUM(K152:K167)</f>
        <v>122260.92</v>
      </c>
      <c r="L151" s="2230">
        <v>165913</v>
      </c>
      <c r="M151" s="2083">
        <f>SUM(M152:M167)</f>
        <v>130450.45999999999</v>
      </c>
      <c r="N151" s="2230">
        <v>172384</v>
      </c>
      <c r="O151" s="2083">
        <f>SUM(O152:O167)</f>
        <v>127115.82999999999</v>
      </c>
      <c r="P151" s="2230">
        <v>182202</v>
      </c>
      <c r="Q151" s="2084">
        <f>SUM(Q152:Q167)</f>
        <v>128624.16000000002</v>
      </c>
      <c r="R151" s="2300">
        <v>182202</v>
      </c>
      <c r="S151" s="2191">
        <f>SUM(S152:S167)</f>
        <v>127228.25999999997</v>
      </c>
      <c r="T151" s="2300">
        <v>182202</v>
      </c>
      <c r="U151" s="2191">
        <f>SUM(U152:U167)</f>
        <v>126233.20999999999</v>
      </c>
      <c r="V151" s="2190"/>
      <c r="W151" s="2191">
        <f>SUM(W152:W167)</f>
        <v>135293.23000000001</v>
      </c>
      <c r="X151" s="2100"/>
      <c r="Y151" s="2230">
        <f>SUM(Y152:Y167)</f>
        <v>133429.97999999998</v>
      </c>
      <c r="Z151" s="2257"/>
      <c r="AA151" s="2211">
        <f>SUM(AA152:AA167)</f>
        <v>116990.37000000001</v>
      </c>
      <c r="AB151" s="2100"/>
      <c r="AC151" s="2230">
        <f>SUM(AC152:AC167)</f>
        <v>90475.319999999992</v>
      </c>
      <c r="AD151" s="2244"/>
      <c r="AE151" s="2086">
        <f>SUM(AE152:AE167)</f>
        <v>98627.22</v>
      </c>
      <c r="AF151" s="2244"/>
      <c r="AG151" s="2086">
        <f>SUM(AG152:AG167)</f>
        <v>0</v>
      </c>
      <c r="AH151" s="3888"/>
      <c r="AI151" s="2086">
        <f>SUM(AI152:AI167)</f>
        <v>0</v>
      </c>
      <c r="AJ151" s="3888"/>
      <c r="AK151" s="2086">
        <f>SUM(AK152:AK167)</f>
        <v>0</v>
      </c>
    </row>
    <row r="152" spans="1:37" ht="15.75" thickBot="1">
      <c r="A152" s="2063"/>
      <c r="B152" s="583" t="s">
        <v>3033</v>
      </c>
      <c r="C152" s="2174" t="s">
        <v>3034</v>
      </c>
      <c r="D152" s="2092"/>
      <c r="E152" s="2091">
        <v>6865.85</v>
      </c>
      <c r="F152" s="2090"/>
      <c r="G152" s="2091"/>
      <c r="H152" s="572"/>
      <c r="I152" s="2091">
        <v>7199.09</v>
      </c>
      <c r="J152" s="572"/>
      <c r="K152" s="2091">
        <v>7547.34</v>
      </c>
      <c r="L152" s="397"/>
      <c r="M152" s="2091">
        <v>7149.25</v>
      </c>
      <c r="N152" s="397"/>
      <c r="O152" s="2096">
        <v>8420.61</v>
      </c>
      <c r="P152" s="397"/>
      <c r="Q152" s="1048">
        <v>8931.08</v>
      </c>
      <c r="R152" s="2148"/>
      <c r="S152" s="2195">
        <v>6829.56</v>
      </c>
      <c r="T152" s="2148"/>
      <c r="U152" s="2195">
        <v>6599.26</v>
      </c>
      <c r="V152" s="2148"/>
      <c r="W152" s="2205">
        <v>6695.96</v>
      </c>
      <c r="X152" s="397"/>
      <c r="Y152" s="1486">
        <v>5927.52</v>
      </c>
      <c r="Z152" s="2148"/>
      <c r="AA152" s="2205">
        <v>6134.11</v>
      </c>
      <c r="AB152" s="397"/>
      <c r="AC152" s="1486">
        <v>3234.16</v>
      </c>
      <c r="AD152" s="2243"/>
      <c r="AE152" s="2143">
        <v>4663.13</v>
      </c>
      <c r="AF152" s="2243"/>
      <c r="AG152" s="2143"/>
      <c r="AH152" s="3889"/>
      <c r="AI152" s="2269"/>
      <c r="AJ152" s="3886"/>
      <c r="AK152" s="2143"/>
    </row>
    <row r="153" spans="1:37" ht="15.75" thickBot="1">
      <c r="A153" s="2063"/>
      <c r="B153" s="583" t="s">
        <v>3035</v>
      </c>
      <c r="C153" s="2174" t="s">
        <v>7326</v>
      </c>
      <c r="D153" s="2092"/>
      <c r="E153" s="2091">
        <v>13651.1</v>
      </c>
      <c r="F153" s="2111"/>
      <c r="G153" s="2091"/>
      <c r="H153" s="572"/>
      <c r="I153" s="2091">
        <v>14045.11</v>
      </c>
      <c r="J153" s="572"/>
      <c r="K153" s="2091">
        <v>13706.48</v>
      </c>
      <c r="L153" s="397"/>
      <c r="M153" s="2091">
        <v>14511.49</v>
      </c>
      <c r="N153" s="397"/>
      <c r="O153" s="2096">
        <v>11624.64</v>
      </c>
      <c r="P153" s="397"/>
      <c r="Q153" s="1048">
        <v>14566.7</v>
      </c>
      <c r="R153" s="2148"/>
      <c r="S153" s="2195">
        <v>13109.19</v>
      </c>
      <c r="T153" s="2148"/>
      <c r="U153" s="2195">
        <v>13098.19</v>
      </c>
      <c r="V153" s="2148"/>
      <c r="W153" s="2205">
        <v>16954.27</v>
      </c>
      <c r="X153" s="397"/>
      <c r="Y153" s="1486">
        <v>14407.21</v>
      </c>
      <c r="Z153" s="2148"/>
      <c r="AA153" s="2205">
        <v>14658.01</v>
      </c>
      <c r="AB153" s="397"/>
      <c r="AC153" s="1486">
        <v>10977.26</v>
      </c>
      <c r="AD153" s="2243"/>
      <c r="AE153" s="2143">
        <v>12680.23</v>
      </c>
      <c r="AF153" s="2243"/>
      <c r="AG153" s="2143"/>
      <c r="AH153" s="3886"/>
      <c r="AI153" s="2143"/>
      <c r="AJ153" s="3886"/>
      <c r="AK153" s="2143"/>
    </row>
    <row r="154" spans="1:37" ht="15.75" thickBot="1">
      <c r="A154" s="2063"/>
      <c r="B154" s="583" t="s">
        <v>3036</v>
      </c>
      <c r="C154" s="1998"/>
      <c r="D154" s="2092"/>
      <c r="E154" s="2091">
        <v>2776.13</v>
      </c>
      <c r="F154" s="2111"/>
      <c r="G154" s="2091"/>
      <c r="H154" s="572"/>
      <c r="I154" s="2091">
        <v>2907.3</v>
      </c>
      <c r="J154" s="572"/>
      <c r="K154" s="2091">
        <v>1966.03</v>
      </c>
      <c r="L154" s="397"/>
      <c r="M154" s="2091">
        <v>2134.0500000000002</v>
      </c>
      <c r="N154" s="397"/>
      <c r="O154" s="2096">
        <v>2112.23</v>
      </c>
      <c r="P154" s="397"/>
      <c r="Q154" s="1048">
        <v>2285.69</v>
      </c>
      <c r="R154" s="2148"/>
      <c r="S154" s="2195">
        <v>3135.46</v>
      </c>
      <c r="T154" s="2148"/>
      <c r="U154" s="2195">
        <v>2389.2600000000002</v>
      </c>
      <c r="V154" s="2148"/>
      <c r="W154" s="2205">
        <v>2002.78</v>
      </c>
      <c r="X154" s="397"/>
      <c r="Y154" s="1486">
        <v>2328.67</v>
      </c>
      <c r="Z154" s="2148"/>
      <c r="AA154" s="2205">
        <v>2564.08</v>
      </c>
      <c r="AB154" s="397"/>
      <c r="AC154" s="1486">
        <v>2408.27</v>
      </c>
      <c r="AD154" s="2243"/>
      <c r="AE154" s="2143">
        <v>2928.49</v>
      </c>
      <c r="AF154" s="2243"/>
      <c r="AG154" s="2143"/>
      <c r="AH154" s="3886"/>
      <c r="AI154" s="2143"/>
      <c r="AJ154" s="3886"/>
      <c r="AK154" s="2143"/>
    </row>
    <row r="155" spans="1:37" ht="15.75" thickBot="1">
      <c r="A155" s="2063"/>
      <c r="B155" s="583" t="s">
        <v>3037</v>
      </c>
      <c r="C155" s="1998"/>
      <c r="D155" s="2092"/>
      <c r="E155" s="2091">
        <v>5280.86</v>
      </c>
      <c r="F155" s="2111"/>
      <c r="G155" s="2091"/>
      <c r="H155" s="572"/>
      <c r="I155" s="2091">
        <v>6429.51</v>
      </c>
      <c r="J155" s="572"/>
      <c r="K155" s="2091">
        <v>6121.47</v>
      </c>
      <c r="L155" s="397"/>
      <c r="M155" s="2091">
        <v>6265.32</v>
      </c>
      <c r="N155" s="397"/>
      <c r="O155" s="2096">
        <v>6315.67</v>
      </c>
      <c r="P155" s="397"/>
      <c r="Q155" s="1048">
        <v>6350.9</v>
      </c>
      <c r="R155" s="2148"/>
      <c r="S155" s="2195">
        <v>6498.05</v>
      </c>
      <c r="T155" s="2148"/>
      <c r="U155" s="2195">
        <v>6604.69</v>
      </c>
      <c r="V155" s="2148"/>
      <c r="W155" s="2205">
        <v>6607.86</v>
      </c>
      <c r="X155" s="397"/>
      <c r="Y155" s="1486">
        <v>6909.25</v>
      </c>
      <c r="Z155" s="2148"/>
      <c r="AA155" s="2205">
        <v>7066.89</v>
      </c>
      <c r="AB155" s="397"/>
      <c r="AC155" s="1486">
        <v>3459.16</v>
      </c>
      <c r="AD155" s="2243"/>
      <c r="AE155" s="2143">
        <v>2327.4</v>
      </c>
      <c r="AF155" s="2243"/>
      <c r="AG155" s="2143"/>
      <c r="AH155" s="3886"/>
      <c r="AI155" s="2143"/>
      <c r="AJ155" s="3886"/>
      <c r="AK155" s="2143"/>
    </row>
    <row r="156" spans="1:37" ht="15.75" thickBot="1">
      <c r="A156" s="2063"/>
      <c r="B156" s="583" t="s">
        <v>3038</v>
      </c>
      <c r="C156" s="1998"/>
      <c r="D156" s="2092"/>
      <c r="E156" s="2091">
        <v>7693.98</v>
      </c>
      <c r="F156" s="2111"/>
      <c r="G156" s="2091"/>
      <c r="H156" s="572"/>
      <c r="I156" s="2091">
        <v>7466.32</v>
      </c>
      <c r="J156" s="572"/>
      <c r="K156" s="2091">
        <v>7180.25</v>
      </c>
      <c r="L156" s="397"/>
      <c r="M156" s="2091">
        <v>7616.21</v>
      </c>
      <c r="N156" s="397"/>
      <c r="O156" s="2096">
        <v>7594.44</v>
      </c>
      <c r="P156" s="397"/>
      <c r="Q156" s="1048">
        <v>7820.29</v>
      </c>
      <c r="R156" s="2148"/>
      <c r="S156" s="2195">
        <v>8179.87</v>
      </c>
      <c r="T156" s="2148"/>
      <c r="U156" s="2195">
        <v>8397.51</v>
      </c>
      <c r="V156" s="2148"/>
      <c r="W156" s="2205">
        <v>8411.35</v>
      </c>
      <c r="X156" s="397"/>
      <c r="Y156" s="1486">
        <v>8840.35</v>
      </c>
      <c r="Z156" s="2148"/>
      <c r="AA156" s="2205">
        <v>9013.7099999999991</v>
      </c>
      <c r="AB156" s="397"/>
      <c r="AC156" s="1486">
        <v>4470.7</v>
      </c>
      <c r="AD156" s="2243"/>
      <c r="AE156" s="2143">
        <v>2621.3000000000002</v>
      </c>
      <c r="AF156" s="2243"/>
      <c r="AG156" s="2143"/>
      <c r="AH156" s="3886"/>
      <c r="AI156" s="2143"/>
      <c r="AJ156" s="3886"/>
      <c r="AK156" s="2143"/>
    </row>
    <row r="157" spans="1:37" ht="15.75" thickBot="1">
      <c r="A157" s="2063"/>
      <c r="B157" s="583" t="s">
        <v>3039</v>
      </c>
      <c r="C157" s="1998"/>
      <c r="D157" s="2092"/>
      <c r="E157" s="2091">
        <v>3427.29</v>
      </c>
      <c r="F157" s="2111"/>
      <c r="G157" s="2091"/>
      <c r="H157" s="572"/>
      <c r="I157" s="2091">
        <v>3650.3</v>
      </c>
      <c r="J157" s="572"/>
      <c r="K157" s="2091">
        <v>2554.5300000000002</v>
      </c>
      <c r="L157" s="397"/>
      <c r="M157" s="2091">
        <v>4305.9399999999996</v>
      </c>
      <c r="N157" s="397"/>
      <c r="O157" s="2096">
        <v>2687.15</v>
      </c>
      <c r="P157" s="397"/>
      <c r="Q157" s="1048">
        <v>3227</v>
      </c>
      <c r="R157" s="2148"/>
      <c r="S157" s="2195">
        <v>2406.4499999999998</v>
      </c>
      <c r="T157" s="2148"/>
      <c r="U157" s="2195">
        <v>2999.87</v>
      </c>
      <c r="V157" s="2148"/>
      <c r="W157" s="2205">
        <v>2156.2800000000002</v>
      </c>
      <c r="X157" s="397"/>
      <c r="Y157" s="1486">
        <v>2544.86</v>
      </c>
      <c r="Z157" s="2148"/>
      <c r="AA157" s="2205">
        <v>3210.75</v>
      </c>
      <c r="AB157" s="397"/>
      <c r="AC157" s="1486">
        <v>2618.16</v>
      </c>
      <c r="AD157" s="2243"/>
      <c r="AE157" s="2143">
        <v>6493.8</v>
      </c>
      <c r="AF157" s="2243"/>
      <c r="AG157" s="2143"/>
      <c r="AH157" s="3886"/>
      <c r="AI157" s="2143"/>
      <c r="AJ157" s="3886"/>
      <c r="AK157" s="2143"/>
    </row>
    <row r="158" spans="1:37" ht="15.75" thickBot="1">
      <c r="A158" s="2063"/>
      <c r="B158" s="583" t="s">
        <v>3040</v>
      </c>
      <c r="C158" s="1998"/>
      <c r="D158" s="2092"/>
      <c r="E158" s="2091">
        <v>17243.77</v>
      </c>
      <c r="F158" s="2111"/>
      <c r="G158" s="2091"/>
      <c r="H158" s="572"/>
      <c r="I158" s="2091">
        <v>17413.3</v>
      </c>
      <c r="J158" s="572"/>
      <c r="K158" s="2091">
        <v>16925.34</v>
      </c>
      <c r="L158" s="397"/>
      <c r="M158" s="2091">
        <v>18073.55</v>
      </c>
      <c r="N158" s="397"/>
      <c r="O158" s="2096">
        <v>16560.79</v>
      </c>
      <c r="P158" s="397"/>
      <c r="Q158" s="1048">
        <v>17594.04</v>
      </c>
      <c r="R158" s="2148"/>
      <c r="S158" s="2195">
        <v>17470.63</v>
      </c>
      <c r="T158" s="2148"/>
      <c r="U158" s="2195">
        <v>16744</v>
      </c>
      <c r="V158" s="2148"/>
      <c r="W158" s="2205">
        <v>19248.09</v>
      </c>
      <c r="X158" s="397"/>
      <c r="Y158" s="1486">
        <v>19343.48</v>
      </c>
      <c r="Z158" s="2148"/>
      <c r="AA158" s="2205">
        <v>19277.97</v>
      </c>
      <c r="AB158" s="397"/>
      <c r="AC158" s="1486">
        <v>14919.19</v>
      </c>
      <c r="AD158" s="2243"/>
      <c r="AE158" s="2143">
        <v>16425.91</v>
      </c>
      <c r="AF158" s="2243"/>
      <c r="AG158" s="2143"/>
      <c r="AH158" s="3886"/>
      <c r="AI158" s="2143"/>
      <c r="AJ158" s="3886"/>
      <c r="AK158" s="2143"/>
    </row>
    <row r="159" spans="1:37" ht="15.75" thickBot="1">
      <c r="A159" s="2063"/>
      <c r="B159" s="583" t="s">
        <v>3041</v>
      </c>
      <c r="C159" s="1998"/>
      <c r="D159" s="2092"/>
      <c r="E159" s="2091">
        <v>8263.0300000000007</v>
      </c>
      <c r="F159" s="2111"/>
      <c r="G159" s="2091"/>
      <c r="H159" s="572"/>
      <c r="I159" s="2091">
        <v>8736.5499999999993</v>
      </c>
      <c r="J159" s="572"/>
      <c r="K159" s="2091">
        <v>8951.6200000000008</v>
      </c>
      <c r="L159" s="397"/>
      <c r="M159" s="2091">
        <v>9621.81</v>
      </c>
      <c r="N159" s="397"/>
      <c r="O159" s="2096">
        <v>10118.99</v>
      </c>
      <c r="P159" s="397"/>
      <c r="Q159" s="1048">
        <v>10306.709999999999</v>
      </c>
      <c r="R159" s="2148"/>
      <c r="S159" s="2195">
        <v>8311.4599999999991</v>
      </c>
      <c r="T159" s="2148"/>
      <c r="U159" s="2195">
        <v>8308.1200000000008</v>
      </c>
      <c r="V159" s="2148"/>
      <c r="W159" s="2205">
        <v>8428.7199999999993</v>
      </c>
      <c r="X159" s="397"/>
      <c r="Y159" s="1486">
        <v>7854.9</v>
      </c>
      <c r="Z159" s="2148"/>
      <c r="AA159" s="2205">
        <v>7897.58</v>
      </c>
      <c r="AB159" s="397"/>
      <c r="AC159" s="1486">
        <v>3074.97</v>
      </c>
      <c r="AD159" s="2243"/>
      <c r="AE159" s="2143">
        <v>5481.84</v>
      </c>
      <c r="AF159" s="2243"/>
      <c r="AG159" s="2143"/>
      <c r="AH159" s="3886"/>
      <c r="AI159" s="2143"/>
      <c r="AJ159" s="3886"/>
      <c r="AK159" s="2143"/>
    </row>
    <row r="160" spans="1:37" ht="15.75" thickBot="1">
      <c r="A160" s="2063"/>
      <c r="B160" s="583" t="s">
        <v>3042</v>
      </c>
      <c r="C160" s="1998"/>
      <c r="D160" s="2092"/>
      <c r="E160" s="2091">
        <v>11170.13</v>
      </c>
      <c r="F160" s="2111"/>
      <c r="G160" s="2091"/>
      <c r="H160" s="572"/>
      <c r="I160" s="2091">
        <v>11378.67</v>
      </c>
      <c r="J160" s="572"/>
      <c r="K160" s="2096">
        <v>11523.09</v>
      </c>
      <c r="L160" s="397"/>
      <c r="M160" s="2096">
        <v>12429.82</v>
      </c>
      <c r="N160" s="397"/>
      <c r="O160" s="2096">
        <v>9799.0400000000009</v>
      </c>
      <c r="P160" s="397"/>
      <c r="Q160" s="1048">
        <v>12117.67</v>
      </c>
      <c r="R160" s="2148"/>
      <c r="S160" s="2195">
        <v>11740.15</v>
      </c>
      <c r="T160" s="2148"/>
      <c r="U160" s="2195">
        <v>11971.32</v>
      </c>
      <c r="V160" s="2148"/>
      <c r="W160" s="2205">
        <v>12893.4</v>
      </c>
      <c r="X160" s="397"/>
      <c r="Y160" s="1486">
        <v>12919.34</v>
      </c>
      <c r="Z160" s="2148"/>
      <c r="AA160" s="2205">
        <v>12709.35</v>
      </c>
      <c r="AB160" s="397"/>
      <c r="AC160" s="1486">
        <v>11078.83</v>
      </c>
      <c r="AD160" s="2243"/>
      <c r="AE160" s="2143">
        <v>11463.86</v>
      </c>
      <c r="AF160" s="2243"/>
      <c r="AG160" s="2143"/>
      <c r="AH160" s="3886"/>
      <c r="AI160" s="2143"/>
      <c r="AJ160" s="3886"/>
      <c r="AK160" s="2143"/>
    </row>
    <row r="161" spans="1:37" ht="15.75" thickBot="1">
      <c r="A161" s="2063"/>
      <c r="B161" s="583" t="s">
        <v>3043</v>
      </c>
      <c r="C161" s="1998"/>
      <c r="D161" s="2092"/>
      <c r="E161" s="2091">
        <v>4479.29</v>
      </c>
      <c r="F161" s="2111"/>
      <c r="G161" s="2091"/>
      <c r="H161" s="572"/>
      <c r="I161" s="2091">
        <v>5107.08</v>
      </c>
      <c r="J161" s="572"/>
      <c r="K161" s="2096">
        <v>5491.03</v>
      </c>
      <c r="L161" s="397"/>
      <c r="M161" s="2096">
        <v>5749.84</v>
      </c>
      <c r="N161" s="397"/>
      <c r="O161" s="2096">
        <v>6157.61</v>
      </c>
      <c r="P161" s="397"/>
      <c r="Q161" s="1048">
        <v>5421.35</v>
      </c>
      <c r="R161" s="2148"/>
      <c r="S161" s="2195">
        <v>5684.41</v>
      </c>
      <c r="T161" s="2148"/>
      <c r="U161" s="2195">
        <v>5729.86</v>
      </c>
      <c r="V161" s="2148"/>
      <c r="W161" s="2205">
        <v>5968.35</v>
      </c>
      <c r="X161" s="397"/>
      <c r="Y161" s="1486">
        <v>6291.38</v>
      </c>
      <c r="Z161" s="2148"/>
      <c r="AA161" s="2205">
        <v>4352.1499999999996</v>
      </c>
      <c r="AB161" s="397"/>
      <c r="AC161" s="1486">
        <v>3179.06</v>
      </c>
      <c r="AD161" s="2243"/>
      <c r="AE161" s="2143">
        <v>4377.5200000000004</v>
      </c>
      <c r="AF161" s="2243"/>
      <c r="AG161" s="2143"/>
      <c r="AH161" s="3886"/>
      <c r="AI161" s="2143"/>
      <c r="AJ161" s="3886"/>
      <c r="AK161" s="2143"/>
    </row>
    <row r="162" spans="1:37" ht="15.75" thickBot="1">
      <c r="A162" s="2063"/>
      <c r="B162" s="583" t="s">
        <v>3044</v>
      </c>
      <c r="C162" s="1998"/>
      <c r="D162" s="2092"/>
      <c r="E162" s="2091">
        <v>3451.03</v>
      </c>
      <c r="F162" s="2111"/>
      <c r="G162" s="2091"/>
      <c r="H162" s="572"/>
      <c r="I162" s="2091">
        <v>3517.72</v>
      </c>
      <c r="J162" s="572"/>
      <c r="K162" s="2096">
        <v>3726.01</v>
      </c>
      <c r="L162" s="397"/>
      <c r="M162" s="2096">
        <v>3928.57</v>
      </c>
      <c r="N162" s="397"/>
      <c r="O162" s="2096">
        <v>4121.88</v>
      </c>
      <c r="P162" s="397"/>
      <c r="Q162" s="1048">
        <v>3771</v>
      </c>
      <c r="R162" s="2148"/>
      <c r="S162" s="2195">
        <v>5962.3</v>
      </c>
      <c r="T162" s="2148"/>
      <c r="U162" s="2195">
        <v>4056.12</v>
      </c>
      <c r="V162" s="2148"/>
      <c r="W162" s="2205">
        <v>4305.91</v>
      </c>
      <c r="X162" s="397"/>
      <c r="Y162" s="1486">
        <v>6502.79</v>
      </c>
      <c r="Z162" s="2148"/>
      <c r="AA162" s="2205">
        <v>1250.5999999999999</v>
      </c>
      <c r="AB162" s="397"/>
      <c r="AC162" s="1486">
        <v>653.91999999999996</v>
      </c>
      <c r="AD162" s="2243"/>
      <c r="AE162" s="2143">
        <v>491.47</v>
      </c>
      <c r="AF162" s="2243"/>
      <c r="AG162" s="2143"/>
      <c r="AH162" s="3886"/>
      <c r="AI162" s="2143"/>
      <c r="AJ162" s="3886"/>
      <c r="AK162" s="2143"/>
    </row>
    <row r="163" spans="1:37" ht="15.75" thickBot="1">
      <c r="A163" s="2063"/>
      <c r="B163" s="583" t="s">
        <v>3045</v>
      </c>
      <c r="C163" s="1998"/>
      <c r="D163" s="2092"/>
      <c r="E163" s="2091">
        <v>950.12</v>
      </c>
      <c r="F163" s="2111"/>
      <c r="G163" s="2091"/>
      <c r="H163" s="572"/>
      <c r="I163" s="2091">
        <v>655.35</v>
      </c>
      <c r="J163" s="572"/>
      <c r="K163" s="2096">
        <v>665.88</v>
      </c>
      <c r="L163" s="397"/>
      <c r="M163" s="2096">
        <v>747.84</v>
      </c>
      <c r="N163" s="397"/>
      <c r="O163" s="2096">
        <v>746.98</v>
      </c>
      <c r="P163" s="397"/>
      <c r="Q163" s="1048">
        <v>761.89</v>
      </c>
      <c r="R163" s="2148"/>
      <c r="S163" s="2195">
        <v>796.42</v>
      </c>
      <c r="T163" s="2148"/>
      <c r="U163" s="2195">
        <v>796.42</v>
      </c>
      <c r="V163" s="2148"/>
      <c r="W163" s="2205">
        <v>491.61</v>
      </c>
      <c r="X163" s="397"/>
      <c r="Y163" s="1486">
        <v>791.75</v>
      </c>
      <c r="Z163" s="2148"/>
      <c r="AA163" s="2205">
        <v>555.29999999999995</v>
      </c>
      <c r="AB163" s="397"/>
      <c r="AC163" s="1486">
        <v>922.02</v>
      </c>
      <c r="AD163" s="2243"/>
      <c r="AE163" s="2143">
        <v>1002.08</v>
      </c>
      <c r="AF163" s="2243"/>
      <c r="AG163" s="2143"/>
      <c r="AH163" s="3886"/>
      <c r="AI163" s="2143"/>
      <c r="AJ163" s="3886"/>
      <c r="AK163" s="2143"/>
    </row>
    <row r="164" spans="1:37" ht="15.75" thickBot="1">
      <c r="A164" s="2063"/>
      <c r="B164" s="583" t="s">
        <v>3046</v>
      </c>
      <c r="C164" s="1998"/>
      <c r="D164" s="2092"/>
      <c r="E164" s="2091">
        <v>16441.86</v>
      </c>
      <c r="F164" s="2111"/>
      <c r="G164" s="2091"/>
      <c r="H164" s="572"/>
      <c r="I164" s="2096">
        <v>15806.31</v>
      </c>
      <c r="J164" s="572"/>
      <c r="K164" s="2096">
        <v>16903.759999999998</v>
      </c>
      <c r="L164" s="397"/>
      <c r="M164" s="2096">
        <v>18270</v>
      </c>
      <c r="N164" s="397"/>
      <c r="O164" s="2096">
        <v>18929.09</v>
      </c>
      <c r="P164" s="397"/>
      <c r="Q164" s="1048">
        <v>17352.82</v>
      </c>
      <c r="R164" s="2148"/>
      <c r="S164" s="2195">
        <v>17527.419999999998</v>
      </c>
      <c r="T164" s="2148"/>
      <c r="U164" s="2195">
        <v>18991.72</v>
      </c>
      <c r="V164" s="2148"/>
      <c r="W164" s="2205">
        <v>19220.060000000001</v>
      </c>
      <c r="X164" s="397"/>
      <c r="Y164" s="1486">
        <v>19307.669999999998</v>
      </c>
      <c r="Z164" s="2148"/>
      <c r="AA164" s="2205">
        <v>15404.64</v>
      </c>
      <c r="AB164" s="397"/>
      <c r="AC164" s="1486">
        <v>17363.509999999998</v>
      </c>
      <c r="AD164" s="2243"/>
      <c r="AE164" s="2143">
        <v>16177.66</v>
      </c>
      <c r="AF164" s="2243"/>
      <c r="AG164" s="2143"/>
      <c r="AH164" s="3886"/>
      <c r="AI164" s="2143"/>
      <c r="AJ164" s="3886"/>
      <c r="AK164" s="2143"/>
    </row>
    <row r="165" spans="1:37" ht="15.75" thickBot="1">
      <c r="A165" s="2063"/>
      <c r="B165" s="583" t="s">
        <v>3047</v>
      </c>
      <c r="C165" s="1998"/>
      <c r="D165" s="2092"/>
      <c r="E165" s="2091">
        <v>8123.41</v>
      </c>
      <c r="F165" s="2111"/>
      <c r="G165" s="2091"/>
      <c r="H165" s="572"/>
      <c r="I165" s="2096">
        <v>8412.5499999999993</v>
      </c>
      <c r="J165" s="572"/>
      <c r="K165" s="2096">
        <v>8993.5</v>
      </c>
      <c r="L165" s="397"/>
      <c r="M165" s="2096">
        <v>9343.7999999999993</v>
      </c>
      <c r="N165" s="397"/>
      <c r="O165" s="2096">
        <v>10761.9</v>
      </c>
      <c r="P165" s="397"/>
      <c r="Q165" s="1048">
        <v>7649.63</v>
      </c>
      <c r="R165" s="2148"/>
      <c r="S165" s="2195">
        <v>8279.9500000000007</v>
      </c>
      <c r="T165" s="2148"/>
      <c r="U165" s="2195">
        <v>8379.17</v>
      </c>
      <c r="V165" s="2148"/>
      <c r="W165" s="2205">
        <v>10382.709999999999</v>
      </c>
      <c r="X165" s="397"/>
      <c r="Y165" s="1486">
        <v>7443.38</v>
      </c>
      <c r="Z165" s="2148"/>
      <c r="AA165" s="2205">
        <v>5007.83</v>
      </c>
      <c r="AB165" s="397"/>
      <c r="AC165" s="1486">
        <v>6145.1</v>
      </c>
      <c r="AD165" s="2243"/>
      <c r="AE165" s="2143">
        <v>6569.17</v>
      </c>
      <c r="AF165" s="2243"/>
      <c r="AG165" s="2143"/>
      <c r="AH165" s="3886"/>
      <c r="AI165" s="2143"/>
      <c r="AJ165" s="3886"/>
      <c r="AK165" s="2143"/>
    </row>
    <row r="166" spans="1:37" ht="15.75" thickBot="1">
      <c r="A166" s="2063"/>
      <c r="B166" s="583" t="s">
        <v>3048</v>
      </c>
      <c r="C166" s="1998"/>
      <c r="D166" s="2092"/>
      <c r="E166" s="2091">
        <v>3267.12</v>
      </c>
      <c r="F166" s="2111"/>
      <c r="G166" s="2091"/>
      <c r="H166" s="572"/>
      <c r="I166" s="2096">
        <v>2372.39</v>
      </c>
      <c r="J166" s="572"/>
      <c r="K166" s="2096">
        <v>2630.28</v>
      </c>
      <c r="L166" s="397"/>
      <c r="M166" s="2096">
        <v>2662.18</v>
      </c>
      <c r="N166" s="397"/>
      <c r="O166" s="2096">
        <v>2900.06</v>
      </c>
      <c r="P166" s="397"/>
      <c r="Q166" s="1048">
        <v>2813.44</v>
      </c>
      <c r="R166" s="2148"/>
      <c r="S166" s="2195">
        <v>3097.29</v>
      </c>
      <c r="T166" s="2148"/>
      <c r="U166" s="2195">
        <v>2836.38</v>
      </c>
      <c r="V166" s="2148"/>
      <c r="W166" s="2205">
        <v>2981.28</v>
      </c>
      <c r="X166" s="397"/>
      <c r="Y166" s="1486">
        <v>3213.23</v>
      </c>
      <c r="Z166" s="2148"/>
      <c r="AA166" s="2205">
        <v>3087.1</v>
      </c>
      <c r="AB166" s="397"/>
      <c r="AC166" s="1486">
        <v>3487.37</v>
      </c>
      <c r="AD166" s="2243"/>
      <c r="AE166" s="2143">
        <v>3905.27</v>
      </c>
      <c r="AF166" s="2243"/>
      <c r="AG166" s="2143"/>
      <c r="AH166" s="3886"/>
      <c r="AI166" s="2143"/>
      <c r="AJ166" s="3886"/>
      <c r="AK166" s="2143"/>
    </row>
    <row r="167" spans="1:37" s="1570" customFormat="1" ht="13.5" thickBot="1">
      <c r="A167" s="2063"/>
      <c r="B167" s="583" t="s">
        <v>3049</v>
      </c>
      <c r="C167" s="1998"/>
      <c r="D167" s="2092"/>
      <c r="E167" s="2091">
        <v>6934.2</v>
      </c>
      <c r="F167" s="2111"/>
      <c r="G167" s="2091"/>
      <c r="H167" s="572"/>
      <c r="I167" s="2096">
        <v>6496.49</v>
      </c>
      <c r="J167" s="572"/>
      <c r="K167" s="2096">
        <v>7374.31</v>
      </c>
      <c r="L167" s="397"/>
      <c r="M167" s="2096">
        <v>7640.79</v>
      </c>
      <c r="N167" s="397"/>
      <c r="O167" s="2096">
        <v>8264.75</v>
      </c>
      <c r="P167" s="397"/>
      <c r="Q167" s="1048">
        <v>7653.95</v>
      </c>
      <c r="R167" s="2148"/>
      <c r="S167" s="2195">
        <v>8199.65</v>
      </c>
      <c r="T167" s="2148"/>
      <c r="U167" s="2195">
        <v>8331.32</v>
      </c>
      <c r="V167" s="2063"/>
      <c r="W167" s="2205">
        <v>8544.6</v>
      </c>
      <c r="X167" s="1591"/>
      <c r="Y167" s="1486">
        <v>8804.2000000000007</v>
      </c>
      <c r="Z167" s="2063"/>
      <c r="AA167" s="2205">
        <v>4800.3</v>
      </c>
      <c r="AB167" s="1591"/>
      <c r="AC167" s="1486">
        <v>2483.64</v>
      </c>
      <c r="AD167" s="2241"/>
      <c r="AE167" s="2142">
        <v>1018.09</v>
      </c>
      <c r="AF167" s="2241"/>
      <c r="AG167" s="2141"/>
      <c r="AH167" s="3883"/>
      <c r="AI167" s="2212"/>
      <c r="AJ167" s="3883"/>
      <c r="AK167" s="2212"/>
    </row>
    <row r="168" spans="1:37" s="1570" customFormat="1" ht="12.75">
      <c r="A168" s="2148"/>
      <c r="B168" s="583"/>
      <c r="C168" s="2180" t="s">
        <v>2969</v>
      </c>
      <c r="D168" s="2108">
        <f>E151-D151</f>
        <v>-38367.830000000016</v>
      </c>
      <c r="E168" s="2091"/>
      <c r="F168" s="2111"/>
      <c r="G168" s="2091"/>
      <c r="H168" s="2282">
        <f>I151-H151</f>
        <v>-40343.959999999977</v>
      </c>
      <c r="I168" s="2091"/>
      <c r="J168" s="2282">
        <f>K151-J151</f>
        <v>-42009.08</v>
      </c>
      <c r="K168" s="2091"/>
      <c r="L168" s="2282">
        <f>M151-L151</f>
        <v>-35462.540000000008</v>
      </c>
      <c r="M168" s="2091"/>
      <c r="N168" s="2282">
        <f>O151-N151</f>
        <v>-45268.170000000013</v>
      </c>
      <c r="O168" s="2091"/>
      <c r="P168" s="2282">
        <f>Q151-P151</f>
        <v>-53577.839999999982</v>
      </c>
      <c r="Q168" s="2092"/>
      <c r="R168" s="2294">
        <f>S151-R151</f>
        <v>-54973.740000000034</v>
      </c>
      <c r="S168" s="2193"/>
      <c r="T168" s="2294">
        <f>U151-T151</f>
        <v>-55968.790000000008</v>
      </c>
      <c r="U168" s="2193"/>
      <c r="V168" s="2063"/>
      <c r="W168" s="2212"/>
      <c r="X168" s="1591"/>
      <c r="Y168" s="2163"/>
      <c r="Z168" s="2063"/>
      <c r="AA168" s="2212"/>
      <c r="AB168" s="1591"/>
      <c r="AC168" s="2163"/>
      <c r="AD168" s="2241"/>
      <c r="AE168" s="2141"/>
      <c r="AF168" s="2241"/>
      <c r="AG168" s="2141"/>
      <c r="AH168" s="3884"/>
      <c r="AI168" s="3885"/>
      <c r="AJ168" s="3884"/>
      <c r="AK168" s="3885"/>
    </row>
    <row r="169" spans="1:37" s="1570" customFormat="1" ht="12.75">
      <c r="A169" s="2008" t="s">
        <v>3050</v>
      </c>
      <c r="B169" s="2081"/>
      <c r="C169" s="2172" t="s">
        <v>1634</v>
      </c>
      <c r="D169" s="2084">
        <v>15930</v>
      </c>
      <c r="E169" s="2083">
        <f>SUM(E177:E206)</f>
        <v>20074.66</v>
      </c>
      <c r="F169" s="2084">
        <v>15930</v>
      </c>
      <c r="G169" s="2083">
        <f>SUM(G203:G210)</f>
        <v>0</v>
      </c>
      <c r="H169" s="2082">
        <v>15930</v>
      </c>
      <c r="I169" s="2083">
        <f>SUM(I177:I210)</f>
        <v>21490.029999999995</v>
      </c>
      <c r="J169" s="2082">
        <v>15800</v>
      </c>
      <c r="K169" s="2083">
        <f>SUM(K177:K210)</f>
        <v>12743.130000000003</v>
      </c>
      <c r="L169" s="2084">
        <v>15800</v>
      </c>
      <c r="M169" s="2083">
        <f>SUM(M177:M210)</f>
        <v>17015.88</v>
      </c>
      <c r="N169" s="2084">
        <v>15800</v>
      </c>
      <c r="O169" s="2083">
        <f>SUM(O176:O210)</f>
        <v>18081.89</v>
      </c>
      <c r="P169" s="2084">
        <v>15800</v>
      </c>
      <c r="Q169" s="2084">
        <f>SUM(Q176:Q210)</f>
        <v>17488.490000000002</v>
      </c>
      <c r="R169" s="2190">
        <v>15800</v>
      </c>
      <c r="S169" s="2191">
        <f>SUM(S176:S210)</f>
        <v>18151.309999999998</v>
      </c>
      <c r="T169" s="2190">
        <v>15800</v>
      </c>
      <c r="U169" s="2191">
        <f>SUM(U176:U210)</f>
        <v>15530.539999999999</v>
      </c>
      <c r="V169" s="2190"/>
      <c r="W169" s="2191">
        <f>SUM(W176:W210)</f>
        <v>19029.86</v>
      </c>
      <c r="X169" s="2022"/>
      <c r="Y169" s="2230">
        <f>SUM(Y176:Y206)</f>
        <v>16975.070000000007</v>
      </c>
      <c r="Z169" s="2008"/>
      <c r="AA169" s="2211">
        <f>SUM(AA176:AA206)</f>
        <v>15240.48</v>
      </c>
      <c r="AB169" s="2022"/>
      <c r="AC169" s="2230">
        <f>SUM(AC176:AC206)</f>
        <v>13987.190000000002</v>
      </c>
      <c r="AD169" s="2240"/>
      <c r="AE169" s="2086">
        <f>SUM(AE176:AE206)</f>
        <v>15124.28</v>
      </c>
      <c r="AF169" s="2240"/>
      <c r="AG169" s="2086">
        <f>SUM(AG176:AG206)</f>
        <v>12675.29</v>
      </c>
      <c r="AH169" s="4643"/>
      <c r="AI169" s="4644">
        <f>SUM(AI176:AI206)</f>
        <v>13935.890000000001</v>
      </c>
      <c r="AJ169" s="3881"/>
      <c r="AK169" s="2086">
        <f>SUM(AK176:AK206)</f>
        <v>0</v>
      </c>
    </row>
    <row r="170" spans="1:37" s="1788" customFormat="1" ht="12.75">
      <c r="A170" s="4451"/>
      <c r="B170" s="584" t="s">
        <v>8287</v>
      </c>
      <c r="C170" s="2174" t="s">
        <v>3052</v>
      </c>
      <c r="D170" s="2095"/>
      <c r="E170" s="2094"/>
      <c r="F170" s="2095"/>
      <c r="G170" s="2094"/>
      <c r="H170" s="1020"/>
      <c r="I170" s="2094"/>
      <c r="J170" s="1020"/>
      <c r="K170" s="2094"/>
      <c r="L170" s="2095"/>
      <c r="M170" s="2094"/>
      <c r="N170" s="2095"/>
      <c r="O170" s="2094"/>
      <c r="P170" s="2095"/>
      <c r="Q170" s="2095"/>
      <c r="R170" s="4453"/>
      <c r="S170" s="2194"/>
      <c r="T170" s="4453"/>
      <c r="U170" s="2194"/>
      <c r="V170" s="4453"/>
      <c r="W170" s="2194"/>
      <c r="X170" s="1807"/>
      <c r="Y170" s="3587"/>
      <c r="Z170" s="4451"/>
      <c r="AA170" s="4454"/>
      <c r="AB170" s="1807"/>
      <c r="AC170" s="3587"/>
      <c r="AD170" s="4455"/>
      <c r="AE170" s="4456"/>
      <c r="AF170" s="4455"/>
      <c r="AG170" s="4639"/>
      <c r="AH170" s="4457"/>
      <c r="AI170" s="4646">
        <v>924.48</v>
      </c>
      <c r="AJ170" s="4639"/>
      <c r="AK170" s="4456"/>
    </row>
    <row r="171" spans="1:37" s="1788" customFormat="1" ht="12.75">
      <c r="A171" s="4451"/>
      <c r="B171" s="584" t="s">
        <v>8290</v>
      </c>
      <c r="C171" s="1998" t="s">
        <v>7326</v>
      </c>
      <c r="D171" s="2095"/>
      <c r="E171" s="2094"/>
      <c r="F171" s="2095"/>
      <c r="G171" s="2094"/>
      <c r="H171" s="1020"/>
      <c r="I171" s="2094"/>
      <c r="J171" s="1020"/>
      <c r="K171" s="2094"/>
      <c r="L171" s="2095"/>
      <c r="M171" s="2094"/>
      <c r="N171" s="2095"/>
      <c r="O171" s="2094"/>
      <c r="P171" s="2095"/>
      <c r="Q171" s="2095"/>
      <c r="R171" s="4453"/>
      <c r="S171" s="2194"/>
      <c r="T171" s="4453"/>
      <c r="U171" s="2194"/>
      <c r="V171" s="4453"/>
      <c r="W171" s="2194"/>
      <c r="X171" s="1807"/>
      <c r="Y171" s="3587"/>
      <c r="Z171" s="4451"/>
      <c r="AA171" s="4454"/>
      <c r="AB171" s="1807"/>
      <c r="AC171" s="3587"/>
      <c r="AD171" s="4455"/>
      <c r="AE171" s="4456"/>
      <c r="AF171" s="4455"/>
      <c r="AG171" s="4639"/>
      <c r="AH171" s="4458"/>
      <c r="AI171" s="4647">
        <v>238.75</v>
      </c>
      <c r="AJ171" s="4639"/>
      <c r="AK171" s="4456"/>
    </row>
    <row r="172" spans="1:37" s="1788" customFormat="1" ht="12.75">
      <c r="A172" s="4451"/>
      <c r="B172" s="584" t="s">
        <v>8289</v>
      </c>
      <c r="C172" s="4452"/>
      <c r="D172" s="2095"/>
      <c r="E172" s="2094"/>
      <c r="F172" s="2095"/>
      <c r="G172" s="2094"/>
      <c r="H172" s="1020"/>
      <c r="I172" s="2094"/>
      <c r="J172" s="1020"/>
      <c r="K172" s="2094"/>
      <c r="L172" s="2095"/>
      <c r="M172" s="2094"/>
      <c r="N172" s="2095"/>
      <c r="O172" s="2094"/>
      <c r="P172" s="2095"/>
      <c r="Q172" s="2095"/>
      <c r="R172" s="4453"/>
      <c r="S172" s="2194"/>
      <c r="T172" s="4453"/>
      <c r="U172" s="2194"/>
      <c r="V172" s="4453"/>
      <c r="W172" s="2194"/>
      <c r="X172" s="1807"/>
      <c r="Y172" s="3587"/>
      <c r="Z172" s="4451"/>
      <c r="AA172" s="4454"/>
      <c r="AB172" s="1807"/>
      <c r="AC172" s="3587"/>
      <c r="AD172" s="4455"/>
      <c r="AE172" s="4456"/>
      <c r="AF172" s="4455"/>
      <c r="AG172" s="4639"/>
      <c r="AH172" s="4458"/>
      <c r="AI172" s="4647">
        <v>156.58000000000001</v>
      </c>
      <c r="AJ172" s="4639"/>
      <c r="AK172" s="4456"/>
    </row>
    <row r="173" spans="1:37" s="1788" customFormat="1" ht="12.75">
      <c r="A173" s="4451"/>
      <c r="B173" s="584" t="s">
        <v>8291</v>
      </c>
      <c r="C173" s="1807"/>
      <c r="D173" s="2095"/>
      <c r="E173" s="2094"/>
      <c r="F173" s="2095"/>
      <c r="G173" s="2094"/>
      <c r="H173" s="1020"/>
      <c r="I173" s="2094"/>
      <c r="J173" s="1020"/>
      <c r="K173" s="2094"/>
      <c r="L173" s="2095"/>
      <c r="M173" s="2094"/>
      <c r="N173" s="2095"/>
      <c r="O173" s="2094"/>
      <c r="P173" s="2095"/>
      <c r="Q173" s="2095"/>
      <c r="R173" s="4453"/>
      <c r="S173" s="2194"/>
      <c r="T173" s="4453"/>
      <c r="U173" s="2194"/>
      <c r="V173" s="4453"/>
      <c r="W173" s="2194"/>
      <c r="X173" s="1807"/>
      <c r="Y173" s="3587"/>
      <c r="Z173" s="4451"/>
      <c r="AA173" s="4454"/>
      <c r="AB173" s="1807"/>
      <c r="AC173" s="3587"/>
      <c r="AD173" s="4455"/>
      <c r="AE173" s="4456"/>
      <c r="AF173" s="4455"/>
      <c r="AG173" s="4639"/>
      <c r="AH173" s="4458"/>
      <c r="AI173" s="4648">
        <v>553.89</v>
      </c>
      <c r="AJ173" s="4639"/>
      <c r="AK173" s="4456"/>
    </row>
    <row r="174" spans="1:37" s="1788" customFormat="1" ht="12.75">
      <c r="A174" s="4451"/>
      <c r="B174" s="584" t="s">
        <v>8288</v>
      </c>
      <c r="C174" s="1807"/>
      <c r="D174" s="2095"/>
      <c r="E174" s="2094"/>
      <c r="F174" s="2095"/>
      <c r="G174" s="2094"/>
      <c r="H174" s="1020"/>
      <c r="I174" s="2094"/>
      <c r="J174" s="1020"/>
      <c r="K174" s="2094"/>
      <c r="L174" s="2095"/>
      <c r="M174" s="2094"/>
      <c r="N174" s="2095"/>
      <c r="O174" s="2094"/>
      <c r="P174" s="2095"/>
      <c r="Q174" s="2095"/>
      <c r="R174" s="4453"/>
      <c r="S174" s="2194"/>
      <c r="T174" s="4453"/>
      <c r="U174" s="2194"/>
      <c r="V174" s="4453"/>
      <c r="W174" s="2194"/>
      <c r="X174" s="1807"/>
      <c r="Y174" s="3587"/>
      <c r="Z174" s="4451"/>
      <c r="AA174" s="4454"/>
      <c r="AB174" s="1807"/>
      <c r="AC174" s="3587"/>
      <c r="AD174" s="4455"/>
      <c r="AE174" s="4456"/>
      <c r="AF174" s="4455"/>
      <c r="AG174" s="4639"/>
      <c r="AH174" s="4458"/>
      <c r="AI174" s="4647">
        <v>161.6</v>
      </c>
      <c r="AJ174" s="4639"/>
      <c r="AK174" s="4456"/>
    </row>
    <row r="175" spans="1:37" s="1788" customFormat="1" ht="12.75">
      <c r="A175" s="4451"/>
      <c r="B175" s="584" t="s">
        <v>8292</v>
      </c>
      <c r="C175" s="1807"/>
      <c r="D175" s="2095"/>
      <c r="E175" s="2094"/>
      <c r="F175" s="2095"/>
      <c r="G175" s="2094"/>
      <c r="H175" s="1020"/>
      <c r="I175" s="2094"/>
      <c r="J175" s="1020"/>
      <c r="K175" s="2094"/>
      <c r="L175" s="2095"/>
      <c r="M175" s="2094"/>
      <c r="N175" s="2095"/>
      <c r="O175" s="2094"/>
      <c r="P175" s="2095"/>
      <c r="Q175" s="2095"/>
      <c r="R175" s="4453"/>
      <c r="S175" s="2194"/>
      <c r="T175" s="4453"/>
      <c r="U175" s="2194"/>
      <c r="V175" s="4453"/>
      <c r="W175" s="2194"/>
      <c r="X175" s="1807"/>
      <c r="Y175" s="3587"/>
      <c r="Z175" s="4451"/>
      <c r="AA175" s="4454"/>
      <c r="AB175" s="1807"/>
      <c r="AC175" s="3587"/>
      <c r="AD175" s="4455"/>
      <c r="AE175" s="4456"/>
      <c r="AF175" s="4455"/>
      <c r="AG175" s="4639"/>
      <c r="AH175" s="4458"/>
      <c r="AI175" s="4647">
        <v>115.44</v>
      </c>
      <c r="AJ175" s="4639"/>
      <c r="AK175" s="4456"/>
    </row>
    <row r="176" spans="1:37" s="1570" customFormat="1" ht="12.75">
      <c r="A176" s="2063"/>
      <c r="B176" s="583" t="s">
        <v>3051</v>
      </c>
      <c r="D176" s="2090"/>
      <c r="E176" s="2089"/>
      <c r="F176" s="2090"/>
      <c r="G176" s="2089"/>
      <c r="H176" s="2088"/>
      <c r="I176" s="2089"/>
      <c r="J176" s="2088"/>
      <c r="K176" s="2089"/>
      <c r="L176" s="2090"/>
      <c r="M176" s="2089"/>
      <c r="N176" s="2090"/>
      <c r="O176" s="2091">
        <v>4.12</v>
      </c>
      <c r="P176" s="2090"/>
      <c r="Q176" s="2092"/>
      <c r="R176" s="2192"/>
      <c r="S176" s="2193"/>
      <c r="T176" s="2192"/>
      <c r="U176" s="2193"/>
      <c r="V176" s="2063"/>
      <c r="W176" s="2212"/>
      <c r="X176" s="1591"/>
      <c r="Y176" s="2163"/>
      <c r="Z176" s="2063"/>
      <c r="AA176" s="2212" t="s">
        <v>177</v>
      </c>
      <c r="AB176" s="1591"/>
      <c r="AC176" s="2163"/>
      <c r="AD176" s="2241"/>
      <c r="AE176" s="2142">
        <v>46.38</v>
      </c>
      <c r="AF176" s="2241"/>
      <c r="AG176" s="4640"/>
      <c r="AH176" s="3883"/>
      <c r="AI176" s="2204" t="s">
        <v>177</v>
      </c>
      <c r="AJ176" s="2163"/>
      <c r="AK176" s="2212"/>
    </row>
    <row r="177" spans="1:37" s="1570" customFormat="1" ht="12.75">
      <c r="A177" s="2063"/>
      <c r="B177" s="583" t="s">
        <v>3053</v>
      </c>
      <c r="D177" s="2092"/>
      <c r="E177" s="2091">
        <v>119.18</v>
      </c>
      <c r="F177" s="2090"/>
      <c r="G177" s="2089"/>
      <c r="H177" s="2088"/>
      <c r="I177" s="2091">
        <v>295.87</v>
      </c>
      <c r="J177" s="2088"/>
      <c r="K177" s="2091">
        <v>155.5</v>
      </c>
      <c r="L177" s="2090"/>
      <c r="M177" s="2091">
        <v>178.25</v>
      </c>
      <c r="N177" s="2090"/>
      <c r="O177" s="2096">
        <v>52.88</v>
      </c>
      <c r="P177" s="2090"/>
      <c r="Q177" s="1048">
        <v>77.150000000000006</v>
      </c>
      <c r="R177" s="2192"/>
      <c r="S177" s="2195">
        <v>262.66000000000003</v>
      </c>
      <c r="T177" s="2192"/>
      <c r="U177" s="2195">
        <v>122.6</v>
      </c>
      <c r="V177" s="2063"/>
      <c r="W177" s="2205">
        <v>42.1</v>
      </c>
      <c r="X177" s="1591"/>
      <c r="Y177" s="1486">
        <v>241.31</v>
      </c>
      <c r="Z177" s="2063"/>
      <c r="AA177" s="2205" t="s">
        <v>177</v>
      </c>
      <c r="AB177" s="1591"/>
      <c r="AC177" s="1486"/>
      <c r="AD177" s="2241"/>
      <c r="AE177" s="2142">
        <v>676.82</v>
      </c>
      <c r="AF177" s="2241"/>
      <c r="AG177" s="4641"/>
      <c r="AH177" s="3883"/>
      <c r="AI177" s="2204" t="s">
        <v>177</v>
      </c>
      <c r="AJ177" s="2163"/>
      <c r="AK177" s="2212"/>
    </row>
    <row r="178" spans="1:37" s="1570" customFormat="1" ht="12.75">
      <c r="A178" s="2063"/>
      <c r="B178" s="583" t="s">
        <v>3054</v>
      </c>
      <c r="C178" s="1998"/>
      <c r="D178" s="2092"/>
      <c r="E178" s="2091">
        <v>110.66</v>
      </c>
      <c r="F178" s="2090"/>
      <c r="G178" s="2089"/>
      <c r="H178" s="2088"/>
      <c r="I178" s="2091">
        <v>157.72999999999999</v>
      </c>
      <c r="J178" s="2088"/>
      <c r="K178" s="2091">
        <v>171.85</v>
      </c>
      <c r="L178" s="2090"/>
      <c r="M178" s="2091">
        <v>156.43</v>
      </c>
      <c r="N178" s="2090"/>
      <c r="O178" s="2096">
        <v>190.85</v>
      </c>
      <c r="P178" s="2090"/>
      <c r="Q178" s="1048">
        <v>134.9</v>
      </c>
      <c r="R178" s="2192"/>
      <c r="S178" s="2195">
        <v>153.94999999999999</v>
      </c>
      <c r="T178" s="2192"/>
      <c r="U178" s="2195">
        <v>122.77</v>
      </c>
      <c r="V178" s="2063"/>
      <c r="W178" s="2205">
        <v>43</v>
      </c>
      <c r="X178" s="1591"/>
      <c r="Y178" s="1486">
        <v>121.38</v>
      </c>
      <c r="Z178" s="2063"/>
      <c r="AA178" s="2205" t="s">
        <v>177</v>
      </c>
      <c r="AB178" s="1591"/>
      <c r="AC178" s="1486"/>
      <c r="AD178" s="2241"/>
      <c r="AE178" s="2142">
        <v>102.7</v>
      </c>
      <c r="AF178" s="2241"/>
      <c r="AG178" s="4641"/>
      <c r="AH178" s="3883"/>
      <c r="AI178" s="2204" t="s">
        <v>177</v>
      </c>
      <c r="AJ178" s="2163"/>
      <c r="AK178" s="2212"/>
    </row>
    <row r="179" spans="1:37" s="1570" customFormat="1" ht="12.75">
      <c r="A179" s="2063"/>
      <c r="B179" s="583" t="s">
        <v>3055</v>
      </c>
      <c r="C179" s="1998"/>
      <c r="D179" s="2092"/>
      <c r="E179" s="2091"/>
      <c r="F179" s="2090"/>
      <c r="G179" s="2089"/>
      <c r="H179" s="2088"/>
      <c r="I179" s="2091"/>
      <c r="J179" s="2088"/>
      <c r="K179" s="2091"/>
      <c r="L179" s="2090"/>
      <c r="M179" s="2091"/>
      <c r="N179" s="2090"/>
      <c r="O179" s="2096"/>
      <c r="P179" s="2090"/>
      <c r="Q179" s="1048">
        <v>36</v>
      </c>
      <c r="R179" s="2192"/>
      <c r="S179" s="2195">
        <v>39.14</v>
      </c>
      <c r="T179" s="2192"/>
      <c r="U179" s="2195"/>
      <c r="V179" s="2063"/>
      <c r="W179" s="2205">
        <v>37.799999999999997</v>
      </c>
      <c r="X179" s="1591"/>
      <c r="Y179" s="1486">
        <v>56.1</v>
      </c>
      <c r="Z179" s="2063"/>
      <c r="AA179" s="2205">
        <v>66</v>
      </c>
      <c r="AB179" s="1591"/>
      <c r="AC179" s="1486"/>
      <c r="AD179" s="2241"/>
      <c r="AE179" s="2142">
        <v>27.61</v>
      </c>
      <c r="AF179" s="2241"/>
      <c r="AG179" s="4641"/>
      <c r="AH179" s="3883"/>
      <c r="AI179" s="2204" t="s">
        <v>177</v>
      </c>
      <c r="AJ179" s="2163"/>
      <c r="AK179" s="2212"/>
    </row>
    <row r="180" spans="1:37" s="1570" customFormat="1" ht="12.75">
      <c r="A180" s="2063"/>
      <c r="B180" s="583" t="s">
        <v>3056</v>
      </c>
      <c r="C180" s="1998"/>
      <c r="D180" s="2092"/>
      <c r="E180" s="2091">
        <v>114.45</v>
      </c>
      <c r="F180" s="2090"/>
      <c r="G180" s="2089"/>
      <c r="H180" s="2087"/>
      <c r="I180" s="2091">
        <v>141.69</v>
      </c>
      <c r="J180" s="2087"/>
      <c r="K180" s="2091">
        <v>177.41</v>
      </c>
      <c r="L180" s="1591"/>
      <c r="M180" s="2091">
        <v>131.83000000000001</v>
      </c>
      <c r="N180" s="1591"/>
      <c r="O180" s="2096">
        <v>153.37</v>
      </c>
      <c r="P180" s="1591"/>
      <c r="Q180" s="1048">
        <v>220.75</v>
      </c>
      <c r="R180" s="2063"/>
      <c r="S180" s="2195">
        <v>140.9</v>
      </c>
      <c r="T180" s="2063"/>
      <c r="U180" s="2195"/>
      <c r="V180" s="2063"/>
      <c r="W180" s="2205"/>
      <c r="X180" s="1591"/>
      <c r="Y180" s="1486"/>
      <c r="Z180" s="2063"/>
      <c r="AA180" s="2205">
        <v>361.46</v>
      </c>
      <c r="AB180" s="1591"/>
      <c r="AC180" s="1486"/>
      <c r="AD180" s="2241"/>
      <c r="AE180" s="2142">
        <v>76.260000000000005</v>
      </c>
      <c r="AF180" s="2241"/>
      <c r="AG180" s="4641"/>
      <c r="AH180" s="3883"/>
      <c r="AI180" s="2204" t="s">
        <v>177</v>
      </c>
      <c r="AJ180" s="2163"/>
      <c r="AK180" s="2212"/>
    </row>
    <row r="181" spans="1:37" s="1570" customFormat="1" ht="12.75">
      <c r="A181" s="2063"/>
      <c r="B181" s="583" t="s">
        <v>3057</v>
      </c>
      <c r="C181" s="1998"/>
      <c r="D181" s="2092"/>
      <c r="E181" s="2091">
        <v>94.16</v>
      </c>
      <c r="F181" s="2090"/>
      <c r="G181" s="2089"/>
      <c r="H181" s="2087"/>
      <c r="I181" s="2091">
        <v>253.25</v>
      </c>
      <c r="J181" s="2087"/>
      <c r="K181" s="2122">
        <v>136.09</v>
      </c>
      <c r="L181" s="1591"/>
      <c r="M181" s="2091">
        <v>117.29</v>
      </c>
      <c r="N181" s="1591"/>
      <c r="O181" s="2096">
        <v>54.36</v>
      </c>
      <c r="P181" s="1591"/>
      <c r="Q181" s="1048">
        <v>131.05000000000001</v>
      </c>
      <c r="R181" s="2063"/>
      <c r="S181" s="2195">
        <v>89.25</v>
      </c>
      <c r="T181" s="2063"/>
      <c r="U181" s="2195">
        <v>101.3</v>
      </c>
      <c r="V181" s="2063"/>
      <c r="W181" s="2205">
        <v>36.549999999999997</v>
      </c>
      <c r="X181" s="1591"/>
      <c r="Y181" s="1486">
        <v>22.2</v>
      </c>
      <c r="Z181" s="2063"/>
      <c r="AA181" s="2205"/>
      <c r="AB181" s="1591"/>
      <c r="AC181" s="1486"/>
      <c r="AD181" s="2241"/>
      <c r="AE181" s="2142">
        <v>19.559999999999999</v>
      </c>
      <c r="AF181" s="2241"/>
      <c r="AG181" s="4641"/>
      <c r="AH181" s="3883"/>
      <c r="AI181" s="2204" t="s">
        <v>177</v>
      </c>
      <c r="AJ181" s="2163"/>
      <c r="AK181" s="2212"/>
    </row>
    <row r="182" spans="1:37" s="1570" customFormat="1" ht="12.75">
      <c r="A182" s="2063"/>
      <c r="B182" s="583" t="s">
        <v>3058</v>
      </c>
      <c r="C182" s="1998"/>
      <c r="D182" s="2092"/>
      <c r="E182" s="2091"/>
      <c r="F182" s="2090"/>
      <c r="G182" s="2089"/>
      <c r="H182" s="2087"/>
      <c r="I182" s="2091"/>
      <c r="J182" s="2087"/>
      <c r="K182" s="2122"/>
      <c r="L182" s="1591"/>
      <c r="M182" s="2091"/>
      <c r="N182" s="1591"/>
      <c r="O182" s="2096"/>
      <c r="P182" s="1591"/>
      <c r="Q182" s="1048">
        <v>2.75</v>
      </c>
      <c r="R182" s="2063"/>
      <c r="S182" s="2195"/>
      <c r="T182" s="2063"/>
      <c r="U182" s="2195"/>
      <c r="V182" s="2063"/>
      <c r="W182" s="2205">
        <v>4.13</v>
      </c>
      <c r="X182" s="1591"/>
      <c r="Y182" s="1486"/>
      <c r="Z182" s="2063"/>
      <c r="AA182" s="2205">
        <v>201.16</v>
      </c>
      <c r="AB182" s="1591"/>
      <c r="AC182" s="1486"/>
      <c r="AD182" s="2241"/>
      <c r="AE182" s="2142">
        <v>1.56</v>
      </c>
      <c r="AF182" s="2241"/>
      <c r="AG182" s="4641"/>
      <c r="AH182" s="3883"/>
      <c r="AI182" s="2204" t="s">
        <v>177</v>
      </c>
      <c r="AJ182" s="2163"/>
      <c r="AK182" s="2212"/>
    </row>
    <row r="183" spans="1:37" s="1570" customFormat="1" ht="12.75">
      <c r="A183" s="2063"/>
      <c r="B183" s="583" t="s">
        <v>3059</v>
      </c>
      <c r="C183" s="1998"/>
      <c r="D183" s="2092"/>
      <c r="E183" s="2091"/>
      <c r="F183" s="2090"/>
      <c r="G183" s="2089"/>
      <c r="H183" s="2087"/>
      <c r="I183" s="2091"/>
      <c r="J183" s="2087"/>
      <c r="K183" s="2122"/>
      <c r="L183" s="1591"/>
      <c r="M183" s="2091"/>
      <c r="N183" s="1591"/>
      <c r="O183" s="2096"/>
      <c r="P183" s="1591"/>
      <c r="Q183" s="1048">
        <v>33</v>
      </c>
      <c r="R183" s="2063"/>
      <c r="S183" s="2195">
        <v>59</v>
      </c>
      <c r="T183" s="2063"/>
      <c r="U183" s="2195">
        <v>48</v>
      </c>
      <c r="V183" s="2063"/>
      <c r="W183" s="2205">
        <v>39.200000000000003</v>
      </c>
      <c r="X183" s="1591"/>
      <c r="Y183" s="1486">
        <v>56.1</v>
      </c>
      <c r="Z183" s="2063"/>
      <c r="AA183" s="2205">
        <v>59.4</v>
      </c>
      <c r="AB183" s="1591"/>
      <c r="AC183" s="1486"/>
      <c r="AD183" s="2241"/>
      <c r="AE183" s="2142">
        <v>7.44</v>
      </c>
      <c r="AF183" s="2241"/>
      <c r="AG183" s="4641"/>
      <c r="AH183" s="3883"/>
      <c r="AI183" s="2204" t="s">
        <v>177</v>
      </c>
      <c r="AJ183" s="2163"/>
      <c r="AK183" s="2212"/>
    </row>
    <row r="184" spans="1:37" s="1570" customFormat="1" ht="12.75">
      <c r="A184" s="2063"/>
      <c r="B184" s="583" t="s">
        <v>3060</v>
      </c>
      <c r="C184" s="1998"/>
      <c r="D184" s="2092"/>
      <c r="E184" s="2091">
        <v>83.65</v>
      </c>
      <c r="F184" s="2090"/>
      <c r="G184" s="2089"/>
      <c r="H184" s="2087"/>
      <c r="I184" s="2091">
        <v>326.85000000000002</v>
      </c>
      <c r="J184" s="2087"/>
      <c r="K184" s="2122">
        <v>192.45</v>
      </c>
      <c r="L184" s="1591"/>
      <c r="M184" s="2091">
        <v>205.9</v>
      </c>
      <c r="N184" s="1591"/>
      <c r="O184" s="2096">
        <v>179.68</v>
      </c>
      <c r="P184" s="1591"/>
      <c r="Q184" s="1048" t="s">
        <v>177</v>
      </c>
      <c r="R184" s="2063"/>
      <c r="S184" s="2195">
        <v>169.98</v>
      </c>
      <c r="T184" s="2063"/>
      <c r="U184" s="2195">
        <v>291.2</v>
      </c>
      <c r="V184" s="2063"/>
      <c r="W184" s="2205">
        <v>124.7</v>
      </c>
      <c r="X184" s="1591"/>
      <c r="Y184" s="1486"/>
      <c r="Z184" s="2063"/>
      <c r="AA184" s="2205">
        <v>261.82</v>
      </c>
      <c r="AB184" s="1591"/>
      <c r="AC184" s="1486"/>
      <c r="AD184" s="2241"/>
      <c r="AE184" s="2142">
        <v>32.18</v>
      </c>
      <c r="AF184" s="2241"/>
      <c r="AG184" s="4641"/>
      <c r="AH184" s="3883"/>
      <c r="AI184" s="2204" t="s">
        <v>177</v>
      </c>
      <c r="AJ184" s="2163"/>
      <c r="AK184" s="2212"/>
    </row>
    <row r="185" spans="1:37" s="1570" customFormat="1" ht="12.75">
      <c r="A185" s="2063"/>
      <c r="B185" s="583" t="s">
        <v>3061</v>
      </c>
      <c r="C185" s="1998"/>
      <c r="D185" s="2092"/>
      <c r="E185" s="2091">
        <v>130.96</v>
      </c>
      <c r="F185" s="2090"/>
      <c r="G185" s="2089"/>
      <c r="H185" s="2087"/>
      <c r="I185" s="2091">
        <v>175.05</v>
      </c>
      <c r="J185" s="2087"/>
      <c r="K185" s="2122">
        <v>177.77</v>
      </c>
      <c r="L185" s="1591"/>
      <c r="M185" s="2091">
        <v>179.58</v>
      </c>
      <c r="N185" s="1591"/>
      <c r="O185" s="2096">
        <v>74.349999999999994</v>
      </c>
      <c r="P185" s="1591"/>
      <c r="Q185" s="1048">
        <v>180.1</v>
      </c>
      <c r="R185" s="2063"/>
      <c r="S185" s="2195">
        <v>124.55</v>
      </c>
      <c r="T185" s="2063"/>
      <c r="U185" s="2195">
        <v>128</v>
      </c>
      <c r="V185" s="2063"/>
      <c r="W185" s="2205">
        <v>44.65</v>
      </c>
      <c r="X185" s="1591"/>
      <c r="Y185" s="1486"/>
      <c r="Z185" s="2063"/>
      <c r="AA185" s="2205" t="s">
        <v>177</v>
      </c>
      <c r="AB185" s="1591"/>
      <c r="AC185" s="1486"/>
      <c r="AD185" s="2241"/>
      <c r="AE185" s="2142">
        <v>22.05</v>
      </c>
      <c r="AF185" s="2241"/>
      <c r="AG185" s="4641"/>
      <c r="AH185" s="3883"/>
      <c r="AI185" s="2204" t="s">
        <v>177</v>
      </c>
      <c r="AJ185" s="2163"/>
      <c r="AK185" s="2212"/>
    </row>
    <row r="186" spans="1:37" s="1570" customFormat="1" ht="12.75">
      <c r="A186" s="2063"/>
      <c r="B186" s="583" t="s">
        <v>3062</v>
      </c>
      <c r="C186" s="1998"/>
      <c r="D186" s="2092"/>
      <c r="E186" s="2091"/>
      <c r="F186" s="2090"/>
      <c r="G186" s="2089"/>
      <c r="H186" s="2087"/>
      <c r="I186" s="2091"/>
      <c r="J186" s="2087"/>
      <c r="K186" s="2122"/>
      <c r="L186" s="1591"/>
      <c r="M186" s="2091"/>
      <c r="N186" s="1591"/>
      <c r="O186" s="2096"/>
      <c r="P186" s="1591"/>
      <c r="Q186" s="1048">
        <v>4.13</v>
      </c>
      <c r="R186" s="2063"/>
      <c r="S186" s="2195">
        <v>2.75</v>
      </c>
      <c r="T186" s="2063"/>
      <c r="U186" s="2195">
        <v>8.25</v>
      </c>
      <c r="V186" s="2063"/>
      <c r="W186" s="2205"/>
      <c r="X186" s="1591"/>
      <c r="Y186" s="1486"/>
      <c r="Z186" s="2063"/>
      <c r="AA186" s="2205" t="s">
        <v>177</v>
      </c>
      <c r="AB186" s="1591"/>
      <c r="AC186" s="1486"/>
      <c r="AD186" s="2241"/>
      <c r="AE186" s="2142">
        <v>0</v>
      </c>
      <c r="AF186" s="2241"/>
      <c r="AG186" s="4641"/>
      <c r="AH186" s="3883"/>
      <c r="AI186" s="2204" t="s">
        <v>177</v>
      </c>
      <c r="AJ186" s="2163"/>
      <c r="AK186" s="2212"/>
    </row>
    <row r="187" spans="1:37" s="1570" customFormat="1" ht="12.75">
      <c r="A187" s="2063"/>
      <c r="B187" s="583" t="s">
        <v>3063</v>
      </c>
      <c r="C187" s="1998"/>
      <c r="D187" s="2092"/>
      <c r="E187" s="2091"/>
      <c r="F187" s="2090"/>
      <c r="G187" s="2089"/>
      <c r="H187" s="2087"/>
      <c r="I187" s="2091"/>
      <c r="J187" s="2087"/>
      <c r="K187" s="2122"/>
      <c r="L187" s="1591"/>
      <c r="M187" s="2091"/>
      <c r="N187" s="1591"/>
      <c r="O187" s="2096"/>
      <c r="P187" s="1591"/>
      <c r="Q187" s="1048">
        <v>42</v>
      </c>
      <c r="R187" s="2063"/>
      <c r="S187" s="2195">
        <v>94.4</v>
      </c>
      <c r="T187" s="2063"/>
      <c r="U187" s="2195">
        <v>56</v>
      </c>
      <c r="V187" s="2063"/>
      <c r="W187" s="2205">
        <v>43.2</v>
      </c>
      <c r="X187" s="1591"/>
      <c r="Y187" s="1486"/>
      <c r="Z187" s="2063"/>
      <c r="AA187" s="2205">
        <v>75.900000000000006</v>
      </c>
      <c r="AB187" s="1591"/>
      <c r="AC187" s="1486"/>
      <c r="AD187" s="2241"/>
      <c r="AE187" s="2142">
        <v>1.75</v>
      </c>
      <c r="AF187" s="2241"/>
      <c r="AG187" s="4641"/>
      <c r="AH187" s="3883"/>
      <c r="AI187" s="2193" t="s">
        <v>177</v>
      </c>
      <c r="AJ187" s="2163"/>
      <c r="AK187" s="2212"/>
    </row>
    <row r="188" spans="1:37" s="1570" customFormat="1" ht="12.75">
      <c r="A188" s="2063"/>
      <c r="B188" s="583" t="s">
        <v>3064</v>
      </c>
      <c r="C188" s="1998"/>
      <c r="D188" s="2092"/>
      <c r="E188" s="2091">
        <v>7971.63</v>
      </c>
      <c r="F188" s="2090"/>
      <c r="G188" s="2089"/>
      <c r="H188" s="2087"/>
      <c r="I188" s="2091">
        <v>8087.78</v>
      </c>
      <c r="J188" s="2087"/>
      <c r="K188" s="2122">
        <v>2187.14</v>
      </c>
      <c r="L188" s="1591"/>
      <c r="M188" s="2091">
        <v>6945.65</v>
      </c>
      <c r="N188" s="1591"/>
      <c r="O188" s="2096">
        <v>7192.53</v>
      </c>
      <c r="P188" s="1591"/>
      <c r="Q188" s="1048">
        <v>6878.85</v>
      </c>
      <c r="R188" s="2063"/>
      <c r="S188" s="2195">
        <v>7503.68</v>
      </c>
      <c r="T188" s="2063"/>
      <c r="U188" s="2195">
        <v>7571.78</v>
      </c>
      <c r="V188" s="2063"/>
      <c r="W188" s="2205">
        <v>7140.04</v>
      </c>
      <c r="X188" s="1591"/>
      <c r="Y188" s="1486">
        <v>6669.28</v>
      </c>
      <c r="Z188" s="2063"/>
      <c r="AA188" s="2205">
        <v>6818.87</v>
      </c>
      <c r="AB188" s="1591"/>
      <c r="AC188" s="1486">
        <v>6905.18</v>
      </c>
      <c r="AD188" s="2241"/>
      <c r="AE188" s="2142">
        <v>6961.52</v>
      </c>
      <c r="AF188" s="2241"/>
      <c r="AG188" s="4641">
        <v>7151.62</v>
      </c>
      <c r="AH188" s="3883"/>
      <c r="AI188" s="2193">
        <v>7862.91</v>
      </c>
      <c r="AJ188" s="2163"/>
      <c r="AK188" s="2212"/>
    </row>
    <row r="189" spans="1:37" s="1570" customFormat="1" ht="12.75">
      <c r="A189" s="2063"/>
      <c r="B189" s="583" t="s">
        <v>3065</v>
      </c>
      <c r="C189" s="1998"/>
      <c r="D189" s="2092"/>
      <c r="E189" s="2091">
        <v>2502.64</v>
      </c>
      <c r="F189" s="2090"/>
      <c r="G189" s="2089"/>
      <c r="H189" s="2087"/>
      <c r="I189" s="2091">
        <v>2539.11</v>
      </c>
      <c r="J189" s="2087"/>
      <c r="K189" s="2122">
        <v>2607.89</v>
      </c>
      <c r="L189" s="1591"/>
      <c r="M189" s="2091">
        <v>2683.74</v>
      </c>
      <c r="N189" s="1591"/>
      <c r="O189" s="2096">
        <v>2779.14</v>
      </c>
      <c r="P189" s="1591"/>
      <c r="Q189" s="1048">
        <v>2160.81</v>
      </c>
      <c r="R189" s="2063"/>
      <c r="S189" s="2195">
        <v>2900.4</v>
      </c>
      <c r="T189" s="2063"/>
      <c r="U189" s="2195">
        <v>2926.72</v>
      </c>
      <c r="V189" s="2063"/>
      <c r="W189" s="2205">
        <v>2989.82</v>
      </c>
      <c r="X189" s="1591"/>
      <c r="Y189" s="1486">
        <v>3046.58</v>
      </c>
      <c r="Z189" s="2063"/>
      <c r="AA189" s="2205">
        <v>3114.92</v>
      </c>
      <c r="AB189" s="1591"/>
      <c r="AC189" s="1486">
        <v>3154.34</v>
      </c>
      <c r="AD189" s="2241"/>
      <c r="AE189" s="2142">
        <v>3180.08</v>
      </c>
      <c r="AF189" s="2241"/>
      <c r="AG189" s="4641">
        <v>3266.92</v>
      </c>
      <c r="AH189" s="3883"/>
      <c r="AI189" s="2193">
        <v>3591.84</v>
      </c>
      <c r="AJ189" s="2163"/>
      <c r="AK189" s="2212"/>
    </row>
    <row r="190" spans="1:37" s="1570" customFormat="1" ht="12.75">
      <c r="A190" s="2063"/>
      <c r="B190" s="583" t="s">
        <v>3066</v>
      </c>
      <c r="C190" s="1998"/>
      <c r="D190" s="2092"/>
      <c r="E190" s="2091">
        <v>939.02</v>
      </c>
      <c r="F190" s="2090"/>
      <c r="G190" s="2089"/>
      <c r="H190" s="2087"/>
      <c r="I190" s="2091">
        <v>990.26</v>
      </c>
      <c r="J190" s="2087"/>
      <c r="K190" s="2122">
        <v>978.45</v>
      </c>
      <c r="L190" s="1591"/>
      <c r="M190" s="2091">
        <v>1006.94</v>
      </c>
      <c r="N190" s="1591"/>
      <c r="O190" s="2096">
        <v>1043.1600000000001</v>
      </c>
      <c r="P190" s="1591"/>
      <c r="Q190" s="1048">
        <v>886.43</v>
      </c>
      <c r="R190" s="2063"/>
      <c r="S190" s="2195">
        <v>1063.3499999999999</v>
      </c>
      <c r="T190" s="2063"/>
      <c r="U190" s="2195">
        <v>1073</v>
      </c>
      <c r="V190" s="2063"/>
      <c r="W190" s="2205">
        <v>1096.18</v>
      </c>
      <c r="X190" s="1591"/>
      <c r="Y190" s="1486">
        <v>1116.97</v>
      </c>
      <c r="Z190" s="2063"/>
      <c r="AA190" s="2205">
        <v>1142.05</v>
      </c>
      <c r="AB190" s="1591"/>
      <c r="AC190" s="1486">
        <v>1156.44</v>
      </c>
      <c r="AD190" s="2241"/>
      <c r="AE190" s="2142">
        <v>1165.9100000000001</v>
      </c>
      <c r="AF190" s="2241"/>
      <c r="AG190" s="4641">
        <v>1197.76</v>
      </c>
      <c r="AH190" s="3883"/>
      <c r="AI190" s="2193">
        <v>1316.86</v>
      </c>
      <c r="AJ190" s="2163"/>
      <c r="AK190" s="2212"/>
    </row>
    <row r="191" spans="1:37" s="1570" customFormat="1" ht="12.75">
      <c r="A191" s="2063"/>
      <c r="B191" s="583" t="s">
        <v>3067</v>
      </c>
      <c r="C191" s="1998"/>
      <c r="D191" s="2092"/>
      <c r="E191" s="2091">
        <v>814.72</v>
      </c>
      <c r="F191" s="2090"/>
      <c r="G191" s="2089"/>
      <c r="H191" s="2087"/>
      <c r="I191" s="2091">
        <v>859.23</v>
      </c>
      <c r="J191" s="2087"/>
      <c r="K191" s="2122">
        <v>848.98</v>
      </c>
      <c r="L191" s="1591"/>
      <c r="M191" s="2091">
        <v>873.67</v>
      </c>
      <c r="N191" s="1591"/>
      <c r="O191" s="2096">
        <v>904.67</v>
      </c>
      <c r="P191" s="1591"/>
      <c r="Q191" s="1048">
        <v>785.44</v>
      </c>
      <c r="R191" s="2063"/>
      <c r="S191" s="2195">
        <v>940.16</v>
      </c>
      <c r="T191" s="2063"/>
      <c r="U191" s="2195">
        <v>948.7</v>
      </c>
      <c r="V191" s="2063"/>
      <c r="W191" s="2205">
        <v>969.19</v>
      </c>
      <c r="X191" s="1591"/>
      <c r="Y191" s="1486">
        <v>987.53</v>
      </c>
      <c r="Z191" s="2063"/>
      <c r="AA191" s="2205">
        <v>1009.69</v>
      </c>
      <c r="AB191" s="1591"/>
      <c r="AC191" s="1486">
        <v>1022.5</v>
      </c>
      <c r="AD191" s="2241"/>
      <c r="AE191" s="2142">
        <v>1030.8399999999999</v>
      </c>
      <c r="AF191" s="2241"/>
      <c r="AG191" s="4641">
        <v>1058.99</v>
      </c>
      <c r="AH191" s="3883"/>
      <c r="AI191" s="2193">
        <v>1164.28</v>
      </c>
      <c r="AJ191" s="2163"/>
      <c r="AK191" s="2212"/>
    </row>
    <row r="192" spans="1:37" s="1570" customFormat="1" ht="12.75">
      <c r="A192" s="2063"/>
      <c r="B192" s="583" t="s">
        <v>3068</v>
      </c>
      <c r="C192" s="1998"/>
      <c r="D192" s="2092"/>
      <c r="E192" s="2091">
        <v>33.44</v>
      </c>
      <c r="F192" s="2090"/>
      <c r="G192" s="2089"/>
      <c r="H192" s="2087"/>
      <c r="I192" s="2091">
        <v>351</v>
      </c>
      <c r="J192" s="2087"/>
      <c r="K192" s="2122">
        <v>340.09</v>
      </c>
      <c r="L192" s="1591"/>
      <c r="M192" s="2091">
        <v>307.02999999999997</v>
      </c>
      <c r="N192" s="1591"/>
      <c r="O192" s="2096">
        <v>320.2</v>
      </c>
      <c r="P192" s="1591"/>
      <c r="Q192" s="1048">
        <v>327.63</v>
      </c>
      <c r="R192" s="2063"/>
      <c r="S192" s="2195">
        <v>273.94</v>
      </c>
      <c r="T192" s="2063"/>
      <c r="U192" s="2195"/>
      <c r="V192" s="2063"/>
      <c r="W192" s="2205">
        <v>260.92</v>
      </c>
      <c r="X192" s="1591"/>
      <c r="Y192" s="1486">
        <v>241.85</v>
      </c>
      <c r="Z192" s="2063"/>
      <c r="AA192" s="2205" t="s">
        <v>177</v>
      </c>
      <c r="AB192" s="1591"/>
      <c r="AC192" s="1486"/>
      <c r="AD192" s="2241"/>
      <c r="AE192" s="2142"/>
      <c r="AF192" s="2241"/>
      <c r="AG192" s="4641"/>
      <c r="AH192" s="3883"/>
      <c r="AI192" s="2193" t="s">
        <v>177</v>
      </c>
      <c r="AJ192" s="2163"/>
      <c r="AK192" s="2212"/>
    </row>
    <row r="193" spans="1:37" s="1570" customFormat="1" ht="12.75">
      <c r="A193" s="2063"/>
      <c r="B193" s="583" t="s">
        <v>3069</v>
      </c>
      <c r="C193" s="1998"/>
      <c r="D193" s="2092"/>
      <c r="E193" s="2091">
        <v>1243.02</v>
      </c>
      <c r="F193" s="2090"/>
      <c r="G193" s="2089"/>
      <c r="H193" s="2087"/>
      <c r="I193" s="2091">
        <v>1084.8</v>
      </c>
      <c r="J193" s="2087"/>
      <c r="K193" s="2122">
        <v>829.12</v>
      </c>
      <c r="L193" s="1591"/>
      <c r="M193" s="2091">
        <v>758.32</v>
      </c>
      <c r="N193" s="1591"/>
      <c r="O193" s="2096">
        <v>761.93</v>
      </c>
      <c r="P193" s="1591"/>
      <c r="Q193" s="1048">
        <v>778.81</v>
      </c>
      <c r="R193" s="2063"/>
      <c r="S193" s="2195">
        <v>695.8</v>
      </c>
      <c r="T193" s="2063"/>
      <c r="U193" s="2195"/>
      <c r="V193" s="2063"/>
      <c r="W193" s="2205">
        <v>721.74</v>
      </c>
      <c r="X193" s="1591"/>
      <c r="Y193" s="1486">
        <v>550.85</v>
      </c>
      <c r="Z193" s="2063"/>
      <c r="AA193" s="2205" t="s">
        <v>177</v>
      </c>
      <c r="AB193" s="1591"/>
      <c r="AC193" s="1486"/>
      <c r="AD193" s="2241"/>
      <c r="AE193" s="2142"/>
      <c r="AF193" s="2241"/>
      <c r="AG193" s="4641"/>
      <c r="AH193" s="3883"/>
      <c r="AI193" s="2204" t="s">
        <v>177</v>
      </c>
      <c r="AJ193" s="2163"/>
      <c r="AK193" s="2212"/>
    </row>
    <row r="194" spans="1:37" s="1570" customFormat="1" ht="12.75">
      <c r="A194" s="2063"/>
      <c r="B194" s="583" t="s">
        <v>3070</v>
      </c>
      <c r="C194" s="1998"/>
      <c r="D194" s="2092"/>
      <c r="E194" s="2091">
        <v>1118.6500000000001</v>
      </c>
      <c r="F194" s="2090"/>
      <c r="G194" s="2089"/>
      <c r="H194" s="2087"/>
      <c r="I194" s="2091">
        <v>1206.53</v>
      </c>
      <c r="J194" s="2087"/>
      <c r="K194" s="2122">
        <v>940.37</v>
      </c>
      <c r="L194" s="1591"/>
      <c r="M194" s="2091">
        <v>822.98</v>
      </c>
      <c r="N194" s="1591"/>
      <c r="O194" s="2096">
        <v>825.1</v>
      </c>
      <c r="P194" s="1591"/>
      <c r="Q194" s="1048">
        <v>850.25</v>
      </c>
      <c r="R194" s="2063"/>
      <c r="S194" s="2195">
        <v>750.72</v>
      </c>
      <c r="T194" s="2063"/>
      <c r="U194" s="2195"/>
      <c r="V194" s="2063"/>
      <c r="W194" s="2205">
        <v>761.39</v>
      </c>
      <c r="X194" s="1591"/>
      <c r="Y194" s="1486">
        <v>11.2</v>
      </c>
      <c r="Z194" s="2063"/>
      <c r="AA194" s="2205" t="s">
        <v>177</v>
      </c>
      <c r="AB194" s="1591"/>
      <c r="AC194" s="1486"/>
      <c r="AD194" s="2241"/>
      <c r="AE194" s="2142"/>
      <c r="AF194" s="2241"/>
      <c r="AG194" s="4641"/>
      <c r="AH194" s="3883"/>
      <c r="AI194" s="2204" t="s">
        <v>177</v>
      </c>
      <c r="AJ194" s="2163"/>
      <c r="AK194" s="2212"/>
    </row>
    <row r="195" spans="1:37" s="1570" customFormat="1" ht="12.75">
      <c r="A195" s="2063"/>
      <c r="B195" s="583" t="s">
        <v>3071</v>
      </c>
      <c r="C195" s="1998"/>
      <c r="D195" s="2092"/>
      <c r="E195" s="2091">
        <v>2044.9</v>
      </c>
      <c r="F195" s="2090"/>
      <c r="G195" s="2089"/>
      <c r="H195" s="2087"/>
      <c r="I195" s="2091">
        <v>2283.11</v>
      </c>
      <c r="J195" s="2087"/>
      <c r="K195" s="2122">
        <v>1610.78</v>
      </c>
      <c r="L195" s="1591"/>
      <c r="M195" s="2091">
        <v>1405.72</v>
      </c>
      <c r="N195" s="1591"/>
      <c r="O195" s="2096">
        <v>1498.68</v>
      </c>
      <c r="P195" s="1591"/>
      <c r="Q195" s="1048">
        <v>1537.27</v>
      </c>
      <c r="R195" s="2063"/>
      <c r="S195" s="2195">
        <v>1316.1</v>
      </c>
      <c r="T195" s="2063"/>
      <c r="U195" s="2195"/>
      <c r="V195" s="2063"/>
      <c r="W195" s="2205">
        <v>1378.15</v>
      </c>
      <c r="X195" s="1591"/>
      <c r="Y195" s="1486">
        <v>1089.03</v>
      </c>
      <c r="Z195" s="2063"/>
      <c r="AA195" s="2205" t="s">
        <v>177</v>
      </c>
      <c r="AB195" s="1591"/>
      <c r="AC195" s="1486"/>
      <c r="AD195" s="2241"/>
      <c r="AE195" s="2142"/>
      <c r="AF195" s="2241"/>
      <c r="AG195" s="4641"/>
      <c r="AH195" s="3883"/>
      <c r="AI195" s="2204" t="s">
        <v>177</v>
      </c>
      <c r="AJ195" s="2163"/>
      <c r="AK195" s="2212"/>
    </row>
    <row r="196" spans="1:37" s="1570" customFormat="1" ht="12.75">
      <c r="A196" s="2063"/>
      <c r="B196" s="583" t="s">
        <v>3072</v>
      </c>
      <c r="C196" s="1998"/>
      <c r="D196" s="2092"/>
      <c r="E196" s="2091"/>
      <c r="F196" s="2090"/>
      <c r="G196" s="2089"/>
      <c r="H196" s="2087"/>
      <c r="I196" s="2091"/>
      <c r="J196" s="2087"/>
      <c r="K196" s="2122"/>
      <c r="L196" s="1591"/>
      <c r="M196" s="2091"/>
      <c r="N196" s="1591"/>
      <c r="O196" s="2096">
        <v>48</v>
      </c>
      <c r="P196" s="1591"/>
      <c r="Q196" s="1048"/>
      <c r="R196" s="2063"/>
      <c r="S196" s="2195">
        <v>76</v>
      </c>
      <c r="T196" s="2063"/>
      <c r="U196" s="2195">
        <v>68.2</v>
      </c>
      <c r="V196" s="2063"/>
      <c r="W196" s="2205">
        <v>69.3</v>
      </c>
      <c r="X196" s="1591"/>
      <c r="Y196" s="1486"/>
      <c r="Z196" s="2063"/>
      <c r="AA196" s="2205"/>
      <c r="AB196" s="1591"/>
      <c r="AC196" s="1486">
        <v>18.12</v>
      </c>
      <c r="AD196" s="2241"/>
      <c r="AE196" s="2142">
        <v>81.75</v>
      </c>
      <c r="AF196" s="2241"/>
      <c r="AG196" s="4641"/>
      <c r="AH196" s="3883"/>
      <c r="AI196" s="2204" t="s">
        <v>177</v>
      </c>
      <c r="AJ196" s="2163"/>
      <c r="AK196" s="2212"/>
    </row>
    <row r="197" spans="1:37" s="1570" customFormat="1" ht="12.75">
      <c r="A197" s="2063"/>
      <c r="B197" s="583" t="s">
        <v>3073</v>
      </c>
      <c r="C197" s="1998"/>
      <c r="D197" s="2092"/>
      <c r="E197" s="2091">
        <v>185.75</v>
      </c>
      <c r="F197" s="2090"/>
      <c r="G197" s="2089"/>
      <c r="H197" s="2087"/>
      <c r="I197" s="2091">
        <v>213.26</v>
      </c>
      <c r="J197" s="2087"/>
      <c r="K197" s="2122">
        <v>177.65</v>
      </c>
      <c r="L197" s="1591"/>
      <c r="M197" s="2091">
        <v>63.8</v>
      </c>
      <c r="N197" s="1591"/>
      <c r="O197" s="2096">
        <v>149.9</v>
      </c>
      <c r="P197" s="1591"/>
      <c r="Q197" s="1048">
        <v>150.35</v>
      </c>
      <c r="R197" s="2063"/>
      <c r="S197" s="2195">
        <v>139.5</v>
      </c>
      <c r="T197" s="2063"/>
      <c r="U197" s="2195">
        <v>47.65</v>
      </c>
      <c r="V197" s="2063"/>
      <c r="W197" s="2205">
        <v>138.72</v>
      </c>
      <c r="X197" s="1591"/>
      <c r="Y197" s="1486"/>
      <c r="Z197" s="2063"/>
      <c r="AA197" s="2205"/>
      <c r="AB197" s="1591"/>
      <c r="AC197" s="1486">
        <v>206.45</v>
      </c>
      <c r="AD197" s="2241"/>
      <c r="AE197" s="2142">
        <v>179.49</v>
      </c>
      <c r="AF197" s="2241"/>
      <c r="AG197" s="4641"/>
      <c r="AH197" s="3883"/>
      <c r="AI197" s="2204" t="s">
        <v>177</v>
      </c>
      <c r="AJ197" s="2163"/>
      <c r="AK197" s="2212"/>
    </row>
    <row r="198" spans="1:37" s="1570" customFormat="1" ht="12.75">
      <c r="A198" s="2063"/>
      <c r="B198" s="583" t="s">
        <v>3074</v>
      </c>
      <c r="C198" s="1998"/>
      <c r="D198" s="2092"/>
      <c r="E198" s="2091">
        <v>147.22</v>
      </c>
      <c r="F198" s="2090"/>
      <c r="G198" s="2089"/>
      <c r="H198" s="2087"/>
      <c r="I198" s="2091">
        <v>133.75</v>
      </c>
      <c r="J198" s="2087"/>
      <c r="K198" s="2122">
        <v>125.38</v>
      </c>
      <c r="L198" s="1591"/>
      <c r="M198" s="2096">
        <v>49.5</v>
      </c>
      <c r="N198" s="1591"/>
      <c r="O198" s="2096">
        <v>121.5</v>
      </c>
      <c r="P198" s="1591"/>
      <c r="Q198" s="1048">
        <v>118.05</v>
      </c>
      <c r="R198" s="2063"/>
      <c r="S198" s="2195">
        <v>97.19</v>
      </c>
      <c r="T198" s="2063"/>
      <c r="U198" s="2195">
        <v>27.1</v>
      </c>
      <c r="V198" s="2063"/>
      <c r="W198" s="2205">
        <v>117.68</v>
      </c>
      <c r="X198" s="1591"/>
      <c r="Y198" s="1486">
        <v>216.57</v>
      </c>
      <c r="Z198" s="2063"/>
      <c r="AA198" s="2205"/>
      <c r="AB198" s="1591"/>
      <c r="AC198" s="1486">
        <v>163.22</v>
      </c>
      <c r="AD198" s="2241"/>
      <c r="AE198" s="2142">
        <v>87.91</v>
      </c>
      <c r="AF198" s="2241"/>
      <c r="AG198" s="4641"/>
      <c r="AH198" s="3883"/>
      <c r="AI198" s="2204" t="s">
        <v>177</v>
      </c>
      <c r="AJ198" s="2163"/>
      <c r="AK198" s="2212"/>
    </row>
    <row r="199" spans="1:37" s="1570" customFormat="1" ht="12.75">
      <c r="A199" s="2063"/>
      <c r="B199" s="583" t="s">
        <v>3075</v>
      </c>
      <c r="C199" s="1998"/>
      <c r="D199" s="2092"/>
      <c r="E199" s="2091">
        <v>236.6</v>
      </c>
      <c r="F199" s="2090"/>
      <c r="G199" s="2089"/>
      <c r="H199" s="2087"/>
      <c r="I199" s="2091">
        <v>205.55</v>
      </c>
      <c r="J199" s="2087"/>
      <c r="K199" s="2122">
        <v>205.45</v>
      </c>
      <c r="L199" s="1591"/>
      <c r="M199" s="2091">
        <v>202.7</v>
      </c>
      <c r="N199" s="1591"/>
      <c r="O199" s="2096">
        <v>174</v>
      </c>
      <c r="P199" s="1591"/>
      <c r="Q199" s="1048">
        <v>381.1</v>
      </c>
      <c r="R199" s="2063"/>
      <c r="S199" s="2195">
        <v>146.69999999999999</v>
      </c>
      <c r="T199" s="2063"/>
      <c r="U199" s="2195">
        <v>23.4</v>
      </c>
      <c r="V199" s="2063"/>
      <c r="W199" s="2205">
        <v>113.82</v>
      </c>
      <c r="X199" s="1591"/>
      <c r="Y199" s="1486"/>
      <c r="Z199" s="2063"/>
      <c r="AA199" s="2205"/>
      <c r="AB199" s="1591"/>
      <c r="AC199" s="1486">
        <v>399.43</v>
      </c>
      <c r="AD199" s="2241"/>
      <c r="AE199" s="2142">
        <v>861.78</v>
      </c>
      <c r="AF199" s="2241"/>
      <c r="AG199" s="4641"/>
      <c r="AH199" s="3883"/>
      <c r="AI199" s="2204" t="s">
        <v>177</v>
      </c>
      <c r="AJ199" s="2163"/>
      <c r="AK199" s="2212"/>
    </row>
    <row r="200" spans="1:37" s="1570" customFormat="1" ht="12.75">
      <c r="A200" s="2063"/>
      <c r="B200" s="583" t="s">
        <v>3076</v>
      </c>
      <c r="C200" s="1998"/>
      <c r="D200" s="2092"/>
      <c r="E200" s="2091"/>
      <c r="F200" s="2090"/>
      <c r="G200" s="2089"/>
      <c r="H200" s="2087"/>
      <c r="I200" s="2091"/>
      <c r="J200" s="2087"/>
      <c r="K200" s="2122"/>
      <c r="L200" s="1591"/>
      <c r="M200" s="2091"/>
      <c r="N200" s="1591"/>
      <c r="O200" s="2096"/>
      <c r="P200" s="1591"/>
      <c r="Q200" s="1048">
        <v>28.5</v>
      </c>
      <c r="R200" s="2063"/>
      <c r="S200" s="2195">
        <v>48</v>
      </c>
      <c r="T200" s="2063"/>
      <c r="U200" s="2195">
        <v>42.3</v>
      </c>
      <c r="V200" s="2063"/>
      <c r="W200" s="2205">
        <v>61.9</v>
      </c>
      <c r="X200" s="1591"/>
      <c r="Y200" s="1486">
        <v>46.2</v>
      </c>
      <c r="Z200" s="2063"/>
      <c r="AA200" s="2205"/>
      <c r="AB200" s="1591"/>
      <c r="AC200" s="1486">
        <v>29.58</v>
      </c>
      <c r="AD200" s="2241"/>
      <c r="AE200" s="2142">
        <v>50.85</v>
      </c>
      <c r="AF200" s="2241"/>
      <c r="AG200" s="4641"/>
      <c r="AH200" s="3883"/>
      <c r="AI200" s="2204" t="s">
        <v>177</v>
      </c>
      <c r="AJ200" s="2163"/>
      <c r="AK200" s="2212"/>
    </row>
    <row r="201" spans="1:37" s="1570" customFormat="1" ht="12.75">
      <c r="A201" s="2063"/>
      <c r="B201" s="583" t="s">
        <v>7316</v>
      </c>
      <c r="C201" s="1998"/>
      <c r="D201" s="2092"/>
      <c r="E201" s="2091"/>
      <c r="F201" s="2090"/>
      <c r="G201" s="2089"/>
      <c r="H201" s="2087"/>
      <c r="I201" s="2091"/>
      <c r="J201" s="2087"/>
      <c r="K201" s="2122"/>
      <c r="L201" s="1591"/>
      <c r="M201" s="2091"/>
      <c r="N201" s="1591"/>
      <c r="O201" s="2096"/>
      <c r="P201" s="1591"/>
      <c r="Q201" s="1048"/>
      <c r="R201" s="2063"/>
      <c r="S201" s="2195"/>
      <c r="T201" s="2063"/>
      <c r="U201" s="2195"/>
      <c r="V201" s="2063"/>
      <c r="W201" s="2205"/>
      <c r="X201" s="1591"/>
      <c r="Y201" s="1486"/>
      <c r="Z201" s="2063"/>
      <c r="AA201" s="2205"/>
      <c r="AB201" s="1591"/>
      <c r="AC201" s="1486">
        <v>57.29</v>
      </c>
      <c r="AD201" s="2241"/>
      <c r="AE201" s="2142">
        <v>6.24</v>
      </c>
      <c r="AF201" s="2241"/>
      <c r="AG201" s="4641"/>
      <c r="AH201" s="3883"/>
      <c r="AI201" s="2204" t="s">
        <v>177</v>
      </c>
      <c r="AJ201" s="2163"/>
      <c r="AK201" s="2212"/>
    </row>
    <row r="202" spans="1:37" s="1570" customFormat="1" ht="12.75">
      <c r="A202" s="2063"/>
      <c r="B202" s="583" t="s">
        <v>3077</v>
      </c>
      <c r="C202" s="1998"/>
      <c r="D202" s="2092"/>
      <c r="E202" s="2091"/>
      <c r="F202" s="2090"/>
      <c r="G202" s="2089"/>
      <c r="H202" s="2087"/>
      <c r="I202" s="2091">
        <v>85</v>
      </c>
      <c r="J202" s="2087"/>
      <c r="K202" s="2122"/>
      <c r="L202" s="1591"/>
      <c r="M202" s="2096"/>
      <c r="N202" s="1591"/>
      <c r="O202" s="2096"/>
      <c r="P202" s="1591"/>
      <c r="Q202" s="1048"/>
      <c r="R202" s="2063"/>
      <c r="S202" s="2195" t="s">
        <v>177</v>
      </c>
      <c r="T202" s="2063"/>
      <c r="U202" s="2195"/>
      <c r="V202" s="2063"/>
      <c r="W202" s="2205"/>
      <c r="X202" s="1591"/>
      <c r="Y202" s="1486"/>
      <c r="Z202" s="2063"/>
      <c r="AA202" s="2205"/>
      <c r="AB202" s="1591"/>
      <c r="AC202" s="1486">
        <v>80.48</v>
      </c>
      <c r="AD202" s="2241"/>
      <c r="AE202" s="2142">
        <v>0</v>
      </c>
      <c r="AF202" s="2241"/>
      <c r="AG202" s="4641"/>
      <c r="AH202" s="3883"/>
      <c r="AI202" s="2204" t="s">
        <v>177</v>
      </c>
      <c r="AJ202" s="2163"/>
      <c r="AK202" s="2212"/>
    </row>
    <row r="203" spans="1:37" s="1570" customFormat="1" ht="12.75">
      <c r="A203" s="2063"/>
      <c r="B203" s="583" t="s">
        <v>3078</v>
      </c>
      <c r="C203" s="1998"/>
      <c r="D203" s="2092"/>
      <c r="E203" s="2091">
        <v>147.94999999999999</v>
      </c>
      <c r="F203" s="2090"/>
      <c r="G203" s="2089"/>
      <c r="H203" s="2087"/>
      <c r="I203" s="2091">
        <v>130.02000000000001</v>
      </c>
      <c r="J203" s="2087"/>
      <c r="K203" s="2122">
        <v>135.85</v>
      </c>
      <c r="L203" s="1591"/>
      <c r="M203" s="2096">
        <v>174.7</v>
      </c>
      <c r="N203" s="1591"/>
      <c r="O203" s="2096">
        <v>182.65</v>
      </c>
      <c r="P203" s="1591"/>
      <c r="Q203" s="1048">
        <v>174.2</v>
      </c>
      <c r="R203" s="2063"/>
      <c r="S203" s="2195">
        <v>56.3</v>
      </c>
      <c r="T203" s="2063"/>
      <c r="U203" s="2195">
        <v>28.6</v>
      </c>
      <c r="V203" s="2063"/>
      <c r="W203" s="2205">
        <v>153.33000000000001</v>
      </c>
      <c r="X203" s="1591"/>
      <c r="Y203" s="1486">
        <v>644.01</v>
      </c>
      <c r="Z203" s="2063"/>
      <c r="AA203" s="2205"/>
      <c r="AB203" s="1591"/>
      <c r="AC203" s="1486">
        <v>344.16</v>
      </c>
      <c r="AD203" s="2241"/>
      <c r="AE203" s="2142">
        <v>503.6</v>
      </c>
      <c r="AF203" s="2241"/>
      <c r="AG203" s="4641"/>
      <c r="AH203" s="3883"/>
      <c r="AI203" s="2204" t="s">
        <v>177</v>
      </c>
      <c r="AJ203" s="2163"/>
      <c r="AK203" s="2212"/>
    </row>
    <row r="204" spans="1:37" hidden="1">
      <c r="A204" s="2063"/>
      <c r="B204" s="583" t="s">
        <v>3079</v>
      </c>
      <c r="C204" s="1998"/>
      <c r="D204" s="2092"/>
      <c r="E204" s="2091">
        <v>1134.52</v>
      </c>
      <c r="F204" s="2090"/>
      <c r="G204" s="2089"/>
      <c r="H204" s="2087"/>
      <c r="I204" s="2096"/>
      <c r="J204" s="2087"/>
      <c r="K204" s="2122"/>
      <c r="L204" s="1591"/>
      <c r="M204" s="2091"/>
      <c r="N204" s="1591"/>
      <c r="O204" s="2096"/>
      <c r="P204" s="1591"/>
      <c r="Q204" s="1048"/>
      <c r="R204" s="2063"/>
      <c r="S204" s="2195"/>
      <c r="T204" s="2063"/>
      <c r="U204" s="2195"/>
      <c r="V204" s="2148"/>
      <c r="W204" s="2205"/>
      <c r="X204" s="397"/>
      <c r="Y204" s="1486"/>
      <c r="Z204" s="2148"/>
      <c r="AA204" s="2205"/>
      <c r="AB204" s="397"/>
      <c r="AC204" s="1486"/>
      <c r="AD204" s="2243"/>
      <c r="AE204" s="2142"/>
      <c r="AF204" s="2243"/>
      <c r="AG204" s="4641"/>
      <c r="AH204" s="3886"/>
      <c r="AI204" s="2149"/>
      <c r="AJ204" s="3537"/>
      <c r="AK204" s="2143"/>
    </row>
    <row r="205" spans="1:37" s="1570" customFormat="1" ht="12.75">
      <c r="A205" s="2063"/>
      <c r="B205" s="583" t="s">
        <v>3080</v>
      </c>
      <c r="C205" s="1998"/>
      <c r="D205" s="2092"/>
      <c r="E205" s="2091">
        <v>698.44</v>
      </c>
      <c r="F205" s="2090"/>
      <c r="G205" s="2089"/>
      <c r="H205" s="2087"/>
      <c r="I205" s="2091">
        <v>435.21</v>
      </c>
      <c r="J205" s="2087"/>
      <c r="K205" s="2122">
        <v>658.31</v>
      </c>
      <c r="L205" s="1591"/>
      <c r="M205" s="2091">
        <v>658.31</v>
      </c>
      <c r="N205" s="1591"/>
      <c r="O205" s="2096">
        <v>1275.6500000000001</v>
      </c>
      <c r="P205" s="1591"/>
      <c r="Q205" s="1048">
        <v>1408.98</v>
      </c>
      <c r="R205" s="2063"/>
      <c r="S205" s="2195">
        <v>909.7</v>
      </c>
      <c r="T205" s="2063"/>
      <c r="U205" s="2195">
        <v>1809.16</v>
      </c>
      <c r="V205" s="2063"/>
      <c r="W205" s="2205">
        <v>2481.65</v>
      </c>
      <c r="X205" s="1591"/>
      <c r="Y205" s="1486">
        <v>1737.58</v>
      </c>
      <c r="Z205" s="2063"/>
      <c r="AA205" s="2205">
        <v>2007.43</v>
      </c>
      <c r="AB205" s="1591"/>
      <c r="AC205" s="1486">
        <v>450</v>
      </c>
      <c r="AD205" s="2241"/>
      <c r="AE205" s="2142"/>
      <c r="AF205" s="2241"/>
      <c r="AG205" s="4641"/>
      <c r="AH205" s="3883"/>
      <c r="AI205" s="2204" t="s">
        <v>177</v>
      </c>
      <c r="AJ205" s="2163"/>
      <c r="AK205" s="2212"/>
    </row>
    <row r="206" spans="1:37" s="1570" customFormat="1" ht="13.5" thickBot="1">
      <c r="A206" s="2063"/>
      <c r="B206" s="583" t="s">
        <v>3081</v>
      </c>
      <c r="C206" s="1998"/>
      <c r="D206" s="2092"/>
      <c r="E206" s="2091">
        <v>203.1</v>
      </c>
      <c r="F206" s="2090"/>
      <c r="G206" s="2089"/>
      <c r="H206" s="2087"/>
      <c r="I206" s="2091">
        <v>218.24</v>
      </c>
      <c r="J206" s="2087"/>
      <c r="K206" s="2122">
        <v>86.6</v>
      </c>
      <c r="L206" s="1591"/>
      <c r="M206" s="2091">
        <v>93.54</v>
      </c>
      <c r="N206" s="1591"/>
      <c r="O206" s="2096">
        <v>95.17</v>
      </c>
      <c r="P206" s="1591"/>
      <c r="Q206" s="1048">
        <v>159.99</v>
      </c>
      <c r="R206" s="2063"/>
      <c r="S206" s="2195">
        <v>97.19</v>
      </c>
      <c r="T206" s="2063"/>
      <c r="U206" s="2195">
        <v>85.81</v>
      </c>
      <c r="V206" s="2063"/>
      <c r="W206" s="2205">
        <v>160.69999999999999</v>
      </c>
      <c r="X206" s="1591"/>
      <c r="Y206" s="1486">
        <v>120.33</v>
      </c>
      <c r="Z206" s="2063"/>
      <c r="AA206" s="2205">
        <v>121.78</v>
      </c>
      <c r="AB206" s="1591"/>
      <c r="AC206" s="1486"/>
      <c r="AD206" s="2241"/>
      <c r="AE206" s="2142"/>
      <c r="AF206" s="2241"/>
      <c r="AG206" s="4641"/>
      <c r="AH206" s="3883"/>
      <c r="AI206" s="2204"/>
      <c r="AJ206" s="2163"/>
      <c r="AK206" s="2212"/>
    </row>
    <row r="207" spans="1:37" s="1570" customFormat="1" ht="13.5" hidden="1" thickBot="1">
      <c r="A207" s="2063"/>
      <c r="B207" s="583" t="s">
        <v>3082</v>
      </c>
      <c r="C207" s="1998"/>
      <c r="D207" s="2092"/>
      <c r="E207" s="2091"/>
      <c r="F207" s="2090"/>
      <c r="G207" s="2089"/>
      <c r="H207" s="2087"/>
      <c r="I207" s="2091">
        <v>418.03</v>
      </c>
      <c r="J207" s="2087"/>
      <c r="K207" s="2122"/>
      <c r="L207" s="1591"/>
      <c r="M207" s="2091"/>
      <c r="N207" s="1591"/>
      <c r="O207" s="2091"/>
      <c r="P207" s="1591"/>
      <c r="Q207" s="2092"/>
      <c r="R207" s="2063"/>
      <c r="S207" s="2193"/>
      <c r="T207" s="2063"/>
      <c r="U207" s="2193"/>
      <c r="V207" s="2063"/>
      <c r="W207" s="2205"/>
      <c r="X207" s="1591"/>
      <c r="Y207" s="1486"/>
      <c r="Z207" s="2063"/>
      <c r="AA207" s="2205"/>
      <c r="AB207" s="1591"/>
      <c r="AC207" s="1486"/>
      <c r="AD207" s="2241"/>
      <c r="AE207" s="2142"/>
      <c r="AF207" s="2241"/>
      <c r="AG207" s="4641"/>
      <c r="AH207" s="3883"/>
      <c r="AI207" s="2204"/>
      <c r="AJ207" s="2163"/>
      <c r="AK207" s="2212"/>
    </row>
    <row r="208" spans="1:37" s="1570" customFormat="1" ht="13.5" hidden="1" thickBot="1">
      <c r="A208" s="2063"/>
      <c r="B208" s="583" t="s">
        <v>3083</v>
      </c>
      <c r="C208" s="1998"/>
      <c r="D208" s="2092"/>
      <c r="E208" s="2091"/>
      <c r="F208" s="2090"/>
      <c r="G208" s="2089"/>
      <c r="H208" s="2087"/>
      <c r="I208" s="2091">
        <v>423.36</v>
      </c>
      <c r="J208" s="2087"/>
      <c r="K208" s="2122"/>
      <c r="L208" s="1591"/>
      <c r="M208" s="2091"/>
      <c r="N208" s="1591"/>
      <c r="O208" s="2091"/>
      <c r="P208" s="1591"/>
      <c r="Q208" s="2092"/>
      <c r="R208" s="2063"/>
      <c r="S208" s="2193"/>
      <c r="T208" s="2063"/>
      <c r="U208" s="2193"/>
      <c r="V208" s="2063"/>
      <c r="W208" s="2205"/>
      <c r="X208" s="1591"/>
      <c r="Y208" s="1486"/>
      <c r="Z208" s="2063"/>
      <c r="AA208" s="2205"/>
      <c r="AB208" s="1591"/>
      <c r="AC208" s="1486"/>
      <c r="AD208" s="2241"/>
      <c r="AE208" s="2142"/>
      <c r="AF208" s="2241"/>
      <c r="AG208" s="4641"/>
      <c r="AH208" s="3883"/>
      <c r="AI208" s="2204"/>
      <c r="AJ208" s="2163"/>
      <c r="AK208" s="2212"/>
    </row>
    <row r="209" spans="1:37" s="1570" customFormat="1" ht="13.5" hidden="1" thickBot="1">
      <c r="A209" s="2063"/>
      <c r="B209" s="583" t="s">
        <v>3084</v>
      </c>
      <c r="C209" s="1998"/>
      <c r="D209" s="2092"/>
      <c r="E209" s="2091"/>
      <c r="F209" s="2090"/>
      <c r="G209" s="2089"/>
      <c r="H209" s="2087"/>
      <c r="I209" s="2091">
        <v>475.35</v>
      </c>
      <c r="J209" s="2087"/>
      <c r="K209" s="2122"/>
      <c r="L209" s="1591"/>
      <c r="M209" s="2091"/>
      <c r="N209" s="1591"/>
      <c r="O209" s="2091"/>
      <c r="P209" s="1591"/>
      <c r="Q209" s="2092"/>
      <c r="R209" s="2063"/>
      <c r="S209" s="2193"/>
      <c r="T209" s="2063"/>
      <c r="U209" s="2193"/>
      <c r="V209" s="2063"/>
      <c r="W209" s="2205"/>
      <c r="X209" s="1591"/>
      <c r="Y209" s="1486"/>
      <c r="Z209" s="2063"/>
      <c r="AA209" s="2205"/>
      <c r="AB209" s="1591"/>
      <c r="AC209" s="1486"/>
      <c r="AD209" s="2241"/>
      <c r="AE209" s="2142"/>
      <c r="AF209" s="2241"/>
      <c r="AG209" s="4641"/>
      <c r="AH209" s="3883"/>
      <c r="AI209" s="2204"/>
      <c r="AJ209" s="2163"/>
      <c r="AK209" s="2212"/>
    </row>
    <row r="210" spans="1:37" ht="15.75" thickBot="1">
      <c r="A210" s="2148"/>
      <c r="B210" s="583"/>
      <c r="C210" s="2180" t="s">
        <v>2969</v>
      </c>
      <c r="D210" s="2108">
        <f>E169-D169</f>
        <v>4144.66</v>
      </c>
      <c r="E210" s="2091"/>
      <c r="F210" s="2119">
        <f>G169-F169</f>
        <v>-15930</v>
      </c>
      <c r="G210" s="2091"/>
      <c r="H210" s="2119">
        <f>I169-H169</f>
        <v>5560.0299999999952</v>
      </c>
      <c r="I210" s="2091"/>
      <c r="J210" s="2119">
        <f>K169-J169</f>
        <v>-3056.8699999999972</v>
      </c>
      <c r="K210" s="2091"/>
      <c r="L210" s="2119">
        <f>M169-L169</f>
        <v>1215.880000000001</v>
      </c>
      <c r="M210" s="2091"/>
      <c r="N210" s="2119">
        <f>O169-N169</f>
        <v>2281.8899999999994</v>
      </c>
      <c r="O210" s="2091"/>
      <c r="P210" s="2119">
        <f>Q169-P169</f>
        <v>1688.4900000000016</v>
      </c>
      <c r="Q210" s="2092"/>
      <c r="R210" s="2203">
        <f>S169-R169</f>
        <v>2351.3099999999977</v>
      </c>
      <c r="S210" s="2193"/>
      <c r="T210" s="2203">
        <f>U169-T169</f>
        <v>-269.46000000000095</v>
      </c>
      <c r="U210" s="2193"/>
      <c r="V210" s="2148"/>
      <c r="W210" s="2205"/>
      <c r="X210" s="1617"/>
      <c r="Y210" s="2231"/>
      <c r="Z210" s="2145"/>
      <c r="AA210" s="2214"/>
      <c r="AB210" s="1617"/>
      <c r="AC210" s="2231"/>
      <c r="AD210" s="2245"/>
      <c r="AE210" s="2156"/>
      <c r="AF210" s="2245"/>
      <c r="AG210" s="4642"/>
      <c r="AH210" s="3887"/>
      <c r="AI210" s="4645"/>
      <c r="AJ210" s="4444"/>
      <c r="AK210" s="2169"/>
    </row>
    <row r="211" spans="1:37" hidden="1">
      <c r="A211" s="2008" t="s">
        <v>3085</v>
      </c>
      <c r="B211" s="2081"/>
      <c r="C211" s="2172" t="s">
        <v>3086</v>
      </c>
      <c r="D211" s="2084">
        <v>27383</v>
      </c>
      <c r="E211" s="2083">
        <f>SUM(E212:E216)</f>
        <v>31550.99</v>
      </c>
      <c r="F211" s="2084">
        <v>30913</v>
      </c>
      <c r="G211" s="2083">
        <f>SUM(G212:G216)</f>
        <v>0</v>
      </c>
      <c r="H211" s="2082">
        <v>30913</v>
      </c>
      <c r="I211" s="2083">
        <f>SUM(I212:I216)</f>
        <v>31185.48</v>
      </c>
      <c r="J211" s="2082">
        <v>30913</v>
      </c>
      <c r="K211" s="2083">
        <f>SUM(K212:K216)</f>
        <v>30619.93</v>
      </c>
      <c r="L211" s="2084">
        <v>30913</v>
      </c>
      <c r="M211" s="2083">
        <f>SUM(M212:M216)</f>
        <v>30641.98</v>
      </c>
      <c r="N211" s="2084">
        <v>30913</v>
      </c>
      <c r="O211" s="2083">
        <f>SUM(O212:O216)</f>
        <v>26595.33</v>
      </c>
      <c r="P211" s="2084">
        <v>30913</v>
      </c>
      <c r="Q211" s="2084">
        <f>SUM(Q212:Q216)</f>
        <v>30966.89</v>
      </c>
      <c r="R211" s="2190">
        <v>30913</v>
      </c>
      <c r="S211" s="2191">
        <f>SUM(S212:S216)</f>
        <v>31635.26</v>
      </c>
      <c r="T211" s="2190">
        <v>30913</v>
      </c>
      <c r="U211" s="2191">
        <f>SUM(U212:U216)</f>
        <v>20067.400000000001</v>
      </c>
      <c r="V211" s="2190"/>
      <c r="W211" s="2191">
        <f>SUM(W212:W216)</f>
        <v>1984.17</v>
      </c>
      <c r="X211" s="2125"/>
      <c r="Y211" s="2236"/>
      <c r="Z211" s="2221"/>
      <c r="AA211" s="2222"/>
      <c r="AB211" s="2125"/>
      <c r="AC211" s="2236"/>
      <c r="AD211" s="2252"/>
      <c r="AE211" s="2157"/>
      <c r="AF211" s="2252"/>
      <c r="AG211" s="2157"/>
    </row>
    <row r="212" spans="1:37" hidden="1">
      <c r="A212" s="2063"/>
      <c r="B212" s="583" t="s">
        <v>3087</v>
      </c>
      <c r="C212" s="1998" t="s">
        <v>3088</v>
      </c>
      <c r="D212" s="2092"/>
      <c r="E212" s="2091">
        <v>28570.77</v>
      </c>
      <c r="F212" s="2090"/>
      <c r="G212" s="2089"/>
      <c r="H212" s="2088"/>
      <c r="I212" s="2091">
        <v>27822.01</v>
      </c>
      <c r="J212" s="2088"/>
      <c r="K212" s="2091">
        <v>27821.68</v>
      </c>
      <c r="L212" s="2090"/>
      <c r="M212" s="2091">
        <v>27438.12</v>
      </c>
      <c r="N212" s="2090"/>
      <c r="O212" s="2091">
        <v>26595.33</v>
      </c>
      <c r="P212" s="2090"/>
      <c r="Q212" s="2092">
        <v>28011.85</v>
      </c>
      <c r="R212" s="2192"/>
      <c r="S212" s="2193">
        <v>23427.68</v>
      </c>
      <c r="T212" s="2192"/>
      <c r="U212" s="2193">
        <v>17748.43</v>
      </c>
      <c r="V212" s="2148"/>
      <c r="W212" s="2205"/>
      <c r="X212" s="2126"/>
      <c r="Y212" s="2237"/>
      <c r="Z212" s="2223"/>
      <c r="AA212" s="2224"/>
      <c r="AB212" s="2126"/>
      <c r="AC212" s="2237"/>
      <c r="AD212" s="2253"/>
      <c r="AE212" s="2158"/>
      <c r="AF212" s="2253"/>
      <c r="AG212" s="2158"/>
    </row>
    <row r="213" spans="1:37" hidden="1">
      <c r="A213" s="2063"/>
      <c r="B213" s="583" t="s">
        <v>3089</v>
      </c>
      <c r="C213" s="1998"/>
      <c r="D213" s="2092"/>
      <c r="E213" s="2091"/>
      <c r="F213" s="2090"/>
      <c r="G213" s="2089"/>
      <c r="H213" s="2088"/>
      <c r="I213" s="2091">
        <v>3363.47</v>
      </c>
      <c r="J213" s="2088"/>
      <c r="K213" s="2091">
        <v>2798.25</v>
      </c>
      <c r="L213" s="2090"/>
      <c r="M213" s="2091">
        <v>3203.86</v>
      </c>
      <c r="N213" s="2090"/>
      <c r="O213" s="2091"/>
      <c r="P213" s="2090"/>
      <c r="Q213" s="2092">
        <v>2955.04</v>
      </c>
      <c r="R213" s="2192"/>
      <c r="S213" s="2193">
        <v>5406.39</v>
      </c>
      <c r="T213" s="2192"/>
      <c r="U213" s="2193">
        <v>2209.84</v>
      </c>
      <c r="V213" s="2148"/>
      <c r="W213" s="2205">
        <v>1984.17</v>
      </c>
      <c r="X213" s="2126"/>
      <c r="Y213" s="2237"/>
      <c r="Z213" s="2223"/>
      <c r="AA213" s="2224"/>
      <c r="AB213" s="2126"/>
      <c r="AC213" s="2237"/>
      <c r="AD213" s="2253"/>
      <c r="AE213" s="2158"/>
      <c r="AF213" s="2253"/>
      <c r="AG213" s="2158"/>
    </row>
    <row r="214" spans="1:37" hidden="1">
      <c r="A214" s="2063"/>
      <c r="B214" s="583" t="s">
        <v>3090</v>
      </c>
      <c r="C214" s="1998"/>
      <c r="D214" s="2092"/>
      <c r="E214" s="2091"/>
      <c r="F214" s="2090"/>
      <c r="G214" s="2089"/>
      <c r="H214" s="2088"/>
      <c r="I214" s="2092"/>
      <c r="J214" s="2088"/>
      <c r="K214" s="2092"/>
      <c r="L214" s="2090"/>
      <c r="M214" s="2092"/>
      <c r="N214" s="2090"/>
      <c r="O214" s="2091"/>
      <c r="P214" s="2090"/>
      <c r="Q214" s="2092"/>
      <c r="R214" s="2192"/>
      <c r="S214" s="2193">
        <v>2801.19</v>
      </c>
      <c r="T214" s="2192"/>
      <c r="U214" s="2181">
        <v>109.13</v>
      </c>
      <c r="V214" s="2148"/>
      <c r="W214" s="2205"/>
      <c r="X214" s="2126"/>
      <c r="Y214" s="2237"/>
      <c r="Z214" s="2223"/>
      <c r="AA214" s="2224"/>
      <c r="AB214" s="2126"/>
      <c r="AC214" s="2237"/>
      <c r="AD214" s="2253"/>
      <c r="AE214" s="2158"/>
      <c r="AF214" s="2253"/>
      <c r="AG214" s="2158"/>
    </row>
    <row r="215" spans="1:37" hidden="1">
      <c r="A215" s="2063"/>
      <c r="B215" s="583"/>
      <c r="C215" s="1998"/>
      <c r="D215" s="2092"/>
      <c r="E215" s="2091">
        <v>2980.22</v>
      </c>
      <c r="F215" s="2090"/>
      <c r="G215" s="2089"/>
      <c r="H215" s="2088"/>
      <c r="I215" s="2092"/>
      <c r="J215" s="2088"/>
      <c r="K215" s="397"/>
      <c r="L215" s="2090"/>
      <c r="M215" s="1486"/>
      <c r="N215" s="2090"/>
      <c r="O215" s="2091"/>
      <c r="P215" s="2090"/>
      <c r="Q215" s="1486"/>
      <c r="R215" s="2192"/>
      <c r="S215" s="1998"/>
      <c r="T215" s="2192"/>
      <c r="U215" s="1998"/>
      <c r="V215" s="2148"/>
      <c r="W215" s="2205"/>
      <c r="X215" s="2126"/>
      <c r="Y215" s="2237"/>
      <c r="Z215" s="2223"/>
      <c r="AA215" s="2224"/>
      <c r="AB215" s="2126"/>
      <c r="AC215" s="2237"/>
      <c r="AD215" s="2253"/>
      <c r="AE215" s="2158"/>
      <c r="AF215" s="2253"/>
      <c r="AG215" s="2158"/>
    </row>
    <row r="216" spans="1:37" hidden="1">
      <c r="A216" s="2148"/>
      <c r="B216" s="583"/>
      <c r="C216" s="2180" t="s">
        <v>2969</v>
      </c>
      <c r="D216" s="2108">
        <f>E211-D211</f>
        <v>4167.9900000000016</v>
      </c>
      <c r="E216" s="2091"/>
      <c r="F216" s="2119">
        <f>G211-F211</f>
        <v>-30913</v>
      </c>
      <c r="G216" s="2091"/>
      <c r="H216" s="2119">
        <f>I211-H211</f>
        <v>272.47999999999956</v>
      </c>
      <c r="I216" s="2091"/>
      <c r="J216" s="2119">
        <f>K211-J211</f>
        <v>-293.06999999999971</v>
      </c>
      <c r="K216" s="2091"/>
      <c r="L216" s="2119">
        <f>M211-L211</f>
        <v>-271.02000000000044</v>
      </c>
      <c r="M216" s="2091"/>
      <c r="N216" s="2119">
        <f>O211-N211</f>
        <v>-4317.6699999999983</v>
      </c>
      <c r="O216" s="2091"/>
      <c r="P216" s="2119">
        <f>Q211-P211</f>
        <v>53.889999999999418</v>
      </c>
      <c r="Q216" s="2092"/>
      <c r="R216" s="2203">
        <f>S211-R211</f>
        <v>722.2599999999984</v>
      </c>
      <c r="S216" s="2193"/>
      <c r="T216" s="2203">
        <f>U211-T211</f>
        <v>-10845.599999999999</v>
      </c>
      <c r="U216" s="2193"/>
      <c r="V216" s="2148"/>
      <c r="W216" s="2205"/>
      <c r="X216" s="2126"/>
      <c r="Y216" s="2237"/>
      <c r="Z216" s="2223"/>
      <c r="AA216" s="2224"/>
      <c r="AB216" s="2126"/>
      <c r="AC216" s="2237"/>
      <c r="AD216" s="2253"/>
      <c r="AE216" s="2158"/>
      <c r="AF216" s="2253"/>
      <c r="AG216" s="2158"/>
    </row>
    <row r="217" spans="1:37">
      <c r="A217" s="2008" t="s">
        <v>3091</v>
      </c>
      <c r="B217" s="2069"/>
      <c r="C217" s="2295" t="s">
        <v>3092</v>
      </c>
      <c r="D217" s="2084">
        <v>41083</v>
      </c>
      <c r="E217" s="2083">
        <f>SUM(E221:E229)</f>
        <v>91224.81</v>
      </c>
      <c r="F217" s="2084"/>
      <c r="G217" s="2098"/>
      <c r="H217" s="2082">
        <v>41083</v>
      </c>
      <c r="I217" s="2083">
        <f>SUM(I219:I223)</f>
        <v>0</v>
      </c>
      <c r="J217" s="2084">
        <v>19831</v>
      </c>
      <c r="K217" s="2083">
        <f>SUM(K219:K224)</f>
        <v>0</v>
      </c>
      <c r="L217" s="2084">
        <v>34831</v>
      </c>
      <c r="M217" s="2083">
        <f>SUM(M219:M224)</f>
        <v>1652.62</v>
      </c>
      <c r="N217" s="2084">
        <v>19832</v>
      </c>
      <c r="O217" s="2083">
        <f>SUM(O218:O224)</f>
        <v>37679.82</v>
      </c>
      <c r="P217" s="2084">
        <v>19831</v>
      </c>
      <c r="Q217" s="2084">
        <f>SUM(Q218:Q228)</f>
        <v>19831.48</v>
      </c>
      <c r="R217" s="2190">
        <v>19831</v>
      </c>
      <c r="S217" s="2191">
        <f>SUM(S218:S228)</f>
        <v>0</v>
      </c>
      <c r="T217" s="2190">
        <v>19831</v>
      </c>
      <c r="U217" s="2191">
        <f>SUM(U218:U228)</f>
        <v>39662.959999999999</v>
      </c>
      <c r="V217" s="2257"/>
      <c r="W217" s="2191">
        <f>SUM(W218:W228)</f>
        <v>49413.19</v>
      </c>
      <c r="X217" s="2100"/>
      <c r="Y217" s="2084">
        <f>SUM(Y218:Y228)</f>
        <v>6011.04</v>
      </c>
      <c r="Z217" s="2257"/>
      <c r="AA217" s="2191">
        <f>SUM(AA218:AA228)</f>
        <v>30023.64</v>
      </c>
      <c r="AB217" s="2100"/>
      <c r="AC217" s="2084">
        <f>SUM(AC218:AC228)</f>
        <v>24018.91</v>
      </c>
      <c r="AD217" s="2244"/>
      <c r="AE217" s="2296">
        <f>SUM(AE218:AE228)</f>
        <v>30023.64</v>
      </c>
      <c r="AF217" s="2244"/>
      <c r="AG217" s="2296">
        <f>SUM(AG218:AG228)</f>
        <v>30023.64</v>
      </c>
      <c r="AH217" s="3888"/>
      <c r="AI217" s="2296">
        <f>SUM(AI218:AI228)</f>
        <v>34778.36</v>
      </c>
      <c r="AJ217" s="3888"/>
      <c r="AK217" s="2296">
        <f>SUM(AK218:AK228)</f>
        <v>6004.73</v>
      </c>
    </row>
    <row r="218" spans="1:37" ht="15.75" thickBot="1">
      <c r="A218" s="2160" t="s">
        <v>3093</v>
      </c>
      <c r="B218" s="583" t="s">
        <v>3094</v>
      </c>
      <c r="C218" s="2177" t="s">
        <v>3095</v>
      </c>
      <c r="D218" s="2090"/>
      <c r="E218" s="2089"/>
      <c r="F218" s="2090"/>
      <c r="G218" s="2091"/>
      <c r="H218" s="2088"/>
      <c r="I218" s="2089"/>
      <c r="J218" s="2090"/>
      <c r="K218" s="2089"/>
      <c r="L218" s="2090"/>
      <c r="M218" s="2089"/>
      <c r="N218" s="2090"/>
      <c r="O218" s="2128">
        <v>13882.04</v>
      </c>
      <c r="P218" s="2090"/>
      <c r="Q218" s="2184">
        <f>13882.04+5949.44-13882.04</f>
        <v>5949.4399999999987</v>
      </c>
      <c r="R218" s="2192"/>
      <c r="S218" s="2193"/>
      <c r="T218" s="2192"/>
      <c r="U218" s="2195">
        <v>5949.44</v>
      </c>
      <c r="V218" s="2148"/>
      <c r="W218" s="2205"/>
      <c r="X218" s="397"/>
      <c r="Y218" s="1486"/>
      <c r="Z218" s="2148"/>
      <c r="AA218" s="2205"/>
      <c r="AB218" s="397"/>
      <c r="AC218" s="1486"/>
      <c r="AD218" s="2268"/>
      <c r="AE218" s="2269"/>
      <c r="AF218" s="2268"/>
      <c r="AG218" s="2269"/>
      <c r="AH218" s="3889"/>
      <c r="AI218" s="2269"/>
      <c r="AJ218" s="3886"/>
      <c r="AK218" s="2143"/>
    </row>
    <row r="219" spans="1:37">
      <c r="A219" s="2148" t="s">
        <v>3096</v>
      </c>
      <c r="B219" s="583">
        <v>2010</v>
      </c>
      <c r="C219" s="2177" t="s">
        <v>7187</v>
      </c>
      <c r="D219" s="2090"/>
      <c r="E219" s="2091">
        <v>7512.63</v>
      </c>
      <c r="F219" s="2111"/>
      <c r="G219" s="2091"/>
      <c r="H219" s="2088"/>
      <c r="I219" s="2091"/>
      <c r="J219" s="2090"/>
      <c r="K219" s="2091"/>
      <c r="L219" s="2090"/>
      <c r="M219" s="2096">
        <v>1652.62</v>
      </c>
      <c r="N219" s="2090"/>
      <c r="O219" s="2096"/>
      <c r="P219" s="2090"/>
      <c r="Q219" s="1048">
        <f>1652.62-1652.62</f>
        <v>0</v>
      </c>
      <c r="R219" s="2192"/>
      <c r="S219" s="2195"/>
      <c r="T219" s="2192"/>
      <c r="U219" s="2195">
        <v>19831.48</v>
      </c>
      <c r="V219" s="2148"/>
      <c r="W219" s="2195">
        <v>13882.04</v>
      </c>
      <c r="X219" s="397"/>
      <c r="Y219" s="1048">
        <v>6011.04</v>
      </c>
      <c r="Z219" s="2148"/>
      <c r="AA219" s="2195">
        <f>1920.7+4084.02</f>
        <v>6004.72</v>
      </c>
      <c r="AB219" s="397"/>
      <c r="AD219" s="2243"/>
      <c r="AE219" s="2195">
        <f>1920.93+4083.8</f>
        <v>6004.7300000000005</v>
      </c>
      <c r="AF219" s="2243"/>
      <c r="AG219" s="2195">
        <f>6004.73+24018.91</f>
        <v>30023.64</v>
      </c>
      <c r="AH219" s="3886"/>
      <c r="AI219" s="2149">
        <f>6004.73+4754.72</f>
        <v>10759.45</v>
      </c>
      <c r="AJ219" s="3886"/>
      <c r="AK219" s="2143">
        <v>6004.73</v>
      </c>
    </row>
    <row r="220" spans="1:37" hidden="1">
      <c r="A220" s="2148"/>
      <c r="B220" s="583">
        <v>2009</v>
      </c>
      <c r="C220" s="2181"/>
      <c r="D220" s="2090"/>
      <c r="E220" s="2091"/>
      <c r="F220" s="2111"/>
      <c r="G220" s="2091"/>
      <c r="H220" s="2088"/>
      <c r="I220" s="2091"/>
      <c r="J220" s="2090"/>
      <c r="K220" s="2091"/>
      <c r="L220" s="2090"/>
      <c r="M220" s="2096"/>
      <c r="N220" s="2090"/>
      <c r="O220" s="2096">
        <v>23797.78</v>
      </c>
      <c r="P220" s="2090"/>
      <c r="Q220" s="1048"/>
      <c r="R220" s="2192"/>
      <c r="S220" s="2195"/>
      <c r="T220" s="2192"/>
      <c r="U220" s="2195">
        <v>13882.04</v>
      </c>
      <c r="V220" s="2148"/>
      <c r="W220" s="2193">
        <v>7686.05</v>
      </c>
      <c r="X220" s="397"/>
      <c r="Y220" s="2092"/>
      <c r="Z220" s="2148"/>
      <c r="AA220" s="2193"/>
      <c r="AB220" s="397"/>
      <c r="AC220" s="2092"/>
      <c r="AD220" s="2243"/>
      <c r="AE220" s="2149"/>
      <c r="AF220" s="2243"/>
      <c r="AG220" s="2149"/>
      <c r="AH220" s="3886"/>
      <c r="AI220" s="2149"/>
      <c r="AJ220" s="3886"/>
      <c r="AK220" s="2143"/>
    </row>
    <row r="221" spans="1:37" s="1570" customFormat="1" ht="12.75" hidden="1">
      <c r="A221" s="2148"/>
      <c r="B221" s="583">
        <v>2006</v>
      </c>
      <c r="C221" s="2181">
        <v>2006</v>
      </c>
      <c r="D221" s="2090"/>
      <c r="E221" s="2091">
        <v>39662.959999999999</v>
      </c>
      <c r="F221" s="2111"/>
      <c r="G221" s="2091"/>
      <c r="H221" s="2088"/>
      <c r="I221" s="2091"/>
      <c r="J221" s="2090"/>
      <c r="K221" s="2091"/>
      <c r="L221" s="2090"/>
      <c r="M221" s="2096"/>
      <c r="N221" s="2090"/>
      <c r="O221" s="2096"/>
      <c r="P221" s="2090"/>
      <c r="Q221" s="1048"/>
      <c r="R221" s="2192"/>
      <c r="S221" s="2195"/>
      <c r="T221" s="2192"/>
      <c r="U221" s="2195"/>
      <c r="V221" s="2063"/>
      <c r="W221" s="2212"/>
      <c r="X221" s="1591"/>
      <c r="Y221" s="2163"/>
      <c r="Z221" s="2063"/>
      <c r="AA221" s="2212"/>
      <c r="AB221" s="1591"/>
      <c r="AC221" s="2163"/>
      <c r="AD221" s="2241"/>
      <c r="AE221" s="2141"/>
      <c r="AF221" s="2241"/>
      <c r="AG221" s="2141"/>
      <c r="AH221" s="3883"/>
      <c r="AI221" s="2204"/>
      <c r="AJ221" s="3883"/>
      <c r="AK221" s="2212"/>
    </row>
    <row r="222" spans="1:37" s="1570" customFormat="1" ht="12.75" hidden="1">
      <c r="A222" s="2148"/>
      <c r="B222" s="583" t="s">
        <v>3097</v>
      </c>
      <c r="C222" s="2181">
        <v>2007</v>
      </c>
      <c r="D222" s="2090"/>
      <c r="E222" s="2091">
        <v>11898.89</v>
      </c>
      <c r="F222" s="2111"/>
      <c r="G222" s="2091"/>
      <c r="H222" s="2088"/>
      <c r="I222" s="2091"/>
      <c r="J222" s="2092"/>
      <c r="K222" s="2091"/>
      <c r="L222" s="2092"/>
      <c r="M222" s="2096"/>
      <c r="N222" s="2092"/>
      <c r="O222" s="2096"/>
      <c r="P222" s="2092"/>
      <c r="Q222" s="1048"/>
      <c r="R222" s="2196"/>
      <c r="S222" s="2195"/>
      <c r="T222" s="2196"/>
      <c r="U222" s="2195"/>
      <c r="V222" s="2063"/>
      <c r="W222" s="2212"/>
      <c r="X222" s="1591"/>
      <c r="Y222" s="2163"/>
      <c r="Z222" s="2063"/>
      <c r="AA222" s="2212"/>
      <c r="AB222" s="1591"/>
      <c r="AC222" s="2163"/>
      <c r="AD222" s="2241"/>
      <c r="AE222" s="2141"/>
      <c r="AF222" s="2241"/>
      <c r="AG222" s="2141"/>
      <c r="AH222" s="3883"/>
      <c r="AI222" s="2204"/>
      <c r="AJ222" s="3883"/>
      <c r="AK222" s="2212"/>
    </row>
    <row r="223" spans="1:37" s="1570" customFormat="1" ht="12.75" hidden="1">
      <c r="A223" s="2063"/>
      <c r="B223" s="583">
        <v>2008</v>
      </c>
      <c r="C223" s="2177"/>
      <c r="D223" s="2090"/>
      <c r="E223" s="2091">
        <v>39662.959999999999</v>
      </c>
      <c r="F223" s="2111"/>
      <c r="G223" s="2091"/>
      <c r="H223" s="572"/>
      <c r="I223" s="2091"/>
      <c r="J223" s="397"/>
      <c r="K223" s="2091"/>
      <c r="L223" s="397"/>
      <c r="M223" s="2096"/>
      <c r="N223" s="397"/>
      <c r="O223" s="2096"/>
      <c r="P223" s="397"/>
      <c r="Q223" s="1048"/>
      <c r="R223" s="2148"/>
      <c r="S223" s="2195"/>
      <c r="T223" s="2148"/>
      <c r="U223" s="2195"/>
      <c r="V223" s="2063"/>
      <c r="W223" s="2212"/>
      <c r="X223" s="1591"/>
      <c r="Y223" s="2163"/>
      <c r="Z223" s="2063"/>
      <c r="AA223" s="2212"/>
      <c r="AB223" s="1591"/>
      <c r="AC223" s="2163"/>
      <c r="AD223" s="2241"/>
      <c r="AE223" s="2141"/>
      <c r="AF223" s="2241"/>
      <c r="AG223" s="2141"/>
      <c r="AH223" s="3883"/>
      <c r="AI223" s="2204"/>
      <c r="AJ223" s="3883"/>
      <c r="AK223" s="2212"/>
    </row>
    <row r="224" spans="1:37" s="1570" customFormat="1" ht="12.75" hidden="1">
      <c r="A224" s="2160"/>
      <c r="B224" s="583" t="s">
        <v>3098</v>
      </c>
      <c r="C224" s="2177"/>
      <c r="D224" s="2090"/>
      <c r="E224" s="2091"/>
      <c r="F224" s="2111"/>
      <c r="G224" s="2091"/>
      <c r="H224" s="572"/>
      <c r="I224" s="2091"/>
      <c r="J224" s="397"/>
      <c r="K224" s="2091"/>
      <c r="L224" s="397"/>
      <c r="M224" s="2096"/>
      <c r="N224" s="397"/>
      <c r="O224" s="2096"/>
      <c r="P224" s="397"/>
      <c r="Q224" s="1048"/>
      <c r="R224" s="2148"/>
      <c r="S224" s="2195"/>
      <c r="T224" s="2148"/>
      <c r="U224" s="2195"/>
      <c r="V224" s="2063"/>
      <c r="W224" s="2212"/>
      <c r="X224" s="1591"/>
      <c r="Y224" s="2163"/>
      <c r="Z224" s="2063"/>
      <c r="AA224" s="2212"/>
      <c r="AB224" s="1591"/>
      <c r="AC224" s="2163"/>
      <c r="AD224" s="2241"/>
      <c r="AE224" s="2141"/>
      <c r="AF224" s="2241"/>
      <c r="AG224" s="2141"/>
      <c r="AH224" s="3883"/>
      <c r="AI224" s="2204"/>
      <c r="AJ224" s="3883"/>
      <c r="AK224" s="2212"/>
    </row>
    <row r="225" spans="1:37" s="1570" customFormat="1" ht="12.75" hidden="1">
      <c r="A225" s="2160"/>
      <c r="B225" s="583">
        <v>2012</v>
      </c>
      <c r="C225" s="2177"/>
      <c r="D225" s="2090"/>
      <c r="E225" s="2091"/>
      <c r="F225" s="2111"/>
      <c r="G225" s="2091"/>
      <c r="H225" s="572"/>
      <c r="I225" s="2091"/>
      <c r="J225" s="397"/>
      <c r="K225" s="2091"/>
      <c r="L225" s="397"/>
      <c r="M225" s="2096"/>
      <c r="N225" s="397"/>
      <c r="O225" s="2096"/>
      <c r="P225" s="397"/>
      <c r="Q225" s="2185">
        <f>13882.04</f>
        <v>13882.04</v>
      </c>
      <c r="R225" s="2148"/>
      <c r="S225" s="2195"/>
      <c r="T225" s="2148"/>
      <c r="U225" s="2195"/>
      <c r="V225" s="2063"/>
      <c r="W225" s="2193">
        <v>5949.44</v>
      </c>
      <c r="X225" s="1591"/>
      <c r="Y225" s="2092"/>
      <c r="Z225" s="2063"/>
      <c r="AA225" s="2193"/>
      <c r="AB225" s="1591"/>
      <c r="AC225" s="2092"/>
      <c r="AD225" s="2241"/>
      <c r="AE225" s="2161"/>
      <c r="AF225" s="2241"/>
      <c r="AG225" s="2161"/>
      <c r="AH225" s="3883"/>
      <c r="AI225" s="2204"/>
      <c r="AJ225" s="3883"/>
      <c r="AK225" s="2212"/>
    </row>
    <row r="226" spans="1:37" s="1570" customFormat="1" ht="12.75" hidden="1">
      <c r="A226" s="2160"/>
      <c r="B226" s="583"/>
      <c r="C226" s="2177"/>
      <c r="D226" s="2090"/>
      <c r="E226" s="2091"/>
      <c r="F226" s="2111"/>
      <c r="G226" s="2091"/>
      <c r="H226" s="572"/>
      <c r="I226" s="2091"/>
      <c r="J226" s="397"/>
      <c r="K226" s="2091"/>
      <c r="L226" s="397"/>
      <c r="M226" s="2096"/>
      <c r="N226" s="397"/>
      <c r="O226" s="2096"/>
      <c r="P226" s="397"/>
      <c r="Q226" s="1048"/>
      <c r="R226" s="2148"/>
      <c r="S226" s="2195"/>
      <c r="T226" s="2148"/>
      <c r="U226" s="2195"/>
      <c r="V226" s="2063"/>
      <c r="W226" s="2193">
        <v>5569.11</v>
      </c>
      <c r="X226" s="1591"/>
      <c r="Y226" s="2092"/>
      <c r="Z226" s="2063"/>
      <c r="AA226" s="2193"/>
      <c r="AB226" s="1591"/>
      <c r="AC226" s="2092"/>
      <c r="AD226" s="2241"/>
      <c r="AE226" s="2161"/>
      <c r="AF226" s="2241"/>
      <c r="AG226" s="2161"/>
      <c r="AH226" s="3883"/>
      <c r="AI226" s="2204"/>
      <c r="AJ226" s="3883"/>
      <c r="AK226" s="2212"/>
    </row>
    <row r="227" spans="1:37" s="1570" customFormat="1" ht="13.5" thickBot="1">
      <c r="A227" s="2063"/>
      <c r="B227" s="583" t="s">
        <v>3103</v>
      </c>
      <c r="C227" s="2174"/>
      <c r="D227" s="2090"/>
      <c r="E227" s="2089"/>
      <c r="F227" s="2090"/>
      <c r="G227" s="2089"/>
      <c r="H227" s="2088"/>
      <c r="I227" s="2089"/>
      <c r="J227" s="2088"/>
      <c r="K227" s="2091"/>
      <c r="L227" s="2090"/>
      <c r="M227" s="2091"/>
      <c r="N227" s="2090"/>
      <c r="O227" s="2091"/>
      <c r="P227" s="2090"/>
      <c r="Q227" s="2092"/>
      <c r="R227" s="2192"/>
      <c r="S227" s="2193"/>
      <c r="T227" s="2192"/>
      <c r="U227" s="2193"/>
      <c r="V227" s="2063"/>
      <c r="W227" s="2205"/>
      <c r="X227" s="1591"/>
      <c r="Y227" s="1486"/>
      <c r="Z227" s="2063"/>
      <c r="AA227" s="2205">
        <v>24018.92</v>
      </c>
      <c r="AB227" s="1591"/>
      <c r="AC227" s="1486">
        <v>24018.91</v>
      </c>
      <c r="AD227" s="2241"/>
      <c r="AE227" s="2142">
        <v>24018.91</v>
      </c>
      <c r="AF227" s="2241"/>
      <c r="AG227" s="2142"/>
      <c r="AH227" s="3883"/>
      <c r="AI227" s="2193">
        <v>24018.91</v>
      </c>
      <c r="AJ227" s="3883"/>
      <c r="AK227" s="2212"/>
    </row>
    <row r="228" spans="1:37" s="1570" customFormat="1" ht="13.5" thickBot="1">
      <c r="A228" s="2160"/>
      <c r="B228" s="583"/>
      <c r="C228" s="2177"/>
      <c r="D228" s="2090"/>
      <c r="E228" s="2091"/>
      <c r="F228" s="2111"/>
      <c r="G228" s="2091"/>
      <c r="H228" s="572"/>
      <c r="I228" s="2091"/>
      <c r="J228" s="397"/>
      <c r="K228" s="2091"/>
      <c r="L228" s="397"/>
      <c r="M228" s="2096"/>
      <c r="N228" s="397"/>
      <c r="O228" s="2096"/>
      <c r="P228" s="397"/>
      <c r="Q228" s="1048"/>
      <c r="R228" s="2148"/>
      <c r="S228" s="2195"/>
      <c r="T228" s="2148"/>
      <c r="U228" s="2195"/>
      <c r="V228" s="2063"/>
      <c r="W228" s="2193">
        <v>16326.55</v>
      </c>
      <c r="X228" s="1591"/>
      <c r="Y228" s="2092"/>
      <c r="Z228" s="2063"/>
      <c r="AA228" s="2193"/>
      <c r="AB228" s="1591"/>
      <c r="AC228" s="2092"/>
      <c r="AD228" s="2241"/>
      <c r="AE228" s="2161"/>
      <c r="AF228" s="2241"/>
      <c r="AG228" s="2161"/>
      <c r="AH228" s="3883"/>
      <c r="AI228" s="2212"/>
      <c r="AJ228" s="3883"/>
      <c r="AK228" s="2212"/>
    </row>
    <row r="229" spans="1:37" s="1570" customFormat="1" ht="12" customHeight="1">
      <c r="A229" s="2148"/>
      <c r="B229" s="583"/>
      <c r="C229" s="2180" t="s">
        <v>2969</v>
      </c>
      <c r="D229" s="2108">
        <f>D217-E217</f>
        <v>-50141.81</v>
      </c>
      <c r="E229" s="2091"/>
      <c r="F229" s="2111"/>
      <c r="G229" s="2091"/>
      <c r="H229" s="2119">
        <f>H217-I217</f>
        <v>41083</v>
      </c>
      <c r="I229" s="2283"/>
      <c r="J229" s="2119">
        <f>J217-K217</f>
        <v>19831</v>
      </c>
      <c r="K229" s="2283"/>
      <c r="L229" s="2119">
        <f>L217-M217</f>
        <v>33178.379999999997</v>
      </c>
      <c r="M229" s="2283"/>
      <c r="N229" s="2119">
        <f>N217-O217</f>
        <v>-17847.82</v>
      </c>
      <c r="O229" s="2283"/>
      <c r="P229" s="2119">
        <f>P217-Q217</f>
        <v>-0.47999999999956344</v>
      </c>
      <c r="Q229" s="2097"/>
      <c r="R229" s="2203">
        <f>R217-S217</f>
        <v>19831</v>
      </c>
      <c r="S229" s="2284"/>
      <c r="T229" s="2203">
        <f>T217-U217</f>
        <v>-19831.96</v>
      </c>
      <c r="U229" s="2284"/>
      <c r="V229" s="2063"/>
      <c r="W229" s="2212"/>
      <c r="X229" s="1591"/>
      <c r="Y229" s="2163"/>
      <c r="Z229" s="2063"/>
      <c r="AA229" s="2212"/>
      <c r="AB229" s="1591"/>
      <c r="AC229" s="2163"/>
      <c r="AD229" s="3539"/>
      <c r="AE229" s="3540"/>
      <c r="AF229" s="3539"/>
      <c r="AG229" s="3540"/>
      <c r="AH229" s="3884"/>
      <c r="AI229" s="3885"/>
      <c r="AJ229" s="3884"/>
      <c r="AK229" s="3885"/>
    </row>
    <row r="230" spans="1:37" s="1570" customFormat="1" ht="12.75">
      <c r="A230" s="2008" t="s">
        <v>3091</v>
      </c>
      <c r="B230" s="2081"/>
      <c r="C230" s="2172" t="s">
        <v>3099</v>
      </c>
      <c r="D230" s="2084">
        <v>12744</v>
      </c>
      <c r="E230" s="2083">
        <f>SUM(E237:E245)</f>
        <v>21852.25</v>
      </c>
      <c r="F230" s="2084">
        <v>12744</v>
      </c>
      <c r="G230" s="2083">
        <f>SUM(G240:G245)</f>
        <v>0</v>
      </c>
      <c r="H230" s="2082">
        <v>12744</v>
      </c>
      <c r="I230" s="2083">
        <f>SUM(I237:I244)</f>
        <v>24656.32</v>
      </c>
      <c r="J230" s="2082">
        <v>12744</v>
      </c>
      <c r="K230" s="2083">
        <f>SUM(K231:K244)</f>
        <v>8707.7800000000007</v>
      </c>
      <c r="L230" s="2084">
        <v>12744</v>
      </c>
      <c r="M230" s="2083">
        <f>SUM(M231:M244)</f>
        <v>41224.05999999999</v>
      </c>
      <c r="N230" s="2084">
        <v>41224</v>
      </c>
      <c r="O230" s="2083">
        <f>SUM(O231:O244)</f>
        <v>45719.580000000009</v>
      </c>
      <c r="P230" s="2084">
        <v>41224</v>
      </c>
      <c r="Q230" s="2084">
        <f>SUM(Q231:Q244)</f>
        <v>25862</v>
      </c>
      <c r="R230" s="2190">
        <v>41224</v>
      </c>
      <c r="S230" s="2191">
        <f>SUM(S231:S244)</f>
        <v>15000</v>
      </c>
      <c r="T230" s="2190">
        <v>41224</v>
      </c>
      <c r="U230" s="2191">
        <f>SUM(U231:U244)</f>
        <v>15000</v>
      </c>
      <c r="V230" s="2008"/>
      <c r="W230" s="2211">
        <f>SUM(W231:W244)</f>
        <v>34080.149999999994</v>
      </c>
      <c r="X230" s="2022"/>
      <c r="Y230" s="2230">
        <f>SUM(Y231:Y244)</f>
        <v>15000</v>
      </c>
      <c r="Z230" s="2008"/>
      <c r="AA230" s="2211">
        <f>SUM(AA231:AA244)</f>
        <v>40801.799999999996</v>
      </c>
      <c r="AB230" s="2022"/>
      <c r="AC230" s="2230">
        <f>SUM(AC231:AC244)</f>
        <v>20026.68</v>
      </c>
      <c r="AD230" s="2240"/>
      <c r="AE230" s="2086">
        <f>SUM(AE231:AE244)</f>
        <v>35985.4</v>
      </c>
      <c r="AF230" s="2240"/>
      <c r="AG230" s="2086">
        <f>SUM(AG231:AG244)</f>
        <v>15000</v>
      </c>
      <c r="AH230" s="3881"/>
      <c r="AI230" s="2086">
        <f>SUM(AI231:AI244)</f>
        <v>45018.31</v>
      </c>
      <c r="AJ230" s="3881"/>
      <c r="AK230" s="2086">
        <f>SUM(AK231:AK244)</f>
        <v>0</v>
      </c>
    </row>
    <row r="231" spans="1:37" s="1570" customFormat="1" ht="12.75">
      <c r="A231" s="2063"/>
      <c r="B231" s="583" t="s">
        <v>3100</v>
      </c>
      <c r="C231" s="2174" t="s">
        <v>3101</v>
      </c>
      <c r="D231" s="2090"/>
      <c r="E231" s="2089"/>
      <c r="F231" s="2090"/>
      <c r="G231" s="2089"/>
      <c r="H231" s="2088"/>
      <c r="I231" s="2089"/>
      <c r="J231" s="2088"/>
      <c r="K231" s="2091"/>
      <c r="L231" s="2090"/>
      <c r="M231" s="2091">
        <v>15000</v>
      </c>
      <c r="N231" s="2090"/>
      <c r="O231" s="2091">
        <v>15000</v>
      </c>
      <c r="P231" s="2090"/>
      <c r="Q231" s="2092">
        <v>10000</v>
      </c>
      <c r="R231" s="2192"/>
      <c r="S231" s="2193"/>
      <c r="T231" s="2192"/>
      <c r="U231" s="2193"/>
      <c r="V231" s="2063"/>
      <c r="W231" s="2212"/>
      <c r="X231" s="1591"/>
      <c r="Y231" s="1486">
        <v>15000</v>
      </c>
      <c r="Z231" s="2063"/>
      <c r="AA231" s="2205"/>
      <c r="AB231" s="1591"/>
      <c r="AC231" s="1486"/>
      <c r="AD231" s="2241"/>
      <c r="AE231" s="2142"/>
      <c r="AF231" s="2241"/>
      <c r="AG231" s="2142"/>
      <c r="AH231" s="3882"/>
      <c r="AI231" s="2266"/>
      <c r="AJ231" s="3883"/>
      <c r="AK231" s="2212"/>
    </row>
    <row r="232" spans="1:37" s="1570" customFormat="1" ht="12.75">
      <c r="A232" s="2063"/>
      <c r="B232" s="583" t="s">
        <v>3102</v>
      </c>
      <c r="C232" s="2174" t="s">
        <v>7186</v>
      </c>
      <c r="D232" s="2090"/>
      <c r="E232" s="2089"/>
      <c r="F232" s="2090"/>
      <c r="G232" s="2089"/>
      <c r="H232" s="2088"/>
      <c r="I232" s="2089"/>
      <c r="J232" s="2088"/>
      <c r="K232" s="2091"/>
      <c r="L232" s="2090"/>
      <c r="M232" s="2091"/>
      <c r="N232" s="2090"/>
      <c r="O232" s="2091"/>
      <c r="P232" s="2090"/>
      <c r="Q232" s="2092"/>
      <c r="R232" s="2192"/>
      <c r="S232" s="2193"/>
      <c r="T232" s="2192"/>
      <c r="U232" s="2193"/>
      <c r="V232" s="2063"/>
      <c r="W232" s="2212"/>
      <c r="X232" s="1591"/>
      <c r="Y232" s="1486"/>
      <c r="Z232" s="2063"/>
      <c r="AA232" s="2205">
        <v>9000</v>
      </c>
      <c r="AB232" s="1591"/>
      <c r="AC232" s="1486"/>
      <c r="AD232" s="2241"/>
      <c r="AE232" s="2142">
        <v>12000</v>
      </c>
      <c r="AF232" s="2241"/>
      <c r="AG232" s="2142">
        <v>12000</v>
      </c>
      <c r="AH232" s="3883"/>
      <c r="AI232" s="2205">
        <v>12000</v>
      </c>
      <c r="AJ232" s="3883"/>
      <c r="AK232" s="2212"/>
    </row>
    <row r="233" spans="1:37" s="1570" customFormat="1" ht="12.75">
      <c r="A233" s="2063"/>
      <c r="B233" s="583" t="s">
        <v>3102</v>
      </c>
      <c r="C233" s="2174" t="s">
        <v>7186</v>
      </c>
      <c r="D233" s="2090"/>
      <c r="E233" s="2089"/>
      <c r="F233" s="2090"/>
      <c r="G233" s="2089"/>
      <c r="H233" s="2088"/>
      <c r="I233" s="2089"/>
      <c r="J233" s="2088"/>
      <c r="K233" s="2091"/>
      <c r="L233" s="2090"/>
      <c r="M233" s="2091"/>
      <c r="N233" s="2090"/>
      <c r="O233" s="2091"/>
      <c r="P233" s="2090"/>
      <c r="Q233" s="2092">
        <v>13750</v>
      </c>
      <c r="R233" s="2192"/>
      <c r="S233" s="2193">
        <v>13750</v>
      </c>
      <c r="T233" s="2192"/>
      <c r="U233" s="2193">
        <v>13750</v>
      </c>
      <c r="V233" s="2063"/>
      <c r="W233" s="2205">
        <v>6250</v>
      </c>
      <c r="X233" s="1591"/>
      <c r="Y233" s="1486"/>
      <c r="Z233" s="2063"/>
      <c r="AA233" s="2205">
        <v>4500</v>
      </c>
      <c r="AB233" s="1591"/>
      <c r="AC233" s="1486"/>
      <c r="AD233" s="2241"/>
      <c r="AE233" s="2142"/>
      <c r="AF233" s="2241"/>
      <c r="AG233" s="2142">
        <v>3000</v>
      </c>
      <c r="AH233" s="3883"/>
      <c r="AI233" s="2205">
        <v>3000</v>
      </c>
      <c r="AJ233" s="3883"/>
      <c r="AK233" s="2212"/>
    </row>
    <row r="234" spans="1:37" s="1570" customFormat="1" ht="12.75" hidden="1">
      <c r="A234" s="2063"/>
      <c r="B234" s="583" t="s">
        <v>8077</v>
      </c>
      <c r="C234" s="2174"/>
      <c r="D234" s="2090"/>
      <c r="E234" s="2089"/>
      <c r="F234" s="2090"/>
      <c r="G234" s="2089"/>
      <c r="H234" s="2088"/>
      <c r="I234" s="2089"/>
      <c r="J234" s="2088"/>
      <c r="K234" s="2091"/>
      <c r="L234" s="2090"/>
      <c r="M234" s="2091"/>
      <c r="N234" s="2090"/>
      <c r="O234" s="2091"/>
      <c r="P234" s="2090"/>
      <c r="Q234" s="2092"/>
      <c r="R234" s="2192"/>
      <c r="S234" s="2193"/>
      <c r="T234" s="2192"/>
      <c r="U234" s="2193"/>
      <c r="V234" s="2063"/>
      <c r="W234" s="2205"/>
      <c r="X234" s="1591"/>
      <c r="Y234" s="1486"/>
      <c r="Z234" s="2063"/>
      <c r="AA234" s="2205"/>
      <c r="AB234" s="1591"/>
      <c r="AC234" s="1486"/>
      <c r="AD234" s="2241"/>
      <c r="AE234" s="2142"/>
      <c r="AF234" s="2241"/>
      <c r="AG234" s="2142"/>
      <c r="AH234" s="3883"/>
      <c r="AI234" s="2205"/>
      <c r="AJ234" s="3883"/>
      <c r="AK234" s="2212"/>
    </row>
    <row r="235" spans="1:37" s="1570" customFormat="1" ht="12.75" hidden="1">
      <c r="A235" s="2063"/>
      <c r="B235" s="583"/>
      <c r="C235" s="2174"/>
      <c r="D235" s="2090"/>
      <c r="E235" s="2089"/>
      <c r="F235" s="2090"/>
      <c r="G235" s="2089"/>
      <c r="H235" s="2088"/>
      <c r="I235" s="2089"/>
      <c r="J235" s="2088"/>
      <c r="K235" s="2091"/>
      <c r="L235" s="2090"/>
      <c r="M235" s="2091"/>
      <c r="N235" s="2090"/>
      <c r="O235" s="2091"/>
      <c r="P235" s="2090"/>
      <c r="Q235" s="2092"/>
      <c r="R235" s="2192"/>
      <c r="S235" s="2193"/>
      <c r="T235" s="2192"/>
      <c r="U235" s="2193"/>
      <c r="V235" s="2063"/>
      <c r="W235" s="2205"/>
      <c r="X235" s="1591"/>
      <c r="Y235" s="1486"/>
      <c r="Z235" s="2063"/>
      <c r="AA235" s="2205"/>
      <c r="AB235" s="1591"/>
      <c r="AC235" s="1486"/>
      <c r="AD235" s="2241"/>
      <c r="AE235" s="2142"/>
      <c r="AF235" s="2241"/>
      <c r="AG235" s="2142"/>
      <c r="AH235" s="3883"/>
      <c r="AI235" s="2205"/>
      <c r="AJ235" s="3883"/>
      <c r="AK235" s="2212"/>
    </row>
    <row r="236" spans="1:37" s="1570" customFormat="1" ht="12.75" hidden="1">
      <c r="A236" s="2063"/>
      <c r="B236" s="583" t="s">
        <v>3104</v>
      </c>
      <c r="C236" s="2174"/>
      <c r="D236" s="2090"/>
      <c r="E236" s="2089"/>
      <c r="F236" s="2090"/>
      <c r="G236" s="2089"/>
      <c r="H236" s="2088"/>
      <c r="I236" s="2089"/>
      <c r="J236" s="2088"/>
      <c r="K236" s="2091"/>
      <c r="L236" s="2090"/>
      <c r="M236" s="2091">
        <v>1652.62</v>
      </c>
      <c r="N236" s="2090"/>
      <c r="O236" s="2096"/>
      <c r="P236" s="2090"/>
      <c r="Q236" s="1048">
        <v>1250</v>
      </c>
      <c r="R236" s="2192"/>
      <c r="S236" s="2195">
        <v>1250</v>
      </c>
      <c r="T236" s="2192"/>
      <c r="U236" s="2195">
        <v>1250</v>
      </c>
      <c r="V236" s="2063"/>
      <c r="W236" s="2212"/>
      <c r="X236" s="1591"/>
      <c r="Y236" s="2163"/>
      <c r="Z236" s="2063"/>
      <c r="AA236" s="2212"/>
      <c r="AB236" s="1591"/>
      <c r="AC236" s="2163"/>
      <c r="AD236" s="2241"/>
      <c r="AE236" s="2141"/>
      <c r="AF236" s="2241"/>
      <c r="AG236" s="2141"/>
      <c r="AH236" s="3883"/>
      <c r="AI236" s="2205"/>
      <c r="AJ236" s="3883"/>
      <c r="AK236" s="2212"/>
    </row>
    <row r="237" spans="1:37" s="1570" customFormat="1" ht="12.75">
      <c r="A237" s="2063"/>
      <c r="B237" s="583" t="s">
        <v>3105</v>
      </c>
      <c r="C237" s="1998"/>
      <c r="D237" s="2092"/>
      <c r="E237" s="2091">
        <v>1412.09</v>
      </c>
      <c r="F237" s="2090"/>
      <c r="G237" s="2089"/>
      <c r="H237" s="2088"/>
      <c r="I237" s="2096">
        <v>1560.29</v>
      </c>
      <c r="J237" s="2088"/>
      <c r="K237" s="2096">
        <f>587.69-90.52</f>
        <v>497.17000000000007</v>
      </c>
      <c r="L237" s="2090"/>
      <c r="M237" s="2096">
        <v>1405.07</v>
      </c>
      <c r="N237" s="2090"/>
      <c r="O237" s="2096">
        <v>1744.82</v>
      </c>
      <c r="P237" s="2090"/>
      <c r="Q237" s="1048">
        <v>862</v>
      </c>
      <c r="R237" s="2192"/>
      <c r="S237" s="2195"/>
      <c r="T237" s="2192"/>
      <c r="U237" s="2195"/>
      <c r="V237" s="2063"/>
      <c r="W237" s="2205">
        <v>1601.35</v>
      </c>
      <c r="X237" s="1591"/>
      <c r="Y237" s="2163"/>
      <c r="Z237" s="2063"/>
      <c r="AA237" s="2205">
        <v>1554.93</v>
      </c>
      <c r="AB237" s="1591"/>
      <c r="AC237" s="2163">
        <v>1128.57</v>
      </c>
      <c r="AD237" s="2241"/>
      <c r="AE237" s="2142">
        <v>1356.34</v>
      </c>
      <c r="AF237" s="2241"/>
      <c r="AG237" s="2141"/>
      <c r="AH237" s="3883"/>
      <c r="AI237" s="2205">
        <v>1707.05</v>
      </c>
      <c r="AJ237" s="3883"/>
      <c r="AK237" s="2212"/>
    </row>
    <row r="238" spans="1:37">
      <c r="A238" s="2063"/>
      <c r="B238" s="583" t="s">
        <v>3106</v>
      </c>
      <c r="C238" s="1998"/>
      <c r="D238" s="2092"/>
      <c r="E238" s="2091">
        <v>2958.64</v>
      </c>
      <c r="F238" s="2090"/>
      <c r="G238" s="2089"/>
      <c r="H238" s="2088"/>
      <c r="I238" s="2096">
        <v>3364.76</v>
      </c>
      <c r="J238" s="2088"/>
      <c r="K238" s="2096">
        <f>1267.37-195.22</f>
        <v>1072.1499999999999</v>
      </c>
      <c r="L238" s="2090"/>
      <c r="M238" s="2096">
        <v>3031.51</v>
      </c>
      <c r="N238" s="2090"/>
      <c r="O238" s="2096">
        <v>3787.27</v>
      </c>
      <c r="P238" s="2090"/>
      <c r="Q238" s="1048"/>
      <c r="R238" s="2192"/>
      <c r="S238" s="2195"/>
      <c r="T238" s="2192"/>
      <c r="U238" s="2195"/>
      <c r="V238" s="2148"/>
      <c r="W238" s="2205">
        <v>3438.24</v>
      </c>
      <c r="X238" s="397"/>
      <c r="Y238" s="1486"/>
      <c r="Z238" s="2148"/>
      <c r="AA238" s="2205">
        <v>3440.58</v>
      </c>
      <c r="AB238" s="397"/>
      <c r="AC238" s="1486">
        <v>2514.64</v>
      </c>
      <c r="AD238" s="2243"/>
      <c r="AE238" s="3763">
        <v>3033.45</v>
      </c>
      <c r="AF238" s="2243"/>
      <c r="AG238" s="2143"/>
      <c r="AH238" s="3886"/>
      <c r="AI238" s="3763">
        <v>3743.42</v>
      </c>
      <c r="AJ238" s="3886"/>
      <c r="AK238" s="2143"/>
    </row>
    <row r="239" spans="1:37">
      <c r="A239" s="2063"/>
      <c r="B239" s="583" t="s">
        <v>3107</v>
      </c>
      <c r="C239" s="1998"/>
      <c r="D239" s="2092"/>
      <c r="E239" s="2091">
        <v>4579.2299999999996</v>
      </c>
      <c r="F239" s="2090"/>
      <c r="G239" s="2089"/>
      <c r="H239" s="2087"/>
      <c r="I239" s="2096">
        <v>5153.07</v>
      </c>
      <c r="J239" s="2087"/>
      <c r="K239" s="2096">
        <f>1940.94-298.96</f>
        <v>1641.98</v>
      </c>
      <c r="L239" s="1591"/>
      <c r="M239" s="2096">
        <v>4630.91</v>
      </c>
      <c r="N239" s="1591"/>
      <c r="O239" s="2096">
        <v>5774.81</v>
      </c>
      <c r="P239" s="1591"/>
      <c r="Q239" s="1048"/>
      <c r="R239" s="2063"/>
      <c r="S239" s="2195"/>
      <c r="T239" s="2063"/>
      <c r="U239" s="2195"/>
      <c r="V239" s="2148"/>
      <c r="W239" s="2205">
        <v>5277.65</v>
      </c>
      <c r="X239" s="397"/>
      <c r="Y239" s="1486"/>
      <c r="Z239" s="2148"/>
      <c r="AA239" s="2205">
        <v>5155.17</v>
      </c>
      <c r="AB239" s="397"/>
      <c r="AC239" s="1486">
        <v>3803.95</v>
      </c>
      <c r="AD239" s="2243"/>
      <c r="AE239" s="3763">
        <v>4543.5</v>
      </c>
      <c r="AF239" s="2243"/>
      <c r="AG239" s="2143"/>
      <c r="AH239" s="3886"/>
      <c r="AI239" s="3763">
        <v>5796.68</v>
      </c>
      <c r="AJ239" s="3886"/>
      <c r="AK239" s="2143"/>
    </row>
    <row r="240" spans="1:37">
      <c r="A240" s="2063"/>
      <c r="B240" s="583" t="s">
        <v>3108</v>
      </c>
      <c r="C240" s="1998"/>
      <c r="D240" s="2092"/>
      <c r="E240" s="2091">
        <v>2688.88</v>
      </c>
      <c r="F240" s="2090"/>
      <c r="G240" s="2089"/>
      <c r="H240" s="2087"/>
      <c r="I240" s="2096">
        <v>3040.97</v>
      </c>
      <c r="J240" s="2087"/>
      <c r="K240" s="2096">
        <f>1145.41-176.43</f>
        <v>968.98</v>
      </c>
      <c r="L240" s="1591"/>
      <c r="M240" s="2096">
        <v>2740.02</v>
      </c>
      <c r="N240" s="1591"/>
      <c r="O240" s="2096">
        <v>3456.77</v>
      </c>
      <c r="P240" s="1591"/>
      <c r="Q240" s="1048"/>
      <c r="R240" s="2063"/>
      <c r="S240" s="2195"/>
      <c r="T240" s="2063"/>
      <c r="U240" s="2195"/>
      <c r="V240" s="2148"/>
      <c r="W240" s="2205">
        <v>3164.82</v>
      </c>
      <c r="X240" s="397"/>
      <c r="Y240" s="1486"/>
      <c r="Z240" s="2148"/>
      <c r="AA240" s="2205">
        <v>3104.32</v>
      </c>
      <c r="AB240" s="397"/>
      <c r="AC240" s="1486">
        <v>2284.4899999999998</v>
      </c>
      <c r="AD240" s="2243"/>
      <c r="AE240" s="3763">
        <v>2757.26</v>
      </c>
      <c r="AF240" s="2243"/>
      <c r="AG240" s="2143"/>
      <c r="AH240" s="3886"/>
      <c r="AI240" s="3763">
        <v>3485.71</v>
      </c>
      <c r="AJ240" s="3886"/>
      <c r="AK240" s="2143"/>
    </row>
    <row r="241" spans="1:37">
      <c r="A241" s="2063"/>
      <c r="B241" s="583" t="s">
        <v>3109</v>
      </c>
      <c r="C241" s="1998"/>
      <c r="D241" s="2092"/>
      <c r="E241" s="2091"/>
      <c r="F241" s="2090"/>
      <c r="G241" s="2089"/>
      <c r="H241" s="2087"/>
      <c r="I241" s="2096"/>
      <c r="J241" s="2087"/>
      <c r="K241" s="2096">
        <f>1006.25-154.99</f>
        <v>851.26</v>
      </c>
      <c r="L241" s="1591"/>
      <c r="M241" s="2096">
        <v>2397.5500000000002</v>
      </c>
      <c r="N241" s="1591"/>
      <c r="O241" s="2096">
        <v>2994.07</v>
      </c>
      <c r="P241" s="1591"/>
      <c r="Q241" s="1048"/>
      <c r="R241" s="2063"/>
      <c r="S241" s="2195"/>
      <c r="T241" s="2063"/>
      <c r="U241" s="2195"/>
      <c r="V241" s="2148"/>
      <c r="W241" s="2205">
        <v>2755.96</v>
      </c>
      <c r="X241" s="397"/>
      <c r="Y241" s="1486"/>
      <c r="Z241" s="2148"/>
      <c r="AA241" s="2205">
        <v>2704.26</v>
      </c>
      <c r="AB241" s="397"/>
      <c r="AC241" s="1486">
        <v>743.79</v>
      </c>
      <c r="AD241" s="2243"/>
      <c r="AE241" s="3763">
        <v>2362.44</v>
      </c>
      <c r="AF241" s="2243"/>
      <c r="AG241" s="2143"/>
      <c r="AH241" s="3886"/>
      <c r="AI241" s="3763">
        <v>2995.62</v>
      </c>
      <c r="AJ241" s="3886"/>
      <c r="AK241" s="2143"/>
    </row>
    <row r="242" spans="1:37">
      <c r="A242" s="2063"/>
      <c r="B242" s="583" t="s">
        <v>3110</v>
      </c>
      <c r="C242" s="1998"/>
      <c r="D242" s="2092"/>
      <c r="E242" s="2091">
        <v>942.91</v>
      </c>
      <c r="F242" s="2090"/>
      <c r="G242" s="2089"/>
      <c r="H242" s="2087"/>
      <c r="I242" s="2096">
        <v>1053.19</v>
      </c>
      <c r="J242" s="2087"/>
      <c r="K242" s="2096">
        <f>396.69-61.1</f>
        <v>335.59</v>
      </c>
      <c r="L242" s="1591"/>
      <c r="M242" s="2096">
        <v>929.39</v>
      </c>
      <c r="N242" s="1591"/>
      <c r="O242" s="2096">
        <v>1164.96</v>
      </c>
      <c r="P242" s="1591"/>
      <c r="Q242" s="1048"/>
      <c r="R242" s="2063"/>
      <c r="S242" s="2195"/>
      <c r="T242" s="2063"/>
      <c r="U242" s="2195"/>
      <c r="V242" s="2148"/>
      <c r="W242" s="2205">
        <v>1034.31</v>
      </c>
      <c r="X242" s="397"/>
      <c r="Y242" s="1486"/>
      <c r="Z242" s="2148"/>
      <c r="AA242" s="2205">
        <v>1014.64</v>
      </c>
      <c r="AB242" s="397"/>
      <c r="AC242" s="1486">
        <v>1979.52</v>
      </c>
      <c r="AD242" s="2243"/>
      <c r="AE242" s="3763">
        <v>880.17</v>
      </c>
      <c r="AF242" s="2243"/>
      <c r="AG242" s="2143"/>
      <c r="AH242" s="3886"/>
      <c r="AI242" s="3763">
        <v>1093.3399999999999</v>
      </c>
      <c r="AJ242" s="3886"/>
      <c r="AK242" s="2143"/>
    </row>
    <row r="243" spans="1:37">
      <c r="A243" s="2063"/>
      <c r="B243" s="583" t="s">
        <v>3111</v>
      </c>
      <c r="C243" s="1998"/>
      <c r="D243" s="2092"/>
      <c r="E243" s="2091">
        <v>6104.5</v>
      </c>
      <c r="F243" s="2090"/>
      <c r="G243" s="2089"/>
      <c r="H243" s="2087"/>
      <c r="I243" s="2096">
        <v>6923.61</v>
      </c>
      <c r="J243" s="2087"/>
      <c r="K243" s="2096">
        <f>2607.83-401.68</f>
        <v>2206.15</v>
      </c>
      <c r="L243" s="1591"/>
      <c r="M243" s="2096">
        <v>6238.47</v>
      </c>
      <c r="N243" s="1591"/>
      <c r="O243" s="2096">
        <v>7781.58</v>
      </c>
      <c r="P243" s="1591"/>
      <c r="Q243" s="1048"/>
      <c r="R243" s="2063"/>
      <c r="S243" s="2195"/>
      <c r="T243" s="2063"/>
      <c r="U243" s="2195"/>
      <c r="V243" s="2148"/>
      <c r="W243" s="2205">
        <v>6974.03</v>
      </c>
      <c r="X243" s="397"/>
      <c r="Y243" s="1486"/>
      <c r="Z243" s="2148"/>
      <c r="AA243" s="2205">
        <v>6747.7</v>
      </c>
      <c r="AB243" s="397"/>
      <c r="AC243" s="1486">
        <v>4944.04</v>
      </c>
      <c r="AD243" s="2243"/>
      <c r="AE243" s="3763">
        <v>5901.51</v>
      </c>
      <c r="AF243" s="2243"/>
      <c r="AG243" s="2143"/>
      <c r="AH243" s="3886"/>
      <c r="AI243" s="3763">
        <v>7316.61</v>
      </c>
      <c r="AJ243" s="3886"/>
      <c r="AK243" s="2143"/>
    </row>
    <row r="244" spans="1:37" ht="15.75" thickBot="1">
      <c r="A244" s="2063"/>
      <c r="B244" s="583" t="s">
        <v>3112</v>
      </c>
      <c r="C244" s="1998"/>
      <c r="D244" s="2092"/>
      <c r="E244" s="2091">
        <v>3166</v>
      </c>
      <c r="F244" s="2090"/>
      <c r="G244" s="2089"/>
      <c r="H244" s="2087"/>
      <c r="I244" s="2096">
        <v>3560.43</v>
      </c>
      <c r="J244" s="2087"/>
      <c r="K244" s="2096">
        <f>1341.07-206.57</f>
        <v>1134.5</v>
      </c>
      <c r="L244" s="1591"/>
      <c r="M244" s="2096">
        <v>3198.52</v>
      </c>
      <c r="N244" s="1591"/>
      <c r="O244" s="2096">
        <v>4015.3</v>
      </c>
      <c r="P244" s="1591"/>
      <c r="Q244" s="1048"/>
      <c r="R244" s="2063"/>
      <c r="S244" s="2195"/>
      <c r="T244" s="2063"/>
      <c r="U244" s="2195"/>
      <c r="V244" s="2148"/>
      <c r="W244" s="2205">
        <v>3583.79</v>
      </c>
      <c r="X244" s="397"/>
      <c r="Y244" s="1486"/>
      <c r="Z244" s="2148"/>
      <c r="AA244" s="2205">
        <v>3580.2</v>
      </c>
      <c r="AB244" s="397"/>
      <c r="AC244" s="1486">
        <v>2627.68</v>
      </c>
      <c r="AD244" s="2243"/>
      <c r="AE244" s="3763">
        <v>3150.73</v>
      </c>
      <c r="AF244" s="2243"/>
      <c r="AG244" s="2143"/>
      <c r="AH244" s="3886"/>
      <c r="AI244" s="3763">
        <v>3879.88</v>
      </c>
      <c r="AJ244" s="3886"/>
      <c r="AK244" s="2143"/>
    </row>
    <row r="245" spans="1:37">
      <c r="A245" s="2148"/>
      <c r="B245" s="583"/>
      <c r="C245" s="2180" t="s">
        <v>2969</v>
      </c>
      <c r="D245" s="2108">
        <f>E230-D230</f>
        <v>9108.25</v>
      </c>
      <c r="E245" s="2091"/>
      <c r="F245" s="2119">
        <f>G230-F230</f>
        <v>-12744</v>
      </c>
      <c r="G245" s="2091"/>
      <c r="H245" s="2119">
        <f>I230-H230</f>
        <v>11912.32</v>
      </c>
      <c r="I245" s="2283"/>
      <c r="J245" s="2119">
        <f>K230-J230</f>
        <v>-4036.2199999999993</v>
      </c>
      <c r="K245" s="2283"/>
      <c r="L245" s="2119">
        <f>M230-L230</f>
        <v>28480.05999999999</v>
      </c>
      <c r="M245" s="2283"/>
      <c r="N245" s="2119">
        <f>O230-N230</f>
        <v>4495.580000000009</v>
      </c>
      <c r="O245" s="2283"/>
      <c r="P245" s="2119">
        <f>Q230-P230</f>
        <v>-15362</v>
      </c>
      <c r="Q245" s="2097"/>
      <c r="R245" s="2203">
        <f>S230-R230</f>
        <v>-26224</v>
      </c>
      <c r="S245" s="2284"/>
      <c r="T245" s="2203">
        <f>U230-T230</f>
        <v>-26224</v>
      </c>
      <c r="U245" s="2284"/>
      <c r="V245" s="2148"/>
      <c r="W245" s="2205"/>
      <c r="X245" s="397"/>
      <c r="Y245" s="1486"/>
      <c r="Z245" s="2148"/>
      <c r="AA245" s="2205"/>
      <c r="AB245" s="397"/>
      <c r="AC245" s="1486"/>
      <c r="AD245" s="2243"/>
      <c r="AE245" s="2143"/>
      <c r="AF245" s="2243"/>
      <c r="AG245" s="2143"/>
      <c r="AH245" s="3887"/>
      <c r="AI245" s="2169"/>
      <c r="AJ245" s="3887"/>
      <c r="AK245" s="2169"/>
    </row>
    <row r="246" spans="1:37" hidden="1">
      <c r="A246" s="2259" t="s">
        <v>3113</v>
      </c>
      <c r="B246" s="2270"/>
      <c r="C246" s="2061" t="s">
        <v>3114</v>
      </c>
      <c r="D246" s="2261">
        <v>109203</v>
      </c>
      <c r="E246" s="2262">
        <f>SUM(E247:E250)</f>
        <v>81507.08</v>
      </c>
      <c r="F246" s="2261"/>
      <c r="G246" s="2272"/>
      <c r="H246" s="2285">
        <v>109203</v>
      </c>
      <c r="I246" s="2262">
        <f>SUM(I247:I251)</f>
        <v>96804.17</v>
      </c>
      <c r="J246" s="2285">
        <v>109203</v>
      </c>
      <c r="K246" s="2262">
        <f>SUM(K247:K251)</f>
        <v>100899.32</v>
      </c>
      <c r="L246" s="2286">
        <v>114379</v>
      </c>
      <c r="M246" s="2262">
        <f>SUM(M247:M251)</f>
        <v>102658.04999999999</v>
      </c>
      <c r="N246" s="2286">
        <v>114379</v>
      </c>
      <c r="O246" s="2262">
        <f>SUM(O247:O251)</f>
        <v>87612.4</v>
      </c>
      <c r="P246" s="2286">
        <v>121600</v>
      </c>
      <c r="Q246" s="2261">
        <f>SUM(Q247:Q251)</f>
        <v>97774.77</v>
      </c>
      <c r="R246" s="2287">
        <v>121600</v>
      </c>
      <c r="S246" s="2265">
        <f>SUM(S247:S251)</f>
        <v>96511.31</v>
      </c>
      <c r="T246" s="2287">
        <v>121600</v>
      </c>
      <c r="U246" s="2265">
        <f>SUM(U247:U251)</f>
        <v>92217.14</v>
      </c>
      <c r="V246" s="2264"/>
      <c r="W246" s="2265">
        <f>SUM(W247:W251)</f>
        <v>104578.45999999999</v>
      </c>
      <c r="X246" s="2288"/>
      <c r="Y246" s="2289"/>
      <c r="Z246" s="2290"/>
      <c r="AA246" s="2291"/>
      <c r="AB246" s="2288"/>
      <c r="AC246" s="2289"/>
      <c r="AD246" s="2292"/>
      <c r="AE246" s="2293"/>
      <c r="AF246" s="2292"/>
      <c r="AG246" s="2293"/>
    </row>
    <row r="247" spans="1:37" hidden="1">
      <c r="A247" s="2148"/>
      <c r="B247" s="583" t="s">
        <v>602</v>
      </c>
      <c r="C247" s="2177"/>
      <c r="D247" s="2090"/>
      <c r="E247" s="2091">
        <v>17196.330000000002</v>
      </c>
      <c r="F247" s="2111"/>
      <c r="G247" s="2091"/>
      <c r="H247" s="572"/>
      <c r="I247" s="2091">
        <v>19260.47</v>
      </c>
      <c r="J247" s="572"/>
      <c r="K247" s="2091">
        <v>19396.09</v>
      </c>
      <c r="L247" s="397"/>
      <c r="M247" s="2091">
        <v>20624.96</v>
      </c>
      <c r="N247" s="397"/>
      <c r="O247" s="2096">
        <v>18116.46</v>
      </c>
      <c r="P247" s="397"/>
      <c r="Q247" s="1048">
        <v>18988.55</v>
      </c>
      <c r="R247" s="2148"/>
      <c r="S247" s="2195">
        <v>19892.38</v>
      </c>
      <c r="T247" s="2148"/>
      <c r="U247" s="2195">
        <v>19015.490000000002</v>
      </c>
      <c r="V247" s="2148"/>
      <c r="W247" s="2205">
        <v>17707.080000000002</v>
      </c>
      <c r="X247" s="2126"/>
      <c r="Y247" s="2237"/>
      <c r="Z247" s="2223"/>
      <c r="AA247" s="2224"/>
      <c r="AB247" s="2126"/>
      <c r="AC247" s="2237"/>
      <c r="AD247" s="2253"/>
      <c r="AE247" s="2158"/>
      <c r="AF247" s="2253"/>
      <c r="AG247" s="2158"/>
    </row>
    <row r="248" spans="1:37" hidden="1">
      <c r="A248" s="2148"/>
      <c r="B248" s="583" t="s">
        <v>784</v>
      </c>
      <c r="C248" s="2177"/>
      <c r="D248" s="2090"/>
      <c r="E248" s="2091">
        <v>24883.63</v>
      </c>
      <c r="F248" s="2111"/>
      <c r="G248" s="2091"/>
      <c r="H248" s="572"/>
      <c r="I248" s="2091">
        <v>28792.89</v>
      </c>
      <c r="J248" s="572"/>
      <c r="K248" s="2091">
        <v>29612.2</v>
      </c>
      <c r="L248" s="397"/>
      <c r="M248" s="2091">
        <v>31338.54</v>
      </c>
      <c r="N248" s="397"/>
      <c r="O248" s="2096">
        <v>25107.57</v>
      </c>
      <c r="P248" s="397"/>
      <c r="Q248" s="1048">
        <v>31119.83</v>
      </c>
      <c r="R248" s="2148"/>
      <c r="S248" s="2195">
        <v>28594.21</v>
      </c>
      <c r="T248" s="2148"/>
      <c r="U248" s="2195">
        <v>27501.05</v>
      </c>
      <c r="V248" s="2148"/>
      <c r="W248" s="2205">
        <v>25775.9</v>
      </c>
      <c r="X248" s="2126"/>
      <c r="Y248" s="2237"/>
      <c r="Z248" s="2223"/>
      <c r="AA248" s="2224"/>
      <c r="AB248" s="2126"/>
      <c r="AC248" s="2237"/>
      <c r="AD248" s="2253"/>
      <c r="AE248" s="2158"/>
      <c r="AF248" s="2253"/>
      <c r="AG248" s="2158"/>
    </row>
    <row r="249" spans="1:37" hidden="1">
      <c r="A249" s="2148"/>
      <c r="B249" s="583" t="s">
        <v>604</v>
      </c>
      <c r="C249" s="2177"/>
      <c r="D249" s="2090"/>
      <c r="E249" s="2091">
        <v>14561.71</v>
      </c>
      <c r="F249" s="2111"/>
      <c r="G249" s="2091"/>
      <c r="H249" s="572"/>
      <c r="I249" s="2091">
        <v>20129.84</v>
      </c>
      <c r="J249" s="572"/>
      <c r="K249" s="2091">
        <v>20410.21</v>
      </c>
      <c r="L249" s="397"/>
      <c r="M249" s="2091">
        <v>19349.400000000001</v>
      </c>
      <c r="N249" s="397"/>
      <c r="O249" s="2096">
        <v>17486.28</v>
      </c>
      <c r="P249" s="397"/>
      <c r="Q249" s="1048">
        <v>19530.61</v>
      </c>
      <c r="R249" s="2148"/>
      <c r="S249" s="2195">
        <v>19173.95</v>
      </c>
      <c r="T249" s="2148"/>
      <c r="U249" s="2195">
        <v>18277.13</v>
      </c>
      <c r="V249" s="2148"/>
      <c r="W249" s="2205">
        <v>18271.919999999998</v>
      </c>
      <c r="X249" s="2126"/>
      <c r="Y249" s="2237"/>
      <c r="Z249" s="2223"/>
      <c r="AA249" s="2224"/>
      <c r="AB249" s="2126"/>
      <c r="AC249" s="2237"/>
      <c r="AD249" s="2253"/>
      <c r="AE249" s="2158"/>
      <c r="AF249" s="2253"/>
      <c r="AG249" s="2158"/>
    </row>
    <row r="250" spans="1:37" s="1570" customFormat="1" ht="12.75" hidden="1">
      <c r="A250" s="2148"/>
      <c r="B250" s="583" t="s">
        <v>605</v>
      </c>
      <c r="C250" s="2177"/>
      <c r="D250" s="2090"/>
      <c r="E250" s="2091">
        <v>24865.41</v>
      </c>
      <c r="F250" s="2111"/>
      <c r="G250" s="2091"/>
      <c r="H250" s="572"/>
      <c r="I250" s="2096">
        <v>28620.97</v>
      </c>
      <c r="J250" s="572"/>
      <c r="K250" s="2091">
        <v>31480.82</v>
      </c>
      <c r="L250" s="397"/>
      <c r="M250" s="2096">
        <v>31345.15</v>
      </c>
      <c r="N250" s="397"/>
      <c r="O250" s="2096">
        <v>26902.09</v>
      </c>
      <c r="P250" s="397"/>
      <c r="Q250" s="1048">
        <v>28135.78</v>
      </c>
      <c r="R250" s="2148"/>
      <c r="S250" s="2195">
        <v>28850.77</v>
      </c>
      <c r="T250" s="2148"/>
      <c r="U250" s="2195">
        <v>27423.47</v>
      </c>
      <c r="V250" s="2063"/>
      <c r="W250" s="2205">
        <v>42823.56</v>
      </c>
      <c r="X250" s="2129"/>
      <c r="Y250" s="2235"/>
      <c r="Z250" s="2219"/>
      <c r="AA250" s="2220"/>
      <c r="AB250" s="2129"/>
      <c r="AC250" s="2235"/>
      <c r="AD250" s="5"/>
      <c r="AE250" s="2153"/>
      <c r="AF250" s="5"/>
      <c r="AG250" s="2153"/>
      <c r="AH250" s="2132"/>
      <c r="AI250" s="2132"/>
      <c r="AJ250" s="2132"/>
      <c r="AK250" s="2132"/>
    </row>
    <row r="251" spans="1:37" s="1570" customFormat="1" ht="12.75" hidden="1">
      <c r="A251" s="2148"/>
      <c r="B251" s="583"/>
      <c r="C251" s="2180" t="s">
        <v>2969</v>
      </c>
      <c r="D251" s="2108">
        <f>E246-D246</f>
        <v>-27695.919999999998</v>
      </c>
      <c r="E251" s="2091"/>
      <c r="F251" s="2111"/>
      <c r="G251" s="2091"/>
      <c r="H251" s="2282">
        <f>I246-H246</f>
        <v>-12398.830000000002</v>
      </c>
      <c r="I251" s="2091"/>
      <c r="J251" s="2282">
        <f>K246-J246</f>
        <v>-8303.679999999993</v>
      </c>
      <c r="K251" s="2091"/>
      <c r="L251" s="2282">
        <f>M246-L246</f>
        <v>-11720.950000000012</v>
      </c>
      <c r="M251" s="2091"/>
      <c r="N251" s="2282">
        <f>O246-N246</f>
        <v>-26766.600000000006</v>
      </c>
      <c r="O251" s="2091"/>
      <c r="P251" s="2282">
        <f>Q246-P246</f>
        <v>-23825.229999999996</v>
      </c>
      <c r="Q251" s="2092"/>
      <c r="R251" s="2294">
        <f>S246-R246</f>
        <v>-25088.690000000002</v>
      </c>
      <c r="S251" s="2193"/>
      <c r="T251" s="2294">
        <f>U246-T246</f>
        <v>-29382.86</v>
      </c>
      <c r="U251" s="2193"/>
      <c r="V251" s="2063"/>
      <c r="W251" s="2212"/>
      <c r="X251" s="2129"/>
      <c r="Y251" s="2235"/>
      <c r="Z251" s="2219"/>
      <c r="AA251" s="2220"/>
      <c r="AB251" s="2129"/>
      <c r="AC251" s="2235"/>
      <c r="AD251" s="5"/>
      <c r="AE251" s="2153"/>
      <c r="AF251" s="5"/>
      <c r="AG251" s="2153"/>
      <c r="AH251" s="2132"/>
      <c r="AI251" s="2132"/>
      <c r="AJ251" s="2132"/>
      <c r="AK251" s="2132"/>
    </row>
    <row r="252" spans="1:37" s="1570" customFormat="1" ht="12.75" hidden="1">
      <c r="A252" s="2008" t="s">
        <v>3115</v>
      </c>
      <c r="B252" s="2081"/>
      <c r="C252" s="2172" t="s">
        <v>1222</v>
      </c>
      <c r="D252" s="2084"/>
      <c r="E252" s="2083">
        <f>SUM(E257:E259)</f>
        <v>10745.12</v>
      </c>
      <c r="F252" s="2084">
        <v>53600</v>
      </c>
      <c r="G252" s="2083">
        <f>SUM(G257:G259)</f>
        <v>0</v>
      </c>
      <c r="H252" s="2082">
        <v>13500</v>
      </c>
      <c r="I252" s="2083">
        <f>SUM(I257:I259)</f>
        <v>13194.5</v>
      </c>
      <c r="J252" s="2082">
        <v>13500</v>
      </c>
      <c r="K252" s="2083">
        <f>SUM(K257:K259)</f>
        <v>12083.09</v>
      </c>
      <c r="L252" s="2084">
        <v>13500</v>
      </c>
      <c r="M252" s="2083">
        <f>SUM(M257:M259)</f>
        <v>9163.9500000000007</v>
      </c>
      <c r="N252" s="2084">
        <v>13500</v>
      </c>
      <c r="O252" s="2083">
        <f>SUM(O257:O259)</f>
        <v>7551</v>
      </c>
      <c r="P252" s="2084">
        <v>13500</v>
      </c>
      <c r="Q252" s="2084">
        <f>SUM(Q257:Q259)</f>
        <v>9077.33</v>
      </c>
      <c r="R252" s="2190">
        <v>13500</v>
      </c>
      <c r="S252" s="2191">
        <f>SUM(S253:S257)</f>
        <v>117448.01</v>
      </c>
      <c r="T252" s="2190">
        <v>13500</v>
      </c>
      <c r="U252" s="2191">
        <f>SUM(U253:U257)</f>
        <v>138003.26999999999</v>
      </c>
      <c r="V252" s="2190"/>
      <c r="W252" s="2191">
        <f>SUM(W253:W257)</f>
        <v>22502.34</v>
      </c>
      <c r="X252" s="2022"/>
      <c r="Y252" s="2230"/>
      <c r="Z252" s="2008"/>
      <c r="AA252" s="2211"/>
      <c r="AB252" s="2022"/>
      <c r="AC252" s="2230"/>
      <c r="AD252" s="2240"/>
      <c r="AE252" s="2086"/>
      <c r="AF252" s="2240"/>
      <c r="AG252" s="2086"/>
      <c r="AH252" s="2132"/>
      <c r="AI252" s="2132"/>
      <c r="AJ252" s="2132"/>
      <c r="AK252" s="2132"/>
    </row>
    <row r="253" spans="1:37" s="1570" customFormat="1" ht="12.75" hidden="1">
      <c r="A253" s="2063"/>
      <c r="B253" s="397" t="s">
        <v>3116</v>
      </c>
      <c r="C253" s="2174" t="s">
        <v>3117</v>
      </c>
      <c r="D253" s="2090"/>
      <c r="E253" s="2089"/>
      <c r="F253" s="2090"/>
      <c r="G253" s="2089"/>
      <c r="H253" s="2088"/>
      <c r="I253" s="2089"/>
      <c r="J253" s="2088"/>
      <c r="K253" s="2089"/>
      <c r="L253" s="2090"/>
      <c r="M253" s="2089"/>
      <c r="N253" s="2090"/>
      <c r="O253" s="2089"/>
      <c r="P253" s="2090"/>
      <c r="Q253" s="2090"/>
      <c r="R253" s="2192"/>
      <c r="S253" s="2193">
        <v>72374.559999999998</v>
      </c>
      <c r="T253" s="2192"/>
      <c r="U253" s="2193">
        <v>22678.23</v>
      </c>
      <c r="V253" s="2063"/>
      <c r="W253" s="2205">
        <v>22502.34</v>
      </c>
      <c r="X253" s="1591"/>
      <c r="Y253" s="1486"/>
      <c r="Z253" s="2063"/>
      <c r="AA253" s="2205"/>
      <c r="AB253" s="1591"/>
      <c r="AC253" s="1486"/>
      <c r="AD253" s="2241"/>
      <c r="AE253" s="2142"/>
      <c r="AF253" s="2241"/>
      <c r="AG253" s="2142"/>
      <c r="AH253" s="2132"/>
      <c r="AI253" s="2132"/>
      <c r="AJ253" s="2132"/>
      <c r="AK253" s="2132"/>
    </row>
    <row r="254" spans="1:37" s="1570" customFormat="1" ht="12.75" hidden="1">
      <c r="A254" s="2063"/>
      <c r="B254" s="584" t="s">
        <v>3118</v>
      </c>
      <c r="C254" s="2174"/>
      <c r="D254" s="2090"/>
      <c r="E254" s="2089"/>
      <c r="F254" s="2090"/>
      <c r="G254" s="2089"/>
      <c r="H254" s="2088"/>
      <c r="I254" s="2089"/>
      <c r="J254" s="2088"/>
      <c r="K254" s="2089"/>
      <c r="L254" s="2090"/>
      <c r="M254" s="2089"/>
      <c r="N254" s="2090"/>
      <c r="O254" s="2089"/>
      <c r="P254" s="2090"/>
      <c r="Q254" s="2090"/>
      <c r="R254" s="2192"/>
      <c r="S254" s="2193">
        <v>18860.259999999998</v>
      </c>
      <c r="T254" s="2192"/>
      <c r="U254" s="2193">
        <v>115325.04</v>
      </c>
      <c r="V254" s="2063"/>
      <c r="W254" s="2212"/>
      <c r="X254" s="1591"/>
      <c r="Y254" s="2163"/>
      <c r="Z254" s="2063"/>
      <c r="AA254" s="2212"/>
      <c r="AB254" s="1591"/>
      <c r="AC254" s="2163"/>
      <c r="AD254" s="2241"/>
      <c r="AE254" s="2141"/>
      <c r="AF254" s="2241"/>
      <c r="AG254" s="2141"/>
      <c r="AH254" s="2132"/>
      <c r="AI254" s="2132"/>
      <c r="AJ254" s="2132"/>
      <c r="AK254" s="2132"/>
    </row>
    <row r="255" spans="1:37" s="1570" customFormat="1" ht="12.75" hidden="1">
      <c r="A255" s="2063"/>
      <c r="B255" s="584" t="s">
        <v>3119</v>
      </c>
      <c r="C255" s="2174"/>
      <c r="D255" s="2090"/>
      <c r="E255" s="2089"/>
      <c r="F255" s="2090"/>
      <c r="G255" s="2089"/>
      <c r="H255" s="2088"/>
      <c r="I255" s="2089"/>
      <c r="J255" s="2088"/>
      <c r="K255" s="2089"/>
      <c r="L255" s="2090"/>
      <c r="M255" s="2089"/>
      <c r="N255" s="2090"/>
      <c r="O255" s="2089"/>
      <c r="P255" s="2090"/>
      <c r="Q255" s="2090"/>
      <c r="R255" s="2192"/>
      <c r="S255" s="2193">
        <v>13029.64</v>
      </c>
      <c r="T255" s="2192"/>
      <c r="U255" s="2193"/>
      <c r="V255" s="2063"/>
      <c r="W255" s="2212"/>
      <c r="X255" s="1591"/>
      <c r="Y255" s="2163"/>
      <c r="Z255" s="2063"/>
      <c r="AA255" s="2212"/>
      <c r="AB255" s="1591"/>
      <c r="AC255" s="2163"/>
      <c r="AD255" s="2241"/>
      <c r="AE255" s="2141"/>
      <c r="AF255" s="2241"/>
      <c r="AG255" s="2141"/>
      <c r="AH255" s="2132"/>
      <c r="AI255" s="2132"/>
      <c r="AJ255" s="2132"/>
      <c r="AK255" s="2132"/>
    </row>
    <row r="256" spans="1:37" s="1570" customFormat="1" ht="12.75" hidden="1">
      <c r="A256" s="2063"/>
      <c r="B256" s="584" t="s">
        <v>3120</v>
      </c>
      <c r="C256" s="2174"/>
      <c r="D256" s="2090"/>
      <c r="E256" s="2089"/>
      <c r="F256" s="2090"/>
      <c r="G256" s="2089"/>
      <c r="H256" s="2088"/>
      <c r="I256" s="2089"/>
      <c r="J256" s="2088"/>
      <c r="K256" s="2089"/>
      <c r="L256" s="2090"/>
      <c r="M256" s="2089"/>
      <c r="N256" s="2090"/>
      <c r="O256" s="2089"/>
      <c r="P256" s="2090"/>
      <c r="Q256" s="2090"/>
      <c r="R256" s="2192"/>
      <c r="S256" s="2193">
        <v>13183.55</v>
      </c>
      <c r="T256" s="2192"/>
      <c r="U256" s="2193"/>
      <c r="V256" s="2063"/>
      <c r="W256" s="2212"/>
      <c r="X256" s="1591"/>
      <c r="Y256" s="2163"/>
      <c r="Z256" s="2063"/>
      <c r="AA256" s="2212"/>
      <c r="AB256" s="1591"/>
      <c r="AC256" s="2163"/>
      <c r="AD256" s="2241"/>
      <c r="AE256" s="2141"/>
      <c r="AF256" s="2241"/>
      <c r="AG256" s="2141"/>
      <c r="AH256" s="2132"/>
      <c r="AI256" s="2132"/>
      <c r="AJ256" s="2132"/>
      <c r="AK256" s="2132"/>
    </row>
    <row r="257" spans="1:33" hidden="1">
      <c r="A257" s="2063"/>
      <c r="B257" s="583" t="s">
        <v>3121</v>
      </c>
      <c r="C257" s="2174"/>
      <c r="D257" s="2090"/>
      <c r="E257" s="2091">
        <v>10745.12</v>
      </c>
      <c r="F257" s="2090"/>
      <c r="G257" s="2089"/>
      <c r="H257" s="2088"/>
      <c r="I257" s="2091">
        <f>12980.91+213.59</f>
        <v>13194.5</v>
      </c>
      <c r="J257" s="2088"/>
      <c r="K257" s="2091">
        <v>12083.09</v>
      </c>
      <c r="L257" s="2090"/>
      <c r="M257" s="2091">
        <v>9163.9500000000007</v>
      </c>
      <c r="N257" s="2090"/>
      <c r="O257" s="2091">
        <v>7551</v>
      </c>
      <c r="P257" s="2090"/>
      <c r="Q257" s="2092">
        <v>9077.33</v>
      </c>
      <c r="R257" s="2192"/>
      <c r="S257" s="2193"/>
      <c r="T257" s="2192"/>
      <c r="U257" s="2193"/>
      <c r="V257" s="2148"/>
      <c r="W257" s="2205"/>
      <c r="X257" s="397"/>
      <c r="Y257" s="1486"/>
      <c r="Z257" s="2148"/>
      <c r="AA257" s="2205"/>
      <c r="AB257" s="397"/>
      <c r="AC257" s="1486"/>
      <c r="AD257" s="2243"/>
      <c r="AE257" s="2143"/>
      <c r="AF257" s="2243"/>
      <c r="AG257" s="2143"/>
    </row>
    <row r="258" spans="1:33" hidden="1">
      <c r="A258" s="2063"/>
      <c r="B258" s="583" t="s">
        <v>3122</v>
      </c>
      <c r="C258" s="2174"/>
      <c r="D258" s="2090"/>
      <c r="E258" s="2091"/>
      <c r="F258" s="2090"/>
      <c r="G258" s="2089"/>
      <c r="H258" s="2088"/>
      <c r="I258" s="2091"/>
      <c r="J258" s="2088"/>
      <c r="K258" s="2091"/>
      <c r="L258" s="2090"/>
      <c r="M258" s="2091"/>
      <c r="N258" s="2090"/>
      <c r="O258" s="2091"/>
      <c r="P258" s="2090"/>
      <c r="Q258" s="2092"/>
      <c r="R258" s="2192"/>
      <c r="S258" s="2193"/>
      <c r="T258" s="2192"/>
      <c r="U258" s="2193"/>
      <c r="V258" s="2148"/>
      <c r="W258" s="2205"/>
      <c r="X258" s="397"/>
      <c r="Y258" s="1486"/>
      <c r="Z258" s="2148"/>
      <c r="AA258" s="2205">
        <v>19800</v>
      </c>
      <c r="AB258" s="397"/>
      <c r="AC258" s="1486">
        <v>19800</v>
      </c>
      <c r="AD258" s="2243"/>
      <c r="AE258" s="2143">
        <v>19800</v>
      </c>
      <c r="AF258" s="2243"/>
      <c r="AG258" s="2143"/>
    </row>
    <row r="259" spans="1:33" hidden="1">
      <c r="A259" s="2148"/>
      <c r="B259" s="583"/>
      <c r="C259" s="2180" t="s">
        <v>2969</v>
      </c>
      <c r="D259" s="2108">
        <f>E252-D252</f>
        <v>10745.12</v>
      </c>
      <c r="E259" s="2091"/>
      <c r="F259" s="2119">
        <f>G252-F252</f>
        <v>-53600</v>
      </c>
      <c r="G259" s="2091"/>
      <c r="H259" s="2119">
        <f>I252-H252</f>
        <v>-305.5</v>
      </c>
      <c r="I259" s="2091"/>
      <c r="J259" s="2119">
        <f>K252-J252</f>
        <v>-1416.9099999999999</v>
      </c>
      <c r="K259" s="2091"/>
      <c r="L259" s="2119">
        <f>M252-L252</f>
        <v>-4336.0499999999993</v>
      </c>
      <c r="M259" s="2091"/>
      <c r="N259" s="2119">
        <f>O252-N252</f>
        <v>-5949</v>
      </c>
      <c r="O259" s="2091"/>
      <c r="P259" s="2119">
        <f>Q252-P252</f>
        <v>-4422.67</v>
      </c>
      <c r="Q259" s="2092"/>
      <c r="R259" s="2203">
        <f>S252-R252</f>
        <v>103948.01</v>
      </c>
      <c r="S259" s="2193"/>
      <c r="T259" s="2203">
        <f>U252-T252</f>
        <v>124503.26999999999</v>
      </c>
      <c r="U259" s="2193"/>
      <c r="V259" s="2148"/>
      <c r="W259" s="2205"/>
      <c r="X259" s="397"/>
      <c r="Y259" s="1486"/>
      <c r="Z259" s="2148"/>
      <c r="AA259" s="2205"/>
      <c r="AB259" s="397"/>
      <c r="AC259" s="1486"/>
      <c r="AD259" s="2243"/>
      <c r="AE259" s="2143"/>
      <c r="AF259" s="2243"/>
      <c r="AG259" s="2143"/>
    </row>
    <row r="260" spans="1:33" hidden="1">
      <c r="A260" s="2259" t="s">
        <v>3123</v>
      </c>
      <c r="B260" s="2270"/>
      <c r="C260" s="2061" t="s">
        <v>1224</v>
      </c>
      <c r="D260" s="2261"/>
      <c r="E260" s="2272"/>
      <c r="F260" s="2261"/>
      <c r="G260" s="2274"/>
      <c r="H260" s="2263"/>
      <c r="I260" s="2272"/>
      <c r="J260" s="2261"/>
      <c r="K260" s="2274"/>
      <c r="L260" s="2263"/>
      <c r="M260" s="2274"/>
      <c r="N260" s="2263">
        <f>64304-58904</f>
        <v>5400</v>
      </c>
      <c r="O260" s="2262">
        <f>SUM(O261:O262)</f>
        <v>3074.71</v>
      </c>
      <c r="P260" s="2263">
        <f>64304-58904</f>
        <v>5400</v>
      </c>
      <c r="Q260" s="2261">
        <f>SUM(Q261:Q262)</f>
        <v>1283.95</v>
      </c>
      <c r="R260" s="2264">
        <f>64304-58904</f>
        <v>5400</v>
      </c>
      <c r="S260" s="2265">
        <f>SUM(S261:S262)</f>
        <v>514.66</v>
      </c>
      <c r="T260" s="2264">
        <f>64304-58904</f>
        <v>5400</v>
      </c>
      <c r="U260" s="2265">
        <f>SUM(U261:U262)</f>
        <v>0</v>
      </c>
      <c r="V260" s="2239"/>
      <c r="W260" s="2266"/>
      <c r="X260" s="1995"/>
      <c r="Y260" s="2267"/>
      <c r="Z260" s="2239"/>
      <c r="AA260" s="2266"/>
      <c r="AB260" s="1995"/>
      <c r="AC260" s="2267"/>
      <c r="AD260" s="2268"/>
      <c r="AE260" s="2269"/>
      <c r="AF260" s="2268"/>
      <c r="AG260" s="2269"/>
    </row>
    <row r="261" spans="1:33" hidden="1">
      <c r="A261" s="2063"/>
      <c r="B261" s="583" t="s">
        <v>602</v>
      </c>
      <c r="C261" s="2177"/>
      <c r="D261" s="2090"/>
      <c r="E261" s="2091"/>
      <c r="F261" s="2111"/>
      <c r="G261" s="2092"/>
      <c r="H261" s="2088"/>
      <c r="I261" s="2091"/>
      <c r="J261" s="2090"/>
      <c r="K261" s="2092"/>
      <c r="L261" s="2088"/>
      <c r="M261" s="2092"/>
      <c r="N261" s="2088"/>
      <c r="O261" s="2091">
        <v>1835.11</v>
      </c>
      <c r="P261" s="2088"/>
      <c r="Q261" s="2092">
        <v>640.88</v>
      </c>
      <c r="R261" s="2192"/>
      <c r="S261" s="2193">
        <v>514.66</v>
      </c>
      <c r="T261" s="2192"/>
      <c r="U261" s="2193"/>
      <c r="V261" s="2148"/>
      <c r="W261" s="2205"/>
      <c r="X261" s="397"/>
      <c r="Y261" s="1486"/>
      <c r="Z261" s="2148"/>
      <c r="AA261" s="2205"/>
      <c r="AB261" s="397"/>
      <c r="AC261" s="1486"/>
      <c r="AD261" s="2243"/>
      <c r="AE261" s="2143"/>
      <c r="AF261" s="2243"/>
      <c r="AG261" s="2143"/>
    </row>
    <row r="262" spans="1:33" hidden="1">
      <c r="A262" s="2063"/>
      <c r="B262" s="583" t="s">
        <v>784</v>
      </c>
      <c r="C262" s="2177"/>
      <c r="D262" s="2090"/>
      <c r="E262" s="2091"/>
      <c r="F262" s="2111"/>
      <c r="G262" s="2092"/>
      <c r="H262" s="2088"/>
      <c r="I262" s="2091"/>
      <c r="J262" s="2090"/>
      <c r="K262" s="2092"/>
      <c r="L262" s="2088"/>
      <c r="M262" s="2092"/>
      <c r="N262" s="2088"/>
      <c r="O262" s="2091">
        <v>1239.5999999999999</v>
      </c>
      <c r="P262" s="2088"/>
      <c r="Q262" s="2092">
        <v>643.07000000000005</v>
      </c>
      <c r="R262" s="2192"/>
      <c r="S262" s="2193"/>
      <c r="T262" s="2192"/>
      <c r="U262" s="2193"/>
      <c r="V262" s="2148"/>
      <c r="W262" s="2205"/>
      <c r="X262" s="397"/>
      <c r="Y262" s="1486"/>
      <c r="Z262" s="2148"/>
      <c r="AA262" s="2205"/>
      <c r="AB262" s="397"/>
      <c r="AC262" s="1486"/>
      <c r="AD262" s="2243"/>
      <c r="AE262" s="2143"/>
      <c r="AF262" s="2243"/>
      <c r="AG262" s="2143"/>
    </row>
    <row r="263" spans="1:33" hidden="1">
      <c r="A263" s="2063"/>
      <c r="B263" s="583" t="s">
        <v>604</v>
      </c>
      <c r="C263" s="2177"/>
      <c r="D263" s="2090"/>
      <c r="E263" s="2091"/>
      <c r="F263" s="2111"/>
      <c r="G263" s="2092"/>
      <c r="H263" s="2088"/>
      <c r="I263" s="2091"/>
      <c r="J263" s="2090"/>
      <c r="K263" s="2092"/>
      <c r="L263" s="2088"/>
      <c r="M263" s="2092"/>
      <c r="N263" s="2088"/>
      <c r="O263" s="2091"/>
      <c r="P263" s="2088"/>
      <c r="Q263" s="2092">
        <v>591.91999999999996</v>
      </c>
      <c r="R263" s="2192"/>
      <c r="S263" s="2193"/>
      <c r="T263" s="2192"/>
      <c r="U263" s="2193"/>
      <c r="V263" s="2148"/>
      <c r="W263" s="2205"/>
      <c r="X263" s="397"/>
      <c r="Y263" s="1486"/>
      <c r="Z263" s="2148"/>
      <c r="AA263" s="2205"/>
      <c r="AB263" s="397"/>
      <c r="AC263" s="1486"/>
      <c r="AD263" s="2243"/>
      <c r="AE263" s="2143"/>
      <c r="AF263" s="2243"/>
      <c r="AG263" s="2143"/>
    </row>
    <row r="264" spans="1:33" hidden="1">
      <c r="A264" s="2148"/>
      <c r="B264" s="583" t="s">
        <v>605</v>
      </c>
      <c r="C264" s="2177"/>
      <c r="D264" s="2090"/>
      <c r="E264" s="2091"/>
      <c r="F264" s="2111"/>
      <c r="G264" s="2092"/>
      <c r="H264" s="2088"/>
      <c r="I264" s="2091"/>
      <c r="J264" s="2090"/>
      <c r="K264" s="2092"/>
      <c r="L264" s="2088"/>
      <c r="M264" s="2092"/>
      <c r="N264" s="2088"/>
      <c r="O264" s="2091"/>
      <c r="P264" s="2088"/>
      <c r="Q264" s="1048">
        <v>493.39</v>
      </c>
      <c r="R264" s="2192"/>
      <c r="S264" s="2193"/>
      <c r="T264" s="2192"/>
      <c r="U264" s="2193"/>
      <c r="V264" s="2148"/>
      <c r="W264" s="2205"/>
      <c r="X264" s="397"/>
      <c r="Y264" s="1486"/>
      <c r="Z264" s="2148"/>
      <c r="AA264" s="2205"/>
      <c r="AB264" s="397"/>
      <c r="AC264" s="1486"/>
      <c r="AD264" s="2243"/>
      <c r="AE264" s="2143"/>
      <c r="AF264" s="2243"/>
      <c r="AG264" s="2143"/>
    </row>
    <row r="265" spans="1:33" ht="15.75" hidden="1" thickBot="1">
      <c r="A265" s="2145"/>
      <c r="B265" s="590"/>
      <c r="C265" s="2179"/>
      <c r="D265" s="2090"/>
      <c r="E265" s="2091"/>
      <c r="F265" s="2111"/>
      <c r="G265" s="2092"/>
      <c r="H265" s="2116"/>
      <c r="I265" s="2103"/>
      <c r="J265" s="2115"/>
      <c r="K265" s="2104"/>
      <c r="L265" s="2116"/>
      <c r="M265" s="2104"/>
      <c r="N265" s="2110">
        <f>O260-N260</f>
        <v>-2325.29</v>
      </c>
      <c r="O265" s="2103"/>
      <c r="P265" s="2110">
        <f>Q260-P260</f>
        <v>-4116.05</v>
      </c>
      <c r="Q265" s="2104"/>
      <c r="R265" s="2200">
        <f>S260-R260</f>
        <v>-4885.34</v>
      </c>
      <c r="S265" s="2198"/>
      <c r="T265" s="2200">
        <f>U260-T260</f>
        <v>-5400</v>
      </c>
      <c r="U265" s="2198"/>
      <c r="V265" s="2145"/>
      <c r="W265" s="2214"/>
      <c r="X265" s="1617"/>
      <c r="Y265" s="2231"/>
      <c r="Z265" s="2145"/>
      <c r="AA265" s="2214"/>
      <c r="AB265" s="1617"/>
      <c r="AC265" s="2231"/>
      <c r="AD265" s="2245"/>
      <c r="AE265" s="2146"/>
      <c r="AF265" s="2245"/>
      <c r="AG265" s="2146"/>
    </row>
    <row r="266" spans="1:33" hidden="1">
      <c r="A266" s="2147" t="s">
        <v>3124</v>
      </c>
      <c r="B266" s="382"/>
      <c r="C266" s="2176" t="s">
        <v>1224</v>
      </c>
      <c r="D266" s="2111">
        <v>44507</v>
      </c>
      <c r="E266" s="2108">
        <f>SUM(E267:E269)</f>
        <v>53605</v>
      </c>
      <c r="F266" s="2111">
        <v>53600</v>
      </c>
      <c r="G266" s="2108">
        <f>SUM(G267:G269)</f>
        <v>0</v>
      </c>
      <c r="H266" s="2112">
        <v>53600</v>
      </c>
      <c r="I266" s="2108">
        <f>SUM(I267:I269)</f>
        <v>55331.87</v>
      </c>
      <c r="J266" s="2112">
        <v>53600</v>
      </c>
      <c r="K266" s="2108">
        <f>SUM(K267:K269)</f>
        <v>56609.01</v>
      </c>
      <c r="L266" s="2111">
        <v>58904</v>
      </c>
      <c r="M266" s="2108">
        <f>SUM(M267:M269)</f>
        <v>56417.03</v>
      </c>
      <c r="N266" s="2111">
        <v>64304</v>
      </c>
      <c r="O266" s="2108">
        <f>SUM(O267:O269)</f>
        <v>57621.59</v>
      </c>
      <c r="P266" s="2111">
        <v>67385</v>
      </c>
      <c r="Q266" s="2111">
        <f>SUM(Q267:Q269)</f>
        <v>58605.59</v>
      </c>
      <c r="R266" s="2201">
        <v>67385</v>
      </c>
      <c r="S266" s="2199">
        <f>SUM(S267:S269)</f>
        <v>34344.85</v>
      </c>
      <c r="T266" s="2201">
        <v>67385</v>
      </c>
      <c r="U266" s="2199">
        <f>SUM(U267:U269)</f>
        <v>0</v>
      </c>
      <c r="V266" s="2221"/>
      <c r="W266" s="2222"/>
      <c r="X266" s="2125"/>
      <c r="Y266" s="2236"/>
      <c r="Z266" s="2221"/>
      <c r="AA266" s="2222"/>
      <c r="AB266" s="2125"/>
      <c r="AC266" s="2236"/>
      <c r="AD266" s="2252"/>
      <c r="AE266" s="2157"/>
      <c r="AF266" s="2252"/>
      <c r="AG266" s="2157"/>
    </row>
    <row r="267" spans="1:33" hidden="1">
      <c r="A267" s="2063"/>
      <c r="B267" s="583" t="s">
        <v>3125</v>
      </c>
      <c r="C267" s="2174" t="s">
        <v>3126</v>
      </c>
      <c r="D267" s="2090"/>
      <c r="E267" s="2091">
        <v>53605</v>
      </c>
      <c r="F267" s="2090"/>
      <c r="G267" s="2089"/>
      <c r="H267" s="2088"/>
      <c r="I267" s="2091">
        <v>55331.87</v>
      </c>
      <c r="J267" s="2088"/>
      <c r="K267" s="2091">
        <v>56609.01</v>
      </c>
      <c r="L267" s="2090"/>
      <c r="M267" s="2091">
        <v>56417.03</v>
      </c>
      <c r="N267" s="2090"/>
      <c r="O267" s="2091">
        <v>57621.59</v>
      </c>
      <c r="P267" s="2090"/>
      <c r="Q267" s="2092">
        <v>58605.59</v>
      </c>
      <c r="R267" s="2192"/>
      <c r="S267" s="2193">
        <v>34344.85</v>
      </c>
      <c r="T267" s="2192"/>
      <c r="U267" s="2193"/>
      <c r="V267" s="2223"/>
      <c r="W267" s="2224"/>
      <c r="X267" s="2126"/>
      <c r="Y267" s="2237"/>
      <c r="Z267" s="2223"/>
      <c r="AA267" s="2224"/>
      <c r="AB267" s="2126"/>
      <c r="AC267" s="2237"/>
      <c r="AD267" s="2253"/>
      <c r="AE267" s="2158"/>
      <c r="AF267" s="2253"/>
      <c r="AG267" s="2158"/>
    </row>
    <row r="268" spans="1:33" hidden="1">
      <c r="A268" s="2063"/>
      <c r="B268" s="583"/>
      <c r="C268" s="2174"/>
      <c r="D268" s="2090"/>
      <c r="E268" s="2091"/>
      <c r="F268" s="2090"/>
      <c r="G268" s="2089"/>
      <c r="H268" s="2088"/>
      <c r="I268" s="2091"/>
      <c r="J268" s="2088"/>
      <c r="K268" s="2091"/>
      <c r="L268" s="2090"/>
      <c r="M268" s="2091"/>
      <c r="N268" s="2090"/>
      <c r="O268" s="2091"/>
      <c r="P268" s="2090"/>
      <c r="Q268" s="2092"/>
      <c r="R268" s="2192"/>
      <c r="S268" s="2193"/>
      <c r="T268" s="2192"/>
      <c r="U268" s="2193"/>
      <c r="V268" s="2223"/>
      <c r="W268" s="2224"/>
      <c r="X268" s="2126"/>
      <c r="Y268" s="2237"/>
      <c r="Z268" s="2223"/>
      <c r="AA268" s="2224"/>
      <c r="AB268" s="2126"/>
      <c r="AC268" s="2237"/>
      <c r="AD268" s="2253"/>
      <c r="AE268" s="2158"/>
      <c r="AF268" s="2253"/>
      <c r="AG268" s="2158"/>
    </row>
    <row r="269" spans="1:33" ht="15.75" hidden="1" thickBot="1">
      <c r="A269" s="2145"/>
      <c r="B269" s="590"/>
      <c r="C269" s="2178" t="s">
        <v>2969</v>
      </c>
      <c r="D269" s="2121">
        <f>E266-D266</f>
        <v>9098</v>
      </c>
      <c r="E269" s="2103"/>
      <c r="F269" s="2110">
        <f>G266-F266</f>
        <v>-53600</v>
      </c>
      <c r="G269" s="2103"/>
      <c r="H269" s="2110">
        <f>I266-H266</f>
        <v>1731.8700000000026</v>
      </c>
      <c r="I269" s="2103"/>
      <c r="J269" s="2110">
        <f>K266-J266</f>
        <v>3009.010000000002</v>
      </c>
      <c r="K269" s="2103"/>
      <c r="L269" s="2110">
        <f>M266-L266</f>
        <v>-2486.9700000000012</v>
      </c>
      <c r="M269" s="2103"/>
      <c r="N269" s="2110">
        <f>O266-N266</f>
        <v>-6682.4100000000035</v>
      </c>
      <c r="O269" s="2103"/>
      <c r="P269" s="2110">
        <f>Q266-P266</f>
        <v>-8779.4100000000035</v>
      </c>
      <c r="Q269" s="2104"/>
      <c r="R269" s="2200">
        <f>S266-R266</f>
        <v>-33040.15</v>
      </c>
      <c r="S269" s="2198"/>
      <c r="T269" s="2200">
        <f>U266-T266</f>
        <v>-67385</v>
      </c>
      <c r="U269" s="2198"/>
      <c r="V269" s="2225"/>
      <c r="W269" s="2226"/>
      <c r="X269" s="2127"/>
      <c r="Y269" s="2238"/>
      <c r="Z269" s="2225"/>
      <c r="AA269" s="2226"/>
      <c r="AB269" s="2127"/>
      <c r="AC269" s="2238"/>
      <c r="AD269" s="2254"/>
      <c r="AE269" s="2159"/>
      <c r="AF269" s="2254"/>
      <c r="AG269" s="2159"/>
    </row>
    <row r="270" spans="1:33" hidden="1">
      <c r="A270" s="2063" t="s">
        <v>3127</v>
      </c>
      <c r="B270" s="583"/>
      <c r="C270" s="2177" t="s">
        <v>1785</v>
      </c>
      <c r="D270" s="2090"/>
      <c r="E270" s="2092"/>
      <c r="F270" s="2090"/>
      <c r="G270" s="2092"/>
      <c r="H270" s="2088"/>
      <c r="I270" s="2091"/>
      <c r="J270" s="2090"/>
      <c r="K270" s="2092"/>
      <c r="L270" s="2088"/>
      <c r="M270" s="2092"/>
      <c r="N270" s="2088"/>
      <c r="O270" s="2089">
        <f>SUM(O271:O275)</f>
        <v>5221.99</v>
      </c>
      <c r="P270" s="2088">
        <v>7653</v>
      </c>
      <c r="Q270" s="2090">
        <f>SUM(Q271:Q275)</f>
        <v>2548.9299999999998</v>
      </c>
      <c r="R270" s="2192">
        <v>7653</v>
      </c>
      <c r="S270" s="2204">
        <f>SUM(S271:S275)</f>
        <v>1278.95</v>
      </c>
      <c r="T270" s="2192">
        <v>7653</v>
      </c>
      <c r="U270" s="2204">
        <f>SUM(U271:U275)</f>
        <v>0</v>
      </c>
      <c r="V270" s="2148"/>
      <c r="W270" s="2205"/>
      <c r="X270" s="397"/>
      <c r="Y270" s="1486"/>
      <c r="Z270" s="2148"/>
      <c r="AA270" s="2205"/>
      <c r="AB270" s="397"/>
      <c r="AC270" s="1486"/>
      <c r="AD270" s="2243"/>
      <c r="AE270" s="2143"/>
      <c r="AF270" s="2243"/>
      <c r="AG270" s="2143"/>
    </row>
    <row r="271" spans="1:33" hidden="1">
      <c r="A271" s="2063"/>
      <c r="B271" s="583" t="s">
        <v>602</v>
      </c>
      <c r="C271" s="2181" t="s">
        <v>1970</v>
      </c>
      <c r="D271" s="2111"/>
      <c r="E271" s="2092"/>
      <c r="F271" s="2111"/>
      <c r="G271" s="2092"/>
      <c r="H271" s="2088"/>
      <c r="I271" s="2091"/>
      <c r="J271" s="2090"/>
      <c r="K271" s="2092"/>
      <c r="L271" s="2088"/>
      <c r="M271" s="2092"/>
      <c r="N271" s="2088"/>
      <c r="O271" s="2091">
        <v>2591.1999999999998</v>
      </c>
      <c r="P271" s="2088"/>
      <c r="Q271" s="2092"/>
      <c r="R271" s="2192"/>
      <c r="S271" s="2193">
        <v>1278.95</v>
      </c>
      <c r="T271" s="2192"/>
      <c r="U271" s="2193"/>
      <c r="V271" s="2148"/>
      <c r="W271" s="2205"/>
      <c r="X271" s="397"/>
      <c r="Y271" s="1486"/>
      <c r="Z271" s="2148"/>
      <c r="AA271" s="2205"/>
      <c r="AB271" s="397"/>
      <c r="AC271" s="1486"/>
      <c r="AD271" s="2243"/>
      <c r="AE271" s="2143"/>
      <c r="AF271" s="2243"/>
      <c r="AG271" s="2143"/>
    </row>
    <row r="272" spans="1:33" hidden="1">
      <c r="A272" s="2063"/>
      <c r="B272" s="583" t="s">
        <v>784</v>
      </c>
      <c r="C272" s="2177"/>
      <c r="D272" s="2111"/>
      <c r="E272" s="2092"/>
      <c r="F272" s="2111"/>
      <c r="G272" s="2092"/>
      <c r="H272" s="2088"/>
      <c r="I272" s="2091"/>
      <c r="J272" s="2090"/>
      <c r="K272" s="2092"/>
      <c r="L272" s="2088"/>
      <c r="M272" s="2092"/>
      <c r="N272" s="2088"/>
      <c r="O272" s="2091">
        <v>2630.79</v>
      </c>
      <c r="P272" s="2088"/>
      <c r="Q272" s="2092"/>
      <c r="R272" s="2192"/>
      <c r="S272" s="2193"/>
      <c r="T272" s="2192"/>
      <c r="U272" s="2193"/>
      <c r="V272" s="2148"/>
      <c r="W272" s="2205"/>
      <c r="X272" s="397"/>
      <c r="Y272" s="1486"/>
      <c r="Z272" s="2148"/>
      <c r="AA272" s="2205"/>
      <c r="AB272" s="397"/>
      <c r="AC272" s="1486"/>
      <c r="AD272" s="2243"/>
      <c r="AE272" s="2143"/>
      <c r="AF272" s="2243"/>
      <c r="AG272" s="2143"/>
    </row>
    <row r="273" spans="1:37" hidden="1">
      <c r="A273" s="2063"/>
      <c r="B273" s="583" t="s">
        <v>604</v>
      </c>
      <c r="C273" s="2177"/>
      <c r="D273" s="2111"/>
      <c r="E273" s="2092"/>
      <c r="F273" s="2111"/>
      <c r="G273" s="2092"/>
      <c r="H273" s="2088"/>
      <c r="I273" s="2091"/>
      <c r="J273" s="2090"/>
      <c r="K273" s="2092"/>
      <c r="L273" s="2088"/>
      <c r="M273" s="2092"/>
      <c r="N273" s="2088"/>
      <c r="O273" s="2091"/>
      <c r="P273" s="2088"/>
      <c r="Q273" s="2092"/>
      <c r="R273" s="2192"/>
      <c r="S273" s="2193"/>
      <c r="T273" s="2192"/>
      <c r="U273" s="2193"/>
      <c r="V273" s="2148"/>
      <c r="W273" s="2205"/>
      <c r="X273" s="397"/>
      <c r="Y273" s="1486"/>
      <c r="Z273" s="2148"/>
      <c r="AA273" s="2205"/>
      <c r="AB273" s="397"/>
      <c r="AC273" s="1486"/>
      <c r="AD273" s="2243"/>
      <c r="AE273" s="2143"/>
      <c r="AF273" s="2243"/>
      <c r="AG273" s="2143"/>
    </row>
    <row r="274" spans="1:37" hidden="1">
      <c r="A274" s="2063"/>
      <c r="B274" s="583" t="s">
        <v>605</v>
      </c>
      <c r="C274" s="2177"/>
      <c r="D274" s="2111"/>
      <c r="E274" s="2092"/>
      <c r="F274" s="2111"/>
      <c r="G274" s="2092"/>
      <c r="H274" s="2088"/>
      <c r="I274" s="2091"/>
      <c r="J274" s="2090"/>
      <c r="K274" s="2092"/>
      <c r="L274" s="2088"/>
      <c r="M274" s="2092"/>
      <c r="N274" s="2088"/>
      <c r="O274" s="2091"/>
      <c r="P274" s="2088"/>
      <c r="Q274" s="1048">
        <v>2548.9299999999998</v>
      </c>
      <c r="R274" s="2192"/>
      <c r="S274" s="2193"/>
      <c r="T274" s="2192"/>
      <c r="U274" s="2193"/>
      <c r="V274" s="2148"/>
      <c r="W274" s="2205"/>
      <c r="X274" s="397"/>
      <c r="Y274" s="1486"/>
      <c r="Z274" s="2148"/>
      <c r="AA274" s="2205"/>
      <c r="AB274" s="397"/>
      <c r="AC274" s="1486"/>
      <c r="AD274" s="2243"/>
      <c r="AE274" s="2143"/>
      <c r="AF274" s="2243"/>
      <c r="AG274" s="2143"/>
    </row>
    <row r="275" spans="1:37" ht="15.75" hidden="1" thickBot="1">
      <c r="A275" s="2145"/>
      <c r="B275" s="590"/>
      <c r="C275" s="2179"/>
      <c r="D275" s="2111"/>
      <c r="E275" s="2092"/>
      <c r="F275" s="2111"/>
      <c r="G275" s="2092"/>
      <c r="H275" s="2116"/>
      <c r="I275" s="2103"/>
      <c r="J275" s="2115"/>
      <c r="K275" s="2104"/>
      <c r="L275" s="2116"/>
      <c r="M275" s="2104"/>
      <c r="N275" s="2110">
        <f>O270-N270</f>
        <v>5221.99</v>
      </c>
      <c r="O275" s="2103"/>
      <c r="P275" s="2110">
        <f>Q270-P270</f>
        <v>-5104.07</v>
      </c>
      <c r="Q275" s="2104"/>
      <c r="R275" s="2200">
        <f>S270-R270</f>
        <v>-6374.05</v>
      </c>
      <c r="S275" s="2198"/>
      <c r="T275" s="2200">
        <f>U270-T270</f>
        <v>-7653</v>
      </c>
      <c r="U275" s="2198"/>
      <c r="V275" s="2148"/>
      <c r="W275" s="2205"/>
      <c r="X275" s="1617"/>
      <c r="Y275" s="2231"/>
      <c r="Z275" s="2145"/>
      <c r="AA275" s="2214"/>
      <c r="AB275" s="1617"/>
      <c r="AC275" s="2231"/>
      <c r="AD275" s="2245"/>
      <c r="AE275" s="2146"/>
      <c r="AF275" s="2245"/>
      <c r="AG275" s="2146"/>
    </row>
    <row r="276" spans="1:37" ht="15.75" hidden="1" thickBot="1">
      <c r="A276" s="2063" t="s">
        <v>3128</v>
      </c>
      <c r="B276" s="583"/>
      <c r="C276" s="2182" t="s">
        <v>2336</v>
      </c>
      <c r="D276" s="2111"/>
      <c r="E276" s="2107"/>
      <c r="F276" s="2111"/>
      <c r="G276" s="2107"/>
      <c r="H276" s="2112">
        <v>27750</v>
      </c>
      <c r="I276" s="2108">
        <f>SUM(I277:I280)</f>
        <v>26654.1</v>
      </c>
      <c r="J276" s="1567">
        <v>27750</v>
      </c>
      <c r="K276" s="2089">
        <f>SUM(K277:K280)</f>
        <v>27602.34</v>
      </c>
      <c r="L276" s="2090">
        <v>27750</v>
      </c>
      <c r="M276" s="2089">
        <f>SUM(M277:M280)</f>
        <v>28028.760000000002</v>
      </c>
      <c r="N276" s="2090">
        <v>27750</v>
      </c>
      <c r="O276" s="2089">
        <f>SUM(O277:O280)</f>
        <v>26738.87</v>
      </c>
      <c r="P276" s="2090">
        <v>27750</v>
      </c>
      <c r="Q276" s="2090">
        <f>SUM(Q277:Q283)</f>
        <v>28827.29</v>
      </c>
      <c r="R276" s="2192">
        <v>27750</v>
      </c>
      <c r="S276" s="2204">
        <f>SUM(S277:S283)</f>
        <v>30395.09</v>
      </c>
      <c r="T276" s="2192">
        <v>27750</v>
      </c>
      <c r="U276" s="2204">
        <f>SUM(U277:U283)</f>
        <v>25857.88</v>
      </c>
      <c r="V276" s="2227"/>
      <c r="W276" s="2228"/>
      <c r="X276" s="2125"/>
      <c r="Y276" s="2236"/>
      <c r="Z276" s="2221"/>
      <c r="AA276" s="2222"/>
      <c r="AB276" s="2125"/>
      <c r="AC276" s="2236"/>
      <c r="AD276" s="2252"/>
      <c r="AE276" s="2157"/>
      <c r="AF276" s="2252"/>
      <c r="AG276" s="2157"/>
    </row>
    <row r="277" spans="1:37" hidden="1">
      <c r="A277" s="2063"/>
      <c r="B277" s="583" t="s">
        <v>3129</v>
      </c>
      <c r="C277" s="2177" t="s">
        <v>3130</v>
      </c>
      <c r="D277" s="2090"/>
      <c r="E277" s="2092">
        <v>15973.2</v>
      </c>
      <c r="F277" s="2090"/>
      <c r="G277" s="2092"/>
      <c r="H277" s="2088"/>
      <c r="I277" s="2091">
        <v>16420.740000000002</v>
      </c>
      <c r="J277" s="2088"/>
      <c r="K277" s="2091">
        <v>16379.41</v>
      </c>
      <c r="L277" s="2090"/>
      <c r="M277" s="2091">
        <v>16687.240000000002</v>
      </c>
      <c r="N277" s="2090"/>
      <c r="O277" s="2091">
        <v>17046.52</v>
      </c>
      <c r="P277" s="2090"/>
      <c r="Q277" s="2092">
        <v>16443.72</v>
      </c>
      <c r="R277" s="2192"/>
      <c r="S277" s="2193"/>
      <c r="T277" s="2192"/>
      <c r="U277" s="2193"/>
      <c r="V277" s="2223"/>
      <c r="W277" s="2224"/>
      <c r="X277" s="2126"/>
      <c r="Y277" s="2237"/>
      <c r="Z277" s="2223"/>
      <c r="AA277" s="2224"/>
      <c r="AB277" s="2126"/>
      <c r="AC277" s="2237"/>
      <c r="AD277" s="2253"/>
      <c r="AE277" s="2158"/>
      <c r="AF277" s="2253"/>
      <c r="AG277" s="2158"/>
    </row>
    <row r="278" spans="1:37" hidden="1">
      <c r="A278" s="2063"/>
      <c r="B278" s="583" t="s">
        <v>3131</v>
      </c>
      <c r="C278" s="2177"/>
      <c r="D278" s="2090"/>
      <c r="E278" s="2092"/>
      <c r="F278" s="2090"/>
      <c r="G278" s="2092"/>
      <c r="H278" s="2088"/>
      <c r="I278" s="2096">
        <v>1774.8</v>
      </c>
      <c r="J278" s="2088"/>
      <c r="K278" s="2091">
        <v>1824.53</v>
      </c>
      <c r="L278" s="2090"/>
      <c r="M278" s="2091">
        <v>1810.64</v>
      </c>
      <c r="N278" s="2090"/>
      <c r="O278" s="2091"/>
      <c r="P278" s="2090"/>
      <c r="Q278" s="2092">
        <v>1894.06</v>
      </c>
      <c r="R278" s="2192"/>
      <c r="S278" s="2193">
        <v>1827.08</v>
      </c>
      <c r="T278" s="2192"/>
      <c r="U278" s="2193"/>
      <c r="V278" s="2223"/>
      <c r="W278" s="2224"/>
      <c r="X278" s="2126"/>
      <c r="Y278" s="2237"/>
      <c r="Z278" s="2223"/>
      <c r="AA278" s="2224"/>
      <c r="AB278" s="2126"/>
      <c r="AC278" s="2237"/>
      <c r="AD278" s="2253"/>
      <c r="AE278" s="2158"/>
      <c r="AF278" s="2253"/>
      <c r="AG278" s="2158"/>
    </row>
    <row r="279" spans="1:37" hidden="1">
      <c r="A279" s="2063"/>
      <c r="B279" s="583" t="s">
        <v>3132</v>
      </c>
      <c r="C279" s="2177"/>
      <c r="D279" s="2090"/>
      <c r="E279" s="2092"/>
      <c r="F279" s="2090"/>
      <c r="G279" s="2092"/>
      <c r="H279" s="2088"/>
      <c r="I279" s="2091">
        <v>8458.56</v>
      </c>
      <c r="J279" s="2088"/>
      <c r="K279" s="2091">
        <v>8458.56</v>
      </c>
      <c r="L279" s="2090"/>
      <c r="M279" s="2091">
        <v>8595.84</v>
      </c>
      <c r="N279" s="2090"/>
      <c r="O279" s="2091">
        <v>8780.91</v>
      </c>
      <c r="P279" s="2090"/>
      <c r="Q279" s="2092">
        <v>8470.39</v>
      </c>
      <c r="R279" s="2192"/>
      <c r="S279" s="2193"/>
      <c r="T279" s="2192"/>
      <c r="U279" s="2193"/>
      <c r="V279" s="2223"/>
      <c r="W279" s="2224"/>
      <c r="X279" s="2126"/>
      <c r="Y279" s="2237"/>
      <c r="Z279" s="2223"/>
      <c r="AA279" s="2224"/>
      <c r="AB279" s="2126"/>
      <c r="AC279" s="2237"/>
      <c r="AD279" s="2253"/>
      <c r="AE279" s="2158"/>
      <c r="AF279" s="2253"/>
      <c r="AG279" s="2158"/>
    </row>
    <row r="280" spans="1:37" s="1570" customFormat="1" ht="12.75" hidden="1">
      <c r="A280" s="2063"/>
      <c r="B280" s="583" t="s">
        <v>3131</v>
      </c>
      <c r="C280" s="2177"/>
      <c r="D280" s="2090"/>
      <c r="E280" s="2092"/>
      <c r="F280" s="2090"/>
      <c r="G280" s="2092"/>
      <c r="H280" s="2088"/>
      <c r="I280" s="2096"/>
      <c r="J280" s="2088"/>
      <c r="K280" s="2091">
        <v>939.84</v>
      </c>
      <c r="L280" s="2090"/>
      <c r="M280" s="2091">
        <v>935.04</v>
      </c>
      <c r="N280" s="2090"/>
      <c r="O280" s="2091">
        <v>911.44</v>
      </c>
      <c r="P280" s="2090"/>
      <c r="Q280" s="2092">
        <v>619.12</v>
      </c>
      <c r="R280" s="2192"/>
      <c r="S280" s="2193">
        <v>929.61</v>
      </c>
      <c r="T280" s="2192"/>
      <c r="U280" s="2193"/>
      <c r="V280" s="2219"/>
      <c r="W280" s="2220"/>
      <c r="X280" s="2129"/>
      <c r="Y280" s="2235"/>
      <c r="Z280" s="2219"/>
      <c r="AA280" s="2220"/>
      <c r="AB280" s="2129"/>
      <c r="AC280" s="2235"/>
      <c r="AD280" s="5"/>
      <c r="AE280" s="2153"/>
      <c r="AF280" s="5"/>
      <c r="AG280" s="2153"/>
      <c r="AH280" s="2132"/>
      <c r="AI280" s="2132"/>
      <c r="AJ280" s="2132"/>
      <c r="AK280" s="2132"/>
    </row>
    <row r="281" spans="1:37" s="1570" customFormat="1" ht="12.75" hidden="1">
      <c r="A281" s="2063"/>
      <c r="B281" s="583" t="s">
        <v>3133</v>
      </c>
      <c r="C281" s="2177"/>
      <c r="D281" s="2090"/>
      <c r="E281" s="2092"/>
      <c r="F281" s="2090"/>
      <c r="G281" s="2092"/>
      <c r="H281" s="2088"/>
      <c r="I281" s="2096"/>
      <c r="J281" s="2088"/>
      <c r="K281" s="2091"/>
      <c r="L281" s="2090"/>
      <c r="M281" s="2091"/>
      <c r="N281" s="2090"/>
      <c r="O281" s="2091"/>
      <c r="P281" s="2090"/>
      <c r="Q281" s="2092"/>
      <c r="R281" s="2192"/>
      <c r="S281" s="2193">
        <v>13819.2</v>
      </c>
      <c r="T281" s="2192"/>
      <c r="U281" s="2193">
        <v>12928.94</v>
      </c>
      <c r="V281" s="2219"/>
      <c r="W281" s="2220"/>
      <c r="X281" s="2129"/>
      <c r="Y281" s="2235"/>
      <c r="Z281" s="2219"/>
      <c r="AA281" s="2220"/>
      <c r="AB281" s="2129"/>
      <c r="AC281" s="2235"/>
      <c r="AD281" s="5"/>
      <c r="AE281" s="2153"/>
      <c r="AF281" s="5"/>
      <c r="AG281" s="2153"/>
      <c r="AH281" s="2132"/>
      <c r="AI281" s="2132"/>
      <c r="AJ281" s="2132"/>
      <c r="AK281" s="2132"/>
    </row>
    <row r="282" spans="1:37" s="1570" customFormat="1" ht="12.75" hidden="1">
      <c r="A282" s="2063"/>
      <c r="B282" s="583" t="s">
        <v>3134</v>
      </c>
      <c r="C282" s="2177"/>
      <c r="D282" s="2090"/>
      <c r="E282" s="2092"/>
      <c r="F282" s="2090"/>
      <c r="G282" s="2092"/>
      <c r="H282" s="2088"/>
      <c r="I282" s="2096"/>
      <c r="J282" s="2088"/>
      <c r="K282" s="2091"/>
      <c r="L282" s="2090"/>
      <c r="M282" s="2091"/>
      <c r="N282" s="2090"/>
      <c r="O282" s="2091"/>
      <c r="P282" s="2090"/>
      <c r="Q282" s="2092"/>
      <c r="R282" s="2192"/>
      <c r="S282" s="2193">
        <v>13819.2</v>
      </c>
      <c r="T282" s="2192"/>
      <c r="U282" s="2193">
        <v>12928.94</v>
      </c>
      <c r="V282" s="2219"/>
      <c r="W282" s="2220"/>
      <c r="X282" s="2129"/>
      <c r="Y282" s="2235"/>
      <c r="Z282" s="2219"/>
      <c r="AA282" s="2220"/>
      <c r="AB282" s="2129"/>
      <c r="AC282" s="2235"/>
      <c r="AD282" s="5"/>
      <c r="AE282" s="2153"/>
      <c r="AF282" s="5"/>
      <c r="AG282" s="2153"/>
      <c r="AH282" s="2132"/>
      <c r="AI282" s="2132"/>
      <c r="AJ282" s="2132"/>
      <c r="AK282" s="2132"/>
    </row>
    <row r="283" spans="1:37" s="1570" customFormat="1" ht="12.75" hidden="1">
      <c r="A283" s="2063"/>
      <c r="B283" s="583" t="s">
        <v>3135</v>
      </c>
      <c r="C283" s="2177"/>
      <c r="D283" s="2090"/>
      <c r="E283" s="2092"/>
      <c r="F283" s="2090"/>
      <c r="G283" s="2092"/>
      <c r="H283" s="2088"/>
      <c r="I283" s="2096"/>
      <c r="J283" s="2088"/>
      <c r="K283" s="2091"/>
      <c r="L283" s="2090"/>
      <c r="M283" s="2091"/>
      <c r="N283" s="2090"/>
      <c r="O283" s="2091"/>
      <c r="P283" s="2090"/>
      <c r="Q283" s="2092">
        <v>1400</v>
      </c>
      <c r="R283" s="2192"/>
      <c r="S283" s="2193"/>
      <c r="T283" s="2192"/>
      <c r="U283" s="2193"/>
      <c r="V283" s="2219"/>
      <c r="W283" s="2220"/>
      <c r="X283" s="2129"/>
      <c r="Y283" s="2235"/>
      <c r="Z283" s="2219"/>
      <c r="AA283" s="2220"/>
      <c r="AB283" s="2129"/>
      <c r="AC283" s="2235"/>
      <c r="AD283" s="5"/>
      <c r="AE283" s="2153"/>
      <c r="AF283" s="5"/>
      <c r="AG283" s="2153"/>
      <c r="AH283" s="2132"/>
      <c r="AI283" s="2132"/>
      <c r="AJ283" s="2132"/>
      <c r="AK283" s="2132"/>
    </row>
    <row r="284" spans="1:37" s="1570" customFormat="1" ht="12.75" hidden="1">
      <c r="A284" s="2148"/>
      <c r="B284" s="583"/>
      <c r="C284" s="2180" t="s">
        <v>2969</v>
      </c>
      <c r="D284" s="2090"/>
      <c r="E284" s="2092"/>
      <c r="F284" s="2090"/>
      <c r="G284" s="2092"/>
      <c r="H284" s="2088">
        <f>H276-I276</f>
        <v>1095.9000000000015</v>
      </c>
      <c r="I284" s="2091"/>
      <c r="J284" s="2119">
        <f>J276-K276</f>
        <v>147.65999999999985</v>
      </c>
      <c r="K284" s="2091"/>
      <c r="L284" s="2108">
        <f>L276-M276</f>
        <v>-278.76000000000204</v>
      </c>
      <c r="M284" s="2091"/>
      <c r="N284" s="2119">
        <f>N276-O276</f>
        <v>1011.130000000001</v>
      </c>
      <c r="O284" s="2091"/>
      <c r="P284" s="2119">
        <f>P276-Q276</f>
        <v>-1077.2900000000009</v>
      </c>
      <c r="Q284" s="2092"/>
      <c r="R284" s="2203">
        <f>R276-S276</f>
        <v>-2645.09</v>
      </c>
      <c r="S284" s="2193"/>
      <c r="T284" s="2203">
        <f>T276-U276</f>
        <v>1892.119999999999</v>
      </c>
      <c r="U284" s="2193"/>
      <c r="V284" s="2219"/>
      <c r="W284" s="2220"/>
      <c r="X284" s="2129"/>
      <c r="Y284" s="2235"/>
      <c r="Z284" s="2219"/>
      <c r="AA284" s="2220"/>
      <c r="AB284" s="2129"/>
      <c r="AC284" s="2235"/>
      <c r="AD284" s="5"/>
      <c r="AE284" s="2153"/>
      <c r="AF284" s="5"/>
      <c r="AG284" s="2153"/>
      <c r="AH284" s="2132"/>
      <c r="AI284" s="2132"/>
      <c r="AJ284" s="2132"/>
      <c r="AK284" s="2132"/>
    </row>
    <row r="285" spans="1:37" s="1570" customFormat="1" ht="12.75" hidden="1">
      <c r="A285" s="2008" t="s">
        <v>3136</v>
      </c>
      <c r="B285" s="2081"/>
      <c r="C285" s="2172" t="s">
        <v>1405</v>
      </c>
      <c r="D285" s="2084">
        <v>124138</v>
      </c>
      <c r="E285" s="2083">
        <f>SUM(E286:E298)</f>
        <v>125365.05</v>
      </c>
      <c r="F285" s="2084">
        <v>124138</v>
      </c>
      <c r="G285" s="2083">
        <f>SUM(G290:G298)</f>
        <v>0</v>
      </c>
      <c r="H285" s="2082">
        <v>124138</v>
      </c>
      <c r="I285" s="2083">
        <f>SUM(I286:I298)</f>
        <v>111892.70000000001</v>
      </c>
      <c r="J285" s="2130">
        <v>114200</v>
      </c>
      <c r="K285" s="2083">
        <f>SUM(K286:K297)</f>
        <v>114629.62000000001</v>
      </c>
      <c r="L285" s="2084">
        <v>114200</v>
      </c>
      <c r="M285" s="2083">
        <f>SUM(M286:M297)</f>
        <v>118435.37000000001</v>
      </c>
      <c r="N285" s="2084">
        <v>114200</v>
      </c>
      <c r="O285" s="2083">
        <f>SUM(O286:O297)</f>
        <v>118753.79999999999</v>
      </c>
      <c r="P285" s="2084">
        <v>114200</v>
      </c>
      <c r="Q285" s="2084">
        <f>SUM(Q286:Q297)</f>
        <v>118756.25</v>
      </c>
      <c r="R285" s="2190">
        <v>114200</v>
      </c>
      <c r="S285" s="2191">
        <f>SUM(S286:S297)</f>
        <v>58992.24</v>
      </c>
      <c r="T285" s="2190">
        <v>114200</v>
      </c>
      <c r="U285" s="2191">
        <f>SUM(U286:U297)</f>
        <v>111853.4</v>
      </c>
      <c r="V285" s="2190"/>
      <c r="W285" s="2191">
        <f>SUM(W286:W297)</f>
        <v>38791.550000000003</v>
      </c>
      <c r="X285" s="2022"/>
      <c r="Y285" s="2230"/>
      <c r="Z285" s="2008"/>
      <c r="AA285" s="2211"/>
      <c r="AB285" s="2022"/>
      <c r="AC285" s="2230"/>
      <c r="AD285" s="2240"/>
      <c r="AE285" s="2086"/>
      <c r="AF285" s="2240"/>
      <c r="AG285" s="2086"/>
      <c r="AH285" s="2132"/>
      <c r="AI285" s="2132"/>
      <c r="AJ285" s="2132"/>
      <c r="AK285" s="2132"/>
    </row>
    <row r="286" spans="1:37" s="1570" customFormat="1" ht="12.75" hidden="1">
      <c r="A286" s="2063"/>
      <c r="B286" s="583" t="s">
        <v>3137</v>
      </c>
      <c r="C286" s="1998" t="s">
        <v>3138</v>
      </c>
      <c r="D286" s="2092"/>
      <c r="E286" s="2091">
        <v>25694.9</v>
      </c>
      <c r="F286" s="2092"/>
      <c r="G286" s="2091"/>
      <c r="H286" s="2097"/>
      <c r="I286" s="2091">
        <v>25694.9</v>
      </c>
      <c r="J286" s="2088"/>
      <c r="K286" s="2091">
        <v>25694.9</v>
      </c>
      <c r="L286" s="2090"/>
      <c r="M286" s="2091">
        <v>25694.9</v>
      </c>
      <c r="N286" s="2090"/>
      <c r="O286" s="2091">
        <v>25694.9</v>
      </c>
      <c r="P286" s="2090"/>
      <c r="Q286" s="2092">
        <v>25694.9</v>
      </c>
      <c r="R286" s="2192"/>
      <c r="S286" s="2193">
        <v>58010.97</v>
      </c>
      <c r="T286" s="2192"/>
      <c r="U286" s="2193">
        <v>71674.75</v>
      </c>
      <c r="V286" s="2063"/>
      <c r="W286" s="2205">
        <v>38791.550000000003</v>
      </c>
      <c r="X286" s="1591"/>
      <c r="Y286" s="2163"/>
      <c r="Z286" s="2063"/>
      <c r="AA286" s="2212"/>
      <c r="AB286" s="1591"/>
      <c r="AC286" s="2163"/>
      <c r="AD286" s="2241"/>
      <c r="AE286" s="2141"/>
      <c r="AF286" s="2241"/>
      <c r="AG286" s="2141"/>
      <c r="AH286" s="2132"/>
      <c r="AI286" s="2132"/>
      <c r="AJ286" s="2132"/>
      <c r="AK286" s="2132"/>
    </row>
    <row r="287" spans="1:37" s="1570" customFormat="1" ht="12.75" hidden="1">
      <c r="A287" s="2063"/>
      <c r="B287" s="583" t="s">
        <v>3139</v>
      </c>
      <c r="C287" s="1998"/>
      <c r="D287" s="2092"/>
      <c r="E287" s="2091"/>
      <c r="F287" s="2092"/>
      <c r="G287" s="2091"/>
      <c r="H287" s="2097"/>
      <c r="I287" s="2091"/>
      <c r="J287" s="2088"/>
      <c r="K287" s="2091"/>
      <c r="L287" s="2090"/>
      <c r="M287" s="2091"/>
      <c r="N287" s="2090"/>
      <c r="O287" s="2091"/>
      <c r="P287" s="2090"/>
      <c r="Q287" s="2092"/>
      <c r="R287" s="2192"/>
      <c r="S287" s="2193"/>
      <c r="T287" s="2192"/>
      <c r="U287" s="2193">
        <v>1215.92</v>
      </c>
      <c r="V287" s="2063"/>
      <c r="W287" s="2212"/>
      <c r="X287" s="1591"/>
      <c r="Y287" s="2163"/>
      <c r="Z287" s="2063"/>
      <c r="AA287" s="2212"/>
      <c r="AB287" s="1591"/>
      <c r="AC287" s="2163"/>
      <c r="AD287" s="2241"/>
      <c r="AE287" s="2141"/>
      <c r="AF287" s="2241"/>
      <c r="AG287" s="2141"/>
      <c r="AH287" s="2132"/>
      <c r="AI287" s="2132"/>
      <c r="AJ287" s="2132"/>
      <c r="AK287" s="2132"/>
    </row>
    <row r="288" spans="1:37" s="1570" customFormat="1" ht="12.75" hidden="1">
      <c r="A288" s="2063"/>
      <c r="B288" s="583" t="s">
        <v>3139</v>
      </c>
      <c r="C288" s="1998"/>
      <c r="D288" s="2092"/>
      <c r="E288" s="2091"/>
      <c r="F288" s="2092"/>
      <c r="G288" s="2091"/>
      <c r="H288" s="2097"/>
      <c r="I288" s="2091"/>
      <c r="J288" s="2088"/>
      <c r="K288" s="2091"/>
      <c r="L288" s="2090"/>
      <c r="M288" s="2091"/>
      <c r="N288" s="2090"/>
      <c r="O288" s="2091"/>
      <c r="P288" s="2090"/>
      <c r="Q288" s="2092"/>
      <c r="R288" s="2192"/>
      <c r="S288" s="2193"/>
      <c r="T288" s="2192"/>
      <c r="U288" s="2193">
        <v>657.53</v>
      </c>
      <c r="V288" s="2063"/>
      <c r="W288" s="2212"/>
      <c r="X288" s="1591"/>
      <c r="Y288" s="2163"/>
      <c r="Z288" s="2063"/>
      <c r="AA288" s="2212"/>
      <c r="AB288" s="1591"/>
      <c r="AC288" s="2163"/>
      <c r="AD288" s="2241"/>
      <c r="AE288" s="2141"/>
      <c r="AF288" s="2241"/>
      <c r="AG288" s="2141"/>
      <c r="AH288" s="2132"/>
      <c r="AI288" s="2132"/>
      <c r="AJ288" s="2132"/>
      <c r="AK288" s="2132"/>
    </row>
    <row r="289" spans="1:37" s="1570" customFormat="1" ht="12.75" hidden="1">
      <c r="A289" s="2063"/>
      <c r="B289" s="583" t="s">
        <v>3140</v>
      </c>
      <c r="C289" s="1998"/>
      <c r="D289" s="2092"/>
      <c r="E289" s="2091">
        <v>25694.9</v>
      </c>
      <c r="F289" s="2092"/>
      <c r="G289" s="2091"/>
      <c r="H289" s="2097"/>
      <c r="I289" s="2091">
        <v>25694.9</v>
      </c>
      <c r="J289" s="2088"/>
      <c r="K289" s="2091">
        <v>25694.9</v>
      </c>
      <c r="L289" s="2090"/>
      <c r="M289" s="2091">
        <v>25694.9</v>
      </c>
      <c r="N289" s="2090"/>
      <c r="O289" s="2091">
        <v>25694</v>
      </c>
      <c r="P289" s="2090"/>
      <c r="Q289" s="2092">
        <v>25694.9</v>
      </c>
      <c r="R289" s="2192"/>
      <c r="S289" s="2193"/>
      <c r="T289" s="2192"/>
      <c r="U289" s="2193"/>
      <c r="V289" s="2063"/>
      <c r="W289" s="2212"/>
      <c r="X289" s="1591"/>
      <c r="Y289" s="2163"/>
      <c r="Z289" s="2063"/>
      <c r="AA289" s="2212"/>
      <c r="AB289" s="1591"/>
      <c r="AC289" s="2163"/>
      <c r="AD289" s="2241"/>
      <c r="AE289" s="2141"/>
      <c r="AF289" s="2241"/>
      <c r="AG289" s="2141"/>
      <c r="AH289" s="2132"/>
      <c r="AI289" s="2132"/>
      <c r="AJ289" s="2132"/>
      <c r="AK289" s="2132"/>
    </row>
    <row r="290" spans="1:37" s="1570" customFormat="1" ht="12.75" hidden="1">
      <c r="A290" s="2063"/>
      <c r="B290" s="583" t="s">
        <v>3141</v>
      </c>
      <c r="C290" s="1998"/>
      <c r="D290" s="2092"/>
      <c r="E290" s="2091">
        <v>25694.9</v>
      </c>
      <c r="F290" s="2092"/>
      <c r="G290" s="2091"/>
      <c r="H290" s="572"/>
      <c r="I290" s="2091">
        <v>25694.9</v>
      </c>
      <c r="J290" s="2088"/>
      <c r="K290" s="2091">
        <v>25694.9</v>
      </c>
      <c r="L290" s="2090"/>
      <c r="M290" s="2091">
        <v>25694.9</v>
      </c>
      <c r="N290" s="2090"/>
      <c r="O290" s="2091">
        <v>25694</v>
      </c>
      <c r="P290" s="2090"/>
      <c r="Q290" s="2092">
        <v>25694.9</v>
      </c>
      <c r="R290" s="2192"/>
      <c r="S290" s="2193"/>
      <c r="T290" s="2192"/>
      <c r="U290" s="2193"/>
      <c r="V290" s="2063"/>
      <c r="W290" s="2212"/>
      <c r="X290" s="1591"/>
      <c r="Y290" s="2163"/>
      <c r="Z290" s="2063"/>
      <c r="AA290" s="2212"/>
      <c r="AB290" s="1591"/>
      <c r="AC290" s="2163"/>
      <c r="AD290" s="2241"/>
      <c r="AE290" s="2141"/>
      <c r="AF290" s="2241"/>
      <c r="AG290" s="2141"/>
      <c r="AH290" s="2132"/>
      <c r="AI290" s="2132"/>
      <c r="AJ290" s="2132"/>
      <c r="AK290" s="2132"/>
    </row>
    <row r="291" spans="1:37" s="1570" customFormat="1" ht="12.75" hidden="1">
      <c r="A291" s="2063"/>
      <c r="B291" s="583" t="s">
        <v>3142</v>
      </c>
      <c r="C291" s="1998"/>
      <c r="D291" s="2092"/>
      <c r="E291" s="2091">
        <v>25694.9</v>
      </c>
      <c r="F291" s="2092"/>
      <c r="G291" s="2091"/>
      <c r="H291" s="572"/>
      <c r="I291" s="2091">
        <v>25694.9</v>
      </c>
      <c r="J291" s="2088"/>
      <c r="K291" s="2091">
        <v>25694.9</v>
      </c>
      <c r="L291" s="2090"/>
      <c r="M291" s="2091">
        <v>25694.9</v>
      </c>
      <c r="N291" s="2090"/>
      <c r="O291" s="2091">
        <v>25694</v>
      </c>
      <c r="P291" s="2090"/>
      <c r="Q291" s="2092">
        <v>25694.9</v>
      </c>
      <c r="R291" s="2192"/>
      <c r="S291" s="2193"/>
      <c r="T291" s="2192"/>
      <c r="U291" s="2193"/>
      <c r="V291" s="2063"/>
      <c r="W291" s="2212"/>
      <c r="X291" s="1591"/>
      <c r="Y291" s="2163"/>
      <c r="Z291" s="2063"/>
      <c r="AA291" s="2212"/>
      <c r="AB291" s="1591"/>
      <c r="AC291" s="2163"/>
      <c r="AD291" s="2241"/>
      <c r="AE291" s="2141"/>
      <c r="AF291" s="2241"/>
      <c r="AG291" s="2141"/>
      <c r="AH291" s="2132"/>
      <c r="AI291" s="2132"/>
      <c r="AJ291" s="2132"/>
      <c r="AK291" s="2132"/>
    </row>
    <row r="292" spans="1:37" s="1570" customFormat="1" ht="12.75" hidden="1">
      <c r="A292" s="2063"/>
      <c r="B292" s="583" t="s">
        <v>3143</v>
      </c>
      <c r="C292" s="1998"/>
      <c r="D292" s="2092"/>
      <c r="E292" s="2091">
        <v>8138.73</v>
      </c>
      <c r="F292" s="2092"/>
      <c r="G292" s="2091"/>
      <c r="H292" s="572"/>
      <c r="I292" s="2091">
        <v>7149.32</v>
      </c>
      <c r="J292" s="2088"/>
      <c r="K292" s="2091">
        <v>9863.16</v>
      </c>
      <c r="L292" s="2090"/>
      <c r="M292" s="2091">
        <v>13401.77</v>
      </c>
      <c r="N292" s="2090"/>
      <c r="O292" s="2091">
        <v>11419.96</v>
      </c>
      <c r="P292" s="2090"/>
      <c r="Q292" s="2092">
        <v>11419.96</v>
      </c>
      <c r="R292" s="2192"/>
      <c r="S292" s="2193"/>
      <c r="T292" s="2192"/>
      <c r="U292" s="2193">
        <v>38305.199999999997</v>
      </c>
      <c r="V292" s="2063"/>
      <c r="W292" s="2212"/>
      <c r="X292" s="1591"/>
      <c r="Y292" s="2163"/>
      <c r="Z292" s="2063"/>
      <c r="AA292" s="2212"/>
      <c r="AB292" s="1591"/>
      <c r="AC292" s="2163"/>
      <c r="AD292" s="2241"/>
      <c r="AE292" s="2141"/>
      <c r="AF292" s="2241"/>
      <c r="AG292" s="2141"/>
      <c r="AH292" s="2132"/>
      <c r="AI292" s="2132"/>
      <c r="AJ292" s="2132"/>
      <c r="AK292" s="2132"/>
    </row>
    <row r="293" spans="1:37" s="1570" customFormat="1" ht="12.75" hidden="1">
      <c r="A293" s="2063"/>
      <c r="B293" s="583" t="s">
        <v>3144</v>
      </c>
      <c r="C293" s="1998"/>
      <c r="D293" s="2092"/>
      <c r="E293" s="2091"/>
      <c r="F293" s="2092"/>
      <c r="G293" s="2091"/>
      <c r="H293" s="572"/>
      <c r="I293" s="2091"/>
      <c r="J293" s="2088"/>
      <c r="K293" s="2091"/>
      <c r="L293" s="2090"/>
      <c r="M293" s="2091"/>
      <c r="N293" s="2090"/>
      <c r="O293" s="2091">
        <v>2004.94</v>
      </c>
      <c r="P293" s="2090"/>
      <c r="Q293" s="2092">
        <v>2036.69</v>
      </c>
      <c r="R293" s="2192"/>
      <c r="S293" s="2193">
        <v>981.27</v>
      </c>
      <c r="T293" s="2192"/>
      <c r="U293" s="2193"/>
      <c r="V293" s="2063"/>
      <c r="W293" s="2212"/>
      <c r="X293" s="1591"/>
      <c r="Y293" s="2163"/>
      <c r="Z293" s="2063"/>
      <c r="AA293" s="2212"/>
      <c r="AB293" s="1591"/>
      <c r="AC293" s="2163"/>
      <c r="AD293" s="2241"/>
      <c r="AE293" s="2141"/>
      <c r="AF293" s="2241"/>
      <c r="AG293" s="2141"/>
      <c r="AH293" s="2132"/>
      <c r="AI293" s="2132"/>
      <c r="AJ293" s="2132"/>
      <c r="AK293" s="2132"/>
    </row>
    <row r="294" spans="1:37" s="1570" customFormat="1" ht="12.75" hidden="1">
      <c r="A294" s="2063"/>
      <c r="B294" s="583" t="s">
        <v>3145</v>
      </c>
      <c r="C294" s="1998"/>
      <c r="D294" s="2092"/>
      <c r="E294" s="2091">
        <v>219.51</v>
      </c>
      <c r="F294" s="2092"/>
      <c r="G294" s="2091"/>
      <c r="H294" s="572"/>
      <c r="I294" s="2091">
        <v>1963.78</v>
      </c>
      <c r="J294" s="2088"/>
      <c r="K294" s="2096">
        <v>1986.86</v>
      </c>
      <c r="L294" s="2090"/>
      <c r="M294" s="2096">
        <v>2254</v>
      </c>
      <c r="N294" s="2090"/>
      <c r="O294" s="2096">
        <v>2552</v>
      </c>
      <c r="P294" s="2090"/>
      <c r="Q294" s="1048">
        <v>2520</v>
      </c>
      <c r="R294" s="2192"/>
      <c r="S294" s="2195"/>
      <c r="T294" s="2192"/>
      <c r="U294" s="2195"/>
      <c r="V294" s="2063"/>
      <c r="W294" s="2212"/>
      <c r="X294" s="1591"/>
      <c r="Y294" s="2163"/>
      <c r="Z294" s="2063"/>
      <c r="AA294" s="2212"/>
      <c r="AB294" s="1591"/>
      <c r="AC294" s="2163"/>
      <c r="AD294" s="2241"/>
      <c r="AE294" s="2141"/>
      <c r="AF294" s="2241"/>
      <c r="AG294" s="2141"/>
      <c r="AH294" s="2132"/>
      <c r="AI294" s="2132"/>
      <c r="AJ294" s="2132"/>
      <c r="AK294" s="2132"/>
    </row>
    <row r="295" spans="1:37" s="1570" customFormat="1" ht="12.75" hidden="1">
      <c r="A295" s="2063"/>
      <c r="B295" s="583" t="s">
        <v>3146</v>
      </c>
      <c r="C295" s="1998"/>
      <c r="D295" s="2092"/>
      <c r="E295" s="2091">
        <v>5827.44</v>
      </c>
      <c r="F295" s="2092"/>
      <c r="G295" s="2091"/>
      <c r="H295" s="572"/>
      <c r="I295" s="2091"/>
      <c r="J295" s="2088"/>
      <c r="K295" s="2089"/>
      <c r="L295" s="2090"/>
      <c r="M295" s="2089"/>
      <c r="N295" s="2090"/>
      <c r="O295" s="2089"/>
      <c r="P295" s="2090"/>
      <c r="Q295" s="2090"/>
      <c r="R295" s="2192"/>
      <c r="S295" s="2204"/>
      <c r="T295" s="2192"/>
      <c r="U295" s="2204"/>
      <c r="V295" s="2063"/>
      <c r="W295" s="2212"/>
      <c r="X295" s="1591"/>
      <c r="Y295" s="2163"/>
      <c r="Z295" s="2063"/>
      <c r="AA295" s="2212"/>
      <c r="AB295" s="1591"/>
      <c r="AC295" s="2163"/>
      <c r="AD295" s="2241"/>
      <c r="AE295" s="2141"/>
      <c r="AF295" s="2241"/>
      <c r="AG295" s="2141"/>
      <c r="AH295" s="2132"/>
      <c r="AI295" s="2132"/>
      <c r="AJ295" s="2132"/>
      <c r="AK295" s="2132"/>
    </row>
    <row r="296" spans="1:37" hidden="1">
      <c r="A296" s="2063"/>
      <c r="B296" s="583" t="s">
        <v>3147</v>
      </c>
      <c r="C296" s="1998"/>
      <c r="D296" s="2092"/>
      <c r="E296" s="2091">
        <v>2721.05</v>
      </c>
      <c r="F296" s="2092"/>
      <c r="G296" s="2091"/>
      <c r="H296" s="572"/>
      <c r="I296" s="2096"/>
      <c r="J296" s="2097"/>
      <c r="K296" s="2091"/>
      <c r="L296" s="2092"/>
      <c r="M296" s="2091"/>
      <c r="N296" s="2092"/>
      <c r="O296" s="2091"/>
      <c r="P296" s="2092"/>
      <c r="Q296" s="2092"/>
      <c r="R296" s="2196"/>
      <c r="S296" s="2193"/>
      <c r="T296" s="2196"/>
      <c r="U296" s="2193"/>
      <c r="V296" s="2148"/>
      <c r="W296" s="2205"/>
      <c r="X296" s="397"/>
      <c r="Y296" s="1486"/>
      <c r="Z296" s="2148"/>
      <c r="AA296" s="2205"/>
      <c r="AB296" s="397"/>
      <c r="AC296" s="1486"/>
      <c r="AD296" s="2243"/>
      <c r="AE296" s="2143"/>
      <c r="AF296" s="2243"/>
      <c r="AG296" s="2143"/>
    </row>
    <row r="297" spans="1:37" hidden="1">
      <c r="A297" s="2063"/>
      <c r="B297" s="583" t="s">
        <v>3148</v>
      </c>
      <c r="C297" s="1998"/>
      <c r="D297" s="2092"/>
      <c r="E297" s="2122">
        <v>5678.72</v>
      </c>
      <c r="F297" s="2092"/>
      <c r="G297" s="2091"/>
      <c r="H297" s="572"/>
      <c r="I297" s="2096"/>
      <c r="J297" s="2097"/>
      <c r="K297" s="2091"/>
      <c r="L297" s="2092"/>
      <c r="M297" s="2091"/>
      <c r="N297" s="2092"/>
      <c r="O297" s="2091"/>
      <c r="P297" s="2092"/>
      <c r="Q297" s="2092"/>
      <c r="R297" s="2196"/>
      <c r="S297" s="2193"/>
      <c r="T297" s="2196"/>
      <c r="U297" s="2193"/>
      <c r="V297" s="2148"/>
      <c r="W297" s="2205"/>
      <c r="X297" s="397"/>
      <c r="Y297" s="1486"/>
      <c r="Z297" s="2148"/>
      <c r="AA297" s="2205"/>
      <c r="AB297" s="397"/>
      <c r="AC297" s="1486"/>
      <c r="AD297" s="2243"/>
      <c r="AE297" s="2143"/>
      <c r="AF297" s="2243"/>
      <c r="AG297" s="2143"/>
    </row>
    <row r="298" spans="1:37" s="1570" customFormat="1" ht="12.75" hidden="1">
      <c r="A298" s="2148"/>
      <c r="B298" s="583"/>
      <c r="C298" s="2180" t="s">
        <v>2969</v>
      </c>
      <c r="D298" s="2108">
        <f>E285-D285</f>
        <v>1227.0500000000029</v>
      </c>
      <c r="E298" s="2091"/>
      <c r="F298" s="2119">
        <f>G285-F285</f>
        <v>-124138</v>
      </c>
      <c r="G298" s="2091"/>
      <c r="H298" s="2282">
        <f>I285-H285</f>
        <v>-12245.299999999988</v>
      </c>
      <c r="I298" s="2091"/>
      <c r="J298" s="2119">
        <f>K285-J285</f>
        <v>429.6200000000099</v>
      </c>
      <c r="K298" s="2091"/>
      <c r="L298" s="2119">
        <f>M285-L285</f>
        <v>4235.3700000000099</v>
      </c>
      <c r="M298" s="2091"/>
      <c r="N298" s="2119">
        <f>O285-N285</f>
        <v>4553.7999999999884</v>
      </c>
      <c r="O298" s="2091"/>
      <c r="P298" s="2119">
        <f>Q285-P285</f>
        <v>4556.25</v>
      </c>
      <c r="Q298" s="2092"/>
      <c r="R298" s="2203">
        <f>S285-R285</f>
        <v>-55207.76</v>
      </c>
      <c r="S298" s="2193"/>
      <c r="T298" s="2203">
        <f>U285-T285</f>
        <v>-2346.6000000000058</v>
      </c>
      <c r="U298" s="2193"/>
      <c r="V298" s="2063"/>
      <c r="W298" s="2212"/>
      <c r="X298" s="1591"/>
      <c r="Y298" s="2163"/>
      <c r="Z298" s="2063"/>
      <c r="AA298" s="2212"/>
      <c r="AB298" s="1591"/>
      <c r="AC298" s="2163"/>
      <c r="AD298" s="2241"/>
      <c r="AE298" s="2141"/>
      <c r="AF298" s="2241"/>
      <c r="AG298" s="2141"/>
      <c r="AH298" s="2132"/>
      <c r="AI298" s="2132"/>
      <c r="AJ298" s="2132"/>
      <c r="AK298" s="2132"/>
    </row>
    <row r="299" spans="1:37" s="1570" customFormat="1" ht="12.75" hidden="1">
      <c r="A299" s="2259" t="s">
        <v>3149</v>
      </c>
      <c r="B299" s="2060"/>
      <c r="C299" s="2260" t="s">
        <v>3150</v>
      </c>
      <c r="D299" s="2261">
        <v>10000</v>
      </c>
      <c r="E299" s="2262">
        <f>SUM(E301:E304)</f>
        <v>15548.380000000001</v>
      </c>
      <c r="F299" s="2261">
        <v>24000</v>
      </c>
      <c r="G299" s="2262">
        <f>SUM(G313:G313)</f>
        <v>0</v>
      </c>
      <c r="H299" s="2263">
        <v>24000</v>
      </c>
      <c r="I299" s="2262">
        <f>SUM(I303:I307)</f>
        <v>28991.66</v>
      </c>
      <c r="J299" s="2263">
        <v>24000</v>
      </c>
      <c r="K299" s="2262">
        <f>SUM(K301:K313)</f>
        <v>23528.06</v>
      </c>
      <c r="L299" s="2261">
        <v>24000</v>
      </c>
      <c r="M299" s="2262">
        <f>SUM(M301:M313)</f>
        <v>23381.45</v>
      </c>
      <c r="N299" s="2261">
        <v>24000</v>
      </c>
      <c r="O299" s="2262">
        <f>SUM(O301:O313)</f>
        <v>19246.940000000002</v>
      </c>
      <c r="P299" s="2261">
        <v>24000</v>
      </c>
      <c r="Q299" s="2261">
        <f>SUM(Q301:Q313)</f>
        <v>24843.260000000002</v>
      </c>
      <c r="R299" s="2264">
        <v>24000</v>
      </c>
      <c r="S299" s="2265">
        <f>SUM(S301:S313)</f>
        <v>48512.69</v>
      </c>
      <c r="T299" s="2264">
        <v>24000</v>
      </c>
      <c r="U299" s="2265">
        <f>SUM(U301:U313)</f>
        <v>0</v>
      </c>
      <c r="V299" s="2259" t="s">
        <v>2951</v>
      </c>
      <c r="W299" s="2277"/>
      <c r="X299" s="2278"/>
      <c r="Y299" s="2279"/>
      <c r="Z299" s="2259"/>
      <c r="AA299" s="2277"/>
      <c r="AB299" s="2278"/>
      <c r="AC299" s="2279"/>
      <c r="AD299" s="2280"/>
      <c r="AE299" s="2281"/>
      <c r="AF299" s="2280"/>
      <c r="AG299" s="2281"/>
      <c r="AH299" s="2132"/>
      <c r="AI299" s="2132"/>
      <c r="AJ299" s="2132"/>
      <c r="AK299" s="2132"/>
    </row>
    <row r="300" spans="1:37" s="1570" customFormat="1" ht="12.75" hidden="1">
      <c r="A300" s="2063"/>
      <c r="B300" s="583" t="s">
        <v>3151</v>
      </c>
      <c r="C300" s="2174" t="s">
        <v>3152</v>
      </c>
      <c r="D300" s="2090"/>
      <c r="E300" s="2089"/>
      <c r="F300" s="2090"/>
      <c r="G300" s="2089"/>
      <c r="H300" s="2088"/>
      <c r="I300" s="2089"/>
      <c r="J300" s="2088"/>
      <c r="K300" s="2091">
        <v>40</v>
      </c>
      <c r="L300" s="2090"/>
      <c r="M300" s="2091"/>
      <c r="N300" s="2090"/>
      <c r="O300" s="2091"/>
      <c r="P300" s="2090"/>
      <c r="Q300" s="2092"/>
      <c r="R300" s="2192"/>
      <c r="S300" s="2193"/>
      <c r="T300" s="2192"/>
      <c r="U300" s="2193"/>
      <c r="V300" s="2063" t="s">
        <v>2459</v>
      </c>
      <c r="W300" s="2212"/>
      <c r="X300" s="1591"/>
      <c r="Y300" s="2163"/>
      <c r="Z300" s="2063"/>
      <c r="AA300" s="2212"/>
      <c r="AB300" s="1591"/>
      <c r="AC300" s="2163"/>
      <c r="AD300" s="2241"/>
      <c r="AE300" s="2141"/>
      <c r="AF300" s="2241"/>
      <c r="AG300" s="2141"/>
      <c r="AH300" s="2132"/>
      <c r="AI300" s="2132"/>
      <c r="AJ300" s="2132"/>
      <c r="AK300" s="2132"/>
    </row>
    <row r="301" spans="1:37" s="1570" customFormat="1" ht="12.75" hidden="1">
      <c r="A301" s="2063"/>
      <c r="B301" s="583" t="s">
        <v>3153</v>
      </c>
      <c r="C301" s="2174"/>
      <c r="D301" s="2090"/>
      <c r="E301" s="2091">
        <v>7056.38</v>
      </c>
      <c r="F301" s="2090"/>
      <c r="G301" s="2089"/>
      <c r="H301" s="2088"/>
      <c r="I301" s="2089"/>
      <c r="J301" s="2097"/>
      <c r="K301" s="2091"/>
      <c r="L301" s="2092"/>
      <c r="M301" s="2091"/>
      <c r="N301" s="2092"/>
      <c r="O301" s="2091"/>
      <c r="P301" s="2092"/>
      <c r="Q301" s="2092"/>
      <c r="R301" s="2196"/>
      <c r="S301" s="2193">
        <v>43.77</v>
      </c>
      <c r="T301" s="2196"/>
      <c r="U301" s="2193"/>
      <c r="V301" s="2063"/>
      <c r="W301" s="2212"/>
      <c r="X301" s="1591"/>
      <c r="Y301" s="2163"/>
      <c r="Z301" s="2063"/>
      <c r="AA301" s="2212"/>
      <c r="AB301" s="1591"/>
      <c r="AC301" s="2163"/>
      <c r="AD301" s="2241"/>
      <c r="AE301" s="2141"/>
      <c r="AF301" s="2241"/>
      <c r="AG301" s="2141"/>
      <c r="AH301" s="2132"/>
      <c r="AI301" s="2132"/>
      <c r="AJ301" s="2132"/>
      <c r="AK301" s="2132"/>
    </row>
    <row r="302" spans="1:37" s="1570" customFormat="1" ht="12.75" hidden="1">
      <c r="A302" s="2063"/>
      <c r="B302" s="583" t="s">
        <v>3154</v>
      </c>
      <c r="C302" s="2174"/>
      <c r="D302" s="2090"/>
      <c r="E302" s="2091"/>
      <c r="F302" s="2090"/>
      <c r="G302" s="2089"/>
      <c r="H302" s="2088"/>
      <c r="I302" s="2089"/>
      <c r="J302" s="2097"/>
      <c r="K302" s="2091"/>
      <c r="L302" s="2092"/>
      <c r="M302" s="2091"/>
      <c r="N302" s="2092"/>
      <c r="O302" s="2091"/>
      <c r="P302" s="2092"/>
      <c r="Q302" s="2092">
        <v>831.72</v>
      </c>
      <c r="R302" s="2196"/>
      <c r="S302" s="2193">
        <v>875.48</v>
      </c>
      <c r="T302" s="2196"/>
      <c r="U302" s="2193"/>
      <c r="V302" s="2063"/>
      <c r="W302" s="2212"/>
      <c r="X302" s="1591"/>
      <c r="Y302" s="1486">
        <v>176.87</v>
      </c>
      <c r="Z302" s="2063"/>
      <c r="AA302" s="2212"/>
      <c r="AB302" s="1591"/>
      <c r="AC302" s="2163"/>
      <c r="AD302" s="2241"/>
      <c r="AE302" s="2141"/>
      <c r="AF302" s="2241"/>
      <c r="AG302" s="2141"/>
      <c r="AH302" s="2132"/>
      <c r="AI302" s="2132"/>
      <c r="AJ302" s="2132"/>
      <c r="AK302" s="2132"/>
    </row>
    <row r="303" spans="1:37" s="1570" customFormat="1" ht="12.75" hidden="1">
      <c r="A303" s="2063"/>
      <c r="B303" s="583" t="s">
        <v>3155</v>
      </c>
      <c r="C303" s="2174"/>
      <c r="D303" s="2090"/>
      <c r="E303" s="2091">
        <v>5992</v>
      </c>
      <c r="F303" s="2090"/>
      <c r="G303" s="2089"/>
      <c r="H303" s="2088"/>
      <c r="I303" s="2089"/>
      <c r="J303" s="2097"/>
      <c r="K303" s="2091"/>
      <c r="L303" s="2092"/>
      <c r="M303" s="2091"/>
      <c r="N303" s="2092"/>
      <c r="O303" s="2091"/>
      <c r="P303" s="2092"/>
      <c r="Q303" s="2092"/>
      <c r="R303" s="2196"/>
      <c r="S303" s="2193"/>
      <c r="T303" s="2196"/>
      <c r="U303" s="2193"/>
      <c r="V303" s="2063"/>
      <c r="W303" s="2212"/>
      <c r="X303" s="1591"/>
      <c r="Y303" s="2163"/>
      <c r="Z303" s="2063"/>
      <c r="AA303" s="2212"/>
      <c r="AB303" s="1591"/>
      <c r="AC303" s="2163"/>
      <c r="AD303" s="2241"/>
      <c r="AE303" s="2141"/>
      <c r="AF303" s="2241"/>
      <c r="AG303" s="2141"/>
      <c r="AH303" s="2132"/>
      <c r="AI303" s="2132"/>
      <c r="AJ303" s="2132"/>
      <c r="AK303" s="2132"/>
    </row>
    <row r="304" spans="1:37" s="1570" customFormat="1" ht="12.75" hidden="1">
      <c r="A304" s="2063"/>
      <c r="B304" s="583" t="s">
        <v>3156</v>
      </c>
      <c r="C304" s="2174"/>
      <c r="D304" s="2090"/>
      <c r="E304" s="2091">
        <v>2500</v>
      </c>
      <c r="F304" s="2090"/>
      <c r="G304" s="2089"/>
      <c r="H304" s="2088"/>
      <c r="I304" s="2089"/>
      <c r="J304" s="572"/>
      <c r="K304" s="399"/>
      <c r="L304" s="397"/>
      <c r="M304" s="2093"/>
      <c r="N304" s="397"/>
      <c r="O304" s="2093">
        <v>3210</v>
      </c>
      <c r="P304" s="397"/>
      <c r="Q304" s="1486"/>
      <c r="R304" s="2148"/>
      <c r="S304" s="2205"/>
      <c r="T304" s="2148"/>
      <c r="U304" s="2205"/>
      <c r="V304" s="2063"/>
      <c r="W304" s="2212"/>
      <c r="X304" s="1591"/>
      <c r="Y304" s="2163"/>
      <c r="Z304" s="2063"/>
      <c r="AA304" s="2212"/>
      <c r="AB304" s="1591"/>
      <c r="AC304" s="2163"/>
      <c r="AD304" s="2241"/>
      <c r="AE304" s="2141"/>
      <c r="AF304" s="2241"/>
      <c r="AG304" s="2141"/>
      <c r="AH304" s="2132"/>
      <c r="AI304" s="2132"/>
      <c r="AJ304" s="2132"/>
      <c r="AK304" s="2132"/>
    </row>
    <row r="305" spans="1:37" s="1570" customFormat="1" ht="12.75" hidden="1">
      <c r="A305" s="2063"/>
      <c r="B305" s="397" t="s">
        <v>3157</v>
      </c>
      <c r="C305" s="2174"/>
      <c r="D305" s="1591"/>
      <c r="E305" s="2114"/>
      <c r="F305" s="2090"/>
      <c r="G305" s="2089"/>
      <c r="H305" s="2087"/>
      <c r="I305" s="2091">
        <v>5880</v>
      </c>
      <c r="J305" s="572"/>
      <c r="K305" s="399"/>
      <c r="L305" s="397"/>
      <c r="M305" s="2093"/>
      <c r="N305" s="397"/>
      <c r="O305" s="2093"/>
      <c r="P305" s="397"/>
      <c r="Q305" s="1486"/>
      <c r="R305" s="2148"/>
      <c r="S305" s="2205"/>
      <c r="T305" s="2148"/>
      <c r="U305" s="2205"/>
      <c r="V305" s="2063"/>
      <c r="W305" s="2212"/>
      <c r="X305" s="1591"/>
      <c r="Y305" s="2163"/>
      <c r="Z305" s="2063"/>
      <c r="AA305" s="2212"/>
      <c r="AB305" s="1591"/>
      <c r="AC305" s="2163"/>
      <c r="AD305" s="2241"/>
      <c r="AE305" s="2141"/>
      <c r="AF305" s="2241"/>
      <c r="AG305" s="2141"/>
      <c r="AH305" s="2132"/>
      <c r="AI305" s="2132"/>
      <c r="AJ305" s="2132"/>
      <c r="AK305" s="2132"/>
    </row>
    <row r="306" spans="1:37" s="1570" customFormat="1" ht="12.75" hidden="1">
      <c r="A306" s="2063"/>
      <c r="B306" s="584" t="s">
        <v>3158</v>
      </c>
      <c r="C306" s="2174"/>
      <c r="D306" s="1591"/>
      <c r="E306" s="2114"/>
      <c r="F306" s="2090"/>
      <c r="G306" s="2089"/>
      <c r="H306" s="2087"/>
      <c r="I306" s="2091"/>
      <c r="J306" s="572"/>
      <c r="K306" s="399"/>
      <c r="L306" s="397"/>
      <c r="M306" s="2093"/>
      <c r="N306" s="397"/>
      <c r="O306" s="2093"/>
      <c r="P306" s="397"/>
      <c r="Q306" s="1486"/>
      <c r="R306" s="2148"/>
      <c r="S306" s="2205">
        <v>23692.9</v>
      </c>
      <c r="T306" s="2148"/>
      <c r="U306" s="2205"/>
      <c r="V306" s="2063"/>
      <c r="W306" s="2212"/>
      <c r="X306" s="1591"/>
      <c r="Y306" s="2163"/>
      <c r="Z306" s="2063"/>
      <c r="AA306" s="2212"/>
      <c r="AB306" s="1591"/>
      <c r="AC306" s="2163"/>
      <c r="AD306" s="2241"/>
      <c r="AE306" s="2141"/>
      <c r="AF306" s="2241"/>
      <c r="AG306" s="2141"/>
      <c r="AH306" s="2132"/>
      <c r="AI306" s="2132"/>
      <c r="AJ306" s="2132"/>
      <c r="AK306" s="2132"/>
    </row>
    <row r="307" spans="1:37" hidden="1">
      <c r="A307" s="2063"/>
      <c r="B307" s="584" t="s">
        <v>3159</v>
      </c>
      <c r="C307" s="2174"/>
      <c r="D307" s="1591"/>
      <c r="E307" s="2114"/>
      <c r="F307" s="2090"/>
      <c r="G307" s="2089"/>
      <c r="H307" s="2087"/>
      <c r="I307" s="2091">
        <v>23111.66</v>
      </c>
      <c r="J307" s="572"/>
      <c r="K307" s="2091">
        <v>23528.06</v>
      </c>
      <c r="L307" s="397"/>
      <c r="M307" s="2091">
        <v>23381.45</v>
      </c>
      <c r="N307" s="397"/>
      <c r="O307" s="2091">
        <v>16036.94</v>
      </c>
      <c r="P307" s="397"/>
      <c r="Q307" s="2092">
        <v>24011.54</v>
      </c>
      <c r="R307" s="2148"/>
      <c r="S307" s="2193">
        <v>23900.54</v>
      </c>
      <c r="T307" s="2148"/>
      <c r="U307" s="1998"/>
      <c r="V307" s="2148"/>
      <c r="W307" s="2205"/>
      <c r="X307" s="397"/>
      <c r="Y307" s="1486"/>
      <c r="Z307" s="2148"/>
      <c r="AA307" s="2205"/>
      <c r="AB307" s="397"/>
      <c r="AC307" s="1486"/>
      <c r="AD307" s="2243"/>
      <c r="AE307" s="2143"/>
      <c r="AF307" s="2243"/>
      <c r="AG307" s="2143"/>
    </row>
    <row r="308" spans="1:37" hidden="1">
      <c r="A308" s="2063"/>
      <c r="B308" s="583" t="s">
        <v>3160</v>
      </c>
      <c r="C308" s="2174"/>
      <c r="D308" s="1591"/>
      <c r="E308" s="2114"/>
      <c r="F308" s="2090"/>
      <c r="G308" s="2089"/>
      <c r="H308" s="2087"/>
      <c r="I308" s="2091"/>
      <c r="J308" s="572"/>
      <c r="K308" s="2091"/>
      <c r="L308" s="397"/>
      <c r="M308" s="2091"/>
      <c r="N308" s="397"/>
      <c r="O308" s="2091"/>
      <c r="P308" s="397"/>
      <c r="Q308" s="2092"/>
      <c r="R308" s="2148"/>
      <c r="S308" s="2193"/>
      <c r="T308" s="2148"/>
      <c r="U308" s="1998"/>
      <c r="V308" s="2148"/>
      <c r="W308" s="2205"/>
      <c r="X308" s="397"/>
      <c r="Y308" s="1486"/>
      <c r="Z308" s="2148"/>
      <c r="AA308" s="2205"/>
      <c r="AB308" s="397"/>
      <c r="AC308" s="1486"/>
      <c r="AD308" s="2243"/>
      <c r="AE308" s="2143"/>
      <c r="AF308" s="2243"/>
      <c r="AG308" s="2143"/>
    </row>
    <row r="309" spans="1:37" hidden="1">
      <c r="A309" s="2063"/>
      <c r="B309" s="583"/>
      <c r="C309" s="2174"/>
      <c r="D309" s="1591"/>
      <c r="E309" s="2114"/>
      <c r="F309" s="2090"/>
      <c r="G309" s="2089"/>
      <c r="H309" s="2087"/>
      <c r="I309" s="2091"/>
      <c r="J309" s="572"/>
      <c r="K309" s="2091"/>
      <c r="L309" s="397"/>
      <c r="M309" s="2091"/>
      <c r="N309" s="397"/>
      <c r="O309" s="2091"/>
      <c r="P309" s="397"/>
      <c r="Q309" s="2092"/>
      <c r="R309" s="2148"/>
      <c r="S309" s="2193"/>
      <c r="T309" s="2148"/>
      <c r="U309" s="1998"/>
      <c r="V309" s="2148"/>
      <c r="W309" s="2205"/>
      <c r="X309" s="397"/>
      <c r="Y309" s="1486"/>
      <c r="Z309" s="2148"/>
      <c r="AA309" s="2205"/>
      <c r="AB309" s="397"/>
      <c r="AC309" s="1486"/>
      <c r="AD309" s="2243"/>
      <c r="AE309" s="2143"/>
      <c r="AF309" s="2243"/>
      <c r="AG309" s="2143"/>
    </row>
    <row r="310" spans="1:37" hidden="1">
      <c r="A310" s="2063"/>
      <c r="B310" s="583" t="s">
        <v>3160</v>
      </c>
      <c r="C310" s="2174"/>
      <c r="D310" s="1591"/>
      <c r="E310" s="2114"/>
      <c r="F310" s="2090"/>
      <c r="G310" s="2089"/>
      <c r="H310" s="2087"/>
      <c r="I310" s="2091"/>
      <c r="J310" s="572"/>
      <c r="K310" s="2091"/>
      <c r="L310" s="397"/>
      <c r="M310" s="2091"/>
      <c r="N310" s="397"/>
      <c r="O310" s="2091"/>
      <c r="P310" s="397"/>
      <c r="Q310" s="2092"/>
      <c r="R310" s="2148"/>
      <c r="S310" s="2193"/>
      <c r="T310" s="2148"/>
      <c r="U310" s="1998"/>
      <c r="V310" s="2148"/>
      <c r="W310" s="2205"/>
      <c r="X310" s="397"/>
      <c r="Y310" s="1486"/>
      <c r="Z310" s="2148"/>
      <c r="AA310" s="2205"/>
      <c r="AB310" s="397"/>
      <c r="AC310" s="1486"/>
      <c r="AD310" s="2243"/>
      <c r="AE310" s="2143"/>
      <c r="AF310" s="2243"/>
      <c r="AG310" s="2143"/>
    </row>
    <row r="311" spans="1:37" hidden="1">
      <c r="A311" s="2063"/>
      <c r="B311" s="583"/>
      <c r="C311" s="2174"/>
      <c r="D311" s="1591"/>
      <c r="E311" s="2114"/>
      <c r="F311" s="2090"/>
      <c r="G311" s="2089"/>
      <c r="H311" s="2087"/>
      <c r="I311" s="2091"/>
      <c r="J311" s="572"/>
      <c r="K311" s="2091"/>
      <c r="L311" s="397"/>
      <c r="M311" s="2091"/>
      <c r="N311" s="397"/>
      <c r="O311" s="2091"/>
      <c r="P311" s="397"/>
      <c r="Q311" s="2092"/>
      <c r="R311" s="2148"/>
      <c r="S311" s="2193"/>
      <c r="T311" s="2148"/>
      <c r="U311" s="1998"/>
      <c r="V311" s="2148"/>
      <c r="W311" s="2205"/>
      <c r="X311" s="397"/>
      <c r="Y311" s="1486"/>
      <c r="Z311" s="2148"/>
      <c r="AA311" s="2205"/>
      <c r="AB311" s="397"/>
      <c r="AC311" s="1486"/>
      <c r="AD311" s="2243"/>
      <c r="AE311" s="2143"/>
      <c r="AF311" s="2243"/>
      <c r="AG311" s="2143"/>
    </row>
    <row r="312" spans="1:37" ht="3.75" hidden="1" customHeight="1">
      <c r="A312" s="2063"/>
      <c r="B312" s="583" t="s">
        <v>3161</v>
      </c>
      <c r="C312" s="2174"/>
      <c r="D312" s="1591"/>
      <c r="E312" s="2114"/>
      <c r="F312" s="2090"/>
      <c r="G312" s="2089"/>
      <c r="H312" s="2087"/>
      <c r="I312" s="2091"/>
      <c r="J312" s="572"/>
      <c r="K312" s="2091"/>
      <c r="L312" s="397"/>
      <c r="M312" s="2091"/>
      <c r="N312" s="397"/>
      <c r="O312" s="2091"/>
      <c r="P312" s="397"/>
      <c r="Q312" s="2092"/>
      <c r="R312" s="2148"/>
      <c r="S312" s="2193"/>
      <c r="T312" s="2148"/>
      <c r="U312" s="1998"/>
      <c r="V312" s="2148"/>
      <c r="W312" s="2205"/>
      <c r="X312" s="397"/>
      <c r="Y312" s="1486"/>
      <c r="Z312" s="2148"/>
      <c r="AA312" s="2205"/>
      <c r="AB312" s="397"/>
      <c r="AC312" s="1486"/>
      <c r="AD312" s="2243"/>
      <c r="AE312" s="2143"/>
      <c r="AF312" s="2243"/>
      <c r="AG312" s="2143"/>
    </row>
    <row r="313" spans="1:37" s="1570" customFormat="1" ht="6" hidden="1" customHeight="1">
      <c r="A313" s="2239"/>
      <c r="B313" s="2270"/>
      <c r="C313" s="2271" t="s">
        <v>2969</v>
      </c>
      <c r="D313" s="2262">
        <f>E299-D299</f>
        <v>5548.380000000001</v>
      </c>
      <c r="E313" s="2272"/>
      <c r="F313" s="2262">
        <f>G299-F299</f>
        <v>-24000</v>
      </c>
      <c r="G313" s="2272"/>
      <c r="H313" s="2273">
        <f>I299-H299</f>
        <v>4991.66</v>
      </c>
      <c r="I313" s="2272"/>
      <c r="J313" s="2273">
        <f>K299-J299</f>
        <v>-471.93999999999869</v>
      </c>
      <c r="K313" s="2272"/>
      <c r="L313" s="2273">
        <f>M299-L299</f>
        <v>-618.54999999999927</v>
      </c>
      <c r="M313" s="2272"/>
      <c r="N313" s="2273">
        <f>O299-N299</f>
        <v>-4753.0599999999977</v>
      </c>
      <c r="O313" s="2272"/>
      <c r="P313" s="2273">
        <f>Q299-P299</f>
        <v>843.26000000000204</v>
      </c>
      <c r="Q313" s="2274"/>
      <c r="R313" s="2275">
        <f>S299-R299</f>
        <v>24512.690000000002</v>
      </c>
      <c r="S313" s="2276"/>
      <c r="T313" s="2275">
        <f>U299-T299</f>
        <v>-24000</v>
      </c>
      <c r="U313" s="2276"/>
      <c r="V313" s="2259"/>
      <c r="W313" s="2277"/>
      <c r="X313" s="2278"/>
      <c r="Y313" s="2279"/>
      <c r="Z313" s="2259"/>
      <c r="AA313" s="2277"/>
      <c r="AB313" s="2278"/>
      <c r="AC313" s="2279"/>
      <c r="AD313" s="2280"/>
      <c r="AE313" s="2281"/>
      <c r="AF313" s="2280"/>
      <c r="AG313" s="2281"/>
      <c r="AH313" s="2132"/>
      <c r="AI313" s="2132"/>
      <c r="AJ313" s="2132"/>
      <c r="AK313" s="2132"/>
    </row>
    <row r="314" spans="1:37" s="1570" customFormat="1" ht="12.75">
      <c r="A314" s="2008" t="s">
        <v>3162</v>
      </c>
      <c r="B314" s="2081"/>
      <c r="C314" s="2175" t="s">
        <v>3163</v>
      </c>
      <c r="D314" s="2084">
        <v>7648</v>
      </c>
      <c r="E314" s="2083">
        <f>SUM(E328:E346)</f>
        <v>14919.14</v>
      </c>
      <c r="F314" s="2084">
        <v>43648</v>
      </c>
      <c r="G314" s="2083">
        <f>SUM(G351:G355)</f>
        <v>0</v>
      </c>
      <c r="H314" s="2082">
        <v>43648</v>
      </c>
      <c r="I314" s="2083">
        <f>SUM(I328:I355)</f>
        <v>39754.78</v>
      </c>
      <c r="J314" s="2084">
        <v>42776</v>
      </c>
      <c r="K314" s="2083">
        <f>SUM(K337:K351)</f>
        <v>40626.550000000003</v>
      </c>
      <c r="L314" s="2084">
        <v>42776</v>
      </c>
      <c r="M314" s="2083">
        <f>SUM(M337:M351)</f>
        <v>41046.579999999994</v>
      </c>
      <c r="N314" s="2084">
        <v>42776</v>
      </c>
      <c r="O314" s="2083">
        <f>SUM(O337:O351)</f>
        <v>52626.07</v>
      </c>
      <c r="P314" s="2084">
        <v>42776</v>
      </c>
      <c r="Q314" s="2084">
        <f>SUM(Q337:Q351)</f>
        <v>36957.379999999997</v>
      </c>
      <c r="R314" s="2190">
        <v>42776</v>
      </c>
      <c r="S314" s="2191">
        <f>SUM(S337:S351)</f>
        <v>74421.45</v>
      </c>
      <c r="T314" s="2190">
        <v>42776</v>
      </c>
      <c r="U314" s="2191">
        <f>SUM(U321:U351)</f>
        <v>36510.33</v>
      </c>
      <c r="V314" s="2008"/>
      <c r="W314" s="2211">
        <f>SUM(W315:W355)</f>
        <v>201559.82000000004</v>
      </c>
      <c r="X314" s="2022"/>
      <c r="Y314" s="2084">
        <f>SUM(Y315:Y355)</f>
        <v>194864.82</v>
      </c>
      <c r="Z314" s="2008"/>
      <c r="AA314" s="2191">
        <f>SUM(AA315:AA350)</f>
        <v>232560.84000000003</v>
      </c>
      <c r="AB314" s="2022"/>
      <c r="AC314" s="2230">
        <f>SUM(AC315:AC351)</f>
        <v>255493.28</v>
      </c>
      <c r="AD314" s="2240"/>
      <c r="AE314" s="3550">
        <f>SUM(AE315:AE351)</f>
        <v>342152.80000000005</v>
      </c>
      <c r="AF314" s="2240"/>
      <c r="AG314" s="3550">
        <f>SUM(AG315:AG351)</f>
        <v>288644.71000000008</v>
      </c>
      <c r="AH314" s="3881"/>
      <c r="AI314" s="3550">
        <f>SUM(AI315:AI351)</f>
        <v>356165.81999999995</v>
      </c>
      <c r="AJ314" s="3881"/>
      <c r="AK314" s="2086">
        <f>SUM(AK318:AK354)</f>
        <v>6567.73</v>
      </c>
    </row>
    <row r="315" spans="1:37" s="1570" customFormat="1" ht="12.75">
      <c r="A315" s="2063"/>
      <c r="B315" s="583" t="s">
        <v>3164</v>
      </c>
      <c r="C315" s="2173" t="s">
        <v>2952</v>
      </c>
      <c r="D315" s="2090"/>
      <c r="E315" s="2089"/>
      <c r="F315" s="2090"/>
      <c r="G315" s="2089"/>
      <c r="H315" s="2088"/>
      <c r="I315" s="2089"/>
      <c r="J315" s="2090"/>
      <c r="K315" s="2089"/>
      <c r="L315" s="2090"/>
      <c r="M315" s="2089"/>
      <c r="N315" s="2090"/>
      <c r="O315" s="2089"/>
      <c r="P315" s="2090"/>
      <c r="Q315" s="2090"/>
      <c r="R315" s="2192"/>
      <c r="S315" s="2204"/>
      <c r="T315" s="2192"/>
      <c r="U315" s="2174"/>
      <c r="V315" s="2196"/>
      <c r="W315" s="2195">
        <v>31419.49</v>
      </c>
      <c r="X315" s="2092"/>
      <c r="Y315" s="2092">
        <v>33734.620000000003</v>
      </c>
      <c r="Z315" s="2196"/>
      <c r="AA315" s="2193">
        <v>34409.300000000003</v>
      </c>
      <c r="AB315" s="2092"/>
      <c r="AC315" s="2092">
        <v>35097.5</v>
      </c>
      <c r="AD315" s="2255"/>
      <c r="AE315" s="3743">
        <v>35097.5</v>
      </c>
      <c r="AF315" s="3585"/>
      <c r="AG315" s="3586">
        <v>35799.440000000002</v>
      </c>
      <c r="AH315" s="3882"/>
      <c r="AI315" s="2266"/>
      <c r="AJ315" s="3883"/>
      <c r="AK315" s="2212"/>
    </row>
    <row r="316" spans="1:37" s="1570" customFormat="1" ht="12.75">
      <c r="A316" s="2063"/>
      <c r="B316" s="583" t="s">
        <v>3165</v>
      </c>
      <c r="C316" s="2174" t="s">
        <v>7545</v>
      </c>
      <c r="D316" s="2090"/>
      <c r="E316" s="2089"/>
      <c r="F316" s="2090"/>
      <c r="G316" s="2089"/>
      <c r="H316" s="2088"/>
      <c r="I316" s="2089"/>
      <c r="J316" s="2090"/>
      <c r="K316" s="2089"/>
      <c r="L316" s="2090"/>
      <c r="M316" s="2089"/>
      <c r="N316" s="2090"/>
      <c r="O316" s="2089"/>
      <c r="P316" s="2090"/>
      <c r="Q316" s="2090"/>
      <c r="R316" s="2192"/>
      <c r="S316" s="2204"/>
      <c r="T316" s="2192"/>
      <c r="U316" s="2174"/>
      <c r="V316" s="2196"/>
      <c r="W316" s="2195">
        <v>31419.49</v>
      </c>
      <c r="X316" s="2092"/>
      <c r="Y316" s="2092">
        <v>34074.730000000003</v>
      </c>
      <c r="Z316" s="2196"/>
      <c r="AA316" s="2193">
        <v>34409.300000000003</v>
      </c>
      <c r="AB316" s="2092"/>
      <c r="AC316" s="2092">
        <v>35097.5</v>
      </c>
      <c r="AD316" s="2255"/>
      <c r="AE316" s="3743">
        <v>35799.440000000002</v>
      </c>
      <c r="AF316" s="2255"/>
      <c r="AG316" s="2161">
        <v>35799.440000000002</v>
      </c>
      <c r="AH316" s="3883"/>
      <c r="AI316" s="2205"/>
      <c r="AJ316" s="3883"/>
      <c r="AK316" s="2212"/>
    </row>
    <row r="317" spans="1:37" s="1570" customFormat="1" ht="12.75">
      <c r="A317" s="2063"/>
      <c r="B317" s="583" t="s">
        <v>3166</v>
      </c>
      <c r="C317" s="2174"/>
      <c r="D317" s="2090"/>
      <c r="E317" s="2089"/>
      <c r="F317" s="2090"/>
      <c r="G317" s="2089"/>
      <c r="H317" s="2088"/>
      <c r="I317" s="2089"/>
      <c r="J317" s="2090"/>
      <c r="K317" s="2089"/>
      <c r="L317" s="2090"/>
      <c r="M317" s="2089"/>
      <c r="N317" s="2090"/>
      <c r="O317" s="2089"/>
      <c r="P317" s="2090"/>
      <c r="Q317" s="2090"/>
      <c r="R317" s="2192"/>
      <c r="S317" s="2204"/>
      <c r="T317" s="2192"/>
      <c r="U317" s="2174"/>
      <c r="V317" s="2196"/>
      <c r="W317" s="2195">
        <v>32047.88</v>
      </c>
      <c r="X317" s="2092"/>
      <c r="Y317" s="2092">
        <v>34074.730000000003</v>
      </c>
      <c r="Z317" s="2196"/>
      <c r="AA317" s="2193">
        <v>34409.300000000003</v>
      </c>
      <c r="AB317" s="2092"/>
      <c r="AC317" s="2092">
        <v>35097.5</v>
      </c>
      <c r="AD317" s="2255"/>
      <c r="AE317" s="3743">
        <v>35799.440000000002</v>
      </c>
      <c r="AF317" s="2255"/>
      <c r="AG317" s="2161">
        <v>35799.440000000002</v>
      </c>
      <c r="AH317" s="3883"/>
      <c r="AI317" s="2205"/>
      <c r="AJ317" s="3883"/>
      <c r="AK317" s="2212"/>
    </row>
    <row r="318" spans="1:37" s="1570" customFormat="1" ht="12.75">
      <c r="A318" s="2063"/>
      <c r="B318" s="583" t="s">
        <v>3167</v>
      </c>
      <c r="C318" s="2174"/>
      <c r="D318" s="2090"/>
      <c r="E318" s="2089"/>
      <c r="F318" s="2090"/>
      <c r="G318" s="2089"/>
      <c r="H318" s="2088"/>
      <c r="I318" s="2089"/>
      <c r="J318" s="2090"/>
      <c r="K318" s="2089"/>
      <c r="L318" s="2090"/>
      <c r="M318" s="2089"/>
      <c r="N318" s="2090"/>
      <c r="O318" s="2089"/>
      <c r="P318" s="2090"/>
      <c r="Q318" s="2090"/>
      <c r="R318" s="2192"/>
      <c r="S318" s="2204"/>
      <c r="T318" s="2192"/>
      <c r="U318" s="2193"/>
      <c r="V318" s="2196"/>
      <c r="W318" s="2195">
        <v>33734.620000000003</v>
      </c>
      <c r="X318" s="2092"/>
      <c r="Y318" s="2092">
        <v>33405.69</v>
      </c>
      <c r="Z318" s="2196"/>
      <c r="AA318" s="2193">
        <v>35097.5</v>
      </c>
      <c r="AB318" s="2092"/>
      <c r="AC318" s="2092">
        <v>35097.5</v>
      </c>
      <c r="AD318" s="2255"/>
      <c r="AE318" s="3743">
        <v>35799.440000000002</v>
      </c>
      <c r="AF318" s="2255"/>
      <c r="AG318" s="2161">
        <v>36515.43</v>
      </c>
      <c r="AH318" s="3883"/>
      <c r="AI318" s="2205"/>
      <c r="AJ318" s="3883"/>
      <c r="AK318" s="2212"/>
    </row>
    <row r="319" spans="1:37" s="1570" customFormat="1">
      <c r="A319" s="2063"/>
      <c r="B319" s="583" t="s">
        <v>3168</v>
      </c>
      <c r="C319" s="2174"/>
      <c r="D319" s="2090"/>
      <c r="E319" s="2089"/>
      <c r="F319" s="2090"/>
      <c r="G319" s="2089"/>
      <c r="H319" s="2088"/>
      <c r="I319" s="2089"/>
      <c r="J319" s="2090"/>
      <c r="K319" s="2089"/>
      <c r="L319" s="2090"/>
      <c r="M319" s="2089"/>
      <c r="N319" s="2090"/>
      <c r="O319" s="2089"/>
      <c r="P319" s="2090"/>
      <c r="Q319" s="2090"/>
      <c r="R319" s="2192"/>
      <c r="S319" s="2204"/>
      <c r="T319" s="2192"/>
      <c r="U319" s="2193">
        <v>12148.26</v>
      </c>
      <c r="V319" s="2196"/>
      <c r="W319" s="2195">
        <v>12148.26</v>
      </c>
      <c r="X319" s="2092"/>
      <c r="Y319" s="2092">
        <v>12354.78</v>
      </c>
      <c r="Z319" s="2196"/>
      <c r="AA319" s="2193">
        <v>12564.88</v>
      </c>
      <c r="AB319" s="2092"/>
      <c r="AC319" s="2092">
        <v>12778.41</v>
      </c>
      <c r="AD319" s="2255"/>
      <c r="AE319" s="3765">
        <v>12778.41</v>
      </c>
      <c r="AF319" s="2255"/>
      <c r="AG319" s="2143">
        <v>12995.64</v>
      </c>
      <c r="AH319" s="3883"/>
      <c r="AI319" s="2205"/>
      <c r="AJ319" s="3883"/>
      <c r="AK319" s="2212"/>
    </row>
    <row r="320" spans="1:37" s="1570" customFormat="1">
      <c r="A320" s="2063"/>
      <c r="B320" s="583" t="s">
        <v>3169</v>
      </c>
      <c r="C320" s="2174"/>
      <c r="D320" s="2090"/>
      <c r="E320" s="2089"/>
      <c r="F320" s="2090"/>
      <c r="G320" s="2089"/>
      <c r="H320" s="2088"/>
      <c r="I320" s="2089"/>
      <c r="J320" s="2090"/>
      <c r="K320" s="2089"/>
      <c r="L320" s="2090"/>
      <c r="M320" s="2089"/>
      <c r="N320" s="2090"/>
      <c r="O320" s="2089"/>
      <c r="P320" s="2090"/>
      <c r="Q320" s="2090"/>
      <c r="R320" s="2192"/>
      <c r="S320" s="2204"/>
      <c r="T320" s="2192"/>
      <c r="U320" s="2193">
        <v>12148.26</v>
      </c>
      <c r="V320" s="2196"/>
      <c r="W320" s="2195">
        <v>12148.26</v>
      </c>
      <c r="X320" s="2092"/>
      <c r="Y320" s="2092">
        <v>721.7</v>
      </c>
      <c r="Z320" s="2196"/>
      <c r="AA320" s="2193"/>
      <c r="AB320" s="2092"/>
      <c r="AC320" s="2092">
        <v>12778.41</v>
      </c>
      <c r="AD320" s="2255"/>
      <c r="AE320" s="3765">
        <v>12995.64</v>
      </c>
      <c r="AF320" s="2255"/>
      <c r="AG320" s="2143">
        <v>12995.64</v>
      </c>
      <c r="AH320" s="3883"/>
      <c r="AI320" s="2205"/>
      <c r="AJ320" s="3883"/>
      <c r="AK320" s="2212"/>
    </row>
    <row r="321" spans="1:37" s="1570" customFormat="1">
      <c r="A321" s="2063"/>
      <c r="B321" s="583" t="s">
        <v>3170</v>
      </c>
      <c r="C321" s="2174"/>
      <c r="D321" s="2090"/>
      <c r="E321" s="2089"/>
      <c r="F321" s="2090"/>
      <c r="G321" s="2089"/>
      <c r="H321" s="2088"/>
      <c r="I321" s="2089"/>
      <c r="J321" s="2090"/>
      <c r="K321" s="2089"/>
      <c r="L321" s="2090"/>
      <c r="M321" s="2089"/>
      <c r="N321" s="2090"/>
      <c r="O321" s="2089"/>
      <c r="P321" s="2090"/>
      <c r="Q321" s="2090"/>
      <c r="R321" s="2192"/>
      <c r="S321" s="2204"/>
      <c r="T321" s="2192"/>
      <c r="U321" s="2193">
        <v>12148.26</v>
      </c>
      <c r="V321" s="2196"/>
      <c r="W321" s="2195">
        <v>12148.26</v>
      </c>
      <c r="X321" s="2092"/>
      <c r="Y321" s="2092">
        <v>12460.65</v>
      </c>
      <c r="Z321" s="2196"/>
      <c r="AA321" s="2193">
        <v>12564.81</v>
      </c>
      <c r="AB321" s="2092"/>
      <c r="AC321" s="2092">
        <v>12778.41</v>
      </c>
      <c r="AD321" s="2255"/>
      <c r="AE321" s="3765">
        <v>12995.64</v>
      </c>
      <c r="AF321" s="2255"/>
      <c r="AG321" s="2143">
        <v>12955.64</v>
      </c>
      <c r="AH321" s="3883"/>
      <c r="AI321" s="2205"/>
      <c r="AJ321" s="3883"/>
      <c r="AK321" s="2212"/>
    </row>
    <row r="322" spans="1:37" s="1570" customFormat="1">
      <c r="A322" s="2063"/>
      <c r="B322" s="583" t="s">
        <v>3171</v>
      </c>
      <c r="C322" s="2174"/>
      <c r="D322" s="2090"/>
      <c r="E322" s="2089"/>
      <c r="F322" s="2090"/>
      <c r="G322" s="2089"/>
      <c r="H322" s="2088"/>
      <c r="I322" s="2089"/>
      <c r="J322" s="2090"/>
      <c r="K322" s="2089"/>
      <c r="L322" s="2090"/>
      <c r="M322" s="2089"/>
      <c r="N322" s="2090"/>
      <c r="O322" s="2089"/>
      <c r="P322" s="2090"/>
      <c r="Q322" s="2090"/>
      <c r="R322" s="2192"/>
      <c r="S322" s="2204"/>
      <c r="T322" s="2192"/>
      <c r="U322" s="2193">
        <v>12148.26</v>
      </c>
      <c r="V322" s="2196"/>
      <c r="W322" s="2195">
        <v>12148.26</v>
      </c>
      <c r="X322" s="2092"/>
      <c r="Y322" s="2092">
        <v>12460.65</v>
      </c>
      <c r="Z322" s="2196"/>
      <c r="AA322" s="2193">
        <v>12778.41</v>
      </c>
      <c r="AB322" s="2092"/>
      <c r="AC322" s="2092">
        <v>12778.41</v>
      </c>
      <c r="AD322" s="2255"/>
      <c r="AE322" s="3765">
        <v>12995.64</v>
      </c>
      <c r="AF322" s="2255"/>
      <c r="AG322" s="2143">
        <v>13216.57</v>
      </c>
      <c r="AH322" s="3883"/>
      <c r="AI322" s="2205"/>
      <c r="AJ322" s="3883"/>
      <c r="AK322" s="2212"/>
    </row>
    <row r="323" spans="1:37" s="1570" customFormat="1">
      <c r="A323" s="2063"/>
      <c r="B323" s="583" t="s">
        <v>8104</v>
      </c>
      <c r="C323" s="2174"/>
      <c r="D323" s="2090"/>
      <c r="E323" s="2089"/>
      <c r="F323" s="2090"/>
      <c r="G323" s="2089"/>
      <c r="H323" s="2088"/>
      <c r="I323" s="2089"/>
      <c r="J323" s="2090"/>
      <c r="K323" s="2089"/>
      <c r="L323" s="2090"/>
      <c r="M323" s="2089"/>
      <c r="N323" s="2090"/>
      <c r="O323" s="2089"/>
      <c r="P323" s="2090"/>
      <c r="Q323" s="2090"/>
      <c r="R323" s="2192"/>
      <c r="S323" s="2204"/>
      <c r="T323" s="2192"/>
      <c r="U323" s="2193"/>
      <c r="V323" s="2196"/>
      <c r="W323" s="2195"/>
      <c r="X323" s="2092"/>
      <c r="Y323" s="2092"/>
      <c r="Z323" s="2196"/>
      <c r="AA323" s="2193"/>
      <c r="AB323" s="2092"/>
      <c r="AC323" s="2092"/>
      <c r="AD323" s="2255"/>
      <c r="AE323" s="3765"/>
      <c r="AF323" s="2255"/>
      <c r="AG323" s="2143"/>
      <c r="AH323" s="3883"/>
      <c r="AI323" s="2205">
        <v>12.98</v>
      </c>
      <c r="AJ323" s="3883"/>
      <c r="AK323" s="2212"/>
    </row>
    <row r="324" spans="1:37" s="1570" customFormat="1">
      <c r="A324" s="2063"/>
      <c r="B324" s="583" t="s">
        <v>8128</v>
      </c>
      <c r="C324" s="2174"/>
      <c r="D324" s="2090"/>
      <c r="E324" s="2089"/>
      <c r="F324" s="2090"/>
      <c r="G324" s="2089"/>
      <c r="H324" s="2088"/>
      <c r="I324" s="2089"/>
      <c r="J324" s="2090"/>
      <c r="K324" s="2089"/>
      <c r="L324" s="2090"/>
      <c r="M324" s="2089"/>
      <c r="N324" s="2090"/>
      <c r="O324" s="2089"/>
      <c r="P324" s="2090"/>
      <c r="Q324" s="2090"/>
      <c r="R324" s="2192"/>
      <c r="S324" s="2204"/>
      <c r="T324" s="2192"/>
      <c r="U324" s="2193"/>
      <c r="V324" s="2196"/>
      <c r="W324" s="2195"/>
      <c r="X324" s="2092"/>
      <c r="Y324" s="2092"/>
      <c r="Z324" s="2196"/>
      <c r="AA324" s="2193"/>
      <c r="AB324" s="2092"/>
      <c r="AC324" s="2092"/>
      <c r="AD324" s="2255"/>
      <c r="AE324" s="3765"/>
      <c r="AF324" s="2255"/>
      <c r="AG324" s="2143"/>
      <c r="AH324" s="3883"/>
      <c r="AI324" s="2205">
        <v>824.34</v>
      </c>
      <c r="AJ324" s="3883"/>
      <c r="AK324" s="2212"/>
    </row>
    <row r="325" spans="1:37" s="1570" customFormat="1">
      <c r="A325" s="2063"/>
      <c r="B325" s="583" t="s">
        <v>8109</v>
      </c>
      <c r="C325" s="2174"/>
      <c r="D325" s="2090"/>
      <c r="E325" s="2089"/>
      <c r="F325" s="2090"/>
      <c r="G325" s="2089"/>
      <c r="H325" s="2088"/>
      <c r="I325" s="2089"/>
      <c r="J325" s="2090"/>
      <c r="K325" s="2089"/>
      <c r="L325" s="2090"/>
      <c r="M325" s="2089"/>
      <c r="N325" s="2090"/>
      <c r="O325" s="2089"/>
      <c r="P325" s="2090"/>
      <c r="Q325" s="2090"/>
      <c r="R325" s="2192"/>
      <c r="S325" s="2204"/>
      <c r="T325" s="2192"/>
      <c r="U325" s="2193"/>
      <c r="V325" s="2196"/>
      <c r="W325" s="2195"/>
      <c r="X325" s="2092"/>
      <c r="Y325" s="2092"/>
      <c r="Z325" s="2196"/>
      <c r="AA325" s="2193"/>
      <c r="AB325" s="2092"/>
      <c r="AC325" s="2092"/>
      <c r="AD325" s="2255"/>
      <c r="AE325" s="3765"/>
      <c r="AF325" s="2255"/>
      <c r="AG325" s="2143"/>
      <c r="AH325" s="3883"/>
      <c r="AI325" s="2205">
        <v>61.19</v>
      </c>
      <c r="AJ325" s="3883"/>
      <c r="AK325" s="2212"/>
    </row>
    <row r="326" spans="1:37" s="1570" customFormat="1">
      <c r="A326" s="2063"/>
      <c r="B326" s="583" t="s">
        <v>8127</v>
      </c>
      <c r="C326" s="2174"/>
      <c r="D326" s="2090"/>
      <c r="E326" s="2089"/>
      <c r="F326" s="2090"/>
      <c r="G326" s="2089"/>
      <c r="H326" s="2088"/>
      <c r="I326" s="2089"/>
      <c r="J326" s="2090"/>
      <c r="K326" s="2089"/>
      <c r="L326" s="2090"/>
      <c r="M326" s="2089"/>
      <c r="N326" s="2090"/>
      <c r="O326" s="2089"/>
      <c r="P326" s="2090"/>
      <c r="Q326" s="2090"/>
      <c r="R326" s="2192"/>
      <c r="S326" s="2204"/>
      <c r="T326" s="2192"/>
      <c r="U326" s="2193"/>
      <c r="V326" s="2196"/>
      <c r="W326" s="2195"/>
      <c r="X326" s="2092"/>
      <c r="Y326" s="2092"/>
      <c r="Z326" s="2196"/>
      <c r="AA326" s="2193"/>
      <c r="AB326" s="2092"/>
      <c r="AC326" s="2092"/>
      <c r="AD326" s="2255"/>
      <c r="AE326" s="3765"/>
      <c r="AF326" s="2255"/>
      <c r="AG326" s="2143"/>
      <c r="AH326" s="3883"/>
      <c r="AI326" s="2205">
        <v>651.29999999999995</v>
      </c>
      <c r="AJ326" s="3883"/>
      <c r="AK326" s="2212"/>
    </row>
    <row r="327" spans="1:37" s="1570" customFormat="1">
      <c r="A327" s="2063"/>
      <c r="B327" s="583" t="s">
        <v>3172</v>
      </c>
      <c r="C327" s="2174"/>
      <c r="D327" s="2090"/>
      <c r="E327" s="2089"/>
      <c r="F327" s="2090"/>
      <c r="G327" s="2089"/>
      <c r="H327" s="2088"/>
      <c r="I327" s="2089"/>
      <c r="J327" s="2090"/>
      <c r="K327" s="2089"/>
      <c r="L327" s="2090"/>
      <c r="M327" s="2089"/>
      <c r="N327" s="2090"/>
      <c r="O327" s="2089"/>
      <c r="P327" s="2090"/>
      <c r="Q327" s="2090"/>
      <c r="R327" s="2192"/>
      <c r="S327" s="2204"/>
      <c r="T327" s="2192"/>
      <c r="U327" s="2193"/>
      <c r="V327" s="2196"/>
      <c r="W327" s="2195">
        <v>11562.31</v>
      </c>
      <c r="X327" s="2092"/>
      <c r="Y327" s="2092">
        <v>12667.36</v>
      </c>
      <c r="Z327" s="2196"/>
      <c r="AA327" s="2193">
        <v>12672.42</v>
      </c>
      <c r="AB327" s="2092"/>
      <c r="AC327" s="2092">
        <v>12620.4</v>
      </c>
      <c r="AD327" s="2255"/>
      <c r="AE327" s="3765">
        <v>12778.41</v>
      </c>
      <c r="AF327" s="2255"/>
      <c r="AG327" s="2143">
        <v>12942.82</v>
      </c>
      <c r="AH327" s="3883"/>
      <c r="AI327" s="2205">
        <v>13053.15</v>
      </c>
      <c r="AJ327" s="3883"/>
      <c r="AK327" s="2212"/>
    </row>
    <row r="328" spans="1:37" s="1570" customFormat="1" ht="12.75" hidden="1">
      <c r="A328" s="2063"/>
      <c r="B328" s="583" t="s">
        <v>3173</v>
      </c>
      <c r="C328" s="2174"/>
      <c r="D328" s="2090"/>
      <c r="E328" s="2091">
        <v>4506.67</v>
      </c>
      <c r="F328" s="2090"/>
      <c r="G328" s="2089"/>
      <c r="H328" s="2088"/>
      <c r="I328" s="2089"/>
      <c r="J328" s="2090"/>
      <c r="K328" s="2091"/>
      <c r="L328" s="2090"/>
      <c r="M328" s="2091"/>
      <c r="N328" s="2090"/>
      <c r="O328" s="2091"/>
      <c r="P328" s="2090"/>
      <c r="Q328" s="2092"/>
      <c r="R328" s="2192"/>
      <c r="S328" s="2193"/>
      <c r="T328" s="2192"/>
      <c r="U328" s="2174"/>
      <c r="V328" s="2196"/>
      <c r="W328" s="2195"/>
      <c r="X328" s="2092"/>
      <c r="Y328" s="2092"/>
      <c r="Z328" s="2196"/>
      <c r="AA328" s="2193"/>
      <c r="AB328" s="2092"/>
      <c r="AC328" s="2092"/>
      <c r="AD328" s="2255"/>
      <c r="AE328" s="3743"/>
      <c r="AF328" s="2255"/>
      <c r="AG328" s="2161"/>
      <c r="AH328" s="3883"/>
      <c r="AI328" s="2205"/>
      <c r="AJ328" s="3883"/>
      <c r="AK328" s="2212"/>
    </row>
    <row r="329" spans="1:37" s="1570" customFormat="1" ht="12.75">
      <c r="A329" s="2063"/>
      <c r="B329" s="583" t="s">
        <v>3174</v>
      </c>
      <c r="C329" s="2174"/>
      <c r="D329" s="2090"/>
      <c r="E329" s="2091"/>
      <c r="F329" s="2090"/>
      <c r="G329" s="2089"/>
      <c r="H329" s="2088"/>
      <c r="I329" s="2089"/>
      <c r="J329" s="2090"/>
      <c r="K329" s="2091"/>
      <c r="L329" s="2090"/>
      <c r="M329" s="2091"/>
      <c r="N329" s="2090"/>
      <c r="O329" s="2091"/>
      <c r="P329" s="2090"/>
      <c r="Q329" s="2092"/>
      <c r="R329" s="2192"/>
      <c r="S329" s="2193"/>
      <c r="T329" s="2192"/>
      <c r="U329" s="2174"/>
      <c r="V329" s="2196"/>
      <c r="W329" s="2195"/>
      <c r="X329" s="2092"/>
      <c r="Y329" s="2092"/>
      <c r="Z329" s="2196"/>
      <c r="AA329" s="2193">
        <v>33911.67</v>
      </c>
      <c r="AB329" s="2092"/>
      <c r="AC329" s="2092">
        <v>34588.44</v>
      </c>
      <c r="AD329" s="2255"/>
      <c r="AE329" s="3743">
        <v>35097.47</v>
      </c>
      <c r="AF329" s="2255"/>
      <c r="AG329" s="2161">
        <v>35628.75</v>
      </c>
      <c r="AH329" s="3883"/>
      <c r="AI329" s="2205"/>
      <c r="AJ329" s="3883"/>
      <c r="AK329" s="2212"/>
    </row>
    <row r="330" spans="1:37" s="1570" customFormat="1" ht="12.75">
      <c r="A330" s="2063"/>
      <c r="B330" s="583" t="s">
        <v>3175</v>
      </c>
      <c r="C330" s="2174"/>
      <c r="D330" s="2090"/>
      <c r="E330" s="2091"/>
      <c r="F330" s="2090"/>
      <c r="G330" s="2089"/>
      <c r="H330" s="2088"/>
      <c r="I330" s="2089"/>
      <c r="J330" s="2090"/>
      <c r="K330" s="2091"/>
      <c r="L330" s="2090"/>
      <c r="M330" s="2091"/>
      <c r="N330" s="2090"/>
      <c r="O330" s="2091"/>
      <c r="P330" s="2090"/>
      <c r="Q330" s="2092"/>
      <c r="R330" s="2192"/>
      <c r="S330" s="2193"/>
      <c r="T330" s="2192"/>
      <c r="U330" s="2174"/>
      <c r="V330" s="2196"/>
      <c r="W330" s="2195"/>
      <c r="X330" s="2092"/>
      <c r="Y330" s="2092">
        <v>1768.05</v>
      </c>
      <c r="Z330" s="2196"/>
      <c r="AA330" s="2193">
        <v>36</v>
      </c>
      <c r="AB330" s="2092"/>
      <c r="AC330" s="2092"/>
      <c r="AD330" s="2255"/>
      <c r="AE330" s="3743"/>
      <c r="AF330" s="2255"/>
      <c r="AG330" s="2161">
        <f>752.34+760.57</f>
        <v>1512.91</v>
      </c>
      <c r="AH330" s="3883"/>
      <c r="AI330" s="2205"/>
      <c r="AJ330" s="3883"/>
      <c r="AK330" s="2212"/>
    </row>
    <row r="331" spans="1:37" s="1570" customFormat="1" ht="12.75">
      <c r="A331" s="2063"/>
      <c r="B331" s="583" t="s">
        <v>7563</v>
      </c>
      <c r="C331" s="2174"/>
      <c r="D331" s="2090"/>
      <c r="E331" s="2091"/>
      <c r="F331" s="2090"/>
      <c r="G331" s="2089"/>
      <c r="H331" s="2088"/>
      <c r="I331" s="2089"/>
      <c r="J331" s="2090"/>
      <c r="K331" s="2091"/>
      <c r="L331" s="2090"/>
      <c r="M331" s="2091"/>
      <c r="N331" s="2090"/>
      <c r="O331" s="2091"/>
      <c r="P331" s="2090"/>
      <c r="Q331" s="2092"/>
      <c r="R331" s="2192"/>
      <c r="S331" s="2193"/>
      <c r="T331" s="2192"/>
      <c r="U331" s="2174"/>
      <c r="V331" s="2196"/>
      <c r="W331" s="2195"/>
      <c r="X331" s="2092"/>
      <c r="Y331" s="2092"/>
      <c r="Z331" s="2196"/>
      <c r="AA331" s="2193"/>
      <c r="AB331" s="2092"/>
      <c r="AC331" s="2092"/>
      <c r="AD331" s="2255"/>
      <c r="AE331" s="3743"/>
      <c r="AF331" s="2255"/>
      <c r="AG331" s="2161"/>
      <c r="AH331" s="3883"/>
      <c r="AI331" s="2205">
        <v>60065.29</v>
      </c>
      <c r="AJ331" s="3883"/>
      <c r="AK331" s="2212"/>
    </row>
    <row r="332" spans="1:37" s="1570" customFormat="1" ht="12.75">
      <c r="A332" s="2063"/>
      <c r="B332" s="583" t="s">
        <v>7828</v>
      </c>
      <c r="C332" s="2174"/>
      <c r="D332" s="2090"/>
      <c r="E332" s="2091"/>
      <c r="F332" s="2090"/>
      <c r="G332" s="2089"/>
      <c r="H332" s="2088"/>
      <c r="I332" s="2089"/>
      <c r="J332" s="2090"/>
      <c r="K332" s="2091"/>
      <c r="L332" s="2090"/>
      <c r="M332" s="2091"/>
      <c r="N332" s="2090"/>
      <c r="O332" s="2091"/>
      <c r="P332" s="2090"/>
      <c r="Q332" s="2092"/>
      <c r="R332" s="2192"/>
      <c r="S332" s="2193"/>
      <c r="T332" s="2192"/>
      <c r="U332" s="2174"/>
      <c r="V332" s="2196"/>
      <c r="W332" s="2195"/>
      <c r="X332" s="2092"/>
      <c r="Y332" s="2092"/>
      <c r="Z332" s="2196"/>
      <c r="AA332" s="2193"/>
      <c r="AB332" s="2092"/>
      <c r="AC332" s="2092"/>
      <c r="AD332" s="2255"/>
      <c r="AE332" s="3743"/>
      <c r="AF332" s="2255"/>
      <c r="AG332" s="2161"/>
      <c r="AH332" s="3883"/>
      <c r="AI332" s="2205">
        <v>78639</v>
      </c>
      <c r="AJ332" s="3883"/>
      <c r="AK332" s="2212"/>
    </row>
    <row r="333" spans="1:37" s="1570" customFormat="1" ht="12.75">
      <c r="A333" s="2063"/>
      <c r="B333" s="583" t="s">
        <v>8110</v>
      </c>
      <c r="C333" s="2174"/>
      <c r="D333" s="2090"/>
      <c r="E333" s="2091"/>
      <c r="F333" s="2090"/>
      <c r="G333" s="2089"/>
      <c r="H333" s="2088"/>
      <c r="I333" s="2089"/>
      <c r="J333" s="2090"/>
      <c r="K333" s="2091"/>
      <c r="L333" s="2090"/>
      <c r="M333" s="2091"/>
      <c r="N333" s="2090"/>
      <c r="O333" s="2091"/>
      <c r="P333" s="2090"/>
      <c r="Q333" s="2092"/>
      <c r="R333" s="2192"/>
      <c r="S333" s="2193"/>
      <c r="T333" s="2192"/>
      <c r="U333" s="2174"/>
      <c r="V333" s="2196"/>
      <c r="W333" s="2195"/>
      <c r="X333" s="2092"/>
      <c r="Y333" s="2092"/>
      <c r="Z333" s="2196"/>
      <c r="AA333" s="2193"/>
      <c r="AB333" s="2092"/>
      <c r="AC333" s="2092"/>
      <c r="AD333" s="2255"/>
      <c r="AE333" s="3743"/>
      <c r="AF333" s="2255"/>
      <c r="AG333" s="2161"/>
      <c r="AH333" s="3883"/>
      <c r="AI333" s="2205">
        <v>72902.14</v>
      </c>
      <c r="AJ333" s="3883"/>
      <c r="AK333" s="2212"/>
    </row>
    <row r="334" spans="1:37" s="1570" customFormat="1" ht="12.75">
      <c r="A334" s="2063"/>
      <c r="B334" s="583" t="s">
        <v>8118</v>
      </c>
      <c r="C334" s="2174"/>
      <c r="D334" s="2090"/>
      <c r="E334" s="2091"/>
      <c r="F334" s="2090"/>
      <c r="G334" s="2089"/>
      <c r="H334" s="2088"/>
      <c r="I334" s="2089"/>
      <c r="J334" s="2090"/>
      <c r="K334" s="2091"/>
      <c r="L334" s="2090"/>
      <c r="M334" s="2091"/>
      <c r="N334" s="2090"/>
      <c r="O334" s="2091"/>
      <c r="P334" s="2090"/>
      <c r="Q334" s="2092"/>
      <c r="R334" s="2192"/>
      <c r="S334" s="2193"/>
      <c r="T334" s="2192"/>
      <c r="U334" s="2174"/>
      <c r="V334" s="2196"/>
      <c r="W334" s="2195"/>
      <c r="X334" s="2092"/>
      <c r="Y334" s="2092"/>
      <c r="Z334" s="2196"/>
      <c r="AA334" s="2193"/>
      <c r="AB334" s="2092"/>
      <c r="AC334" s="2092"/>
      <c r="AD334" s="2255"/>
      <c r="AE334" s="3743"/>
      <c r="AF334" s="2255"/>
      <c r="AG334" s="2161"/>
      <c r="AH334" s="3883"/>
      <c r="AI334" s="2205">
        <v>73739.539999999994</v>
      </c>
      <c r="AJ334" s="3883"/>
      <c r="AK334" s="2212"/>
    </row>
    <row r="335" spans="1:37" s="1570" customFormat="1" ht="12.75">
      <c r="A335" s="2063"/>
      <c r="B335" s="583" t="s">
        <v>8132</v>
      </c>
      <c r="C335" s="2174"/>
      <c r="D335" s="2090"/>
      <c r="E335" s="2091"/>
      <c r="F335" s="2090"/>
      <c r="G335" s="2089"/>
      <c r="H335" s="2088"/>
      <c r="I335" s="2089"/>
      <c r="J335" s="2090"/>
      <c r="K335" s="2091"/>
      <c r="L335" s="2090"/>
      <c r="M335" s="2091"/>
      <c r="N335" s="2090"/>
      <c r="O335" s="2091"/>
      <c r="P335" s="2090"/>
      <c r="Q335" s="2092"/>
      <c r="R335" s="2192"/>
      <c r="S335" s="2193"/>
      <c r="T335" s="2192"/>
      <c r="U335" s="2174"/>
      <c r="V335" s="2196"/>
      <c r="W335" s="2195"/>
      <c r="X335" s="2092"/>
      <c r="Y335" s="2092"/>
      <c r="Z335" s="2196"/>
      <c r="AA335" s="2193"/>
      <c r="AB335" s="2092"/>
      <c r="AC335" s="2092"/>
      <c r="AD335" s="2255"/>
      <c r="AE335" s="3743"/>
      <c r="AF335" s="2255"/>
      <c r="AG335" s="2161"/>
      <c r="AH335" s="3883"/>
      <c r="AI335" s="2205">
        <v>10640</v>
      </c>
      <c r="AJ335" s="3883"/>
      <c r="AK335" s="2212"/>
    </row>
    <row r="336" spans="1:37" s="1570" customFormat="1" ht="12.75">
      <c r="A336" s="2063"/>
      <c r="B336" s="583" t="s">
        <v>8147</v>
      </c>
      <c r="C336" s="2174"/>
      <c r="D336" s="2090"/>
      <c r="E336" s="2091"/>
      <c r="F336" s="2090"/>
      <c r="G336" s="2089"/>
      <c r="H336" s="2088"/>
      <c r="I336" s="2089"/>
      <c r="J336" s="2090"/>
      <c r="K336" s="2091"/>
      <c r="L336" s="2090"/>
      <c r="M336" s="2091"/>
      <c r="N336" s="2090"/>
      <c r="O336" s="2091"/>
      <c r="P336" s="2090"/>
      <c r="Q336" s="2092"/>
      <c r="R336" s="2192"/>
      <c r="S336" s="2193"/>
      <c r="T336" s="2192"/>
      <c r="U336" s="2174"/>
      <c r="V336" s="2196"/>
      <c r="W336" s="2195"/>
      <c r="X336" s="2092"/>
      <c r="Y336" s="2092"/>
      <c r="Z336" s="2196"/>
      <c r="AA336" s="2193"/>
      <c r="AB336" s="2092"/>
      <c r="AC336" s="2092"/>
      <c r="AD336" s="2255"/>
      <c r="AE336" s="3743"/>
      <c r="AF336" s="2255"/>
      <c r="AG336" s="2161"/>
      <c r="AH336" s="3883"/>
      <c r="AI336" s="2205">
        <v>35985.800000000003</v>
      </c>
      <c r="AJ336" s="3883"/>
      <c r="AK336" s="2212"/>
    </row>
    <row r="337" spans="1:37" s="1570" customFormat="1" ht="12.75">
      <c r="A337" s="2063"/>
      <c r="B337" s="583" t="s">
        <v>3176</v>
      </c>
      <c r="C337" s="2174"/>
      <c r="D337" s="2090"/>
      <c r="E337" s="2091">
        <f>7*631.56</f>
        <v>4420.92</v>
      </c>
      <c r="F337" s="2090"/>
      <c r="G337" s="2089"/>
      <c r="H337" s="2088"/>
      <c r="I337" s="2089"/>
      <c r="J337" s="2090"/>
      <c r="K337" s="2091"/>
      <c r="L337" s="2090"/>
      <c r="M337" s="2091"/>
      <c r="N337" s="2090"/>
      <c r="O337" s="2091"/>
      <c r="P337" s="2090"/>
      <c r="Q337" s="2092"/>
      <c r="R337" s="2192"/>
      <c r="S337" s="2193"/>
      <c r="T337" s="2192"/>
      <c r="U337" s="2174"/>
      <c r="V337" s="2196"/>
      <c r="W337" s="2195">
        <v>709.49</v>
      </c>
      <c r="X337" s="2092"/>
      <c r="Y337" s="2092"/>
      <c r="Z337" s="2196"/>
      <c r="AA337" s="2193">
        <v>1875.47</v>
      </c>
      <c r="AB337" s="2092"/>
      <c r="AC337" s="2092"/>
      <c r="AD337" s="2255"/>
      <c r="AE337" s="3743"/>
      <c r="AF337" s="2255"/>
      <c r="AG337" s="2161"/>
      <c r="AH337" s="3883"/>
      <c r="AI337" s="2205"/>
      <c r="AJ337" s="3883"/>
      <c r="AK337" s="2212"/>
    </row>
    <row r="338" spans="1:37" s="1570" customFormat="1" ht="12.75">
      <c r="A338" s="2063"/>
      <c r="B338" s="583" t="s">
        <v>3177</v>
      </c>
      <c r="C338" s="2174"/>
      <c r="D338" s="2090"/>
      <c r="E338" s="2091"/>
      <c r="F338" s="2090"/>
      <c r="G338" s="2089"/>
      <c r="H338" s="2088"/>
      <c r="I338" s="2089"/>
      <c r="J338" s="2090"/>
      <c r="K338" s="2091"/>
      <c r="L338" s="2090"/>
      <c r="M338" s="2091"/>
      <c r="N338" s="2090"/>
      <c r="O338" s="2091"/>
      <c r="P338" s="2090"/>
      <c r="Q338" s="2092"/>
      <c r="R338" s="2192"/>
      <c r="S338" s="2193"/>
      <c r="T338" s="2192"/>
      <c r="U338" s="2174"/>
      <c r="V338" s="2196"/>
      <c r="W338" s="2195"/>
      <c r="X338" s="2092"/>
      <c r="Y338" s="2092"/>
      <c r="Z338" s="2196"/>
      <c r="AA338" s="2193"/>
      <c r="AB338" s="2092"/>
      <c r="AC338" s="2092">
        <v>1867.08</v>
      </c>
      <c r="AD338" s="2255"/>
      <c r="AE338" s="3743">
        <v>1857.59</v>
      </c>
      <c r="AF338" s="2255"/>
      <c r="AG338" s="2161">
        <v>1885.51</v>
      </c>
      <c r="AH338" s="3883"/>
      <c r="AI338" s="2205">
        <v>1904.3</v>
      </c>
      <c r="AJ338" s="3883"/>
      <c r="AK338" s="2212"/>
    </row>
    <row r="339" spans="1:37" s="395" customFormat="1" ht="12.75">
      <c r="A339" s="2063"/>
      <c r="B339" s="583" t="s">
        <v>3178</v>
      </c>
      <c r="C339" s="2174"/>
      <c r="D339" s="2090"/>
      <c r="E339" s="2091"/>
      <c r="F339" s="2090"/>
      <c r="G339" s="2089"/>
      <c r="H339" s="2088"/>
      <c r="I339" s="2091">
        <v>7615.45</v>
      </c>
      <c r="J339" s="2090"/>
      <c r="K339" s="2091">
        <v>7425.25</v>
      </c>
      <c r="L339" s="2090"/>
      <c r="M339" s="2091">
        <v>7456.24</v>
      </c>
      <c r="N339" s="2090"/>
      <c r="O339" s="2091">
        <v>9202.34</v>
      </c>
      <c r="P339" s="2090"/>
      <c r="Q339" s="2092"/>
      <c r="R339" s="2192"/>
      <c r="S339" s="2193"/>
      <c r="T339" s="2192"/>
      <c r="U339" s="2193">
        <f>9059.69+875.48</f>
        <v>9935.17</v>
      </c>
      <c r="V339" s="2196"/>
      <c r="W339" s="2195">
        <v>7072.22</v>
      </c>
      <c r="X339" s="2092"/>
      <c r="Y339" s="2092">
        <v>7141.86</v>
      </c>
      <c r="Z339" s="2196"/>
      <c r="AA339" s="2193">
        <v>7248.68</v>
      </c>
      <c r="AB339" s="2092"/>
      <c r="AC339" s="2092">
        <v>7430.38</v>
      </c>
      <c r="AD339" s="2255"/>
      <c r="AE339" s="3743">
        <v>7542.04</v>
      </c>
      <c r="AF339" s="2255"/>
      <c r="AG339" s="2161">
        <v>7617.2</v>
      </c>
      <c r="AH339" s="2213"/>
      <c r="AI339" s="2205"/>
      <c r="AJ339" s="2213"/>
      <c r="AK339" s="2205"/>
    </row>
    <row r="340" spans="1:37" s="395" customFormat="1" ht="12.75">
      <c r="A340" s="2063"/>
      <c r="B340" s="583" t="s">
        <v>3179</v>
      </c>
      <c r="C340" s="2174"/>
      <c r="D340" s="2090"/>
      <c r="E340" s="2091"/>
      <c r="F340" s="2090"/>
      <c r="G340" s="2089"/>
      <c r="H340" s="2088"/>
      <c r="I340" s="2091"/>
      <c r="J340" s="2090"/>
      <c r="K340" s="2091"/>
      <c r="L340" s="2090"/>
      <c r="M340" s="2091"/>
      <c r="N340" s="2090"/>
      <c r="O340" s="2091"/>
      <c r="P340" s="2090"/>
      <c r="Q340" s="2092"/>
      <c r="R340" s="2192"/>
      <c r="S340" s="2193"/>
      <c r="T340" s="2192"/>
      <c r="U340" s="2193"/>
      <c r="V340" s="2196"/>
      <c r="W340" s="2195"/>
      <c r="X340" s="2092"/>
      <c r="Y340" s="2092"/>
      <c r="Z340" s="2196"/>
      <c r="AA340" s="2193"/>
      <c r="AB340" s="2092"/>
      <c r="AC340" s="2092">
        <f>1000+5739.15</f>
        <v>6739.15</v>
      </c>
      <c r="AD340" s="2255"/>
      <c r="AE340" s="3743">
        <f>2038.55-250+637.68+5812.46</f>
        <v>8238.69</v>
      </c>
      <c r="AF340" s="2255"/>
      <c r="AG340" s="2161">
        <f>5836.72+645.83</f>
        <v>6482.55</v>
      </c>
      <c r="AH340" s="2213"/>
      <c r="AI340" s="4446">
        <v>6105.6</v>
      </c>
      <c r="AJ340" s="2213"/>
      <c r="AK340" s="2205">
        <v>6567.73</v>
      </c>
    </row>
    <row r="341" spans="1:37" s="395" customFormat="1" ht="12.75">
      <c r="A341" s="2063"/>
      <c r="B341" s="583" t="s">
        <v>3180</v>
      </c>
      <c r="C341" s="2174"/>
      <c r="D341" s="2090"/>
      <c r="E341" s="2091"/>
      <c r="F341" s="2090"/>
      <c r="G341" s="2089"/>
      <c r="H341" s="2088"/>
      <c r="I341" s="2091"/>
      <c r="J341" s="2090"/>
      <c r="K341" s="2091"/>
      <c r="L341" s="2090"/>
      <c r="M341" s="2091"/>
      <c r="N341" s="2090"/>
      <c r="O341" s="2091"/>
      <c r="P341" s="2090"/>
      <c r="Q341" s="2092"/>
      <c r="R341" s="2192"/>
      <c r="S341" s="2193"/>
      <c r="T341" s="2192"/>
      <c r="U341" s="2193"/>
      <c r="V341" s="2196"/>
      <c r="W341" s="2195"/>
      <c r="X341" s="2092"/>
      <c r="Y341" s="2092"/>
      <c r="Z341" s="2196"/>
      <c r="AA341" s="2193"/>
      <c r="AB341" s="2092"/>
      <c r="AC341" s="2092"/>
      <c r="AD341" s="2255"/>
      <c r="AE341" s="3743">
        <f>377.64+377.64+377.64</f>
        <v>1132.92</v>
      </c>
      <c r="AF341" s="2255"/>
      <c r="AG341" s="2161">
        <f>282.2+374.56+377.19</f>
        <v>1033.95</v>
      </c>
      <c r="AH341" s="2213"/>
      <c r="AI341" s="2205">
        <v>387.4</v>
      </c>
      <c r="AJ341" s="2213"/>
      <c r="AK341" s="2205"/>
    </row>
    <row r="342" spans="1:37" s="395" customFormat="1" ht="12.75">
      <c r="A342" s="2063"/>
      <c r="B342" s="583" t="s">
        <v>3180</v>
      </c>
      <c r="C342" s="2174"/>
      <c r="D342" s="2090"/>
      <c r="E342" s="2091"/>
      <c r="F342" s="2090"/>
      <c r="G342" s="2089"/>
      <c r="H342" s="2088"/>
      <c r="I342" s="2091"/>
      <c r="J342" s="2090"/>
      <c r="K342" s="2091"/>
      <c r="L342" s="2090"/>
      <c r="M342" s="2091"/>
      <c r="N342" s="2090"/>
      <c r="O342" s="2091"/>
      <c r="P342" s="2090"/>
      <c r="Q342" s="2092"/>
      <c r="R342" s="2192"/>
      <c r="S342" s="2193"/>
      <c r="T342" s="2192"/>
      <c r="U342" s="2193"/>
      <c r="V342" s="2196"/>
      <c r="W342" s="2195"/>
      <c r="X342" s="2092"/>
      <c r="Y342" s="2092"/>
      <c r="Z342" s="2196"/>
      <c r="AA342" s="2193"/>
      <c r="AB342" s="2092"/>
      <c r="AC342" s="2092"/>
      <c r="AD342" s="2255"/>
      <c r="AE342" s="3743"/>
      <c r="AF342" s="2255"/>
      <c r="AG342" s="2161"/>
      <c r="AH342" s="2213"/>
      <c r="AI342" s="2205">
        <v>405.08</v>
      </c>
      <c r="AJ342" s="2213"/>
      <c r="AK342" s="2205"/>
    </row>
    <row r="343" spans="1:37" s="395" customFormat="1" ht="12.75">
      <c r="A343" s="2063"/>
      <c r="B343" s="583" t="s">
        <v>8117</v>
      </c>
      <c r="C343" s="2174"/>
      <c r="D343" s="2090"/>
      <c r="E343" s="2091"/>
      <c r="F343" s="2090"/>
      <c r="G343" s="2089"/>
      <c r="H343" s="2088"/>
      <c r="I343" s="2091"/>
      <c r="J343" s="2090"/>
      <c r="K343" s="2091"/>
      <c r="L343" s="2090"/>
      <c r="M343" s="2091"/>
      <c r="N343" s="2090"/>
      <c r="O343" s="2091"/>
      <c r="P343" s="2090"/>
      <c r="Q343" s="2092"/>
      <c r="R343" s="2192"/>
      <c r="S343" s="2193"/>
      <c r="T343" s="2192"/>
      <c r="U343" s="2193"/>
      <c r="V343" s="2196"/>
      <c r="W343" s="2195"/>
      <c r="X343" s="2092"/>
      <c r="Y343" s="2092"/>
      <c r="Z343" s="2196"/>
      <c r="AA343" s="2193"/>
      <c r="AB343" s="2092"/>
      <c r="AC343" s="2092"/>
      <c r="AD343" s="2255"/>
      <c r="AE343" s="3743"/>
      <c r="AF343" s="2255"/>
      <c r="AG343" s="2161"/>
      <c r="AH343" s="2213"/>
      <c r="AI343" s="2205">
        <v>411.97</v>
      </c>
      <c r="AJ343" s="2213"/>
      <c r="AK343" s="2205"/>
    </row>
    <row r="344" spans="1:37" s="395" customFormat="1" ht="12.75">
      <c r="A344" s="2063"/>
      <c r="B344" s="583" t="s">
        <v>3181</v>
      </c>
      <c r="C344" s="2174"/>
      <c r="D344" s="2090"/>
      <c r="E344" s="2091"/>
      <c r="F344" s="2090"/>
      <c r="G344" s="2089"/>
      <c r="H344" s="2088"/>
      <c r="I344" s="2091"/>
      <c r="J344" s="2090"/>
      <c r="K344" s="2091"/>
      <c r="L344" s="2090"/>
      <c r="M344" s="2091"/>
      <c r="N344" s="2090"/>
      <c r="O344" s="2091"/>
      <c r="P344" s="2090"/>
      <c r="Q344" s="2092"/>
      <c r="R344" s="2192"/>
      <c r="S344" s="2193"/>
      <c r="T344" s="2192"/>
      <c r="U344" s="2193"/>
      <c r="V344" s="2196"/>
      <c r="W344" s="2195"/>
      <c r="X344" s="2092"/>
      <c r="Y344" s="2092"/>
      <c r="Z344" s="2196"/>
      <c r="AA344" s="2193"/>
      <c r="AB344" s="2092"/>
      <c r="AC344" s="2092"/>
      <c r="AD344" s="2255"/>
      <c r="AE344" s="3743">
        <f>21310.8+9254+13585.6+13318.2+15254.4+8148</f>
        <v>80871</v>
      </c>
      <c r="AF344" s="2255"/>
      <c r="AG344" s="2161">
        <f>6720+6720</f>
        <v>13440</v>
      </c>
      <c r="AH344" s="2213"/>
      <c r="AI344" s="2205"/>
      <c r="AJ344" s="2213"/>
      <c r="AK344" s="2205"/>
    </row>
    <row r="345" spans="1:37" hidden="1">
      <c r="A345" s="2063"/>
      <c r="B345" s="583" t="s">
        <v>3148</v>
      </c>
      <c r="C345" s="2174"/>
      <c r="D345" s="2090"/>
      <c r="E345" s="2091">
        <v>5281.71</v>
      </c>
      <c r="F345" s="2090"/>
      <c r="G345" s="2089"/>
      <c r="H345" s="2088"/>
      <c r="I345" s="2096" t="s">
        <v>861</v>
      </c>
      <c r="J345" s="2090"/>
      <c r="K345" s="2091"/>
      <c r="L345" s="2090"/>
      <c r="M345" s="2091"/>
      <c r="N345" s="2090"/>
      <c r="O345" s="2091"/>
      <c r="P345" s="2090"/>
      <c r="Q345" s="2092"/>
      <c r="R345" s="2192"/>
      <c r="S345" s="2193"/>
      <c r="T345" s="2192"/>
      <c r="U345" s="2193"/>
      <c r="V345" s="2196"/>
      <c r="W345" s="2195"/>
      <c r="X345" s="2092"/>
      <c r="Y345" s="2092"/>
      <c r="Z345" s="2196"/>
      <c r="AA345" s="2193"/>
      <c r="AB345" s="2092"/>
      <c r="AC345" s="2092"/>
      <c r="AD345" s="2255"/>
      <c r="AE345" s="3743"/>
      <c r="AF345" s="2255"/>
      <c r="AG345" s="2161"/>
      <c r="AH345" s="3886"/>
      <c r="AI345" s="3763"/>
      <c r="AJ345" s="3886"/>
      <c r="AK345" s="2143"/>
    </row>
    <row r="346" spans="1:37" ht="12" hidden="1" customHeight="1">
      <c r="A346" s="2063"/>
      <c r="B346" s="583" t="s">
        <v>3182</v>
      </c>
      <c r="C346" s="2174"/>
      <c r="D346" s="2090"/>
      <c r="E346" s="2091">
        <v>709.84</v>
      </c>
      <c r="F346" s="2090"/>
      <c r="G346" s="2089"/>
      <c r="H346" s="2087"/>
      <c r="I346" s="2096">
        <f>170.58+193.26+210.75</f>
        <v>574.59</v>
      </c>
      <c r="J346" s="1591"/>
      <c r="K346" s="2091"/>
      <c r="L346" s="1591"/>
      <c r="M346" s="2091"/>
      <c r="N346" s="1591"/>
      <c r="O346" s="2091">
        <f>243.93+403.8</f>
        <v>647.73</v>
      </c>
      <c r="P346" s="1591"/>
      <c r="Q346" s="2092">
        <v>21.25</v>
      </c>
      <c r="R346" s="2063"/>
      <c r="S346" s="2193"/>
      <c r="T346" s="2063"/>
      <c r="U346" s="2193"/>
      <c r="V346" s="2196"/>
      <c r="W346" s="2195"/>
      <c r="X346" s="2092"/>
      <c r="Y346" s="2092"/>
      <c r="Z346" s="2196"/>
      <c r="AA346" s="2193"/>
      <c r="AB346" s="2092"/>
      <c r="AC346" s="2092"/>
      <c r="AD346" s="2255"/>
      <c r="AE346" s="3743"/>
      <c r="AF346" s="2255"/>
      <c r="AG346" s="2161"/>
      <c r="AH346" s="3886"/>
      <c r="AI346" s="3763"/>
      <c r="AJ346" s="3886"/>
      <c r="AK346" s="2143"/>
    </row>
    <row r="347" spans="1:37">
      <c r="A347" s="2063"/>
      <c r="B347" s="583" t="s">
        <v>7635</v>
      </c>
      <c r="C347" s="2174"/>
      <c r="D347" s="2090"/>
      <c r="E347" s="2091"/>
      <c r="F347" s="2090"/>
      <c r="G347" s="2089"/>
      <c r="H347" s="2087"/>
      <c r="I347" s="2096"/>
      <c r="J347" s="1591"/>
      <c r="K347" s="2091"/>
      <c r="L347" s="1591"/>
      <c r="M347" s="2091"/>
      <c r="N347" s="1591"/>
      <c r="O347" s="2091"/>
      <c r="P347" s="1591"/>
      <c r="Q347" s="2092"/>
      <c r="R347" s="2063"/>
      <c r="S347" s="2193"/>
      <c r="T347" s="2063"/>
      <c r="U347" s="2193"/>
      <c r="V347" s="2196"/>
      <c r="W347" s="2195"/>
      <c r="X347" s="2092"/>
      <c r="Y347" s="2092"/>
      <c r="Z347" s="2196"/>
      <c r="AA347" s="2193"/>
      <c r="AB347" s="2092"/>
      <c r="AC347" s="2092"/>
      <c r="AD347" s="2255"/>
      <c r="AE347" s="3743"/>
      <c r="AF347" s="2255"/>
      <c r="AG347" s="2161">
        <v>11260</v>
      </c>
      <c r="AH347" s="3886"/>
      <c r="AI347" s="3763"/>
      <c r="AJ347" s="3886"/>
      <c r="AK347" s="2143"/>
    </row>
    <row r="348" spans="1:37" hidden="1">
      <c r="A348" s="2063"/>
      <c r="B348" s="583" t="s">
        <v>3158</v>
      </c>
      <c r="C348" s="2174"/>
      <c r="D348" s="2090"/>
      <c r="E348" s="2091"/>
      <c r="F348" s="2090"/>
      <c r="G348" s="2089"/>
      <c r="H348" s="2087"/>
      <c r="I348" s="2096"/>
      <c r="J348" s="1591"/>
      <c r="K348" s="2091"/>
      <c r="L348" s="1591"/>
      <c r="M348" s="2091"/>
      <c r="N348" s="1591"/>
      <c r="O348" s="2091"/>
      <c r="P348" s="1591"/>
      <c r="Q348" s="2092"/>
      <c r="R348" s="2063"/>
      <c r="S348" s="2193">
        <v>37048.379999999997</v>
      </c>
      <c r="T348" s="2063"/>
      <c r="U348" s="2193">
        <v>2278.64</v>
      </c>
      <c r="V348" s="2196"/>
      <c r="W348" s="2195">
        <v>5001.28</v>
      </c>
      <c r="X348" s="2092"/>
      <c r="Y348" s="2092"/>
      <c r="Z348" s="2196"/>
      <c r="AA348" s="2193"/>
      <c r="AB348" s="2092"/>
      <c r="AC348" s="2092"/>
      <c r="AD348" s="2255"/>
      <c r="AE348" s="3743"/>
      <c r="AF348" s="2255"/>
      <c r="AG348" s="2161"/>
      <c r="AH348" s="3886"/>
      <c r="AI348" s="3763"/>
      <c r="AJ348" s="3886"/>
      <c r="AK348" s="2143"/>
    </row>
    <row r="349" spans="1:37">
      <c r="A349" s="2063"/>
      <c r="B349" s="583" t="s">
        <v>7541</v>
      </c>
      <c r="C349" s="2174"/>
      <c r="D349" s="2090"/>
      <c r="E349" s="2091"/>
      <c r="F349" s="2090"/>
      <c r="G349" s="2089"/>
      <c r="H349" s="2087"/>
      <c r="I349" s="2096"/>
      <c r="J349" s="1591"/>
      <c r="K349" s="2091"/>
      <c r="L349" s="1591"/>
      <c r="M349" s="2091"/>
      <c r="N349" s="1591"/>
      <c r="O349" s="2091"/>
      <c r="P349" s="1591"/>
      <c r="Q349" s="2092"/>
      <c r="R349" s="2063"/>
      <c r="S349" s="2193"/>
      <c r="T349" s="2063"/>
      <c r="U349" s="2193"/>
      <c r="V349" s="2196"/>
      <c r="W349" s="2195"/>
      <c r="X349" s="2092"/>
      <c r="Y349" s="2092"/>
      <c r="Z349" s="2196"/>
      <c r="AA349" s="2193"/>
      <c r="AB349" s="2092"/>
      <c r="AC349" s="2092"/>
      <c r="AD349" s="2255"/>
      <c r="AE349" s="3743"/>
      <c r="AF349" s="2255"/>
      <c r="AG349" s="2161">
        <v>385.11</v>
      </c>
      <c r="AH349" s="3886"/>
      <c r="AI349" s="3763">
        <v>376.74</v>
      </c>
      <c r="AJ349" s="3886"/>
      <c r="AK349" s="2143"/>
    </row>
    <row r="350" spans="1:37">
      <c r="A350" s="2063"/>
      <c r="B350" s="583" t="s">
        <v>3183</v>
      </c>
      <c r="C350" s="2174"/>
      <c r="D350" s="2090"/>
      <c r="E350" s="2091"/>
      <c r="F350" s="2090"/>
      <c r="G350" s="2089"/>
      <c r="H350" s="2087"/>
      <c r="I350" s="2096"/>
      <c r="J350" s="1591"/>
      <c r="K350" s="2091"/>
      <c r="L350" s="1591"/>
      <c r="M350" s="2091"/>
      <c r="N350" s="1591"/>
      <c r="O350" s="2091"/>
      <c r="P350" s="1591"/>
      <c r="Q350" s="2092"/>
      <c r="R350" s="2063"/>
      <c r="S350" s="2193"/>
      <c r="T350" s="2063"/>
      <c r="U350" s="2193"/>
      <c r="V350" s="2196"/>
      <c r="W350" s="2195"/>
      <c r="X350" s="2092"/>
      <c r="Y350" s="2092"/>
      <c r="Z350" s="2196"/>
      <c r="AA350" s="2193">
        <v>583.1</v>
      </c>
      <c r="AB350" s="2092"/>
      <c r="AC350" s="2092">
        <f>149.44+594.75</f>
        <v>744.19</v>
      </c>
      <c r="AD350" s="2255"/>
      <c r="AE350" s="3551">
        <v>373.53</v>
      </c>
      <c r="AF350" s="2255"/>
      <c r="AG350" s="2161">
        <v>378.67</v>
      </c>
      <c r="AH350" s="3886"/>
      <c r="AI350" s="3763"/>
      <c r="AJ350" s="3886"/>
      <c r="AK350" s="2143"/>
    </row>
    <row r="351" spans="1:37" ht="15.75" hidden="1" thickBot="1">
      <c r="A351" s="2148"/>
      <c r="B351" s="583" t="s">
        <v>3184</v>
      </c>
      <c r="C351" s="1998"/>
      <c r="D351" s="2092"/>
      <c r="E351" s="2091"/>
      <c r="F351" s="2092"/>
      <c r="G351" s="2091"/>
      <c r="H351" s="572"/>
      <c r="I351" s="2091">
        <v>31564.74</v>
      </c>
      <c r="J351" s="1591"/>
      <c r="K351" s="2091">
        <v>33201.300000000003</v>
      </c>
      <c r="L351" s="1591"/>
      <c r="M351" s="2091">
        <v>33590.339999999997</v>
      </c>
      <c r="N351" s="1591"/>
      <c r="O351" s="2091">
        <v>42776</v>
      </c>
      <c r="P351" s="1591"/>
      <c r="Q351" s="2092">
        <v>36936.129999999997</v>
      </c>
      <c r="R351" s="2063"/>
      <c r="S351" s="2193">
        <v>37373.07</v>
      </c>
      <c r="T351" s="2063"/>
      <c r="U351" s="2193"/>
      <c r="V351" s="2196"/>
      <c r="W351" s="2195"/>
      <c r="X351" s="2092"/>
      <c r="Y351" s="2092"/>
      <c r="Z351" s="2196"/>
      <c r="AA351" s="2193"/>
      <c r="AB351" s="2092"/>
      <c r="AC351" s="2092"/>
      <c r="AD351" s="2255"/>
      <c r="AE351" s="3551"/>
      <c r="AF351" s="2255"/>
      <c r="AG351" s="2161"/>
      <c r="AH351" s="3886"/>
      <c r="AI351" s="2143"/>
      <c r="AJ351" s="3886"/>
      <c r="AK351" s="2143"/>
    </row>
    <row r="352" spans="1:37">
      <c r="A352" s="2148"/>
      <c r="B352" s="583" t="s">
        <v>7566</v>
      </c>
      <c r="C352" s="1998"/>
      <c r="D352" s="2092"/>
      <c r="E352" s="2091"/>
      <c r="F352" s="2092"/>
      <c r="G352" s="2091"/>
      <c r="H352" s="572"/>
      <c r="I352" s="2091"/>
      <c r="J352" s="1591"/>
      <c r="K352" s="2091"/>
      <c r="L352" s="1591"/>
      <c r="M352" s="2091"/>
      <c r="N352" s="1591"/>
      <c r="O352" s="2091"/>
      <c r="P352" s="1591"/>
      <c r="Q352" s="2092"/>
      <c r="R352" s="2063"/>
      <c r="S352" s="2193"/>
      <c r="T352" s="2063"/>
      <c r="U352" s="2193"/>
      <c r="V352" s="2196"/>
      <c r="W352" s="2195"/>
      <c r="X352" s="2092"/>
      <c r="Y352" s="2092"/>
      <c r="Z352" s="2196"/>
      <c r="AA352" s="2193"/>
      <c r="AB352" s="2092"/>
      <c r="AC352" s="2092"/>
      <c r="AD352" s="2255"/>
      <c r="AE352" s="3551"/>
      <c r="AF352" s="2255"/>
      <c r="AG352" s="2161">
        <f>(375+1476)*2</f>
        <v>3702</v>
      </c>
      <c r="AH352" s="3886"/>
      <c r="AI352" s="2143"/>
      <c r="AJ352" s="3886"/>
      <c r="AK352" s="2143"/>
    </row>
    <row r="353" spans="1:37">
      <c r="A353" s="2148"/>
      <c r="B353" s="583" t="s">
        <v>7823</v>
      </c>
      <c r="C353" s="1998"/>
      <c r="D353" s="2092"/>
      <c r="E353" s="2091"/>
      <c r="F353" s="2092"/>
      <c r="G353" s="2091"/>
      <c r="H353" s="572"/>
      <c r="I353" s="2091"/>
      <c r="J353" s="1591"/>
      <c r="K353" s="2091"/>
      <c r="L353" s="1591"/>
      <c r="M353" s="2091"/>
      <c r="N353" s="1591"/>
      <c r="O353" s="2091"/>
      <c r="P353" s="1591"/>
      <c r="Q353" s="2092"/>
      <c r="R353" s="2063"/>
      <c r="S353" s="2193"/>
      <c r="T353" s="2063"/>
      <c r="U353" s="2193"/>
      <c r="V353" s="2196"/>
      <c r="W353" s="2195"/>
      <c r="X353" s="2092"/>
      <c r="Y353" s="2092"/>
      <c r="Z353" s="2196"/>
      <c r="AA353" s="2193"/>
      <c r="AB353" s="2092"/>
      <c r="AC353" s="2092"/>
      <c r="AD353" s="2255"/>
      <c r="AE353" s="3551"/>
      <c r="AF353" s="2255"/>
      <c r="AG353" s="2161">
        <v>8272.99</v>
      </c>
      <c r="AH353" s="3886"/>
      <c r="AI353" s="2143"/>
      <c r="AJ353" s="3886"/>
      <c r="AK353" s="2143"/>
    </row>
    <row r="354" spans="1:37" ht="15.75" thickBot="1">
      <c r="A354" s="2148"/>
      <c r="B354" s="583"/>
      <c r="C354" s="1998"/>
      <c r="D354" s="2092"/>
      <c r="E354" s="2091"/>
      <c r="F354" s="2092"/>
      <c r="G354" s="2091"/>
      <c r="H354" s="572"/>
      <c r="I354" s="2091"/>
      <c r="J354" s="1591"/>
      <c r="K354" s="2091"/>
      <c r="L354" s="1591"/>
      <c r="M354" s="2091"/>
      <c r="N354" s="1591"/>
      <c r="O354" s="2091"/>
      <c r="P354" s="1591"/>
      <c r="Q354" s="2092"/>
      <c r="R354" s="2063"/>
      <c r="S354" s="2193"/>
      <c r="T354" s="2063"/>
      <c r="U354" s="2193"/>
      <c r="V354" s="2196"/>
      <c r="W354" s="2195"/>
      <c r="X354" s="2092"/>
      <c r="Y354" s="2092"/>
      <c r="Z354" s="2196"/>
      <c r="AA354" s="2193"/>
      <c r="AB354" s="2092"/>
      <c r="AC354" s="2092"/>
      <c r="AD354" s="2255"/>
      <c r="AE354" s="3551"/>
      <c r="AF354" s="2255"/>
      <c r="AG354" s="2161"/>
      <c r="AH354" s="3886"/>
      <c r="AI354" s="2143"/>
      <c r="AJ354" s="3886"/>
      <c r="AK354" s="2143"/>
    </row>
    <row r="355" spans="1:37">
      <c r="A355" s="2148"/>
      <c r="B355" s="583"/>
      <c r="C355" s="2180" t="s">
        <v>2969</v>
      </c>
      <c r="D355" s="2108">
        <f>E314-D314</f>
        <v>7271.1399999999994</v>
      </c>
      <c r="E355" s="2091"/>
      <c r="F355" s="2119">
        <f>G314-F314</f>
        <v>-43648</v>
      </c>
      <c r="G355" s="2091"/>
      <c r="H355" s="2119">
        <f>I314-H314</f>
        <v>-3893.2200000000012</v>
      </c>
      <c r="I355" s="2091"/>
      <c r="J355" s="2119">
        <f>K314-J314</f>
        <v>-2149.4499999999971</v>
      </c>
      <c r="K355" s="2091"/>
      <c r="L355" s="2119">
        <f>M314-L314</f>
        <v>-1729.4200000000055</v>
      </c>
      <c r="M355" s="2091"/>
      <c r="N355" s="2119">
        <f>O314-N314</f>
        <v>9850.07</v>
      </c>
      <c r="O355" s="2091"/>
      <c r="P355" s="2119">
        <f>Q314-P314</f>
        <v>-5818.6200000000026</v>
      </c>
      <c r="Q355" s="2092"/>
      <c r="R355" s="2203">
        <f>S314-R314</f>
        <v>31645.449999999997</v>
      </c>
      <c r="S355" s="2193"/>
      <c r="T355" s="2203">
        <f>U314-T314</f>
        <v>-6265.6699999999983</v>
      </c>
      <c r="U355" s="2193"/>
      <c r="V355" s="2148"/>
      <c r="W355" s="2205"/>
      <c r="X355" s="397"/>
      <c r="Y355" s="2092"/>
      <c r="Z355" s="2148"/>
      <c r="AA355" s="2205"/>
      <c r="AB355" s="397"/>
      <c r="AC355" s="1486"/>
      <c r="AD355" s="2243"/>
      <c r="AE355" s="3537"/>
      <c r="AF355" s="2256"/>
      <c r="AG355" s="2169"/>
      <c r="AH355" s="3887"/>
      <c r="AI355" s="2169"/>
      <c r="AJ355" s="3887"/>
      <c r="AK355" s="2169"/>
    </row>
    <row r="356" spans="1:37" ht="31.5" hidden="1" customHeight="1">
      <c r="A356" s="2259" t="s">
        <v>3185</v>
      </c>
      <c r="B356" s="2060"/>
      <c r="C356" s="2260" t="s">
        <v>3186</v>
      </c>
      <c r="D356" s="2261">
        <v>18000</v>
      </c>
      <c r="E356" s="2262">
        <f>SUM(E357:E361)</f>
        <v>13312.029999999999</v>
      </c>
      <c r="F356" s="2261">
        <v>19904</v>
      </c>
      <c r="G356" s="2262">
        <f>SUM(G357:G361)</f>
        <v>0</v>
      </c>
      <c r="H356" s="2263">
        <v>19904</v>
      </c>
      <c r="I356" s="2262">
        <f>SUM(I357:I361)</f>
        <v>13175.3</v>
      </c>
      <c r="J356" s="2263">
        <v>19904</v>
      </c>
      <c r="K356" s="2262">
        <f>SUM(K357:K361)</f>
        <v>13439.63</v>
      </c>
      <c r="L356" s="2263">
        <v>19904</v>
      </c>
      <c r="M356" s="2262">
        <f>SUM(M357:M361)</f>
        <v>0</v>
      </c>
      <c r="N356" s="2263">
        <v>19904</v>
      </c>
      <c r="O356" s="2262">
        <f>SUM(O357:O361)</f>
        <v>0</v>
      </c>
      <c r="P356" s="2263">
        <v>19904</v>
      </c>
      <c r="Q356" s="2261">
        <f>SUM(Q357:Q361)</f>
        <v>0</v>
      </c>
      <c r="R356" s="2264">
        <v>19904</v>
      </c>
      <c r="S356" s="2265">
        <f>SUM(S357:S361)</f>
        <v>0</v>
      </c>
      <c r="T356" s="2264">
        <v>19904</v>
      </c>
      <c r="U356" s="2265">
        <f>SUM(U357:U361)</f>
        <v>0</v>
      </c>
      <c r="V356" s="2239"/>
      <c r="W356" s="2266"/>
      <c r="X356" s="1995"/>
      <c r="Y356" s="2267"/>
      <c r="Z356" s="2239"/>
      <c r="AA356" s="2266"/>
      <c r="AB356" s="1995"/>
      <c r="AC356" s="2267"/>
      <c r="AD356" s="2268"/>
      <c r="AE356" s="2269"/>
      <c r="AF356" s="2268"/>
      <c r="AG356" s="2269"/>
    </row>
    <row r="357" spans="1:37" s="1570" customFormat="1" ht="31.5" hidden="1" customHeight="1">
      <c r="A357" s="2063"/>
      <c r="B357" s="583" t="s">
        <v>3187</v>
      </c>
      <c r="C357" s="2174"/>
      <c r="D357" s="2090"/>
      <c r="E357" s="2091">
        <v>1299.23</v>
      </c>
      <c r="F357" s="2090"/>
      <c r="G357" s="2089"/>
      <c r="H357" s="2088"/>
      <c r="I357" s="2089"/>
      <c r="J357" s="2088"/>
      <c r="K357" s="2131"/>
      <c r="L357" s="2088"/>
      <c r="M357" s="2089"/>
      <c r="N357" s="2088"/>
      <c r="O357" s="2089"/>
      <c r="P357" s="2088"/>
      <c r="Q357" s="2090"/>
      <c r="R357" s="2192"/>
      <c r="S357" s="2204"/>
      <c r="T357" s="2192"/>
      <c r="U357" s="2204"/>
      <c r="V357" s="2063"/>
      <c r="W357" s="2212"/>
      <c r="X357" s="1591"/>
      <c r="Y357" s="2163"/>
      <c r="Z357" s="2063"/>
      <c r="AA357" s="2212"/>
      <c r="AB357" s="1591"/>
      <c r="AC357" s="2163"/>
      <c r="AD357" s="2241"/>
      <c r="AE357" s="2141"/>
      <c r="AF357" s="2241"/>
      <c r="AG357" s="2141"/>
      <c r="AH357" s="2132"/>
      <c r="AI357" s="2132"/>
      <c r="AJ357" s="2132"/>
      <c r="AK357" s="2132"/>
    </row>
    <row r="358" spans="1:37" s="1570" customFormat="1" ht="12" hidden="1" customHeight="1">
      <c r="A358" s="2063"/>
      <c r="B358" s="583" t="s">
        <v>3188</v>
      </c>
      <c r="C358" s="2174"/>
      <c r="D358" s="2090"/>
      <c r="E358" s="2091">
        <v>12012.8</v>
      </c>
      <c r="F358" s="2090"/>
      <c r="G358" s="2089"/>
      <c r="H358" s="2088"/>
      <c r="I358" s="2089"/>
      <c r="J358" s="2088"/>
      <c r="K358" s="2131"/>
      <c r="L358" s="2088"/>
      <c r="M358" s="2089"/>
      <c r="N358" s="2088"/>
      <c r="O358" s="2089"/>
      <c r="P358" s="2088"/>
      <c r="Q358" s="2090"/>
      <c r="R358" s="2192"/>
      <c r="S358" s="2204"/>
      <c r="T358" s="2192"/>
      <c r="U358" s="2204"/>
      <c r="V358" s="2063"/>
      <c r="W358" s="2212"/>
      <c r="X358" s="1591"/>
      <c r="Y358" s="2163"/>
      <c r="Z358" s="2063"/>
      <c r="AA358" s="2212"/>
      <c r="AB358" s="1591"/>
      <c r="AC358" s="2163"/>
      <c r="AD358" s="2241"/>
      <c r="AE358" s="2141"/>
      <c r="AF358" s="2241"/>
      <c r="AG358" s="2141"/>
      <c r="AH358" s="2132"/>
      <c r="AI358" s="2132"/>
      <c r="AJ358" s="2132"/>
      <c r="AK358" s="2132"/>
    </row>
    <row r="359" spans="1:37" s="1570" customFormat="1" ht="12" hidden="1" customHeight="1" thickBot="1">
      <c r="A359" s="2063"/>
      <c r="B359" s="583" t="s">
        <v>3189</v>
      </c>
      <c r="C359" s="2174"/>
      <c r="D359" s="2090"/>
      <c r="E359" s="2091"/>
      <c r="F359" s="2090"/>
      <c r="G359" s="2089"/>
      <c r="H359" s="2088"/>
      <c r="I359" s="2091">
        <v>13175.3</v>
      </c>
      <c r="J359" s="2087"/>
      <c r="K359" s="573"/>
      <c r="L359" s="2087"/>
      <c r="M359" s="2091"/>
      <c r="N359" s="2087"/>
      <c r="O359" s="2091"/>
      <c r="P359" s="2087"/>
      <c r="Q359" s="2092"/>
      <c r="R359" s="2063"/>
      <c r="S359" s="2193"/>
      <c r="T359" s="2063"/>
      <c r="U359" s="2193"/>
      <c r="V359" s="2063"/>
      <c r="W359" s="2212"/>
      <c r="X359" s="1591"/>
      <c r="Y359" s="2163"/>
      <c r="Z359" s="2063"/>
      <c r="AA359" s="2212"/>
      <c r="AB359" s="1591"/>
      <c r="AC359" s="2163"/>
      <c r="AD359" s="2241"/>
      <c r="AE359" s="2141"/>
      <c r="AF359" s="2241"/>
      <c r="AG359" s="2141"/>
      <c r="AH359" s="2132"/>
      <c r="AI359" s="2132"/>
      <c r="AJ359" s="2132"/>
      <c r="AK359" s="2132"/>
    </row>
    <row r="360" spans="1:37" ht="16.5" hidden="1" customHeight="1">
      <c r="A360" s="2063"/>
      <c r="B360" s="583" t="s">
        <v>3190</v>
      </c>
      <c r="C360" s="2174"/>
      <c r="D360" s="2090"/>
      <c r="E360" s="2091"/>
      <c r="F360" s="2090"/>
      <c r="G360" s="2089"/>
      <c r="H360" s="2088"/>
      <c r="I360" s="2096"/>
      <c r="J360" s="572"/>
      <c r="K360" s="573">
        <f>9216.21+4223.42</f>
        <v>13439.63</v>
      </c>
      <c r="L360" s="572"/>
      <c r="M360" s="2091"/>
      <c r="N360" s="572"/>
      <c r="O360" s="2091"/>
      <c r="P360" s="572"/>
      <c r="Q360" s="2092"/>
      <c r="R360" s="2148"/>
      <c r="S360" s="2193"/>
      <c r="T360" s="2148"/>
      <c r="U360" s="2193"/>
      <c r="V360" s="2148"/>
      <c r="W360" s="2205"/>
      <c r="X360" s="397"/>
      <c r="Y360" s="1486"/>
      <c r="Z360" s="2148"/>
      <c r="AA360" s="2205"/>
      <c r="AB360" s="397"/>
      <c r="AC360" s="1486"/>
      <c r="AD360" s="2243"/>
      <c r="AE360" s="2143"/>
      <c r="AF360" s="2243"/>
      <c r="AG360" s="2143"/>
    </row>
    <row r="361" spans="1:37" s="1570" customFormat="1" ht="15.75" hidden="1" customHeight="1">
      <c r="A361" s="2148"/>
      <c r="B361" s="583"/>
      <c r="C361" s="2180" t="s">
        <v>2969</v>
      </c>
      <c r="D361" s="2108">
        <f>E356-D356</f>
        <v>-4687.9700000000012</v>
      </c>
      <c r="E361" s="2091"/>
      <c r="F361" s="2119">
        <f>G356-F356</f>
        <v>-19904</v>
      </c>
      <c r="G361" s="2091"/>
      <c r="H361" s="2119">
        <f>I356-H356</f>
        <v>-6728.7000000000007</v>
      </c>
      <c r="I361" s="2091"/>
      <c r="J361" s="2119">
        <f>K356-J356</f>
        <v>-6464.3700000000008</v>
      </c>
      <c r="K361" s="2091"/>
      <c r="L361" s="2119">
        <f>M356-L356</f>
        <v>-19904</v>
      </c>
      <c r="M361" s="2091"/>
      <c r="N361" s="2119">
        <f>O356-N356</f>
        <v>-19904</v>
      </c>
      <c r="O361" s="2091"/>
      <c r="P361" s="2119">
        <f>Q356-P356</f>
        <v>-19904</v>
      </c>
      <c r="Q361" s="2092"/>
      <c r="R361" s="2203">
        <f>S356-R356</f>
        <v>-19904</v>
      </c>
      <c r="S361" s="2193"/>
      <c r="T361" s="2203">
        <f>U356-T356</f>
        <v>-19904</v>
      </c>
      <c r="U361" s="2193"/>
      <c r="V361" s="2063"/>
      <c r="W361" s="2212"/>
      <c r="X361" s="1591"/>
      <c r="Y361" s="2163"/>
      <c r="Z361" s="2063"/>
      <c r="AA361" s="2212"/>
      <c r="AB361" s="1591"/>
      <c r="AC361" s="2163"/>
      <c r="AD361" s="2241"/>
      <c r="AE361" s="2141"/>
      <c r="AF361" s="2241"/>
      <c r="AG361" s="2141"/>
      <c r="AH361" s="2132"/>
      <c r="AI361" s="2132"/>
      <c r="AJ361" s="2132"/>
      <c r="AK361" s="2132"/>
    </row>
    <row r="362" spans="1:37" s="1570" customFormat="1" ht="12.75">
      <c r="A362" s="2008" t="s">
        <v>3191</v>
      </c>
      <c r="B362" s="2081"/>
      <c r="C362" s="2022" t="s">
        <v>1972</v>
      </c>
      <c r="D362" s="2084">
        <v>50</v>
      </c>
      <c r="E362" s="2084">
        <f>SUM(E363:E365)</f>
        <v>85.32</v>
      </c>
      <c r="F362" s="2084">
        <v>50</v>
      </c>
      <c r="G362" s="2084">
        <f>SUM(G363:G365)</f>
        <v>0</v>
      </c>
      <c r="H362" s="2084">
        <v>50</v>
      </c>
      <c r="I362" s="2084">
        <f>SUM(I363:I365)</f>
        <v>85.74</v>
      </c>
      <c r="J362" s="2084">
        <v>50</v>
      </c>
      <c r="K362" s="2084">
        <f>SUM(K363:K365)</f>
        <v>86.58</v>
      </c>
      <c r="L362" s="2084">
        <v>50</v>
      </c>
      <c r="M362" s="2084">
        <f>SUM(M363:M365)</f>
        <v>90.36</v>
      </c>
      <c r="N362" s="2084">
        <v>50</v>
      </c>
      <c r="O362" s="2084">
        <f>SUM(O363:O365)</f>
        <v>383.4</v>
      </c>
      <c r="P362" s="2084">
        <v>50</v>
      </c>
      <c r="Q362" s="2084">
        <f>SUM(Q363:Q365)</f>
        <v>1106.8900000000001</v>
      </c>
      <c r="R362" s="2084">
        <v>50</v>
      </c>
      <c r="S362" s="2084">
        <f>SUM(S363:S365)</f>
        <v>1145.94</v>
      </c>
      <c r="T362" s="2084">
        <v>50</v>
      </c>
      <c r="U362" s="2084">
        <f>SUM(U363:U365)</f>
        <v>1156.32</v>
      </c>
      <c r="V362" s="2022"/>
      <c r="W362" s="2230"/>
      <c r="X362" s="2022"/>
      <c r="Y362" s="2230"/>
      <c r="Z362" s="2022"/>
      <c r="AA362" s="2230"/>
      <c r="AB362" s="2022"/>
      <c r="AC362" s="2230">
        <f>SUM(AC363:AC365)</f>
        <v>1179.3599999999999</v>
      </c>
      <c r="AD362" s="2085"/>
      <c r="AE362" s="2086">
        <f>SUM(AE363:AE365)</f>
        <v>1120.7</v>
      </c>
      <c r="AF362" s="2085"/>
      <c r="AG362" s="2086">
        <f>SUM(AG363:AG365)</f>
        <v>1154.3</v>
      </c>
      <c r="AH362" s="3550"/>
      <c r="AI362" s="2086">
        <f>SUM(AI363:AI365)</f>
        <v>1274</v>
      </c>
      <c r="AJ362" s="4445">
        <f t="shared" ref="AJ362" si="1">SUM(AJ363:AJ365)</f>
        <v>0</v>
      </c>
      <c r="AK362" s="2086">
        <f>SUM(AK363:AK365)</f>
        <v>0</v>
      </c>
    </row>
    <row r="363" spans="1:37" s="1570" customFormat="1" ht="12.75">
      <c r="A363" s="2063"/>
      <c r="B363" s="583" t="s">
        <v>3192</v>
      </c>
      <c r="C363" s="2174" t="s">
        <v>7327</v>
      </c>
      <c r="D363" s="2090"/>
      <c r="E363" s="2091">
        <v>85.32</v>
      </c>
      <c r="F363" s="2092"/>
      <c r="G363" s="2091"/>
      <c r="H363" s="2097"/>
      <c r="I363" s="2091">
        <v>85.74</v>
      </c>
      <c r="J363" s="2088"/>
      <c r="K363" s="2091">
        <v>86.58</v>
      </c>
      <c r="L363" s="2088"/>
      <c r="M363" s="2091">
        <v>90.36</v>
      </c>
      <c r="N363" s="2088"/>
      <c r="O363" s="2091">
        <v>383.4</v>
      </c>
      <c r="P363" s="2088"/>
      <c r="Q363" s="2092">
        <v>1106.8900000000001</v>
      </c>
      <c r="R363" s="2192"/>
      <c r="S363" s="2193">
        <v>1145.94</v>
      </c>
      <c r="T363" s="2192"/>
      <c r="U363" s="2193">
        <v>1156.32</v>
      </c>
      <c r="V363" s="2063"/>
      <c r="W363" s="2205">
        <v>1105.2</v>
      </c>
      <c r="X363" s="397"/>
      <c r="Y363" s="1486">
        <v>1139.04</v>
      </c>
      <c r="Z363" s="2148"/>
      <c r="AA363" s="2205">
        <v>1168.56</v>
      </c>
      <c r="AB363" s="397"/>
      <c r="AC363" s="1486">
        <v>1179.3599999999999</v>
      </c>
      <c r="AD363" s="2249"/>
      <c r="AE363" s="2142">
        <v>1120.7</v>
      </c>
      <c r="AF363" s="2249"/>
      <c r="AG363" s="2142">
        <v>1154.3</v>
      </c>
      <c r="AH363" s="3882"/>
      <c r="AI363" s="2266">
        <v>1274</v>
      </c>
      <c r="AJ363" s="3883"/>
      <c r="AK363" s="2212"/>
    </row>
    <row r="364" spans="1:37" s="1570" customFormat="1" ht="13.5" thickBot="1">
      <c r="A364" s="2063"/>
      <c r="B364" s="387"/>
      <c r="C364" s="2174" t="s">
        <v>7328</v>
      </c>
      <c r="D364" s="2090"/>
      <c r="E364" s="2089"/>
      <c r="F364" s="2090"/>
      <c r="G364" s="2089"/>
      <c r="H364" s="2088"/>
      <c r="I364" s="2089"/>
      <c r="J364" s="2088"/>
      <c r="K364" s="2091"/>
      <c r="L364" s="2088"/>
      <c r="M364" s="2091"/>
      <c r="N364" s="2088"/>
      <c r="O364" s="2091"/>
      <c r="P364" s="2088"/>
      <c r="Q364" s="2092"/>
      <c r="R364" s="2192"/>
      <c r="S364" s="2193"/>
      <c r="T364" s="2192"/>
      <c r="U364" s="2193"/>
      <c r="V364" s="2063"/>
      <c r="W364" s="2212"/>
      <c r="X364" s="1591"/>
      <c r="Y364" s="2163"/>
      <c r="Z364" s="2063"/>
      <c r="AA364" s="2212"/>
      <c r="AB364" s="1591"/>
      <c r="AC364" s="2163"/>
      <c r="AD364" s="2241"/>
      <c r="AE364" s="2141"/>
      <c r="AF364" s="2241"/>
      <c r="AG364" s="2141"/>
      <c r="AH364" s="3883"/>
      <c r="AI364" s="2212"/>
      <c r="AJ364" s="3883"/>
      <c r="AK364" s="2212"/>
    </row>
    <row r="365" spans="1:37">
      <c r="A365" s="2148"/>
      <c r="B365" s="583"/>
      <c r="C365" s="2180" t="s">
        <v>2969</v>
      </c>
      <c r="D365" s="2108">
        <f>E362-D362</f>
        <v>35.319999999999993</v>
      </c>
      <c r="E365" s="2091"/>
      <c r="F365" s="2119">
        <f>G362-F362</f>
        <v>-50</v>
      </c>
      <c r="G365" s="2091"/>
      <c r="H365" s="2119">
        <f>I362-H362</f>
        <v>35.739999999999995</v>
      </c>
      <c r="I365" s="2091"/>
      <c r="J365" s="2119">
        <f>K362-J362</f>
        <v>36.58</v>
      </c>
      <c r="K365" s="2091"/>
      <c r="L365" s="2119">
        <f>M362-L362</f>
        <v>40.36</v>
      </c>
      <c r="M365" s="2091"/>
      <c r="N365" s="2119">
        <f>O362-N362</f>
        <v>333.4</v>
      </c>
      <c r="O365" s="2091"/>
      <c r="P365" s="2119">
        <f>Q362-P362</f>
        <v>1056.8900000000001</v>
      </c>
      <c r="Q365" s="2092"/>
      <c r="R365" s="2203">
        <f>S362-R362</f>
        <v>1095.94</v>
      </c>
      <c r="S365" s="2193"/>
      <c r="T365" s="2203">
        <f>U362-T362</f>
        <v>1106.32</v>
      </c>
      <c r="U365" s="2193"/>
      <c r="V365" s="2148"/>
      <c r="W365" s="2205"/>
      <c r="X365" s="397"/>
      <c r="Y365" s="1486"/>
      <c r="Z365" s="2148"/>
      <c r="AA365" s="2205"/>
      <c r="AB365" s="397"/>
      <c r="AC365" s="1486"/>
      <c r="AD365" s="2243"/>
      <c r="AE365" s="3763" t="s">
        <v>235</v>
      </c>
      <c r="AF365" s="2243"/>
      <c r="AG365" s="2143"/>
      <c r="AH365" s="3887"/>
      <c r="AI365" s="2169"/>
      <c r="AJ365" s="3887"/>
      <c r="AK365" s="2169"/>
    </row>
    <row r="366" spans="1:37" s="1570" customFormat="1" ht="12.75">
      <c r="A366" s="2008" t="s">
        <v>3193</v>
      </c>
      <c r="B366" s="2081"/>
      <c r="C366" s="2175" t="s">
        <v>3194</v>
      </c>
      <c r="D366" s="2084">
        <v>93640</v>
      </c>
      <c r="E366" s="2083">
        <f>SUM(E367:E393)</f>
        <v>67787.790000000008</v>
      </c>
      <c r="F366" s="2084">
        <v>70000</v>
      </c>
      <c r="G366" s="2084">
        <f>SUM(G367:G393)</f>
        <v>0</v>
      </c>
      <c r="H366" s="2082">
        <v>70000</v>
      </c>
      <c r="I366" s="2083">
        <f>SUM(I367:I379)</f>
        <v>81739.140000000014</v>
      </c>
      <c r="J366" s="2082">
        <v>70000</v>
      </c>
      <c r="K366" s="2083">
        <f>SUM(K367:K393)</f>
        <v>850681.96</v>
      </c>
      <c r="L366" s="2082">
        <v>70000</v>
      </c>
      <c r="M366" s="2083">
        <f>SUM(M367:M393)</f>
        <v>77801.959999999992</v>
      </c>
      <c r="N366" s="2082">
        <v>70000</v>
      </c>
      <c r="O366" s="2083">
        <f>SUM(O367:O393)</f>
        <v>83828.609999999986</v>
      </c>
      <c r="P366" s="2082">
        <v>70000</v>
      </c>
      <c r="Q366" s="2084">
        <f>SUM(Q367:Q393)</f>
        <v>80074.37</v>
      </c>
      <c r="R366" s="2190">
        <v>70000</v>
      </c>
      <c r="S366" s="2191">
        <f>SUM(S367:S393)</f>
        <v>91409.5</v>
      </c>
      <c r="T366" s="2190">
        <v>70000</v>
      </c>
      <c r="U366" s="2191">
        <f>SUM(U367:U393)</f>
        <v>21252</v>
      </c>
      <c r="V366" s="2008"/>
      <c r="W366" s="2211">
        <f>SUM(W367:W393)</f>
        <v>26250.75</v>
      </c>
      <c r="X366" s="2022"/>
      <c r="Y366" s="2230">
        <f>SUM(Y367:Y393)</f>
        <v>23416.5</v>
      </c>
      <c r="Z366" s="2008"/>
      <c r="AA366" s="2211">
        <f>SUM(AA367:AA392)</f>
        <v>27392</v>
      </c>
      <c r="AB366" s="2022"/>
      <c r="AC366" s="2230">
        <f>SUM(AC367:AC392)</f>
        <v>60921</v>
      </c>
      <c r="AD366" s="2240"/>
      <c r="AE366" s="2086">
        <f>SUM(AE367:AE392)</f>
        <v>26234.17</v>
      </c>
      <c r="AF366" s="2240"/>
      <c r="AG366" s="2086">
        <f>AG375</f>
        <v>18894.75</v>
      </c>
      <c r="AH366" s="3881"/>
      <c r="AI366" s="3550">
        <f>SUM(AI367:AI392)</f>
        <v>18747.75</v>
      </c>
      <c r="AJ366" s="3881"/>
      <c r="AK366" s="2086">
        <f>SUM(AK367:AK392)</f>
        <v>0</v>
      </c>
    </row>
    <row r="367" spans="1:37" s="1570" customFormat="1" ht="12.75" hidden="1">
      <c r="A367" s="2164" t="s">
        <v>3195</v>
      </c>
      <c r="B367" s="583" t="s">
        <v>3196</v>
      </c>
      <c r="C367" s="2173"/>
      <c r="D367" s="2090"/>
      <c r="E367" s="2091">
        <v>432.5</v>
      </c>
      <c r="F367" s="2090"/>
      <c r="G367" s="2090"/>
      <c r="H367" s="2088"/>
      <c r="I367" s="2089"/>
      <c r="J367" s="2088"/>
      <c r="K367" s="2089"/>
      <c r="L367" s="2088"/>
      <c r="M367" s="2089"/>
      <c r="N367" s="2088"/>
      <c r="O367" s="2089"/>
      <c r="P367" s="2088"/>
      <c r="Q367" s="2090"/>
      <c r="R367" s="2192"/>
      <c r="S367" s="2204"/>
      <c r="T367" s="2192"/>
      <c r="U367" s="2204"/>
      <c r="V367" s="2063"/>
      <c r="W367" s="2212"/>
      <c r="X367" s="1591"/>
      <c r="Y367" s="2163"/>
      <c r="Z367" s="2063"/>
      <c r="AA367" s="2212"/>
      <c r="AB367" s="1591"/>
      <c r="AC367" s="2163"/>
      <c r="AD367" s="2241"/>
      <c r="AE367" s="2141"/>
      <c r="AF367" s="2241"/>
      <c r="AG367" s="2141"/>
      <c r="AH367" s="2132"/>
      <c r="AI367" s="2132"/>
      <c r="AJ367" s="3883"/>
      <c r="AK367" s="2212"/>
    </row>
    <row r="368" spans="1:37" s="1570" customFormat="1" ht="12.75" hidden="1">
      <c r="A368" s="2164" t="s">
        <v>3198</v>
      </c>
      <c r="B368" s="583" t="s">
        <v>3199</v>
      </c>
      <c r="C368" s="2173"/>
      <c r="D368" s="2090"/>
      <c r="E368" s="2091">
        <v>23436</v>
      </c>
      <c r="F368" s="2090"/>
      <c r="G368" s="2090"/>
      <c r="H368" s="2088"/>
      <c r="I368" s="2091">
        <v>37200</v>
      </c>
      <c r="J368" s="2088"/>
      <c r="K368" s="2091">
        <v>37200</v>
      </c>
      <c r="L368" s="2088"/>
      <c r="M368" s="2091"/>
      <c r="N368" s="2088"/>
      <c r="O368" s="2091"/>
      <c r="P368" s="2088"/>
      <c r="Q368" s="2092"/>
      <c r="R368" s="2192"/>
      <c r="S368" s="2193"/>
      <c r="T368" s="2192"/>
      <c r="U368" s="2193"/>
      <c r="V368" s="2063"/>
      <c r="W368" s="2212"/>
      <c r="X368" s="1591"/>
      <c r="Y368" s="2163"/>
      <c r="Z368" s="2063"/>
      <c r="AA368" s="2212"/>
      <c r="AB368" s="1591"/>
      <c r="AC368" s="2163"/>
      <c r="AD368" s="2241"/>
      <c r="AE368" s="2141"/>
      <c r="AF368" s="2241"/>
      <c r="AG368" s="2141"/>
      <c r="AH368" s="2132"/>
      <c r="AI368" s="2132"/>
      <c r="AJ368" s="3883"/>
      <c r="AK368" s="2212"/>
    </row>
    <row r="369" spans="1:37" s="1570" customFormat="1" ht="12.75" hidden="1">
      <c r="A369" s="2164" t="s">
        <v>3201</v>
      </c>
      <c r="B369" s="583" t="s">
        <v>3199</v>
      </c>
      <c r="C369" s="2174"/>
      <c r="D369" s="2090"/>
      <c r="E369" s="2091">
        <v>5336.55</v>
      </c>
      <c r="F369" s="2090"/>
      <c r="G369" s="2090"/>
      <c r="H369" s="2087"/>
      <c r="I369" s="2091">
        <v>5336.55</v>
      </c>
      <c r="J369" s="2088"/>
      <c r="K369" s="2091">
        <v>740900</v>
      </c>
      <c r="L369" s="2088"/>
      <c r="M369" s="2091"/>
      <c r="N369" s="2088"/>
      <c r="O369" s="2091"/>
      <c r="P369" s="2088"/>
      <c r="Q369" s="2092"/>
      <c r="R369" s="2192"/>
      <c r="S369" s="2193"/>
      <c r="T369" s="2192"/>
      <c r="U369" s="2193"/>
      <c r="V369" s="2063"/>
      <c r="W369" s="2212"/>
      <c r="X369" s="1591"/>
      <c r="Y369" s="2163"/>
      <c r="Z369" s="2063"/>
      <c r="AA369" s="2212"/>
      <c r="AB369" s="1591"/>
      <c r="AC369" s="2163"/>
      <c r="AD369" s="2241"/>
      <c r="AE369" s="2141"/>
      <c r="AF369" s="2241"/>
      <c r="AG369" s="2141"/>
      <c r="AH369" s="2132"/>
      <c r="AI369" s="2132"/>
      <c r="AJ369" s="3883"/>
      <c r="AK369" s="2212"/>
    </row>
    <row r="370" spans="1:37" s="1570" customFormat="1" ht="12.75" hidden="1">
      <c r="A370" s="2164" t="s">
        <v>3203</v>
      </c>
      <c r="B370" s="583" t="s">
        <v>3199</v>
      </c>
      <c r="C370" s="2174"/>
      <c r="D370" s="2090"/>
      <c r="E370" s="2091">
        <v>2371.8000000000002</v>
      </c>
      <c r="F370" s="2090"/>
      <c r="G370" s="2090"/>
      <c r="H370" s="2087"/>
      <c r="I370" s="2091">
        <v>2371.8000000000002</v>
      </c>
      <c r="J370" s="2088"/>
      <c r="K370" s="2091"/>
      <c r="L370" s="2088"/>
      <c r="M370" s="2091"/>
      <c r="N370" s="2088"/>
      <c r="O370" s="2091"/>
      <c r="P370" s="2088"/>
      <c r="Q370" s="2092"/>
      <c r="R370" s="2192"/>
      <c r="S370" s="2193"/>
      <c r="T370" s="2192"/>
      <c r="U370" s="2193"/>
      <c r="V370" s="2063"/>
      <c r="W370" s="2212"/>
      <c r="X370" s="1591"/>
      <c r="Y370" s="2163"/>
      <c r="Z370" s="2063"/>
      <c r="AA370" s="2212"/>
      <c r="AB370" s="1591"/>
      <c r="AC370" s="2163"/>
      <c r="AD370" s="2241"/>
      <c r="AE370" s="2141"/>
      <c r="AF370" s="2241"/>
      <c r="AG370" s="2141"/>
      <c r="AH370" s="2132"/>
      <c r="AI370" s="2132"/>
      <c r="AJ370" s="3883"/>
      <c r="AK370" s="2212"/>
    </row>
    <row r="371" spans="1:37" s="1570" customFormat="1" ht="12.75" hidden="1">
      <c r="A371" s="2164" t="s">
        <v>3205</v>
      </c>
      <c r="B371" s="583" t="s">
        <v>3199</v>
      </c>
      <c r="C371" s="2174"/>
      <c r="D371" s="2090"/>
      <c r="E371" s="2091">
        <v>2608.98</v>
      </c>
      <c r="F371" s="2090"/>
      <c r="G371" s="2090"/>
      <c r="H371" s="2087"/>
      <c r="I371" s="2091">
        <v>2608.98</v>
      </c>
      <c r="J371" s="2088"/>
      <c r="K371" s="2091"/>
      <c r="L371" s="2088"/>
      <c r="M371" s="2091"/>
      <c r="N371" s="2088"/>
      <c r="O371" s="2091"/>
      <c r="P371" s="2088"/>
      <c r="Q371" s="2092"/>
      <c r="R371" s="2192"/>
      <c r="S371" s="2193"/>
      <c r="T371" s="2192"/>
      <c r="U371" s="2193"/>
      <c r="V371" s="2063"/>
      <c r="W371" s="2212"/>
      <c r="X371" s="1591"/>
      <c r="Y371" s="2163"/>
      <c r="Z371" s="2063"/>
      <c r="AA371" s="2212"/>
      <c r="AB371" s="1591"/>
      <c r="AC371" s="2163"/>
      <c r="AD371" s="2241"/>
      <c r="AE371" s="2141"/>
      <c r="AF371" s="2241"/>
      <c r="AG371" s="2141"/>
      <c r="AH371" s="2132"/>
      <c r="AI371" s="2132"/>
      <c r="AJ371" s="3883"/>
      <c r="AK371" s="2212"/>
    </row>
    <row r="372" spans="1:37" s="1570" customFormat="1" ht="12.75" hidden="1">
      <c r="A372" s="2164" t="s">
        <v>3206</v>
      </c>
      <c r="B372" s="583" t="s">
        <v>3199</v>
      </c>
      <c r="C372" s="2174"/>
      <c r="D372" s="2090"/>
      <c r="E372" s="2091"/>
      <c r="F372" s="2090"/>
      <c r="G372" s="2090"/>
      <c r="H372" s="2087"/>
      <c r="I372" s="2091">
        <v>100</v>
      </c>
      <c r="J372" s="2088"/>
      <c r="K372" s="2091"/>
      <c r="L372" s="2088"/>
      <c r="M372" s="2091"/>
      <c r="N372" s="2088"/>
      <c r="O372" s="2091"/>
      <c r="P372" s="2088"/>
      <c r="Q372" s="2092"/>
      <c r="R372" s="2192"/>
      <c r="S372" s="2193"/>
      <c r="T372" s="2192"/>
      <c r="U372" s="2193"/>
      <c r="V372" s="2063"/>
      <c r="W372" s="2212"/>
      <c r="X372" s="1591"/>
      <c r="Y372" s="2163"/>
      <c r="Z372" s="2063"/>
      <c r="AA372" s="2212"/>
      <c r="AB372" s="1591"/>
      <c r="AC372" s="2163"/>
      <c r="AD372" s="2241"/>
      <c r="AE372" s="2141"/>
      <c r="AF372" s="2241"/>
      <c r="AG372" s="2141"/>
      <c r="AH372" s="2132"/>
      <c r="AI372" s="2132"/>
      <c r="AJ372" s="3883"/>
      <c r="AK372" s="2212"/>
    </row>
    <row r="373" spans="1:37" s="1570" customFormat="1" ht="12.75" hidden="1">
      <c r="A373" s="2164"/>
      <c r="B373" s="583" t="s">
        <v>3207</v>
      </c>
      <c r="C373" s="2174"/>
      <c r="D373" s="2090"/>
      <c r="E373" s="2091"/>
      <c r="F373" s="2090"/>
      <c r="G373" s="2090"/>
      <c r="H373" s="2087"/>
      <c r="I373" s="2091"/>
      <c r="J373" s="2088"/>
      <c r="K373" s="2091"/>
      <c r="L373" s="2088"/>
      <c r="M373" s="2091">
        <v>4000</v>
      </c>
      <c r="N373" s="2088"/>
      <c r="O373" s="2091"/>
      <c r="P373" s="2088"/>
      <c r="Q373" s="2092"/>
      <c r="R373" s="2192"/>
      <c r="S373" s="2193">
        <v>1519</v>
      </c>
      <c r="T373" s="2192"/>
      <c r="U373" s="2193"/>
      <c r="V373" s="2063"/>
      <c r="W373" s="2212"/>
      <c r="X373" s="1591"/>
      <c r="Y373" s="2163"/>
      <c r="Z373" s="2063"/>
      <c r="AA373" s="2212"/>
      <c r="AB373" s="1591"/>
      <c r="AC373" s="2163"/>
      <c r="AD373" s="2241"/>
      <c r="AE373" s="2141"/>
      <c r="AF373" s="2241"/>
      <c r="AG373" s="2141"/>
      <c r="AH373" s="2132"/>
      <c r="AI373" s="2132"/>
      <c r="AJ373" s="3883"/>
      <c r="AK373" s="2212"/>
    </row>
    <row r="374" spans="1:37" s="1570" customFormat="1" ht="12.75" hidden="1">
      <c r="A374" s="2164"/>
      <c r="B374" s="583" t="s">
        <v>3208</v>
      </c>
      <c r="C374" s="2174"/>
      <c r="D374" s="2090"/>
      <c r="E374" s="2092"/>
      <c r="F374" s="2090"/>
      <c r="G374" s="2090"/>
      <c r="H374" s="2087"/>
      <c r="I374" s="2091"/>
      <c r="J374" s="2088"/>
      <c r="K374" s="2091"/>
      <c r="L374" s="2088"/>
      <c r="M374" s="2091"/>
      <c r="N374" s="2088"/>
      <c r="O374" s="2091"/>
      <c r="P374" s="2088"/>
      <c r="Q374" s="2092">
        <v>2000</v>
      </c>
      <c r="R374" s="2192"/>
      <c r="S374" s="2193"/>
      <c r="T374" s="2192"/>
      <c r="U374" s="2193"/>
      <c r="V374" s="2063"/>
      <c r="W374" s="2212"/>
      <c r="X374" s="1591"/>
      <c r="Y374" s="2163"/>
      <c r="Z374" s="2063"/>
      <c r="AA374" s="2212"/>
      <c r="AB374" s="1591"/>
      <c r="AC374" s="2163"/>
      <c r="AD374" s="2241"/>
      <c r="AE374" s="2141"/>
      <c r="AF374" s="2241"/>
      <c r="AG374" s="2141"/>
      <c r="AH374" s="2132"/>
      <c r="AI374" s="2132"/>
      <c r="AJ374" s="3883"/>
      <c r="AK374" s="2212"/>
    </row>
    <row r="375" spans="1:37" s="1570" customFormat="1" ht="12.75">
      <c r="A375" s="2164" t="s">
        <v>3198</v>
      </c>
      <c r="B375" s="583"/>
      <c r="C375" s="2173" t="s">
        <v>3197</v>
      </c>
      <c r="D375" s="2090"/>
      <c r="E375" s="2092"/>
      <c r="F375" s="2090"/>
      <c r="G375" s="2090"/>
      <c r="H375" s="2087"/>
      <c r="I375" s="2091"/>
      <c r="J375" s="2088"/>
      <c r="K375" s="2091"/>
      <c r="L375" s="2088"/>
      <c r="M375" s="2091"/>
      <c r="N375" s="2088"/>
      <c r="O375" s="2091"/>
      <c r="P375" s="2088"/>
      <c r="Q375" s="2092"/>
      <c r="R375" s="2192"/>
      <c r="S375" s="2193">
        <v>37200</v>
      </c>
      <c r="T375" s="2192"/>
      <c r="U375" s="2193">
        <v>21252</v>
      </c>
      <c r="V375" s="2063"/>
      <c r="W375" s="2205">
        <v>18600.75</v>
      </c>
      <c r="X375" s="1591"/>
      <c r="Y375" s="1486">
        <v>17566.5</v>
      </c>
      <c r="Z375" s="2063"/>
      <c r="AA375" s="2205">
        <v>17892</v>
      </c>
      <c r="AB375" s="1591"/>
      <c r="AC375" s="1486">
        <v>18921</v>
      </c>
      <c r="AD375" s="2241"/>
      <c r="AE375" s="3764"/>
      <c r="AF375" s="2241"/>
      <c r="AG375" s="2142">
        <v>18894.75</v>
      </c>
      <c r="AH375" s="3882"/>
      <c r="AI375" s="2267">
        <v>18747.75</v>
      </c>
      <c r="AJ375" s="3883"/>
      <c r="AK375" s="2212"/>
    </row>
    <row r="376" spans="1:37" hidden="1">
      <c r="A376" s="2165"/>
      <c r="B376" s="583"/>
      <c r="C376" s="1998"/>
      <c r="D376" s="583"/>
      <c r="E376" s="583"/>
      <c r="F376" s="2092"/>
      <c r="G376" s="583"/>
      <c r="H376" s="572"/>
      <c r="I376" s="2091"/>
      <c r="J376" s="572"/>
      <c r="K376" s="399"/>
      <c r="L376" s="572"/>
      <c r="M376" s="2093"/>
      <c r="N376" s="572"/>
      <c r="O376" s="2093"/>
      <c r="P376" s="572"/>
      <c r="Q376" s="1486"/>
      <c r="R376" s="2148"/>
      <c r="S376" s="2205"/>
      <c r="T376" s="2148"/>
      <c r="U376" s="2205"/>
      <c r="V376" s="2148"/>
      <c r="W376" s="2205"/>
      <c r="X376" s="397"/>
      <c r="Y376" s="1486"/>
      <c r="Z376" s="2148"/>
      <c r="AA376" s="2205"/>
      <c r="AB376" s="397"/>
      <c r="AC376" s="1486"/>
      <c r="AD376" s="2243"/>
      <c r="AE376" s="2143"/>
      <c r="AF376" s="2243"/>
      <c r="AG376" s="2141"/>
      <c r="AH376" s="3886"/>
      <c r="AI376" s="3537"/>
      <c r="AJ376" s="3886"/>
      <c r="AK376" s="2143"/>
    </row>
    <row r="377" spans="1:37" s="1570" customFormat="1" ht="12.75" hidden="1">
      <c r="A377" s="2164"/>
      <c r="B377" s="583"/>
      <c r="C377" s="2174"/>
      <c r="D377" s="2090"/>
      <c r="E377" s="2091"/>
      <c r="F377" s="2090"/>
      <c r="G377" s="2090"/>
      <c r="H377" s="2087"/>
      <c r="I377" s="2091"/>
      <c r="J377" s="2088"/>
      <c r="K377" s="2091"/>
      <c r="L377" s="2088"/>
      <c r="M377" s="2091">
        <v>3000</v>
      </c>
      <c r="N377" s="2088"/>
      <c r="O377" s="2091">
        <v>3500</v>
      </c>
      <c r="P377" s="2088"/>
      <c r="Q377" s="2092"/>
      <c r="R377" s="2192"/>
      <c r="S377" s="2193">
        <v>4500</v>
      </c>
      <c r="T377" s="2192"/>
      <c r="U377" s="2193"/>
      <c r="V377" s="2063"/>
      <c r="W377" s="2212"/>
      <c r="X377" s="1591"/>
      <c r="Y377" s="2163"/>
      <c r="Z377" s="2063"/>
      <c r="AA377" s="2212"/>
      <c r="AB377" s="1591"/>
      <c r="AC377" s="2163"/>
      <c r="AD377" s="2241"/>
      <c r="AE377" s="2141"/>
      <c r="AF377" s="2241"/>
      <c r="AG377" s="2141"/>
      <c r="AH377" s="3883"/>
      <c r="AI377" s="2163"/>
      <c r="AJ377" s="3883"/>
      <c r="AK377" s="2212"/>
    </row>
    <row r="378" spans="1:37" s="1570" customFormat="1" ht="12.75" hidden="1">
      <c r="A378" s="2164"/>
      <c r="B378" s="583" t="s">
        <v>3209</v>
      </c>
      <c r="C378" s="2174"/>
      <c r="D378" s="2090"/>
      <c r="E378" s="2091">
        <v>33601.96</v>
      </c>
      <c r="F378" s="2090"/>
      <c r="G378" s="2090"/>
      <c r="H378" s="2087"/>
      <c r="I378" s="2091">
        <v>33601.96</v>
      </c>
      <c r="J378" s="2088"/>
      <c r="K378" s="2091">
        <v>33601.96</v>
      </c>
      <c r="L378" s="2088"/>
      <c r="M378" s="2091">
        <v>33601.96</v>
      </c>
      <c r="N378" s="2088"/>
      <c r="O378" s="2091">
        <v>33351.96</v>
      </c>
      <c r="P378" s="2088"/>
      <c r="Q378" s="2092">
        <v>33601.96</v>
      </c>
      <c r="R378" s="2192"/>
      <c r="S378" s="2193"/>
      <c r="T378" s="2192"/>
      <c r="U378" s="2193"/>
      <c r="V378" s="2063"/>
      <c r="W378" s="2212"/>
      <c r="X378" s="1591"/>
      <c r="Y378" s="2163"/>
      <c r="Z378" s="2063"/>
      <c r="AA378" s="2212"/>
      <c r="AB378" s="1591"/>
      <c r="AC378" s="2163"/>
      <c r="AD378" s="2241"/>
      <c r="AE378" s="2141"/>
      <c r="AF378" s="2241"/>
      <c r="AG378" s="2141"/>
      <c r="AH378" s="3883"/>
      <c r="AI378" s="2163"/>
      <c r="AJ378" s="3883"/>
      <c r="AK378" s="2212"/>
    </row>
    <row r="379" spans="1:37" s="1570" customFormat="1" ht="12.75" hidden="1">
      <c r="A379" s="2164"/>
      <c r="B379" s="583" t="s">
        <v>3210</v>
      </c>
      <c r="C379" s="2174"/>
      <c r="D379" s="2090"/>
      <c r="E379" s="2091"/>
      <c r="F379" s="2090"/>
      <c r="G379" s="2090"/>
      <c r="H379" s="2087"/>
      <c r="I379" s="2091">
        <v>519.85</v>
      </c>
      <c r="J379" s="2097"/>
      <c r="K379" s="2091"/>
      <c r="L379" s="2097"/>
      <c r="M379" s="2091"/>
      <c r="N379" s="2097"/>
      <c r="O379" s="2091"/>
      <c r="P379" s="2097"/>
      <c r="Q379" s="2092">
        <v>60.41</v>
      </c>
      <c r="R379" s="2196"/>
      <c r="S379" s="2193"/>
      <c r="T379" s="2196"/>
      <c r="U379" s="2193"/>
      <c r="V379" s="2063"/>
      <c r="W379" s="2212"/>
      <c r="X379" s="1591"/>
      <c r="Y379" s="2163"/>
      <c r="Z379" s="2063"/>
      <c r="AA379" s="2212"/>
      <c r="AB379" s="1591"/>
      <c r="AC379" s="2163"/>
      <c r="AD379" s="2241"/>
      <c r="AE379" s="2141"/>
      <c r="AF379" s="2241"/>
      <c r="AG379" s="2141"/>
      <c r="AH379" s="3883"/>
      <c r="AI379" s="2163"/>
      <c r="AJ379" s="3883"/>
      <c r="AK379" s="2212"/>
    </row>
    <row r="380" spans="1:37" s="1570" customFormat="1" ht="12.75" hidden="1">
      <c r="A380" s="2164"/>
      <c r="B380" s="583" t="s">
        <v>3211</v>
      </c>
      <c r="D380" s="2090"/>
      <c r="E380" s="2091"/>
      <c r="F380" s="2090"/>
      <c r="G380" s="2090"/>
      <c r="H380" s="2087"/>
      <c r="I380" s="2091"/>
      <c r="J380" s="2097"/>
      <c r="K380" s="2091">
        <v>37200</v>
      </c>
      <c r="L380" s="2097"/>
      <c r="M380" s="2091">
        <v>37200</v>
      </c>
      <c r="N380" s="2097"/>
      <c r="O380" s="2091">
        <v>37200</v>
      </c>
      <c r="P380" s="2097"/>
      <c r="Q380" s="2092">
        <v>37200</v>
      </c>
      <c r="R380" s="2196"/>
      <c r="S380" s="2193"/>
      <c r="T380" s="2196"/>
      <c r="U380" s="2193"/>
      <c r="V380" s="2063"/>
      <c r="W380" s="2205"/>
      <c r="X380" s="1591"/>
      <c r="Y380" s="1486"/>
      <c r="Z380" s="2063"/>
      <c r="AA380" s="2205"/>
      <c r="AB380" s="1591"/>
      <c r="AC380" s="1486"/>
      <c r="AD380" s="2241"/>
      <c r="AE380" s="2142"/>
      <c r="AF380" s="2241"/>
      <c r="AG380" s="2141"/>
      <c r="AH380" s="3883"/>
      <c r="AI380" s="2163"/>
      <c r="AJ380" s="3883"/>
      <c r="AK380" s="2212"/>
    </row>
    <row r="381" spans="1:37" s="1570" customFormat="1" ht="12.75">
      <c r="A381" s="2164"/>
      <c r="B381" s="583" t="s">
        <v>3212</v>
      </c>
      <c r="C381" s="2174" t="s">
        <v>7330</v>
      </c>
      <c r="D381" s="2090"/>
      <c r="E381" s="2091"/>
      <c r="F381" s="2090"/>
      <c r="G381" s="2090"/>
      <c r="H381" s="2087"/>
      <c r="I381" s="2091"/>
      <c r="J381" s="2097"/>
      <c r="K381" s="2091"/>
      <c r="L381" s="2097"/>
      <c r="M381" s="2091"/>
      <c r="N381" s="2097"/>
      <c r="O381" s="2091">
        <f>3150+4950</f>
        <v>8100</v>
      </c>
      <c r="P381" s="2097"/>
      <c r="Q381" s="2092">
        <f>1350+3600</f>
        <v>4950</v>
      </c>
      <c r="R381" s="2196"/>
      <c r="S381" s="2193">
        <f>2700</f>
        <v>2700</v>
      </c>
      <c r="T381" s="2196"/>
      <c r="U381" s="2193"/>
      <c r="V381" s="2063"/>
      <c r="W381" s="2205">
        <v>7650</v>
      </c>
      <c r="X381" s="1591"/>
      <c r="Y381" s="1486">
        <v>5850</v>
      </c>
      <c r="Z381" s="2063"/>
      <c r="AA381" s="2205">
        <v>4500</v>
      </c>
      <c r="AB381" s="1591"/>
      <c r="AC381" s="1486"/>
      <c r="AD381" s="2241"/>
      <c r="AE381" s="2142">
        <v>8100</v>
      </c>
      <c r="AF381" s="2241"/>
      <c r="AG381" s="2141"/>
      <c r="AH381" s="3883"/>
      <c r="AI381" s="2163"/>
      <c r="AJ381" s="3883"/>
      <c r="AK381" s="2212"/>
    </row>
    <row r="382" spans="1:37" s="1570" customFormat="1" ht="12.75" hidden="1">
      <c r="A382" s="2164"/>
      <c r="B382" s="583" t="s">
        <v>3213</v>
      </c>
      <c r="D382" s="2090"/>
      <c r="E382" s="2091"/>
      <c r="F382" s="2090"/>
      <c r="G382" s="2090"/>
      <c r="H382" s="2087"/>
      <c r="I382" s="2091"/>
      <c r="J382" s="2097"/>
      <c r="K382" s="2091"/>
      <c r="L382" s="2097"/>
      <c r="M382" s="2091"/>
      <c r="N382" s="2097"/>
      <c r="O382" s="2091"/>
      <c r="P382" s="2097"/>
      <c r="Q382" s="2092"/>
      <c r="R382" s="2196"/>
      <c r="S382" s="2193">
        <v>3790.5</v>
      </c>
      <c r="T382" s="2196"/>
      <c r="U382" s="2193"/>
      <c r="V382" s="2063"/>
      <c r="W382" s="2212"/>
      <c r="X382" s="1591"/>
      <c r="Y382" s="2163"/>
      <c r="Z382" s="2063"/>
      <c r="AA382" s="2212"/>
      <c r="AB382" s="1591"/>
      <c r="AC382" s="2163"/>
      <c r="AD382" s="2241"/>
      <c r="AE382" s="2141"/>
      <c r="AF382" s="2241"/>
      <c r="AG382" s="2141"/>
      <c r="AH382" s="3883"/>
      <c r="AI382" s="2163"/>
      <c r="AJ382" s="3883"/>
      <c r="AK382" s="2212"/>
    </row>
    <row r="383" spans="1:37" s="1570" customFormat="1" ht="12.75" hidden="1">
      <c r="A383" s="2164"/>
      <c r="B383" s="583" t="s">
        <v>3214</v>
      </c>
      <c r="C383" s="2174" t="s">
        <v>3204</v>
      </c>
      <c r="D383" s="2090"/>
      <c r="E383" s="2091"/>
      <c r="F383" s="2090"/>
      <c r="G383" s="2090"/>
      <c r="H383" s="2087"/>
      <c r="I383" s="2091"/>
      <c r="J383" s="2097"/>
      <c r="K383" s="2091">
        <v>1780</v>
      </c>
      <c r="L383" s="2097"/>
      <c r="M383" s="2091"/>
      <c r="N383" s="2097"/>
      <c r="O383" s="2091"/>
      <c r="P383" s="2097"/>
      <c r="Q383" s="2092"/>
      <c r="R383" s="2196"/>
      <c r="S383" s="2193"/>
      <c r="T383" s="2196"/>
      <c r="U383" s="2193"/>
      <c r="V383" s="2063"/>
      <c r="W383" s="2212"/>
      <c r="X383" s="1591"/>
      <c r="Y383" s="2163"/>
      <c r="Z383" s="2063"/>
      <c r="AA383" s="2212"/>
      <c r="AB383" s="1591"/>
      <c r="AC383" s="2163"/>
      <c r="AD383" s="2241"/>
      <c r="AE383" s="2141"/>
      <c r="AF383" s="2241"/>
      <c r="AG383" s="2141"/>
      <c r="AH383" s="3883"/>
      <c r="AI383" s="2163"/>
      <c r="AJ383" s="3883"/>
      <c r="AK383" s="2212"/>
    </row>
    <row r="384" spans="1:37" s="1570" customFormat="1" ht="12.75" hidden="1">
      <c r="A384" s="2164"/>
      <c r="B384" s="583" t="s">
        <v>3215</v>
      </c>
      <c r="C384" s="2173" t="s">
        <v>3197</v>
      </c>
      <c r="D384" s="2090"/>
      <c r="E384" s="2091"/>
      <c r="F384" s="2090"/>
      <c r="G384" s="2090"/>
      <c r="H384" s="2087"/>
      <c r="I384" s="2091"/>
      <c r="J384" s="2097"/>
      <c r="K384" s="2091"/>
      <c r="L384" s="2097"/>
      <c r="M384" s="2091"/>
      <c r="N384" s="2097"/>
      <c r="O384" s="2091"/>
      <c r="P384" s="2097"/>
      <c r="Q384" s="1591"/>
      <c r="R384" s="2196"/>
      <c r="S384" s="2174"/>
      <c r="T384" s="2196"/>
      <c r="U384" s="2193"/>
      <c r="V384" s="2063"/>
      <c r="W384" s="2212"/>
      <c r="X384" s="1591"/>
      <c r="Y384" s="2163"/>
      <c r="Z384" s="2063"/>
      <c r="AA384" s="2212"/>
      <c r="AB384" s="1591"/>
      <c r="AC384" s="2163"/>
      <c r="AD384" s="2241"/>
      <c r="AE384" s="2141"/>
      <c r="AF384" s="2241"/>
      <c r="AG384" s="2142">
        <v>18894.75</v>
      </c>
      <c r="AH384" s="3883"/>
      <c r="AI384" s="2163"/>
      <c r="AJ384" s="3883"/>
      <c r="AK384" s="2212"/>
    </row>
    <row r="385" spans="1:37" s="1570" customFormat="1" ht="12.75" hidden="1">
      <c r="A385" s="2164"/>
      <c r="B385" s="583" t="s">
        <v>3216</v>
      </c>
      <c r="C385" s="2173" t="s">
        <v>3200</v>
      </c>
      <c r="D385" s="2090"/>
      <c r="E385" s="2089"/>
      <c r="F385" s="2090"/>
      <c r="G385" s="2090"/>
      <c r="H385" s="2088"/>
      <c r="I385" s="2091"/>
      <c r="J385" s="2088"/>
      <c r="K385" s="2089"/>
      <c r="L385" s="2088"/>
      <c r="M385" s="2089"/>
      <c r="N385" s="2088"/>
      <c r="O385" s="2091">
        <f>125+125</f>
        <v>250</v>
      </c>
      <c r="P385" s="2088"/>
      <c r="Q385" s="2092">
        <f>1680</f>
        <v>1680</v>
      </c>
      <c r="R385" s="2192"/>
      <c r="S385" s="2193">
        <v>700</v>
      </c>
      <c r="T385" s="2192"/>
      <c r="U385" s="2193"/>
      <c r="V385" s="2063"/>
      <c r="W385" s="2212"/>
      <c r="X385" s="1591"/>
      <c r="Y385" s="2163"/>
      <c r="Z385" s="2063"/>
      <c r="AA385" s="2212"/>
      <c r="AB385" s="1591"/>
      <c r="AC385" s="2163"/>
      <c r="AD385" s="2241"/>
      <c r="AE385" s="2141"/>
      <c r="AF385" s="2241"/>
      <c r="AG385" s="2141"/>
      <c r="AH385" s="3883"/>
      <c r="AI385" s="2163"/>
      <c r="AJ385" s="3883"/>
      <c r="AK385" s="2212"/>
    </row>
    <row r="386" spans="1:37" s="1570" customFormat="1" ht="12.75" hidden="1">
      <c r="A386" s="2164"/>
      <c r="B386" s="583" t="s">
        <v>3217</v>
      </c>
      <c r="C386" s="2174" t="s">
        <v>3202</v>
      </c>
      <c r="D386" s="2090"/>
      <c r="E386" s="2091"/>
      <c r="F386" s="2090"/>
      <c r="G386" s="2090"/>
      <c r="H386" s="2087"/>
      <c r="I386" s="2091"/>
      <c r="J386" s="2097"/>
      <c r="K386" s="2091"/>
      <c r="L386" s="2097"/>
      <c r="M386" s="2091"/>
      <c r="N386" s="2097"/>
      <c r="O386" s="2091">
        <f>1426.65</f>
        <v>1426.65</v>
      </c>
      <c r="P386" s="2097"/>
      <c r="Q386" s="2092"/>
      <c r="R386" s="2196"/>
      <c r="S386" s="2193"/>
      <c r="T386" s="2196"/>
      <c r="U386" s="2193"/>
      <c r="V386" s="2063"/>
      <c r="W386" s="2212"/>
      <c r="X386" s="1591"/>
      <c r="Y386" s="2163"/>
      <c r="Z386" s="2063"/>
      <c r="AA386" s="2212"/>
      <c r="AB386" s="1591"/>
      <c r="AC386" s="2163"/>
      <c r="AD386" s="2241"/>
      <c r="AE386" s="2141"/>
      <c r="AF386" s="2241"/>
      <c r="AG386" s="2141"/>
      <c r="AH386" s="3883"/>
      <c r="AI386" s="2163"/>
      <c r="AJ386" s="3883"/>
      <c r="AK386" s="2212"/>
    </row>
    <row r="387" spans="1:37" s="1570" customFormat="1" ht="12.75" hidden="1">
      <c r="A387" s="2164"/>
      <c r="B387" s="583" t="s">
        <v>3218</v>
      </c>
      <c r="C387" s="2174"/>
      <c r="D387" s="2090"/>
      <c r="E387" s="2091"/>
      <c r="F387" s="2090"/>
      <c r="G387" s="2090"/>
      <c r="H387" s="2087"/>
      <c r="I387" s="2091"/>
      <c r="J387" s="2097"/>
      <c r="K387" s="2091"/>
      <c r="L387" s="2097"/>
      <c r="M387" s="2091"/>
      <c r="N387" s="2097"/>
      <c r="O387" s="2091"/>
      <c r="P387" s="2097"/>
      <c r="Q387" s="2092"/>
      <c r="R387" s="2196"/>
      <c r="S387" s="2193">
        <v>20500</v>
      </c>
      <c r="T387" s="2196"/>
      <c r="U387" s="2193"/>
      <c r="V387" s="2063"/>
      <c r="W387" s="2212"/>
      <c r="X387" s="1591"/>
      <c r="Y387" s="2163"/>
      <c r="Z387" s="2063"/>
      <c r="AA387" s="2212"/>
      <c r="AB387" s="1591"/>
      <c r="AC387" s="2163"/>
      <c r="AD387" s="2241"/>
      <c r="AE387" s="2141"/>
      <c r="AF387" s="2241"/>
      <c r="AG387" s="2141"/>
      <c r="AH387" s="3883"/>
      <c r="AI387" s="2163"/>
      <c r="AJ387" s="3883"/>
      <c r="AK387" s="2212"/>
    </row>
    <row r="388" spans="1:37" s="1570" customFormat="1" ht="12.75" hidden="1">
      <c r="A388" s="2164"/>
      <c r="B388" s="583" t="s">
        <v>3219</v>
      </c>
      <c r="C388" s="2174"/>
      <c r="D388" s="2090"/>
      <c r="E388" s="2091"/>
      <c r="F388" s="2090"/>
      <c r="G388" s="2090"/>
      <c r="H388" s="2087"/>
      <c r="I388" s="2091"/>
      <c r="J388" s="2097"/>
      <c r="K388" s="2091"/>
      <c r="L388" s="2097"/>
      <c r="M388" s="2091"/>
      <c r="N388" s="2097"/>
      <c r="O388" s="2091"/>
      <c r="P388" s="2097"/>
      <c r="Q388" s="2092"/>
      <c r="R388" s="2196"/>
      <c r="S388" s="2193">
        <v>20500</v>
      </c>
      <c r="T388" s="2196"/>
      <c r="U388" s="2193"/>
      <c r="V388" s="2063"/>
      <c r="W388" s="2212"/>
      <c r="X388" s="1591"/>
      <c r="Y388" s="2163"/>
      <c r="Z388" s="2063"/>
      <c r="AA388" s="2212"/>
      <c r="AB388" s="1591"/>
      <c r="AC388" s="2163"/>
      <c r="AD388" s="2241"/>
      <c r="AE388" s="2141"/>
      <c r="AF388" s="2241"/>
      <c r="AG388" s="2141"/>
      <c r="AH388" s="3883"/>
      <c r="AI388" s="2163"/>
      <c r="AJ388" s="3883"/>
      <c r="AK388" s="2212"/>
    </row>
    <row r="389" spans="1:37" s="1570" customFormat="1" ht="12.75">
      <c r="A389" s="2164"/>
      <c r="B389" s="583" t="s">
        <v>3220</v>
      </c>
      <c r="C389" s="2174"/>
      <c r="D389" s="2090"/>
      <c r="E389" s="2091"/>
      <c r="F389" s="2090"/>
      <c r="G389" s="2090"/>
      <c r="H389" s="2087"/>
      <c r="I389" s="2091"/>
      <c r="J389" s="2097"/>
      <c r="K389" s="2091"/>
      <c r="L389" s="2097"/>
      <c r="M389" s="2091"/>
      <c r="N389" s="2097"/>
      <c r="O389" s="2091"/>
      <c r="P389" s="2097"/>
      <c r="Q389" s="2092"/>
      <c r="R389" s="2196"/>
      <c r="S389" s="2193"/>
      <c r="T389" s="2196"/>
      <c r="U389" s="2193"/>
      <c r="V389" s="2063"/>
      <c r="W389" s="2212"/>
      <c r="X389" s="1591"/>
      <c r="Y389" s="2163"/>
      <c r="Z389" s="2063"/>
      <c r="AA389" s="2212"/>
      <c r="AB389" s="1591"/>
      <c r="AC389" s="1486">
        <v>42000</v>
      </c>
      <c r="AD389" s="2241"/>
      <c r="AE389" s="2142"/>
      <c r="AF389" s="2241"/>
      <c r="AG389" s="2142"/>
      <c r="AH389" s="3883"/>
      <c r="AI389" s="2163"/>
      <c r="AJ389" s="3883"/>
      <c r="AK389" s="2212"/>
    </row>
    <row r="390" spans="1:37" s="1570" customFormat="1" ht="12.75" hidden="1">
      <c r="A390" s="2164"/>
      <c r="B390" s="583"/>
      <c r="C390" s="2174"/>
      <c r="D390" s="2090"/>
      <c r="E390" s="2091"/>
      <c r="F390" s="2090"/>
      <c r="G390" s="2090"/>
      <c r="H390" s="2087"/>
      <c r="I390" s="2091"/>
      <c r="J390" s="2097"/>
      <c r="K390" s="2091"/>
      <c r="L390" s="2097"/>
      <c r="M390" s="2091"/>
      <c r="N390" s="2097"/>
      <c r="O390" s="2091"/>
      <c r="P390" s="2097"/>
      <c r="Q390" s="2092"/>
      <c r="R390" s="2196"/>
      <c r="S390" s="2193"/>
      <c r="T390" s="2196"/>
      <c r="U390" s="2193"/>
      <c r="V390" s="2063"/>
      <c r="W390" s="2212"/>
      <c r="X390" s="1591"/>
      <c r="Y390" s="2163"/>
      <c r="Z390" s="2063"/>
      <c r="AA390" s="2212"/>
      <c r="AB390" s="1591"/>
      <c r="AC390" s="1486"/>
      <c r="AD390" s="2241"/>
      <c r="AE390" s="2142"/>
      <c r="AF390" s="2241"/>
      <c r="AG390" s="2142"/>
      <c r="AH390" s="3883"/>
      <c r="AI390" s="2163"/>
      <c r="AJ390" s="3883"/>
      <c r="AK390" s="2212"/>
    </row>
    <row r="391" spans="1:37" s="1570" customFormat="1" ht="12.75">
      <c r="A391" s="2164"/>
      <c r="B391" s="583" t="s">
        <v>3221</v>
      </c>
      <c r="C391" s="2174"/>
      <c r="D391" s="2090"/>
      <c r="E391" s="2091"/>
      <c r="F391" s="2090"/>
      <c r="G391" s="2090"/>
      <c r="H391" s="2087"/>
      <c r="I391" s="2091"/>
      <c r="J391" s="2097"/>
      <c r="K391" s="2091"/>
      <c r="L391" s="2097"/>
      <c r="M391" s="2091"/>
      <c r="N391" s="2097"/>
      <c r="O391" s="2091"/>
      <c r="P391" s="2097"/>
      <c r="Q391" s="2092"/>
      <c r="R391" s="2196"/>
      <c r="S391" s="2193"/>
      <c r="T391" s="2196"/>
      <c r="U391" s="2193"/>
      <c r="V391" s="2063"/>
      <c r="W391" s="2212"/>
      <c r="X391" s="1591"/>
      <c r="Y391" s="2163"/>
      <c r="Z391" s="2063"/>
      <c r="AA391" s="2205">
        <f>2500+2500</f>
        <v>5000</v>
      </c>
      <c r="AB391" s="1591"/>
      <c r="AC391" s="1486"/>
      <c r="AD391" s="2241"/>
      <c r="AE391" s="2142"/>
      <c r="AF391" s="2241"/>
      <c r="AG391" s="2142"/>
      <c r="AH391" s="3883"/>
      <c r="AI391" s="2163"/>
      <c r="AJ391" s="3883"/>
      <c r="AK391" s="2212"/>
    </row>
    <row r="392" spans="1:37" s="1570" customFormat="1" ht="13.5" thickBot="1">
      <c r="A392" s="2164"/>
      <c r="B392" s="583" t="s">
        <v>7329</v>
      </c>
      <c r="C392" s="2174" t="s">
        <v>3202</v>
      </c>
      <c r="D392" s="2090"/>
      <c r="E392" s="2091"/>
      <c r="F392" s="2090"/>
      <c r="G392" s="2090"/>
      <c r="H392" s="2087"/>
      <c r="I392" s="2091"/>
      <c r="J392" s="2097"/>
      <c r="K392" s="2091"/>
      <c r="L392" s="2097"/>
      <c r="M392" s="2091"/>
      <c r="N392" s="2097"/>
      <c r="O392" s="2091"/>
      <c r="P392" s="2097"/>
      <c r="Q392" s="2092">
        <v>582</v>
      </c>
      <c r="R392" s="2196"/>
      <c r="S392" s="2193"/>
      <c r="T392" s="2196"/>
      <c r="U392" s="2193"/>
      <c r="V392" s="2063"/>
      <c r="W392" s="2212"/>
      <c r="X392" s="1591"/>
      <c r="Y392" s="2163"/>
      <c r="Z392" s="2063"/>
      <c r="AA392" s="2205"/>
      <c r="AB392" s="1591"/>
      <c r="AC392" s="2163"/>
      <c r="AD392" s="2241"/>
      <c r="AE392" s="2142">
        <v>18134.169999999998</v>
      </c>
      <c r="AF392" s="2241"/>
      <c r="AG392" s="2141"/>
      <c r="AH392" s="3883"/>
      <c r="AI392" s="2163"/>
      <c r="AJ392" s="3883"/>
      <c r="AK392" s="2212"/>
    </row>
    <row r="393" spans="1:37">
      <c r="A393" s="2148"/>
      <c r="B393" s="583"/>
      <c r="C393" s="2180" t="s">
        <v>2969</v>
      </c>
      <c r="D393" s="2108">
        <f>E366-D366</f>
        <v>-25852.209999999992</v>
      </c>
      <c r="E393" s="2091"/>
      <c r="F393" s="2119">
        <f>G366-F366</f>
        <v>-70000</v>
      </c>
      <c r="G393" s="2092"/>
      <c r="H393" s="2119">
        <f>I366-H366</f>
        <v>11739.140000000014</v>
      </c>
      <c r="I393" s="2091"/>
      <c r="J393" s="2119">
        <f>K366-J366</f>
        <v>780681.96</v>
      </c>
      <c r="K393" s="2091"/>
      <c r="L393" s="2119">
        <f>M366-L366</f>
        <v>7801.9599999999919</v>
      </c>
      <c r="M393" s="2091"/>
      <c r="N393" s="2119">
        <f>O366-N366</f>
        <v>13828.609999999986</v>
      </c>
      <c r="O393" s="2091"/>
      <c r="P393" s="2119">
        <f>Q366-P366</f>
        <v>10074.369999999995</v>
      </c>
      <c r="Q393" s="2092"/>
      <c r="R393" s="2203">
        <f>S366-R366</f>
        <v>21409.5</v>
      </c>
      <c r="S393" s="2193"/>
      <c r="T393" s="2203">
        <f>U366-T366</f>
        <v>-48748</v>
      </c>
      <c r="U393" s="2193"/>
      <c r="V393" s="2148"/>
      <c r="W393" s="2205"/>
      <c r="X393" s="397"/>
      <c r="Y393" s="1486"/>
      <c r="Z393" s="2148"/>
      <c r="AA393" s="2205"/>
      <c r="AB393" s="397"/>
      <c r="AC393" s="1486"/>
      <c r="AD393" s="2243"/>
      <c r="AE393" s="2143"/>
      <c r="AF393" s="2243"/>
      <c r="AG393" s="2143"/>
      <c r="AH393" s="3887"/>
      <c r="AI393" s="4444"/>
      <c r="AJ393" s="3887"/>
      <c r="AK393" s="2169"/>
    </row>
    <row r="394" spans="1:37" s="1570" customFormat="1" ht="12.75">
      <c r="A394" s="2008" t="s">
        <v>3222</v>
      </c>
      <c r="B394" s="2081"/>
      <c r="C394" s="2172" t="s">
        <v>3223</v>
      </c>
      <c r="D394" s="2084">
        <v>7500</v>
      </c>
      <c r="E394" s="2083">
        <f>SUM(E395:E401)</f>
        <v>6640.76</v>
      </c>
      <c r="F394" s="2084">
        <v>7500</v>
      </c>
      <c r="G394" s="2083">
        <f>SUM(G395:G401)</f>
        <v>0</v>
      </c>
      <c r="H394" s="2082">
        <v>7500</v>
      </c>
      <c r="I394" s="2083">
        <f>SUM(I395:I401)</f>
        <v>7826.03</v>
      </c>
      <c r="J394" s="2082">
        <v>7500</v>
      </c>
      <c r="K394" s="2083">
        <f>SUM(K395:K401)</f>
        <v>1167.17</v>
      </c>
      <c r="L394" s="2082">
        <v>7500</v>
      </c>
      <c r="M394" s="2083">
        <f>SUM(M395:M401)</f>
        <v>8877.2999999999993</v>
      </c>
      <c r="N394" s="2084">
        <v>7500</v>
      </c>
      <c r="O394" s="2083">
        <f>SUM(O395:O401)</f>
        <v>10071.040000000001</v>
      </c>
      <c r="P394" s="2084">
        <v>7500</v>
      </c>
      <c r="Q394" s="2084">
        <f>SUM(Q395:Q401)</f>
        <v>8388.5</v>
      </c>
      <c r="R394" s="2190">
        <v>7500</v>
      </c>
      <c r="S394" s="2191">
        <f>SUM(S395:S401)</f>
        <v>6483.12</v>
      </c>
      <c r="T394" s="2190">
        <v>7500</v>
      </c>
      <c r="U394" s="2191">
        <f>SUM(U395:U401)</f>
        <v>0</v>
      </c>
      <c r="V394" s="2008"/>
      <c r="W394" s="2211">
        <f>SUM(W395:W401)</f>
        <v>13394.76</v>
      </c>
      <c r="X394" s="2022"/>
      <c r="Y394" s="2230"/>
      <c r="Z394" s="2008"/>
      <c r="AA394" s="2211">
        <f>SUM(AA395:AA401)</f>
        <v>42790.94</v>
      </c>
      <c r="AB394" s="2022"/>
      <c r="AC394" s="2230">
        <f>SUM(AC395:AC401)</f>
        <v>9860.5</v>
      </c>
      <c r="AD394" s="2240"/>
      <c r="AE394" s="2086">
        <f>SUM(AE395:AE401)</f>
        <v>11931.21</v>
      </c>
      <c r="AF394" s="2240"/>
      <c r="AG394" s="2086">
        <f>SUM(AG395:AG401)</f>
        <v>0</v>
      </c>
      <c r="AH394" s="3881"/>
      <c r="AI394" s="2086">
        <f>SUM(AI395:AI401)</f>
        <v>0</v>
      </c>
      <c r="AJ394" s="3881"/>
      <c r="AK394" s="2086">
        <f>SUM(AK395:AK401)</f>
        <v>0</v>
      </c>
    </row>
    <row r="395" spans="1:37" s="1570" customFormat="1" ht="12.75">
      <c r="A395" s="2164" t="s">
        <v>3224</v>
      </c>
      <c r="B395" s="583" t="s">
        <v>3225</v>
      </c>
      <c r="C395" s="2174"/>
      <c r="D395" s="2090"/>
      <c r="E395" s="2091">
        <v>6640.76</v>
      </c>
      <c r="F395" s="2090"/>
      <c r="G395" s="2089"/>
      <c r="H395" s="2088"/>
      <c r="I395" s="2091">
        <v>7426.03</v>
      </c>
      <c r="J395" s="2097"/>
      <c r="K395" s="2133"/>
      <c r="L395" s="2097"/>
      <c r="M395" s="2133">
        <v>8877.2999999999993</v>
      </c>
      <c r="N395" s="2092"/>
      <c r="O395" s="2133">
        <v>10071.040000000001</v>
      </c>
      <c r="P395" s="2092"/>
      <c r="Q395" s="2186">
        <v>8388.5</v>
      </c>
      <c r="R395" s="2196"/>
      <c r="S395" s="2206">
        <v>6483.12</v>
      </c>
      <c r="T395" s="2196"/>
      <c r="U395" s="2206"/>
      <c r="V395" s="2063"/>
      <c r="W395" s="2205">
        <v>11976.01</v>
      </c>
      <c r="X395" s="1591"/>
      <c r="Y395" s="2163"/>
      <c r="Z395" s="2063"/>
      <c r="AA395" s="2205">
        <v>11579.7</v>
      </c>
      <c r="AB395" s="1591"/>
      <c r="AC395" s="2544">
        <v>9860.5</v>
      </c>
      <c r="AD395" s="2241"/>
      <c r="AE395" s="2142">
        <v>11931.21</v>
      </c>
      <c r="AF395" s="2241"/>
      <c r="AG395" s="3764"/>
      <c r="AH395" s="3882"/>
      <c r="AI395" s="2266">
        <v>0</v>
      </c>
      <c r="AJ395" s="2213"/>
      <c r="AK395" s="2205">
        <v>0</v>
      </c>
    </row>
    <row r="396" spans="1:37" s="1570" customFormat="1" ht="12.75">
      <c r="A396" s="2164" t="s">
        <v>3226</v>
      </c>
      <c r="B396" s="583" t="s">
        <v>3227</v>
      </c>
      <c r="C396" s="2174"/>
      <c r="D396" s="2090"/>
      <c r="E396" s="2091"/>
      <c r="F396" s="2090"/>
      <c r="G396" s="2089"/>
      <c r="H396" s="2088"/>
      <c r="I396" s="2091"/>
      <c r="J396" s="2097"/>
      <c r="K396" s="2133"/>
      <c r="L396" s="2097"/>
      <c r="M396" s="2133"/>
      <c r="N396" s="2092"/>
      <c r="O396" s="2133"/>
      <c r="P396" s="2092"/>
      <c r="Q396" s="2186"/>
      <c r="R396" s="2196"/>
      <c r="S396" s="2206"/>
      <c r="T396" s="2196"/>
      <c r="U396" s="2206"/>
      <c r="V396" s="2063"/>
      <c r="W396" s="2205"/>
      <c r="X396" s="1591"/>
      <c r="Y396" s="2163"/>
      <c r="Z396" s="2063"/>
      <c r="AA396" s="2205">
        <v>29252.79</v>
      </c>
      <c r="AB396" s="1591"/>
      <c r="AC396" s="3587"/>
      <c r="AD396" s="2241"/>
      <c r="AE396" s="2141"/>
      <c r="AF396" s="2241"/>
      <c r="AG396" s="2141"/>
      <c r="AH396" s="3883"/>
      <c r="AI396" s="2212"/>
      <c r="AJ396" s="3883"/>
      <c r="AK396" s="2212"/>
    </row>
    <row r="397" spans="1:37" s="1570" customFormat="1" ht="12.75">
      <c r="A397" s="2164"/>
      <c r="B397" s="583" t="s">
        <v>3228</v>
      </c>
      <c r="C397" s="2174"/>
      <c r="D397" s="2090"/>
      <c r="E397" s="2091"/>
      <c r="F397" s="2090"/>
      <c r="G397" s="2089"/>
      <c r="H397" s="2088"/>
      <c r="I397" s="2091"/>
      <c r="J397" s="2097"/>
      <c r="K397" s="2133"/>
      <c r="L397" s="2097"/>
      <c r="M397" s="2133"/>
      <c r="N397" s="2092"/>
      <c r="O397" s="2133"/>
      <c r="P397" s="2092"/>
      <c r="Q397" s="2186"/>
      <c r="R397" s="2196"/>
      <c r="S397" s="2206"/>
      <c r="T397" s="2196"/>
      <c r="U397" s="2206"/>
      <c r="V397" s="2063"/>
      <c r="W397" s="2205">
        <v>1418.75</v>
      </c>
      <c r="X397" s="1591"/>
      <c r="Y397" s="2163"/>
      <c r="Z397" s="2063"/>
      <c r="AA397" s="2212"/>
      <c r="AB397" s="1591"/>
      <c r="AC397" s="3587"/>
      <c r="AD397" s="2241"/>
      <c r="AE397" s="2141"/>
      <c r="AF397" s="2241"/>
      <c r="AG397" s="2141"/>
      <c r="AH397" s="3883"/>
      <c r="AI397" s="2212"/>
      <c r="AJ397" s="3883"/>
      <c r="AK397" s="2212"/>
    </row>
    <row r="398" spans="1:37" s="1570" customFormat="1" ht="12.75" hidden="1">
      <c r="A398" s="2063"/>
      <c r="B398" s="583" t="s">
        <v>3229</v>
      </c>
      <c r="C398" s="2174"/>
      <c r="D398" s="2090"/>
      <c r="E398" s="2091"/>
      <c r="F398" s="2090"/>
      <c r="G398" s="2089"/>
      <c r="H398" s="2088"/>
      <c r="I398" s="2091"/>
      <c r="J398" s="2097"/>
      <c r="K398" s="2091">
        <v>1167.17</v>
      </c>
      <c r="L398" s="2097"/>
      <c r="M398" s="2091" t="s">
        <v>177</v>
      </c>
      <c r="N398" s="2092"/>
      <c r="O398" s="2091" t="s">
        <v>177</v>
      </c>
      <c r="P398" s="2092"/>
      <c r="Q398" s="2092"/>
      <c r="R398" s="2196"/>
      <c r="S398" s="2193"/>
      <c r="T398" s="2196"/>
      <c r="U398" s="2193"/>
      <c r="V398" s="2063"/>
      <c r="W398" s="2212"/>
      <c r="X398" s="1591"/>
      <c r="Y398" s="2163"/>
      <c r="Z398" s="2063"/>
      <c r="AA398" s="2212"/>
      <c r="AB398" s="1591"/>
      <c r="AC398" s="3587"/>
      <c r="AD398" s="2241"/>
      <c r="AE398" s="2141"/>
      <c r="AF398" s="2241"/>
      <c r="AG398" s="2141"/>
      <c r="AH398" s="3883"/>
      <c r="AI398" s="2212"/>
      <c r="AJ398" s="3883"/>
      <c r="AK398" s="2212"/>
    </row>
    <row r="399" spans="1:37" s="1570" customFormat="1" ht="12.75" hidden="1">
      <c r="A399" s="2164" t="s">
        <v>3230</v>
      </c>
      <c r="B399" s="583" t="s">
        <v>3231</v>
      </c>
      <c r="C399" s="2174"/>
      <c r="D399" s="2090"/>
      <c r="E399" s="2089"/>
      <c r="F399" s="2090"/>
      <c r="G399" s="2089"/>
      <c r="H399" s="2088"/>
      <c r="I399" s="2091">
        <v>400</v>
      </c>
      <c r="J399" s="2088"/>
      <c r="K399" s="2089"/>
      <c r="L399" s="2088"/>
      <c r="M399" s="2089" t="s">
        <v>177</v>
      </c>
      <c r="N399" s="2090"/>
      <c r="O399" s="2089" t="s">
        <v>177</v>
      </c>
      <c r="P399" s="2090"/>
      <c r="Q399" s="2090"/>
      <c r="R399" s="2192"/>
      <c r="S399" s="2204"/>
      <c r="T399" s="2192"/>
      <c r="U399" s="2204"/>
      <c r="V399" s="2063"/>
      <c r="W399" s="2212"/>
      <c r="X399" s="1591"/>
      <c r="Y399" s="2163"/>
      <c r="Z399" s="2063"/>
      <c r="AA399" s="2212"/>
      <c r="AB399" s="1591"/>
      <c r="AC399" s="3587"/>
      <c r="AD399" s="2241"/>
      <c r="AE399" s="2141"/>
      <c r="AF399" s="2241"/>
      <c r="AG399" s="2141"/>
      <c r="AH399" s="3883"/>
      <c r="AI399" s="2212"/>
      <c r="AJ399" s="3883"/>
      <c r="AK399" s="2212"/>
    </row>
    <row r="400" spans="1:37" s="1570" customFormat="1" ht="13.5" thickBot="1">
      <c r="A400" s="2164" t="s">
        <v>3224</v>
      </c>
      <c r="B400" s="583" t="s">
        <v>3232</v>
      </c>
      <c r="C400" s="2174"/>
      <c r="D400" s="2090"/>
      <c r="E400" s="2089"/>
      <c r="F400" s="2090"/>
      <c r="G400" s="2089"/>
      <c r="H400" s="2088"/>
      <c r="I400" s="2091"/>
      <c r="J400" s="2088"/>
      <c r="K400" s="2089"/>
      <c r="L400" s="2088"/>
      <c r="M400" s="2089"/>
      <c r="N400" s="2090"/>
      <c r="O400" s="2089"/>
      <c r="P400" s="2090"/>
      <c r="Q400" s="2090"/>
      <c r="R400" s="2192"/>
      <c r="S400" s="2204"/>
      <c r="T400" s="2192"/>
      <c r="U400" s="2204"/>
      <c r="V400" s="2063"/>
      <c r="W400" s="2212"/>
      <c r="X400" s="1591"/>
      <c r="Y400" s="2163"/>
      <c r="Z400" s="2063"/>
      <c r="AA400" s="2205">
        <v>1958.45</v>
      </c>
      <c r="AB400" s="1591"/>
      <c r="AC400" s="3587"/>
      <c r="AD400" s="2241"/>
      <c r="AE400" s="2141"/>
      <c r="AF400" s="2241"/>
      <c r="AG400" s="2141"/>
      <c r="AH400" s="3883"/>
      <c r="AI400" s="2212"/>
      <c r="AJ400" s="3883"/>
      <c r="AK400" s="2212"/>
    </row>
    <row r="401" spans="1:37">
      <c r="A401" s="2166"/>
      <c r="B401" s="2044"/>
      <c r="C401" s="2183" t="s">
        <v>2969</v>
      </c>
      <c r="D401" s="2170">
        <f>E394-D394</f>
        <v>-859.23999999999978</v>
      </c>
      <c r="E401" s="2168"/>
      <c r="F401" s="2167">
        <f>G394-F394</f>
        <v>-7500</v>
      </c>
      <c r="G401" s="2168"/>
      <c r="H401" s="2167">
        <f>I394-H394</f>
        <v>326.02999999999975</v>
      </c>
      <c r="I401" s="2168"/>
      <c r="J401" s="2167">
        <f>K394-J394</f>
        <v>-6332.83</v>
      </c>
      <c r="K401" s="2168"/>
      <c r="L401" s="2167">
        <f>M394-L394</f>
        <v>1377.2999999999993</v>
      </c>
      <c r="M401" s="2168"/>
      <c r="N401" s="2167">
        <f>O394-N394</f>
        <v>2571.0400000000009</v>
      </c>
      <c r="O401" s="2168"/>
      <c r="P401" s="2167">
        <f>Q394-P394</f>
        <v>888.5</v>
      </c>
      <c r="Q401" s="2187"/>
      <c r="R401" s="2207">
        <f>S394-R394</f>
        <v>-1016.8800000000001</v>
      </c>
      <c r="S401" s="2208"/>
      <c r="T401" s="2207">
        <f>U394-T394</f>
        <v>-7500</v>
      </c>
      <c r="U401" s="2208"/>
      <c r="V401" s="2166"/>
      <c r="W401" s="2229"/>
      <c r="X401" s="2001"/>
      <c r="Y401" s="1519"/>
      <c r="Z401" s="2166"/>
      <c r="AA401" s="2229"/>
      <c r="AB401" s="2001"/>
      <c r="AC401" s="1519"/>
      <c r="AD401" s="2256"/>
      <c r="AE401" s="2169"/>
      <c r="AF401" s="2256"/>
      <c r="AG401" s="2169"/>
      <c r="AH401" s="3887"/>
      <c r="AI401" s="2169"/>
      <c r="AJ401" s="3887"/>
      <c r="AK401" s="2169"/>
    </row>
    <row r="402" spans="1:37" hidden="1">
      <c r="A402" s="2087" t="s">
        <v>3233</v>
      </c>
      <c r="B402" s="583"/>
      <c r="C402" s="2113" t="s">
        <v>3234</v>
      </c>
      <c r="D402" s="2090"/>
      <c r="E402" s="2091"/>
      <c r="F402" s="2090"/>
      <c r="G402" s="2091"/>
      <c r="H402" s="2088"/>
      <c r="I402" s="2092"/>
      <c r="J402" s="2088"/>
      <c r="K402" s="2092"/>
      <c r="L402" s="2088">
        <v>0</v>
      </c>
      <c r="M402" s="2089">
        <f>M403</f>
        <v>22000</v>
      </c>
      <c r="N402" s="2088">
        <v>0</v>
      </c>
      <c r="O402" s="2089">
        <f>O403</f>
        <v>2200</v>
      </c>
      <c r="P402" s="2088">
        <v>0</v>
      </c>
      <c r="Q402" s="2089">
        <f>Q403</f>
        <v>0</v>
      </c>
      <c r="R402" s="2088">
        <v>0</v>
      </c>
      <c r="S402" s="2089">
        <f>S403</f>
        <v>0</v>
      </c>
      <c r="T402" s="2088">
        <v>0</v>
      </c>
      <c r="U402" s="2089">
        <f>U403</f>
        <v>0</v>
      </c>
      <c r="V402" s="572"/>
      <c r="W402" s="2093"/>
      <c r="X402" s="572"/>
      <c r="Y402" s="2093"/>
    </row>
    <row r="403" spans="1:37" hidden="1">
      <c r="A403" s="572"/>
      <c r="B403" s="583" t="s">
        <v>3235</v>
      </c>
      <c r="C403" s="2113"/>
      <c r="D403" s="2090"/>
      <c r="E403" s="2091"/>
      <c r="F403" s="2090"/>
      <c r="G403" s="2091"/>
      <c r="H403" s="2088"/>
      <c r="I403" s="2092"/>
      <c r="J403" s="2088"/>
      <c r="K403" s="2092"/>
      <c r="L403" s="2088"/>
      <c r="M403" s="2091">
        <v>22000</v>
      </c>
      <c r="N403" s="2088"/>
      <c r="O403" s="2091">
        <v>2200</v>
      </c>
      <c r="P403" s="2088"/>
      <c r="Q403" s="2091"/>
      <c r="R403" s="2088"/>
      <c r="S403" s="2091"/>
      <c r="T403" s="2088"/>
      <c r="U403" s="2091"/>
      <c r="V403" s="572"/>
      <c r="W403" s="2093"/>
      <c r="X403" s="572"/>
      <c r="Y403" s="2093"/>
    </row>
    <row r="404" spans="1:37" hidden="1">
      <c r="A404" s="572"/>
      <c r="B404" s="583"/>
      <c r="C404" s="2113"/>
      <c r="D404" s="2090"/>
      <c r="E404" s="2091"/>
      <c r="F404" s="2090"/>
      <c r="G404" s="2091"/>
      <c r="H404" s="2088"/>
      <c r="I404" s="2092"/>
      <c r="J404" s="2088"/>
      <c r="K404" s="2092"/>
      <c r="L404" s="2088"/>
      <c r="M404" s="2091"/>
      <c r="N404" s="2088"/>
      <c r="O404" s="2091"/>
      <c r="P404" s="2088"/>
      <c r="Q404" s="2091"/>
      <c r="R404" s="2088"/>
      <c r="S404" s="2091"/>
      <c r="T404" s="2088"/>
      <c r="U404" s="2091"/>
      <c r="V404" s="572"/>
      <c r="W404" s="2093"/>
      <c r="X404" s="572"/>
      <c r="Y404" s="2093"/>
    </row>
    <row r="405" spans="1:37" ht="15.75" hidden="1" thickBot="1">
      <c r="A405" s="2102"/>
      <c r="B405" s="590"/>
      <c r="C405" s="2109" t="s">
        <v>2969</v>
      </c>
      <c r="D405" s="2090"/>
      <c r="E405" s="2091"/>
      <c r="F405" s="2090"/>
      <c r="G405" s="2091"/>
      <c r="H405" s="2116"/>
      <c r="I405" s="2104"/>
      <c r="J405" s="2116"/>
      <c r="K405" s="2104"/>
      <c r="L405" s="2110">
        <f>M402-L402</f>
        <v>22000</v>
      </c>
      <c r="M405" s="2103"/>
      <c r="N405" s="2110">
        <f>O402-N402</f>
        <v>2200</v>
      </c>
      <c r="O405" s="2103"/>
      <c r="P405" s="2110">
        <f>Q402-P402</f>
        <v>0</v>
      </c>
      <c r="Q405" s="2103"/>
      <c r="R405" s="2110">
        <f>S402-R402</f>
        <v>0</v>
      </c>
      <c r="S405" s="2103"/>
      <c r="T405" s="2110">
        <f>U402-T402</f>
        <v>0</v>
      </c>
      <c r="U405" s="2103"/>
      <c r="V405" s="2102"/>
      <c r="W405" s="2105"/>
      <c r="X405" s="2102"/>
      <c r="Y405" s="2105"/>
    </row>
    <row r="406" spans="1:37" s="1570" customFormat="1" ht="12.75" hidden="1">
      <c r="A406" s="2087" t="s">
        <v>3236</v>
      </c>
      <c r="B406" s="387"/>
      <c r="C406" s="2114" t="s">
        <v>3237</v>
      </c>
      <c r="D406" s="2088">
        <v>51957</v>
      </c>
      <c r="E406" s="2089">
        <f>SUM(E407:E411)</f>
        <v>51599.81</v>
      </c>
      <c r="F406" s="2090">
        <v>59124</v>
      </c>
      <c r="G406" s="2089">
        <f>SUM(G407:G410)</f>
        <v>0</v>
      </c>
      <c r="H406" s="2088">
        <v>59124</v>
      </c>
      <c r="I406" s="2089">
        <f>SUM(I407:I411)</f>
        <v>31422.81</v>
      </c>
      <c r="J406" s="2088">
        <v>70000</v>
      </c>
      <c r="K406" s="2089">
        <f>SUM(K407:K409)</f>
        <v>0</v>
      </c>
      <c r="L406" s="2088"/>
      <c r="M406" s="2089">
        <f>SUM(M407:M409)</f>
        <v>0</v>
      </c>
      <c r="N406" s="2088"/>
      <c r="O406" s="2089">
        <f>SUM(O407:O409)</f>
        <v>0</v>
      </c>
      <c r="P406" s="2088"/>
      <c r="Q406" s="2089">
        <f>SUM(Q407:Q409)</f>
        <v>0</v>
      </c>
      <c r="W406" s="2132"/>
      <c r="Y406" s="2132"/>
      <c r="AF406" s="2132"/>
      <c r="AH406" s="2132"/>
      <c r="AI406" s="2132"/>
      <c r="AJ406" s="2132"/>
      <c r="AK406" s="2132"/>
    </row>
    <row r="407" spans="1:37" hidden="1">
      <c r="A407" s="572" t="s">
        <v>3238</v>
      </c>
      <c r="B407" s="583" t="s">
        <v>602</v>
      </c>
      <c r="C407" s="399"/>
      <c r="D407" s="2097"/>
      <c r="E407" s="2091">
        <v>11437.91</v>
      </c>
      <c r="F407" s="2092"/>
      <c r="G407" s="2091"/>
      <c r="H407" s="2097"/>
      <c r="I407" s="2091">
        <v>12214.5</v>
      </c>
      <c r="J407" s="2088"/>
      <c r="K407" s="2089"/>
      <c r="L407" s="2088"/>
      <c r="M407" s="2089" t="s">
        <v>177</v>
      </c>
      <c r="N407" s="2088"/>
      <c r="O407" s="2089" t="s">
        <v>177</v>
      </c>
      <c r="P407" s="2088"/>
      <c r="Q407" s="2089" t="s">
        <v>177</v>
      </c>
      <c r="R407" s="395"/>
      <c r="S407" s="395"/>
      <c r="T407" s="395"/>
      <c r="U407" s="395"/>
      <c r="V407" s="395"/>
      <c r="W407" s="1549"/>
      <c r="X407" s="395"/>
      <c r="Y407" s="1549"/>
    </row>
    <row r="408" spans="1:37" hidden="1">
      <c r="A408" s="572"/>
      <c r="B408" s="583" t="s">
        <v>784</v>
      </c>
      <c r="C408" s="399"/>
      <c r="D408" s="2097"/>
      <c r="E408" s="2091">
        <v>14480.93</v>
      </c>
      <c r="F408" s="2092"/>
      <c r="G408" s="2091"/>
      <c r="H408" s="2097"/>
      <c r="I408" s="2091">
        <v>19208.310000000001</v>
      </c>
      <c r="J408" s="2088"/>
      <c r="K408" s="2089"/>
      <c r="L408" s="2088"/>
      <c r="M408" s="2089" t="s">
        <v>177</v>
      </c>
      <c r="N408" s="2088"/>
      <c r="O408" s="2089" t="s">
        <v>177</v>
      </c>
      <c r="P408" s="2088"/>
      <c r="Q408" s="2089" t="s">
        <v>177</v>
      </c>
      <c r="R408" s="395"/>
      <c r="S408" s="395"/>
      <c r="T408" s="395"/>
      <c r="U408" s="395"/>
      <c r="V408" s="395"/>
      <c r="W408" s="1549"/>
      <c r="X408" s="395"/>
      <c r="Y408" s="1549"/>
    </row>
    <row r="409" spans="1:37" hidden="1">
      <c r="A409" s="572"/>
      <c r="B409" s="583" t="s">
        <v>604</v>
      </c>
      <c r="C409" s="399"/>
      <c r="D409" s="2097"/>
      <c r="E409" s="2091">
        <v>11975.34</v>
      </c>
      <c r="F409" s="2092"/>
      <c r="G409" s="2091"/>
      <c r="H409" s="572"/>
      <c r="I409" s="2091"/>
      <c r="J409" s="2087"/>
      <c r="K409" s="2091"/>
      <c r="L409" s="2087"/>
      <c r="M409" s="2091" t="s">
        <v>177</v>
      </c>
      <c r="N409" s="2087"/>
      <c r="O409" s="2091" t="s">
        <v>177</v>
      </c>
      <c r="P409" s="2087"/>
      <c r="Q409" s="2091" t="s">
        <v>177</v>
      </c>
      <c r="R409" s="395"/>
      <c r="S409" s="395"/>
      <c r="T409" s="395"/>
      <c r="U409" s="395"/>
      <c r="V409" s="395"/>
      <c r="W409" s="1549"/>
      <c r="X409" s="395"/>
      <c r="Y409" s="1549"/>
    </row>
    <row r="410" spans="1:37" hidden="1">
      <c r="A410" s="572"/>
      <c r="B410" s="583" t="s">
        <v>3239</v>
      </c>
      <c r="C410" s="399"/>
      <c r="D410" s="2097"/>
      <c r="E410" s="2091">
        <v>13705.63</v>
      </c>
      <c r="F410" s="2092"/>
      <c r="G410" s="2091"/>
      <c r="H410" s="572"/>
      <c r="I410" s="2091"/>
      <c r="J410" s="2087"/>
      <c r="K410" s="2091"/>
      <c r="L410" s="2087"/>
      <c r="M410" s="2091" t="s">
        <v>177</v>
      </c>
      <c r="N410" s="2087"/>
      <c r="O410" s="2091" t="s">
        <v>177</v>
      </c>
      <c r="P410" s="2087"/>
      <c r="Q410" s="2091" t="s">
        <v>177</v>
      </c>
      <c r="R410" s="395"/>
      <c r="S410" s="395"/>
      <c r="T410" s="395"/>
      <c r="U410" s="395"/>
      <c r="V410" s="395"/>
      <c r="W410" s="1549"/>
      <c r="X410" s="395"/>
      <c r="Y410" s="1549"/>
    </row>
    <row r="411" spans="1:37" ht="15.75" hidden="1" thickBot="1">
      <c r="A411" s="2102"/>
      <c r="B411" s="590"/>
      <c r="C411" s="2109" t="s">
        <v>2969</v>
      </c>
      <c r="D411" s="2110">
        <f>E406-D406</f>
        <v>-357.19000000000233</v>
      </c>
      <c r="E411" s="2103"/>
      <c r="F411" s="2110">
        <f>G407-F407</f>
        <v>0</v>
      </c>
      <c r="G411" s="2103"/>
      <c r="H411" s="2110">
        <f>I407-H407</f>
        <v>12214.5</v>
      </c>
      <c r="I411" s="2103"/>
      <c r="J411" s="2123">
        <f>K406-J406</f>
        <v>-70000</v>
      </c>
      <c r="K411" s="2103"/>
      <c r="L411" s="2123">
        <f>M406-L406</f>
        <v>0</v>
      </c>
      <c r="M411" s="2103"/>
      <c r="N411" s="2123">
        <f>O406-N406</f>
        <v>0</v>
      </c>
      <c r="O411" s="2103"/>
      <c r="P411" s="2123">
        <f>Q406-P406</f>
        <v>0</v>
      </c>
      <c r="Q411" s="2103"/>
      <c r="R411" s="395"/>
      <c r="S411" s="395"/>
      <c r="T411" s="395"/>
      <c r="U411" s="395"/>
      <c r="V411" s="395"/>
      <c r="W411" s="1549"/>
      <c r="X411" s="395"/>
      <c r="Y411" s="1549"/>
    </row>
    <row r="412" spans="1:37">
      <c r="A412" s="395"/>
      <c r="B412" s="1633"/>
      <c r="C412" s="395"/>
      <c r="D412" s="1633"/>
      <c r="E412" s="1633"/>
      <c r="F412" s="1550"/>
      <c r="G412" s="1633"/>
      <c r="H412" s="395"/>
      <c r="I412" s="1550"/>
      <c r="J412" s="395"/>
      <c r="K412" s="395"/>
      <c r="L412" s="395"/>
      <c r="M412" s="1549"/>
      <c r="N412" s="395"/>
      <c r="O412" s="1549"/>
      <c r="P412" s="395"/>
      <c r="Q412" s="1549"/>
      <c r="R412" s="395"/>
      <c r="S412" s="395"/>
      <c r="T412" s="395"/>
      <c r="U412" s="395"/>
      <c r="V412" s="395"/>
      <c r="W412" s="1549"/>
      <c r="X412" s="395"/>
      <c r="Y412" s="1549"/>
    </row>
  </sheetData>
  <mergeCells count="1">
    <mergeCell ref="A1:T1"/>
  </mergeCells>
  <hyperlinks>
    <hyperlink ref="A1" location="GLOBAAL!A1" display="Werkings- en personeelssubsidies" xr:uid="{00000000-0004-0000-4200-000000000000}"/>
    <hyperlink ref="A1:H1" location="FINANCIËN!A1" display="Personeels- en werkingssubsidies" xr:uid="{00000000-0004-0000-4200-000001000000}"/>
  </hyperlinks>
  <pageMargins left="0.75" right="0.75" top="1" bottom="1" header="0.5" footer="0.5"/>
  <pageSetup paperSize="9" scale="43" fitToHeight="0" orientation="portrait" copies="2" r:id="rId1"/>
  <headerFooter alignWithMargins="0"/>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EBD531"/>
  </sheetPr>
  <dimension ref="A1:AL331"/>
  <sheetViews>
    <sheetView topLeftCell="A70" workbookViewId="0">
      <selection sqref="A1:F1"/>
    </sheetView>
  </sheetViews>
  <sheetFormatPr defaultColWidth="28.7109375" defaultRowHeight="14.25" customHeight="1"/>
  <cols>
    <col min="1" max="1" width="38.7109375" style="1396" customWidth="1"/>
    <col min="2" max="2" width="19.7109375" style="1395" bestFit="1" customWidth="1"/>
    <col min="3" max="3" width="11.140625" style="1395" bestFit="1" customWidth="1"/>
    <col min="4" max="4" width="18.42578125" style="1395" customWidth="1"/>
    <col min="5" max="5" width="16" style="1395" bestFit="1" customWidth="1"/>
    <col min="6" max="6" width="21.5703125" style="1395" customWidth="1"/>
    <col min="7" max="7" width="14.140625" style="1395" customWidth="1"/>
    <col min="8" max="8" width="12" style="1395" customWidth="1"/>
    <col min="9" max="9" width="17.7109375" style="1395" customWidth="1"/>
    <col min="10" max="10" width="16" style="1395" customWidth="1"/>
    <col min="11" max="12" width="16.7109375" style="1396" customWidth="1"/>
    <col min="13" max="13" width="28" style="1396" customWidth="1"/>
    <col min="14" max="14" width="17.7109375" style="1396" customWidth="1"/>
    <col min="15" max="15" width="12.28515625" style="1396" customWidth="1"/>
    <col min="16" max="16" width="7.5703125" style="1396" bestFit="1" customWidth="1"/>
    <col min="17" max="17" width="8.7109375" style="1396" bestFit="1" customWidth="1"/>
    <col min="18" max="18" width="7.5703125" style="1396" bestFit="1" customWidth="1"/>
    <col min="19" max="19" width="8.7109375" style="1396" bestFit="1" customWidth="1"/>
    <col min="20" max="20" width="7.28515625" style="1396" bestFit="1" customWidth="1"/>
    <col min="21" max="21" width="8.7109375" style="1396" bestFit="1" customWidth="1"/>
    <col min="22" max="22" width="22.7109375" style="1396" customWidth="1"/>
    <col min="23" max="23" width="18.28515625" style="1396" customWidth="1"/>
    <col min="24" max="24" width="13.85546875" style="1396" customWidth="1"/>
    <col min="25" max="25" width="14" style="1396" customWidth="1"/>
    <col min="26" max="26" width="9.28515625" style="1396" customWidth="1"/>
    <col min="27" max="27" width="12.7109375" style="1396" customWidth="1"/>
    <col min="28" max="28" width="6.42578125" style="1396" customWidth="1"/>
    <col min="29" max="29" width="14.42578125" style="1396" customWidth="1"/>
    <col min="30" max="30" width="10.28515625" style="1396" customWidth="1"/>
    <col min="31" max="31" width="12" style="1396" customWidth="1"/>
    <col min="32" max="32" width="8.7109375" style="1396" customWidth="1"/>
    <col min="33" max="33" width="10.5703125" style="1396" customWidth="1"/>
    <col min="34" max="34" width="16.42578125" style="1396" customWidth="1"/>
    <col min="35" max="35" width="15.140625" style="1396" customWidth="1"/>
    <col min="36" max="36" width="17" style="1396" customWidth="1"/>
    <col min="37" max="37" width="20.140625" style="1396" customWidth="1"/>
    <col min="38" max="38" width="20.28515625" style="1396" customWidth="1"/>
    <col min="39" max="256" width="28.7109375" style="1396"/>
    <col min="257" max="257" width="38.7109375" style="1396" customWidth="1"/>
    <col min="258" max="258" width="19.7109375" style="1396" bestFit="1" customWidth="1"/>
    <col min="259" max="259" width="11.140625" style="1396" bestFit="1" customWidth="1"/>
    <col min="260" max="260" width="18.42578125" style="1396" customWidth="1"/>
    <col min="261" max="261" width="16" style="1396" bestFit="1" customWidth="1"/>
    <col min="262" max="262" width="21.5703125" style="1396" customWidth="1"/>
    <col min="263" max="263" width="14.140625" style="1396" customWidth="1"/>
    <col min="264" max="264" width="12" style="1396" customWidth="1"/>
    <col min="265" max="265" width="17.7109375" style="1396" customWidth="1"/>
    <col min="266" max="266" width="16" style="1396" customWidth="1"/>
    <col min="267" max="268" width="16.7109375" style="1396" customWidth="1"/>
    <col min="269" max="269" width="28" style="1396" customWidth="1"/>
    <col min="270" max="270" width="17.7109375" style="1396" customWidth="1"/>
    <col min="271" max="271" width="12.28515625" style="1396" customWidth="1"/>
    <col min="272" max="272" width="7.5703125" style="1396" bestFit="1" customWidth="1"/>
    <col min="273" max="273" width="8.7109375" style="1396" bestFit="1" customWidth="1"/>
    <col min="274" max="274" width="7.5703125" style="1396" bestFit="1" customWidth="1"/>
    <col min="275" max="275" width="8.7109375" style="1396" bestFit="1" customWidth="1"/>
    <col min="276" max="276" width="7.28515625" style="1396" bestFit="1" customWidth="1"/>
    <col min="277" max="277" width="8.7109375" style="1396" bestFit="1" customWidth="1"/>
    <col min="278" max="278" width="22.7109375" style="1396" customWidth="1"/>
    <col min="279" max="279" width="18.28515625" style="1396" customWidth="1"/>
    <col min="280" max="280" width="13.85546875" style="1396" customWidth="1"/>
    <col min="281" max="281" width="14" style="1396" customWidth="1"/>
    <col min="282" max="282" width="9.28515625" style="1396" customWidth="1"/>
    <col min="283" max="283" width="12.7109375" style="1396" customWidth="1"/>
    <col min="284" max="284" width="6.42578125" style="1396" customWidth="1"/>
    <col min="285" max="285" width="14.42578125" style="1396" customWidth="1"/>
    <col min="286" max="286" width="10.28515625" style="1396" customWidth="1"/>
    <col min="287" max="287" width="12" style="1396" customWidth="1"/>
    <col min="288" max="288" width="8.7109375" style="1396" customWidth="1"/>
    <col min="289" max="289" width="10.5703125" style="1396" customWidth="1"/>
    <col min="290" max="290" width="16.42578125" style="1396" customWidth="1"/>
    <col min="291" max="291" width="15.140625" style="1396" customWidth="1"/>
    <col min="292" max="292" width="17" style="1396" customWidth="1"/>
    <col min="293" max="293" width="20.140625" style="1396" customWidth="1"/>
    <col min="294" max="294" width="20.28515625" style="1396" customWidth="1"/>
    <col min="295" max="512" width="28.7109375" style="1396"/>
    <col min="513" max="513" width="38.7109375" style="1396" customWidth="1"/>
    <col min="514" max="514" width="19.7109375" style="1396" bestFit="1" customWidth="1"/>
    <col min="515" max="515" width="11.140625" style="1396" bestFit="1" customWidth="1"/>
    <col min="516" max="516" width="18.42578125" style="1396" customWidth="1"/>
    <col min="517" max="517" width="16" style="1396" bestFit="1" customWidth="1"/>
    <col min="518" max="518" width="21.5703125" style="1396" customWidth="1"/>
    <col min="519" max="519" width="14.140625" style="1396" customWidth="1"/>
    <col min="520" max="520" width="12" style="1396" customWidth="1"/>
    <col min="521" max="521" width="17.7109375" style="1396" customWidth="1"/>
    <col min="522" max="522" width="16" style="1396" customWidth="1"/>
    <col min="523" max="524" width="16.7109375" style="1396" customWidth="1"/>
    <col min="525" max="525" width="28" style="1396" customWidth="1"/>
    <col min="526" max="526" width="17.7109375" style="1396" customWidth="1"/>
    <col min="527" max="527" width="12.28515625" style="1396" customWidth="1"/>
    <col min="528" max="528" width="7.5703125" style="1396" bestFit="1" customWidth="1"/>
    <col min="529" max="529" width="8.7109375" style="1396" bestFit="1" customWidth="1"/>
    <col min="530" max="530" width="7.5703125" style="1396" bestFit="1" customWidth="1"/>
    <col min="531" max="531" width="8.7109375" style="1396" bestFit="1" customWidth="1"/>
    <col min="532" max="532" width="7.28515625" style="1396" bestFit="1" customWidth="1"/>
    <col min="533" max="533" width="8.7109375" style="1396" bestFit="1" customWidth="1"/>
    <col min="534" max="534" width="22.7109375" style="1396" customWidth="1"/>
    <col min="535" max="535" width="18.28515625" style="1396" customWidth="1"/>
    <col min="536" max="536" width="13.85546875" style="1396" customWidth="1"/>
    <col min="537" max="537" width="14" style="1396" customWidth="1"/>
    <col min="538" max="538" width="9.28515625" style="1396" customWidth="1"/>
    <col min="539" max="539" width="12.7109375" style="1396" customWidth="1"/>
    <col min="540" max="540" width="6.42578125" style="1396" customWidth="1"/>
    <col min="541" max="541" width="14.42578125" style="1396" customWidth="1"/>
    <col min="542" max="542" width="10.28515625" style="1396" customWidth="1"/>
    <col min="543" max="543" width="12" style="1396" customWidth="1"/>
    <col min="544" max="544" width="8.7109375" style="1396" customWidth="1"/>
    <col min="545" max="545" width="10.5703125" style="1396" customWidth="1"/>
    <col min="546" max="546" width="16.42578125" style="1396" customWidth="1"/>
    <col min="547" max="547" width="15.140625" style="1396" customWidth="1"/>
    <col min="548" max="548" width="17" style="1396" customWidth="1"/>
    <col min="549" max="549" width="20.140625" style="1396" customWidth="1"/>
    <col min="550" max="550" width="20.28515625" style="1396" customWidth="1"/>
    <col min="551" max="768" width="28.7109375" style="1396"/>
    <col min="769" max="769" width="38.7109375" style="1396" customWidth="1"/>
    <col min="770" max="770" width="19.7109375" style="1396" bestFit="1" customWidth="1"/>
    <col min="771" max="771" width="11.140625" style="1396" bestFit="1" customWidth="1"/>
    <col min="772" max="772" width="18.42578125" style="1396" customWidth="1"/>
    <col min="773" max="773" width="16" style="1396" bestFit="1" customWidth="1"/>
    <col min="774" max="774" width="21.5703125" style="1396" customWidth="1"/>
    <col min="775" max="775" width="14.140625" style="1396" customWidth="1"/>
    <col min="776" max="776" width="12" style="1396" customWidth="1"/>
    <col min="777" max="777" width="17.7109375" style="1396" customWidth="1"/>
    <col min="778" max="778" width="16" style="1396" customWidth="1"/>
    <col min="779" max="780" width="16.7109375" style="1396" customWidth="1"/>
    <col min="781" max="781" width="28" style="1396" customWidth="1"/>
    <col min="782" max="782" width="17.7109375" style="1396" customWidth="1"/>
    <col min="783" max="783" width="12.28515625" style="1396" customWidth="1"/>
    <col min="784" max="784" width="7.5703125" style="1396" bestFit="1" customWidth="1"/>
    <col min="785" max="785" width="8.7109375" style="1396" bestFit="1" customWidth="1"/>
    <col min="786" max="786" width="7.5703125" style="1396" bestFit="1" customWidth="1"/>
    <col min="787" max="787" width="8.7109375" style="1396" bestFit="1" customWidth="1"/>
    <col min="788" max="788" width="7.28515625" style="1396" bestFit="1" customWidth="1"/>
    <col min="789" max="789" width="8.7109375" style="1396" bestFit="1" customWidth="1"/>
    <col min="790" max="790" width="22.7109375" style="1396" customWidth="1"/>
    <col min="791" max="791" width="18.28515625" style="1396" customWidth="1"/>
    <col min="792" max="792" width="13.85546875" style="1396" customWidth="1"/>
    <col min="793" max="793" width="14" style="1396" customWidth="1"/>
    <col min="794" max="794" width="9.28515625" style="1396" customWidth="1"/>
    <col min="795" max="795" width="12.7109375" style="1396" customWidth="1"/>
    <col min="796" max="796" width="6.42578125" style="1396" customWidth="1"/>
    <col min="797" max="797" width="14.42578125" style="1396" customWidth="1"/>
    <col min="798" max="798" width="10.28515625" style="1396" customWidth="1"/>
    <col min="799" max="799" width="12" style="1396" customWidth="1"/>
    <col min="800" max="800" width="8.7109375" style="1396" customWidth="1"/>
    <col min="801" max="801" width="10.5703125" style="1396" customWidth="1"/>
    <col min="802" max="802" width="16.42578125" style="1396" customWidth="1"/>
    <col min="803" max="803" width="15.140625" style="1396" customWidth="1"/>
    <col min="804" max="804" width="17" style="1396" customWidth="1"/>
    <col min="805" max="805" width="20.140625" style="1396" customWidth="1"/>
    <col min="806" max="806" width="20.28515625" style="1396" customWidth="1"/>
    <col min="807" max="1024" width="28.7109375" style="1396"/>
    <col min="1025" max="1025" width="38.7109375" style="1396" customWidth="1"/>
    <col min="1026" max="1026" width="19.7109375" style="1396" bestFit="1" customWidth="1"/>
    <col min="1027" max="1027" width="11.140625" style="1396" bestFit="1" customWidth="1"/>
    <col min="1028" max="1028" width="18.42578125" style="1396" customWidth="1"/>
    <col min="1029" max="1029" width="16" style="1396" bestFit="1" customWidth="1"/>
    <col min="1030" max="1030" width="21.5703125" style="1396" customWidth="1"/>
    <col min="1031" max="1031" width="14.140625" style="1396" customWidth="1"/>
    <col min="1032" max="1032" width="12" style="1396" customWidth="1"/>
    <col min="1033" max="1033" width="17.7109375" style="1396" customWidth="1"/>
    <col min="1034" max="1034" width="16" style="1396" customWidth="1"/>
    <col min="1035" max="1036" width="16.7109375" style="1396" customWidth="1"/>
    <col min="1037" max="1037" width="28" style="1396" customWidth="1"/>
    <col min="1038" max="1038" width="17.7109375" style="1396" customWidth="1"/>
    <col min="1039" max="1039" width="12.28515625" style="1396" customWidth="1"/>
    <col min="1040" max="1040" width="7.5703125" style="1396" bestFit="1" customWidth="1"/>
    <col min="1041" max="1041" width="8.7109375" style="1396" bestFit="1" customWidth="1"/>
    <col min="1042" max="1042" width="7.5703125" style="1396" bestFit="1" customWidth="1"/>
    <col min="1043" max="1043" width="8.7109375" style="1396" bestFit="1" customWidth="1"/>
    <col min="1044" max="1044" width="7.28515625" style="1396" bestFit="1" customWidth="1"/>
    <col min="1045" max="1045" width="8.7109375" style="1396" bestFit="1" customWidth="1"/>
    <col min="1046" max="1046" width="22.7109375" style="1396" customWidth="1"/>
    <col min="1047" max="1047" width="18.28515625" style="1396" customWidth="1"/>
    <col min="1048" max="1048" width="13.85546875" style="1396" customWidth="1"/>
    <col min="1049" max="1049" width="14" style="1396" customWidth="1"/>
    <col min="1050" max="1050" width="9.28515625" style="1396" customWidth="1"/>
    <col min="1051" max="1051" width="12.7109375" style="1396" customWidth="1"/>
    <col min="1052" max="1052" width="6.42578125" style="1396" customWidth="1"/>
    <col min="1053" max="1053" width="14.42578125" style="1396" customWidth="1"/>
    <col min="1054" max="1054" width="10.28515625" style="1396" customWidth="1"/>
    <col min="1055" max="1055" width="12" style="1396" customWidth="1"/>
    <col min="1056" max="1056" width="8.7109375" style="1396" customWidth="1"/>
    <col min="1057" max="1057" width="10.5703125" style="1396" customWidth="1"/>
    <col min="1058" max="1058" width="16.42578125" style="1396" customWidth="1"/>
    <col min="1059" max="1059" width="15.140625" style="1396" customWidth="1"/>
    <col min="1060" max="1060" width="17" style="1396" customWidth="1"/>
    <col min="1061" max="1061" width="20.140625" style="1396" customWidth="1"/>
    <col min="1062" max="1062" width="20.28515625" style="1396" customWidth="1"/>
    <col min="1063" max="1280" width="28.7109375" style="1396"/>
    <col min="1281" max="1281" width="38.7109375" style="1396" customWidth="1"/>
    <col min="1282" max="1282" width="19.7109375" style="1396" bestFit="1" customWidth="1"/>
    <col min="1283" max="1283" width="11.140625" style="1396" bestFit="1" customWidth="1"/>
    <col min="1284" max="1284" width="18.42578125" style="1396" customWidth="1"/>
    <col min="1285" max="1285" width="16" style="1396" bestFit="1" customWidth="1"/>
    <col min="1286" max="1286" width="21.5703125" style="1396" customWidth="1"/>
    <col min="1287" max="1287" width="14.140625" style="1396" customWidth="1"/>
    <col min="1288" max="1288" width="12" style="1396" customWidth="1"/>
    <col min="1289" max="1289" width="17.7109375" style="1396" customWidth="1"/>
    <col min="1290" max="1290" width="16" style="1396" customWidth="1"/>
    <col min="1291" max="1292" width="16.7109375" style="1396" customWidth="1"/>
    <col min="1293" max="1293" width="28" style="1396" customWidth="1"/>
    <col min="1294" max="1294" width="17.7109375" style="1396" customWidth="1"/>
    <col min="1295" max="1295" width="12.28515625" style="1396" customWidth="1"/>
    <col min="1296" max="1296" width="7.5703125" style="1396" bestFit="1" customWidth="1"/>
    <col min="1297" max="1297" width="8.7109375" style="1396" bestFit="1" customWidth="1"/>
    <col min="1298" max="1298" width="7.5703125" style="1396" bestFit="1" customWidth="1"/>
    <col min="1299" max="1299" width="8.7109375" style="1396" bestFit="1" customWidth="1"/>
    <col min="1300" max="1300" width="7.28515625" style="1396" bestFit="1" customWidth="1"/>
    <col min="1301" max="1301" width="8.7109375" style="1396" bestFit="1" customWidth="1"/>
    <col min="1302" max="1302" width="22.7109375" style="1396" customWidth="1"/>
    <col min="1303" max="1303" width="18.28515625" style="1396" customWidth="1"/>
    <col min="1304" max="1304" width="13.85546875" style="1396" customWidth="1"/>
    <col min="1305" max="1305" width="14" style="1396" customWidth="1"/>
    <col min="1306" max="1306" width="9.28515625" style="1396" customWidth="1"/>
    <col min="1307" max="1307" width="12.7109375" style="1396" customWidth="1"/>
    <col min="1308" max="1308" width="6.42578125" style="1396" customWidth="1"/>
    <col min="1309" max="1309" width="14.42578125" style="1396" customWidth="1"/>
    <col min="1310" max="1310" width="10.28515625" style="1396" customWidth="1"/>
    <col min="1311" max="1311" width="12" style="1396" customWidth="1"/>
    <col min="1312" max="1312" width="8.7109375" style="1396" customWidth="1"/>
    <col min="1313" max="1313" width="10.5703125" style="1396" customWidth="1"/>
    <col min="1314" max="1314" width="16.42578125" style="1396" customWidth="1"/>
    <col min="1315" max="1315" width="15.140625" style="1396" customWidth="1"/>
    <col min="1316" max="1316" width="17" style="1396" customWidth="1"/>
    <col min="1317" max="1317" width="20.140625" style="1396" customWidth="1"/>
    <col min="1318" max="1318" width="20.28515625" style="1396" customWidth="1"/>
    <col min="1319" max="1536" width="28.7109375" style="1396"/>
    <col min="1537" max="1537" width="38.7109375" style="1396" customWidth="1"/>
    <col min="1538" max="1538" width="19.7109375" style="1396" bestFit="1" customWidth="1"/>
    <col min="1539" max="1539" width="11.140625" style="1396" bestFit="1" customWidth="1"/>
    <col min="1540" max="1540" width="18.42578125" style="1396" customWidth="1"/>
    <col min="1541" max="1541" width="16" style="1396" bestFit="1" customWidth="1"/>
    <col min="1542" max="1542" width="21.5703125" style="1396" customWidth="1"/>
    <col min="1543" max="1543" width="14.140625" style="1396" customWidth="1"/>
    <col min="1544" max="1544" width="12" style="1396" customWidth="1"/>
    <col min="1545" max="1545" width="17.7109375" style="1396" customWidth="1"/>
    <col min="1546" max="1546" width="16" style="1396" customWidth="1"/>
    <col min="1547" max="1548" width="16.7109375" style="1396" customWidth="1"/>
    <col min="1549" max="1549" width="28" style="1396" customWidth="1"/>
    <col min="1550" max="1550" width="17.7109375" style="1396" customWidth="1"/>
    <col min="1551" max="1551" width="12.28515625" style="1396" customWidth="1"/>
    <col min="1552" max="1552" width="7.5703125" style="1396" bestFit="1" customWidth="1"/>
    <col min="1553" max="1553" width="8.7109375" style="1396" bestFit="1" customWidth="1"/>
    <col min="1554" max="1554" width="7.5703125" style="1396" bestFit="1" customWidth="1"/>
    <col min="1555" max="1555" width="8.7109375" style="1396" bestFit="1" customWidth="1"/>
    <col min="1556" max="1556" width="7.28515625" style="1396" bestFit="1" customWidth="1"/>
    <col min="1557" max="1557" width="8.7109375" style="1396" bestFit="1" customWidth="1"/>
    <col min="1558" max="1558" width="22.7109375" style="1396" customWidth="1"/>
    <col min="1559" max="1559" width="18.28515625" style="1396" customWidth="1"/>
    <col min="1560" max="1560" width="13.85546875" style="1396" customWidth="1"/>
    <col min="1561" max="1561" width="14" style="1396" customWidth="1"/>
    <col min="1562" max="1562" width="9.28515625" style="1396" customWidth="1"/>
    <col min="1563" max="1563" width="12.7109375" style="1396" customWidth="1"/>
    <col min="1564" max="1564" width="6.42578125" style="1396" customWidth="1"/>
    <col min="1565" max="1565" width="14.42578125" style="1396" customWidth="1"/>
    <col min="1566" max="1566" width="10.28515625" style="1396" customWidth="1"/>
    <col min="1567" max="1567" width="12" style="1396" customWidth="1"/>
    <col min="1568" max="1568" width="8.7109375" style="1396" customWidth="1"/>
    <col min="1569" max="1569" width="10.5703125" style="1396" customWidth="1"/>
    <col min="1570" max="1570" width="16.42578125" style="1396" customWidth="1"/>
    <col min="1571" max="1571" width="15.140625" style="1396" customWidth="1"/>
    <col min="1572" max="1572" width="17" style="1396" customWidth="1"/>
    <col min="1573" max="1573" width="20.140625" style="1396" customWidth="1"/>
    <col min="1574" max="1574" width="20.28515625" style="1396" customWidth="1"/>
    <col min="1575" max="1792" width="28.7109375" style="1396"/>
    <col min="1793" max="1793" width="38.7109375" style="1396" customWidth="1"/>
    <col min="1794" max="1794" width="19.7109375" style="1396" bestFit="1" customWidth="1"/>
    <col min="1795" max="1795" width="11.140625" style="1396" bestFit="1" customWidth="1"/>
    <col min="1796" max="1796" width="18.42578125" style="1396" customWidth="1"/>
    <col min="1797" max="1797" width="16" style="1396" bestFit="1" customWidth="1"/>
    <col min="1798" max="1798" width="21.5703125" style="1396" customWidth="1"/>
    <col min="1799" max="1799" width="14.140625" style="1396" customWidth="1"/>
    <col min="1800" max="1800" width="12" style="1396" customWidth="1"/>
    <col min="1801" max="1801" width="17.7109375" style="1396" customWidth="1"/>
    <col min="1802" max="1802" width="16" style="1396" customWidth="1"/>
    <col min="1803" max="1804" width="16.7109375" style="1396" customWidth="1"/>
    <col min="1805" max="1805" width="28" style="1396" customWidth="1"/>
    <col min="1806" max="1806" width="17.7109375" style="1396" customWidth="1"/>
    <col min="1807" max="1807" width="12.28515625" style="1396" customWidth="1"/>
    <col min="1808" max="1808" width="7.5703125" style="1396" bestFit="1" customWidth="1"/>
    <col min="1809" max="1809" width="8.7109375" style="1396" bestFit="1" customWidth="1"/>
    <col min="1810" max="1810" width="7.5703125" style="1396" bestFit="1" customWidth="1"/>
    <col min="1811" max="1811" width="8.7109375" style="1396" bestFit="1" customWidth="1"/>
    <col min="1812" max="1812" width="7.28515625" style="1396" bestFit="1" customWidth="1"/>
    <col min="1813" max="1813" width="8.7109375" style="1396" bestFit="1" customWidth="1"/>
    <col min="1814" max="1814" width="22.7109375" style="1396" customWidth="1"/>
    <col min="1815" max="1815" width="18.28515625" style="1396" customWidth="1"/>
    <col min="1816" max="1816" width="13.85546875" style="1396" customWidth="1"/>
    <col min="1817" max="1817" width="14" style="1396" customWidth="1"/>
    <col min="1818" max="1818" width="9.28515625" style="1396" customWidth="1"/>
    <col min="1819" max="1819" width="12.7109375" style="1396" customWidth="1"/>
    <col min="1820" max="1820" width="6.42578125" style="1396" customWidth="1"/>
    <col min="1821" max="1821" width="14.42578125" style="1396" customWidth="1"/>
    <col min="1822" max="1822" width="10.28515625" style="1396" customWidth="1"/>
    <col min="1823" max="1823" width="12" style="1396" customWidth="1"/>
    <col min="1824" max="1824" width="8.7109375" style="1396" customWidth="1"/>
    <col min="1825" max="1825" width="10.5703125" style="1396" customWidth="1"/>
    <col min="1826" max="1826" width="16.42578125" style="1396" customWidth="1"/>
    <col min="1827" max="1827" width="15.140625" style="1396" customWidth="1"/>
    <col min="1828" max="1828" width="17" style="1396" customWidth="1"/>
    <col min="1829" max="1829" width="20.140625" style="1396" customWidth="1"/>
    <col min="1830" max="1830" width="20.28515625" style="1396" customWidth="1"/>
    <col min="1831" max="2048" width="28.7109375" style="1396"/>
    <col min="2049" max="2049" width="38.7109375" style="1396" customWidth="1"/>
    <col min="2050" max="2050" width="19.7109375" style="1396" bestFit="1" customWidth="1"/>
    <col min="2051" max="2051" width="11.140625" style="1396" bestFit="1" customWidth="1"/>
    <col min="2052" max="2052" width="18.42578125" style="1396" customWidth="1"/>
    <col min="2053" max="2053" width="16" style="1396" bestFit="1" customWidth="1"/>
    <col min="2054" max="2054" width="21.5703125" style="1396" customWidth="1"/>
    <col min="2055" max="2055" width="14.140625" style="1396" customWidth="1"/>
    <col min="2056" max="2056" width="12" style="1396" customWidth="1"/>
    <col min="2057" max="2057" width="17.7109375" style="1396" customWidth="1"/>
    <col min="2058" max="2058" width="16" style="1396" customWidth="1"/>
    <col min="2059" max="2060" width="16.7109375" style="1396" customWidth="1"/>
    <col min="2061" max="2061" width="28" style="1396" customWidth="1"/>
    <col min="2062" max="2062" width="17.7109375" style="1396" customWidth="1"/>
    <col min="2063" max="2063" width="12.28515625" style="1396" customWidth="1"/>
    <col min="2064" max="2064" width="7.5703125" style="1396" bestFit="1" customWidth="1"/>
    <col min="2065" max="2065" width="8.7109375" style="1396" bestFit="1" customWidth="1"/>
    <col min="2066" max="2066" width="7.5703125" style="1396" bestFit="1" customWidth="1"/>
    <col min="2067" max="2067" width="8.7109375" style="1396" bestFit="1" customWidth="1"/>
    <col min="2068" max="2068" width="7.28515625" style="1396" bestFit="1" customWidth="1"/>
    <col min="2069" max="2069" width="8.7109375" style="1396" bestFit="1" customWidth="1"/>
    <col min="2070" max="2070" width="22.7109375" style="1396" customWidth="1"/>
    <col min="2071" max="2071" width="18.28515625" style="1396" customWidth="1"/>
    <col min="2072" max="2072" width="13.85546875" style="1396" customWidth="1"/>
    <col min="2073" max="2073" width="14" style="1396" customWidth="1"/>
    <col min="2074" max="2074" width="9.28515625" style="1396" customWidth="1"/>
    <col min="2075" max="2075" width="12.7109375" style="1396" customWidth="1"/>
    <col min="2076" max="2076" width="6.42578125" style="1396" customWidth="1"/>
    <col min="2077" max="2077" width="14.42578125" style="1396" customWidth="1"/>
    <col min="2078" max="2078" width="10.28515625" style="1396" customWidth="1"/>
    <col min="2079" max="2079" width="12" style="1396" customWidth="1"/>
    <col min="2080" max="2080" width="8.7109375" style="1396" customWidth="1"/>
    <col min="2081" max="2081" width="10.5703125" style="1396" customWidth="1"/>
    <col min="2082" max="2082" width="16.42578125" style="1396" customWidth="1"/>
    <col min="2083" max="2083" width="15.140625" style="1396" customWidth="1"/>
    <col min="2084" max="2084" width="17" style="1396" customWidth="1"/>
    <col min="2085" max="2085" width="20.140625" style="1396" customWidth="1"/>
    <col min="2086" max="2086" width="20.28515625" style="1396" customWidth="1"/>
    <col min="2087" max="2304" width="28.7109375" style="1396"/>
    <col min="2305" max="2305" width="38.7109375" style="1396" customWidth="1"/>
    <col min="2306" max="2306" width="19.7109375" style="1396" bestFit="1" customWidth="1"/>
    <col min="2307" max="2307" width="11.140625" style="1396" bestFit="1" customWidth="1"/>
    <col min="2308" max="2308" width="18.42578125" style="1396" customWidth="1"/>
    <col min="2309" max="2309" width="16" style="1396" bestFit="1" customWidth="1"/>
    <col min="2310" max="2310" width="21.5703125" style="1396" customWidth="1"/>
    <col min="2311" max="2311" width="14.140625" style="1396" customWidth="1"/>
    <col min="2312" max="2312" width="12" style="1396" customWidth="1"/>
    <col min="2313" max="2313" width="17.7109375" style="1396" customWidth="1"/>
    <col min="2314" max="2314" width="16" style="1396" customWidth="1"/>
    <col min="2315" max="2316" width="16.7109375" style="1396" customWidth="1"/>
    <col min="2317" max="2317" width="28" style="1396" customWidth="1"/>
    <col min="2318" max="2318" width="17.7109375" style="1396" customWidth="1"/>
    <col min="2319" max="2319" width="12.28515625" style="1396" customWidth="1"/>
    <col min="2320" max="2320" width="7.5703125" style="1396" bestFit="1" customWidth="1"/>
    <col min="2321" max="2321" width="8.7109375" style="1396" bestFit="1" customWidth="1"/>
    <col min="2322" max="2322" width="7.5703125" style="1396" bestFit="1" customWidth="1"/>
    <col min="2323" max="2323" width="8.7109375" style="1396" bestFit="1" customWidth="1"/>
    <col min="2324" max="2324" width="7.28515625" style="1396" bestFit="1" customWidth="1"/>
    <col min="2325" max="2325" width="8.7109375" style="1396" bestFit="1" customWidth="1"/>
    <col min="2326" max="2326" width="22.7109375" style="1396" customWidth="1"/>
    <col min="2327" max="2327" width="18.28515625" style="1396" customWidth="1"/>
    <col min="2328" max="2328" width="13.85546875" style="1396" customWidth="1"/>
    <col min="2329" max="2329" width="14" style="1396" customWidth="1"/>
    <col min="2330" max="2330" width="9.28515625" style="1396" customWidth="1"/>
    <col min="2331" max="2331" width="12.7109375" style="1396" customWidth="1"/>
    <col min="2332" max="2332" width="6.42578125" style="1396" customWidth="1"/>
    <col min="2333" max="2333" width="14.42578125" style="1396" customWidth="1"/>
    <col min="2334" max="2334" width="10.28515625" style="1396" customWidth="1"/>
    <col min="2335" max="2335" width="12" style="1396" customWidth="1"/>
    <col min="2336" max="2336" width="8.7109375" style="1396" customWidth="1"/>
    <col min="2337" max="2337" width="10.5703125" style="1396" customWidth="1"/>
    <col min="2338" max="2338" width="16.42578125" style="1396" customWidth="1"/>
    <col min="2339" max="2339" width="15.140625" style="1396" customWidth="1"/>
    <col min="2340" max="2340" width="17" style="1396" customWidth="1"/>
    <col min="2341" max="2341" width="20.140625" style="1396" customWidth="1"/>
    <col min="2342" max="2342" width="20.28515625" style="1396" customWidth="1"/>
    <col min="2343" max="2560" width="28.7109375" style="1396"/>
    <col min="2561" max="2561" width="38.7109375" style="1396" customWidth="1"/>
    <col min="2562" max="2562" width="19.7109375" style="1396" bestFit="1" customWidth="1"/>
    <col min="2563" max="2563" width="11.140625" style="1396" bestFit="1" customWidth="1"/>
    <col min="2564" max="2564" width="18.42578125" style="1396" customWidth="1"/>
    <col min="2565" max="2565" width="16" style="1396" bestFit="1" customWidth="1"/>
    <col min="2566" max="2566" width="21.5703125" style="1396" customWidth="1"/>
    <col min="2567" max="2567" width="14.140625" style="1396" customWidth="1"/>
    <col min="2568" max="2568" width="12" style="1396" customWidth="1"/>
    <col min="2569" max="2569" width="17.7109375" style="1396" customWidth="1"/>
    <col min="2570" max="2570" width="16" style="1396" customWidth="1"/>
    <col min="2571" max="2572" width="16.7109375" style="1396" customWidth="1"/>
    <col min="2573" max="2573" width="28" style="1396" customWidth="1"/>
    <col min="2574" max="2574" width="17.7109375" style="1396" customWidth="1"/>
    <col min="2575" max="2575" width="12.28515625" style="1396" customWidth="1"/>
    <col min="2576" max="2576" width="7.5703125" style="1396" bestFit="1" customWidth="1"/>
    <col min="2577" max="2577" width="8.7109375" style="1396" bestFit="1" customWidth="1"/>
    <col min="2578" max="2578" width="7.5703125" style="1396" bestFit="1" customWidth="1"/>
    <col min="2579" max="2579" width="8.7109375" style="1396" bestFit="1" customWidth="1"/>
    <col min="2580" max="2580" width="7.28515625" style="1396" bestFit="1" customWidth="1"/>
    <col min="2581" max="2581" width="8.7109375" style="1396" bestFit="1" customWidth="1"/>
    <col min="2582" max="2582" width="22.7109375" style="1396" customWidth="1"/>
    <col min="2583" max="2583" width="18.28515625" style="1396" customWidth="1"/>
    <col min="2584" max="2584" width="13.85546875" style="1396" customWidth="1"/>
    <col min="2585" max="2585" width="14" style="1396" customWidth="1"/>
    <col min="2586" max="2586" width="9.28515625" style="1396" customWidth="1"/>
    <col min="2587" max="2587" width="12.7109375" style="1396" customWidth="1"/>
    <col min="2588" max="2588" width="6.42578125" style="1396" customWidth="1"/>
    <col min="2589" max="2589" width="14.42578125" style="1396" customWidth="1"/>
    <col min="2590" max="2590" width="10.28515625" style="1396" customWidth="1"/>
    <col min="2591" max="2591" width="12" style="1396" customWidth="1"/>
    <col min="2592" max="2592" width="8.7109375" style="1396" customWidth="1"/>
    <col min="2593" max="2593" width="10.5703125" style="1396" customWidth="1"/>
    <col min="2594" max="2594" width="16.42578125" style="1396" customWidth="1"/>
    <col min="2595" max="2595" width="15.140625" style="1396" customWidth="1"/>
    <col min="2596" max="2596" width="17" style="1396" customWidth="1"/>
    <col min="2597" max="2597" width="20.140625" style="1396" customWidth="1"/>
    <col min="2598" max="2598" width="20.28515625" style="1396" customWidth="1"/>
    <col min="2599" max="2816" width="28.7109375" style="1396"/>
    <col min="2817" max="2817" width="38.7109375" style="1396" customWidth="1"/>
    <col min="2818" max="2818" width="19.7109375" style="1396" bestFit="1" customWidth="1"/>
    <col min="2819" max="2819" width="11.140625" style="1396" bestFit="1" customWidth="1"/>
    <col min="2820" max="2820" width="18.42578125" style="1396" customWidth="1"/>
    <col min="2821" max="2821" width="16" style="1396" bestFit="1" customWidth="1"/>
    <col min="2822" max="2822" width="21.5703125" style="1396" customWidth="1"/>
    <col min="2823" max="2823" width="14.140625" style="1396" customWidth="1"/>
    <col min="2824" max="2824" width="12" style="1396" customWidth="1"/>
    <col min="2825" max="2825" width="17.7109375" style="1396" customWidth="1"/>
    <col min="2826" max="2826" width="16" style="1396" customWidth="1"/>
    <col min="2827" max="2828" width="16.7109375" style="1396" customWidth="1"/>
    <col min="2829" max="2829" width="28" style="1396" customWidth="1"/>
    <col min="2830" max="2830" width="17.7109375" style="1396" customWidth="1"/>
    <col min="2831" max="2831" width="12.28515625" style="1396" customWidth="1"/>
    <col min="2832" max="2832" width="7.5703125" style="1396" bestFit="1" customWidth="1"/>
    <col min="2833" max="2833" width="8.7109375" style="1396" bestFit="1" customWidth="1"/>
    <col min="2834" max="2834" width="7.5703125" style="1396" bestFit="1" customWidth="1"/>
    <col min="2835" max="2835" width="8.7109375" style="1396" bestFit="1" customWidth="1"/>
    <col min="2836" max="2836" width="7.28515625" style="1396" bestFit="1" customWidth="1"/>
    <col min="2837" max="2837" width="8.7109375" style="1396" bestFit="1" customWidth="1"/>
    <col min="2838" max="2838" width="22.7109375" style="1396" customWidth="1"/>
    <col min="2839" max="2839" width="18.28515625" style="1396" customWidth="1"/>
    <col min="2840" max="2840" width="13.85546875" style="1396" customWidth="1"/>
    <col min="2841" max="2841" width="14" style="1396" customWidth="1"/>
    <col min="2842" max="2842" width="9.28515625" style="1396" customWidth="1"/>
    <col min="2843" max="2843" width="12.7109375" style="1396" customWidth="1"/>
    <col min="2844" max="2844" width="6.42578125" style="1396" customWidth="1"/>
    <col min="2845" max="2845" width="14.42578125" style="1396" customWidth="1"/>
    <col min="2846" max="2846" width="10.28515625" style="1396" customWidth="1"/>
    <col min="2847" max="2847" width="12" style="1396" customWidth="1"/>
    <col min="2848" max="2848" width="8.7109375" style="1396" customWidth="1"/>
    <col min="2849" max="2849" width="10.5703125" style="1396" customWidth="1"/>
    <col min="2850" max="2850" width="16.42578125" style="1396" customWidth="1"/>
    <col min="2851" max="2851" width="15.140625" style="1396" customWidth="1"/>
    <col min="2852" max="2852" width="17" style="1396" customWidth="1"/>
    <col min="2853" max="2853" width="20.140625" style="1396" customWidth="1"/>
    <col min="2854" max="2854" width="20.28515625" style="1396" customWidth="1"/>
    <col min="2855" max="3072" width="28.7109375" style="1396"/>
    <col min="3073" max="3073" width="38.7109375" style="1396" customWidth="1"/>
    <col min="3074" max="3074" width="19.7109375" style="1396" bestFit="1" customWidth="1"/>
    <col min="3075" max="3075" width="11.140625" style="1396" bestFit="1" customWidth="1"/>
    <col min="3076" max="3076" width="18.42578125" style="1396" customWidth="1"/>
    <col min="3077" max="3077" width="16" style="1396" bestFit="1" customWidth="1"/>
    <col min="3078" max="3078" width="21.5703125" style="1396" customWidth="1"/>
    <col min="3079" max="3079" width="14.140625" style="1396" customWidth="1"/>
    <col min="3080" max="3080" width="12" style="1396" customWidth="1"/>
    <col min="3081" max="3081" width="17.7109375" style="1396" customWidth="1"/>
    <col min="3082" max="3082" width="16" style="1396" customWidth="1"/>
    <col min="3083" max="3084" width="16.7109375" style="1396" customWidth="1"/>
    <col min="3085" max="3085" width="28" style="1396" customWidth="1"/>
    <col min="3086" max="3086" width="17.7109375" style="1396" customWidth="1"/>
    <col min="3087" max="3087" width="12.28515625" style="1396" customWidth="1"/>
    <col min="3088" max="3088" width="7.5703125" style="1396" bestFit="1" customWidth="1"/>
    <col min="3089" max="3089" width="8.7109375" style="1396" bestFit="1" customWidth="1"/>
    <col min="3090" max="3090" width="7.5703125" style="1396" bestFit="1" customWidth="1"/>
    <col min="3091" max="3091" width="8.7109375" style="1396" bestFit="1" customWidth="1"/>
    <col min="3092" max="3092" width="7.28515625" style="1396" bestFit="1" customWidth="1"/>
    <col min="3093" max="3093" width="8.7109375" style="1396" bestFit="1" customWidth="1"/>
    <col min="3094" max="3094" width="22.7109375" style="1396" customWidth="1"/>
    <col min="3095" max="3095" width="18.28515625" style="1396" customWidth="1"/>
    <col min="3096" max="3096" width="13.85546875" style="1396" customWidth="1"/>
    <col min="3097" max="3097" width="14" style="1396" customWidth="1"/>
    <col min="3098" max="3098" width="9.28515625" style="1396" customWidth="1"/>
    <col min="3099" max="3099" width="12.7109375" style="1396" customWidth="1"/>
    <col min="3100" max="3100" width="6.42578125" style="1396" customWidth="1"/>
    <col min="3101" max="3101" width="14.42578125" style="1396" customWidth="1"/>
    <col min="3102" max="3102" width="10.28515625" style="1396" customWidth="1"/>
    <col min="3103" max="3103" width="12" style="1396" customWidth="1"/>
    <col min="3104" max="3104" width="8.7109375" style="1396" customWidth="1"/>
    <col min="3105" max="3105" width="10.5703125" style="1396" customWidth="1"/>
    <col min="3106" max="3106" width="16.42578125" style="1396" customWidth="1"/>
    <col min="3107" max="3107" width="15.140625" style="1396" customWidth="1"/>
    <col min="3108" max="3108" width="17" style="1396" customWidth="1"/>
    <col min="3109" max="3109" width="20.140625" style="1396" customWidth="1"/>
    <col min="3110" max="3110" width="20.28515625" style="1396" customWidth="1"/>
    <col min="3111" max="3328" width="28.7109375" style="1396"/>
    <col min="3329" max="3329" width="38.7109375" style="1396" customWidth="1"/>
    <col min="3330" max="3330" width="19.7109375" style="1396" bestFit="1" customWidth="1"/>
    <col min="3331" max="3331" width="11.140625" style="1396" bestFit="1" customWidth="1"/>
    <col min="3332" max="3332" width="18.42578125" style="1396" customWidth="1"/>
    <col min="3333" max="3333" width="16" style="1396" bestFit="1" customWidth="1"/>
    <col min="3334" max="3334" width="21.5703125" style="1396" customWidth="1"/>
    <col min="3335" max="3335" width="14.140625" style="1396" customWidth="1"/>
    <col min="3336" max="3336" width="12" style="1396" customWidth="1"/>
    <col min="3337" max="3337" width="17.7109375" style="1396" customWidth="1"/>
    <col min="3338" max="3338" width="16" style="1396" customWidth="1"/>
    <col min="3339" max="3340" width="16.7109375" style="1396" customWidth="1"/>
    <col min="3341" max="3341" width="28" style="1396" customWidth="1"/>
    <col min="3342" max="3342" width="17.7109375" style="1396" customWidth="1"/>
    <col min="3343" max="3343" width="12.28515625" style="1396" customWidth="1"/>
    <col min="3344" max="3344" width="7.5703125" style="1396" bestFit="1" customWidth="1"/>
    <col min="3345" max="3345" width="8.7109375" style="1396" bestFit="1" customWidth="1"/>
    <col min="3346" max="3346" width="7.5703125" style="1396" bestFit="1" customWidth="1"/>
    <col min="3347" max="3347" width="8.7109375" style="1396" bestFit="1" customWidth="1"/>
    <col min="3348" max="3348" width="7.28515625" style="1396" bestFit="1" customWidth="1"/>
    <col min="3349" max="3349" width="8.7109375" style="1396" bestFit="1" customWidth="1"/>
    <col min="3350" max="3350" width="22.7109375" style="1396" customWidth="1"/>
    <col min="3351" max="3351" width="18.28515625" style="1396" customWidth="1"/>
    <col min="3352" max="3352" width="13.85546875" style="1396" customWidth="1"/>
    <col min="3353" max="3353" width="14" style="1396" customWidth="1"/>
    <col min="3354" max="3354" width="9.28515625" style="1396" customWidth="1"/>
    <col min="3355" max="3355" width="12.7109375" style="1396" customWidth="1"/>
    <col min="3356" max="3356" width="6.42578125" style="1396" customWidth="1"/>
    <col min="3357" max="3357" width="14.42578125" style="1396" customWidth="1"/>
    <col min="3358" max="3358" width="10.28515625" style="1396" customWidth="1"/>
    <col min="3359" max="3359" width="12" style="1396" customWidth="1"/>
    <col min="3360" max="3360" width="8.7109375" style="1396" customWidth="1"/>
    <col min="3361" max="3361" width="10.5703125" style="1396" customWidth="1"/>
    <col min="3362" max="3362" width="16.42578125" style="1396" customWidth="1"/>
    <col min="3363" max="3363" width="15.140625" style="1396" customWidth="1"/>
    <col min="3364" max="3364" width="17" style="1396" customWidth="1"/>
    <col min="3365" max="3365" width="20.140625" style="1396" customWidth="1"/>
    <col min="3366" max="3366" width="20.28515625" style="1396" customWidth="1"/>
    <col min="3367" max="3584" width="28.7109375" style="1396"/>
    <col min="3585" max="3585" width="38.7109375" style="1396" customWidth="1"/>
    <col min="3586" max="3586" width="19.7109375" style="1396" bestFit="1" customWidth="1"/>
    <col min="3587" max="3587" width="11.140625" style="1396" bestFit="1" customWidth="1"/>
    <col min="3588" max="3588" width="18.42578125" style="1396" customWidth="1"/>
    <col min="3589" max="3589" width="16" style="1396" bestFit="1" customWidth="1"/>
    <col min="3590" max="3590" width="21.5703125" style="1396" customWidth="1"/>
    <col min="3591" max="3591" width="14.140625" style="1396" customWidth="1"/>
    <col min="3592" max="3592" width="12" style="1396" customWidth="1"/>
    <col min="3593" max="3593" width="17.7109375" style="1396" customWidth="1"/>
    <col min="3594" max="3594" width="16" style="1396" customWidth="1"/>
    <col min="3595" max="3596" width="16.7109375" style="1396" customWidth="1"/>
    <col min="3597" max="3597" width="28" style="1396" customWidth="1"/>
    <col min="3598" max="3598" width="17.7109375" style="1396" customWidth="1"/>
    <col min="3599" max="3599" width="12.28515625" style="1396" customWidth="1"/>
    <col min="3600" max="3600" width="7.5703125" style="1396" bestFit="1" customWidth="1"/>
    <col min="3601" max="3601" width="8.7109375" style="1396" bestFit="1" customWidth="1"/>
    <col min="3602" max="3602" width="7.5703125" style="1396" bestFit="1" customWidth="1"/>
    <col min="3603" max="3603" width="8.7109375" style="1396" bestFit="1" customWidth="1"/>
    <col min="3604" max="3604" width="7.28515625" style="1396" bestFit="1" customWidth="1"/>
    <col min="3605" max="3605" width="8.7109375" style="1396" bestFit="1" customWidth="1"/>
    <col min="3606" max="3606" width="22.7109375" style="1396" customWidth="1"/>
    <col min="3607" max="3607" width="18.28515625" style="1396" customWidth="1"/>
    <col min="3608" max="3608" width="13.85546875" style="1396" customWidth="1"/>
    <col min="3609" max="3609" width="14" style="1396" customWidth="1"/>
    <col min="3610" max="3610" width="9.28515625" style="1396" customWidth="1"/>
    <col min="3611" max="3611" width="12.7109375" style="1396" customWidth="1"/>
    <col min="3612" max="3612" width="6.42578125" style="1396" customWidth="1"/>
    <col min="3613" max="3613" width="14.42578125" style="1396" customWidth="1"/>
    <col min="3614" max="3614" width="10.28515625" style="1396" customWidth="1"/>
    <col min="3615" max="3615" width="12" style="1396" customWidth="1"/>
    <col min="3616" max="3616" width="8.7109375" style="1396" customWidth="1"/>
    <col min="3617" max="3617" width="10.5703125" style="1396" customWidth="1"/>
    <col min="3618" max="3618" width="16.42578125" style="1396" customWidth="1"/>
    <col min="3619" max="3619" width="15.140625" style="1396" customWidth="1"/>
    <col min="3620" max="3620" width="17" style="1396" customWidth="1"/>
    <col min="3621" max="3621" width="20.140625" style="1396" customWidth="1"/>
    <col min="3622" max="3622" width="20.28515625" style="1396" customWidth="1"/>
    <col min="3623" max="3840" width="28.7109375" style="1396"/>
    <col min="3841" max="3841" width="38.7109375" style="1396" customWidth="1"/>
    <col min="3842" max="3842" width="19.7109375" style="1396" bestFit="1" customWidth="1"/>
    <col min="3843" max="3843" width="11.140625" style="1396" bestFit="1" customWidth="1"/>
    <col min="3844" max="3844" width="18.42578125" style="1396" customWidth="1"/>
    <col min="3845" max="3845" width="16" style="1396" bestFit="1" customWidth="1"/>
    <col min="3846" max="3846" width="21.5703125" style="1396" customWidth="1"/>
    <col min="3847" max="3847" width="14.140625" style="1396" customWidth="1"/>
    <col min="3848" max="3848" width="12" style="1396" customWidth="1"/>
    <col min="3849" max="3849" width="17.7109375" style="1396" customWidth="1"/>
    <col min="3850" max="3850" width="16" style="1396" customWidth="1"/>
    <col min="3851" max="3852" width="16.7109375" style="1396" customWidth="1"/>
    <col min="3853" max="3853" width="28" style="1396" customWidth="1"/>
    <col min="3854" max="3854" width="17.7109375" style="1396" customWidth="1"/>
    <col min="3855" max="3855" width="12.28515625" style="1396" customWidth="1"/>
    <col min="3856" max="3856" width="7.5703125" style="1396" bestFit="1" customWidth="1"/>
    <col min="3857" max="3857" width="8.7109375" style="1396" bestFit="1" customWidth="1"/>
    <col min="3858" max="3858" width="7.5703125" style="1396" bestFit="1" customWidth="1"/>
    <col min="3859" max="3859" width="8.7109375" style="1396" bestFit="1" customWidth="1"/>
    <col min="3860" max="3860" width="7.28515625" style="1396" bestFit="1" customWidth="1"/>
    <col min="3861" max="3861" width="8.7109375" style="1396" bestFit="1" customWidth="1"/>
    <col min="3862" max="3862" width="22.7109375" style="1396" customWidth="1"/>
    <col min="3863" max="3863" width="18.28515625" style="1396" customWidth="1"/>
    <col min="3864" max="3864" width="13.85546875" style="1396" customWidth="1"/>
    <col min="3865" max="3865" width="14" style="1396" customWidth="1"/>
    <col min="3866" max="3866" width="9.28515625" style="1396" customWidth="1"/>
    <col min="3867" max="3867" width="12.7109375" style="1396" customWidth="1"/>
    <col min="3868" max="3868" width="6.42578125" style="1396" customWidth="1"/>
    <col min="3869" max="3869" width="14.42578125" style="1396" customWidth="1"/>
    <col min="3870" max="3870" width="10.28515625" style="1396" customWidth="1"/>
    <col min="3871" max="3871" width="12" style="1396" customWidth="1"/>
    <col min="3872" max="3872" width="8.7109375" style="1396" customWidth="1"/>
    <col min="3873" max="3873" width="10.5703125" style="1396" customWidth="1"/>
    <col min="3874" max="3874" width="16.42578125" style="1396" customWidth="1"/>
    <col min="3875" max="3875" width="15.140625" style="1396" customWidth="1"/>
    <col min="3876" max="3876" width="17" style="1396" customWidth="1"/>
    <col min="3877" max="3877" width="20.140625" style="1396" customWidth="1"/>
    <col min="3878" max="3878" width="20.28515625" style="1396" customWidth="1"/>
    <col min="3879" max="4096" width="28.7109375" style="1396"/>
    <col min="4097" max="4097" width="38.7109375" style="1396" customWidth="1"/>
    <col min="4098" max="4098" width="19.7109375" style="1396" bestFit="1" customWidth="1"/>
    <col min="4099" max="4099" width="11.140625" style="1396" bestFit="1" customWidth="1"/>
    <col min="4100" max="4100" width="18.42578125" style="1396" customWidth="1"/>
    <col min="4101" max="4101" width="16" style="1396" bestFit="1" customWidth="1"/>
    <col min="4102" max="4102" width="21.5703125" style="1396" customWidth="1"/>
    <col min="4103" max="4103" width="14.140625" style="1396" customWidth="1"/>
    <col min="4104" max="4104" width="12" style="1396" customWidth="1"/>
    <col min="4105" max="4105" width="17.7109375" style="1396" customWidth="1"/>
    <col min="4106" max="4106" width="16" style="1396" customWidth="1"/>
    <col min="4107" max="4108" width="16.7109375" style="1396" customWidth="1"/>
    <col min="4109" max="4109" width="28" style="1396" customWidth="1"/>
    <col min="4110" max="4110" width="17.7109375" style="1396" customWidth="1"/>
    <col min="4111" max="4111" width="12.28515625" style="1396" customWidth="1"/>
    <col min="4112" max="4112" width="7.5703125" style="1396" bestFit="1" customWidth="1"/>
    <col min="4113" max="4113" width="8.7109375" style="1396" bestFit="1" customWidth="1"/>
    <col min="4114" max="4114" width="7.5703125" style="1396" bestFit="1" customWidth="1"/>
    <col min="4115" max="4115" width="8.7109375" style="1396" bestFit="1" customWidth="1"/>
    <col min="4116" max="4116" width="7.28515625" style="1396" bestFit="1" customWidth="1"/>
    <col min="4117" max="4117" width="8.7109375" style="1396" bestFit="1" customWidth="1"/>
    <col min="4118" max="4118" width="22.7109375" style="1396" customWidth="1"/>
    <col min="4119" max="4119" width="18.28515625" style="1396" customWidth="1"/>
    <col min="4120" max="4120" width="13.85546875" style="1396" customWidth="1"/>
    <col min="4121" max="4121" width="14" style="1396" customWidth="1"/>
    <col min="4122" max="4122" width="9.28515625" style="1396" customWidth="1"/>
    <col min="4123" max="4123" width="12.7109375" style="1396" customWidth="1"/>
    <col min="4124" max="4124" width="6.42578125" style="1396" customWidth="1"/>
    <col min="4125" max="4125" width="14.42578125" style="1396" customWidth="1"/>
    <col min="4126" max="4126" width="10.28515625" style="1396" customWidth="1"/>
    <col min="4127" max="4127" width="12" style="1396" customWidth="1"/>
    <col min="4128" max="4128" width="8.7109375" style="1396" customWidth="1"/>
    <col min="4129" max="4129" width="10.5703125" style="1396" customWidth="1"/>
    <col min="4130" max="4130" width="16.42578125" style="1396" customWidth="1"/>
    <col min="4131" max="4131" width="15.140625" style="1396" customWidth="1"/>
    <col min="4132" max="4132" width="17" style="1396" customWidth="1"/>
    <col min="4133" max="4133" width="20.140625" style="1396" customWidth="1"/>
    <col min="4134" max="4134" width="20.28515625" style="1396" customWidth="1"/>
    <col min="4135" max="4352" width="28.7109375" style="1396"/>
    <col min="4353" max="4353" width="38.7109375" style="1396" customWidth="1"/>
    <col min="4354" max="4354" width="19.7109375" style="1396" bestFit="1" customWidth="1"/>
    <col min="4355" max="4355" width="11.140625" style="1396" bestFit="1" customWidth="1"/>
    <col min="4356" max="4356" width="18.42578125" style="1396" customWidth="1"/>
    <col min="4357" max="4357" width="16" style="1396" bestFit="1" customWidth="1"/>
    <col min="4358" max="4358" width="21.5703125" style="1396" customWidth="1"/>
    <col min="4359" max="4359" width="14.140625" style="1396" customWidth="1"/>
    <col min="4360" max="4360" width="12" style="1396" customWidth="1"/>
    <col min="4361" max="4361" width="17.7109375" style="1396" customWidth="1"/>
    <col min="4362" max="4362" width="16" style="1396" customWidth="1"/>
    <col min="4363" max="4364" width="16.7109375" style="1396" customWidth="1"/>
    <col min="4365" max="4365" width="28" style="1396" customWidth="1"/>
    <col min="4366" max="4366" width="17.7109375" style="1396" customWidth="1"/>
    <col min="4367" max="4367" width="12.28515625" style="1396" customWidth="1"/>
    <col min="4368" max="4368" width="7.5703125" style="1396" bestFit="1" customWidth="1"/>
    <col min="4369" max="4369" width="8.7109375" style="1396" bestFit="1" customWidth="1"/>
    <col min="4370" max="4370" width="7.5703125" style="1396" bestFit="1" customWidth="1"/>
    <col min="4371" max="4371" width="8.7109375" style="1396" bestFit="1" customWidth="1"/>
    <col min="4372" max="4372" width="7.28515625" style="1396" bestFit="1" customWidth="1"/>
    <col min="4373" max="4373" width="8.7109375" style="1396" bestFit="1" customWidth="1"/>
    <col min="4374" max="4374" width="22.7109375" style="1396" customWidth="1"/>
    <col min="4375" max="4375" width="18.28515625" style="1396" customWidth="1"/>
    <col min="4376" max="4376" width="13.85546875" style="1396" customWidth="1"/>
    <col min="4377" max="4377" width="14" style="1396" customWidth="1"/>
    <col min="4378" max="4378" width="9.28515625" style="1396" customWidth="1"/>
    <col min="4379" max="4379" width="12.7109375" style="1396" customWidth="1"/>
    <col min="4380" max="4380" width="6.42578125" style="1396" customWidth="1"/>
    <col min="4381" max="4381" width="14.42578125" style="1396" customWidth="1"/>
    <col min="4382" max="4382" width="10.28515625" style="1396" customWidth="1"/>
    <col min="4383" max="4383" width="12" style="1396" customWidth="1"/>
    <col min="4384" max="4384" width="8.7109375" style="1396" customWidth="1"/>
    <col min="4385" max="4385" width="10.5703125" style="1396" customWidth="1"/>
    <col min="4386" max="4386" width="16.42578125" style="1396" customWidth="1"/>
    <col min="4387" max="4387" width="15.140625" style="1396" customWidth="1"/>
    <col min="4388" max="4388" width="17" style="1396" customWidth="1"/>
    <col min="4389" max="4389" width="20.140625" style="1396" customWidth="1"/>
    <col min="4390" max="4390" width="20.28515625" style="1396" customWidth="1"/>
    <col min="4391" max="4608" width="28.7109375" style="1396"/>
    <col min="4609" max="4609" width="38.7109375" style="1396" customWidth="1"/>
    <col min="4610" max="4610" width="19.7109375" style="1396" bestFit="1" customWidth="1"/>
    <col min="4611" max="4611" width="11.140625" style="1396" bestFit="1" customWidth="1"/>
    <col min="4612" max="4612" width="18.42578125" style="1396" customWidth="1"/>
    <col min="4613" max="4613" width="16" style="1396" bestFit="1" customWidth="1"/>
    <col min="4614" max="4614" width="21.5703125" style="1396" customWidth="1"/>
    <col min="4615" max="4615" width="14.140625" style="1396" customWidth="1"/>
    <col min="4616" max="4616" width="12" style="1396" customWidth="1"/>
    <col min="4617" max="4617" width="17.7109375" style="1396" customWidth="1"/>
    <col min="4618" max="4618" width="16" style="1396" customWidth="1"/>
    <col min="4619" max="4620" width="16.7109375" style="1396" customWidth="1"/>
    <col min="4621" max="4621" width="28" style="1396" customWidth="1"/>
    <col min="4622" max="4622" width="17.7109375" style="1396" customWidth="1"/>
    <col min="4623" max="4623" width="12.28515625" style="1396" customWidth="1"/>
    <col min="4624" max="4624" width="7.5703125" style="1396" bestFit="1" customWidth="1"/>
    <col min="4625" max="4625" width="8.7109375" style="1396" bestFit="1" customWidth="1"/>
    <col min="4626" max="4626" width="7.5703125" style="1396" bestFit="1" customWidth="1"/>
    <col min="4627" max="4627" width="8.7109375" style="1396" bestFit="1" customWidth="1"/>
    <col min="4628" max="4628" width="7.28515625" style="1396" bestFit="1" customWidth="1"/>
    <col min="4629" max="4629" width="8.7109375" style="1396" bestFit="1" customWidth="1"/>
    <col min="4630" max="4630" width="22.7109375" style="1396" customWidth="1"/>
    <col min="4631" max="4631" width="18.28515625" style="1396" customWidth="1"/>
    <col min="4632" max="4632" width="13.85546875" style="1396" customWidth="1"/>
    <col min="4633" max="4633" width="14" style="1396" customWidth="1"/>
    <col min="4634" max="4634" width="9.28515625" style="1396" customWidth="1"/>
    <col min="4635" max="4635" width="12.7109375" style="1396" customWidth="1"/>
    <col min="4636" max="4636" width="6.42578125" style="1396" customWidth="1"/>
    <col min="4637" max="4637" width="14.42578125" style="1396" customWidth="1"/>
    <col min="4638" max="4638" width="10.28515625" style="1396" customWidth="1"/>
    <col min="4639" max="4639" width="12" style="1396" customWidth="1"/>
    <col min="4640" max="4640" width="8.7109375" style="1396" customWidth="1"/>
    <col min="4641" max="4641" width="10.5703125" style="1396" customWidth="1"/>
    <col min="4642" max="4642" width="16.42578125" style="1396" customWidth="1"/>
    <col min="4643" max="4643" width="15.140625" style="1396" customWidth="1"/>
    <col min="4644" max="4644" width="17" style="1396" customWidth="1"/>
    <col min="4645" max="4645" width="20.140625" style="1396" customWidth="1"/>
    <col min="4646" max="4646" width="20.28515625" style="1396" customWidth="1"/>
    <col min="4647" max="4864" width="28.7109375" style="1396"/>
    <col min="4865" max="4865" width="38.7109375" style="1396" customWidth="1"/>
    <col min="4866" max="4866" width="19.7109375" style="1396" bestFit="1" customWidth="1"/>
    <col min="4867" max="4867" width="11.140625" style="1396" bestFit="1" customWidth="1"/>
    <col min="4868" max="4868" width="18.42578125" style="1396" customWidth="1"/>
    <col min="4869" max="4869" width="16" style="1396" bestFit="1" customWidth="1"/>
    <col min="4870" max="4870" width="21.5703125" style="1396" customWidth="1"/>
    <col min="4871" max="4871" width="14.140625" style="1396" customWidth="1"/>
    <col min="4872" max="4872" width="12" style="1396" customWidth="1"/>
    <col min="4873" max="4873" width="17.7109375" style="1396" customWidth="1"/>
    <col min="4874" max="4874" width="16" style="1396" customWidth="1"/>
    <col min="4875" max="4876" width="16.7109375" style="1396" customWidth="1"/>
    <col min="4877" max="4877" width="28" style="1396" customWidth="1"/>
    <col min="4878" max="4878" width="17.7109375" style="1396" customWidth="1"/>
    <col min="4879" max="4879" width="12.28515625" style="1396" customWidth="1"/>
    <col min="4880" max="4880" width="7.5703125" style="1396" bestFit="1" customWidth="1"/>
    <col min="4881" max="4881" width="8.7109375" style="1396" bestFit="1" customWidth="1"/>
    <col min="4882" max="4882" width="7.5703125" style="1396" bestFit="1" customWidth="1"/>
    <col min="4883" max="4883" width="8.7109375" style="1396" bestFit="1" customWidth="1"/>
    <col min="4884" max="4884" width="7.28515625" style="1396" bestFit="1" customWidth="1"/>
    <col min="4885" max="4885" width="8.7109375" style="1396" bestFit="1" customWidth="1"/>
    <col min="4886" max="4886" width="22.7109375" style="1396" customWidth="1"/>
    <col min="4887" max="4887" width="18.28515625" style="1396" customWidth="1"/>
    <col min="4888" max="4888" width="13.85546875" style="1396" customWidth="1"/>
    <col min="4889" max="4889" width="14" style="1396" customWidth="1"/>
    <col min="4890" max="4890" width="9.28515625" style="1396" customWidth="1"/>
    <col min="4891" max="4891" width="12.7109375" style="1396" customWidth="1"/>
    <col min="4892" max="4892" width="6.42578125" style="1396" customWidth="1"/>
    <col min="4893" max="4893" width="14.42578125" style="1396" customWidth="1"/>
    <col min="4894" max="4894" width="10.28515625" style="1396" customWidth="1"/>
    <col min="4895" max="4895" width="12" style="1396" customWidth="1"/>
    <col min="4896" max="4896" width="8.7109375" style="1396" customWidth="1"/>
    <col min="4897" max="4897" width="10.5703125" style="1396" customWidth="1"/>
    <col min="4898" max="4898" width="16.42578125" style="1396" customWidth="1"/>
    <col min="4899" max="4899" width="15.140625" style="1396" customWidth="1"/>
    <col min="4900" max="4900" width="17" style="1396" customWidth="1"/>
    <col min="4901" max="4901" width="20.140625" style="1396" customWidth="1"/>
    <col min="4902" max="4902" width="20.28515625" style="1396" customWidth="1"/>
    <col min="4903" max="5120" width="28.7109375" style="1396"/>
    <col min="5121" max="5121" width="38.7109375" style="1396" customWidth="1"/>
    <col min="5122" max="5122" width="19.7109375" style="1396" bestFit="1" customWidth="1"/>
    <col min="5123" max="5123" width="11.140625" style="1396" bestFit="1" customWidth="1"/>
    <col min="5124" max="5124" width="18.42578125" style="1396" customWidth="1"/>
    <col min="5125" max="5125" width="16" style="1396" bestFit="1" customWidth="1"/>
    <col min="5126" max="5126" width="21.5703125" style="1396" customWidth="1"/>
    <col min="5127" max="5127" width="14.140625" style="1396" customWidth="1"/>
    <col min="5128" max="5128" width="12" style="1396" customWidth="1"/>
    <col min="5129" max="5129" width="17.7109375" style="1396" customWidth="1"/>
    <col min="5130" max="5130" width="16" style="1396" customWidth="1"/>
    <col min="5131" max="5132" width="16.7109375" style="1396" customWidth="1"/>
    <col min="5133" max="5133" width="28" style="1396" customWidth="1"/>
    <col min="5134" max="5134" width="17.7109375" style="1396" customWidth="1"/>
    <col min="5135" max="5135" width="12.28515625" style="1396" customWidth="1"/>
    <col min="5136" max="5136" width="7.5703125" style="1396" bestFit="1" customWidth="1"/>
    <col min="5137" max="5137" width="8.7109375" style="1396" bestFit="1" customWidth="1"/>
    <col min="5138" max="5138" width="7.5703125" style="1396" bestFit="1" customWidth="1"/>
    <col min="5139" max="5139" width="8.7109375" style="1396" bestFit="1" customWidth="1"/>
    <col min="5140" max="5140" width="7.28515625" style="1396" bestFit="1" customWidth="1"/>
    <col min="5141" max="5141" width="8.7109375" style="1396" bestFit="1" customWidth="1"/>
    <col min="5142" max="5142" width="22.7109375" style="1396" customWidth="1"/>
    <col min="5143" max="5143" width="18.28515625" style="1396" customWidth="1"/>
    <col min="5144" max="5144" width="13.85546875" style="1396" customWidth="1"/>
    <col min="5145" max="5145" width="14" style="1396" customWidth="1"/>
    <col min="5146" max="5146" width="9.28515625" style="1396" customWidth="1"/>
    <col min="5147" max="5147" width="12.7109375" style="1396" customWidth="1"/>
    <col min="5148" max="5148" width="6.42578125" style="1396" customWidth="1"/>
    <col min="5149" max="5149" width="14.42578125" style="1396" customWidth="1"/>
    <col min="5150" max="5150" width="10.28515625" style="1396" customWidth="1"/>
    <col min="5151" max="5151" width="12" style="1396" customWidth="1"/>
    <col min="5152" max="5152" width="8.7109375" style="1396" customWidth="1"/>
    <col min="5153" max="5153" width="10.5703125" style="1396" customWidth="1"/>
    <col min="5154" max="5154" width="16.42578125" style="1396" customWidth="1"/>
    <col min="5155" max="5155" width="15.140625" style="1396" customWidth="1"/>
    <col min="5156" max="5156" width="17" style="1396" customWidth="1"/>
    <col min="5157" max="5157" width="20.140625" style="1396" customWidth="1"/>
    <col min="5158" max="5158" width="20.28515625" style="1396" customWidth="1"/>
    <col min="5159" max="5376" width="28.7109375" style="1396"/>
    <col min="5377" max="5377" width="38.7109375" style="1396" customWidth="1"/>
    <col min="5378" max="5378" width="19.7109375" style="1396" bestFit="1" customWidth="1"/>
    <col min="5379" max="5379" width="11.140625" style="1396" bestFit="1" customWidth="1"/>
    <col min="5380" max="5380" width="18.42578125" style="1396" customWidth="1"/>
    <col min="5381" max="5381" width="16" style="1396" bestFit="1" customWidth="1"/>
    <col min="5382" max="5382" width="21.5703125" style="1396" customWidth="1"/>
    <col min="5383" max="5383" width="14.140625" style="1396" customWidth="1"/>
    <col min="5384" max="5384" width="12" style="1396" customWidth="1"/>
    <col min="5385" max="5385" width="17.7109375" style="1396" customWidth="1"/>
    <col min="5386" max="5386" width="16" style="1396" customWidth="1"/>
    <col min="5387" max="5388" width="16.7109375" style="1396" customWidth="1"/>
    <col min="5389" max="5389" width="28" style="1396" customWidth="1"/>
    <col min="5390" max="5390" width="17.7109375" style="1396" customWidth="1"/>
    <col min="5391" max="5391" width="12.28515625" style="1396" customWidth="1"/>
    <col min="5392" max="5392" width="7.5703125" style="1396" bestFit="1" customWidth="1"/>
    <col min="5393" max="5393" width="8.7109375" style="1396" bestFit="1" customWidth="1"/>
    <col min="5394" max="5394" width="7.5703125" style="1396" bestFit="1" customWidth="1"/>
    <col min="5395" max="5395" width="8.7109375" style="1396" bestFit="1" customWidth="1"/>
    <col min="5396" max="5396" width="7.28515625" style="1396" bestFit="1" customWidth="1"/>
    <col min="5397" max="5397" width="8.7109375" style="1396" bestFit="1" customWidth="1"/>
    <col min="5398" max="5398" width="22.7109375" style="1396" customWidth="1"/>
    <col min="5399" max="5399" width="18.28515625" style="1396" customWidth="1"/>
    <col min="5400" max="5400" width="13.85546875" style="1396" customWidth="1"/>
    <col min="5401" max="5401" width="14" style="1396" customWidth="1"/>
    <col min="5402" max="5402" width="9.28515625" style="1396" customWidth="1"/>
    <col min="5403" max="5403" width="12.7109375" style="1396" customWidth="1"/>
    <col min="5404" max="5404" width="6.42578125" style="1396" customWidth="1"/>
    <col min="5405" max="5405" width="14.42578125" style="1396" customWidth="1"/>
    <col min="5406" max="5406" width="10.28515625" style="1396" customWidth="1"/>
    <col min="5407" max="5407" width="12" style="1396" customWidth="1"/>
    <col min="5408" max="5408" width="8.7109375" style="1396" customWidth="1"/>
    <col min="5409" max="5409" width="10.5703125" style="1396" customWidth="1"/>
    <col min="5410" max="5410" width="16.42578125" style="1396" customWidth="1"/>
    <col min="5411" max="5411" width="15.140625" style="1396" customWidth="1"/>
    <col min="5412" max="5412" width="17" style="1396" customWidth="1"/>
    <col min="5413" max="5413" width="20.140625" style="1396" customWidth="1"/>
    <col min="5414" max="5414" width="20.28515625" style="1396" customWidth="1"/>
    <col min="5415" max="5632" width="28.7109375" style="1396"/>
    <col min="5633" max="5633" width="38.7109375" style="1396" customWidth="1"/>
    <col min="5634" max="5634" width="19.7109375" style="1396" bestFit="1" customWidth="1"/>
    <col min="5635" max="5635" width="11.140625" style="1396" bestFit="1" customWidth="1"/>
    <col min="5636" max="5636" width="18.42578125" style="1396" customWidth="1"/>
    <col min="5637" max="5637" width="16" style="1396" bestFit="1" customWidth="1"/>
    <col min="5638" max="5638" width="21.5703125" style="1396" customWidth="1"/>
    <col min="5639" max="5639" width="14.140625" style="1396" customWidth="1"/>
    <col min="5640" max="5640" width="12" style="1396" customWidth="1"/>
    <col min="5641" max="5641" width="17.7109375" style="1396" customWidth="1"/>
    <col min="5642" max="5642" width="16" style="1396" customWidth="1"/>
    <col min="5643" max="5644" width="16.7109375" style="1396" customWidth="1"/>
    <col min="5645" max="5645" width="28" style="1396" customWidth="1"/>
    <col min="5646" max="5646" width="17.7109375" style="1396" customWidth="1"/>
    <col min="5647" max="5647" width="12.28515625" style="1396" customWidth="1"/>
    <col min="5648" max="5648" width="7.5703125" style="1396" bestFit="1" customWidth="1"/>
    <col min="5649" max="5649" width="8.7109375" style="1396" bestFit="1" customWidth="1"/>
    <col min="5650" max="5650" width="7.5703125" style="1396" bestFit="1" customWidth="1"/>
    <col min="5651" max="5651" width="8.7109375" style="1396" bestFit="1" customWidth="1"/>
    <col min="5652" max="5652" width="7.28515625" style="1396" bestFit="1" customWidth="1"/>
    <col min="5653" max="5653" width="8.7109375" style="1396" bestFit="1" customWidth="1"/>
    <col min="5654" max="5654" width="22.7109375" style="1396" customWidth="1"/>
    <col min="5655" max="5655" width="18.28515625" style="1396" customWidth="1"/>
    <col min="5656" max="5656" width="13.85546875" style="1396" customWidth="1"/>
    <col min="5657" max="5657" width="14" style="1396" customWidth="1"/>
    <col min="5658" max="5658" width="9.28515625" style="1396" customWidth="1"/>
    <col min="5659" max="5659" width="12.7109375" style="1396" customWidth="1"/>
    <col min="5660" max="5660" width="6.42578125" style="1396" customWidth="1"/>
    <col min="5661" max="5661" width="14.42578125" style="1396" customWidth="1"/>
    <col min="5662" max="5662" width="10.28515625" style="1396" customWidth="1"/>
    <col min="5663" max="5663" width="12" style="1396" customWidth="1"/>
    <col min="5664" max="5664" width="8.7109375" style="1396" customWidth="1"/>
    <col min="5665" max="5665" width="10.5703125" style="1396" customWidth="1"/>
    <col min="5666" max="5666" width="16.42578125" style="1396" customWidth="1"/>
    <col min="5667" max="5667" width="15.140625" style="1396" customWidth="1"/>
    <col min="5668" max="5668" width="17" style="1396" customWidth="1"/>
    <col min="5669" max="5669" width="20.140625" style="1396" customWidth="1"/>
    <col min="5670" max="5670" width="20.28515625" style="1396" customWidth="1"/>
    <col min="5671" max="5888" width="28.7109375" style="1396"/>
    <col min="5889" max="5889" width="38.7109375" style="1396" customWidth="1"/>
    <col min="5890" max="5890" width="19.7109375" style="1396" bestFit="1" customWidth="1"/>
    <col min="5891" max="5891" width="11.140625" style="1396" bestFit="1" customWidth="1"/>
    <col min="5892" max="5892" width="18.42578125" style="1396" customWidth="1"/>
    <col min="5893" max="5893" width="16" style="1396" bestFit="1" customWidth="1"/>
    <col min="5894" max="5894" width="21.5703125" style="1396" customWidth="1"/>
    <col min="5895" max="5895" width="14.140625" style="1396" customWidth="1"/>
    <col min="5896" max="5896" width="12" style="1396" customWidth="1"/>
    <col min="5897" max="5897" width="17.7109375" style="1396" customWidth="1"/>
    <col min="5898" max="5898" width="16" style="1396" customWidth="1"/>
    <col min="5899" max="5900" width="16.7109375" style="1396" customWidth="1"/>
    <col min="5901" max="5901" width="28" style="1396" customWidth="1"/>
    <col min="5902" max="5902" width="17.7109375" style="1396" customWidth="1"/>
    <col min="5903" max="5903" width="12.28515625" style="1396" customWidth="1"/>
    <col min="5904" max="5904" width="7.5703125" style="1396" bestFit="1" customWidth="1"/>
    <col min="5905" max="5905" width="8.7109375" style="1396" bestFit="1" customWidth="1"/>
    <col min="5906" max="5906" width="7.5703125" style="1396" bestFit="1" customWidth="1"/>
    <col min="5907" max="5907" width="8.7109375" style="1396" bestFit="1" customWidth="1"/>
    <col min="5908" max="5908" width="7.28515625" style="1396" bestFit="1" customWidth="1"/>
    <col min="5909" max="5909" width="8.7109375" style="1396" bestFit="1" customWidth="1"/>
    <col min="5910" max="5910" width="22.7109375" style="1396" customWidth="1"/>
    <col min="5911" max="5911" width="18.28515625" style="1396" customWidth="1"/>
    <col min="5912" max="5912" width="13.85546875" style="1396" customWidth="1"/>
    <col min="5913" max="5913" width="14" style="1396" customWidth="1"/>
    <col min="5914" max="5914" width="9.28515625" style="1396" customWidth="1"/>
    <col min="5915" max="5915" width="12.7109375" style="1396" customWidth="1"/>
    <col min="5916" max="5916" width="6.42578125" style="1396" customWidth="1"/>
    <col min="5917" max="5917" width="14.42578125" style="1396" customWidth="1"/>
    <col min="5918" max="5918" width="10.28515625" style="1396" customWidth="1"/>
    <col min="5919" max="5919" width="12" style="1396" customWidth="1"/>
    <col min="5920" max="5920" width="8.7109375" style="1396" customWidth="1"/>
    <col min="5921" max="5921" width="10.5703125" style="1396" customWidth="1"/>
    <col min="5922" max="5922" width="16.42578125" style="1396" customWidth="1"/>
    <col min="5923" max="5923" width="15.140625" style="1396" customWidth="1"/>
    <col min="5924" max="5924" width="17" style="1396" customWidth="1"/>
    <col min="5925" max="5925" width="20.140625" style="1396" customWidth="1"/>
    <col min="5926" max="5926" width="20.28515625" style="1396" customWidth="1"/>
    <col min="5927" max="6144" width="28.7109375" style="1396"/>
    <col min="6145" max="6145" width="38.7109375" style="1396" customWidth="1"/>
    <col min="6146" max="6146" width="19.7109375" style="1396" bestFit="1" customWidth="1"/>
    <col min="6147" max="6147" width="11.140625" style="1396" bestFit="1" customWidth="1"/>
    <col min="6148" max="6148" width="18.42578125" style="1396" customWidth="1"/>
    <col min="6149" max="6149" width="16" style="1396" bestFit="1" customWidth="1"/>
    <col min="6150" max="6150" width="21.5703125" style="1396" customWidth="1"/>
    <col min="6151" max="6151" width="14.140625" style="1396" customWidth="1"/>
    <col min="6152" max="6152" width="12" style="1396" customWidth="1"/>
    <col min="6153" max="6153" width="17.7109375" style="1396" customWidth="1"/>
    <col min="6154" max="6154" width="16" style="1396" customWidth="1"/>
    <col min="6155" max="6156" width="16.7109375" style="1396" customWidth="1"/>
    <col min="6157" max="6157" width="28" style="1396" customWidth="1"/>
    <col min="6158" max="6158" width="17.7109375" style="1396" customWidth="1"/>
    <col min="6159" max="6159" width="12.28515625" style="1396" customWidth="1"/>
    <col min="6160" max="6160" width="7.5703125" style="1396" bestFit="1" customWidth="1"/>
    <col min="6161" max="6161" width="8.7109375" style="1396" bestFit="1" customWidth="1"/>
    <col min="6162" max="6162" width="7.5703125" style="1396" bestFit="1" customWidth="1"/>
    <col min="6163" max="6163" width="8.7109375" style="1396" bestFit="1" customWidth="1"/>
    <col min="6164" max="6164" width="7.28515625" style="1396" bestFit="1" customWidth="1"/>
    <col min="6165" max="6165" width="8.7109375" style="1396" bestFit="1" customWidth="1"/>
    <col min="6166" max="6166" width="22.7109375" style="1396" customWidth="1"/>
    <col min="6167" max="6167" width="18.28515625" style="1396" customWidth="1"/>
    <col min="6168" max="6168" width="13.85546875" style="1396" customWidth="1"/>
    <col min="6169" max="6169" width="14" style="1396" customWidth="1"/>
    <col min="6170" max="6170" width="9.28515625" style="1396" customWidth="1"/>
    <col min="6171" max="6171" width="12.7109375" style="1396" customWidth="1"/>
    <col min="6172" max="6172" width="6.42578125" style="1396" customWidth="1"/>
    <col min="6173" max="6173" width="14.42578125" style="1396" customWidth="1"/>
    <col min="6174" max="6174" width="10.28515625" style="1396" customWidth="1"/>
    <col min="6175" max="6175" width="12" style="1396" customWidth="1"/>
    <col min="6176" max="6176" width="8.7109375" style="1396" customWidth="1"/>
    <col min="6177" max="6177" width="10.5703125" style="1396" customWidth="1"/>
    <col min="6178" max="6178" width="16.42578125" style="1396" customWidth="1"/>
    <col min="6179" max="6179" width="15.140625" style="1396" customWidth="1"/>
    <col min="6180" max="6180" width="17" style="1396" customWidth="1"/>
    <col min="6181" max="6181" width="20.140625" style="1396" customWidth="1"/>
    <col min="6182" max="6182" width="20.28515625" style="1396" customWidth="1"/>
    <col min="6183" max="6400" width="28.7109375" style="1396"/>
    <col min="6401" max="6401" width="38.7109375" style="1396" customWidth="1"/>
    <col min="6402" max="6402" width="19.7109375" style="1396" bestFit="1" customWidth="1"/>
    <col min="6403" max="6403" width="11.140625" style="1396" bestFit="1" customWidth="1"/>
    <col min="6404" max="6404" width="18.42578125" style="1396" customWidth="1"/>
    <col min="6405" max="6405" width="16" style="1396" bestFit="1" customWidth="1"/>
    <col min="6406" max="6406" width="21.5703125" style="1396" customWidth="1"/>
    <col min="6407" max="6407" width="14.140625" style="1396" customWidth="1"/>
    <col min="6408" max="6408" width="12" style="1396" customWidth="1"/>
    <col min="6409" max="6409" width="17.7109375" style="1396" customWidth="1"/>
    <col min="6410" max="6410" width="16" style="1396" customWidth="1"/>
    <col min="6411" max="6412" width="16.7109375" style="1396" customWidth="1"/>
    <col min="6413" max="6413" width="28" style="1396" customWidth="1"/>
    <col min="6414" max="6414" width="17.7109375" style="1396" customWidth="1"/>
    <col min="6415" max="6415" width="12.28515625" style="1396" customWidth="1"/>
    <col min="6416" max="6416" width="7.5703125" style="1396" bestFit="1" customWidth="1"/>
    <col min="6417" max="6417" width="8.7109375" style="1396" bestFit="1" customWidth="1"/>
    <col min="6418" max="6418" width="7.5703125" style="1396" bestFit="1" customWidth="1"/>
    <col min="6419" max="6419" width="8.7109375" style="1396" bestFit="1" customWidth="1"/>
    <col min="6420" max="6420" width="7.28515625" style="1396" bestFit="1" customWidth="1"/>
    <col min="6421" max="6421" width="8.7109375" style="1396" bestFit="1" customWidth="1"/>
    <col min="6422" max="6422" width="22.7109375" style="1396" customWidth="1"/>
    <col min="6423" max="6423" width="18.28515625" style="1396" customWidth="1"/>
    <col min="6424" max="6424" width="13.85546875" style="1396" customWidth="1"/>
    <col min="6425" max="6425" width="14" style="1396" customWidth="1"/>
    <col min="6426" max="6426" width="9.28515625" style="1396" customWidth="1"/>
    <col min="6427" max="6427" width="12.7109375" style="1396" customWidth="1"/>
    <col min="6428" max="6428" width="6.42578125" style="1396" customWidth="1"/>
    <col min="6429" max="6429" width="14.42578125" style="1396" customWidth="1"/>
    <col min="6430" max="6430" width="10.28515625" style="1396" customWidth="1"/>
    <col min="6431" max="6431" width="12" style="1396" customWidth="1"/>
    <col min="6432" max="6432" width="8.7109375" style="1396" customWidth="1"/>
    <col min="6433" max="6433" width="10.5703125" style="1396" customWidth="1"/>
    <col min="6434" max="6434" width="16.42578125" style="1396" customWidth="1"/>
    <col min="6435" max="6435" width="15.140625" style="1396" customWidth="1"/>
    <col min="6436" max="6436" width="17" style="1396" customWidth="1"/>
    <col min="6437" max="6437" width="20.140625" style="1396" customWidth="1"/>
    <col min="6438" max="6438" width="20.28515625" style="1396" customWidth="1"/>
    <col min="6439" max="6656" width="28.7109375" style="1396"/>
    <col min="6657" max="6657" width="38.7109375" style="1396" customWidth="1"/>
    <col min="6658" max="6658" width="19.7109375" style="1396" bestFit="1" customWidth="1"/>
    <col min="6659" max="6659" width="11.140625" style="1396" bestFit="1" customWidth="1"/>
    <col min="6660" max="6660" width="18.42578125" style="1396" customWidth="1"/>
    <col min="6661" max="6661" width="16" style="1396" bestFit="1" customWidth="1"/>
    <col min="6662" max="6662" width="21.5703125" style="1396" customWidth="1"/>
    <col min="6663" max="6663" width="14.140625" style="1396" customWidth="1"/>
    <col min="6664" max="6664" width="12" style="1396" customWidth="1"/>
    <col min="6665" max="6665" width="17.7109375" style="1396" customWidth="1"/>
    <col min="6666" max="6666" width="16" style="1396" customWidth="1"/>
    <col min="6667" max="6668" width="16.7109375" style="1396" customWidth="1"/>
    <col min="6669" max="6669" width="28" style="1396" customWidth="1"/>
    <col min="6670" max="6670" width="17.7109375" style="1396" customWidth="1"/>
    <col min="6671" max="6671" width="12.28515625" style="1396" customWidth="1"/>
    <col min="6672" max="6672" width="7.5703125" style="1396" bestFit="1" customWidth="1"/>
    <col min="6673" max="6673" width="8.7109375" style="1396" bestFit="1" customWidth="1"/>
    <col min="6674" max="6674" width="7.5703125" style="1396" bestFit="1" customWidth="1"/>
    <col min="6675" max="6675" width="8.7109375" style="1396" bestFit="1" customWidth="1"/>
    <col min="6676" max="6676" width="7.28515625" style="1396" bestFit="1" customWidth="1"/>
    <col min="6677" max="6677" width="8.7109375" style="1396" bestFit="1" customWidth="1"/>
    <col min="6678" max="6678" width="22.7109375" style="1396" customWidth="1"/>
    <col min="6679" max="6679" width="18.28515625" style="1396" customWidth="1"/>
    <col min="6680" max="6680" width="13.85546875" style="1396" customWidth="1"/>
    <col min="6681" max="6681" width="14" style="1396" customWidth="1"/>
    <col min="6682" max="6682" width="9.28515625" style="1396" customWidth="1"/>
    <col min="6683" max="6683" width="12.7109375" style="1396" customWidth="1"/>
    <col min="6684" max="6684" width="6.42578125" style="1396" customWidth="1"/>
    <col min="6685" max="6685" width="14.42578125" style="1396" customWidth="1"/>
    <col min="6686" max="6686" width="10.28515625" style="1396" customWidth="1"/>
    <col min="6687" max="6687" width="12" style="1396" customWidth="1"/>
    <col min="6688" max="6688" width="8.7109375" style="1396" customWidth="1"/>
    <col min="6689" max="6689" width="10.5703125" style="1396" customWidth="1"/>
    <col min="6690" max="6690" width="16.42578125" style="1396" customWidth="1"/>
    <col min="6691" max="6691" width="15.140625" style="1396" customWidth="1"/>
    <col min="6692" max="6692" width="17" style="1396" customWidth="1"/>
    <col min="6693" max="6693" width="20.140625" style="1396" customWidth="1"/>
    <col min="6694" max="6694" width="20.28515625" style="1396" customWidth="1"/>
    <col min="6695" max="6912" width="28.7109375" style="1396"/>
    <col min="6913" max="6913" width="38.7109375" style="1396" customWidth="1"/>
    <col min="6914" max="6914" width="19.7109375" style="1396" bestFit="1" customWidth="1"/>
    <col min="6915" max="6915" width="11.140625" style="1396" bestFit="1" customWidth="1"/>
    <col min="6916" max="6916" width="18.42578125" style="1396" customWidth="1"/>
    <col min="6917" max="6917" width="16" style="1396" bestFit="1" customWidth="1"/>
    <col min="6918" max="6918" width="21.5703125" style="1396" customWidth="1"/>
    <col min="6919" max="6919" width="14.140625" style="1396" customWidth="1"/>
    <col min="6920" max="6920" width="12" style="1396" customWidth="1"/>
    <col min="6921" max="6921" width="17.7109375" style="1396" customWidth="1"/>
    <col min="6922" max="6922" width="16" style="1396" customWidth="1"/>
    <col min="6923" max="6924" width="16.7109375" style="1396" customWidth="1"/>
    <col min="6925" max="6925" width="28" style="1396" customWidth="1"/>
    <col min="6926" max="6926" width="17.7109375" style="1396" customWidth="1"/>
    <col min="6927" max="6927" width="12.28515625" style="1396" customWidth="1"/>
    <col min="6928" max="6928" width="7.5703125" style="1396" bestFit="1" customWidth="1"/>
    <col min="6929" max="6929" width="8.7109375" style="1396" bestFit="1" customWidth="1"/>
    <col min="6930" max="6930" width="7.5703125" style="1396" bestFit="1" customWidth="1"/>
    <col min="6931" max="6931" width="8.7109375" style="1396" bestFit="1" customWidth="1"/>
    <col min="6932" max="6932" width="7.28515625" style="1396" bestFit="1" customWidth="1"/>
    <col min="6933" max="6933" width="8.7109375" style="1396" bestFit="1" customWidth="1"/>
    <col min="6934" max="6934" width="22.7109375" style="1396" customWidth="1"/>
    <col min="6935" max="6935" width="18.28515625" style="1396" customWidth="1"/>
    <col min="6936" max="6936" width="13.85546875" style="1396" customWidth="1"/>
    <col min="6937" max="6937" width="14" style="1396" customWidth="1"/>
    <col min="6938" max="6938" width="9.28515625" style="1396" customWidth="1"/>
    <col min="6939" max="6939" width="12.7109375" style="1396" customWidth="1"/>
    <col min="6940" max="6940" width="6.42578125" style="1396" customWidth="1"/>
    <col min="6941" max="6941" width="14.42578125" style="1396" customWidth="1"/>
    <col min="6942" max="6942" width="10.28515625" style="1396" customWidth="1"/>
    <col min="6943" max="6943" width="12" style="1396" customWidth="1"/>
    <col min="6944" max="6944" width="8.7109375" style="1396" customWidth="1"/>
    <col min="6945" max="6945" width="10.5703125" style="1396" customWidth="1"/>
    <col min="6946" max="6946" width="16.42578125" style="1396" customWidth="1"/>
    <col min="6947" max="6947" width="15.140625" style="1396" customWidth="1"/>
    <col min="6948" max="6948" width="17" style="1396" customWidth="1"/>
    <col min="6949" max="6949" width="20.140625" style="1396" customWidth="1"/>
    <col min="6950" max="6950" width="20.28515625" style="1396" customWidth="1"/>
    <col min="6951" max="7168" width="28.7109375" style="1396"/>
    <col min="7169" max="7169" width="38.7109375" style="1396" customWidth="1"/>
    <col min="7170" max="7170" width="19.7109375" style="1396" bestFit="1" customWidth="1"/>
    <col min="7171" max="7171" width="11.140625" style="1396" bestFit="1" customWidth="1"/>
    <col min="7172" max="7172" width="18.42578125" style="1396" customWidth="1"/>
    <col min="7173" max="7173" width="16" style="1396" bestFit="1" customWidth="1"/>
    <col min="7174" max="7174" width="21.5703125" style="1396" customWidth="1"/>
    <col min="7175" max="7175" width="14.140625" style="1396" customWidth="1"/>
    <col min="7176" max="7176" width="12" style="1396" customWidth="1"/>
    <col min="7177" max="7177" width="17.7109375" style="1396" customWidth="1"/>
    <col min="7178" max="7178" width="16" style="1396" customWidth="1"/>
    <col min="7179" max="7180" width="16.7109375" style="1396" customWidth="1"/>
    <col min="7181" max="7181" width="28" style="1396" customWidth="1"/>
    <col min="7182" max="7182" width="17.7109375" style="1396" customWidth="1"/>
    <col min="7183" max="7183" width="12.28515625" style="1396" customWidth="1"/>
    <col min="7184" max="7184" width="7.5703125" style="1396" bestFit="1" customWidth="1"/>
    <col min="7185" max="7185" width="8.7109375" style="1396" bestFit="1" customWidth="1"/>
    <col min="7186" max="7186" width="7.5703125" style="1396" bestFit="1" customWidth="1"/>
    <col min="7187" max="7187" width="8.7109375" style="1396" bestFit="1" customWidth="1"/>
    <col min="7188" max="7188" width="7.28515625" style="1396" bestFit="1" customWidth="1"/>
    <col min="7189" max="7189" width="8.7109375" style="1396" bestFit="1" customWidth="1"/>
    <col min="7190" max="7190" width="22.7109375" style="1396" customWidth="1"/>
    <col min="7191" max="7191" width="18.28515625" style="1396" customWidth="1"/>
    <col min="7192" max="7192" width="13.85546875" style="1396" customWidth="1"/>
    <col min="7193" max="7193" width="14" style="1396" customWidth="1"/>
    <col min="7194" max="7194" width="9.28515625" style="1396" customWidth="1"/>
    <col min="7195" max="7195" width="12.7109375" style="1396" customWidth="1"/>
    <col min="7196" max="7196" width="6.42578125" style="1396" customWidth="1"/>
    <col min="7197" max="7197" width="14.42578125" style="1396" customWidth="1"/>
    <col min="7198" max="7198" width="10.28515625" style="1396" customWidth="1"/>
    <col min="7199" max="7199" width="12" style="1396" customWidth="1"/>
    <col min="7200" max="7200" width="8.7109375" style="1396" customWidth="1"/>
    <col min="7201" max="7201" width="10.5703125" style="1396" customWidth="1"/>
    <col min="7202" max="7202" width="16.42578125" style="1396" customWidth="1"/>
    <col min="7203" max="7203" width="15.140625" style="1396" customWidth="1"/>
    <col min="7204" max="7204" width="17" style="1396" customWidth="1"/>
    <col min="7205" max="7205" width="20.140625" style="1396" customWidth="1"/>
    <col min="7206" max="7206" width="20.28515625" style="1396" customWidth="1"/>
    <col min="7207" max="7424" width="28.7109375" style="1396"/>
    <col min="7425" max="7425" width="38.7109375" style="1396" customWidth="1"/>
    <col min="7426" max="7426" width="19.7109375" style="1396" bestFit="1" customWidth="1"/>
    <col min="7427" max="7427" width="11.140625" style="1396" bestFit="1" customWidth="1"/>
    <col min="7428" max="7428" width="18.42578125" style="1396" customWidth="1"/>
    <col min="7429" max="7429" width="16" style="1396" bestFit="1" customWidth="1"/>
    <col min="7430" max="7430" width="21.5703125" style="1396" customWidth="1"/>
    <col min="7431" max="7431" width="14.140625" style="1396" customWidth="1"/>
    <col min="7432" max="7432" width="12" style="1396" customWidth="1"/>
    <col min="7433" max="7433" width="17.7109375" style="1396" customWidth="1"/>
    <col min="7434" max="7434" width="16" style="1396" customWidth="1"/>
    <col min="7435" max="7436" width="16.7109375" style="1396" customWidth="1"/>
    <col min="7437" max="7437" width="28" style="1396" customWidth="1"/>
    <col min="7438" max="7438" width="17.7109375" style="1396" customWidth="1"/>
    <col min="7439" max="7439" width="12.28515625" style="1396" customWidth="1"/>
    <col min="7440" max="7440" width="7.5703125" style="1396" bestFit="1" customWidth="1"/>
    <col min="7441" max="7441" width="8.7109375" style="1396" bestFit="1" customWidth="1"/>
    <col min="7442" max="7442" width="7.5703125" style="1396" bestFit="1" customWidth="1"/>
    <col min="7443" max="7443" width="8.7109375" style="1396" bestFit="1" customWidth="1"/>
    <col min="7444" max="7444" width="7.28515625" style="1396" bestFit="1" customWidth="1"/>
    <col min="7445" max="7445" width="8.7109375" style="1396" bestFit="1" customWidth="1"/>
    <col min="7446" max="7446" width="22.7109375" style="1396" customWidth="1"/>
    <col min="7447" max="7447" width="18.28515625" style="1396" customWidth="1"/>
    <col min="7448" max="7448" width="13.85546875" style="1396" customWidth="1"/>
    <col min="7449" max="7449" width="14" style="1396" customWidth="1"/>
    <col min="7450" max="7450" width="9.28515625" style="1396" customWidth="1"/>
    <col min="7451" max="7451" width="12.7109375" style="1396" customWidth="1"/>
    <col min="7452" max="7452" width="6.42578125" style="1396" customWidth="1"/>
    <col min="7453" max="7453" width="14.42578125" style="1396" customWidth="1"/>
    <col min="7454" max="7454" width="10.28515625" style="1396" customWidth="1"/>
    <col min="7455" max="7455" width="12" style="1396" customWidth="1"/>
    <col min="7456" max="7456" width="8.7109375" style="1396" customWidth="1"/>
    <col min="7457" max="7457" width="10.5703125" style="1396" customWidth="1"/>
    <col min="7458" max="7458" width="16.42578125" style="1396" customWidth="1"/>
    <col min="7459" max="7459" width="15.140625" style="1396" customWidth="1"/>
    <col min="7460" max="7460" width="17" style="1396" customWidth="1"/>
    <col min="7461" max="7461" width="20.140625" style="1396" customWidth="1"/>
    <col min="7462" max="7462" width="20.28515625" style="1396" customWidth="1"/>
    <col min="7463" max="7680" width="28.7109375" style="1396"/>
    <col min="7681" max="7681" width="38.7109375" style="1396" customWidth="1"/>
    <col min="7682" max="7682" width="19.7109375" style="1396" bestFit="1" customWidth="1"/>
    <col min="7683" max="7683" width="11.140625" style="1396" bestFit="1" customWidth="1"/>
    <col min="7684" max="7684" width="18.42578125" style="1396" customWidth="1"/>
    <col min="7685" max="7685" width="16" style="1396" bestFit="1" customWidth="1"/>
    <col min="7686" max="7686" width="21.5703125" style="1396" customWidth="1"/>
    <col min="7687" max="7687" width="14.140625" style="1396" customWidth="1"/>
    <col min="7688" max="7688" width="12" style="1396" customWidth="1"/>
    <col min="7689" max="7689" width="17.7109375" style="1396" customWidth="1"/>
    <col min="7690" max="7690" width="16" style="1396" customWidth="1"/>
    <col min="7691" max="7692" width="16.7109375" style="1396" customWidth="1"/>
    <col min="7693" max="7693" width="28" style="1396" customWidth="1"/>
    <col min="7694" max="7694" width="17.7109375" style="1396" customWidth="1"/>
    <col min="7695" max="7695" width="12.28515625" style="1396" customWidth="1"/>
    <col min="7696" max="7696" width="7.5703125" style="1396" bestFit="1" customWidth="1"/>
    <col min="7697" max="7697" width="8.7109375" style="1396" bestFit="1" customWidth="1"/>
    <col min="7698" max="7698" width="7.5703125" style="1396" bestFit="1" customWidth="1"/>
    <col min="7699" max="7699" width="8.7109375" style="1396" bestFit="1" customWidth="1"/>
    <col min="7700" max="7700" width="7.28515625" style="1396" bestFit="1" customWidth="1"/>
    <col min="7701" max="7701" width="8.7109375" style="1396" bestFit="1" customWidth="1"/>
    <col min="7702" max="7702" width="22.7109375" style="1396" customWidth="1"/>
    <col min="7703" max="7703" width="18.28515625" style="1396" customWidth="1"/>
    <col min="7704" max="7704" width="13.85546875" style="1396" customWidth="1"/>
    <col min="7705" max="7705" width="14" style="1396" customWidth="1"/>
    <col min="7706" max="7706" width="9.28515625" style="1396" customWidth="1"/>
    <col min="7707" max="7707" width="12.7109375" style="1396" customWidth="1"/>
    <col min="7708" max="7708" width="6.42578125" style="1396" customWidth="1"/>
    <col min="7709" max="7709" width="14.42578125" style="1396" customWidth="1"/>
    <col min="7710" max="7710" width="10.28515625" style="1396" customWidth="1"/>
    <col min="7711" max="7711" width="12" style="1396" customWidth="1"/>
    <col min="7712" max="7712" width="8.7109375" style="1396" customWidth="1"/>
    <col min="7713" max="7713" width="10.5703125" style="1396" customWidth="1"/>
    <col min="7714" max="7714" width="16.42578125" style="1396" customWidth="1"/>
    <col min="7715" max="7715" width="15.140625" style="1396" customWidth="1"/>
    <col min="7716" max="7716" width="17" style="1396" customWidth="1"/>
    <col min="7717" max="7717" width="20.140625" style="1396" customWidth="1"/>
    <col min="7718" max="7718" width="20.28515625" style="1396" customWidth="1"/>
    <col min="7719" max="7936" width="28.7109375" style="1396"/>
    <col min="7937" max="7937" width="38.7109375" style="1396" customWidth="1"/>
    <col min="7938" max="7938" width="19.7109375" style="1396" bestFit="1" customWidth="1"/>
    <col min="7939" max="7939" width="11.140625" style="1396" bestFit="1" customWidth="1"/>
    <col min="7940" max="7940" width="18.42578125" style="1396" customWidth="1"/>
    <col min="7941" max="7941" width="16" style="1396" bestFit="1" customWidth="1"/>
    <col min="7942" max="7942" width="21.5703125" style="1396" customWidth="1"/>
    <col min="7943" max="7943" width="14.140625" style="1396" customWidth="1"/>
    <col min="7944" max="7944" width="12" style="1396" customWidth="1"/>
    <col min="7945" max="7945" width="17.7109375" style="1396" customWidth="1"/>
    <col min="7946" max="7946" width="16" style="1396" customWidth="1"/>
    <col min="7947" max="7948" width="16.7109375" style="1396" customWidth="1"/>
    <col min="7949" max="7949" width="28" style="1396" customWidth="1"/>
    <col min="7950" max="7950" width="17.7109375" style="1396" customWidth="1"/>
    <col min="7951" max="7951" width="12.28515625" style="1396" customWidth="1"/>
    <col min="7952" max="7952" width="7.5703125" style="1396" bestFit="1" customWidth="1"/>
    <col min="7953" max="7953" width="8.7109375" style="1396" bestFit="1" customWidth="1"/>
    <col min="7954" max="7954" width="7.5703125" style="1396" bestFit="1" customWidth="1"/>
    <col min="7955" max="7955" width="8.7109375" style="1396" bestFit="1" customWidth="1"/>
    <col min="7956" max="7956" width="7.28515625" style="1396" bestFit="1" customWidth="1"/>
    <col min="7957" max="7957" width="8.7109375" style="1396" bestFit="1" customWidth="1"/>
    <col min="7958" max="7958" width="22.7109375" style="1396" customWidth="1"/>
    <col min="7959" max="7959" width="18.28515625" style="1396" customWidth="1"/>
    <col min="7960" max="7960" width="13.85546875" style="1396" customWidth="1"/>
    <col min="7961" max="7961" width="14" style="1396" customWidth="1"/>
    <col min="7962" max="7962" width="9.28515625" style="1396" customWidth="1"/>
    <col min="7963" max="7963" width="12.7109375" style="1396" customWidth="1"/>
    <col min="7964" max="7964" width="6.42578125" style="1396" customWidth="1"/>
    <col min="7965" max="7965" width="14.42578125" style="1396" customWidth="1"/>
    <col min="7966" max="7966" width="10.28515625" style="1396" customWidth="1"/>
    <col min="7967" max="7967" width="12" style="1396" customWidth="1"/>
    <col min="7968" max="7968" width="8.7109375" style="1396" customWidth="1"/>
    <col min="7969" max="7969" width="10.5703125" style="1396" customWidth="1"/>
    <col min="7970" max="7970" width="16.42578125" style="1396" customWidth="1"/>
    <col min="7971" max="7971" width="15.140625" style="1396" customWidth="1"/>
    <col min="7972" max="7972" width="17" style="1396" customWidth="1"/>
    <col min="7973" max="7973" width="20.140625" style="1396" customWidth="1"/>
    <col min="7974" max="7974" width="20.28515625" style="1396" customWidth="1"/>
    <col min="7975" max="8192" width="28.7109375" style="1396"/>
    <col min="8193" max="8193" width="38.7109375" style="1396" customWidth="1"/>
    <col min="8194" max="8194" width="19.7109375" style="1396" bestFit="1" customWidth="1"/>
    <col min="8195" max="8195" width="11.140625" style="1396" bestFit="1" customWidth="1"/>
    <col min="8196" max="8196" width="18.42578125" style="1396" customWidth="1"/>
    <col min="8197" max="8197" width="16" style="1396" bestFit="1" customWidth="1"/>
    <col min="8198" max="8198" width="21.5703125" style="1396" customWidth="1"/>
    <col min="8199" max="8199" width="14.140625" style="1396" customWidth="1"/>
    <col min="8200" max="8200" width="12" style="1396" customWidth="1"/>
    <col min="8201" max="8201" width="17.7109375" style="1396" customWidth="1"/>
    <col min="8202" max="8202" width="16" style="1396" customWidth="1"/>
    <col min="8203" max="8204" width="16.7109375" style="1396" customWidth="1"/>
    <col min="8205" max="8205" width="28" style="1396" customWidth="1"/>
    <col min="8206" max="8206" width="17.7109375" style="1396" customWidth="1"/>
    <col min="8207" max="8207" width="12.28515625" style="1396" customWidth="1"/>
    <col min="8208" max="8208" width="7.5703125" style="1396" bestFit="1" customWidth="1"/>
    <col min="8209" max="8209" width="8.7109375" style="1396" bestFit="1" customWidth="1"/>
    <col min="8210" max="8210" width="7.5703125" style="1396" bestFit="1" customWidth="1"/>
    <col min="8211" max="8211" width="8.7109375" style="1396" bestFit="1" customWidth="1"/>
    <col min="8212" max="8212" width="7.28515625" style="1396" bestFit="1" customWidth="1"/>
    <col min="8213" max="8213" width="8.7109375" style="1396" bestFit="1" customWidth="1"/>
    <col min="8214" max="8214" width="22.7109375" style="1396" customWidth="1"/>
    <col min="8215" max="8215" width="18.28515625" style="1396" customWidth="1"/>
    <col min="8216" max="8216" width="13.85546875" style="1396" customWidth="1"/>
    <col min="8217" max="8217" width="14" style="1396" customWidth="1"/>
    <col min="8218" max="8218" width="9.28515625" style="1396" customWidth="1"/>
    <col min="8219" max="8219" width="12.7109375" style="1396" customWidth="1"/>
    <col min="8220" max="8220" width="6.42578125" style="1396" customWidth="1"/>
    <col min="8221" max="8221" width="14.42578125" style="1396" customWidth="1"/>
    <col min="8222" max="8222" width="10.28515625" style="1396" customWidth="1"/>
    <col min="8223" max="8223" width="12" style="1396" customWidth="1"/>
    <col min="8224" max="8224" width="8.7109375" style="1396" customWidth="1"/>
    <col min="8225" max="8225" width="10.5703125" style="1396" customWidth="1"/>
    <col min="8226" max="8226" width="16.42578125" style="1396" customWidth="1"/>
    <col min="8227" max="8227" width="15.140625" style="1396" customWidth="1"/>
    <col min="8228" max="8228" width="17" style="1396" customWidth="1"/>
    <col min="8229" max="8229" width="20.140625" style="1396" customWidth="1"/>
    <col min="8230" max="8230" width="20.28515625" style="1396" customWidth="1"/>
    <col min="8231" max="8448" width="28.7109375" style="1396"/>
    <col min="8449" max="8449" width="38.7109375" style="1396" customWidth="1"/>
    <col min="8450" max="8450" width="19.7109375" style="1396" bestFit="1" customWidth="1"/>
    <col min="8451" max="8451" width="11.140625" style="1396" bestFit="1" customWidth="1"/>
    <col min="8452" max="8452" width="18.42578125" style="1396" customWidth="1"/>
    <col min="8453" max="8453" width="16" style="1396" bestFit="1" customWidth="1"/>
    <col min="8454" max="8454" width="21.5703125" style="1396" customWidth="1"/>
    <col min="8455" max="8455" width="14.140625" style="1396" customWidth="1"/>
    <col min="8456" max="8456" width="12" style="1396" customWidth="1"/>
    <col min="8457" max="8457" width="17.7109375" style="1396" customWidth="1"/>
    <col min="8458" max="8458" width="16" style="1396" customWidth="1"/>
    <col min="8459" max="8460" width="16.7109375" style="1396" customWidth="1"/>
    <col min="8461" max="8461" width="28" style="1396" customWidth="1"/>
    <col min="8462" max="8462" width="17.7109375" style="1396" customWidth="1"/>
    <col min="8463" max="8463" width="12.28515625" style="1396" customWidth="1"/>
    <col min="8464" max="8464" width="7.5703125" style="1396" bestFit="1" customWidth="1"/>
    <col min="8465" max="8465" width="8.7109375" style="1396" bestFit="1" customWidth="1"/>
    <col min="8466" max="8466" width="7.5703125" style="1396" bestFit="1" customWidth="1"/>
    <col min="8467" max="8467" width="8.7109375" style="1396" bestFit="1" customWidth="1"/>
    <col min="8468" max="8468" width="7.28515625" style="1396" bestFit="1" customWidth="1"/>
    <col min="8469" max="8469" width="8.7109375" style="1396" bestFit="1" customWidth="1"/>
    <col min="8470" max="8470" width="22.7109375" style="1396" customWidth="1"/>
    <col min="8471" max="8471" width="18.28515625" style="1396" customWidth="1"/>
    <col min="8472" max="8472" width="13.85546875" style="1396" customWidth="1"/>
    <col min="8473" max="8473" width="14" style="1396" customWidth="1"/>
    <col min="8474" max="8474" width="9.28515625" style="1396" customWidth="1"/>
    <col min="8475" max="8475" width="12.7109375" style="1396" customWidth="1"/>
    <col min="8476" max="8476" width="6.42578125" style="1396" customWidth="1"/>
    <col min="8477" max="8477" width="14.42578125" style="1396" customWidth="1"/>
    <col min="8478" max="8478" width="10.28515625" style="1396" customWidth="1"/>
    <col min="8479" max="8479" width="12" style="1396" customWidth="1"/>
    <col min="8480" max="8480" width="8.7109375" style="1396" customWidth="1"/>
    <col min="8481" max="8481" width="10.5703125" style="1396" customWidth="1"/>
    <col min="8482" max="8482" width="16.42578125" style="1396" customWidth="1"/>
    <col min="8483" max="8483" width="15.140625" style="1396" customWidth="1"/>
    <col min="8484" max="8484" width="17" style="1396" customWidth="1"/>
    <col min="8485" max="8485" width="20.140625" style="1396" customWidth="1"/>
    <col min="8486" max="8486" width="20.28515625" style="1396" customWidth="1"/>
    <col min="8487" max="8704" width="28.7109375" style="1396"/>
    <col min="8705" max="8705" width="38.7109375" style="1396" customWidth="1"/>
    <col min="8706" max="8706" width="19.7109375" style="1396" bestFit="1" customWidth="1"/>
    <col min="8707" max="8707" width="11.140625" style="1396" bestFit="1" customWidth="1"/>
    <col min="8708" max="8708" width="18.42578125" style="1396" customWidth="1"/>
    <col min="8709" max="8709" width="16" style="1396" bestFit="1" customWidth="1"/>
    <col min="8710" max="8710" width="21.5703125" style="1396" customWidth="1"/>
    <col min="8711" max="8711" width="14.140625" style="1396" customWidth="1"/>
    <col min="8712" max="8712" width="12" style="1396" customWidth="1"/>
    <col min="8713" max="8713" width="17.7109375" style="1396" customWidth="1"/>
    <col min="8714" max="8714" width="16" style="1396" customWidth="1"/>
    <col min="8715" max="8716" width="16.7109375" style="1396" customWidth="1"/>
    <col min="8717" max="8717" width="28" style="1396" customWidth="1"/>
    <col min="8718" max="8718" width="17.7109375" style="1396" customWidth="1"/>
    <col min="8719" max="8719" width="12.28515625" style="1396" customWidth="1"/>
    <col min="8720" max="8720" width="7.5703125" style="1396" bestFit="1" customWidth="1"/>
    <col min="8721" max="8721" width="8.7109375" style="1396" bestFit="1" customWidth="1"/>
    <col min="8722" max="8722" width="7.5703125" style="1396" bestFit="1" customWidth="1"/>
    <col min="8723" max="8723" width="8.7109375" style="1396" bestFit="1" customWidth="1"/>
    <col min="8724" max="8724" width="7.28515625" style="1396" bestFit="1" customWidth="1"/>
    <col min="8725" max="8725" width="8.7109375" style="1396" bestFit="1" customWidth="1"/>
    <col min="8726" max="8726" width="22.7109375" style="1396" customWidth="1"/>
    <col min="8727" max="8727" width="18.28515625" style="1396" customWidth="1"/>
    <col min="8728" max="8728" width="13.85546875" style="1396" customWidth="1"/>
    <col min="8729" max="8729" width="14" style="1396" customWidth="1"/>
    <col min="8730" max="8730" width="9.28515625" style="1396" customWidth="1"/>
    <col min="8731" max="8731" width="12.7109375" style="1396" customWidth="1"/>
    <col min="8732" max="8732" width="6.42578125" style="1396" customWidth="1"/>
    <col min="8733" max="8733" width="14.42578125" style="1396" customWidth="1"/>
    <col min="8734" max="8734" width="10.28515625" style="1396" customWidth="1"/>
    <col min="8735" max="8735" width="12" style="1396" customWidth="1"/>
    <col min="8736" max="8736" width="8.7109375" style="1396" customWidth="1"/>
    <col min="8737" max="8737" width="10.5703125" style="1396" customWidth="1"/>
    <col min="8738" max="8738" width="16.42578125" style="1396" customWidth="1"/>
    <col min="8739" max="8739" width="15.140625" style="1396" customWidth="1"/>
    <col min="8740" max="8740" width="17" style="1396" customWidth="1"/>
    <col min="8741" max="8741" width="20.140625" style="1396" customWidth="1"/>
    <col min="8742" max="8742" width="20.28515625" style="1396" customWidth="1"/>
    <col min="8743" max="8960" width="28.7109375" style="1396"/>
    <col min="8961" max="8961" width="38.7109375" style="1396" customWidth="1"/>
    <col min="8962" max="8962" width="19.7109375" style="1396" bestFit="1" customWidth="1"/>
    <col min="8963" max="8963" width="11.140625" style="1396" bestFit="1" customWidth="1"/>
    <col min="8964" max="8964" width="18.42578125" style="1396" customWidth="1"/>
    <col min="8965" max="8965" width="16" style="1396" bestFit="1" customWidth="1"/>
    <col min="8966" max="8966" width="21.5703125" style="1396" customWidth="1"/>
    <col min="8967" max="8967" width="14.140625" style="1396" customWidth="1"/>
    <col min="8968" max="8968" width="12" style="1396" customWidth="1"/>
    <col min="8969" max="8969" width="17.7109375" style="1396" customWidth="1"/>
    <col min="8970" max="8970" width="16" style="1396" customWidth="1"/>
    <col min="8971" max="8972" width="16.7109375" style="1396" customWidth="1"/>
    <col min="8973" max="8973" width="28" style="1396" customWidth="1"/>
    <col min="8974" max="8974" width="17.7109375" style="1396" customWidth="1"/>
    <col min="8975" max="8975" width="12.28515625" style="1396" customWidth="1"/>
    <col min="8976" max="8976" width="7.5703125" style="1396" bestFit="1" customWidth="1"/>
    <col min="8977" max="8977" width="8.7109375" style="1396" bestFit="1" customWidth="1"/>
    <col min="8978" max="8978" width="7.5703125" style="1396" bestFit="1" customWidth="1"/>
    <col min="8979" max="8979" width="8.7109375" style="1396" bestFit="1" customWidth="1"/>
    <col min="8980" max="8980" width="7.28515625" style="1396" bestFit="1" customWidth="1"/>
    <col min="8981" max="8981" width="8.7109375" style="1396" bestFit="1" customWidth="1"/>
    <col min="8982" max="8982" width="22.7109375" style="1396" customWidth="1"/>
    <col min="8983" max="8983" width="18.28515625" style="1396" customWidth="1"/>
    <col min="8984" max="8984" width="13.85546875" style="1396" customWidth="1"/>
    <col min="8985" max="8985" width="14" style="1396" customWidth="1"/>
    <col min="8986" max="8986" width="9.28515625" style="1396" customWidth="1"/>
    <col min="8987" max="8987" width="12.7109375" style="1396" customWidth="1"/>
    <col min="8988" max="8988" width="6.42578125" style="1396" customWidth="1"/>
    <col min="8989" max="8989" width="14.42578125" style="1396" customWidth="1"/>
    <col min="8990" max="8990" width="10.28515625" style="1396" customWidth="1"/>
    <col min="8991" max="8991" width="12" style="1396" customWidth="1"/>
    <col min="8992" max="8992" width="8.7109375" style="1396" customWidth="1"/>
    <col min="8993" max="8993" width="10.5703125" style="1396" customWidth="1"/>
    <col min="8994" max="8994" width="16.42578125" style="1396" customWidth="1"/>
    <col min="8995" max="8995" width="15.140625" style="1396" customWidth="1"/>
    <col min="8996" max="8996" width="17" style="1396" customWidth="1"/>
    <col min="8997" max="8997" width="20.140625" style="1396" customWidth="1"/>
    <col min="8998" max="8998" width="20.28515625" style="1396" customWidth="1"/>
    <col min="8999" max="9216" width="28.7109375" style="1396"/>
    <col min="9217" max="9217" width="38.7109375" style="1396" customWidth="1"/>
    <col min="9218" max="9218" width="19.7109375" style="1396" bestFit="1" customWidth="1"/>
    <col min="9219" max="9219" width="11.140625" style="1396" bestFit="1" customWidth="1"/>
    <col min="9220" max="9220" width="18.42578125" style="1396" customWidth="1"/>
    <col min="9221" max="9221" width="16" style="1396" bestFit="1" customWidth="1"/>
    <col min="9222" max="9222" width="21.5703125" style="1396" customWidth="1"/>
    <col min="9223" max="9223" width="14.140625" style="1396" customWidth="1"/>
    <col min="9224" max="9224" width="12" style="1396" customWidth="1"/>
    <col min="9225" max="9225" width="17.7109375" style="1396" customWidth="1"/>
    <col min="9226" max="9226" width="16" style="1396" customWidth="1"/>
    <col min="9227" max="9228" width="16.7109375" style="1396" customWidth="1"/>
    <col min="9229" max="9229" width="28" style="1396" customWidth="1"/>
    <col min="9230" max="9230" width="17.7109375" style="1396" customWidth="1"/>
    <col min="9231" max="9231" width="12.28515625" style="1396" customWidth="1"/>
    <col min="9232" max="9232" width="7.5703125" style="1396" bestFit="1" customWidth="1"/>
    <col min="9233" max="9233" width="8.7109375" style="1396" bestFit="1" customWidth="1"/>
    <col min="9234" max="9234" width="7.5703125" style="1396" bestFit="1" customWidth="1"/>
    <col min="9235" max="9235" width="8.7109375" style="1396" bestFit="1" customWidth="1"/>
    <col min="9236" max="9236" width="7.28515625" style="1396" bestFit="1" customWidth="1"/>
    <col min="9237" max="9237" width="8.7109375" style="1396" bestFit="1" customWidth="1"/>
    <col min="9238" max="9238" width="22.7109375" style="1396" customWidth="1"/>
    <col min="9239" max="9239" width="18.28515625" style="1396" customWidth="1"/>
    <col min="9240" max="9240" width="13.85546875" style="1396" customWidth="1"/>
    <col min="9241" max="9241" width="14" style="1396" customWidth="1"/>
    <col min="9242" max="9242" width="9.28515625" style="1396" customWidth="1"/>
    <col min="9243" max="9243" width="12.7109375" style="1396" customWidth="1"/>
    <col min="9244" max="9244" width="6.42578125" style="1396" customWidth="1"/>
    <col min="9245" max="9245" width="14.42578125" style="1396" customWidth="1"/>
    <col min="9246" max="9246" width="10.28515625" style="1396" customWidth="1"/>
    <col min="9247" max="9247" width="12" style="1396" customWidth="1"/>
    <col min="9248" max="9248" width="8.7109375" style="1396" customWidth="1"/>
    <col min="9249" max="9249" width="10.5703125" style="1396" customWidth="1"/>
    <col min="9250" max="9250" width="16.42578125" style="1396" customWidth="1"/>
    <col min="9251" max="9251" width="15.140625" style="1396" customWidth="1"/>
    <col min="9252" max="9252" width="17" style="1396" customWidth="1"/>
    <col min="9253" max="9253" width="20.140625" style="1396" customWidth="1"/>
    <col min="9254" max="9254" width="20.28515625" style="1396" customWidth="1"/>
    <col min="9255" max="9472" width="28.7109375" style="1396"/>
    <col min="9473" max="9473" width="38.7109375" style="1396" customWidth="1"/>
    <col min="9474" max="9474" width="19.7109375" style="1396" bestFit="1" customWidth="1"/>
    <col min="9475" max="9475" width="11.140625" style="1396" bestFit="1" customWidth="1"/>
    <col min="9476" max="9476" width="18.42578125" style="1396" customWidth="1"/>
    <col min="9477" max="9477" width="16" style="1396" bestFit="1" customWidth="1"/>
    <col min="9478" max="9478" width="21.5703125" style="1396" customWidth="1"/>
    <col min="9479" max="9479" width="14.140625" style="1396" customWidth="1"/>
    <col min="9480" max="9480" width="12" style="1396" customWidth="1"/>
    <col min="9481" max="9481" width="17.7109375" style="1396" customWidth="1"/>
    <col min="9482" max="9482" width="16" style="1396" customWidth="1"/>
    <col min="9483" max="9484" width="16.7109375" style="1396" customWidth="1"/>
    <col min="9485" max="9485" width="28" style="1396" customWidth="1"/>
    <col min="9486" max="9486" width="17.7109375" style="1396" customWidth="1"/>
    <col min="9487" max="9487" width="12.28515625" style="1396" customWidth="1"/>
    <col min="9488" max="9488" width="7.5703125" style="1396" bestFit="1" customWidth="1"/>
    <col min="9489" max="9489" width="8.7109375" style="1396" bestFit="1" customWidth="1"/>
    <col min="9490" max="9490" width="7.5703125" style="1396" bestFit="1" customWidth="1"/>
    <col min="9491" max="9491" width="8.7109375" style="1396" bestFit="1" customWidth="1"/>
    <col min="9492" max="9492" width="7.28515625" style="1396" bestFit="1" customWidth="1"/>
    <col min="9493" max="9493" width="8.7109375" style="1396" bestFit="1" customWidth="1"/>
    <col min="9494" max="9494" width="22.7109375" style="1396" customWidth="1"/>
    <col min="9495" max="9495" width="18.28515625" style="1396" customWidth="1"/>
    <col min="9496" max="9496" width="13.85546875" style="1396" customWidth="1"/>
    <col min="9497" max="9497" width="14" style="1396" customWidth="1"/>
    <col min="9498" max="9498" width="9.28515625" style="1396" customWidth="1"/>
    <col min="9499" max="9499" width="12.7109375" style="1396" customWidth="1"/>
    <col min="9500" max="9500" width="6.42578125" style="1396" customWidth="1"/>
    <col min="9501" max="9501" width="14.42578125" style="1396" customWidth="1"/>
    <col min="9502" max="9502" width="10.28515625" style="1396" customWidth="1"/>
    <col min="9503" max="9503" width="12" style="1396" customWidth="1"/>
    <col min="9504" max="9504" width="8.7109375" style="1396" customWidth="1"/>
    <col min="9505" max="9505" width="10.5703125" style="1396" customWidth="1"/>
    <col min="9506" max="9506" width="16.42578125" style="1396" customWidth="1"/>
    <col min="9507" max="9507" width="15.140625" style="1396" customWidth="1"/>
    <col min="9508" max="9508" width="17" style="1396" customWidth="1"/>
    <col min="9509" max="9509" width="20.140625" style="1396" customWidth="1"/>
    <col min="9510" max="9510" width="20.28515625" style="1396" customWidth="1"/>
    <col min="9511" max="9728" width="28.7109375" style="1396"/>
    <col min="9729" max="9729" width="38.7109375" style="1396" customWidth="1"/>
    <col min="9730" max="9730" width="19.7109375" style="1396" bestFit="1" customWidth="1"/>
    <col min="9731" max="9731" width="11.140625" style="1396" bestFit="1" customWidth="1"/>
    <col min="9732" max="9732" width="18.42578125" style="1396" customWidth="1"/>
    <col min="9733" max="9733" width="16" style="1396" bestFit="1" customWidth="1"/>
    <col min="9734" max="9734" width="21.5703125" style="1396" customWidth="1"/>
    <col min="9735" max="9735" width="14.140625" style="1396" customWidth="1"/>
    <col min="9736" max="9736" width="12" style="1396" customWidth="1"/>
    <col min="9737" max="9737" width="17.7109375" style="1396" customWidth="1"/>
    <col min="9738" max="9738" width="16" style="1396" customWidth="1"/>
    <col min="9739" max="9740" width="16.7109375" style="1396" customWidth="1"/>
    <col min="9741" max="9741" width="28" style="1396" customWidth="1"/>
    <col min="9742" max="9742" width="17.7109375" style="1396" customWidth="1"/>
    <col min="9743" max="9743" width="12.28515625" style="1396" customWidth="1"/>
    <col min="9744" max="9744" width="7.5703125" style="1396" bestFit="1" customWidth="1"/>
    <col min="9745" max="9745" width="8.7109375" style="1396" bestFit="1" customWidth="1"/>
    <col min="9746" max="9746" width="7.5703125" style="1396" bestFit="1" customWidth="1"/>
    <col min="9747" max="9747" width="8.7109375" style="1396" bestFit="1" customWidth="1"/>
    <col min="9748" max="9748" width="7.28515625" style="1396" bestFit="1" customWidth="1"/>
    <col min="9749" max="9749" width="8.7109375" style="1396" bestFit="1" customWidth="1"/>
    <col min="9750" max="9750" width="22.7109375" style="1396" customWidth="1"/>
    <col min="9751" max="9751" width="18.28515625" style="1396" customWidth="1"/>
    <col min="9752" max="9752" width="13.85546875" style="1396" customWidth="1"/>
    <col min="9753" max="9753" width="14" style="1396" customWidth="1"/>
    <col min="9754" max="9754" width="9.28515625" style="1396" customWidth="1"/>
    <col min="9755" max="9755" width="12.7109375" style="1396" customWidth="1"/>
    <col min="9756" max="9756" width="6.42578125" style="1396" customWidth="1"/>
    <col min="9757" max="9757" width="14.42578125" style="1396" customWidth="1"/>
    <col min="9758" max="9758" width="10.28515625" style="1396" customWidth="1"/>
    <col min="9759" max="9759" width="12" style="1396" customWidth="1"/>
    <col min="9760" max="9760" width="8.7109375" style="1396" customWidth="1"/>
    <col min="9761" max="9761" width="10.5703125" style="1396" customWidth="1"/>
    <col min="9762" max="9762" width="16.42578125" style="1396" customWidth="1"/>
    <col min="9763" max="9763" width="15.140625" style="1396" customWidth="1"/>
    <col min="9764" max="9764" width="17" style="1396" customWidth="1"/>
    <col min="9765" max="9765" width="20.140625" style="1396" customWidth="1"/>
    <col min="9766" max="9766" width="20.28515625" style="1396" customWidth="1"/>
    <col min="9767" max="9984" width="28.7109375" style="1396"/>
    <col min="9985" max="9985" width="38.7109375" style="1396" customWidth="1"/>
    <col min="9986" max="9986" width="19.7109375" style="1396" bestFit="1" customWidth="1"/>
    <col min="9987" max="9987" width="11.140625" style="1396" bestFit="1" customWidth="1"/>
    <col min="9988" max="9988" width="18.42578125" style="1396" customWidth="1"/>
    <col min="9989" max="9989" width="16" style="1396" bestFit="1" customWidth="1"/>
    <col min="9990" max="9990" width="21.5703125" style="1396" customWidth="1"/>
    <col min="9991" max="9991" width="14.140625" style="1396" customWidth="1"/>
    <col min="9992" max="9992" width="12" style="1396" customWidth="1"/>
    <col min="9993" max="9993" width="17.7109375" style="1396" customWidth="1"/>
    <col min="9994" max="9994" width="16" style="1396" customWidth="1"/>
    <col min="9995" max="9996" width="16.7109375" style="1396" customWidth="1"/>
    <col min="9997" max="9997" width="28" style="1396" customWidth="1"/>
    <col min="9998" max="9998" width="17.7109375" style="1396" customWidth="1"/>
    <col min="9999" max="9999" width="12.28515625" style="1396" customWidth="1"/>
    <col min="10000" max="10000" width="7.5703125" style="1396" bestFit="1" customWidth="1"/>
    <col min="10001" max="10001" width="8.7109375" style="1396" bestFit="1" customWidth="1"/>
    <col min="10002" max="10002" width="7.5703125" style="1396" bestFit="1" customWidth="1"/>
    <col min="10003" max="10003" width="8.7109375" style="1396" bestFit="1" customWidth="1"/>
    <col min="10004" max="10004" width="7.28515625" style="1396" bestFit="1" customWidth="1"/>
    <col min="10005" max="10005" width="8.7109375" style="1396" bestFit="1" customWidth="1"/>
    <col min="10006" max="10006" width="22.7109375" style="1396" customWidth="1"/>
    <col min="10007" max="10007" width="18.28515625" style="1396" customWidth="1"/>
    <col min="10008" max="10008" width="13.85546875" style="1396" customWidth="1"/>
    <col min="10009" max="10009" width="14" style="1396" customWidth="1"/>
    <col min="10010" max="10010" width="9.28515625" style="1396" customWidth="1"/>
    <col min="10011" max="10011" width="12.7109375" style="1396" customWidth="1"/>
    <col min="10012" max="10012" width="6.42578125" style="1396" customWidth="1"/>
    <col min="10013" max="10013" width="14.42578125" style="1396" customWidth="1"/>
    <col min="10014" max="10014" width="10.28515625" style="1396" customWidth="1"/>
    <col min="10015" max="10015" width="12" style="1396" customWidth="1"/>
    <col min="10016" max="10016" width="8.7109375" style="1396" customWidth="1"/>
    <col min="10017" max="10017" width="10.5703125" style="1396" customWidth="1"/>
    <col min="10018" max="10018" width="16.42578125" style="1396" customWidth="1"/>
    <col min="10019" max="10019" width="15.140625" style="1396" customWidth="1"/>
    <col min="10020" max="10020" width="17" style="1396" customWidth="1"/>
    <col min="10021" max="10021" width="20.140625" style="1396" customWidth="1"/>
    <col min="10022" max="10022" width="20.28515625" style="1396" customWidth="1"/>
    <col min="10023" max="10240" width="28.7109375" style="1396"/>
    <col min="10241" max="10241" width="38.7109375" style="1396" customWidth="1"/>
    <col min="10242" max="10242" width="19.7109375" style="1396" bestFit="1" customWidth="1"/>
    <col min="10243" max="10243" width="11.140625" style="1396" bestFit="1" customWidth="1"/>
    <col min="10244" max="10244" width="18.42578125" style="1396" customWidth="1"/>
    <col min="10245" max="10245" width="16" style="1396" bestFit="1" customWidth="1"/>
    <col min="10246" max="10246" width="21.5703125" style="1396" customWidth="1"/>
    <col min="10247" max="10247" width="14.140625" style="1396" customWidth="1"/>
    <col min="10248" max="10248" width="12" style="1396" customWidth="1"/>
    <col min="10249" max="10249" width="17.7109375" style="1396" customWidth="1"/>
    <col min="10250" max="10250" width="16" style="1396" customWidth="1"/>
    <col min="10251" max="10252" width="16.7109375" style="1396" customWidth="1"/>
    <col min="10253" max="10253" width="28" style="1396" customWidth="1"/>
    <col min="10254" max="10254" width="17.7109375" style="1396" customWidth="1"/>
    <col min="10255" max="10255" width="12.28515625" style="1396" customWidth="1"/>
    <col min="10256" max="10256" width="7.5703125" style="1396" bestFit="1" customWidth="1"/>
    <col min="10257" max="10257" width="8.7109375" style="1396" bestFit="1" customWidth="1"/>
    <col min="10258" max="10258" width="7.5703125" style="1396" bestFit="1" customWidth="1"/>
    <col min="10259" max="10259" width="8.7109375" style="1396" bestFit="1" customWidth="1"/>
    <col min="10260" max="10260" width="7.28515625" style="1396" bestFit="1" customWidth="1"/>
    <col min="10261" max="10261" width="8.7109375" style="1396" bestFit="1" customWidth="1"/>
    <col min="10262" max="10262" width="22.7109375" style="1396" customWidth="1"/>
    <col min="10263" max="10263" width="18.28515625" style="1396" customWidth="1"/>
    <col min="10264" max="10264" width="13.85546875" style="1396" customWidth="1"/>
    <col min="10265" max="10265" width="14" style="1396" customWidth="1"/>
    <col min="10266" max="10266" width="9.28515625" style="1396" customWidth="1"/>
    <col min="10267" max="10267" width="12.7109375" style="1396" customWidth="1"/>
    <col min="10268" max="10268" width="6.42578125" style="1396" customWidth="1"/>
    <col min="10269" max="10269" width="14.42578125" style="1396" customWidth="1"/>
    <col min="10270" max="10270" width="10.28515625" style="1396" customWidth="1"/>
    <col min="10271" max="10271" width="12" style="1396" customWidth="1"/>
    <col min="10272" max="10272" width="8.7109375" style="1396" customWidth="1"/>
    <col min="10273" max="10273" width="10.5703125" style="1396" customWidth="1"/>
    <col min="10274" max="10274" width="16.42578125" style="1396" customWidth="1"/>
    <col min="10275" max="10275" width="15.140625" style="1396" customWidth="1"/>
    <col min="10276" max="10276" width="17" style="1396" customWidth="1"/>
    <col min="10277" max="10277" width="20.140625" style="1396" customWidth="1"/>
    <col min="10278" max="10278" width="20.28515625" style="1396" customWidth="1"/>
    <col min="10279" max="10496" width="28.7109375" style="1396"/>
    <col min="10497" max="10497" width="38.7109375" style="1396" customWidth="1"/>
    <col min="10498" max="10498" width="19.7109375" style="1396" bestFit="1" customWidth="1"/>
    <col min="10499" max="10499" width="11.140625" style="1396" bestFit="1" customWidth="1"/>
    <col min="10500" max="10500" width="18.42578125" style="1396" customWidth="1"/>
    <col min="10501" max="10501" width="16" style="1396" bestFit="1" customWidth="1"/>
    <col min="10502" max="10502" width="21.5703125" style="1396" customWidth="1"/>
    <col min="10503" max="10503" width="14.140625" style="1396" customWidth="1"/>
    <col min="10504" max="10504" width="12" style="1396" customWidth="1"/>
    <col min="10505" max="10505" width="17.7109375" style="1396" customWidth="1"/>
    <col min="10506" max="10506" width="16" style="1396" customWidth="1"/>
    <col min="10507" max="10508" width="16.7109375" style="1396" customWidth="1"/>
    <col min="10509" max="10509" width="28" style="1396" customWidth="1"/>
    <col min="10510" max="10510" width="17.7109375" style="1396" customWidth="1"/>
    <col min="10511" max="10511" width="12.28515625" style="1396" customWidth="1"/>
    <col min="10512" max="10512" width="7.5703125" style="1396" bestFit="1" customWidth="1"/>
    <col min="10513" max="10513" width="8.7109375" style="1396" bestFit="1" customWidth="1"/>
    <col min="10514" max="10514" width="7.5703125" style="1396" bestFit="1" customWidth="1"/>
    <col min="10515" max="10515" width="8.7109375" style="1396" bestFit="1" customWidth="1"/>
    <col min="10516" max="10516" width="7.28515625" style="1396" bestFit="1" customWidth="1"/>
    <col min="10517" max="10517" width="8.7109375" style="1396" bestFit="1" customWidth="1"/>
    <col min="10518" max="10518" width="22.7109375" style="1396" customWidth="1"/>
    <col min="10519" max="10519" width="18.28515625" style="1396" customWidth="1"/>
    <col min="10520" max="10520" width="13.85546875" style="1396" customWidth="1"/>
    <col min="10521" max="10521" width="14" style="1396" customWidth="1"/>
    <col min="10522" max="10522" width="9.28515625" style="1396" customWidth="1"/>
    <col min="10523" max="10523" width="12.7109375" style="1396" customWidth="1"/>
    <col min="10524" max="10524" width="6.42578125" style="1396" customWidth="1"/>
    <col min="10525" max="10525" width="14.42578125" style="1396" customWidth="1"/>
    <col min="10526" max="10526" width="10.28515625" style="1396" customWidth="1"/>
    <col min="10527" max="10527" width="12" style="1396" customWidth="1"/>
    <col min="10528" max="10528" width="8.7109375" style="1396" customWidth="1"/>
    <col min="10529" max="10529" width="10.5703125" style="1396" customWidth="1"/>
    <col min="10530" max="10530" width="16.42578125" style="1396" customWidth="1"/>
    <col min="10531" max="10531" width="15.140625" style="1396" customWidth="1"/>
    <col min="10532" max="10532" width="17" style="1396" customWidth="1"/>
    <col min="10533" max="10533" width="20.140625" style="1396" customWidth="1"/>
    <col min="10534" max="10534" width="20.28515625" style="1396" customWidth="1"/>
    <col min="10535" max="10752" width="28.7109375" style="1396"/>
    <col min="10753" max="10753" width="38.7109375" style="1396" customWidth="1"/>
    <col min="10754" max="10754" width="19.7109375" style="1396" bestFit="1" customWidth="1"/>
    <col min="10755" max="10755" width="11.140625" style="1396" bestFit="1" customWidth="1"/>
    <col min="10756" max="10756" width="18.42578125" style="1396" customWidth="1"/>
    <col min="10757" max="10757" width="16" style="1396" bestFit="1" customWidth="1"/>
    <col min="10758" max="10758" width="21.5703125" style="1396" customWidth="1"/>
    <col min="10759" max="10759" width="14.140625" style="1396" customWidth="1"/>
    <col min="10760" max="10760" width="12" style="1396" customWidth="1"/>
    <col min="10761" max="10761" width="17.7109375" style="1396" customWidth="1"/>
    <col min="10762" max="10762" width="16" style="1396" customWidth="1"/>
    <col min="10763" max="10764" width="16.7109375" style="1396" customWidth="1"/>
    <col min="10765" max="10765" width="28" style="1396" customWidth="1"/>
    <col min="10766" max="10766" width="17.7109375" style="1396" customWidth="1"/>
    <col min="10767" max="10767" width="12.28515625" style="1396" customWidth="1"/>
    <col min="10768" max="10768" width="7.5703125" style="1396" bestFit="1" customWidth="1"/>
    <col min="10769" max="10769" width="8.7109375" style="1396" bestFit="1" customWidth="1"/>
    <col min="10770" max="10770" width="7.5703125" style="1396" bestFit="1" customWidth="1"/>
    <col min="10771" max="10771" width="8.7109375" style="1396" bestFit="1" customWidth="1"/>
    <col min="10772" max="10772" width="7.28515625" style="1396" bestFit="1" customWidth="1"/>
    <col min="10773" max="10773" width="8.7109375" style="1396" bestFit="1" customWidth="1"/>
    <col min="10774" max="10774" width="22.7109375" style="1396" customWidth="1"/>
    <col min="10775" max="10775" width="18.28515625" style="1396" customWidth="1"/>
    <col min="10776" max="10776" width="13.85546875" style="1396" customWidth="1"/>
    <col min="10777" max="10777" width="14" style="1396" customWidth="1"/>
    <col min="10778" max="10778" width="9.28515625" style="1396" customWidth="1"/>
    <col min="10779" max="10779" width="12.7109375" style="1396" customWidth="1"/>
    <col min="10780" max="10780" width="6.42578125" style="1396" customWidth="1"/>
    <col min="10781" max="10781" width="14.42578125" style="1396" customWidth="1"/>
    <col min="10782" max="10782" width="10.28515625" style="1396" customWidth="1"/>
    <col min="10783" max="10783" width="12" style="1396" customWidth="1"/>
    <col min="10784" max="10784" width="8.7109375" style="1396" customWidth="1"/>
    <col min="10785" max="10785" width="10.5703125" style="1396" customWidth="1"/>
    <col min="10786" max="10786" width="16.42578125" style="1396" customWidth="1"/>
    <col min="10787" max="10787" width="15.140625" style="1396" customWidth="1"/>
    <col min="10788" max="10788" width="17" style="1396" customWidth="1"/>
    <col min="10789" max="10789" width="20.140625" style="1396" customWidth="1"/>
    <col min="10790" max="10790" width="20.28515625" style="1396" customWidth="1"/>
    <col min="10791" max="11008" width="28.7109375" style="1396"/>
    <col min="11009" max="11009" width="38.7109375" style="1396" customWidth="1"/>
    <col min="11010" max="11010" width="19.7109375" style="1396" bestFit="1" customWidth="1"/>
    <col min="11011" max="11011" width="11.140625" style="1396" bestFit="1" customWidth="1"/>
    <col min="11012" max="11012" width="18.42578125" style="1396" customWidth="1"/>
    <col min="11013" max="11013" width="16" style="1396" bestFit="1" customWidth="1"/>
    <col min="11014" max="11014" width="21.5703125" style="1396" customWidth="1"/>
    <col min="11015" max="11015" width="14.140625" style="1396" customWidth="1"/>
    <col min="11016" max="11016" width="12" style="1396" customWidth="1"/>
    <col min="11017" max="11017" width="17.7109375" style="1396" customWidth="1"/>
    <col min="11018" max="11018" width="16" style="1396" customWidth="1"/>
    <col min="11019" max="11020" width="16.7109375" style="1396" customWidth="1"/>
    <col min="11021" max="11021" width="28" style="1396" customWidth="1"/>
    <col min="11022" max="11022" width="17.7109375" style="1396" customWidth="1"/>
    <col min="11023" max="11023" width="12.28515625" style="1396" customWidth="1"/>
    <col min="11024" max="11024" width="7.5703125" style="1396" bestFit="1" customWidth="1"/>
    <col min="11025" max="11025" width="8.7109375" style="1396" bestFit="1" customWidth="1"/>
    <col min="11026" max="11026" width="7.5703125" style="1396" bestFit="1" customWidth="1"/>
    <col min="11027" max="11027" width="8.7109375" style="1396" bestFit="1" customWidth="1"/>
    <col min="11028" max="11028" width="7.28515625" style="1396" bestFit="1" customWidth="1"/>
    <col min="11029" max="11029" width="8.7109375" style="1396" bestFit="1" customWidth="1"/>
    <col min="11030" max="11030" width="22.7109375" style="1396" customWidth="1"/>
    <col min="11031" max="11031" width="18.28515625" style="1396" customWidth="1"/>
    <col min="11032" max="11032" width="13.85546875" style="1396" customWidth="1"/>
    <col min="11033" max="11033" width="14" style="1396" customWidth="1"/>
    <col min="11034" max="11034" width="9.28515625" style="1396" customWidth="1"/>
    <col min="11035" max="11035" width="12.7109375" style="1396" customWidth="1"/>
    <col min="11036" max="11036" width="6.42578125" style="1396" customWidth="1"/>
    <col min="11037" max="11037" width="14.42578125" style="1396" customWidth="1"/>
    <col min="11038" max="11038" width="10.28515625" style="1396" customWidth="1"/>
    <col min="11039" max="11039" width="12" style="1396" customWidth="1"/>
    <col min="11040" max="11040" width="8.7109375" style="1396" customWidth="1"/>
    <col min="11041" max="11041" width="10.5703125" style="1396" customWidth="1"/>
    <col min="11042" max="11042" width="16.42578125" style="1396" customWidth="1"/>
    <col min="11043" max="11043" width="15.140625" style="1396" customWidth="1"/>
    <col min="11044" max="11044" width="17" style="1396" customWidth="1"/>
    <col min="11045" max="11045" width="20.140625" style="1396" customWidth="1"/>
    <col min="11046" max="11046" width="20.28515625" style="1396" customWidth="1"/>
    <col min="11047" max="11264" width="28.7109375" style="1396"/>
    <col min="11265" max="11265" width="38.7109375" style="1396" customWidth="1"/>
    <col min="11266" max="11266" width="19.7109375" style="1396" bestFit="1" customWidth="1"/>
    <col min="11267" max="11267" width="11.140625" style="1396" bestFit="1" customWidth="1"/>
    <col min="11268" max="11268" width="18.42578125" style="1396" customWidth="1"/>
    <col min="11269" max="11269" width="16" style="1396" bestFit="1" customWidth="1"/>
    <col min="11270" max="11270" width="21.5703125" style="1396" customWidth="1"/>
    <col min="11271" max="11271" width="14.140625" style="1396" customWidth="1"/>
    <col min="11272" max="11272" width="12" style="1396" customWidth="1"/>
    <col min="11273" max="11273" width="17.7109375" style="1396" customWidth="1"/>
    <col min="11274" max="11274" width="16" style="1396" customWidth="1"/>
    <col min="11275" max="11276" width="16.7109375" style="1396" customWidth="1"/>
    <col min="11277" max="11277" width="28" style="1396" customWidth="1"/>
    <col min="11278" max="11278" width="17.7109375" style="1396" customWidth="1"/>
    <col min="11279" max="11279" width="12.28515625" style="1396" customWidth="1"/>
    <col min="11280" max="11280" width="7.5703125" style="1396" bestFit="1" customWidth="1"/>
    <col min="11281" max="11281" width="8.7109375" style="1396" bestFit="1" customWidth="1"/>
    <col min="11282" max="11282" width="7.5703125" style="1396" bestFit="1" customWidth="1"/>
    <col min="11283" max="11283" width="8.7109375" style="1396" bestFit="1" customWidth="1"/>
    <col min="11284" max="11284" width="7.28515625" style="1396" bestFit="1" customWidth="1"/>
    <col min="11285" max="11285" width="8.7109375" style="1396" bestFit="1" customWidth="1"/>
    <col min="11286" max="11286" width="22.7109375" style="1396" customWidth="1"/>
    <col min="11287" max="11287" width="18.28515625" style="1396" customWidth="1"/>
    <col min="11288" max="11288" width="13.85546875" style="1396" customWidth="1"/>
    <col min="11289" max="11289" width="14" style="1396" customWidth="1"/>
    <col min="11290" max="11290" width="9.28515625" style="1396" customWidth="1"/>
    <col min="11291" max="11291" width="12.7109375" style="1396" customWidth="1"/>
    <col min="11292" max="11292" width="6.42578125" style="1396" customWidth="1"/>
    <col min="11293" max="11293" width="14.42578125" style="1396" customWidth="1"/>
    <col min="11294" max="11294" width="10.28515625" style="1396" customWidth="1"/>
    <col min="11295" max="11295" width="12" style="1396" customWidth="1"/>
    <col min="11296" max="11296" width="8.7109375" style="1396" customWidth="1"/>
    <col min="11297" max="11297" width="10.5703125" style="1396" customWidth="1"/>
    <col min="11298" max="11298" width="16.42578125" style="1396" customWidth="1"/>
    <col min="11299" max="11299" width="15.140625" style="1396" customWidth="1"/>
    <col min="11300" max="11300" width="17" style="1396" customWidth="1"/>
    <col min="11301" max="11301" width="20.140625" style="1396" customWidth="1"/>
    <col min="11302" max="11302" width="20.28515625" style="1396" customWidth="1"/>
    <col min="11303" max="11520" width="28.7109375" style="1396"/>
    <col min="11521" max="11521" width="38.7109375" style="1396" customWidth="1"/>
    <col min="11522" max="11522" width="19.7109375" style="1396" bestFit="1" customWidth="1"/>
    <col min="11523" max="11523" width="11.140625" style="1396" bestFit="1" customWidth="1"/>
    <col min="11524" max="11524" width="18.42578125" style="1396" customWidth="1"/>
    <col min="11525" max="11525" width="16" style="1396" bestFit="1" customWidth="1"/>
    <col min="11526" max="11526" width="21.5703125" style="1396" customWidth="1"/>
    <col min="11527" max="11527" width="14.140625" style="1396" customWidth="1"/>
    <col min="11528" max="11528" width="12" style="1396" customWidth="1"/>
    <col min="11529" max="11529" width="17.7109375" style="1396" customWidth="1"/>
    <col min="11530" max="11530" width="16" style="1396" customWidth="1"/>
    <col min="11531" max="11532" width="16.7109375" style="1396" customWidth="1"/>
    <col min="11533" max="11533" width="28" style="1396" customWidth="1"/>
    <col min="11534" max="11534" width="17.7109375" style="1396" customWidth="1"/>
    <col min="11535" max="11535" width="12.28515625" style="1396" customWidth="1"/>
    <col min="11536" max="11536" width="7.5703125" style="1396" bestFit="1" customWidth="1"/>
    <col min="11537" max="11537" width="8.7109375" style="1396" bestFit="1" customWidth="1"/>
    <col min="11538" max="11538" width="7.5703125" style="1396" bestFit="1" customWidth="1"/>
    <col min="11539" max="11539" width="8.7109375" style="1396" bestFit="1" customWidth="1"/>
    <col min="11540" max="11540" width="7.28515625" style="1396" bestFit="1" customWidth="1"/>
    <col min="11541" max="11541" width="8.7109375" style="1396" bestFit="1" customWidth="1"/>
    <col min="11542" max="11542" width="22.7109375" style="1396" customWidth="1"/>
    <col min="11543" max="11543" width="18.28515625" style="1396" customWidth="1"/>
    <col min="11544" max="11544" width="13.85546875" style="1396" customWidth="1"/>
    <col min="11545" max="11545" width="14" style="1396" customWidth="1"/>
    <col min="11546" max="11546" width="9.28515625" style="1396" customWidth="1"/>
    <col min="11547" max="11547" width="12.7109375" style="1396" customWidth="1"/>
    <col min="11548" max="11548" width="6.42578125" style="1396" customWidth="1"/>
    <col min="11549" max="11549" width="14.42578125" style="1396" customWidth="1"/>
    <col min="11550" max="11550" width="10.28515625" style="1396" customWidth="1"/>
    <col min="11551" max="11551" width="12" style="1396" customWidth="1"/>
    <col min="11552" max="11552" width="8.7109375" style="1396" customWidth="1"/>
    <col min="11553" max="11553" width="10.5703125" style="1396" customWidth="1"/>
    <col min="11554" max="11554" width="16.42578125" style="1396" customWidth="1"/>
    <col min="11555" max="11555" width="15.140625" style="1396" customWidth="1"/>
    <col min="11556" max="11556" width="17" style="1396" customWidth="1"/>
    <col min="11557" max="11557" width="20.140625" style="1396" customWidth="1"/>
    <col min="11558" max="11558" width="20.28515625" style="1396" customWidth="1"/>
    <col min="11559" max="11776" width="28.7109375" style="1396"/>
    <col min="11777" max="11777" width="38.7109375" style="1396" customWidth="1"/>
    <col min="11778" max="11778" width="19.7109375" style="1396" bestFit="1" customWidth="1"/>
    <col min="11779" max="11779" width="11.140625" style="1396" bestFit="1" customWidth="1"/>
    <col min="11780" max="11780" width="18.42578125" style="1396" customWidth="1"/>
    <col min="11781" max="11781" width="16" style="1396" bestFit="1" customWidth="1"/>
    <col min="11782" max="11782" width="21.5703125" style="1396" customWidth="1"/>
    <col min="11783" max="11783" width="14.140625" style="1396" customWidth="1"/>
    <col min="11784" max="11784" width="12" style="1396" customWidth="1"/>
    <col min="11785" max="11785" width="17.7109375" style="1396" customWidth="1"/>
    <col min="11786" max="11786" width="16" style="1396" customWidth="1"/>
    <col min="11787" max="11788" width="16.7109375" style="1396" customWidth="1"/>
    <col min="11789" max="11789" width="28" style="1396" customWidth="1"/>
    <col min="11790" max="11790" width="17.7109375" style="1396" customWidth="1"/>
    <col min="11791" max="11791" width="12.28515625" style="1396" customWidth="1"/>
    <col min="11792" max="11792" width="7.5703125" style="1396" bestFit="1" customWidth="1"/>
    <col min="11793" max="11793" width="8.7109375" style="1396" bestFit="1" customWidth="1"/>
    <col min="11794" max="11794" width="7.5703125" style="1396" bestFit="1" customWidth="1"/>
    <col min="11795" max="11795" width="8.7109375" style="1396" bestFit="1" customWidth="1"/>
    <col min="11796" max="11796" width="7.28515625" style="1396" bestFit="1" customWidth="1"/>
    <col min="11797" max="11797" width="8.7109375" style="1396" bestFit="1" customWidth="1"/>
    <col min="11798" max="11798" width="22.7109375" style="1396" customWidth="1"/>
    <col min="11799" max="11799" width="18.28515625" style="1396" customWidth="1"/>
    <col min="11800" max="11800" width="13.85546875" style="1396" customWidth="1"/>
    <col min="11801" max="11801" width="14" style="1396" customWidth="1"/>
    <col min="11802" max="11802" width="9.28515625" style="1396" customWidth="1"/>
    <col min="11803" max="11803" width="12.7109375" style="1396" customWidth="1"/>
    <col min="11804" max="11804" width="6.42578125" style="1396" customWidth="1"/>
    <col min="11805" max="11805" width="14.42578125" style="1396" customWidth="1"/>
    <col min="11806" max="11806" width="10.28515625" style="1396" customWidth="1"/>
    <col min="11807" max="11807" width="12" style="1396" customWidth="1"/>
    <col min="11808" max="11808" width="8.7109375" style="1396" customWidth="1"/>
    <col min="11809" max="11809" width="10.5703125" style="1396" customWidth="1"/>
    <col min="11810" max="11810" width="16.42578125" style="1396" customWidth="1"/>
    <col min="11811" max="11811" width="15.140625" style="1396" customWidth="1"/>
    <col min="11812" max="11812" width="17" style="1396" customWidth="1"/>
    <col min="11813" max="11813" width="20.140625" style="1396" customWidth="1"/>
    <col min="11814" max="11814" width="20.28515625" style="1396" customWidth="1"/>
    <col min="11815" max="12032" width="28.7109375" style="1396"/>
    <col min="12033" max="12033" width="38.7109375" style="1396" customWidth="1"/>
    <col min="12034" max="12034" width="19.7109375" style="1396" bestFit="1" customWidth="1"/>
    <col min="12035" max="12035" width="11.140625" style="1396" bestFit="1" customWidth="1"/>
    <col min="12036" max="12036" width="18.42578125" style="1396" customWidth="1"/>
    <col min="12037" max="12037" width="16" style="1396" bestFit="1" customWidth="1"/>
    <col min="12038" max="12038" width="21.5703125" style="1396" customWidth="1"/>
    <col min="12039" max="12039" width="14.140625" style="1396" customWidth="1"/>
    <col min="12040" max="12040" width="12" style="1396" customWidth="1"/>
    <col min="12041" max="12041" width="17.7109375" style="1396" customWidth="1"/>
    <col min="12042" max="12042" width="16" style="1396" customWidth="1"/>
    <col min="12043" max="12044" width="16.7109375" style="1396" customWidth="1"/>
    <col min="12045" max="12045" width="28" style="1396" customWidth="1"/>
    <col min="12046" max="12046" width="17.7109375" style="1396" customWidth="1"/>
    <col min="12047" max="12047" width="12.28515625" style="1396" customWidth="1"/>
    <col min="12048" max="12048" width="7.5703125" style="1396" bestFit="1" customWidth="1"/>
    <col min="12049" max="12049" width="8.7109375" style="1396" bestFit="1" customWidth="1"/>
    <col min="12050" max="12050" width="7.5703125" style="1396" bestFit="1" customWidth="1"/>
    <col min="12051" max="12051" width="8.7109375" style="1396" bestFit="1" customWidth="1"/>
    <col min="12052" max="12052" width="7.28515625" style="1396" bestFit="1" customWidth="1"/>
    <col min="12053" max="12053" width="8.7109375" style="1396" bestFit="1" customWidth="1"/>
    <col min="12054" max="12054" width="22.7109375" style="1396" customWidth="1"/>
    <col min="12055" max="12055" width="18.28515625" style="1396" customWidth="1"/>
    <col min="12056" max="12056" width="13.85546875" style="1396" customWidth="1"/>
    <col min="12057" max="12057" width="14" style="1396" customWidth="1"/>
    <col min="12058" max="12058" width="9.28515625" style="1396" customWidth="1"/>
    <col min="12059" max="12059" width="12.7109375" style="1396" customWidth="1"/>
    <col min="12060" max="12060" width="6.42578125" style="1396" customWidth="1"/>
    <col min="12061" max="12061" width="14.42578125" style="1396" customWidth="1"/>
    <col min="12062" max="12062" width="10.28515625" style="1396" customWidth="1"/>
    <col min="12063" max="12063" width="12" style="1396" customWidth="1"/>
    <col min="12064" max="12064" width="8.7109375" style="1396" customWidth="1"/>
    <col min="12065" max="12065" width="10.5703125" style="1396" customWidth="1"/>
    <col min="12066" max="12066" width="16.42578125" style="1396" customWidth="1"/>
    <col min="12067" max="12067" width="15.140625" style="1396" customWidth="1"/>
    <col min="12068" max="12068" width="17" style="1396" customWidth="1"/>
    <col min="12069" max="12069" width="20.140625" style="1396" customWidth="1"/>
    <col min="12070" max="12070" width="20.28515625" style="1396" customWidth="1"/>
    <col min="12071" max="12288" width="28.7109375" style="1396"/>
    <col min="12289" max="12289" width="38.7109375" style="1396" customWidth="1"/>
    <col min="12290" max="12290" width="19.7109375" style="1396" bestFit="1" customWidth="1"/>
    <col min="12291" max="12291" width="11.140625" style="1396" bestFit="1" customWidth="1"/>
    <col min="12292" max="12292" width="18.42578125" style="1396" customWidth="1"/>
    <col min="12293" max="12293" width="16" style="1396" bestFit="1" customWidth="1"/>
    <col min="12294" max="12294" width="21.5703125" style="1396" customWidth="1"/>
    <col min="12295" max="12295" width="14.140625" style="1396" customWidth="1"/>
    <col min="12296" max="12296" width="12" style="1396" customWidth="1"/>
    <col min="12297" max="12297" width="17.7109375" style="1396" customWidth="1"/>
    <col min="12298" max="12298" width="16" style="1396" customWidth="1"/>
    <col min="12299" max="12300" width="16.7109375" style="1396" customWidth="1"/>
    <col min="12301" max="12301" width="28" style="1396" customWidth="1"/>
    <col min="12302" max="12302" width="17.7109375" style="1396" customWidth="1"/>
    <col min="12303" max="12303" width="12.28515625" style="1396" customWidth="1"/>
    <col min="12304" max="12304" width="7.5703125" style="1396" bestFit="1" customWidth="1"/>
    <col min="12305" max="12305" width="8.7109375" style="1396" bestFit="1" customWidth="1"/>
    <col min="12306" max="12306" width="7.5703125" style="1396" bestFit="1" customWidth="1"/>
    <col min="12307" max="12307" width="8.7109375" style="1396" bestFit="1" customWidth="1"/>
    <col min="12308" max="12308" width="7.28515625" style="1396" bestFit="1" customWidth="1"/>
    <col min="12309" max="12309" width="8.7109375" style="1396" bestFit="1" customWidth="1"/>
    <col min="12310" max="12310" width="22.7109375" style="1396" customWidth="1"/>
    <col min="12311" max="12311" width="18.28515625" style="1396" customWidth="1"/>
    <col min="12312" max="12312" width="13.85546875" style="1396" customWidth="1"/>
    <col min="12313" max="12313" width="14" style="1396" customWidth="1"/>
    <col min="12314" max="12314" width="9.28515625" style="1396" customWidth="1"/>
    <col min="12315" max="12315" width="12.7109375" style="1396" customWidth="1"/>
    <col min="12316" max="12316" width="6.42578125" style="1396" customWidth="1"/>
    <col min="12317" max="12317" width="14.42578125" style="1396" customWidth="1"/>
    <col min="12318" max="12318" width="10.28515625" style="1396" customWidth="1"/>
    <col min="12319" max="12319" width="12" style="1396" customWidth="1"/>
    <col min="12320" max="12320" width="8.7109375" style="1396" customWidth="1"/>
    <col min="12321" max="12321" width="10.5703125" style="1396" customWidth="1"/>
    <col min="12322" max="12322" width="16.42578125" style="1396" customWidth="1"/>
    <col min="12323" max="12323" width="15.140625" style="1396" customWidth="1"/>
    <col min="12324" max="12324" width="17" style="1396" customWidth="1"/>
    <col min="12325" max="12325" width="20.140625" style="1396" customWidth="1"/>
    <col min="12326" max="12326" width="20.28515625" style="1396" customWidth="1"/>
    <col min="12327" max="12544" width="28.7109375" style="1396"/>
    <col min="12545" max="12545" width="38.7109375" style="1396" customWidth="1"/>
    <col min="12546" max="12546" width="19.7109375" style="1396" bestFit="1" customWidth="1"/>
    <col min="12547" max="12547" width="11.140625" style="1396" bestFit="1" customWidth="1"/>
    <col min="12548" max="12548" width="18.42578125" style="1396" customWidth="1"/>
    <col min="12549" max="12549" width="16" style="1396" bestFit="1" customWidth="1"/>
    <col min="12550" max="12550" width="21.5703125" style="1396" customWidth="1"/>
    <col min="12551" max="12551" width="14.140625" style="1396" customWidth="1"/>
    <col min="12552" max="12552" width="12" style="1396" customWidth="1"/>
    <col min="12553" max="12553" width="17.7109375" style="1396" customWidth="1"/>
    <col min="12554" max="12554" width="16" style="1396" customWidth="1"/>
    <col min="12555" max="12556" width="16.7109375" style="1396" customWidth="1"/>
    <col min="12557" max="12557" width="28" style="1396" customWidth="1"/>
    <col min="12558" max="12558" width="17.7109375" style="1396" customWidth="1"/>
    <col min="12559" max="12559" width="12.28515625" style="1396" customWidth="1"/>
    <col min="12560" max="12560" width="7.5703125" style="1396" bestFit="1" customWidth="1"/>
    <col min="12561" max="12561" width="8.7109375" style="1396" bestFit="1" customWidth="1"/>
    <col min="12562" max="12562" width="7.5703125" style="1396" bestFit="1" customWidth="1"/>
    <col min="12563" max="12563" width="8.7109375" style="1396" bestFit="1" customWidth="1"/>
    <col min="12564" max="12564" width="7.28515625" style="1396" bestFit="1" customWidth="1"/>
    <col min="12565" max="12565" width="8.7109375" style="1396" bestFit="1" customWidth="1"/>
    <col min="12566" max="12566" width="22.7109375" style="1396" customWidth="1"/>
    <col min="12567" max="12567" width="18.28515625" style="1396" customWidth="1"/>
    <col min="12568" max="12568" width="13.85546875" style="1396" customWidth="1"/>
    <col min="12569" max="12569" width="14" style="1396" customWidth="1"/>
    <col min="12570" max="12570" width="9.28515625" style="1396" customWidth="1"/>
    <col min="12571" max="12571" width="12.7109375" style="1396" customWidth="1"/>
    <col min="12572" max="12572" width="6.42578125" style="1396" customWidth="1"/>
    <col min="12573" max="12573" width="14.42578125" style="1396" customWidth="1"/>
    <col min="12574" max="12574" width="10.28515625" style="1396" customWidth="1"/>
    <col min="12575" max="12575" width="12" style="1396" customWidth="1"/>
    <col min="12576" max="12576" width="8.7109375" style="1396" customWidth="1"/>
    <col min="12577" max="12577" width="10.5703125" style="1396" customWidth="1"/>
    <col min="12578" max="12578" width="16.42578125" style="1396" customWidth="1"/>
    <col min="12579" max="12579" width="15.140625" style="1396" customWidth="1"/>
    <col min="12580" max="12580" width="17" style="1396" customWidth="1"/>
    <col min="12581" max="12581" width="20.140625" style="1396" customWidth="1"/>
    <col min="12582" max="12582" width="20.28515625" style="1396" customWidth="1"/>
    <col min="12583" max="12800" width="28.7109375" style="1396"/>
    <col min="12801" max="12801" width="38.7109375" style="1396" customWidth="1"/>
    <col min="12802" max="12802" width="19.7109375" style="1396" bestFit="1" customWidth="1"/>
    <col min="12803" max="12803" width="11.140625" style="1396" bestFit="1" customWidth="1"/>
    <col min="12804" max="12804" width="18.42578125" style="1396" customWidth="1"/>
    <col min="12805" max="12805" width="16" style="1396" bestFit="1" customWidth="1"/>
    <col min="12806" max="12806" width="21.5703125" style="1396" customWidth="1"/>
    <col min="12807" max="12807" width="14.140625" style="1396" customWidth="1"/>
    <col min="12808" max="12808" width="12" style="1396" customWidth="1"/>
    <col min="12809" max="12809" width="17.7109375" style="1396" customWidth="1"/>
    <col min="12810" max="12810" width="16" style="1396" customWidth="1"/>
    <col min="12811" max="12812" width="16.7109375" style="1396" customWidth="1"/>
    <col min="12813" max="12813" width="28" style="1396" customWidth="1"/>
    <col min="12814" max="12814" width="17.7109375" style="1396" customWidth="1"/>
    <col min="12815" max="12815" width="12.28515625" style="1396" customWidth="1"/>
    <col min="12816" max="12816" width="7.5703125" style="1396" bestFit="1" customWidth="1"/>
    <col min="12817" max="12817" width="8.7109375" style="1396" bestFit="1" customWidth="1"/>
    <col min="12818" max="12818" width="7.5703125" style="1396" bestFit="1" customWidth="1"/>
    <col min="12819" max="12819" width="8.7109375" style="1396" bestFit="1" customWidth="1"/>
    <col min="12820" max="12820" width="7.28515625" style="1396" bestFit="1" customWidth="1"/>
    <col min="12821" max="12821" width="8.7109375" style="1396" bestFit="1" customWidth="1"/>
    <col min="12822" max="12822" width="22.7109375" style="1396" customWidth="1"/>
    <col min="12823" max="12823" width="18.28515625" style="1396" customWidth="1"/>
    <col min="12824" max="12824" width="13.85546875" style="1396" customWidth="1"/>
    <col min="12825" max="12825" width="14" style="1396" customWidth="1"/>
    <col min="12826" max="12826" width="9.28515625" style="1396" customWidth="1"/>
    <col min="12827" max="12827" width="12.7109375" style="1396" customWidth="1"/>
    <col min="12828" max="12828" width="6.42578125" style="1396" customWidth="1"/>
    <col min="12829" max="12829" width="14.42578125" style="1396" customWidth="1"/>
    <col min="12830" max="12830" width="10.28515625" style="1396" customWidth="1"/>
    <col min="12831" max="12831" width="12" style="1396" customWidth="1"/>
    <col min="12832" max="12832" width="8.7109375" style="1396" customWidth="1"/>
    <col min="12833" max="12833" width="10.5703125" style="1396" customWidth="1"/>
    <col min="12834" max="12834" width="16.42578125" style="1396" customWidth="1"/>
    <col min="12835" max="12835" width="15.140625" style="1396" customWidth="1"/>
    <col min="12836" max="12836" width="17" style="1396" customWidth="1"/>
    <col min="12837" max="12837" width="20.140625" style="1396" customWidth="1"/>
    <col min="12838" max="12838" width="20.28515625" style="1396" customWidth="1"/>
    <col min="12839" max="13056" width="28.7109375" style="1396"/>
    <col min="13057" max="13057" width="38.7109375" style="1396" customWidth="1"/>
    <col min="13058" max="13058" width="19.7109375" style="1396" bestFit="1" customWidth="1"/>
    <col min="13059" max="13059" width="11.140625" style="1396" bestFit="1" customWidth="1"/>
    <col min="13060" max="13060" width="18.42578125" style="1396" customWidth="1"/>
    <col min="13061" max="13061" width="16" style="1396" bestFit="1" customWidth="1"/>
    <col min="13062" max="13062" width="21.5703125" style="1396" customWidth="1"/>
    <col min="13063" max="13063" width="14.140625" style="1396" customWidth="1"/>
    <col min="13064" max="13064" width="12" style="1396" customWidth="1"/>
    <col min="13065" max="13065" width="17.7109375" style="1396" customWidth="1"/>
    <col min="13066" max="13066" width="16" style="1396" customWidth="1"/>
    <col min="13067" max="13068" width="16.7109375" style="1396" customWidth="1"/>
    <col min="13069" max="13069" width="28" style="1396" customWidth="1"/>
    <col min="13070" max="13070" width="17.7109375" style="1396" customWidth="1"/>
    <col min="13071" max="13071" width="12.28515625" style="1396" customWidth="1"/>
    <col min="13072" max="13072" width="7.5703125" style="1396" bestFit="1" customWidth="1"/>
    <col min="13073" max="13073" width="8.7109375" style="1396" bestFit="1" customWidth="1"/>
    <col min="13074" max="13074" width="7.5703125" style="1396" bestFit="1" customWidth="1"/>
    <col min="13075" max="13075" width="8.7109375" style="1396" bestFit="1" customWidth="1"/>
    <col min="13076" max="13076" width="7.28515625" style="1396" bestFit="1" customWidth="1"/>
    <col min="13077" max="13077" width="8.7109375" style="1396" bestFit="1" customWidth="1"/>
    <col min="13078" max="13078" width="22.7109375" style="1396" customWidth="1"/>
    <col min="13079" max="13079" width="18.28515625" style="1396" customWidth="1"/>
    <col min="13080" max="13080" width="13.85546875" style="1396" customWidth="1"/>
    <col min="13081" max="13081" width="14" style="1396" customWidth="1"/>
    <col min="13082" max="13082" width="9.28515625" style="1396" customWidth="1"/>
    <col min="13083" max="13083" width="12.7109375" style="1396" customWidth="1"/>
    <col min="13084" max="13084" width="6.42578125" style="1396" customWidth="1"/>
    <col min="13085" max="13085" width="14.42578125" style="1396" customWidth="1"/>
    <col min="13086" max="13086" width="10.28515625" style="1396" customWidth="1"/>
    <col min="13087" max="13087" width="12" style="1396" customWidth="1"/>
    <col min="13088" max="13088" width="8.7109375" style="1396" customWidth="1"/>
    <col min="13089" max="13089" width="10.5703125" style="1396" customWidth="1"/>
    <col min="13090" max="13090" width="16.42578125" style="1396" customWidth="1"/>
    <col min="13091" max="13091" width="15.140625" style="1396" customWidth="1"/>
    <col min="13092" max="13092" width="17" style="1396" customWidth="1"/>
    <col min="13093" max="13093" width="20.140625" style="1396" customWidth="1"/>
    <col min="13094" max="13094" width="20.28515625" style="1396" customWidth="1"/>
    <col min="13095" max="13312" width="28.7109375" style="1396"/>
    <col min="13313" max="13313" width="38.7109375" style="1396" customWidth="1"/>
    <col min="13314" max="13314" width="19.7109375" style="1396" bestFit="1" customWidth="1"/>
    <col min="13315" max="13315" width="11.140625" style="1396" bestFit="1" customWidth="1"/>
    <col min="13316" max="13316" width="18.42578125" style="1396" customWidth="1"/>
    <col min="13317" max="13317" width="16" style="1396" bestFit="1" customWidth="1"/>
    <col min="13318" max="13318" width="21.5703125" style="1396" customWidth="1"/>
    <col min="13319" max="13319" width="14.140625" style="1396" customWidth="1"/>
    <col min="13320" max="13320" width="12" style="1396" customWidth="1"/>
    <col min="13321" max="13321" width="17.7109375" style="1396" customWidth="1"/>
    <col min="13322" max="13322" width="16" style="1396" customWidth="1"/>
    <col min="13323" max="13324" width="16.7109375" style="1396" customWidth="1"/>
    <col min="13325" max="13325" width="28" style="1396" customWidth="1"/>
    <col min="13326" max="13326" width="17.7109375" style="1396" customWidth="1"/>
    <col min="13327" max="13327" width="12.28515625" style="1396" customWidth="1"/>
    <col min="13328" max="13328" width="7.5703125" style="1396" bestFit="1" customWidth="1"/>
    <col min="13329" max="13329" width="8.7109375" style="1396" bestFit="1" customWidth="1"/>
    <col min="13330" max="13330" width="7.5703125" style="1396" bestFit="1" customWidth="1"/>
    <col min="13331" max="13331" width="8.7109375" style="1396" bestFit="1" customWidth="1"/>
    <col min="13332" max="13332" width="7.28515625" style="1396" bestFit="1" customWidth="1"/>
    <col min="13333" max="13333" width="8.7109375" style="1396" bestFit="1" customWidth="1"/>
    <col min="13334" max="13334" width="22.7109375" style="1396" customWidth="1"/>
    <col min="13335" max="13335" width="18.28515625" style="1396" customWidth="1"/>
    <col min="13336" max="13336" width="13.85546875" style="1396" customWidth="1"/>
    <col min="13337" max="13337" width="14" style="1396" customWidth="1"/>
    <col min="13338" max="13338" width="9.28515625" style="1396" customWidth="1"/>
    <col min="13339" max="13339" width="12.7109375" style="1396" customWidth="1"/>
    <col min="13340" max="13340" width="6.42578125" style="1396" customWidth="1"/>
    <col min="13341" max="13341" width="14.42578125" style="1396" customWidth="1"/>
    <col min="13342" max="13342" width="10.28515625" style="1396" customWidth="1"/>
    <col min="13343" max="13343" width="12" style="1396" customWidth="1"/>
    <col min="13344" max="13344" width="8.7109375" style="1396" customWidth="1"/>
    <col min="13345" max="13345" width="10.5703125" style="1396" customWidth="1"/>
    <col min="13346" max="13346" width="16.42578125" style="1396" customWidth="1"/>
    <col min="13347" max="13347" width="15.140625" style="1396" customWidth="1"/>
    <col min="13348" max="13348" width="17" style="1396" customWidth="1"/>
    <col min="13349" max="13349" width="20.140625" style="1396" customWidth="1"/>
    <col min="13350" max="13350" width="20.28515625" style="1396" customWidth="1"/>
    <col min="13351" max="13568" width="28.7109375" style="1396"/>
    <col min="13569" max="13569" width="38.7109375" style="1396" customWidth="1"/>
    <col min="13570" max="13570" width="19.7109375" style="1396" bestFit="1" customWidth="1"/>
    <col min="13571" max="13571" width="11.140625" style="1396" bestFit="1" customWidth="1"/>
    <col min="13572" max="13572" width="18.42578125" style="1396" customWidth="1"/>
    <col min="13573" max="13573" width="16" style="1396" bestFit="1" customWidth="1"/>
    <col min="13574" max="13574" width="21.5703125" style="1396" customWidth="1"/>
    <col min="13575" max="13575" width="14.140625" style="1396" customWidth="1"/>
    <col min="13576" max="13576" width="12" style="1396" customWidth="1"/>
    <col min="13577" max="13577" width="17.7109375" style="1396" customWidth="1"/>
    <col min="13578" max="13578" width="16" style="1396" customWidth="1"/>
    <col min="13579" max="13580" width="16.7109375" style="1396" customWidth="1"/>
    <col min="13581" max="13581" width="28" style="1396" customWidth="1"/>
    <col min="13582" max="13582" width="17.7109375" style="1396" customWidth="1"/>
    <col min="13583" max="13583" width="12.28515625" style="1396" customWidth="1"/>
    <col min="13584" max="13584" width="7.5703125" style="1396" bestFit="1" customWidth="1"/>
    <col min="13585" max="13585" width="8.7109375" style="1396" bestFit="1" customWidth="1"/>
    <col min="13586" max="13586" width="7.5703125" style="1396" bestFit="1" customWidth="1"/>
    <col min="13587" max="13587" width="8.7109375" style="1396" bestFit="1" customWidth="1"/>
    <col min="13588" max="13588" width="7.28515625" style="1396" bestFit="1" customWidth="1"/>
    <col min="13589" max="13589" width="8.7109375" style="1396" bestFit="1" customWidth="1"/>
    <col min="13590" max="13590" width="22.7109375" style="1396" customWidth="1"/>
    <col min="13591" max="13591" width="18.28515625" style="1396" customWidth="1"/>
    <col min="13592" max="13592" width="13.85546875" style="1396" customWidth="1"/>
    <col min="13593" max="13593" width="14" style="1396" customWidth="1"/>
    <col min="13594" max="13594" width="9.28515625" style="1396" customWidth="1"/>
    <col min="13595" max="13595" width="12.7109375" style="1396" customWidth="1"/>
    <col min="13596" max="13596" width="6.42578125" style="1396" customWidth="1"/>
    <col min="13597" max="13597" width="14.42578125" style="1396" customWidth="1"/>
    <col min="13598" max="13598" width="10.28515625" style="1396" customWidth="1"/>
    <col min="13599" max="13599" width="12" style="1396" customWidth="1"/>
    <col min="13600" max="13600" width="8.7109375" style="1396" customWidth="1"/>
    <col min="13601" max="13601" width="10.5703125" style="1396" customWidth="1"/>
    <col min="13602" max="13602" width="16.42578125" style="1396" customWidth="1"/>
    <col min="13603" max="13603" width="15.140625" style="1396" customWidth="1"/>
    <col min="13604" max="13604" width="17" style="1396" customWidth="1"/>
    <col min="13605" max="13605" width="20.140625" style="1396" customWidth="1"/>
    <col min="13606" max="13606" width="20.28515625" style="1396" customWidth="1"/>
    <col min="13607" max="13824" width="28.7109375" style="1396"/>
    <col min="13825" max="13825" width="38.7109375" style="1396" customWidth="1"/>
    <col min="13826" max="13826" width="19.7109375" style="1396" bestFit="1" customWidth="1"/>
    <col min="13827" max="13827" width="11.140625" style="1396" bestFit="1" customWidth="1"/>
    <col min="13828" max="13828" width="18.42578125" style="1396" customWidth="1"/>
    <col min="13829" max="13829" width="16" style="1396" bestFit="1" customWidth="1"/>
    <col min="13830" max="13830" width="21.5703125" style="1396" customWidth="1"/>
    <col min="13831" max="13831" width="14.140625" style="1396" customWidth="1"/>
    <col min="13832" max="13832" width="12" style="1396" customWidth="1"/>
    <col min="13833" max="13833" width="17.7109375" style="1396" customWidth="1"/>
    <col min="13834" max="13834" width="16" style="1396" customWidth="1"/>
    <col min="13835" max="13836" width="16.7109375" style="1396" customWidth="1"/>
    <col min="13837" max="13837" width="28" style="1396" customWidth="1"/>
    <col min="13838" max="13838" width="17.7109375" style="1396" customWidth="1"/>
    <col min="13839" max="13839" width="12.28515625" style="1396" customWidth="1"/>
    <col min="13840" max="13840" width="7.5703125" style="1396" bestFit="1" customWidth="1"/>
    <col min="13841" max="13841" width="8.7109375" style="1396" bestFit="1" customWidth="1"/>
    <col min="13842" max="13842" width="7.5703125" style="1396" bestFit="1" customWidth="1"/>
    <col min="13843" max="13843" width="8.7109375" style="1396" bestFit="1" customWidth="1"/>
    <col min="13844" max="13844" width="7.28515625" style="1396" bestFit="1" customWidth="1"/>
    <col min="13845" max="13845" width="8.7109375" style="1396" bestFit="1" customWidth="1"/>
    <col min="13846" max="13846" width="22.7109375" style="1396" customWidth="1"/>
    <col min="13847" max="13847" width="18.28515625" style="1396" customWidth="1"/>
    <col min="13848" max="13848" width="13.85546875" style="1396" customWidth="1"/>
    <col min="13849" max="13849" width="14" style="1396" customWidth="1"/>
    <col min="13850" max="13850" width="9.28515625" style="1396" customWidth="1"/>
    <col min="13851" max="13851" width="12.7109375" style="1396" customWidth="1"/>
    <col min="13852" max="13852" width="6.42578125" style="1396" customWidth="1"/>
    <col min="13853" max="13853" width="14.42578125" style="1396" customWidth="1"/>
    <col min="13854" max="13854" width="10.28515625" style="1396" customWidth="1"/>
    <col min="13855" max="13855" width="12" style="1396" customWidth="1"/>
    <col min="13856" max="13856" width="8.7109375" style="1396" customWidth="1"/>
    <col min="13857" max="13857" width="10.5703125" style="1396" customWidth="1"/>
    <col min="13858" max="13858" width="16.42578125" style="1396" customWidth="1"/>
    <col min="13859" max="13859" width="15.140625" style="1396" customWidth="1"/>
    <col min="13860" max="13860" width="17" style="1396" customWidth="1"/>
    <col min="13861" max="13861" width="20.140625" style="1396" customWidth="1"/>
    <col min="13862" max="13862" width="20.28515625" style="1396" customWidth="1"/>
    <col min="13863" max="14080" width="28.7109375" style="1396"/>
    <col min="14081" max="14081" width="38.7109375" style="1396" customWidth="1"/>
    <col min="14082" max="14082" width="19.7109375" style="1396" bestFit="1" customWidth="1"/>
    <col min="14083" max="14083" width="11.140625" style="1396" bestFit="1" customWidth="1"/>
    <col min="14084" max="14084" width="18.42578125" style="1396" customWidth="1"/>
    <col min="14085" max="14085" width="16" style="1396" bestFit="1" customWidth="1"/>
    <col min="14086" max="14086" width="21.5703125" style="1396" customWidth="1"/>
    <col min="14087" max="14087" width="14.140625" style="1396" customWidth="1"/>
    <col min="14088" max="14088" width="12" style="1396" customWidth="1"/>
    <col min="14089" max="14089" width="17.7109375" style="1396" customWidth="1"/>
    <col min="14090" max="14090" width="16" style="1396" customWidth="1"/>
    <col min="14091" max="14092" width="16.7109375" style="1396" customWidth="1"/>
    <col min="14093" max="14093" width="28" style="1396" customWidth="1"/>
    <col min="14094" max="14094" width="17.7109375" style="1396" customWidth="1"/>
    <col min="14095" max="14095" width="12.28515625" style="1396" customWidth="1"/>
    <col min="14096" max="14096" width="7.5703125" style="1396" bestFit="1" customWidth="1"/>
    <col min="14097" max="14097" width="8.7109375" style="1396" bestFit="1" customWidth="1"/>
    <col min="14098" max="14098" width="7.5703125" style="1396" bestFit="1" customWidth="1"/>
    <col min="14099" max="14099" width="8.7109375" style="1396" bestFit="1" customWidth="1"/>
    <col min="14100" max="14100" width="7.28515625" style="1396" bestFit="1" customWidth="1"/>
    <col min="14101" max="14101" width="8.7109375" style="1396" bestFit="1" customWidth="1"/>
    <col min="14102" max="14102" width="22.7109375" style="1396" customWidth="1"/>
    <col min="14103" max="14103" width="18.28515625" style="1396" customWidth="1"/>
    <col min="14104" max="14104" width="13.85546875" style="1396" customWidth="1"/>
    <col min="14105" max="14105" width="14" style="1396" customWidth="1"/>
    <col min="14106" max="14106" width="9.28515625" style="1396" customWidth="1"/>
    <col min="14107" max="14107" width="12.7109375" style="1396" customWidth="1"/>
    <col min="14108" max="14108" width="6.42578125" style="1396" customWidth="1"/>
    <col min="14109" max="14109" width="14.42578125" style="1396" customWidth="1"/>
    <col min="14110" max="14110" width="10.28515625" style="1396" customWidth="1"/>
    <col min="14111" max="14111" width="12" style="1396" customWidth="1"/>
    <col min="14112" max="14112" width="8.7109375" style="1396" customWidth="1"/>
    <col min="14113" max="14113" width="10.5703125" style="1396" customWidth="1"/>
    <col min="14114" max="14114" width="16.42578125" style="1396" customWidth="1"/>
    <col min="14115" max="14115" width="15.140625" style="1396" customWidth="1"/>
    <col min="14116" max="14116" width="17" style="1396" customWidth="1"/>
    <col min="14117" max="14117" width="20.140625" style="1396" customWidth="1"/>
    <col min="14118" max="14118" width="20.28515625" style="1396" customWidth="1"/>
    <col min="14119" max="14336" width="28.7109375" style="1396"/>
    <col min="14337" max="14337" width="38.7109375" style="1396" customWidth="1"/>
    <col min="14338" max="14338" width="19.7109375" style="1396" bestFit="1" customWidth="1"/>
    <col min="14339" max="14339" width="11.140625" style="1396" bestFit="1" customWidth="1"/>
    <col min="14340" max="14340" width="18.42578125" style="1396" customWidth="1"/>
    <col min="14341" max="14341" width="16" style="1396" bestFit="1" customWidth="1"/>
    <col min="14342" max="14342" width="21.5703125" style="1396" customWidth="1"/>
    <col min="14343" max="14343" width="14.140625" style="1396" customWidth="1"/>
    <col min="14344" max="14344" width="12" style="1396" customWidth="1"/>
    <col min="14345" max="14345" width="17.7109375" style="1396" customWidth="1"/>
    <col min="14346" max="14346" width="16" style="1396" customWidth="1"/>
    <col min="14347" max="14348" width="16.7109375" style="1396" customWidth="1"/>
    <col min="14349" max="14349" width="28" style="1396" customWidth="1"/>
    <col min="14350" max="14350" width="17.7109375" style="1396" customWidth="1"/>
    <col min="14351" max="14351" width="12.28515625" style="1396" customWidth="1"/>
    <col min="14352" max="14352" width="7.5703125" style="1396" bestFit="1" customWidth="1"/>
    <col min="14353" max="14353" width="8.7109375" style="1396" bestFit="1" customWidth="1"/>
    <col min="14354" max="14354" width="7.5703125" style="1396" bestFit="1" customWidth="1"/>
    <col min="14355" max="14355" width="8.7109375" style="1396" bestFit="1" customWidth="1"/>
    <col min="14356" max="14356" width="7.28515625" style="1396" bestFit="1" customWidth="1"/>
    <col min="14357" max="14357" width="8.7109375" style="1396" bestFit="1" customWidth="1"/>
    <col min="14358" max="14358" width="22.7109375" style="1396" customWidth="1"/>
    <col min="14359" max="14359" width="18.28515625" style="1396" customWidth="1"/>
    <col min="14360" max="14360" width="13.85546875" style="1396" customWidth="1"/>
    <col min="14361" max="14361" width="14" style="1396" customWidth="1"/>
    <col min="14362" max="14362" width="9.28515625" style="1396" customWidth="1"/>
    <col min="14363" max="14363" width="12.7109375" style="1396" customWidth="1"/>
    <col min="14364" max="14364" width="6.42578125" style="1396" customWidth="1"/>
    <col min="14365" max="14365" width="14.42578125" style="1396" customWidth="1"/>
    <col min="14366" max="14366" width="10.28515625" style="1396" customWidth="1"/>
    <col min="14367" max="14367" width="12" style="1396" customWidth="1"/>
    <col min="14368" max="14368" width="8.7109375" style="1396" customWidth="1"/>
    <col min="14369" max="14369" width="10.5703125" style="1396" customWidth="1"/>
    <col min="14370" max="14370" width="16.42578125" style="1396" customWidth="1"/>
    <col min="14371" max="14371" width="15.140625" style="1396" customWidth="1"/>
    <col min="14372" max="14372" width="17" style="1396" customWidth="1"/>
    <col min="14373" max="14373" width="20.140625" style="1396" customWidth="1"/>
    <col min="14374" max="14374" width="20.28515625" style="1396" customWidth="1"/>
    <col min="14375" max="14592" width="28.7109375" style="1396"/>
    <col min="14593" max="14593" width="38.7109375" style="1396" customWidth="1"/>
    <col min="14594" max="14594" width="19.7109375" style="1396" bestFit="1" customWidth="1"/>
    <col min="14595" max="14595" width="11.140625" style="1396" bestFit="1" customWidth="1"/>
    <col min="14596" max="14596" width="18.42578125" style="1396" customWidth="1"/>
    <col min="14597" max="14597" width="16" style="1396" bestFit="1" customWidth="1"/>
    <col min="14598" max="14598" width="21.5703125" style="1396" customWidth="1"/>
    <col min="14599" max="14599" width="14.140625" style="1396" customWidth="1"/>
    <col min="14600" max="14600" width="12" style="1396" customWidth="1"/>
    <col min="14601" max="14601" width="17.7109375" style="1396" customWidth="1"/>
    <col min="14602" max="14602" width="16" style="1396" customWidth="1"/>
    <col min="14603" max="14604" width="16.7109375" style="1396" customWidth="1"/>
    <col min="14605" max="14605" width="28" style="1396" customWidth="1"/>
    <col min="14606" max="14606" width="17.7109375" style="1396" customWidth="1"/>
    <col min="14607" max="14607" width="12.28515625" style="1396" customWidth="1"/>
    <col min="14608" max="14608" width="7.5703125" style="1396" bestFit="1" customWidth="1"/>
    <col min="14609" max="14609" width="8.7109375" style="1396" bestFit="1" customWidth="1"/>
    <col min="14610" max="14610" width="7.5703125" style="1396" bestFit="1" customWidth="1"/>
    <col min="14611" max="14611" width="8.7109375" style="1396" bestFit="1" customWidth="1"/>
    <col min="14612" max="14612" width="7.28515625" style="1396" bestFit="1" customWidth="1"/>
    <col min="14613" max="14613" width="8.7109375" style="1396" bestFit="1" customWidth="1"/>
    <col min="14614" max="14614" width="22.7109375" style="1396" customWidth="1"/>
    <col min="14615" max="14615" width="18.28515625" style="1396" customWidth="1"/>
    <col min="14616" max="14616" width="13.85546875" style="1396" customWidth="1"/>
    <col min="14617" max="14617" width="14" style="1396" customWidth="1"/>
    <col min="14618" max="14618" width="9.28515625" style="1396" customWidth="1"/>
    <col min="14619" max="14619" width="12.7109375" style="1396" customWidth="1"/>
    <col min="14620" max="14620" width="6.42578125" style="1396" customWidth="1"/>
    <col min="14621" max="14621" width="14.42578125" style="1396" customWidth="1"/>
    <col min="14622" max="14622" width="10.28515625" style="1396" customWidth="1"/>
    <col min="14623" max="14623" width="12" style="1396" customWidth="1"/>
    <col min="14624" max="14624" width="8.7109375" style="1396" customWidth="1"/>
    <col min="14625" max="14625" width="10.5703125" style="1396" customWidth="1"/>
    <col min="14626" max="14626" width="16.42578125" style="1396" customWidth="1"/>
    <col min="14627" max="14627" width="15.140625" style="1396" customWidth="1"/>
    <col min="14628" max="14628" width="17" style="1396" customWidth="1"/>
    <col min="14629" max="14629" width="20.140625" style="1396" customWidth="1"/>
    <col min="14630" max="14630" width="20.28515625" style="1396" customWidth="1"/>
    <col min="14631" max="14848" width="28.7109375" style="1396"/>
    <col min="14849" max="14849" width="38.7109375" style="1396" customWidth="1"/>
    <col min="14850" max="14850" width="19.7109375" style="1396" bestFit="1" customWidth="1"/>
    <col min="14851" max="14851" width="11.140625" style="1396" bestFit="1" customWidth="1"/>
    <col min="14852" max="14852" width="18.42578125" style="1396" customWidth="1"/>
    <col min="14853" max="14853" width="16" style="1396" bestFit="1" customWidth="1"/>
    <col min="14854" max="14854" width="21.5703125" style="1396" customWidth="1"/>
    <col min="14855" max="14855" width="14.140625" style="1396" customWidth="1"/>
    <col min="14856" max="14856" width="12" style="1396" customWidth="1"/>
    <col min="14857" max="14857" width="17.7109375" style="1396" customWidth="1"/>
    <col min="14858" max="14858" width="16" style="1396" customWidth="1"/>
    <col min="14859" max="14860" width="16.7109375" style="1396" customWidth="1"/>
    <col min="14861" max="14861" width="28" style="1396" customWidth="1"/>
    <col min="14862" max="14862" width="17.7109375" style="1396" customWidth="1"/>
    <col min="14863" max="14863" width="12.28515625" style="1396" customWidth="1"/>
    <col min="14864" max="14864" width="7.5703125" style="1396" bestFit="1" customWidth="1"/>
    <col min="14865" max="14865" width="8.7109375" style="1396" bestFit="1" customWidth="1"/>
    <col min="14866" max="14866" width="7.5703125" style="1396" bestFit="1" customWidth="1"/>
    <col min="14867" max="14867" width="8.7109375" style="1396" bestFit="1" customWidth="1"/>
    <col min="14868" max="14868" width="7.28515625" style="1396" bestFit="1" customWidth="1"/>
    <col min="14869" max="14869" width="8.7109375" style="1396" bestFit="1" customWidth="1"/>
    <col min="14870" max="14870" width="22.7109375" style="1396" customWidth="1"/>
    <col min="14871" max="14871" width="18.28515625" style="1396" customWidth="1"/>
    <col min="14872" max="14872" width="13.85546875" style="1396" customWidth="1"/>
    <col min="14873" max="14873" width="14" style="1396" customWidth="1"/>
    <col min="14874" max="14874" width="9.28515625" style="1396" customWidth="1"/>
    <col min="14875" max="14875" width="12.7109375" style="1396" customWidth="1"/>
    <col min="14876" max="14876" width="6.42578125" style="1396" customWidth="1"/>
    <col min="14877" max="14877" width="14.42578125" style="1396" customWidth="1"/>
    <col min="14878" max="14878" width="10.28515625" style="1396" customWidth="1"/>
    <col min="14879" max="14879" width="12" style="1396" customWidth="1"/>
    <col min="14880" max="14880" width="8.7109375" style="1396" customWidth="1"/>
    <col min="14881" max="14881" width="10.5703125" style="1396" customWidth="1"/>
    <col min="14882" max="14882" width="16.42578125" style="1396" customWidth="1"/>
    <col min="14883" max="14883" width="15.140625" style="1396" customWidth="1"/>
    <col min="14884" max="14884" width="17" style="1396" customWidth="1"/>
    <col min="14885" max="14885" width="20.140625" style="1396" customWidth="1"/>
    <col min="14886" max="14886" width="20.28515625" style="1396" customWidth="1"/>
    <col min="14887" max="15104" width="28.7109375" style="1396"/>
    <col min="15105" max="15105" width="38.7109375" style="1396" customWidth="1"/>
    <col min="15106" max="15106" width="19.7109375" style="1396" bestFit="1" customWidth="1"/>
    <col min="15107" max="15107" width="11.140625" style="1396" bestFit="1" customWidth="1"/>
    <col min="15108" max="15108" width="18.42578125" style="1396" customWidth="1"/>
    <col min="15109" max="15109" width="16" style="1396" bestFit="1" customWidth="1"/>
    <col min="15110" max="15110" width="21.5703125" style="1396" customWidth="1"/>
    <col min="15111" max="15111" width="14.140625" style="1396" customWidth="1"/>
    <col min="15112" max="15112" width="12" style="1396" customWidth="1"/>
    <col min="15113" max="15113" width="17.7109375" style="1396" customWidth="1"/>
    <col min="15114" max="15114" width="16" style="1396" customWidth="1"/>
    <col min="15115" max="15116" width="16.7109375" style="1396" customWidth="1"/>
    <col min="15117" max="15117" width="28" style="1396" customWidth="1"/>
    <col min="15118" max="15118" width="17.7109375" style="1396" customWidth="1"/>
    <col min="15119" max="15119" width="12.28515625" style="1396" customWidth="1"/>
    <col min="15120" max="15120" width="7.5703125" style="1396" bestFit="1" customWidth="1"/>
    <col min="15121" max="15121" width="8.7109375" style="1396" bestFit="1" customWidth="1"/>
    <col min="15122" max="15122" width="7.5703125" style="1396" bestFit="1" customWidth="1"/>
    <col min="15123" max="15123" width="8.7109375" style="1396" bestFit="1" customWidth="1"/>
    <col min="15124" max="15124" width="7.28515625" style="1396" bestFit="1" customWidth="1"/>
    <col min="15125" max="15125" width="8.7109375" style="1396" bestFit="1" customWidth="1"/>
    <col min="15126" max="15126" width="22.7109375" style="1396" customWidth="1"/>
    <col min="15127" max="15127" width="18.28515625" style="1396" customWidth="1"/>
    <col min="15128" max="15128" width="13.85546875" style="1396" customWidth="1"/>
    <col min="15129" max="15129" width="14" style="1396" customWidth="1"/>
    <col min="15130" max="15130" width="9.28515625" style="1396" customWidth="1"/>
    <col min="15131" max="15131" width="12.7109375" style="1396" customWidth="1"/>
    <col min="15132" max="15132" width="6.42578125" style="1396" customWidth="1"/>
    <col min="15133" max="15133" width="14.42578125" style="1396" customWidth="1"/>
    <col min="15134" max="15134" width="10.28515625" style="1396" customWidth="1"/>
    <col min="15135" max="15135" width="12" style="1396" customWidth="1"/>
    <col min="15136" max="15136" width="8.7109375" style="1396" customWidth="1"/>
    <col min="15137" max="15137" width="10.5703125" style="1396" customWidth="1"/>
    <col min="15138" max="15138" width="16.42578125" style="1396" customWidth="1"/>
    <col min="15139" max="15139" width="15.140625" style="1396" customWidth="1"/>
    <col min="15140" max="15140" width="17" style="1396" customWidth="1"/>
    <col min="15141" max="15141" width="20.140625" style="1396" customWidth="1"/>
    <col min="15142" max="15142" width="20.28515625" style="1396" customWidth="1"/>
    <col min="15143" max="15360" width="28.7109375" style="1396"/>
    <col min="15361" max="15361" width="38.7109375" style="1396" customWidth="1"/>
    <col min="15362" max="15362" width="19.7109375" style="1396" bestFit="1" customWidth="1"/>
    <col min="15363" max="15363" width="11.140625" style="1396" bestFit="1" customWidth="1"/>
    <col min="15364" max="15364" width="18.42578125" style="1396" customWidth="1"/>
    <col min="15365" max="15365" width="16" style="1396" bestFit="1" customWidth="1"/>
    <col min="15366" max="15366" width="21.5703125" style="1396" customWidth="1"/>
    <col min="15367" max="15367" width="14.140625" style="1396" customWidth="1"/>
    <col min="15368" max="15368" width="12" style="1396" customWidth="1"/>
    <col min="15369" max="15369" width="17.7109375" style="1396" customWidth="1"/>
    <col min="15370" max="15370" width="16" style="1396" customWidth="1"/>
    <col min="15371" max="15372" width="16.7109375" style="1396" customWidth="1"/>
    <col min="15373" max="15373" width="28" style="1396" customWidth="1"/>
    <col min="15374" max="15374" width="17.7109375" style="1396" customWidth="1"/>
    <col min="15375" max="15375" width="12.28515625" style="1396" customWidth="1"/>
    <col min="15376" max="15376" width="7.5703125" style="1396" bestFit="1" customWidth="1"/>
    <col min="15377" max="15377" width="8.7109375" style="1396" bestFit="1" customWidth="1"/>
    <col min="15378" max="15378" width="7.5703125" style="1396" bestFit="1" customWidth="1"/>
    <col min="15379" max="15379" width="8.7109375" style="1396" bestFit="1" customWidth="1"/>
    <col min="15380" max="15380" width="7.28515625" style="1396" bestFit="1" customWidth="1"/>
    <col min="15381" max="15381" width="8.7109375" style="1396" bestFit="1" customWidth="1"/>
    <col min="15382" max="15382" width="22.7109375" style="1396" customWidth="1"/>
    <col min="15383" max="15383" width="18.28515625" style="1396" customWidth="1"/>
    <col min="15384" max="15384" width="13.85546875" style="1396" customWidth="1"/>
    <col min="15385" max="15385" width="14" style="1396" customWidth="1"/>
    <col min="15386" max="15386" width="9.28515625" style="1396" customWidth="1"/>
    <col min="15387" max="15387" width="12.7109375" style="1396" customWidth="1"/>
    <col min="15388" max="15388" width="6.42578125" style="1396" customWidth="1"/>
    <col min="15389" max="15389" width="14.42578125" style="1396" customWidth="1"/>
    <col min="15390" max="15390" width="10.28515625" style="1396" customWidth="1"/>
    <col min="15391" max="15391" width="12" style="1396" customWidth="1"/>
    <col min="15392" max="15392" width="8.7109375" style="1396" customWidth="1"/>
    <col min="15393" max="15393" width="10.5703125" style="1396" customWidth="1"/>
    <col min="15394" max="15394" width="16.42578125" style="1396" customWidth="1"/>
    <col min="15395" max="15395" width="15.140625" style="1396" customWidth="1"/>
    <col min="15396" max="15396" width="17" style="1396" customWidth="1"/>
    <col min="15397" max="15397" width="20.140625" style="1396" customWidth="1"/>
    <col min="15398" max="15398" width="20.28515625" style="1396" customWidth="1"/>
    <col min="15399" max="15616" width="28.7109375" style="1396"/>
    <col min="15617" max="15617" width="38.7109375" style="1396" customWidth="1"/>
    <col min="15618" max="15618" width="19.7109375" style="1396" bestFit="1" customWidth="1"/>
    <col min="15619" max="15619" width="11.140625" style="1396" bestFit="1" customWidth="1"/>
    <col min="15620" max="15620" width="18.42578125" style="1396" customWidth="1"/>
    <col min="15621" max="15621" width="16" style="1396" bestFit="1" customWidth="1"/>
    <col min="15622" max="15622" width="21.5703125" style="1396" customWidth="1"/>
    <col min="15623" max="15623" width="14.140625" style="1396" customWidth="1"/>
    <col min="15624" max="15624" width="12" style="1396" customWidth="1"/>
    <col min="15625" max="15625" width="17.7109375" style="1396" customWidth="1"/>
    <col min="15626" max="15626" width="16" style="1396" customWidth="1"/>
    <col min="15627" max="15628" width="16.7109375" style="1396" customWidth="1"/>
    <col min="15629" max="15629" width="28" style="1396" customWidth="1"/>
    <col min="15630" max="15630" width="17.7109375" style="1396" customWidth="1"/>
    <col min="15631" max="15631" width="12.28515625" style="1396" customWidth="1"/>
    <col min="15632" max="15632" width="7.5703125" style="1396" bestFit="1" customWidth="1"/>
    <col min="15633" max="15633" width="8.7109375" style="1396" bestFit="1" customWidth="1"/>
    <col min="15634" max="15634" width="7.5703125" style="1396" bestFit="1" customWidth="1"/>
    <col min="15635" max="15635" width="8.7109375" style="1396" bestFit="1" customWidth="1"/>
    <col min="15636" max="15636" width="7.28515625" style="1396" bestFit="1" customWidth="1"/>
    <col min="15637" max="15637" width="8.7109375" style="1396" bestFit="1" customWidth="1"/>
    <col min="15638" max="15638" width="22.7109375" style="1396" customWidth="1"/>
    <col min="15639" max="15639" width="18.28515625" style="1396" customWidth="1"/>
    <col min="15640" max="15640" width="13.85546875" style="1396" customWidth="1"/>
    <col min="15641" max="15641" width="14" style="1396" customWidth="1"/>
    <col min="15642" max="15642" width="9.28515625" style="1396" customWidth="1"/>
    <col min="15643" max="15643" width="12.7109375" style="1396" customWidth="1"/>
    <col min="15644" max="15644" width="6.42578125" style="1396" customWidth="1"/>
    <col min="15645" max="15645" width="14.42578125" style="1396" customWidth="1"/>
    <col min="15646" max="15646" width="10.28515625" style="1396" customWidth="1"/>
    <col min="15647" max="15647" width="12" style="1396" customWidth="1"/>
    <col min="15648" max="15648" width="8.7109375" style="1396" customWidth="1"/>
    <col min="15649" max="15649" width="10.5703125" style="1396" customWidth="1"/>
    <col min="15650" max="15650" width="16.42578125" style="1396" customWidth="1"/>
    <col min="15651" max="15651" width="15.140625" style="1396" customWidth="1"/>
    <col min="15652" max="15652" width="17" style="1396" customWidth="1"/>
    <col min="15653" max="15653" width="20.140625" style="1396" customWidth="1"/>
    <col min="15654" max="15654" width="20.28515625" style="1396" customWidth="1"/>
    <col min="15655" max="15872" width="28.7109375" style="1396"/>
    <col min="15873" max="15873" width="38.7109375" style="1396" customWidth="1"/>
    <col min="15874" max="15874" width="19.7109375" style="1396" bestFit="1" customWidth="1"/>
    <col min="15875" max="15875" width="11.140625" style="1396" bestFit="1" customWidth="1"/>
    <col min="15876" max="15876" width="18.42578125" style="1396" customWidth="1"/>
    <col min="15877" max="15877" width="16" style="1396" bestFit="1" customWidth="1"/>
    <col min="15878" max="15878" width="21.5703125" style="1396" customWidth="1"/>
    <col min="15879" max="15879" width="14.140625" style="1396" customWidth="1"/>
    <col min="15880" max="15880" width="12" style="1396" customWidth="1"/>
    <col min="15881" max="15881" width="17.7109375" style="1396" customWidth="1"/>
    <col min="15882" max="15882" width="16" style="1396" customWidth="1"/>
    <col min="15883" max="15884" width="16.7109375" style="1396" customWidth="1"/>
    <col min="15885" max="15885" width="28" style="1396" customWidth="1"/>
    <col min="15886" max="15886" width="17.7109375" style="1396" customWidth="1"/>
    <col min="15887" max="15887" width="12.28515625" style="1396" customWidth="1"/>
    <col min="15888" max="15888" width="7.5703125" style="1396" bestFit="1" customWidth="1"/>
    <col min="15889" max="15889" width="8.7109375" style="1396" bestFit="1" customWidth="1"/>
    <col min="15890" max="15890" width="7.5703125" style="1396" bestFit="1" customWidth="1"/>
    <col min="15891" max="15891" width="8.7109375" style="1396" bestFit="1" customWidth="1"/>
    <col min="15892" max="15892" width="7.28515625" style="1396" bestFit="1" customWidth="1"/>
    <col min="15893" max="15893" width="8.7109375" style="1396" bestFit="1" customWidth="1"/>
    <col min="15894" max="15894" width="22.7109375" style="1396" customWidth="1"/>
    <col min="15895" max="15895" width="18.28515625" style="1396" customWidth="1"/>
    <col min="15896" max="15896" width="13.85546875" style="1396" customWidth="1"/>
    <col min="15897" max="15897" width="14" style="1396" customWidth="1"/>
    <col min="15898" max="15898" width="9.28515625" style="1396" customWidth="1"/>
    <col min="15899" max="15899" width="12.7109375" style="1396" customWidth="1"/>
    <col min="15900" max="15900" width="6.42578125" style="1396" customWidth="1"/>
    <col min="15901" max="15901" width="14.42578125" style="1396" customWidth="1"/>
    <col min="15902" max="15902" width="10.28515625" style="1396" customWidth="1"/>
    <col min="15903" max="15903" width="12" style="1396" customWidth="1"/>
    <col min="15904" max="15904" width="8.7109375" style="1396" customWidth="1"/>
    <col min="15905" max="15905" width="10.5703125" style="1396" customWidth="1"/>
    <col min="15906" max="15906" width="16.42578125" style="1396" customWidth="1"/>
    <col min="15907" max="15907" width="15.140625" style="1396" customWidth="1"/>
    <col min="15908" max="15908" width="17" style="1396" customWidth="1"/>
    <col min="15909" max="15909" width="20.140625" style="1396" customWidth="1"/>
    <col min="15910" max="15910" width="20.28515625" style="1396" customWidth="1"/>
    <col min="15911" max="16128" width="28.7109375" style="1396"/>
    <col min="16129" max="16129" width="38.7109375" style="1396" customWidth="1"/>
    <col min="16130" max="16130" width="19.7109375" style="1396" bestFit="1" customWidth="1"/>
    <col min="16131" max="16131" width="11.140625" style="1396" bestFit="1" customWidth="1"/>
    <col min="16132" max="16132" width="18.42578125" style="1396" customWidth="1"/>
    <col min="16133" max="16133" width="16" style="1396" bestFit="1" customWidth="1"/>
    <col min="16134" max="16134" width="21.5703125" style="1396" customWidth="1"/>
    <col min="16135" max="16135" width="14.140625" style="1396" customWidth="1"/>
    <col min="16136" max="16136" width="12" style="1396" customWidth="1"/>
    <col min="16137" max="16137" width="17.7109375" style="1396" customWidth="1"/>
    <col min="16138" max="16138" width="16" style="1396" customWidth="1"/>
    <col min="16139" max="16140" width="16.7109375" style="1396" customWidth="1"/>
    <col min="16141" max="16141" width="28" style="1396" customWidth="1"/>
    <col min="16142" max="16142" width="17.7109375" style="1396" customWidth="1"/>
    <col min="16143" max="16143" width="12.28515625" style="1396" customWidth="1"/>
    <col min="16144" max="16144" width="7.5703125" style="1396" bestFit="1" customWidth="1"/>
    <col min="16145" max="16145" width="8.7109375" style="1396" bestFit="1" customWidth="1"/>
    <col min="16146" max="16146" width="7.5703125" style="1396" bestFit="1" customWidth="1"/>
    <col min="16147" max="16147" width="8.7109375" style="1396" bestFit="1" customWidth="1"/>
    <col min="16148" max="16148" width="7.28515625" style="1396" bestFit="1" customWidth="1"/>
    <col min="16149" max="16149" width="8.7109375" style="1396" bestFit="1" customWidth="1"/>
    <col min="16150" max="16150" width="22.7109375" style="1396" customWidth="1"/>
    <col min="16151" max="16151" width="18.28515625" style="1396" customWidth="1"/>
    <col min="16152" max="16152" width="13.85546875" style="1396" customWidth="1"/>
    <col min="16153" max="16153" width="14" style="1396" customWidth="1"/>
    <col min="16154" max="16154" width="9.28515625" style="1396" customWidth="1"/>
    <col min="16155" max="16155" width="12.7109375" style="1396" customWidth="1"/>
    <col min="16156" max="16156" width="6.42578125" style="1396" customWidth="1"/>
    <col min="16157" max="16157" width="14.42578125" style="1396" customWidth="1"/>
    <col min="16158" max="16158" width="10.28515625" style="1396" customWidth="1"/>
    <col min="16159" max="16159" width="12" style="1396" customWidth="1"/>
    <col min="16160" max="16160" width="8.7109375" style="1396" customWidth="1"/>
    <col min="16161" max="16161" width="10.5703125" style="1396" customWidth="1"/>
    <col min="16162" max="16162" width="16.42578125" style="1396" customWidth="1"/>
    <col min="16163" max="16163" width="15.140625" style="1396" customWidth="1"/>
    <col min="16164" max="16164" width="17" style="1396" customWidth="1"/>
    <col min="16165" max="16165" width="20.140625" style="1396" customWidth="1"/>
    <col min="16166" max="16166" width="20.28515625" style="1396" customWidth="1"/>
    <col min="16167" max="16384" width="28.7109375" style="1396"/>
  </cols>
  <sheetData>
    <row r="1" spans="1:10" ht="19.5" customHeight="1">
      <c r="A1" s="4757" t="s">
        <v>87</v>
      </c>
      <c r="B1" s="4758"/>
      <c r="C1" s="4758"/>
      <c r="D1" s="4758"/>
      <c r="E1" s="4758"/>
      <c r="F1" s="4758"/>
      <c r="G1" s="1355"/>
      <c r="H1" s="1355"/>
    </row>
    <row r="2" spans="1:10" ht="12.75">
      <c r="A2" s="2313"/>
      <c r="B2" s="2314"/>
      <c r="C2" s="2314"/>
      <c r="D2" s="2314"/>
      <c r="E2" s="2314"/>
      <c r="F2" s="2314"/>
      <c r="G2" s="1355"/>
      <c r="H2" s="1355"/>
      <c r="I2" s="1355"/>
      <c r="J2" s="2314"/>
    </row>
    <row r="3" spans="1:10" ht="15">
      <c r="A3" s="2470" t="s">
        <v>7109</v>
      </c>
      <c r="B3" s="2314"/>
      <c r="C3" s="2314"/>
      <c r="D3" s="2314"/>
      <c r="E3" s="2314"/>
      <c r="F3" s="2314"/>
      <c r="G3" s="1355"/>
      <c r="H3" s="1355"/>
      <c r="I3" s="1355"/>
      <c r="J3" s="2314"/>
    </row>
    <row r="4" spans="1:10" ht="15">
      <c r="A4" s="2471" t="s">
        <v>7108</v>
      </c>
      <c r="B4" s="2314"/>
      <c r="C4" s="2314"/>
      <c r="D4" s="2314"/>
      <c r="E4" s="2314"/>
      <c r="F4" s="2314"/>
      <c r="G4" s="2314"/>
      <c r="H4" s="2314"/>
      <c r="I4" s="1355"/>
      <c r="J4" s="2314"/>
    </row>
    <row r="5" spans="1:10" ht="15">
      <c r="A5" s="2471" t="s">
        <v>7110</v>
      </c>
      <c r="B5" s="2314"/>
      <c r="C5" s="2314"/>
      <c r="D5" s="2314"/>
      <c r="E5" s="2314"/>
      <c r="F5" s="2314"/>
      <c r="G5" s="2314"/>
      <c r="H5" s="2314"/>
      <c r="I5" s="1355"/>
      <c r="J5" s="2314"/>
    </row>
    <row r="6" spans="1:10" ht="15">
      <c r="A6" s="2471" t="s">
        <v>7111</v>
      </c>
      <c r="B6" s="2314"/>
      <c r="C6" s="2314"/>
      <c r="D6" s="2314"/>
      <c r="E6" s="2314"/>
      <c r="F6" s="2314"/>
      <c r="G6" s="2314"/>
      <c r="H6" s="2314"/>
      <c r="I6" s="1355"/>
      <c r="J6" s="2314"/>
    </row>
    <row r="7" spans="1:10" ht="15">
      <c r="A7" s="2472" t="s">
        <v>7112</v>
      </c>
      <c r="B7" s="2314"/>
      <c r="C7" s="2314"/>
      <c r="D7" s="2314"/>
      <c r="E7" s="2314"/>
      <c r="F7" s="2314"/>
      <c r="G7" s="2314"/>
      <c r="H7" s="2314"/>
      <c r="I7" s="1355"/>
      <c r="J7" s="2314"/>
    </row>
    <row r="8" spans="1:10" ht="15">
      <c r="A8" s="2471" t="s">
        <v>7113</v>
      </c>
      <c r="B8" s="2314"/>
      <c r="C8" s="2314"/>
      <c r="D8" s="2314"/>
      <c r="E8" s="2314"/>
      <c r="F8" s="2314"/>
      <c r="G8" s="2314"/>
      <c r="H8" s="2314"/>
      <c r="I8" s="1355"/>
      <c r="J8" s="2314"/>
    </row>
    <row r="9" spans="1:10" ht="15">
      <c r="A9" s="2471" t="s">
        <v>7114</v>
      </c>
      <c r="B9" s="2314"/>
      <c r="C9" s="2314"/>
      <c r="D9" s="2314"/>
      <c r="E9" s="2314"/>
      <c r="F9" s="2314"/>
      <c r="G9" s="2314"/>
      <c r="H9" s="2314"/>
      <c r="I9" s="1355"/>
      <c r="J9" s="2314"/>
    </row>
    <row r="10" spans="1:10" ht="15">
      <c r="A10" s="2471" t="s">
        <v>7115</v>
      </c>
      <c r="B10" s="2314"/>
      <c r="C10" s="2314"/>
      <c r="D10" s="2314"/>
      <c r="E10" s="2314"/>
      <c r="F10" s="2314"/>
      <c r="G10" s="2314"/>
      <c r="H10" s="2314"/>
      <c r="I10" s="1355"/>
      <c r="J10" s="2314"/>
    </row>
    <row r="11" spans="1:10" ht="15">
      <c r="A11" s="2473" t="s">
        <v>7116</v>
      </c>
      <c r="B11" s="2314"/>
      <c r="C11" s="2314"/>
      <c r="D11" s="2314"/>
      <c r="E11" s="2314"/>
      <c r="F11" s="2314"/>
      <c r="G11" s="2314"/>
      <c r="H11" s="2314"/>
      <c r="I11" s="1355"/>
      <c r="J11" s="2314"/>
    </row>
    <row r="12" spans="1:10" ht="15">
      <c r="A12" s="2473" t="s">
        <v>7117</v>
      </c>
      <c r="B12" s="2314"/>
      <c r="C12" s="2314"/>
      <c r="D12" s="2314"/>
      <c r="E12" s="2314"/>
      <c r="F12" s="2314"/>
      <c r="G12" s="2314"/>
      <c r="H12" s="2314"/>
      <c r="I12" s="1355"/>
      <c r="J12" s="2314"/>
    </row>
    <row r="13" spans="1:10" ht="15">
      <c r="A13" s="2385" t="s">
        <v>7118</v>
      </c>
      <c r="B13" s="2314"/>
      <c r="C13" s="2314"/>
      <c r="D13" s="2314"/>
      <c r="E13" s="2314"/>
      <c r="F13" s="2314"/>
      <c r="G13" s="2314"/>
      <c r="H13" s="2314"/>
      <c r="I13" s="1355"/>
      <c r="J13" s="2314"/>
    </row>
    <row r="14" spans="1:10" ht="15">
      <c r="A14" s="2385" t="s">
        <v>7119</v>
      </c>
      <c r="B14" s="2314"/>
      <c r="C14" s="2314"/>
      <c r="D14" s="2314"/>
      <c r="E14" s="2314"/>
      <c r="F14" s="2314"/>
      <c r="G14" s="2314"/>
      <c r="H14" s="2314"/>
      <c r="I14" s="1355"/>
      <c r="J14" s="2314"/>
    </row>
    <row r="15" spans="1:10" ht="12.75">
      <c r="A15" s="2313"/>
      <c r="B15" s="2314"/>
      <c r="C15" s="2314"/>
      <c r="D15" s="2314"/>
      <c r="E15" s="2314"/>
      <c r="F15" s="2314"/>
      <c r="G15" s="2314"/>
      <c r="H15" s="2314"/>
      <c r="I15" s="1355"/>
      <c r="J15" s="2314"/>
    </row>
    <row r="16" spans="1:10" ht="12.75">
      <c r="A16" s="2313"/>
      <c r="B16" s="2314"/>
      <c r="C16" s="2314"/>
      <c r="D16" s="2314"/>
      <c r="E16" s="2314"/>
      <c r="F16" s="2314"/>
      <c r="G16" s="2314"/>
      <c r="H16" s="2314"/>
      <c r="I16" s="1355"/>
      <c r="J16" s="2314"/>
    </row>
    <row r="17" spans="1:13" ht="12.75">
      <c r="A17" s="2313"/>
      <c r="B17" s="2314"/>
      <c r="C17" s="2314"/>
      <c r="D17" s="2314"/>
      <c r="E17" s="2314"/>
      <c r="F17" s="2314"/>
      <c r="G17" s="2314"/>
      <c r="H17" s="2314"/>
      <c r="I17" s="1355"/>
      <c r="J17" s="2314"/>
    </row>
    <row r="18" spans="1:13" s="2385" customFormat="1" ht="15">
      <c r="A18" s="1415" t="s">
        <v>7109</v>
      </c>
      <c r="B18" s="2383"/>
      <c r="C18" s="2383"/>
      <c r="D18" s="2383"/>
      <c r="E18" s="2383"/>
      <c r="F18" s="2383"/>
      <c r="G18" s="2383"/>
      <c r="H18" s="2383"/>
      <c r="I18" s="2384"/>
      <c r="J18" s="2383"/>
    </row>
    <row r="19" spans="1:13" ht="12.75">
      <c r="A19" s="2313"/>
      <c r="B19" s="2314"/>
      <c r="C19" s="2314"/>
      <c r="D19" s="2314"/>
      <c r="E19" s="2314"/>
      <c r="F19" s="2314"/>
      <c r="G19" s="2314"/>
      <c r="H19" s="2314"/>
      <c r="I19" s="1355"/>
      <c r="J19" s="2314"/>
    </row>
    <row r="20" spans="1:13" ht="14.25" customHeight="1">
      <c r="A20" s="2358" t="s">
        <v>5780</v>
      </c>
      <c r="B20" s="2359" t="s">
        <v>5781</v>
      </c>
      <c r="C20" s="2360">
        <v>2009</v>
      </c>
      <c r="D20" s="2360">
        <v>2010</v>
      </c>
      <c r="E20" s="2360">
        <v>2011</v>
      </c>
      <c r="F20" s="2360">
        <v>2012</v>
      </c>
      <c r="G20" s="2360">
        <v>2013</v>
      </c>
      <c r="H20" s="2360">
        <v>2014</v>
      </c>
      <c r="I20" s="2360">
        <v>2015</v>
      </c>
      <c r="J20" s="2360">
        <v>2016</v>
      </c>
      <c r="K20" s="2360">
        <v>2017</v>
      </c>
      <c r="L20" s="2360">
        <v>2018</v>
      </c>
      <c r="M20" s="2361">
        <v>2019</v>
      </c>
    </row>
    <row r="21" spans="1:13" ht="12.75">
      <c r="A21" s="2362" t="s">
        <v>5782</v>
      </c>
      <c r="B21" s="2316">
        <v>138</v>
      </c>
      <c r="C21" s="2317">
        <v>2</v>
      </c>
      <c r="D21" s="2317">
        <v>0</v>
      </c>
      <c r="E21" s="2318">
        <v>0</v>
      </c>
      <c r="F21" s="2317">
        <v>0</v>
      </c>
      <c r="G21" s="2319">
        <v>0</v>
      </c>
      <c r="H21" s="2320">
        <v>0</v>
      </c>
      <c r="I21" s="2320">
        <v>113.63</v>
      </c>
      <c r="J21" s="2320">
        <v>43.19</v>
      </c>
      <c r="K21" s="2320">
        <v>307.55</v>
      </c>
      <c r="L21" s="2320">
        <v>170.59</v>
      </c>
      <c r="M21" s="2364">
        <v>169.75</v>
      </c>
    </row>
    <row r="22" spans="1:13" ht="12.75">
      <c r="A22" s="2363" t="s">
        <v>5783</v>
      </c>
      <c r="B22" s="2316">
        <v>18</v>
      </c>
      <c r="C22" s="2317">
        <v>0</v>
      </c>
      <c r="D22" s="2317">
        <v>0</v>
      </c>
      <c r="E22" s="2318">
        <v>0</v>
      </c>
      <c r="F22" s="2317">
        <v>0</v>
      </c>
      <c r="G22" s="2319">
        <v>0</v>
      </c>
      <c r="H22" s="2320">
        <v>0</v>
      </c>
      <c r="I22" s="2320">
        <v>176.2</v>
      </c>
      <c r="J22" s="2320">
        <v>0</v>
      </c>
      <c r="K22" s="2320">
        <v>0</v>
      </c>
      <c r="L22" s="2321"/>
      <c r="M22" s="2365"/>
    </row>
    <row r="23" spans="1:13" ht="12.75">
      <c r="A23" s="2363" t="s">
        <v>5784</v>
      </c>
      <c r="B23" s="2316">
        <v>71</v>
      </c>
      <c r="C23" s="2317">
        <v>59</v>
      </c>
      <c r="D23" s="2317">
        <v>10</v>
      </c>
      <c r="E23" s="2318">
        <v>8.16</v>
      </c>
      <c r="F23" s="2317">
        <v>0</v>
      </c>
      <c r="G23" s="2319">
        <v>0</v>
      </c>
      <c r="H23" s="2320">
        <v>0</v>
      </c>
      <c r="I23" s="2320">
        <v>69.77</v>
      </c>
      <c r="J23" s="2320">
        <v>0</v>
      </c>
      <c r="K23" s="2320">
        <v>0</v>
      </c>
      <c r="L23" s="1832">
        <v>70.16</v>
      </c>
      <c r="M23" s="2366">
        <v>44.26</v>
      </c>
    </row>
    <row r="24" spans="1:13" ht="12.75">
      <c r="A24" s="2363" t="s">
        <v>5785</v>
      </c>
      <c r="B24" s="2316">
        <v>429</v>
      </c>
      <c r="C24" s="2317">
        <v>326</v>
      </c>
      <c r="D24" s="2317">
        <v>465</v>
      </c>
      <c r="E24" s="2318">
        <v>419.41</v>
      </c>
      <c r="F24" s="2317">
        <v>527</v>
      </c>
      <c r="G24" s="2319">
        <v>299</v>
      </c>
      <c r="H24" s="2320">
        <v>291.81</v>
      </c>
      <c r="I24" s="2320">
        <v>230.41</v>
      </c>
      <c r="J24" s="2320">
        <v>287.10000000000002</v>
      </c>
      <c r="K24" s="2320">
        <v>282.3</v>
      </c>
      <c r="L24" s="1832">
        <v>497.7</v>
      </c>
      <c r="M24" s="2366">
        <v>303.94</v>
      </c>
    </row>
    <row r="25" spans="1:13" ht="12.75">
      <c r="A25" s="2363" t="s">
        <v>5786</v>
      </c>
      <c r="B25" s="2316">
        <v>223</v>
      </c>
      <c r="C25" s="2317">
        <v>168</v>
      </c>
      <c r="D25" s="2317">
        <v>487</v>
      </c>
      <c r="E25" s="2318">
        <v>442.87</v>
      </c>
      <c r="F25" s="2317">
        <v>399</v>
      </c>
      <c r="G25" s="2319">
        <v>390</v>
      </c>
      <c r="H25" s="2320">
        <v>428.81</v>
      </c>
      <c r="I25" s="2320">
        <v>408.94</v>
      </c>
      <c r="J25" s="2320">
        <v>575.24</v>
      </c>
      <c r="K25" s="2320">
        <v>453.59</v>
      </c>
      <c r="L25" s="1832">
        <v>601.67999999999995</v>
      </c>
      <c r="M25" s="2366">
        <v>377.69</v>
      </c>
    </row>
    <row r="26" spans="1:13" ht="12.75">
      <c r="A26" s="2363" t="s">
        <v>5787</v>
      </c>
      <c r="B26" s="2316">
        <v>138</v>
      </c>
      <c r="C26" s="2317">
        <v>60</v>
      </c>
      <c r="D26" s="2317">
        <v>188</v>
      </c>
      <c r="E26" s="2318">
        <v>170.24</v>
      </c>
      <c r="F26" s="2317">
        <v>201</v>
      </c>
      <c r="G26" s="2319">
        <v>178</v>
      </c>
      <c r="H26" s="2320">
        <v>220.81</v>
      </c>
      <c r="I26" s="2320">
        <v>132.35</v>
      </c>
      <c r="J26" s="2320">
        <v>170.51</v>
      </c>
      <c r="K26" s="2320">
        <v>115.28</v>
      </c>
      <c r="L26" s="1832">
        <v>138.38</v>
      </c>
      <c r="M26" s="2366">
        <v>152.81</v>
      </c>
    </row>
    <row r="27" spans="1:13" ht="12.75">
      <c r="A27" s="2363" t="s">
        <v>5788</v>
      </c>
      <c r="B27" s="2316">
        <v>325</v>
      </c>
      <c r="C27" s="2317">
        <v>293</v>
      </c>
      <c r="D27" s="2317">
        <v>266</v>
      </c>
      <c r="E27" s="2318">
        <v>240.81</v>
      </c>
      <c r="F27" s="2317">
        <v>319</v>
      </c>
      <c r="G27" s="2319">
        <v>204</v>
      </c>
      <c r="H27" s="2320">
        <v>334.52</v>
      </c>
      <c r="I27" s="2320">
        <v>183.72</v>
      </c>
      <c r="J27" s="2320">
        <v>188.19</v>
      </c>
      <c r="K27" s="2320">
        <v>283.05</v>
      </c>
      <c r="L27" s="1832">
        <v>266.56</v>
      </c>
      <c r="M27" s="2366">
        <v>257.61</v>
      </c>
    </row>
    <row r="28" spans="1:13" ht="12.75">
      <c r="A28" s="2363" t="s">
        <v>5789</v>
      </c>
      <c r="B28" s="2316">
        <v>277</v>
      </c>
      <c r="C28" s="2317">
        <v>120</v>
      </c>
      <c r="D28" s="2317">
        <v>242</v>
      </c>
      <c r="E28" s="2318">
        <v>221.86</v>
      </c>
      <c r="F28" s="2317">
        <v>299</v>
      </c>
      <c r="G28" s="2319">
        <v>266</v>
      </c>
      <c r="H28" s="2320">
        <v>291.51</v>
      </c>
      <c r="I28" s="2320">
        <v>186.43</v>
      </c>
      <c r="J28" s="2320">
        <v>101.52</v>
      </c>
      <c r="K28" s="2320">
        <v>160.53</v>
      </c>
      <c r="L28" s="1832">
        <v>94.61</v>
      </c>
      <c r="M28" s="2366">
        <v>68.739999999999995</v>
      </c>
    </row>
    <row r="29" spans="1:13" ht="12.75">
      <c r="A29" s="2363" t="s">
        <v>5790</v>
      </c>
      <c r="B29" s="2316">
        <v>256</v>
      </c>
      <c r="C29" s="2317">
        <v>180</v>
      </c>
      <c r="D29" s="2317">
        <v>121</v>
      </c>
      <c r="E29" s="2318">
        <v>108.24</v>
      </c>
      <c r="F29" s="2317">
        <v>154</v>
      </c>
      <c r="G29" s="2319">
        <v>114</v>
      </c>
      <c r="H29" s="2320">
        <v>65.81</v>
      </c>
      <c r="I29" s="2320">
        <v>65.55</v>
      </c>
      <c r="J29" s="2320">
        <v>76.290000000000006</v>
      </c>
      <c r="K29" s="2320">
        <v>0</v>
      </c>
      <c r="L29" s="2322"/>
      <c r="M29" s="2367"/>
    </row>
    <row r="30" spans="1:13" ht="12.75">
      <c r="A30" s="2363" t="s">
        <v>5791</v>
      </c>
      <c r="B30" s="2316">
        <v>61</v>
      </c>
      <c r="C30" s="2317">
        <v>47</v>
      </c>
      <c r="D30" s="2317">
        <v>37</v>
      </c>
      <c r="E30" s="2318">
        <v>35.65</v>
      </c>
      <c r="F30" s="2317">
        <v>67</v>
      </c>
      <c r="G30" s="2319">
        <v>50</v>
      </c>
      <c r="H30" s="2320">
        <v>68.81</v>
      </c>
      <c r="I30" s="2322"/>
      <c r="J30" s="2322"/>
      <c r="K30" s="2322"/>
      <c r="L30" s="2322"/>
      <c r="M30" s="2367"/>
    </row>
    <row r="31" spans="1:13" ht="12.75">
      <c r="A31" s="2363" t="s">
        <v>5792</v>
      </c>
      <c r="B31" s="2316">
        <v>194</v>
      </c>
      <c r="C31" s="2317">
        <v>175</v>
      </c>
      <c r="D31" s="2317">
        <v>258</v>
      </c>
      <c r="E31" s="2318">
        <v>234.24</v>
      </c>
      <c r="F31" s="2317">
        <v>277</v>
      </c>
      <c r="G31" s="2319">
        <v>132</v>
      </c>
      <c r="H31" s="2320">
        <v>70.81</v>
      </c>
      <c r="I31" s="2320">
        <v>232.05</v>
      </c>
      <c r="J31" s="2320">
        <v>139.87</v>
      </c>
      <c r="K31" s="2320">
        <v>213.65</v>
      </c>
      <c r="L31" s="1832">
        <v>259.62</v>
      </c>
      <c r="M31" s="2366">
        <v>220.81</v>
      </c>
    </row>
    <row r="32" spans="1:13" ht="12.75">
      <c r="A32" s="2363" t="s">
        <v>5793</v>
      </c>
      <c r="B32" s="2316">
        <v>336</v>
      </c>
      <c r="C32" s="2317">
        <v>298</v>
      </c>
      <c r="D32" s="2317">
        <v>292</v>
      </c>
      <c r="E32" s="2318">
        <v>270.95999999999998</v>
      </c>
      <c r="F32" s="2317">
        <v>292</v>
      </c>
      <c r="G32" s="2319">
        <v>194</v>
      </c>
      <c r="H32" s="2320">
        <v>194.81</v>
      </c>
      <c r="I32" s="2320">
        <v>144.69</v>
      </c>
      <c r="J32" s="2320">
        <v>198.75</v>
      </c>
      <c r="K32" s="2320">
        <v>107.6</v>
      </c>
      <c r="L32" s="1832">
        <v>197.59</v>
      </c>
      <c r="M32" s="2366">
        <v>193.72</v>
      </c>
    </row>
    <row r="33" spans="1:13" ht="12.75">
      <c r="A33" s="2363" t="s">
        <v>5794</v>
      </c>
      <c r="B33" s="2316">
        <v>406</v>
      </c>
      <c r="C33" s="2317">
        <v>384</v>
      </c>
      <c r="D33" s="2317">
        <v>399</v>
      </c>
      <c r="E33" s="2318">
        <v>346.86</v>
      </c>
      <c r="F33" s="2317">
        <v>418</v>
      </c>
      <c r="G33" s="2319">
        <v>215</v>
      </c>
      <c r="H33" s="2320">
        <v>353.81</v>
      </c>
      <c r="I33" s="2320">
        <v>298.54000000000002</v>
      </c>
      <c r="J33" s="2320">
        <v>0</v>
      </c>
      <c r="K33" s="2320">
        <v>293.94</v>
      </c>
      <c r="L33" s="1832">
        <v>412.79</v>
      </c>
      <c r="M33" s="2366">
        <v>270.89</v>
      </c>
    </row>
    <row r="34" spans="1:13" ht="12.75">
      <c r="A34" s="2363" t="s">
        <v>5795</v>
      </c>
      <c r="B34" s="2316">
        <v>439</v>
      </c>
      <c r="C34" s="2317">
        <v>965</v>
      </c>
      <c r="D34" s="2317">
        <v>1018</v>
      </c>
      <c r="E34" s="2318">
        <v>930.83</v>
      </c>
      <c r="F34" s="2317">
        <v>997</v>
      </c>
      <c r="G34" s="2319">
        <v>667</v>
      </c>
      <c r="H34" s="2320">
        <v>697.81</v>
      </c>
      <c r="I34" s="2320">
        <v>475.41</v>
      </c>
      <c r="J34" s="2320">
        <v>608</v>
      </c>
      <c r="K34" s="2320">
        <v>612.47</v>
      </c>
      <c r="L34" s="1832">
        <v>499.04</v>
      </c>
      <c r="M34" s="2366">
        <v>567.37</v>
      </c>
    </row>
    <row r="35" spans="1:13" ht="12.75">
      <c r="A35" s="2363" t="s">
        <v>5796</v>
      </c>
      <c r="B35" s="2316">
        <v>18</v>
      </c>
      <c r="C35" s="2317">
        <v>55</v>
      </c>
      <c r="D35" s="2317">
        <v>0</v>
      </c>
      <c r="E35" s="2318">
        <v>21.3</v>
      </c>
      <c r="F35" s="2323"/>
      <c r="G35" s="2323"/>
      <c r="H35" s="2322"/>
      <c r="I35" s="2322"/>
      <c r="J35" s="2322"/>
      <c r="K35" s="2322"/>
      <c r="L35" s="2322"/>
      <c r="M35" s="2367"/>
    </row>
    <row r="36" spans="1:13" ht="12.75">
      <c r="A36" s="2363" t="s">
        <v>5797</v>
      </c>
      <c r="B36" s="2316">
        <v>1358</v>
      </c>
      <c r="C36" s="2317">
        <v>1242</v>
      </c>
      <c r="D36" s="2317">
        <v>1507</v>
      </c>
      <c r="E36" s="2318">
        <v>1379.12</v>
      </c>
      <c r="F36" s="2317">
        <v>1335</v>
      </c>
      <c r="G36" s="2319">
        <v>1412</v>
      </c>
      <c r="H36" s="2320">
        <v>1323.81</v>
      </c>
      <c r="I36" s="2320">
        <v>1221.03</v>
      </c>
      <c r="J36" s="2320">
        <v>1153.54</v>
      </c>
      <c r="K36" s="2320">
        <v>1314.6</v>
      </c>
      <c r="L36" s="1832">
        <v>1415.25</v>
      </c>
      <c r="M36" s="2366">
        <v>1187.47</v>
      </c>
    </row>
    <row r="37" spans="1:13" ht="12.75">
      <c r="A37" s="2363" t="s">
        <v>5798</v>
      </c>
      <c r="B37" s="2316">
        <v>1649</v>
      </c>
      <c r="C37" s="2317">
        <v>1690</v>
      </c>
      <c r="D37" s="2317">
        <v>1602</v>
      </c>
      <c r="E37" s="2318">
        <v>1673.49</v>
      </c>
      <c r="F37" s="2317">
        <v>2242</v>
      </c>
      <c r="G37" s="2319">
        <v>1683</v>
      </c>
      <c r="H37" s="2320">
        <v>1705.81</v>
      </c>
      <c r="I37" s="2320">
        <v>1814.38</v>
      </c>
      <c r="J37" s="2320">
        <v>3091.33</v>
      </c>
      <c r="K37" s="2320">
        <v>2588.02</v>
      </c>
      <c r="L37" s="1832">
        <v>2362.04</v>
      </c>
      <c r="M37" s="2366">
        <v>2208.59</v>
      </c>
    </row>
    <row r="38" spans="1:13" ht="12.75">
      <c r="A38" s="2363" t="s">
        <v>5799</v>
      </c>
      <c r="B38" s="2316">
        <v>1801</v>
      </c>
      <c r="C38" s="2317">
        <v>1608</v>
      </c>
      <c r="D38" s="2317">
        <v>1930</v>
      </c>
      <c r="E38" s="2318">
        <v>1749.88</v>
      </c>
      <c r="F38" s="2317">
        <v>1768</v>
      </c>
      <c r="G38" s="2319">
        <v>1899</v>
      </c>
      <c r="H38" s="2320">
        <v>2282.81</v>
      </c>
      <c r="I38" s="2320">
        <v>2128.79</v>
      </c>
      <c r="J38" s="2320">
        <v>2125.1999999999998</v>
      </c>
      <c r="K38" s="2320">
        <v>2032.02</v>
      </c>
      <c r="L38" s="1832">
        <v>2327.96</v>
      </c>
      <c r="M38" s="2366">
        <v>1999.6</v>
      </c>
    </row>
    <row r="39" spans="1:13" ht="12.75">
      <c r="A39" s="2363" t="s">
        <v>5800</v>
      </c>
      <c r="B39" s="2316">
        <v>193</v>
      </c>
      <c r="C39" s="2317">
        <v>175</v>
      </c>
      <c r="D39" s="2317">
        <v>421</v>
      </c>
      <c r="E39" s="2318">
        <v>373.92</v>
      </c>
      <c r="F39" s="2317">
        <v>517</v>
      </c>
      <c r="G39" s="2319">
        <v>489</v>
      </c>
      <c r="H39" s="2320">
        <v>576.80999999999995</v>
      </c>
      <c r="I39" s="2320">
        <v>380.57</v>
      </c>
      <c r="J39" s="2320">
        <v>432.1</v>
      </c>
      <c r="K39" s="2320">
        <v>610.64</v>
      </c>
      <c r="L39" s="1832">
        <v>476.14</v>
      </c>
      <c r="M39" s="2366">
        <v>426.52</v>
      </c>
    </row>
    <row r="40" spans="1:13" ht="12.75">
      <c r="A40" s="2363" t="s">
        <v>5801</v>
      </c>
      <c r="B40" s="2316">
        <v>270</v>
      </c>
      <c r="C40" s="2317">
        <v>271</v>
      </c>
      <c r="D40" s="2317">
        <v>199</v>
      </c>
      <c r="E40" s="2318">
        <v>184.72</v>
      </c>
      <c r="F40" s="2317">
        <v>196</v>
      </c>
      <c r="G40" s="2319">
        <v>252</v>
      </c>
      <c r="H40" s="2320">
        <v>299.81</v>
      </c>
      <c r="I40" s="2320">
        <v>203.9</v>
      </c>
      <c r="J40" s="2320">
        <v>438.24</v>
      </c>
      <c r="K40" s="2320">
        <v>378.33</v>
      </c>
      <c r="L40" s="1832">
        <v>627.28</v>
      </c>
      <c r="M40" s="2366">
        <v>852.37</v>
      </c>
    </row>
    <row r="41" spans="1:13" ht="12.75">
      <c r="A41" s="2363" t="s">
        <v>5802</v>
      </c>
      <c r="B41" s="2316">
        <v>178</v>
      </c>
      <c r="C41" s="2317">
        <v>234</v>
      </c>
      <c r="D41" s="2317">
        <v>363</v>
      </c>
      <c r="E41" s="2318">
        <v>335.92</v>
      </c>
      <c r="F41" s="2317">
        <v>278</v>
      </c>
      <c r="G41" s="2319">
        <v>336</v>
      </c>
      <c r="H41" s="2320">
        <v>313.81</v>
      </c>
      <c r="I41" s="2320">
        <v>363.1</v>
      </c>
      <c r="J41" s="2320">
        <v>305.19</v>
      </c>
      <c r="K41" s="2320">
        <v>526.94000000000005</v>
      </c>
      <c r="L41" s="1832">
        <v>622.83000000000004</v>
      </c>
      <c r="M41" s="2366">
        <v>902.69</v>
      </c>
    </row>
    <row r="42" spans="1:13" ht="12.75">
      <c r="A42" s="2363" t="s">
        <v>5803</v>
      </c>
      <c r="B42" s="2316">
        <v>250</v>
      </c>
      <c r="C42" s="2317">
        <v>36</v>
      </c>
      <c r="D42" s="2317">
        <v>426</v>
      </c>
      <c r="E42" s="2318">
        <v>353.56</v>
      </c>
      <c r="F42" s="2317">
        <v>147</v>
      </c>
      <c r="G42" s="2319">
        <v>173</v>
      </c>
      <c r="H42" s="2320">
        <v>298.81</v>
      </c>
      <c r="I42" s="2320">
        <v>638.36</v>
      </c>
      <c r="J42" s="2320">
        <v>854.49</v>
      </c>
      <c r="K42" s="2320">
        <v>821.68</v>
      </c>
      <c r="L42" s="1832">
        <v>813.58</v>
      </c>
      <c r="M42" s="2366">
        <v>797.33</v>
      </c>
    </row>
    <row r="43" spans="1:13" ht="12.75">
      <c r="A43" s="2363" t="s">
        <v>5804</v>
      </c>
      <c r="B43" s="2316">
        <v>2036</v>
      </c>
      <c r="C43" s="2317">
        <v>2158</v>
      </c>
      <c r="D43" s="2317">
        <v>1884</v>
      </c>
      <c r="E43" s="2318">
        <v>1612</v>
      </c>
      <c r="F43" s="2317">
        <v>1353</v>
      </c>
      <c r="G43" s="2319">
        <v>1238</v>
      </c>
      <c r="H43" s="2320">
        <v>1089.81</v>
      </c>
      <c r="I43" s="2320">
        <v>1244.8399999999999</v>
      </c>
      <c r="J43" s="2320">
        <v>904.31</v>
      </c>
      <c r="K43" s="2320">
        <v>870.28</v>
      </c>
      <c r="L43" s="1832">
        <v>730.25</v>
      </c>
      <c r="M43" s="2366">
        <v>793.36</v>
      </c>
    </row>
    <row r="44" spans="1:13" ht="12.75">
      <c r="A44" s="2363" t="s">
        <v>5805</v>
      </c>
      <c r="B44" s="2316">
        <v>444</v>
      </c>
      <c r="C44" s="2317">
        <v>1501</v>
      </c>
      <c r="D44" s="2317">
        <v>2753</v>
      </c>
      <c r="E44" s="2318">
        <v>2425.7199999999998</v>
      </c>
      <c r="F44" s="2317">
        <v>1296</v>
      </c>
      <c r="G44" s="2319">
        <v>2703</v>
      </c>
      <c r="H44" s="2320">
        <v>660.81</v>
      </c>
      <c r="I44" s="2320">
        <v>2435.6999999999998</v>
      </c>
      <c r="J44" s="2320">
        <v>771.89</v>
      </c>
      <c r="K44" s="2320">
        <v>1635.66</v>
      </c>
      <c r="L44" s="1832">
        <v>359.09</v>
      </c>
      <c r="M44" s="2366">
        <v>786.74</v>
      </c>
    </row>
    <row r="45" spans="1:13" ht="12.75">
      <c r="A45" s="2363" t="s">
        <v>5806</v>
      </c>
      <c r="B45" s="2316">
        <v>154</v>
      </c>
      <c r="C45" s="2317">
        <v>162</v>
      </c>
      <c r="D45" s="2317">
        <v>202</v>
      </c>
      <c r="E45" s="2318">
        <v>185.43</v>
      </c>
      <c r="F45" s="2317">
        <v>203</v>
      </c>
      <c r="G45" s="2319">
        <v>202</v>
      </c>
      <c r="H45" s="2320">
        <v>315.81</v>
      </c>
      <c r="I45" s="2320">
        <v>193.19</v>
      </c>
      <c r="J45" s="2320">
        <v>116.88</v>
      </c>
      <c r="K45" s="2320">
        <v>147.74</v>
      </c>
      <c r="L45" s="1832">
        <v>135.36000000000001</v>
      </c>
      <c r="M45" s="2366">
        <v>133.54</v>
      </c>
    </row>
    <row r="46" spans="1:13" ht="12.75">
      <c r="A46" s="2363" t="s">
        <v>5807</v>
      </c>
      <c r="B46" s="2316">
        <v>248</v>
      </c>
      <c r="C46" s="2317">
        <v>269</v>
      </c>
      <c r="D46" s="2317">
        <v>180</v>
      </c>
      <c r="E46" s="2318">
        <v>167.68</v>
      </c>
      <c r="F46" s="2317">
        <v>243</v>
      </c>
      <c r="G46" s="2319">
        <v>275</v>
      </c>
      <c r="H46" s="2320">
        <v>360.81</v>
      </c>
      <c r="I46" s="2320">
        <v>270.64</v>
      </c>
      <c r="J46" s="2320">
        <v>359.83</v>
      </c>
      <c r="K46" s="2320">
        <v>458.7</v>
      </c>
      <c r="L46" s="1832">
        <v>422.69</v>
      </c>
      <c r="M46" s="2366">
        <v>439.52</v>
      </c>
    </row>
    <row r="47" spans="1:13" ht="12.75">
      <c r="A47" s="2363" t="s">
        <v>5808</v>
      </c>
      <c r="B47" s="2316">
        <v>678</v>
      </c>
      <c r="C47" s="2317">
        <v>435</v>
      </c>
      <c r="D47" s="2317">
        <v>738</v>
      </c>
      <c r="E47" s="2318">
        <v>634.38</v>
      </c>
      <c r="F47" s="2317">
        <v>595</v>
      </c>
      <c r="G47" s="2319">
        <v>483</v>
      </c>
      <c r="H47" s="2320">
        <v>512.80999999999995</v>
      </c>
      <c r="I47" s="2320">
        <v>474.27</v>
      </c>
      <c r="J47" s="2320">
        <v>435.57</v>
      </c>
      <c r="K47" s="2320">
        <v>546.73</v>
      </c>
      <c r="L47" s="1832">
        <v>615.47</v>
      </c>
      <c r="M47" s="2366">
        <v>523.54999999999995</v>
      </c>
    </row>
    <row r="48" spans="1:13" ht="12.75">
      <c r="A48" s="2363" t="s">
        <v>5809</v>
      </c>
      <c r="B48" s="2316">
        <v>641</v>
      </c>
      <c r="C48" s="2317">
        <v>809</v>
      </c>
      <c r="D48" s="2317">
        <v>0</v>
      </c>
      <c r="E48" s="2318">
        <v>662.2</v>
      </c>
      <c r="F48" s="2317">
        <v>0</v>
      </c>
      <c r="G48" s="2319">
        <v>21</v>
      </c>
      <c r="H48" s="2320">
        <v>330.81</v>
      </c>
      <c r="I48" s="2320">
        <v>285.10000000000002</v>
      </c>
      <c r="J48" s="2322"/>
      <c r="K48" s="2322"/>
      <c r="L48" s="2322"/>
      <c r="M48" s="2367"/>
    </row>
    <row r="49" spans="1:13" ht="12.75">
      <c r="A49" s="2363" t="s">
        <v>5810</v>
      </c>
      <c r="B49" s="2316">
        <v>184</v>
      </c>
      <c r="C49" s="2317">
        <v>162</v>
      </c>
      <c r="D49" s="2317">
        <v>348</v>
      </c>
      <c r="E49" s="2318">
        <v>322.07</v>
      </c>
      <c r="F49" s="2317">
        <v>0</v>
      </c>
      <c r="G49" s="2319">
        <v>151</v>
      </c>
      <c r="H49" s="2322"/>
      <c r="I49" s="2322"/>
      <c r="J49" s="2322"/>
      <c r="K49" s="2322"/>
      <c r="L49" s="2322"/>
      <c r="M49" s="2367"/>
    </row>
    <row r="50" spans="1:13" ht="12.75">
      <c r="A50" s="2363" t="s">
        <v>5811</v>
      </c>
      <c r="B50" s="2324"/>
      <c r="C50" s="2317">
        <v>77</v>
      </c>
      <c r="D50" s="2317">
        <v>109</v>
      </c>
      <c r="E50" s="2318">
        <v>102.73</v>
      </c>
      <c r="F50" s="2317">
        <v>283</v>
      </c>
      <c r="G50" s="2323"/>
      <c r="H50" s="2322"/>
      <c r="I50" s="2322"/>
      <c r="J50" s="2322"/>
      <c r="K50" s="2322"/>
      <c r="L50" s="2322"/>
      <c r="M50" s="2367"/>
    </row>
    <row r="51" spans="1:13" ht="12.75">
      <c r="A51" s="2363" t="s">
        <v>5812</v>
      </c>
      <c r="B51" s="2316">
        <v>73</v>
      </c>
      <c r="C51" s="2323"/>
      <c r="D51" s="2323"/>
      <c r="E51" s="2325"/>
      <c r="F51" s="2323"/>
      <c r="G51" s="2323"/>
      <c r="H51" s="2322"/>
      <c r="I51" s="2322"/>
      <c r="J51" s="2322"/>
      <c r="K51" s="2322"/>
      <c r="L51" s="2322"/>
      <c r="M51" s="2367"/>
    </row>
    <row r="52" spans="1:13" ht="12.75">
      <c r="A52" s="2363" t="s">
        <v>5813</v>
      </c>
      <c r="B52" s="2316">
        <v>197</v>
      </c>
      <c r="C52" s="2323"/>
      <c r="D52" s="2323"/>
      <c r="E52" s="2325"/>
      <c r="F52" s="2323"/>
      <c r="G52" s="2323"/>
      <c r="H52" s="2322"/>
      <c r="I52" s="2322"/>
      <c r="J52" s="2322"/>
      <c r="K52" s="2322"/>
      <c r="L52" s="2322"/>
      <c r="M52" s="2367"/>
    </row>
    <row r="53" spans="1:13" ht="12.75">
      <c r="A53" s="2363" t="s">
        <v>5814</v>
      </c>
      <c r="B53" s="2316">
        <v>38</v>
      </c>
      <c r="C53" s="2317">
        <v>36</v>
      </c>
      <c r="D53" s="2317">
        <v>37</v>
      </c>
      <c r="E53" s="2318">
        <v>35.65</v>
      </c>
      <c r="F53" s="2317">
        <v>46</v>
      </c>
      <c r="G53" s="2319">
        <v>43</v>
      </c>
      <c r="H53" s="2322"/>
      <c r="I53" s="2322"/>
      <c r="J53" s="2322"/>
      <c r="K53" s="2322"/>
      <c r="L53" s="2322"/>
      <c r="M53" s="2367"/>
    </row>
    <row r="54" spans="1:13" ht="12.75">
      <c r="A54" s="2363" t="s">
        <v>5815</v>
      </c>
      <c r="B54" s="2316">
        <v>600</v>
      </c>
      <c r="C54" s="2317">
        <v>328</v>
      </c>
      <c r="D54" s="2317">
        <v>0</v>
      </c>
      <c r="E54" s="2318">
        <v>647.79</v>
      </c>
      <c r="F54" s="2317">
        <v>1140</v>
      </c>
      <c r="G54" s="2319">
        <v>588</v>
      </c>
      <c r="H54" s="2320">
        <v>1327.81</v>
      </c>
      <c r="I54" s="2320">
        <v>825.49</v>
      </c>
      <c r="J54" s="2320">
        <v>799.92</v>
      </c>
      <c r="K54" s="2320">
        <v>675.69</v>
      </c>
      <c r="L54" s="1832">
        <v>890.56</v>
      </c>
      <c r="M54" s="2366">
        <v>732.47</v>
      </c>
    </row>
    <row r="55" spans="1:13" ht="12.75">
      <c r="A55" s="2363" t="s">
        <v>5816</v>
      </c>
      <c r="B55" s="2316">
        <v>534</v>
      </c>
      <c r="C55" s="2317">
        <v>487</v>
      </c>
      <c r="D55" s="2317">
        <v>637</v>
      </c>
      <c r="E55" s="2318">
        <v>588.27</v>
      </c>
      <c r="F55" s="2317">
        <v>544</v>
      </c>
      <c r="G55" s="2319">
        <v>607</v>
      </c>
      <c r="H55" s="2320">
        <v>559.80999999999995</v>
      </c>
      <c r="I55" s="2320">
        <v>653.34</v>
      </c>
      <c r="J55" s="2320">
        <v>792.18</v>
      </c>
      <c r="K55" s="2320">
        <v>570.41999999999996</v>
      </c>
      <c r="L55" s="1832">
        <v>468.74</v>
      </c>
      <c r="M55" s="2366">
        <v>676.71</v>
      </c>
    </row>
    <row r="56" spans="1:13" ht="12.75">
      <c r="A56" s="2363" t="s">
        <v>5817</v>
      </c>
      <c r="B56" s="2316">
        <v>349</v>
      </c>
      <c r="C56" s="2317">
        <v>344</v>
      </c>
      <c r="D56" s="2317">
        <v>611</v>
      </c>
      <c r="E56" s="2318">
        <v>559.29999999999995</v>
      </c>
      <c r="F56" s="2317">
        <v>545</v>
      </c>
      <c r="G56" s="2319">
        <v>717</v>
      </c>
      <c r="H56" s="2320">
        <v>636.80999999999995</v>
      </c>
      <c r="I56" s="2320">
        <v>356.1</v>
      </c>
      <c r="J56" s="2320">
        <v>404.84</v>
      </c>
      <c r="K56" s="2320">
        <v>0</v>
      </c>
      <c r="L56" s="2322"/>
      <c r="M56" s="2367"/>
    </row>
    <row r="57" spans="1:13" ht="12.75">
      <c r="A57" s="2363" t="s">
        <v>5818</v>
      </c>
      <c r="B57" s="2316">
        <v>75</v>
      </c>
      <c r="C57" s="2317">
        <v>70</v>
      </c>
      <c r="D57" s="2317">
        <v>108</v>
      </c>
      <c r="E57" s="2318">
        <v>96.14</v>
      </c>
      <c r="F57" s="2317">
        <v>76</v>
      </c>
      <c r="G57" s="2319">
        <v>66</v>
      </c>
      <c r="H57" s="2320">
        <v>67.81</v>
      </c>
      <c r="I57" s="2320">
        <v>69.95</v>
      </c>
      <c r="J57" s="2320">
        <v>45.23</v>
      </c>
      <c r="K57" s="2320">
        <v>64.56</v>
      </c>
      <c r="L57" s="1832">
        <v>83.3</v>
      </c>
      <c r="M57" s="2366">
        <v>26.35</v>
      </c>
    </row>
    <row r="58" spans="1:13" ht="12.75">
      <c r="A58" s="2363" t="s">
        <v>5819</v>
      </c>
      <c r="B58" s="2316">
        <v>65</v>
      </c>
      <c r="C58" s="2317">
        <v>50</v>
      </c>
      <c r="D58" s="2317">
        <v>67</v>
      </c>
      <c r="E58" s="2318">
        <v>63.33</v>
      </c>
      <c r="F58" s="2317">
        <v>144</v>
      </c>
      <c r="G58" s="2319">
        <v>99</v>
      </c>
      <c r="H58" s="2320">
        <v>112.81</v>
      </c>
      <c r="I58" s="2320">
        <v>118.68</v>
      </c>
      <c r="J58" s="2320">
        <v>88.39</v>
      </c>
      <c r="K58" s="2320">
        <v>105.74</v>
      </c>
      <c r="L58" s="1832">
        <v>71.31</v>
      </c>
      <c r="M58" s="2366">
        <v>164.01</v>
      </c>
    </row>
    <row r="59" spans="1:13" ht="12.75">
      <c r="A59" s="2363" t="s">
        <v>5820</v>
      </c>
      <c r="B59" s="2316">
        <v>0</v>
      </c>
      <c r="C59" s="2317">
        <v>36</v>
      </c>
      <c r="D59" s="2323">
        <v>0</v>
      </c>
      <c r="E59" s="2325">
        <v>0</v>
      </c>
      <c r="F59" s="2323">
        <v>0</v>
      </c>
      <c r="G59" s="2323">
        <v>0</v>
      </c>
      <c r="H59" s="2322">
        <v>0</v>
      </c>
      <c r="I59" s="2322">
        <v>0</v>
      </c>
      <c r="J59" s="2322">
        <v>0</v>
      </c>
      <c r="K59" s="2322"/>
      <c r="L59" s="2322"/>
      <c r="M59" s="2367"/>
    </row>
    <row r="60" spans="1:13" ht="12.75">
      <c r="A60" s="2363" t="s">
        <v>5821</v>
      </c>
      <c r="B60" s="2316">
        <v>107</v>
      </c>
      <c r="C60" s="2317">
        <v>112</v>
      </c>
      <c r="D60" s="2317">
        <v>99</v>
      </c>
      <c r="E60" s="2318">
        <v>93.15</v>
      </c>
      <c r="F60" s="2317">
        <v>84</v>
      </c>
      <c r="G60" s="2319">
        <v>140</v>
      </c>
      <c r="H60" s="2320">
        <v>128.81</v>
      </c>
      <c r="I60" s="2320">
        <v>106.66</v>
      </c>
      <c r="J60" s="2320">
        <v>49.33</v>
      </c>
      <c r="K60" s="2320">
        <v>114.09</v>
      </c>
      <c r="L60" s="1832">
        <v>130.74</v>
      </c>
      <c r="M60" s="2366">
        <v>88.97</v>
      </c>
    </row>
    <row r="61" spans="1:13" ht="12.75">
      <c r="A61" s="2363" t="s">
        <v>5822</v>
      </c>
      <c r="B61" s="2316">
        <v>11</v>
      </c>
      <c r="C61" s="2317">
        <v>63</v>
      </c>
      <c r="D61" s="2317">
        <v>0</v>
      </c>
      <c r="E61" s="2318">
        <v>0</v>
      </c>
      <c r="F61" s="2317">
        <v>0</v>
      </c>
      <c r="G61" s="2319">
        <v>0</v>
      </c>
      <c r="H61" s="2320">
        <v>0</v>
      </c>
      <c r="I61" s="2320">
        <v>69.77</v>
      </c>
      <c r="J61" s="2320">
        <v>99.75</v>
      </c>
      <c r="K61" s="2320">
        <v>45.25</v>
      </c>
      <c r="L61" s="1832">
        <v>87.78</v>
      </c>
      <c r="M61" s="2366">
        <v>72.739999999999995</v>
      </c>
    </row>
    <row r="62" spans="1:13" ht="12.75">
      <c r="A62" s="2363" t="s">
        <v>5823</v>
      </c>
      <c r="B62" s="2316">
        <v>250</v>
      </c>
      <c r="C62" s="2317">
        <v>195</v>
      </c>
      <c r="D62" s="2317">
        <v>123</v>
      </c>
      <c r="E62" s="2318">
        <v>107.18</v>
      </c>
      <c r="F62" s="2317">
        <v>120</v>
      </c>
      <c r="G62" s="2319">
        <v>141</v>
      </c>
      <c r="H62" s="2320">
        <v>119.81</v>
      </c>
      <c r="I62" s="2320">
        <v>136.16999999999999</v>
      </c>
      <c r="J62" s="2320">
        <v>102.55</v>
      </c>
      <c r="K62" s="2320">
        <v>172.66</v>
      </c>
      <c r="L62" s="1832">
        <v>313.43</v>
      </c>
      <c r="M62" s="2366">
        <v>204.52</v>
      </c>
    </row>
    <row r="63" spans="1:13" ht="12.75">
      <c r="A63" s="2363" t="s">
        <v>5824</v>
      </c>
      <c r="B63" s="2316">
        <v>227</v>
      </c>
      <c r="C63" s="2317">
        <v>36</v>
      </c>
      <c r="D63" s="2317">
        <v>0</v>
      </c>
      <c r="E63" s="2318">
        <v>0</v>
      </c>
      <c r="F63" s="2317">
        <v>0</v>
      </c>
      <c r="G63" s="2319">
        <v>0</v>
      </c>
      <c r="H63" s="2320">
        <v>0</v>
      </c>
      <c r="I63" s="2320">
        <v>209.26</v>
      </c>
      <c r="J63" s="2320">
        <v>124.55</v>
      </c>
      <c r="K63" s="2320">
        <v>398.9</v>
      </c>
      <c r="L63" s="1832">
        <v>481.14</v>
      </c>
      <c r="M63" s="2366">
        <v>564.53</v>
      </c>
    </row>
    <row r="64" spans="1:13" ht="12.75">
      <c r="A64" s="2363" t="s">
        <v>5825</v>
      </c>
      <c r="B64" s="2316">
        <v>101</v>
      </c>
      <c r="C64" s="2317">
        <v>83</v>
      </c>
      <c r="D64" s="2317">
        <v>0</v>
      </c>
      <c r="E64" s="2318">
        <v>461.32</v>
      </c>
      <c r="F64" s="2317">
        <v>356</v>
      </c>
      <c r="G64" s="2319">
        <v>262</v>
      </c>
      <c r="H64" s="2320">
        <v>500.81</v>
      </c>
      <c r="I64" s="2320">
        <v>126.25</v>
      </c>
      <c r="J64" s="2320">
        <v>105.62</v>
      </c>
      <c r="K64" s="2322"/>
      <c r="L64" s="2322"/>
      <c r="M64" s="2367"/>
    </row>
    <row r="65" spans="1:13" ht="12.75">
      <c r="A65" s="2363" t="s">
        <v>5826</v>
      </c>
      <c r="B65" s="2316">
        <v>273</v>
      </c>
      <c r="C65" s="2317">
        <v>259</v>
      </c>
      <c r="D65" s="2317">
        <v>269</v>
      </c>
      <c r="E65" s="2318">
        <v>233.19</v>
      </c>
      <c r="F65" s="2317">
        <v>37</v>
      </c>
      <c r="G65" s="2319">
        <v>211</v>
      </c>
      <c r="H65" s="2320">
        <v>263.81</v>
      </c>
      <c r="I65" s="2320">
        <v>268.97000000000003</v>
      </c>
      <c r="J65" s="2320">
        <v>249.1</v>
      </c>
      <c r="K65" s="2320">
        <v>0</v>
      </c>
      <c r="L65" s="1832">
        <v>0</v>
      </c>
      <c r="M65" s="2366">
        <v>78.88</v>
      </c>
    </row>
    <row r="66" spans="1:13" ht="12.75">
      <c r="A66" s="2363" t="s">
        <v>5827</v>
      </c>
      <c r="B66" s="2316">
        <v>113</v>
      </c>
      <c r="C66" s="2317">
        <v>212</v>
      </c>
      <c r="D66" s="2323"/>
      <c r="E66" s="2325"/>
      <c r="F66" s="2323"/>
      <c r="G66" s="2323"/>
      <c r="H66" s="2322"/>
      <c r="I66" s="2322"/>
      <c r="J66" s="2322"/>
      <c r="K66" s="2322"/>
      <c r="L66" s="2322"/>
      <c r="M66" s="2367"/>
    </row>
    <row r="67" spans="1:13" ht="12.75">
      <c r="A67" s="2363" t="s">
        <v>5828</v>
      </c>
      <c r="B67" s="2316">
        <v>7</v>
      </c>
      <c r="C67" s="2317">
        <v>136</v>
      </c>
      <c r="D67" s="2317">
        <v>252</v>
      </c>
      <c r="E67" s="2318">
        <v>224.13</v>
      </c>
      <c r="F67" s="2317">
        <v>500</v>
      </c>
      <c r="G67" s="2323"/>
      <c r="H67" s="2322"/>
      <c r="I67" s="2322"/>
      <c r="J67" s="2322"/>
      <c r="K67" s="2322"/>
      <c r="L67" s="2322"/>
      <c r="M67" s="2367"/>
    </row>
    <row r="68" spans="1:13" ht="12.75">
      <c r="A68" s="2363" t="s">
        <v>5829</v>
      </c>
      <c r="B68" s="2324"/>
      <c r="C68" s="2323"/>
      <c r="D68" s="2317">
        <v>145</v>
      </c>
      <c r="E68" s="2318">
        <v>135.74</v>
      </c>
      <c r="F68" s="2323"/>
      <c r="G68" s="2323"/>
      <c r="H68" s="2322"/>
      <c r="I68" s="2322"/>
      <c r="J68" s="2322"/>
      <c r="K68" s="2322"/>
      <c r="L68" s="2322"/>
      <c r="M68" s="2367"/>
    </row>
    <row r="69" spans="1:13" ht="12.75">
      <c r="A69" s="2363" t="s">
        <v>5830</v>
      </c>
      <c r="B69" s="2324"/>
      <c r="C69" s="2323"/>
      <c r="D69" s="2317">
        <v>585</v>
      </c>
      <c r="E69" s="2318">
        <v>540.35</v>
      </c>
      <c r="F69" s="2317">
        <v>1299</v>
      </c>
      <c r="G69" s="2319">
        <v>1822</v>
      </c>
      <c r="H69" s="2320">
        <v>1299.81</v>
      </c>
      <c r="I69" s="2320">
        <v>931.14</v>
      </c>
      <c r="J69" s="2320">
        <v>693.48</v>
      </c>
      <c r="K69" s="2320">
        <v>752.56</v>
      </c>
      <c r="L69" s="1832">
        <v>668.38</v>
      </c>
      <c r="M69" s="2366">
        <v>593.63</v>
      </c>
    </row>
    <row r="70" spans="1:13" ht="12.75">
      <c r="A70" s="2363" t="s">
        <v>5831</v>
      </c>
      <c r="B70" s="2324"/>
      <c r="C70" s="2323"/>
      <c r="D70" s="2323"/>
      <c r="E70" s="2325"/>
      <c r="F70" s="2323"/>
      <c r="G70" s="2323"/>
      <c r="H70" s="1832">
        <v>531.80999999999995</v>
      </c>
      <c r="I70" s="2320">
        <v>379</v>
      </c>
      <c r="J70" s="2320">
        <v>324.64999999999998</v>
      </c>
      <c r="K70" s="2320">
        <v>372.91</v>
      </c>
      <c r="L70" s="1832">
        <v>381.79</v>
      </c>
      <c r="M70" s="2366">
        <v>367.99</v>
      </c>
    </row>
    <row r="71" spans="1:13" ht="12.75">
      <c r="A71" s="2363" t="s">
        <v>5832</v>
      </c>
      <c r="B71" s="2324"/>
      <c r="C71" s="2323"/>
      <c r="D71" s="2317">
        <v>221</v>
      </c>
      <c r="E71" s="2318">
        <v>204.95</v>
      </c>
      <c r="F71" s="2317">
        <v>320</v>
      </c>
      <c r="G71" s="2319">
        <v>205</v>
      </c>
      <c r="H71" s="2320">
        <v>291.81</v>
      </c>
      <c r="I71" s="2320">
        <v>137.9</v>
      </c>
      <c r="J71" s="2320">
        <v>0</v>
      </c>
      <c r="K71" s="2320">
        <v>87.95</v>
      </c>
      <c r="L71" s="1832">
        <v>132.38999999999999</v>
      </c>
      <c r="M71" s="2366">
        <v>183.8</v>
      </c>
    </row>
    <row r="72" spans="1:13" ht="12.75">
      <c r="A72" s="2363" t="s">
        <v>5833</v>
      </c>
      <c r="B72" s="2324"/>
      <c r="C72" s="2323"/>
      <c r="D72" s="2323"/>
      <c r="E72" s="2325"/>
      <c r="F72" s="2323"/>
      <c r="G72" s="2323"/>
      <c r="H72" s="2322"/>
      <c r="I72" s="2320">
        <v>192.26</v>
      </c>
      <c r="J72" s="2320">
        <v>665.45</v>
      </c>
      <c r="K72" s="2320">
        <v>475.7</v>
      </c>
      <c r="L72" s="1832">
        <v>375.39</v>
      </c>
      <c r="M72" s="2366">
        <v>654.91</v>
      </c>
    </row>
    <row r="73" spans="1:13" ht="12.75">
      <c r="A73" s="2363" t="s">
        <v>5834</v>
      </c>
      <c r="B73" s="2324"/>
      <c r="C73" s="2323"/>
      <c r="D73" s="2323"/>
      <c r="E73" s="2325"/>
      <c r="F73" s="2323"/>
      <c r="G73" s="2323"/>
      <c r="H73" s="2322"/>
      <c r="I73" s="2320">
        <v>182.08</v>
      </c>
      <c r="J73" s="2320">
        <v>185.47</v>
      </c>
      <c r="K73" s="2320">
        <v>320.26</v>
      </c>
      <c r="L73" s="1832">
        <v>258.14</v>
      </c>
      <c r="M73" s="2366">
        <v>229.46</v>
      </c>
    </row>
    <row r="74" spans="1:13" ht="12.75">
      <c r="A74" s="2363" t="s">
        <v>5835</v>
      </c>
      <c r="B74" s="2324"/>
      <c r="C74" s="2323"/>
      <c r="D74" s="2323"/>
      <c r="E74" s="2325"/>
      <c r="F74" s="2323"/>
      <c r="G74" s="2319">
        <v>313</v>
      </c>
      <c r="H74" s="2320">
        <v>549.80999999999995</v>
      </c>
      <c r="I74" s="2320">
        <v>379.69</v>
      </c>
      <c r="J74" s="2322"/>
      <c r="K74" s="2322"/>
      <c r="L74" s="2322"/>
      <c r="M74" s="2367"/>
    </row>
    <row r="75" spans="1:13" ht="12.75">
      <c r="A75" s="2363" t="s">
        <v>5836</v>
      </c>
      <c r="B75" s="2324"/>
      <c r="C75" s="2323"/>
      <c r="D75" s="2323"/>
      <c r="E75" s="2325"/>
      <c r="F75" s="2323"/>
      <c r="G75" s="2323"/>
      <c r="H75" s="2322"/>
      <c r="I75" s="2320">
        <v>108.3</v>
      </c>
      <c r="J75" s="2320">
        <v>152.71</v>
      </c>
      <c r="K75" s="2320">
        <v>145.72999999999999</v>
      </c>
      <c r="L75" s="1832">
        <v>233.46</v>
      </c>
      <c r="M75" s="2366">
        <v>203.78</v>
      </c>
    </row>
    <row r="76" spans="1:13" ht="12.75">
      <c r="A76" s="2363" t="s">
        <v>5837</v>
      </c>
      <c r="B76" s="2324"/>
      <c r="C76" s="2323"/>
      <c r="D76" s="2323"/>
      <c r="E76" s="2325"/>
      <c r="F76" s="2323"/>
      <c r="G76" s="2323"/>
      <c r="H76" s="2322"/>
      <c r="I76" s="2322"/>
      <c r="J76" s="2320">
        <v>300.47000000000003</v>
      </c>
      <c r="K76" s="2320">
        <v>385.31</v>
      </c>
      <c r="L76" s="1832">
        <v>423.9</v>
      </c>
      <c r="M76" s="2366">
        <v>390.6</v>
      </c>
    </row>
    <row r="77" spans="1:13" ht="12.75">
      <c r="A77" s="2363" t="s">
        <v>5838</v>
      </c>
      <c r="B77" s="2324"/>
      <c r="C77" s="2323"/>
      <c r="D77" s="2323"/>
      <c r="E77" s="2325"/>
      <c r="F77" s="2323"/>
      <c r="G77" s="2323"/>
      <c r="H77" s="2322"/>
      <c r="I77" s="2322"/>
      <c r="J77" s="2322"/>
      <c r="K77" s="2320">
        <v>93.25</v>
      </c>
      <c r="L77" s="1832">
        <v>86.46</v>
      </c>
      <c r="M77" s="2366">
        <v>189.58</v>
      </c>
    </row>
    <row r="78" spans="1:13" ht="12.75">
      <c r="A78" s="2363" t="s">
        <v>5839</v>
      </c>
      <c r="B78" s="2324"/>
      <c r="C78" s="2323"/>
      <c r="D78" s="2323"/>
      <c r="E78" s="2325"/>
      <c r="F78" s="2323"/>
      <c r="G78" s="2323"/>
      <c r="H78" s="2322"/>
      <c r="I78" s="2322"/>
      <c r="J78" s="2320">
        <v>626.96</v>
      </c>
      <c r="K78" s="2322"/>
      <c r="L78" s="2322"/>
      <c r="M78" s="2367"/>
    </row>
    <row r="79" spans="1:13" ht="12.75">
      <c r="A79" s="2363" t="s">
        <v>5840</v>
      </c>
      <c r="B79" s="2324"/>
      <c r="C79" s="2323"/>
      <c r="D79" s="2323"/>
      <c r="E79" s="2325"/>
      <c r="F79" s="2323"/>
      <c r="G79" s="2323"/>
      <c r="H79" s="2322"/>
      <c r="I79" s="2322"/>
      <c r="J79" s="2320">
        <v>414.52</v>
      </c>
      <c r="K79" s="2322"/>
      <c r="L79" s="2322"/>
      <c r="M79" s="2367"/>
    </row>
    <row r="80" spans="1:13" ht="12.75">
      <c r="A80" s="2363" t="s">
        <v>5841</v>
      </c>
      <c r="B80" s="2316">
        <v>67</v>
      </c>
      <c r="C80" s="2317">
        <v>92</v>
      </c>
      <c r="D80" s="2317">
        <v>101</v>
      </c>
      <c r="E80" s="2318">
        <v>95.28</v>
      </c>
      <c r="F80" s="2317">
        <v>83</v>
      </c>
      <c r="G80" s="2319">
        <v>77</v>
      </c>
      <c r="H80" s="2320">
        <v>123.81</v>
      </c>
      <c r="I80" s="2320">
        <v>76.31</v>
      </c>
      <c r="J80" s="2320">
        <v>82.25</v>
      </c>
      <c r="K80" s="2320">
        <v>157.65</v>
      </c>
      <c r="L80" s="1832">
        <v>104.07</v>
      </c>
      <c r="M80" s="2366">
        <v>213.26</v>
      </c>
    </row>
    <row r="81" spans="1:13" ht="12.75">
      <c r="A81" s="2363" t="s">
        <v>5842</v>
      </c>
      <c r="B81" s="2316"/>
      <c r="C81" s="2317"/>
      <c r="D81" s="2317"/>
      <c r="E81" s="2318"/>
      <c r="F81" s="2317"/>
      <c r="G81" s="2319"/>
      <c r="H81" s="2320"/>
      <c r="I81" s="2320"/>
      <c r="J81" s="2320"/>
      <c r="K81" s="2320"/>
      <c r="L81" s="1832">
        <v>393.17</v>
      </c>
      <c r="M81" s="2366">
        <v>364.35</v>
      </c>
    </row>
    <row r="82" spans="1:13" ht="12.75">
      <c r="A82" s="2363" t="s">
        <v>5843</v>
      </c>
      <c r="B82" s="2326"/>
      <c r="C82" s="2319"/>
      <c r="D82" s="2319"/>
      <c r="E82" s="2327"/>
      <c r="F82" s="2319"/>
      <c r="G82" s="2319"/>
      <c r="H82" s="1832"/>
      <c r="I82" s="1832"/>
      <c r="J82" s="1832"/>
      <c r="K82" s="1832"/>
      <c r="L82" s="1832"/>
      <c r="M82" s="2366">
        <v>118.99</v>
      </c>
    </row>
    <row r="83" spans="1:13" ht="12.75">
      <c r="A83" s="2368" t="s">
        <v>8</v>
      </c>
      <c r="B83" s="2356">
        <v>16500</v>
      </c>
      <c r="C83" s="2356">
        <f t="shared" ref="C83:K83" si="0">SUM(C21:C80)</f>
        <v>16500</v>
      </c>
      <c r="D83" s="2356">
        <f t="shared" si="0"/>
        <v>19700</v>
      </c>
      <c r="E83" s="2356">
        <f t="shared" si="0"/>
        <v>19700.02</v>
      </c>
      <c r="F83" s="2356">
        <f t="shared" si="0"/>
        <v>19700</v>
      </c>
      <c r="G83" s="2356">
        <f t="shared" si="0"/>
        <v>19317</v>
      </c>
      <c r="H83" s="2356">
        <f t="shared" si="0"/>
        <v>19607.189999999999</v>
      </c>
      <c r="I83" s="2356">
        <f t="shared" si="0"/>
        <v>19698.88</v>
      </c>
      <c r="J83" s="2356">
        <f t="shared" si="0"/>
        <v>19684.650000000001</v>
      </c>
      <c r="K83" s="2356">
        <f t="shared" si="0"/>
        <v>19699.930000000008</v>
      </c>
      <c r="L83" s="2356">
        <v>19700.830000000002</v>
      </c>
      <c r="M83" s="2357">
        <v>19679.39</v>
      </c>
    </row>
    <row r="84" spans="1:13" ht="12.75">
      <c r="A84" s="1395"/>
      <c r="D84" s="1396"/>
      <c r="E84" s="1396"/>
      <c r="F84" s="1396"/>
      <c r="G84" s="1396"/>
      <c r="H84" s="1396"/>
      <c r="I84" s="1396"/>
      <c r="J84" s="1396"/>
    </row>
    <row r="85" spans="1:13" ht="12.75">
      <c r="A85" s="1395"/>
      <c r="D85" s="1396"/>
      <c r="E85" s="1396"/>
      <c r="F85" s="1396"/>
      <c r="G85" s="1396"/>
      <c r="H85" s="1396"/>
      <c r="I85" s="1396"/>
      <c r="J85" s="1396"/>
    </row>
    <row r="86" spans="1:13" ht="14.25" customHeight="1">
      <c r="A86" s="1401" t="s">
        <v>7108</v>
      </c>
    </row>
    <row r="88" spans="1:13" ht="14.25" customHeight="1">
      <c r="A88" s="2369"/>
      <c r="B88" s="2370">
        <v>2008</v>
      </c>
      <c r="C88" s="2370">
        <v>2009</v>
      </c>
      <c r="D88" s="2370">
        <v>2010</v>
      </c>
      <c r="E88" s="2370">
        <v>2011</v>
      </c>
      <c r="F88" s="2370">
        <v>2012</v>
      </c>
      <c r="G88" s="2370">
        <v>2013</v>
      </c>
      <c r="H88" s="2370">
        <v>2014</v>
      </c>
      <c r="I88" s="2370">
        <v>2015</v>
      </c>
      <c r="J88" s="2370">
        <v>2016</v>
      </c>
      <c r="K88" s="2370">
        <v>2017</v>
      </c>
      <c r="L88" s="2370">
        <v>2018</v>
      </c>
      <c r="M88" s="2371">
        <v>2019</v>
      </c>
    </row>
    <row r="89" spans="1:13" ht="12.75">
      <c r="A89" s="2380" t="s">
        <v>5844</v>
      </c>
      <c r="B89" s="2377">
        <v>422.44</v>
      </c>
      <c r="C89" s="2377">
        <v>408</v>
      </c>
      <c r="D89" s="2377">
        <v>464</v>
      </c>
      <c r="E89" s="2377">
        <v>499.8</v>
      </c>
      <c r="F89" s="2377">
        <v>494</v>
      </c>
      <c r="G89" s="2377">
        <v>426.8</v>
      </c>
      <c r="H89" s="2377">
        <v>526</v>
      </c>
      <c r="I89" s="2378">
        <v>444.72</v>
      </c>
      <c r="J89" s="2377">
        <v>480</v>
      </c>
      <c r="K89" s="2377">
        <v>492</v>
      </c>
      <c r="L89" s="2377">
        <v>288</v>
      </c>
      <c r="M89" s="2375"/>
    </row>
    <row r="90" spans="1:13" ht="12.75">
      <c r="A90" s="2381" t="s">
        <v>5845</v>
      </c>
      <c r="B90" s="2377">
        <v>204</v>
      </c>
      <c r="C90" s="2377">
        <v>212</v>
      </c>
      <c r="D90" s="2377">
        <v>252</v>
      </c>
      <c r="E90" s="2377">
        <v>432</v>
      </c>
      <c r="F90" s="2377">
        <v>456</v>
      </c>
      <c r="G90" s="2377">
        <v>366</v>
      </c>
      <c r="H90" s="2377">
        <v>188</v>
      </c>
      <c r="I90" s="2378">
        <v>499.84</v>
      </c>
      <c r="J90" s="2377">
        <v>300</v>
      </c>
      <c r="K90" s="2377">
        <v>0</v>
      </c>
      <c r="L90" s="2377">
        <v>0</v>
      </c>
      <c r="M90" s="2375"/>
    </row>
    <row r="91" spans="1:13" ht="12.75">
      <c r="A91" s="2381" t="s">
        <v>5846</v>
      </c>
      <c r="B91" s="2377">
        <v>0</v>
      </c>
      <c r="C91" s="2377">
        <v>0</v>
      </c>
      <c r="D91" s="2377">
        <v>230</v>
      </c>
      <c r="E91" s="2377">
        <v>240</v>
      </c>
      <c r="F91" s="2377">
        <v>0</v>
      </c>
      <c r="G91" s="2377">
        <v>74</v>
      </c>
      <c r="H91" s="2377">
        <v>70</v>
      </c>
      <c r="I91" s="2378">
        <v>69.930000000000007</v>
      </c>
      <c r="J91" s="2377">
        <v>86.4</v>
      </c>
      <c r="K91" s="2377">
        <v>74</v>
      </c>
      <c r="L91" s="2377">
        <v>0</v>
      </c>
      <c r="M91" s="2375"/>
    </row>
    <row r="92" spans="1:13" ht="12.75">
      <c r="A92" s="2382" t="s">
        <v>5847</v>
      </c>
      <c r="B92" s="2377">
        <v>0</v>
      </c>
      <c r="C92" s="2377">
        <v>0</v>
      </c>
      <c r="D92" s="2377"/>
      <c r="E92" s="2377"/>
      <c r="F92" s="2377">
        <v>34</v>
      </c>
      <c r="G92" s="2377">
        <v>48</v>
      </c>
      <c r="H92" s="2377">
        <v>70</v>
      </c>
      <c r="I92" s="2378">
        <v>69.83</v>
      </c>
      <c r="J92" s="2377">
        <v>86.4</v>
      </c>
      <c r="K92" s="2377">
        <v>74</v>
      </c>
      <c r="L92" s="2377">
        <v>40</v>
      </c>
      <c r="M92" s="2375"/>
    </row>
    <row r="93" spans="1:13" ht="12.75">
      <c r="A93" s="2381" t="s">
        <v>5848</v>
      </c>
      <c r="B93" s="2377">
        <v>0</v>
      </c>
      <c r="C93" s="2377">
        <v>1524</v>
      </c>
      <c r="D93" s="2377">
        <v>272</v>
      </c>
      <c r="E93" s="2377">
        <v>180</v>
      </c>
      <c r="F93" s="2377">
        <v>0</v>
      </c>
      <c r="G93" s="2377">
        <v>280</v>
      </c>
      <c r="H93" s="2377">
        <v>280</v>
      </c>
      <c r="I93" s="2378"/>
      <c r="J93" s="2377">
        <v>0</v>
      </c>
      <c r="K93" s="2377">
        <v>0</v>
      </c>
      <c r="L93" s="2377">
        <v>0</v>
      </c>
      <c r="M93" s="2375"/>
    </row>
    <row r="94" spans="1:13" ht="12.75">
      <c r="A94" s="2381" t="s">
        <v>5849</v>
      </c>
      <c r="B94" s="2377">
        <v>310.77999999999997</v>
      </c>
      <c r="C94" s="2377">
        <v>442.05</v>
      </c>
      <c r="D94" s="2377">
        <v>323.18</v>
      </c>
      <c r="E94" s="2377">
        <v>443.54</v>
      </c>
      <c r="F94" s="2377">
        <v>0</v>
      </c>
      <c r="G94" s="2377">
        <v>131.19999999999999</v>
      </c>
      <c r="H94" s="2377">
        <v>198.48</v>
      </c>
      <c r="I94" s="2378">
        <v>496.17</v>
      </c>
      <c r="J94" s="2377">
        <v>100</v>
      </c>
      <c r="K94" s="2377">
        <v>852</v>
      </c>
      <c r="L94" s="2377">
        <v>1086</v>
      </c>
      <c r="M94" s="2375"/>
    </row>
    <row r="95" spans="1:13" ht="12.75">
      <c r="A95" s="2381" t="s">
        <v>5850</v>
      </c>
      <c r="B95" s="2377">
        <v>178.46</v>
      </c>
      <c r="C95" s="2377">
        <v>238.94</v>
      </c>
      <c r="D95" s="2377">
        <v>254.32</v>
      </c>
      <c r="E95" s="2377">
        <v>240</v>
      </c>
      <c r="F95" s="2377">
        <v>240</v>
      </c>
      <c r="G95" s="2377">
        <v>240</v>
      </c>
      <c r="H95" s="2377">
        <v>240</v>
      </c>
      <c r="I95" s="2378">
        <v>220.52</v>
      </c>
      <c r="J95" s="2377">
        <v>240</v>
      </c>
      <c r="K95" s="2377">
        <v>240</v>
      </c>
      <c r="L95" s="2377">
        <v>240</v>
      </c>
      <c r="M95" s="2375"/>
    </row>
    <row r="96" spans="1:13" ht="12.75">
      <c r="A96" s="2381" t="s">
        <v>5851</v>
      </c>
      <c r="B96" s="2377">
        <v>1405.62</v>
      </c>
      <c r="C96" s="2377">
        <v>1005.04</v>
      </c>
      <c r="D96" s="2377">
        <v>792.12</v>
      </c>
      <c r="E96" s="2377">
        <v>1210.8599999999999</v>
      </c>
      <c r="F96" s="2377">
        <v>0</v>
      </c>
      <c r="G96" s="2377">
        <v>653.46</v>
      </c>
      <c r="H96" s="2377">
        <v>513.58000000000004</v>
      </c>
      <c r="I96" s="2378">
        <v>595.4</v>
      </c>
      <c r="J96" s="2377">
        <v>0</v>
      </c>
      <c r="K96" s="2377">
        <v>0</v>
      </c>
      <c r="L96" s="2377">
        <v>0</v>
      </c>
      <c r="M96" s="2375"/>
    </row>
    <row r="97" spans="1:13" ht="12.75">
      <c r="A97" s="2382" t="s">
        <v>5852</v>
      </c>
      <c r="B97" s="2377"/>
      <c r="C97" s="2377"/>
      <c r="D97" s="2377"/>
      <c r="E97" s="2377"/>
      <c r="F97" s="2377"/>
      <c r="G97" s="2377"/>
      <c r="H97" s="2377"/>
      <c r="I97" s="2378">
        <v>101.07</v>
      </c>
      <c r="J97" s="2377">
        <v>125</v>
      </c>
      <c r="K97" s="2377">
        <v>142</v>
      </c>
      <c r="L97" s="2377">
        <v>63.6</v>
      </c>
      <c r="M97" s="2375"/>
    </row>
    <row r="98" spans="1:13" ht="12.75">
      <c r="A98" s="2382" t="s">
        <v>5853</v>
      </c>
      <c r="B98" s="2377">
        <v>68.400000000000006</v>
      </c>
      <c r="C98" s="2377">
        <v>84</v>
      </c>
      <c r="D98" s="2377">
        <v>76</v>
      </c>
      <c r="E98" s="2377">
        <v>80</v>
      </c>
      <c r="F98" s="2377">
        <v>76</v>
      </c>
      <c r="G98" s="2377">
        <v>76</v>
      </c>
      <c r="H98" s="2377">
        <v>68</v>
      </c>
      <c r="I98" s="2378">
        <v>69.83</v>
      </c>
      <c r="J98" s="2377">
        <v>0</v>
      </c>
      <c r="K98" s="2377">
        <v>0</v>
      </c>
      <c r="L98" s="2377">
        <v>0</v>
      </c>
      <c r="M98" s="2375"/>
    </row>
    <row r="99" spans="1:13" ht="12.75">
      <c r="A99" s="2381" t="s">
        <v>5854</v>
      </c>
      <c r="B99" s="2377">
        <v>140</v>
      </c>
      <c r="C99" s="2377">
        <v>153.32</v>
      </c>
      <c r="D99" s="2377">
        <v>100.56</v>
      </c>
      <c r="E99" s="2377">
        <v>0</v>
      </c>
      <c r="F99" s="2377">
        <v>198.2</v>
      </c>
      <c r="G99" s="2377">
        <v>72</v>
      </c>
      <c r="H99" s="2377">
        <v>163.19999999999999</v>
      </c>
      <c r="I99" s="2378">
        <v>174.12</v>
      </c>
      <c r="J99" s="2377">
        <v>228.8</v>
      </c>
      <c r="K99" s="2377">
        <v>0</v>
      </c>
      <c r="L99" s="2377">
        <v>0</v>
      </c>
      <c r="M99" s="2375"/>
    </row>
    <row r="100" spans="1:13" ht="12.75">
      <c r="A100" s="2382" t="s">
        <v>5855</v>
      </c>
      <c r="B100" s="2377"/>
      <c r="C100" s="2377"/>
      <c r="D100" s="2377"/>
      <c r="E100" s="2377"/>
      <c r="F100" s="2377"/>
      <c r="G100" s="2377"/>
      <c r="H100" s="2377"/>
      <c r="I100" s="2378">
        <v>248.03</v>
      </c>
      <c r="J100" s="2377">
        <v>0</v>
      </c>
      <c r="K100" s="2377">
        <v>212.8</v>
      </c>
      <c r="L100" s="2377">
        <v>0</v>
      </c>
      <c r="M100" s="2375"/>
    </row>
    <row r="101" spans="1:13" ht="12.75">
      <c r="A101" s="2382" t="s">
        <v>5856</v>
      </c>
      <c r="B101" s="2377"/>
      <c r="C101" s="2377"/>
      <c r="D101" s="2377"/>
      <c r="E101" s="2377"/>
      <c r="F101" s="2377"/>
      <c r="G101" s="2377"/>
      <c r="H101" s="2377"/>
      <c r="I101" s="2378"/>
      <c r="J101" s="2377">
        <v>913</v>
      </c>
      <c r="K101" s="2377">
        <v>601.20000000000005</v>
      </c>
      <c r="L101" s="2377">
        <v>1346.5</v>
      </c>
      <c r="M101" s="2375"/>
    </row>
    <row r="102" spans="1:13" ht="12.75">
      <c r="A102" s="2381" t="s">
        <v>5857</v>
      </c>
      <c r="B102" s="2377">
        <v>1109.9000000000001</v>
      </c>
      <c r="C102" s="2377">
        <v>1287.5999999999999</v>
      </c>
      <c r="D102" s="2377">
        <v>1749.14</v>
      </c>
      <c r="E102" s="2377">
        <v>2357.2600000000002</v>
      </c>
      <c r="F102" s="2377">
        <v>2385.98</v>
      </c>
      <c r="G102" s="2377">
        <v>2035.63</v>
      </c>
      <c r="H102" s="2377">
        <v>2478.4</v>
      </c>
      <c r="I102" s="2378">
        <v>2580.52</v>
      </c>
      <c r="J102" s="2377">
        <v>3656.87</v>
      </c>
      <c r="K102" s="2377">
        <v>3674.26</v>
      </c>
      <c r="L102" s="2377">
        <v>2931.55</v>
      </c>
      <c r="M102" s="2375"/>
    </row>
    <row r="103" spans="1:13" ht="12.75">
      <c r="A103" s="2382" t="s">
        <v>5858</v>
      </c>
      <c r="B103" s="2377">
        <v>2825.2</v>
      </c>
      <c r="C103" s="2377">
        <v>2943.33</v>
      </c>
      <c r="D103" s="2377">
        <v>3863</v>
      </c>
      <c r="E103" s="2377">
        <v>3302.99</v>
      </c>
      <c r="F103" s="2377">
        <v>4845.12</v>
      </c>
      <c r="G103" s="2377">
        <v>4452.8</v>
      </c>
      <c r="H103" s="2377">
        <v>3672.8</v>
      </c>
      <c r="I103" s="2378">
        <v>3583.08</v>
      </c>
      <c r="J103" s="2377">
        <v>1693.6</v>
      </c>
      <c r="K103" s="2377">
        <v>904</v>
      </c>
      <c r="L103" s="2377">
        <v>720</v>
      </c>
      <c r="M103" s="2375"/>
    </row>
    <row r="104" spans="1:13" ht="12.75">
      <c r="A104" s="2381" t="s">
        <v>5859</v>
      </c>
      <c r="B104" s="2377">
        <v>1895.49</v>
      </c>
      <c r="C104" s="2377">
        <v>2111.04</v>
      </c>
      <c r="D104" s="2377">
        <v>2246.33</v>
      </c>
      <c r="E104" s="2377">
        <v>2489.37</v>
      </c>
      <c r="F104" s="2377">
        <v>2051.88</v>
      </c>
      <c r="G104" s="2377">
        <v>1861.84</v>
      </c>
      <c r="H104" s="2377">
        <v>2282.1999999999998</v>
      </c>
      <c r="I104" s="2378">
        <v>2851.38</v>
      </c>
      <c r="J104" s="2377">
        <v>2597.08</v>
      </c>
      <c r="K104" s="2377">
        <v>3420.07</v>
      </c>
      <c r="L104" s="2377">
        <v>2449.04</v>
      </c>
      <c r="M104" s="2375"/>
    </row>
    <row r="105" spans="1:13" ht="12.75">
      <c r="A105" s="2382" t="s">
        <v>5860</v>
      </c>
      <c r="B105" s="2377">
        <v>1127.92</v>
      </c>
      <c r="C105" s="2377">
        <v>1438.22</v>
      </c>
      <c r="D105" s="2377">
        <v>976.41</v>
      </c>
      <c r="E105" s="2377">
        <v>1884.48</v>
      </c>
      <c r="F105" s="2377">
        <v>2289.71</v>
      </c>
      <c r="G105" s="2377">
        <v>1388.4</v>
      </c>
      <c r="H105" s="2377">
        <v>1581.83</v>
      </c>
      <c r="I105" s="2378">
        <v>1257.24</v>
      </c>
      <c r="J105" s="2377">
        <v>1578.63</v>
      </c>
      <c r="K105" s="2377">
        <v>1335.64</v>
      </c>
      <c r="L105" s="2377">
        <v>1111.78</v>
      </c>
      <c r="M105" s="2375"/>
    </row>
    <row r="106" spans="1:13" ht="12.75">
      <c r="A106" s="2381" t="s">
        <v>5861</v>
      </c>
      <c r="B106" s="2377">
        <v>120.4</v>
      </c>
      <c r="C106" s="2377">
        <v>164</v>
      </c>
      <c r="D106" s="2377">
        <v>172</v>
      </c>
      <c r="E106" s="2377">
        <v>164</v>
      </c>
      <c r="F106" s="2377">
        <v>168</v>
      </c>
      <c r="G106" s="2377">
        <v>164</v>
      </c>
      <c r="H106" s="2377">
        <v>160</v>
      </c>
      <c r="I106" s="2378">
        <v>150.69</v>
      </c>
      <c r="J106" s="2377">
        <v>172</v>
      </c>
      <c r="K106" s="2377">
        <v>168</v>
      </c>
      <c r="L106" s="2377">
        <v>100</v>
      </c>
      <c r="M106" s="2375"/>
    </row>
    <row r="107" spans="1:13" ht="12.75">
      <c r="A107" s="2381" t="s">
        <v>5862</v>
      </c>
      <c r="B107" s="2377">
        <v>0</v>
      </c>
      <c r="C107" s="2377">
        <v>0</v>
      </c>
      <c r="D107" s="2377"/>
      <c r="E107" s="2377"/>
      <c r="F107" s="2377">
        <v>194</v>
      </c>
      <c r="G107" s="2377">
        <v>74</v>
      </c>
      <c r="H107" s="2377">
        <v>70</v>
      </c>
      <c r="I107" s="2378">
        <v>69.83</v>
      </c>
      <c r="J107" s="2377">
        <v>86.4</v>
      </c>
      <c r="K107" s="2377">
        <v>74</v>
      </c>
      <c r="L107" s="2377">
        <v>40</v>
      </c>
      <c r="M107" s="2375"/>
    </row>
    <row r="108" spans="1:13" ht="12.75">
      <c r="A108" s="2381" t="s">
        <v>5863</v>
      </c>
      <c r="B108" s="2377"/>
      <c r="C108" s="2377"/>
      <c r="D108" s="2377"/>
      <c r="E108" s="2377"/>
      <c r="F108" s="2377"/>
      <c r="G108" s="2377"/>
      <c r="H108" s="2377">
        <v>372</v>
      </c>
      <c r="I108" s="2378">
        <v>330.78</v>
      </c>
      <c r="J108" s="2377">
        <v>371.2</v>
      </c>
      <c r="K108" s="2377">
        <v>460</v>
      </c>
      <c r="L108" s="2377">
        <v>313.60000000000002</v>
      </c>
      <c r="M108" s="2375"/>
    </row>
    <row r="109" spans="1:13" ht="12.75">
      <c r="A109" s="2381" t="s">
        <v>5864</v>
      </c>
      <c r="B109" s="2377">
        <v>1514.82</v>
      </c>
      <c r="C109" s="2377">
        <v>2419.3000000000002</v>
      </c>
      <c r="D109" s="2377">
        <v>2569.04</v>
      </c>
      <c r="E109" s="2377">
        <v>2419</v>
      </c>
      <c r="F109" s="2377">
        <v>2535.7800000000002</v>
      </c>
      <c r="G109" s="2377">
        <v>2175.2399999999998</v>
      </c>
      <c r="H109" s="2377">
        <v>2271.38</v>
      </c>
      <c r="I109" s="2378">
        <v>1861.54</v>
      </c>
      <c r="J109" s="2377">
        <v>2135.36</v>
      </c>
      <c r="K109" s="2377">
        <v>4577.9399999999996</v>
      </c>
      <c r="L109" s="2377">
        <v>2157.34</v>
      </c>
      <c r="M109" s="2375"/>
    </row>
    <row r="110" spans="1:13" ht="12.75">
      <c r="A110" s="2381" t="s">
        <v>5865</v>
      </c>
      <c r="B110" s="2377">
        <v>480.83</v>
      </c>
      <c r="C110" s="2377">
        <v>478.16</v>
      </c>
      <c r="D110" s="2377">
        <v>505.17</v>
      </c>
      <c r="E110" s="2377">
        <v>498.6</v>
      </c>
      <c r="F110" s="2377">
        <v>511.56</v>
      </c>
      <c r="G110" s="2377">
        <v>518.79999999999995</v>
      </c>
      <c r="H110" s="2377">
        <v>544</v>
      </c>
      <c r="I110" s="2378">
        <v>454.45</v>
      </c>
      <c r="J110" s="2377">
        <v>529.79999999999995</v>
      </c>
      <c r="K110" s="2377">
        <v>537.20000000000005</v>
      </c>
      <c r="L110" s="2377">
        <v>578.83000000000004</v>
      </c>
      <c r="M110" s="2375"/>
    </row>
    <row r="111" spans="1:13" ht="12.75">
      <c r="A111" s="2381" t="s">
        <v>2215</v>
      </c>
      <c r="B111" s="2377">
        <v>0</v>
      </c>
      <c r="C111" s="2377">
        <v>24.65</v>
      </c>
      <c r="D111" s="2377">
        <v>0</v>
      </c>
      <c r="E111" s="2377">
        <v>0</v>
      </c>
      <c r="F111" s="2377">
        <v>0</v>
      </c>
      <c r="G111" s="2377">
        <v>0</v>
      </c>
      <c r="H111" s="2377">
        <v>615.02</v>
      </c>
      <c r="I111" s="2378">
        <v>421.56</v>
      </c>
      <c r="J111" s="2377">
        <v>513.73</v>
      </c>
      <c r="K111" s="2377">
        <v>462.8</v>
      </c>
      <c r="L111" s="2377">
        <v>685.61</v>
      </c>
      <c r="M111" s="2375"/>
    </row>
    <row r="112" spans="1:13" ht="12.75">
      <c r="A112" s="2382" t="s">
        <v>5866</v>
      </c>
      <c r="B112" s="2377">
        <v>2495.89</v>
      </c>
      <c r="C112" s="2377">
        <v>5160.96</v>
      </c>
      <c r="D112" s="2377">
        <v>2850.28</v>
      </c>
      <c r="E112" s="2377">
        <v>3253.98</v>
      </c>
      <c r="F112" s="2377">
        <v>1727.89</v>
      </c>
      <c r="G112" s="2377">
        <v>4141.96</v>
      </c>
      <c r="H112" s="2377">
        <v>5312.99</v>
      </c>
      <c r="I112" s="2378">
        <v>5474.88</v>
      </c>
      <c r="J112" s="2377">
        <v>5253.11</v>
      </c>
      <c r="K112" s="2377">
        <v>5047.24</v>
      </c>
      <c r="L112" s="2377">
        <v>4831.6000000000004</v>
      </c>
      <c r="M112" s="2375"/>
    </row>
    <row r="113" spans="1:27" ht="12.75">
      <c r="A113" s="2381" t="s">
        <v>5867</v>
      </c>
      <c r="B113" s="2377">
        <v>114</v>
      </c>
      <c r="C113" s="2377">
        <v>127.32</v>
      </c>
      <c r="D113" s="2377">
        <v>106.56</v>
      </c>
      <c r="E113" s="2377">
        <v>0</v>
      </c>
      <c r="F113" s="2377">
        <v>0</v>
      </c>
      <c r="G113" s="2377">
        <v>72</v>
      </c>
      <c r="H113" s="2377">
        <v>0</v>
      </c>
      <c r="I113" s="2378">
        <v>119.45</v>
      </c>
      <c r="J113" s="2377">
        <v>112.5</v>
      </c>
      <c r="K113" s="2377">
        <v>125</v>
      </c>
      <c r="L113" s="2377">
        <v>51.5</v>
      </c>
      <c r="M113" s="2375"/>
    </row>
    <row r="114" spans="1:27" ht="12.75">
      <c r="A114" s="2382" t="s">
        <v>5868</v>
      </c>
      <c r="B114" s="2377">
        <v>1286.08</v>
      </c>
      <c r="C114" s="2377">
        <v>1826.74</v>
      </c>
      <c r="D114" s="2377">
        <v>1483.85</v>
      </c>
      <c r="E114" s="2377">
        <v>1332</v>
      </c>
      <c r="F114" s="2377">
        <v>1391.83</v>
      </c>
      <c r="G114" s="2377">
        <v>1255.49</v>
      </c>
      <c r="H114" s="2377">
        <v>1408.36</v>
      </c>
      <c r="I114" s="2378">
        <v>1090.69</v>
      </c>
      <c r="J114" s="2377">
        <v>430.69</v>
      </c>
      <c r="K114" s="2377">
        <v>406.89</v>
      </c>
      <c r="L114" s="2377">
        <v>3949</v>
      </c>
      <c r="M114" s="2375"/>
    </row>
    <row r="115" spans="1:27" ht="12.75">
      <c r="A115" s="2382" t="s">
        <v>5869</v>
      </c>
      <c r="B115" s="2377">
        <v>690.28</v>
      </c>
      <c r="C115" s="2377">
        <v>61</v>
      </c>
      <c r="D115" s="2377">
        <v>140.80000000000001</v>
      </c>
      <c r="E115" s="2377">
        <v>3487.79</v>
      </c>
      <c r="F115" s="2377">
        <v>3167.2</v>
      </c>
      <c r="G115" s="2377">
        <v>1624.47</v>
      </c>
      <c r="H115" s="2377">
        <v>1605.2</v>
      </c>
      <c r="I115" s="2378">
        <v>1364.54</v>
      </c>
      <c r="J115" s="2377">
        <v>1690</v>
      </c>
      <c r="K115" s="2377">
        <v>1535.6</v>
      </c>
      <c r="L115" s="2377">
        <v>1552.4</v>
      </c>
      <c r="M115" s="2375"/>
    </row>
    <row r="116" spans="1:27" ht="14.25" customHeight="1">
      <c r="A116" s="2368" t="s">
        <v>8</v>
      </c>
      <c r="B116" s="2379">
        <f>SUM(B86:B109)</f>
        <v>13331.429999999998</v>
      </c>
      <c r="C116" s="2379">
        <v>22109.67</v>
      </c>
      <c r="D116" s="2379">
        <f>SUM(D86:D109)</f>
        <v>16350.099999999999</v>
      </c>
      <c r="E116" s="2379">
        <f>SUM(E86:E109)</f>
        <v>17954.3</v>
      </c>
      <c r="F116" s="2379">
        <f>SUM(F82:F109)</f>
        <v>37680.67</v>
      </c>
      <c r="G116" s="2379">
        <f>SUM(G86:G109)</f>
        <v>16532.37</v>
      </c>
      <c r="H116" s="2379">
        <v>25777.026000000002</v>
      </c>
      <c r="I116" s="2379">
        <f>SUM(I86:I112)</f>
        <v>24040.410000000003</v>
      </c>
      <c r="J116" s="2379">
        <f>SUM(J89:J115)</f>
        <v>23380.569999999996</v>
      </c>
      <c r="K116" s="2379">
        <v>25416.639999999999</v>
      </c>
      <c r="L116" s="2379">
        <f>SUM(L88:L115)</f>
        <v>26554.350000000006</v>
      </c>
      <c r="M116" s="2373"/>
    </row>
    <row r="117" spans="1:27" ht="14.25" customHeight="1">
      <c r="B117" s="1396"/>
      <c r="C117" s="1396"/>
      <c r="D117" s="1396"/>
      <c r="E117" s="1396"/>
      <c r="F117" s="1396"/>
      <c r="G117" s="1396"/>
      <c r="H117" s="1396"/>
      <c r="I117" s="1396"/>
      <c r="J117" s="1396"/>
    </row>
    <row r="118" spans="1:27" ht="14.25" customHeight="1">
      <c r="B118" s="1396"/>
      <c r="C118" s="1396"/>
      <c r="D118" s="1396"/>
      <c r="E118" s="1396"/>
      <c r="F118" s="1396"/>
      <c r="G118" s="1396"/>
      <c r="H118" s="1396"/>
      <c r="I118" s="1396"/>
      <c r="J118" s="1396"/>
    </row>
    <row r="119" spans="1:27" ht="14.25" customHeight="1">
      <c r="A119" s="1401" t="s">
        <v>7110</v>
      </c>
      <c r="B119" s="1396"/>
      <c r="C119" s="1396"/>
      <c r="D119" s="1396"/>
      <c r="E119" s="1396"/>
      <c r="F119" s="1396"/>
      <c r="G119" s="1396"/>
      <c r="H119" s="1396"/>
      <c r="I119" s="1396"/>
      <c r="J119" s="1396"/>
    </row>
    <row r="120" spans="1:27" s="2334" customFormat="1" ht="14.25" customHeight="1">
      <c r="A120" s="2332"/>
      <c r="B120" s="2333"/>
      <c r="C120" s="2333"/>
      <c r="D120" s="2333"/>
      <c r="E120" s="2333"/>
      <c r="F120" s="2333"/>
      <c r="G120" s="2333"/>
      <c r="H120" s="2333"/>
      <c r="I120" s="2333"/>
      <c r="J120" s="1396"/>
      <c r="K120" s="1396"/>
      <c r="L120" s="1396"/>
      <c r="M120" s="1396"/>
      <c r="N120" s="1396"/>
      <c r="O120" s="1396"/>
      <c r="P120" s="1396"/>
      <c r="Q120" s="1396"/>
      <c r="R120" s="1396"/>
      <c r="S120" s="1396"/>
      <c r="T120" s="1396"/>
      <c r="U120" s="1396"/>
      <c r="V120" s="1396"/>
      <c r="W120" s="1396"/>
      <c r="X120" s="1396"/>
      <c r="Y120" s="1396"/>
      <c r="Z120" s="1396"/>
      <c r="AA120" s="1396"/>
    </row>
    <row r="121" spans="1:27" ht="12.75">
      <c r="A121" s="2388" t="s">
        <v>5780</v>
      </c>
      <c r="B121" s="2370">
        <v>2008</v>
      </c>
      <c r="C121" s="2370">
        <v>2009</v>
      </c>
      <c r="D121" s="2370">
        <v>2010</v>
      </c>
      <c r="E121" s="2370">
        <v>2011</v>
      </c>
      <c r="F121" s="2370">
        <v>2012</v>
      </c>
      <c r="G121" s="2370">
        <v>2013</v>
      </c>
      <c r="H121" s="2370">
        <v>2014</v>
      </c>
      <c r="I121" s="2370">
        <v>2015</v>
      </c>
      <c r="J121" s="2370">
        <v>2016</v>
      </c>
      <c r="K121" s="2370">
        <v>2017</v>
      </c>
      <c r="L121" s="2370">
        <v>2018</v>
      </c>
      <c r="M121" s="2371">
        <v>2019</v>
      </c>
    </row>
    <row r="122" spans="1:27" ht="12.75">
      <c r="A122" s="2386" t="s">
        <v>5870</v>
      </c>
      <c r="B122" s="2329">
        <v>613.75900000000001</v>
      </c>
      <c r="C122" s="1355">
        <v>1107.93</v>
      </c>
      <c r="D122" s="1355">
        <v>1104.1300000000001</v>
      </c>
      <c r="E122" s="1355">
        <v>761.29</v>
      </c>
      <c r="F122" s="1355">
        <v>869.63</v>
      </c>
      <c r="G122" s="1355">
        <v>1477.81</v>
      </c>
      <c r="H122" s="1355">
        <v>1480.05</v>
      </c>
      <c r="I122" s="2329">
        <v>1803.45</v>
      </c>
      <c r="J122" s="2330">
        <v>888.07</v>
      </c>
      <c r="K122" s="2330">
        <v>1302.6500000000001</v>
      </c>
      <c r="L122" s="1355">
        <v>1177.93</v>
      </c>
      <c r="M122" s="2375"/>
    </row>
    <row r="123" spans="1:27" ht="12.75">
      <c r="A123" s="2387" t="s">
        <v>5871</v>
      </c>
      <c r="B123" s="2329"/>
      <c r="C123" s="1355"/>
      <c r="D123" s="1355"/>
      <c r="E123" s="1355">
        <v>255</v>
      </c>
      <c r="F123" s="1355">
        <v>255</v>
      </c>
      <c r="G123" s="1355">
        <v>661</v>
      </c>
      <c r="H123" s="1355">
        <v>190</v>
      </c>
      <c r="I123" s="2329">
        <v>50</v>
      </c>
      <c r="J123" s="2330">
        <v>70</v>
      </c>
      <c r="K123" s="2330">
        <v>105</v>
      </c>
      <c r="L123" s="1355">
        <v>185</v>
      </c>
      <c r="M123" s="2375"/>
    </row>
    <row r="124" spans="1:27" ht="10.15" customHeight="1">
      <c r="A124" s="2387" t="s">
        <v>5857</v>
      </c>
      <c r="B124" s="2329">
        <v>1503.71</v>
      </c>
      <c r="C124" s="1355">
        <v>2999.48</v>
      </c>
      <c r="D124" s="1355">
        <v>1384.36</v>
      </c>
      <c r="E124" s="1355">
        <v>2319.33</v>
      </c>
      <c r="F124" s="1355">
        <v>2658.57</v>
      </c>
      <c r="G124" s="1355">
        <v>2433.0300000000002</v>
      </c>
      <c r="H124" s="1355">
        <v>2261.9</v>
      </c>
      <c r="I124" s="2329">
        <v>1137.26</v>
      </c>
      <c r="J124" s="2330">
        <v>1662.83</v>
      </c>
      <c r="K124" s="2330">
        <v>1266.72</v>
      </c>
      <c r="L124" s="2330">
        <v>1481.1</v>
      </c>
      <c r="M124" s="2375"/>
    </row>
    <row r="125" spans="1:27" ht="12.75">
      <c r="A125" s="2387" t="s">
        <v>5872</v>
      </c>
      <c r="B125" s="2329">
        <v>2884.67</v>
      </c>
      <c r="C125" s="1355">
        <v>1337.03</v>
      </c>
      <c r="D125" s="1355">
        <v>2985.02</v>
      </c>
      <c r="E125" s="1355">
        <v>2954.91</v>
      </c>
      <c r="F125" s="1355">
        <v>2385.25</v>
      </c>
      <c r="G125" s="1355">
        <v>1847.25</v>
      </c>
      <c r="H125" s="1355">
        <v>1268.6199999999999</v>
      </c>
      <c r="I125" s="2329">
        <v>2103.9499999999998</v>
      </c>
      <c r="J125" s="2330">
        <v>761.21</v>
      </c>
      <c r="K125" s="2330">
        <v>434.3</v>
      </c>
      <c r="L125" s="1355">
        <v>465.49</v>
      </c>
      <c r="M125" s="2375"/>
    </row>
    <row r="126" spans="1:27" ht="12.75">
      <c r="A126" s="2387" t="s">
        <v>3370</v>
      </c>
      <c r="B126" s="2329">
        <v>0</v>
      </c>
      <c r="C126" s="1355">
        <v>60.77</v>
      </c>
      <c r="D126" s="1355">
        <v>1685.31</v>
      </c>
      <c r="E126" s="1355">
        <v>1694.5</v>
      </c>
      <c r="F126" s="1355">
        <v>397.55</v>
      </c>
      <c r="G126" s="1355">
        <v>328.4</v>
      </c>
      <c r="H126" s="1355">
        <v>211.44</v>
      </c>
      <c r="I126" s="2329">
        <v>1762.76</v>
      </c>
      <c r="J126" s="2330">
        <v>0</v>
      </c>
      <c r="K126" s="2330">
        <v>0</v>
      </c>
      <c r="L126" s="1355">
        <v>0</v>
      </c>
      <c r="M126" s="2375"/>
    </row>
    <row r="127" spans="1:27" ht="12.75">
      <c r="A127" s="2387" t="s">
        <v>3262</v>
      </c>
      <c r="B127" s="2329">
        <v>429.63099999999997</v>
      </c>
      <c r="C127" s="1355">
        <v>1166.24</v>
      </c>
      <c r="D127" s="1355">
        <v>60.19</v>
      </c>
      <c r="E127" s="1355">
        <v>245.58</v>
      </c>
      <c r="F127" s="1355">
        <v>796.63</v>
      </c>
      <c r="G127" s="1355">
        <v>451.55</v>
      </c>
      <c r="H127" s="1355">
        <v>1585.76</v>
      </c>
      <c r="I127" s="2329">
        <v>1617.17</v>
      </c>
      <c r="J127" s="2330">
        <v>1184.0899999999999</v>
      </c>
      <c r="K127" s="2330">
        <v>940.99</v>
      </c>
      <c r="L127" s="1355">
        <v>1100.24</v>
      </c>
      <c r="M127" s="2375"/>
    </row>
    <row r="128" spans="1:27" ht="12.75">
      <c r="A128" s="2387" t="s">
        <v>5873</v>
      </c>
      <c r="B128" s="2329">
        <v>1473.02</v>
      </c>
      <c r="C128" s="1355">
        <v>1020.12</v>
      </c>
      <c r="D128" s="1355">
        <v>1011.94</v>
      </c>
      <c r="E128" s="1355">
        <v>417.48</v>
      </c>
      <c r="F128" s="1355">
        <v>422.39</v>
      </c>
      <c r="G128" s="1355">
        <v>348.93</v>
      </c>
      <c r="H128" s="1355">
        <v>898.6</v>
      </c>
      <c r="I128" s="2329">
        <v>0</v>
      </c>
      <c r="J128" s="2330">
        <v>803.49</v>
      </c>
      <c r="K128" s="2330">
        <v>687.65</v>
      </c>
      <c r="L128" s="1355">
        <v>0</v>
      </c>
      <c r="M128" s="2375"/>
    </row>
    <row r="129" spans="1:13" ht="12.75">
      <c r="A129" s="2387" t="s">
        <v>5874</v>
      </c>
      <c r="B129" s="2329">
        <v>1749.21</v>
      </c>
      <c r="C129" s="1355">
        <v>1698.02</v>
      </c>
      <c r="D129" s="1355">
        <v>1158.6500000000001</v>
      </c>
      <c r="E129" s="1355">
        <v>902.84</v>
      </c>
      <c r="F129" s="1355">
        <v>1615.01</v>
      </c>
      <c r="G129" s="1355">
        <v>1852.03</v>
      </c>
      <c r="H129" s="1355">
        <v>1658.62</v>
      </c>
      <c r="I129" s="2329">
        <v>1080.4100000000001</v>
      </c>
      <c r="J129" s="2330">
        <v>1508.67</v>
      </c>
      <c r="K129" s="2330">
        <v>1549.53</v>
      </c>
      <c r="L129" s="1355">
        <v>1650.37</v>
      </c>
      <c r="M129" s="2375"/>
    </row>
    <row r="130" spans="1:13" ht="12.75">
      <c r="A130" s="2387" t="s">
        <v>5875</v>
      </c>
      <c r="B130" s="2329"/>
      <c r="C130" s="1355"/>
      <c r="D130" s="1355"/>
      <c r="E130" s="1355"/>
      <c r="F130" s="1355"/>
      <c r="G130" s="1355"/>
      <c r="H130" s="1355"/>
      <c r="I130" s="2329"/>
      <c r="J130" s="2330">
        <v>676.63</v>
      </c>
      <c r="K130" s="2330">
        <v>1268.1500000000001</v>
      </c>
      <c r="L130" s="1355">
        <v>1494.88</v>
      </c>
      <c r="M130" s="2375"/>
    </row>
    <row r="131" spans="1:13" ht="12.75">
      <c r="A131" s="2368" t="s">
        <v>8</v>
      </c>
      <c r="B131" s="2372">
        <v>8654</v>
      </c>
      <c r="C131" s="2372">
        <f>SUM(C122:C129)</f>
        <v>9389.59</v>
      </c>
      <c r="D131" s="2372">
        <f>SUM(D122:D128)</f>
        <v>8230.9499999999989</v>
      </c>
      <c r="E131" s="2372">
        <f>SUM(E122:E129)</f>
        <v>9550.93</v>
      </c>
      <c r="F131" s="2372">
        <f>SUM(F122:F129)</f>
        <v>9400.0300000000007</v>
      </c>
      <c r="G131" s="2372">
        <f>SUM(G122:G129)</f>
        <v>9400</v>
      </c>
      <c r="H131" s="2372">
        <v>9555</v>
      </c>
      <c r="I131" s="2372">
        <f>SUM(I122:I129)</f>
        <v>9555</v>
      </c>
      <c r="J131" s="2372">
        <f>SUM(J122:J130)</f>
        <v>7554.99</v>
      </c>
      <c r="K131" s="2372">
        <v>7554.99</v>
      </c>
      <c r="L131" s="2372">
        <f>SUM(L122:L130)</f>
        <v>7555.0099999999993</v>
      </c>
      <c r="M131" s="2373"/>
    </row>
    <row r="132" spans="1:13" ht="12.75"/>
    <row r="133" spans="1:13" ht="12.75"/>
    <row r="134" spans="1:13" s="2312" customFormat="1" ht="15">
      <c r="A134" s="1401" t="s">
        <v>7111</v>
      </c>
      <c r="B134" s="2335"/>
      <c r="C134" s="2335"/>
      <c r="D134" s="2335"/>
      <c r="E134" s="2335"/>
      <c r="F134" s="2335"/>
      <c r="G134" s="2335"/>
      <c r="H134" s="2335"/>
      <c r="I134" s="2335"/>
      <c r="J134" s="2335"/>
    </row>
    <row r="135" spans="1:13" ht="12.75"/>
    <row r="136" spans="1:13" ht="12.75"/>
    <row r="137" spans="1:13" ht="14.25" customHeight="1">
      <c r="A137" s="2389"/>
      <c r="B137" s="2390">
        <v>2014</v>
      </c>
      <c r="C137" s="2390">
        <v>2014</v>
      </c>
      <c r="D137" s="2390">
        <v>2015</v>
      </c>
      <c r="E137" s="2390">
        <v>2015</v>
      </c>
      <c r="F137" s="2390">
        <v>2016</v>
      </c>
      <c r="G137" s="2390">
        <v>2016</v>
      </c>
      <c r="H137" s="2390">
        <v>2017</v>
      </c>
      <c r="I137" s="2390">
        <v>2017</v>
      </c>
      <c r="J137" s="2390">
        <v>2018</v>
      </c>
      <c r="K137" s="2390">
        <v>2018</v>
      </c>
      <c r="L137" s="2390">
        <v>2019</v>
      </c>
      <c r="M137" s="2391">
        <v>2019</v>
      </c>
    </row>
    <row r="138" spans="1:13" ht="14.25" customHeight="1">
      <c r="A138" s="2392"/>
      <c r="B138" s="2393" t="s">
        <v>5876</v>
      </c>
      <c r="C138" s="2393" t="s">
        <v>5877</v>
      </c>
      <c r="D138" s="2393" t="s">
        <v>5876</v>
      </c>
      <c r="E138" s="2393" t="s">
        <v>5877</v>
      </c>
      <c r="F138" s="2393" t="s">
        <v>5876</v>
      </c>
      <c r="G138" s="2393" t="s">
        <v>5877</v>
      </c>
      <c r="H138" s="2393" t="s">
        <v>5876</v>
      </c>
      <c r="I138" s="2393" t="s">
        <v>5877</v>
      </c>
      <c r="J138" s="2393" t="s">
        <v>5876</v>
      </c>
      <c r="K138" s="2393" t="s">
        <v>5877</v>
      </c>
      <c r="L138" s="2393" t="s">
        <v>5876</v>
      </c>
      <c r="M138" s="2394" t="s">
        <v>5877</v>
      </c>
    </row>
    <row r="139" spans="1:13" ht="12.75">
      <c r="A139" s="1785" t="s">
        <v>5878</v>
      </c>
      <c r="B139" s="2336">
        <v>91.52</v>
      </c>
      <c r="C139" s="2336">
        <v>75</v>
      </c>
      <c r="D139" s="2329">
        <v>71.900000000000006</v>
      </c>
      <c r="E139" s="2329">
        <v>139.82</v>
      </c>
      <c r="F139" s="1355">
        <v>81.73</v>
      </c>
      <c r="G139" s="1355">
        <v>53.93</v>
      </c>
      <c r="H139" s="1355">
        <v>80.19</v>
      </c>
      <c r="I139" s="1355">
        <v>79.180000000000007</v>
      </c>
      <c r="J139" s="1355">
        <v>89.47</v>
      </c>
      <c r="K139" s="1355">
        <v>57.21</v>
      </c>
      <c r="L139" s="2317"/>
      <c r="M139" s="2331"/>
    </row>
    <row r="140" spans="1:13" ht="12.75">
      <c r="A140" s="1785" t="s">
        <v>5846</v>
      </c>
      <c r="B140" s="2336">
        <v>61.01</v>
      </c>
      <c r="C140" s="2336">
        <v>21.31</v>
      </c>
      <c r="D140" s="2329">
        <v>71.900000000000006</v>
      </c>
      <c r="E140" s="2329">
        <v>12.92</v>
      </c>
      <c r="F140" s="1355">
        <v>81.73</v>
      </c>
      <c r="G140" s="1355">
        <v>9.4499999999999993</v>
      </c>
      <c r="H140" s="1355">
        <v>80.19</v>
      </c>
      <c r="I140" s="1355">
        <v>5.34</v>
      </c>
      <c r="J140" s="1355">
        <v>0</v>
      </c>
      <c r="K140" s="1355">
        <v>0</v>
      </c>
      <c r="L140" s="2317"/>
      <c r="M140" s="2331"/>
    </row>
    <row r="141" spans="1:13" ht="12.75">
      <c r="A141" s="1785" t="s">
        <v>5847</v>
      </c>
      <c r="B141" s="2336">
        <v>61.01</v>
      </c>
      <c r="C141" s="2336">
        <v>55.88</v>
      </c>
      <c r="D141" s="2329">
        <v>71.900000000000006</v>
      </c>
      <c r="E141" s="2329">
        <v>17.489999999999998</v>
      </c>
      <c r="F141" s="1355">
        <v>65.38</v>
      </c>
      <c r="G141" s="1355">
        <v>54.91</v>
      </c>
      <c r="H141" s="1355">
        <v>64.150000000000006</v>
      </c>
      <c r="I141" s="1355">
        <v>48.12</v>
      </c>
      <c r="J141" s="1355">
        <v>71.58</v>
      </c>
      <c r="K141" s="1355">
        <v>40.18</v>
      </c>
      <c r="L141" s="2317"/>
      <c r="M141" s="2331"/>
    </row>
    <row r="142" spans="1:13" ht="12.75">
      <c r="A142" s="2328" t="s">
        <v>5849</v>
      </c>
      <c r="B142" s="2336">
        <v>61.01</v>
      </c>
      <c r="C142" s="2336">
        <v>193.17</v>
      </c>
      <c r="D142" s="2329">
        <v>71.900000000000006</v>
      </c>
      <c r="E142" s="2329">
        <v>560.46</v>
      </c>
      <c r="F142" s="1355">
        <v>65.38</v>
      </c>
      <c r="G142" s="1355">
        <v>476.02</v>
      </c>
      <c r="H142" s="1355">
        <v>64.150000000000006</v>
      </c>
      <c r="I142" s="1355">
        <v>441.82</v>
      </c>
      <c r="J142" s="1355">
        <v>89.47</v>
      </c>
      <c r="K142" s="1355">
        <v>386.99</v>
      </c>
      <c r="L142" s="2317"/>
      <c r="M142" s="2331"/>
    </row>
    <row r="143" spans="1:13" ht="12.75">
      <c r="A143" s="2328" t="s">
        <v>5854</v>
      </c>
      <c r="B143" s="2336">
        <v>61.01</v>
      </c>
      <c r="C143" s="2336">
        <v>48.79</v>
      </c>
      <c r="D143" s="2329">
        <v>57.52</v>
      </c>
      <c r="E143" s="2329">
        <v>41.29</v>
      </c>
      <c r="F143" s="1355">
        <v>65.38</v>
      </c>
      <c r="G143" s="1355">
        <v>42.97</v>
      </c>
      <c r="H143" s="1355">
        <v>0</v>
      </c>
      <c r="I143" s="1355">
        <v>0</v>
      </c>
      <c r="J143" s="1355">
        <v>0</v>
      </c>
      <c r="K143" s="1355">
        <v>0</v>
      </c>
      <c r="L143" s="2317"/>
      <c r="M143" s="2331"/>
    </row>
    <row r="144" spans="1:13" ht="12.75">
      <c r="A144" s="2328" t="s">
        <v>5855</v>
      </c>
      <c r="B144" s="2336">
        <v>61.01</v>
      </c>
      <c r="C144" s="2336">
        <v>224.33</v>
      </c>
      <c r="D144" s="2329">
        <v>57.52</v>
      </c>
      <c r="E144" s="2329">
        <v>387.99</v>
      </c>
      <c r="F144" s="1355">
        <v>0</v>
      </c>
      <c r="G144" s="1355">
        <v>0</v>
      </c>
      <c r="H144" s="1355">
        <v>80.19</v>
      </c>
      <c r="I144" s="1355">
        <v>510.58</v>
      </c>
      <c r="J144" s="1355">
        <v>71.58</v>
      </c>
      <c r="K144" s="1355">
        <v>0</v>
      </c>
      <c r="L144" s="2317"/>
      <c r="M144" s="2331"/>
    </row>
    <row r="145" spans="1:13" ht="12.75">
      <c r="A145" s="2328" t="s">
        <v>5879</v>
      </c>
      <c r="B145" s="2336"/>
      <c r="C145" s="2336"/>
      <c r="D145" s="2329"/>
      <c r="E145" s="2329"/>
      <c r="F145" s="1355">
        <v>98.08</v>
      </c>
      <c r="G145" s="1355">
        <v>202.54</v>
      </c>
      <c r="H145" s="1355">
        <v>80.19</v>
      </c>
      <c r="I145" s="1355">
        <v>514.16</v>
      </c>
      <c r="J145" s="1355">
        <v>107.37</v>
      </c>
      <c r="K145" s="1355">
        <v>766.63</v>
      </c>
      <c r="L145" s="2317"/>
      <c r="M145" s="2331"/>
    </row>
    <row r="146" spans="1:13" ht="12.75">
      <c r="A146" s="2328" t="s">
        <v>5857</v>
      </c>
      <c r="B146" s="2336">
        <v>91.52</v>
      </c>
      <c r="C146" s="2336">
        <v>2251.67</v>
      </c>
      <c r="D146" s="2329">
        <v>86.29</v>
      </c>
      <c r="E146" s="2329">
        <v>2632.67</v>
      </c>
      <c r="F146" s="1355">
        <v>81.73</v>
      </c>
      <c r="G146" s="1355">
        <v>3039.83</v>
      </c>
      <c r="H146" s="1355">
        <v>80.19</v>
      </c>
      <c r="I146" s="1355">
        <v>2518.87</v>
      </c>
      <c r="J146" s="1355">
        <v>107.37</v>
      </c>
      <c r="K146" s="1355">
        <v>2246.5300000000002</v>
      </c>
      <c r="L146" s="2317"/>
      <c r="M146" s="2331"/>
    </row>
    <row r="147" spans="1:13" ht="12.75">
      <c r="A147" s="2328" t="s">
        <v>5880</v>
      </c>
      <c r="B147" s="2336">
        <v>91.52</v>
      </c>
      <c r="C147" s="2336">
        <v>2402.12</v>
      </c>
      <c r="D147" s="2329">
        <v>71.900000000000006</v>
      </c>
      <c r="E147" s="2329">
        <v>2268.89</v>
      </c>
      <c r="F147" s="1355">
        <v>98.08</v>
      </c>
      <c r="G147" s="1355">
        <v>2290.33</v>
      </c>
      <c r="H147" s="1355">
        <v>80.19</v>
      </c>
      <c r="I147" s="1355">
        <v>1672.28</v>
      </c>
      <c r="J147" s="1355">
        <v>89.47</v>
      </c>
      <c r="K147" s="1355">
        <v>1065.95</v>
      </c>
      <c r="L147" s="2317"/>
      <c r="M147" s="2331"/>
    </row>
    <row r="148" spans="1:13" ht="12.75">
      <c r="A148" s="2328" t="s">
        <v>5881</v>
      </c>
      <c r="B148" s="2336">
        <v>91.52</v>
      </c>
      <c r="C148" s="2336">
        <v>1531.7</v>
      </c>
      <c r="D148" s="2329">
        <v>86.29</v>
      </c>
      <c r="E148" s="2329">
        <v>1060.07</v>
      </c>
      <c r="F148" s="1355">
        <v>98.08</v>
      </c>
      <c r="G148" s="1355">
        <v>1488.7</v>
      </c>
      <c r="H148" s="1355">
        <v>96.23</v>
      </c>
      <c r="I148" s="1355">
        <v>887.11</v>
      </c>
      <c r="J148" s="1355">
        <v>107.37</v>
      </c>
      <c r="K148" s="1355">
        <v>759.14</v>
      </c>
      <c r="L148" s="2317"/>
      <c r="M148" s="2331"/>
    </row>
    <row r="149" spans="1:13" ht="12.75">
      <c r="A149" s="2328" t="s">
        <v>3262</v>
      </c>
      <c r="B149" s="2336">
        <v>91.52</v>
      </c>
      <c r="C149" s="2336">
        <v>2359.27</v>
      </c>
      <c r="D149" s="2329">
        <v>71.900000000000006</v>
      </c>
      <c r="E149" s="2329">
        <v>1931.39</v>
      </c>
      <c r="F149" s="1355">
        <v>98.08</v>
      </c>
      <c r="G149" s="1355">
        <v>1871.69</v>
      </c>
      <c r="H149" s="1355">
        <v>80.19</v>
      </c>
      <c r="I149" s="1355">
        <v>1406.19</v>
      </c>
      <c r="J149" s="1355">
        <v>89.47</v>
      </c>
      <c r="K149" s="1355">
        <v>1251.25</v>
      </c>
      <c r="L149" s="2317"/>
      <c r="M149" s="2331"/>
    </row>
    <row r="150" spans="1:13" ht="12.75">
      <c r="A150" s="2328" t="s">
        <v>5861</v>
      </c>
      <c r="B150" s="2336">
        <v>76.260000000000005</v>
      </c>
      <c r="C150" s="2336">
        <v>10.45</v>
      </c>
      <c r="D150" s="2329">
        <v>71.900000000000006</v>
      </c>
      <c r="E150" s="2329">
        <v>9.8800000000000008</v>
      </c>
      <c r="F150" s="1355">
        <v>81.73</v>
      </c>
      <c r="G150" s="1355">
        <v>11.72</v>
      </c>
      <c r="H150" s="1355">
        <v>80.19</v>
      </c>
      <c r="I150" s="1355">
        <v>9.35</v>
      </c>
      <c r="J150" s="1355">
        <v>89.47</v>
      </c>
      <c r="K150" s="1355">
        <v>10.27</v>
      </c>
      <c r="L150" s="2317"/>
      <c r="M150" s="2331"/>
    </row>
    <row r="151" spans="1:13" ht="12.75">
      <c r="A151" s="2328" t="s">
        <v>5862</v>
      </c>
      <c r="B151" s="2336">
        <v>61.01</v>
      </c>
      <c r="C151" s="2336">
        <v>63.59</v>
      </c>
      <c r="D151" s="2329">
        <v>57.52</v>
      </c>
      <c r="E151" s="2329">
        <v>16.72</v>
      </c>
      <c r="F151" s="1355">
        <v>65.38</v>
      </c>
      <c r="G151" s="1355">
        <v>52.06</v>
      </c>
      <c r="H151" s="1355">
        <v>64.150000000000006</v>
      </c>
      <c r="I151" s="1355">
        <v>43.2</v>
      </c>
      <c r="J151" s="1355">
        <v>71.58</v>
      </c>
      <c r="K151" s="1355">
        <v>8.2200000000000006</v>
      </c>
      <c r="L151" s="2317"/>
      <c r="M151" s="2331"/>
    </row>
    <row r="152" spans="1:13" ht="12.75">
      <c r="A152" s="2328" t="s">
        <v>5852</v>
      </c>
      <c r="B152" s="2336"/>
      <c r="C152" s="2336"/>
      <c r="D152" s="2329">
        <v>57.52</v>
      </c>
      <c r="E152" s="2329">
        <v>32.31</v>
      </c>
      <c r="F152" s="1355">
        <v>81.73</v>
      </c>
      <c r="G152" s="1355">
        <v>37.06</v>
      </c>
      <c r="H152" s="1355">
        <v>80.19</v>
      </c>
      <c r="I152" s="1355">
        <v>28.4</v>
      </c>
      <c r="J152" s="1355">
        <v>89.47</v>
      </c>
      <c r="K152" s="1355">
        <v>27.59</v>
      </c>
      <c r="L152" s="2317"/>
      <c r="M152" s="2331"/>
    </row>
    <row r="153" spans="1:13" ht="12.75">
      <c r="A153" s="2328" t="s">
        <v>5863</v>
      </c>
      <c r="B153" s="2336">
        <v>61.01</v>
      </c>
      <c r="C153" s="2336">
        <v>49.19</v>
      </c>
      <c r="D153" s="2329">
        <v>71.900000000000006</v>
      </c>
      <c r="E153" s="2329">
        <v>0</v>
      </c>
      <c r="F153" s="1355">
        <v>81.73</v>
      </c>
      <c r="G153" s="1355">
        <v>18.149999999999999</v>
      </c>
      <c r="H153" s="1355">
        <v>80.19</v>
      </c>
      <c r="I153" s="1355">
        <v>10.36</v>
      </c>
      <c r="J153" s="1355">
        <v>71.58</v>
      </c>
      <c r="K153" s="1355">
        <v>11.74</v>
      </c>
      <c r="L153" s="2317"/>
      <c r="M153" s="2331"/>
    </row>
    <row r="154" spans="1:13" ht="12.75">
      <c r="A154" s="2328" t="s">
        <v>5882</v>
      </c>
      <c r="B154" s="2336">
        <v>76.260000000000005</v>
      </c>
      <c r="C154" s="2336">
        <v>15.28</v>
      </c>
      <c r="D154" s="2329">
        <v>57.52</v>
      </c>
      <c r="E154" s="2329">
        <v>22.81</v>
      </c>
      <c r="F154" s="1355">
        <v>65.38</v>
      </c>
      <c r="G154" s="1355">
        <v>26.47</v>
      </c>
      <c r="H154" s="1355">
        <v>64.150000000000006</v>
      </c>
      <c r="I154" s="1355">
        <v>87.75</v>
      </c>
      <c r="J154" s="1355">
        <v>89.47</v>
      </c>
      <c r="K154" s="1355">
        <v>25.25</v>
      </c>
      <c r="L154" s="2317"/>
      <c r="M154" s="2331"/>
    </row>
    <row r="155" spans="1:13" ht="12.75">
      <c r="A155" s="2328" t="s">
        <v>5883</v>
      </c>
      <c r="B155" s="2336">
        <v>76.260000000000005</v>
      </c>
      <c r="C155" s="2336">
        <v>82.55</v>
      </c>
      <c r="D155" s="2329">
        <v>57.52</v>
      </c>
      <c r="E155" s="2329">
        <v>72.790000000000006</v>
      </c>
      <c r="F155" s="1355">
        <v>81.73</v>
      </c>
      <c r="G155" s="1355">
        <v>83.22</v>
      </c>
      <c r="H155" s="1355">
        <v>80.19</v>
      </c>
      <c r="I155" s="1355">
        <v>38.42</v>
      </c>
      <c r="J155" s="1355">
        <v>89.47</v>
      </c>
      <c r="K155" s="1355">
        <v>34.93</v>
      </c>
      <c r="L155" s="2317"/>
      <c r="M155" s="2331"/>
    </row>
    <row r="156" spans="1:13" ht="12.75">
      <c r="A156" s="2328" t="s">
        <v>5884</v>
      </c>
      <c r="B156" s="2336">
        <v>91.52</v>
      </c>
      <c r="C156" s="2336">
        <v>2159.7199999999998</v>
      </c>
      <c r="D156" s="2329">
        <v>86.29</v>
      </c>
      <c r="E156" s="2329">
        <v>2676.65</v>
      </c>
      <c r="F156" s="1355">
        <v>98.08</v>
      </c>
      <c r="G156" s="1355">
        <v>3912.24</v>
      </c>
      <c r="H156" s="1355">
        <v>96.23</v>
      </c>
      <c r="I156" s="1355">
        <v>5471.3</v>
      </c>
      <c r="J156" s="1355">
        <v>107.37</v>
      </c>
      <c r="K156" s="1355">
        <v>7106.97</v>
      </c>
      <c r="L156" s="2317"/>
      <c r="M156" s="2331"/>
    </row>
    <row r="157" spans="1:13" ht="12.75">
      <c r="A157" s="2328" t="s">
        <v>5867</v>
      </c>
      <c r="B157" s="2336"/>
      <c r="C157" s="2336"/>
      <c r="D157" s="2329">
        <v>57.52</v>
      </c>
      <c r="E157" s="2329">
        <v>34.97</v>
      </c>
      <c r="F157" s="1355">
        <v>65.38</v>
      </c>
      <c r="G157" s="1355">
        <v>32.15</v>
      </c>
      <c r="H157" s="1355">
        <v>64.150000000000006</v>
      </c>
      <c r="I157" s="1355">
        <v>29.4</v>
      </c>
      <c r="J157" s="1355">
        <v>71.58</v>
      </c>
      <c r="K157" s="1355">
        <v>26.13</v>
      </c>
      <c r="L157" s="2317"/>
      <c r="M157" s="2331"/>
    </row>
    <row r="158" spans="1:13" ht="12.75">
      <c r="A158" s="2337" t="s">
        <v>5885</v>
      </c>
      <c r="B158" s="2338">
        <v>61.01</v>
      </c>
      <c r="C158" s="2338">
        <v>48.65</v>
      </c>
      <c r="D158" s="2329">
        <v>57.25</v>
      </c>
      <c r="E158" s="2329">
        <v>44.09</v>
      </c>
      <c r="F158" s="1355">
        <v>0</v>
      </c>
      <c r="G158" s="1355">
        <v>0</v>
      </c>
      <c r="H158" s="1355">
        <v>0</v>
      </c>
      <c r="I158" s="1355">
        <v>0</v>
      </c>
      <c r="J158" s="1355">
        <v>0</v>
      </c>
      <c r="K158" s="1355">
        <v>0</v>
      </c>
      <c r="L158" s="2317"/>
      <c r="M158" s="2331"/>
    </row>
    <row r="159" spans="1:13" ht="12.75">
      <c r="A159" s="2337" t="s">
        <v>5886</v>
      </c>
      <c r="B159" s="2338"/>
      <c r="C159" s="2338"/>
      <c r="D159" s="2329">
        <v>57.52</v>
      </c>
      <c r="E159" s="2329">
        <v>5.7</v>
      </c>
      <c r="F159" s="1355">
        <v>0</v>
      </c>
      <c r="G159" s="1355">
        <v>0</v>
      </c>
      <c r="H159" s="1355">
        <v>0</v>
      </c>
      <c r="I159" s="1355">
        <v>0</v>
      </c>
      <c r="J159" s="1355">
        <v>0</v>
      </c>
      <c r="K159" s="1355">
        <v>0</v>
      </c>
      <c r="L159" s="2317"/>
      <c r="M159" s="2331"/>
    </row>
    <row r="160" spans="1:13" ht="12.75">
      <c r="A160" s="1785" t="s">
        <v>5887</v>
      </c>
      <c r="B160" s="2336">
        <v>76.260000000000005</v>
      </c>
      <c r="C160" s="2336">
        <v>42.72</v>
      </c>
      <c r="D160" s="2329"/>
      <c r="E160" s="2329"/>
      <c r="F160" s="1355">
        <v>0</v>
      </c>
      <c r="G160" s="1355">
        <v>0</v>
      </c>
      <c r="H160" s="1355">
        <v>64.150000000000006</v>
      </c>
      <c r="I160" s="1355">
        <v>52.37</v>
      </c>
      <c r="J160" s="1355">
        <v>0</v>
      </c>
      <c r="K160" s="1355">
        <v>0</v>
      </c>
      <c r="L160" s="2317"/>
      <c r="M160" s="2331"/>
    </row>
    <row r="161" spans="1:13" ht="12.75">
      <c r="A161" s="1785" t="s">
        <v>5868</v>
      </c>
      <c r="B161" s="2336">
        <v>76.260000000000005</v>
      </c>
      <c r="C161" s="2336">
        <v>559.44000000000005</v>
      </c>
      <c r="D161" s="2329">
        <v>71.900000000000006</v>
      </c>
      <c r="E161" s="2329">
        <v>338.99</v>
      </c>
      <c r="F161" s="1355">
        <v>81.73</v>
      </c>
      <c r="G161" s="1355">
        <v>403.17</v>
      </c>
      <c r="H161" s="1355">
        <v>80.19</v>
      </c>
      <c r="I161" s="1355">
        <v>259.11</v>
      </c>
      <c r="J161" s="1355">
        <v>89.47</v>
      </c>
      <c r="K161" s="1355">
        <v>304.60000000000002</v>
      </c>
      <c r="L161" s="2317"/>
      <c r="M161" s="2331"/>
    </row>
    <row r="162" spans="1:13" ht="12.75">
      <c r="A162" s="1785" t="s">
        <v>5888</v>
      </c>
      <c r="B162" s="2336">
        <v>91.52</v>
      </c>
      <c r="C162" s="2336">
        <v>1395.16</v>
      </c>
      <c r="D162" s="2329">
        <v>86.29</v>
      </c>
      <c r="E162" s="2329">
        <v>1282.0999999999999</v>
      </c>
      <c r="F162" s="1355">
        <v>98.08</v>
      </c>
      <c r="G162" s="1355">
        <v>1166.6099999999999</v>
      </c>
      <c r="H162" s="1355">
        <v>96.23</v>
      </c>
      <c r="I162" s="1355">
        <v>1157.8499999999999</v>
      </c>
      <c r="J162" s="1355">
        <v>107.37</v>
      </c>
      <c r="K162" s="1355">
        <v>1170.4100000000001</v>
      </c>
      <c r="L162" s="2317"/>
      <c r="M162" s="2331"/>
    </row>
    <row r="163" spans="1:13" s="2340" customFormat="1" ht="14.25" customHeight="1">
      <c r="A163" s="1785" t="s">
        <v>5889</v>
      </c>
      <c r="B163" s="2336"/>
      <c r="C163" s="2336"/>
      <c r="D163" s="2329"/>
      <c r="E163" s="2329"/>
      <c r="F163" s="1355">
        <v>65.38</v>
      </c>
      <c r="G163" s="1355">
        <v>26.78</v>
      </c>
      <c r="H163" s="1355">
        <v>64.150000000000006</v>
      </c>
      <c r="I163" s="1355">
        <v>28.86</v>
      </c>
      <c r="J163" s="2329">
        <v>0</v>
      </c>
      <c r="K163" s="2329">
        <v>0</v>
      </c>
      <c r="L163" s="2319"/>
      <c r="M163" s="2339"/>
    </row>
    <row r="164" spans="1:13" s="2340" customFormat="1" ht="14.25" customHeight="1">
      <c r="A164" s="2355" t="s">
        <v>8</v>
      </c>
      <c r="B164" s="2372">
        <f>SUM(B139:B162)</f>
        <v>1510.02</v>
      </c>
      <c r="C164" s="2372">
        <f>SUM(C139:C162)</f>
        <v>13589.99</v>
      </c>
      <c r="D164" s="2372">
        <f>SUM(D139:D162)</f>
        <v>1509.6699999999998</v>
      </c>
      <c r="E164" s="2372">
        <f>SUM(E139:E162)</f>
        <v>13589.999999999998</v>
      </c>
      <c r="F164" s="2372">
        <f>SUM(F139:F163)</f>
        <v>1699.98</v>
      </c>
      <c r="G164" s="2372">
        <f>SUM(G139:G163)</f>
        <v>15299.999999999996</v>
      </c>
      <c r="H164" s="2372">
        <v>1700</v>
      </c>
      <c r="I164" s="2372">
        <v>15300</v>
      </c>
      <c r="J164" s="2372">
        <f>SUM(J139:J163)</f>
        <v>1699.98</v>
      </c>
      <c r="K164" s="2372">
        <f>SUM(K139:K163)</f>
        <v>15299.990000000002</v>
      </c>
      <c r="L164" s="2372"/>
      <c r="M164" s="2373"/>
    </row>
    <row r="165" spans="1:13" s="2340" customFormat="1" ht="14.25" customHeight="1">
      <c r="A165" s="1417"/>
      <c r="B165" s="2333"/>
      <c r="C165" s="2333"/>
      <c r="D165" s="2341"/>
      <c r="E165" s="2341"/>
      <c r="F165" s="2341"/>
      <c r="G165" s="2341"/>
      <c r="H165" s="2341"/>
      <c r="I165" s="2341"/>
      <c r="J165" s="2341"/>
    </row>
    <row r="166" spans="1:13" s="2340" customFormat="1" ht="14.25" customHeight="1">
      <c r="B166" s="2333"/>
      <c r="C166" s="2333"/>
      <c r="D166" s="2341"/>
      <c r="E166" s="2341"/>
      <c r="F166" s="2341"/>
      <c r="G166" s="2341"/>
      <c r="H166" s="2341"/>
      <c r="I166" s="2341"/>
      <c r="J166" s="2341"/>
    </row>
    <row r="167" spans="1:13" s="2340" customFormat="1" ht="14.25" customHeight="1">
      <c r="A167" s="2395" t="s">
        <v>7112</v>
      </c>
      <c r="B167" s="2333"/>
      <c r="C167" s="2333"/>
      <c r="D167" s="2341"/>
      <c r="E167" s="2341"/>
      <c r="F167" s="2341"/>
      <c r="G167" s="2341"/>
      <c r="H167" s="2341"/>
      <c r="I167" s="2341"/>
      <c r="J167" s="2341"/>
    </row>
    <row r="168" spans="1:13" s="2340" customFormat="1" ht="14.25" customHeight="1">
      <c r="A168" s="1417"/>
      <c r="B168" s="2333"/>
      <c r="C168" s="2333"/>
      <c r="D168" s="2341"/>
      <c r="E168" s="2341"/>
      <c r="F168" s="2341"/>
      <c r="G168" s="2341"/>
      <c r="H168" s="2341"/>
      <c r="I168" s="2341"/>
      <c r="J168" s="2341"/>
    </row>
    <row r="169" spans="1:13" ht="14.25" customHeight="1">
      <c r="A169" s="2388" t="s">
        <v>5890</v>
      </c>
      <c r="B169" s="2370">
        <v>2008</v>
      </c>
      <c r="C169" s="2370">
        <v>2009</v>
      </c>
      <c r="D169" s="2370">
        <v>2010</v>
      </c>
      <c r="E169" s="2370">
        <v>2011</v>
      </c>
      <c r="F169" s="2370">
        <v>2012</v>
      </c>
      <c r="G169" s="2370">
        <v>2013</v>
      </c>
      <c r="H169" s="2371">
        <v>2014</v>
      </c>
    </row>
    <row r="170" spans="1:13" ht="14.25" customHeight="1">
      <c r="A170" s="2376" t="s">
        <v>5891</v>
      </c>
      <c r="B170" s="1355">
        <v>166.41</v>
      </c>
      <c r="C170" s="1355">
        <v>255.78</v>
      </c>
      <c r="D170" s="1355">
        <v>0</v>
      </c>
      <c r="E170" s="1355">
        <v>0</v>
      </c>
      <c r="F170" s="1355">
        <v>0</v>
      </c>
      <c r="G170" s="1355"/>
      <c r="H170" s="2396"/>
    </row>
    <row r="171" spans="1:13" ht="14.25" customHeight="1">
      <c r="A171" s="2376" t="s">
        <v>5853</v>
      </c>
      <c r="B171" s="1355">
        <v>47.17</v>
      </c>
      <c r="C171" s="1355">
        <v>62.88</v>
      </c>
      <c r="D171" s="1355">
        <v>84.23</v>
      </c>
      <c r="E171" s="1355">
        <v>91.22</v>
      </c>
      <c r="F171" s="1355">
        <v>119.48</v>
      </c>
      <c r="G171" s="1355">
        <v>140.80000000000001</v>
      </c>
      <c r="H171" s="2396" t="s">
        <v>5892</v>
      </c>
    </row>
    <row r="172" spans="1:13" ht="14.25" customHeight="1">
      <c r="A172" s="2376" t="s">
        <v>5847</v>
      </c>
      <c r="B172" s="1355">
        <v>141.51</v>
      </c>
      <c r="C172" s="1355">
        <v>153.08000000000001</v>
      </c>
      <c r="D172" s="1355">
        <v>193.98</v>
      </c>
      <c r="E172" s="1355">
        <v>131.13</v>
      </c>
      <c r="F172" s="1355">
        <v>97.76</v>
      </c>
      <c r="G172" s="1355">
        <v>76.260000000000005</v>
      </c>
      <c r="H172" s="2396"/>
      <c r="J172" s="1396"/>
    </row>
    <row r="173" spans="1:13" ht="14.25" customHeight="1">
      <c r="A173" s="2374" t="s">
        <v>5846</v>
      </c>
      <c r="B173" s="1355">
        <v>0</v>
      </c>
      <c r="C173" s="1355">
        <v>0</v>
      </c>
      <c r="D173" s="1355">
        <v>0</v>
      </c>
      <c r="E173" s="1355">
        <v>0</v>
      </c>
      <c r="F173" s="1355">
        <v>0</v>
      </c>
      <c r="G173" s="1355">
        <v>114.4</v>
      </c>
      <c r="H173" s="2396"/>
    </row>
    <row r="174" spans="1:13" ht="14.25" customHeight="1">
      <c r="A174" s="2374" t="s">
        <v>5862</v>
      </c>
      <c r="B174" s="1355">
        <v>76</v>
      </c>
      <c r="C174" s="1355">
        <v>87.2</v>
      </c>
      <c r="D174" s="1355">
        <v>278.20999999999998</v>
      </c>
      <c r="E174" s="1355">
        <v>105.47</v>
      </c>
      <c r="F174" s="1355">
        <v>349.39</v>
      </c>
      <c r="G174" s="1355">
        <v>310.19</v>
      </c>
      <c r="H174" s="2396"/>
    </row>
    <row r="175" spans="1:13" ht="14.25" customHeight="1">
      <c r="A175" s="2374" t="s">
        <v>5893</v>
      </c>
      <c r="B175" s="1355">
        <v>140.19999999999999</v>
      </c>
      <c r="C175" s="1355">
        <v>284.35000000000002</v>
      </c>
      <c r="D175" s="1355">
        <v>250.14</v>
      </c>
      <c r="E175" s="1355">
        <v>208.1</v>
      </c>
      <c r="F175" s="1355">
        <v>72.41</v>
      </c>
      <c r="G175" s="1355">
        <v>126.13</v>
      </c>
      <c r="H175" s="2396"/>
    </row>
    <row r="176" spans="1:13" ht="14.25" customHeight="1">
      <c r="A176" s="2374" t="s">
        <v>5894</v>
      </c>
      <c r="B176" s="1355">
        <v>330.2</v>
      </c>
      <c r="C176" s="1355">
        <v>0</v>
      </c>
      <c r="D176" s="1355">
        <v>0</v>
      </c>
      <c r="E176" s="1355">
        <v>0</v>
      </c>
      <c r="F176" s="1355">
        <v>477.92</v>
      </c>
      <c r="G176" s="1355">
        <v>522.12</v>
      </c>
      <c r="H176" s="2396"/>
    </row>
    <row r="177" spans="1:11" ht="14.25" customHeight="1">
      <c r="A177" s="2374" t="s">
        <v>5895</v>
      </c>
      <c r="B177" s="1355">
        <v>107.44</v>
      </c>
      <c r="C177" s="1355">
        <v>191.83</v>
      </c>
      <c r="D177" s="1355">
        <v>262.89999999999998</v>
      </c>
      <c r="E177" s="1355">
        <v>273.67</v>
      </c>
      <c r="F177" s="1355">
        <v>202.75</v>
      </c>
      <c r="G177" s="1355">
        <v>208.26</v>
      </c>
      <c r="H177" s="2396"/>
    </row>
    <row r="178" spans="1:11" ht="14.25" customHeight="1">
      <c r="A178" s="2374" t="s">
        <v>5850</v>
      </c>
      <c r="B178" s="1355">
        <v>129.72</v>
      </c>
      <c r="C178" s="1355">
        <v>302.27999999999997</v>
      </c>
      <c r="D178" s="1355">
        <v>250.14</v>
      </c>
      <c r="E178" s="1355">
        <v>279.36</v>
      </c>
      <c r="F178" s="1355">
        <v>278.79000000000002</v>
      </c>
      <c r="G178" s="1355">
        <v>305.06</v>
      </c>
      <c r="H178" s="2396"/>
    </row>
    <row r="179" spans="1:11" ht="14.25" customHeight="1">
      <c r="A179" s="2374" t="s">
        <v>5896</v>
      </c>
      <c r="B179" s="1355">
        <v>680.05</v>
      </c>
      <c r="C179" s="1355">
        <v>651.07000000000005</v>
      </c>
      <c r="D179" s="1355">
        <v>331.81</v>
      </c>
      <c r="E179" s="1355">
        <v>285.06</v>
      </c>
      <c r="F179" s="1355">
        <v>0</v>
      </c>
      <c r="G179" s="1355">
        <v>0</v>
      </c>
      <c r="H179" s="2396"/>
    </row>
    <row r="180" spans="1:11" ht="14.25" customHeight="1">
      <c r="A180" s="2374" t="s">
        <v>5878</v>
      </c>
      <c r="B180" s="1355">
        <v>213.58</v>
      </c>
      <c r="C180" s="1355">
        <v>366.23</v>
      </c>
      <c r="D180" s="1355">
        <v>423.7</v>
      </c>
      <c r="E180" s="1355">
        <v>344.92</v>
      </c>
      <c r="F180" s="1355">
        <v>409.13</v>
      </c>
      <c r="G180" s="1355">
        <v>642.39</v>
      </c>
      <c r="H180" s="2396"/>
      <c r="K180" s="1395"/>
    </row>
    <row r="181" spans="1:11" ht="14.25" customHeight="1">
      <c r="A181" s="2374" t="s">
        <v>5861</v>
      </c>
      <c r="B181" s="1355">
        <v>64.2</v>
      </c>
      <c r="C181" s="1355">
        <v>67.819999999999993</v>
      </c>
      <c r="D181" s="1355">
        <v>127.62</v>
      </c>
      <c r="E181" s="1355">
        <v>151.08000000000001</v>
      </c>
      <c r="F181" s="1355">
        <v>184.65</v>
      </c>
      <c r="G181" s="1355">
        <v>181.86</v>
      </c>
      <c r="H181" s="2396"/>
    </row>
    <row r="182" spans="1:11" ht="14.25" customHeight="1">
      <c r="A182" s="2374" t="s">
        <v>5897</v>
      </c>
      <c r="B182" s="1355">
        <v>0</v>
      </c>
      <c r="C182" s="1355">
        <v>199.58</v>
      </c>
      <c r="D182" s="1355">
        <v>114.86</v>
      </c>
      <c r="E182" s="1355">
        <v>629.99</v>
      </c>
      <c r="F182" s="1355">
        <v>307.75</v>
      </c>
      <c r="G182" s="1355">
        <v>372.53</v>
      </c>
      <c r="H182" s="2396"/>
    </row>
    <row r="183" spans="1:11" ht="14.25" customHeight="1">
      <c r="A183" s="2374" t="s">
        <v>2215</v>
      </c>
      <c r="B183" s="1355">
        <v>0</v>
      </c>
      <c r="C183" s="1355">
        <v>0</v>
      </c>
      <c r="D183" s="1355">
        <v>0</v>
      </c>
      <c r="E183" s="1355">
        <v>0</v>
      </c>
      <c r="F183" s="1355">
        <v>0</v>
      </c>
      <c r="G183" s="1355">
        <v>0</v>
      </c>
      <c r="H183" s="2396"/>
    </row>
    <row r="184" spans="1:11" ht="14.25" customHeight="1">
      <c r="A184" s="2374" t="s">
        <v>5898</v>
      </c>
      <c r="B184" s="1355">
        <v>0</v>
      </c>
      <c r="C184" s="1355">
        <v>269.33999999999997</v>
      </c>
      <c r="D184" s="1355">
        <v>482.41</v>
      </c>
      <c r="E184" s="1355">
        <v>0</v>
      </c>
      <c r="F184" s="1355">
        <v>0</v>
      </c>
      <c r="G184" s="1355">
        <v>0</v>
      </c>
      <c r="H184" s="2396"/>
    </row>
    <row r="185" spans="1:11" ht="14.25" customHeight="1">
      <c r="A185" s="2374" t="s">
        <v>5899</v>
      </c>
      <c r="B185" s="1355">
        <v>103.51</v>
      </c>
      <c r="C185" s="1355"/>
      <c r="D185" s="1355"/>
      <c r="E185" s="1355"/>
      <c r="F185" s="1355"/>
      <c r="G185" s="1355"/>
      <c r="H185" s="2396"/>
    </row>
    <row r="186" spans="1:11" ht="14.25" customHeight="1">
      <c r="A186" s="2403" t="s">
        <v>8</v>
      </c>
      <c r="B186" s="2404">
        <f>SUM(B170:B185)</f>
        <v>2199.9900000000002</v>
      </c>
      <c r="C186" s="2404">
        <f>SUM(C170:C184)</f>
        <v>2891.4400000000005</v>
      </c>
      <c r="D186" s="2404">
        <f>SUM(D170:D184)</f>
        <v>2799.9999999999995</v>
      </c>
      <c r="E186" s="2404">
        <f>SUM(E170:E184)</f>
        <v>2500</v>
      </c>
      <c r="F186" s="2404">
        <f>SUM(F170:F184)</f>
        <v>2500.0300000000002</v>
      </c>
      <c r="G186" s="2405">
        <f>SUM(G171:G185)</f>
        <v>3000</v>
      </c>
      <c r="H186" s="2406"/>
    </row>
    <row r="187" spans="1:11" ht="14.25" customHeight="1">
      <c r="A187" s="2388" t="s">
        <v>5900</v>
      </c>
      <c r="B187" s="2407"/>
      <c r="C187" s="2407"/>
      <c r="D187" s="2407"/>
      <c r="E187" s="2407"/>
      <c r="F187" s="2407"/>
      <c r="G187" s="2370"/>
      <c r="H187" s="2371"/>
    </row>
    <row r="188" spans="1:11" ht="14.25" customHeight="1">
      <c r="A188" s="2397" t="s">
        <v>5871</v>
      </c>
      <c r="B188" s="1355">
        <v>500</v>
      </c>
      <c r="C188" s="1355">
        <v>500</v>
      </c>
      <c r="D188" s="1355">
        <v>500</v>
      </c>
      <c r="E188" s="1355">
        <v>800</v>
      </c>
      <c r="F188" s="1355">
        <v>799.99</v>
      </c>
      <c r="G188" s="1355">
        <v>800</v>
      </c>
      <c r="H188" s="2396"/>
    </row>
    <row r="189" spans="1:11" ht="14.25" customHeight="1">
      <c r="A189" s="2408" t="s">
        <v>8</v>
      </c>
      <c r="B189" s="2404">
        <v>500</v>
      </c>
      <c r="C189" s="2404">
        <v>500</v>
      </c>
      <c r="D189" s="2404">
        <f>SUM(D188)</f>
        <v>500</v>
      </c>
      <c r="E189" s="2404">
        <f>SUM(E188)</f>
        <v>800</v>
      </c>
      <c r="F189" s="2404">
        <f>SUM(F188)</f>
        <v>799.99</v>
      </c>
      <c r="G189" s="2405">
        <f>SUM(G188)</f>
        <v>800</v>
      </c>
      <c r="H189" s="2406"/>
    </row>
    <row r="190" spans="1:11" ht="14.25" customHeight="1">
      <c r="A190" s="2388" t="s">
        <v>5901</v>
      </c>
      <c r="B190" s="2407"/>
      <c r="C190" s="2407"/>
      <c r="D190" s="2407"/>
      <c r="E190" s="2407"/>
      <c r="F190" s="2407"/>
      <c r="G190" s="2370"/>
      <c r="H190" s="2371"/>
    </row>
    <row r="191" spans="1:11" ht="14.25" customHeight="1">
      <c r="A191" s="2376" t="s">
        <v>5860</v>
      </c>
      <c r="B191" s="1355">
        <v>337.83</v>
      </c>
      <c r="C191" s="1355">
        <v>359.91</v>
      </c>
      <c r="D191" s="1355">
        <v>292.95</v>
      </c>
      <c r="E191" s="1355">
        <v>266.3</v>
      </c>
      <c r="F191" s="1355">
        <v>305.23</v>
      </c>
      <c r="G191" s="1355">
        <v>333.31</v>
      </c>
      <c r="H191" s="2396"/>
    </row>
    <row r="192" spans="1:11" ht="14.25" customHeight="1">
      <c r="A192" s="2376" t="s">
        <v>5880</v>
      </c>
      <c r="B192" s="1355">
        <v>519.46</v>
      </c>
      <c r="C192" s="1355">
        <v>686.01</v>
      </c>
      <c r="D192" s="1355">
        <v>710.82</v>
      </c>
      <c r="E192" s="1355">
        <v>316.49</v>
      </c>
      <c r="F192" s="1355">
        <v>432.39</v>
      </c>
      <c r="G192" s="1355">
        <v>426.99</v>
      </c>
      <c r="H192" s="2396"/>
    </row>
    <row r="193" spans="1:10" ht="14.25" customHeight="1">
      <c r="A193" s="2376" t="s">
        <v>5866</v>
      </c>
      <c r="B193" s="1355">
        <v>513.21</v>
      </c>
      <c r="C193" s="1355">
        <v>315.63</v>
      </c>
      <c r="D193" s="1355">
        <v>309.67</v>
      </c>
      <c r="E193" s="1355">
        <v>269.62</v>
      </c>
      <c r="F193" s="1355">
        <v>167.22</v>
      </c>
      <c r="G193" s="1355">
        <v>232.54</v>
      </c>
      <c r="H193" s="2396"/>
    </row>
    <row r="194" spans="1:10" ht="14.25" customHeight="1">
      <c r="A194" s="2376" t="s">
        <v>5869</v>
      </c>
      <c r="B194" s="1355">
        <v>244.11</v>
      </c>
      <c r="C194" s="1355">
        <v>358.3</v>
      </c>
      <c r="D194" s="1355">
        <v>748</v>
      </c>
      <c r="E194" s="1355">
        <v>840.16</v>
      </c>
      <c r="F194" s="1355">
        <v>739.14</v>
      </c>
      <c r="G194" s="1355">
        <v>678.58</v>
      </c>
      <c r="H194" s="2396"/>
    </row>
    <row r="195" spans="1:10" ht="14.25" customHeight="1">
      <c r="A195" s="2376" t="s">
        <v>5868</v>
      </c>
      <c r="B195" s="1355">
        <v>552.92999999999995</v>
      </c>
      <c r="C195" s="1355">
        <v>508.87</v>
      </c>
      <c r="D195" s="1355">
        <v>162.11000000000001</v>
      </c>
      <c r="E195" s="1355">
        <v>279.05</v>
      </c>
      <c r="F195" s="1355">
        <v>354.41</v>
      </c>
      <c r="G195" s="1355">
        <v>429.43</v>
      </c>
      <c r="H195" s="2396"/>
    </row>
    <row r="196" spans="1:10" ht="14.25" customHeight="1">
      <c r="A196" s="2374" t="s">
        <v>5859</v>
      </c>
      <c r="B196" s="1355">
        <v>332.47</v>
      </c>
      <c r="C196" s="1355">
        <v>571.27</v>
      </c>
      <c r="D196" s="1355">
        <v>576.45000000000005</v>
      </c>
      <c r="E196" s="1355">
        <v>828.36</v>
      </c>
      <c r="F196" s="1355">
        <v>801.6</v>
      </c>
      <c r="G196" s="1355">
        <v>899.16</v>
      </c>
      <c r="H196" s="2396"/>
    </row>
    <row r="197" spans="1:10" s="2317" customFormat="1" ht="14.25" customHeight="1">
      <c r="A197" s="2408" t="s">
        <v>8</v>
      </c>
      <c r="B197" s="2404">
        <f t="shared" ref="B197:G197" si="1">SUM(B191:B196)</f>
        <v>2500.0100000000002</v>
      </c>
      <c r="C197" s="2404">
        <f t="shared" si="1"/>
        <v>2799.9900000000002</v>
      </c>
      <c r="D197" s="2404">
        <f t="shared" si="1"/>
        <v>2800</v>
      </c>
      <c r="E197" s="2404">
        <f t="shared" si="1"/>
        <v>2799.98</v>
      </c>
      <c r="F197" s="2404">
        <f t="shared" si="1"/>
        <v>2799.9900000000002</v>
      </c>
      <c r="G197" s="2409">
        <f t="shared" si="1"/>
        <v>3000.0099999999998</v>
      </c>
      <c r="H197" s="2406"/>
      <c r="I197" s="1395"/>
      <c r="J197" s="1355"/>
    </row>
    <row r="198" spans="1:10" ht="14.25" customHeight="1">
      <c r="A198" s="2388" t="s">
        <v>5902</v>
      </c>
      <c r="B198" s="2407"/>
      <c r="C198" s="2407"/>
      <c r="D198" s="2407"/>
      <c r="E198" s="2407"/>
      <c r="F198" s="2407"/>
      <c r="G198" s="2370"/>
      <c r="H198" s="2371"/>
    </row>
    <row r="199" spans="1:10" ht="14.25" customHeight="1">
      <c r="A199" s="2376" t="s">
        <v>5860</v>
      </c>
      <c r="B199" s="1355">
        <v>681.18</v>
      </c>
      <c r="C199" s="1355">
        <v>919.69</v>
      </c>
      <c r="D199" s="1355">
        <v>824.84</v>
      </c>
      <c r="E199" s="1355">
        <v>1106.96</v>
      </c>
      <c r="F199" s="1355">
        <v>1235.5</v>
      </c>
      <c r="G199" s="1355">
        <v>1490.6</v>
      </c>
      <c r="H199" s="2396"/>
    </row>
    <row r="200" spans="1:10" ht="14.25" customHeight="1">
      <c r="A200" s="2376" t="s">
        <v>5880</v>
      </c>
      <c r="B200" s="1355">
        <v>1636.66</v>
      </c>
      <c r="C200" s="1355">
        <v>2234.8000000000002</v>
      </c>
      <c r="D200" s="1355">
        <v>1734.81</v>
      </c>
      <c r="E200" s="1355">
        <v>1168.53</v>
      </c>
      <c r="F200" s="1355">
        <v>1598.25</v>
      </c>
      <c r="G200" s="1355">
        <v>1638.08</v>
      </c>
      <c r="H200" s="2396"/>
    </row>
    <row r="201" spans="1:10" ht="14.25" customHeight="1">
      <c r="A201" s="2376" t="s">
        <v>5903</v>
      </c>
      <c r="B201" s="1355">
        <v>971.08</v>
      </c>
      <c r="C201" s="1355">
        <v>1003.07</v>
      </c>
      <c r="D201" s="1355">
        <v>605.84</v>
      </c>
      <c r="E201" s="1355">
        <v>952.06</v>
      </c>
      <c r="F201" s="1355">
        <v>934.7</v>
      </c>
      <c r="G201" s="1355">
        <v>786.11</v>
      </c>
      <c r="H201" s="2396"/>
    </row>
    <row r="202" spans="1:10" ht="14.25" customHeight="1">
      <c r="A202" s="2376" t="s">
        <v>5869</v>
      </c>
      <c r="B202" s="1355">
        <v>628.53</v>
      </c>
      <c r="C202" s="1355">
        <v>944.14</v>
      </c>
      <c r="D202" s="1355">
        <v>1457.24</v>
      </c>
      <c r="E202" s="1355">
        <v>1388.64</v>
      </c>
      <c r="F202" s="1355">
        <v>929.08</v>
      </c>
      <c r="G202" s="1355">
        <v>769.91</v>
      </c>
      <c r="H202" s="2396"/>
    </row>
    <row r="203" spans="1:10" ht="14.25" customHeight="1">
      <c r="A203" s="2376" t="s">
        <v>5868</v>
      </c>
      <c r="B203" s="1355">
        <v>685.08</v>
      </c>
      <c r="C203" s="1355">
        <v>532.88</v>
      </c>
      <c r="D203" s="1355">
        <v>319.17</v>
      </c>
      <c r="E203" s="1355">
        <v>98.18</v>
      </c>
      <c r="F203" s="1355">
        <v>425.3</v>
      </c>
      <c r="G203" s="1355">
        <v>453.87</v>
      </c>
      <c r="H203" s="2396"/>
    </row>
    <row r="204" spans="1:10" ht="14.25" customHeight="1">
      <c r="A204" s="2374" t="s">
        <v>5904</v>
      </c>
      <c r="B204" s="1355">
        <v>1397.47</v>
      </c>
      <c r="C204" s="1355">
        <v>1365.43</v>
      </c>
      <c r="D204" s="1355">
        <v>2058.1</v>
      </c>
      <c r="E204" s="1355">
        <v>2285.54</v>
      </c>
      <c r="F204" s="1355">
        <v>1877.12</v>
      </c>
      <c r="G204" s="1355">
        <v>2361.4299999999998</v>
      </c>
      <c r="H204" s="2396"/>
      <c r="J204" s="1396"/>
    </row>
    <row r="205" spans="1:10" ht="14.25" customHeight="1">
      <c r="A205" s="2408" t="s">
        <v>8</v>
      </c>
      <c r="B205" s="2404">
        <f t="shared" ref="B205:G205" si="2">SUM(B199:B204)</f>
        <v>6000</v>
      </c>
      <c r="C205" s="2404">
        <f t="shared" si="2"/>
        <v>7000.0100000000011</v>
      </c>
      <c r="D205" s="2404">
        <f t="shared" si="2"/>
        <v>7000</v>
      </c>
      <c r="E205" s="2404">
        <f t="shared" si="2"/>
        <v>6999.91</v>
      </c>
      <c r="F205" s="2404">
        <f t="shared" si="2"/>
        <v>6999.95</v>
      </c>
      <c r="G205" s="2405">
        <f t="shared" si="2"/>
        <v>7500</v>
      </c>
      <c r="H205" s="2406"/>
      <c r="J205" s="1396"/>
    </row>
    <row r="206" spans="1:10" ht="14.25" customHeight="1">
      <c r="A206" s="2388" t="s">
        <v>5905</v>
      </c>
      <c r="B206" s="2407"/>
      <c r="C206" s="2407"/>
      <c r="D206" s="2407"/>
      <c r="E206" s="2407"/>
      <c r="F206" s="2407"/>
      <c r="G206" s="2370"/>
      <c r="H206" s="2371"/>
    </row>
    <row r="207" spans="1:10" ht="14.25" customHeight="1">
      <c r="A207" s="2398" t="s">
        <v>5882</v>
      </c>
      <c r="B207" s="1355">
        <v>300</v>
      </c>
      <c r="C207" s="1355">
        <v>100</v>
      </c>
      <c r="D207" s="1355">
        <v>100</v>
      </c>
      <c r="E207" s="1355">
        <v>100</v>
      </c>
      <c r="F207" s="1355">
        <v>100</v>
      </c>
      <c r="G207" s="1355">
        <v>0</v>
      </c>
      <c r="H207" s="2396"/>
    </row>
    <row r="208" spans="1:10" ht="14.25" customHeight="1">
      <c r="A208" s="2408" t="s">
        <v>8</v>
      </c>
      <c r="B208" s="2404">
        <f t="shared" ref="B208:G208" si="3">SUM(B207)</f>
        <v>300</v>
      </c>
      <c r="C208" s="2404">
        <f t="shared" si="3"/>
        <v>100</v>
      </c>
      <c r="D208" s="2404">
        <f t="shared" si="3"/>
        <v>100</v>
      </c>
      <c r="E208" s="2404">
        <f t="shared" si="3"/>
        <v>100</v>
      </c>
      <c r="F208" s="2404">
        <f t="shared" si="3"/>
        <v>100</v>
      </c>
      <c r="G208" s="2409">
        <f t="shared" si="3"/>
        <v>0</v>
      </c>
      <c r="H208" s="2406"/>
    </row>
    <row r="209" spans="1:21" ht="14.25" customHeight="1">
      <c r="A209" s="2411" t="s">
        <v>5906</v>
      </c>
      <c r="B209" s="2412"/>
      <c r="C209" s="2412"/>
      <c r="D209" s="2412"/>
      <c r="E209" s="2412"/>
      <c r="F209" s="2412"/>
      <c r="G209" s="2410"/>
      <c r="H209" s="2413"/>
    </row>
    <row r="210" spans="1:21" ht="14.25" customHeight="1">
      <c r="A210" s="2399" t="s">
        <v>5907</v>
      </c>
      <c r="B210" s="1355">
        <v>0</v>
      </c>
      <c r="C210" s="1355">
        <v>200</v>
      </c>
      <c r="D210" s="1355">
        <v>200</v>
      </c>
      <c r="E210" s="1355">
        <v>200</v>
      </c>
      <c r="F210" s="1355">
        <v>0</v>
      </c>
      <c r="G210" s="1355">
        <v>200</v>
      </c>
      <c r="H210" s="2396"/>
      <c r="J210" s="1396"/>
    </row>
    <row r="211" spans="1:21" ht="14.25" customHeight="1">
      <c r="A211" s="2408" t="s">
        <v>8</v>
      </c>
      <c r="B211" s="2404">
        <f>SUM(B210)</f>
        <v>0</v>
      </c>
      <c r="C211" s="2404">
        <v>200</v>
      </c>
      <c r="D211" s="2404">
        <f>SUM(D210)</f>
        <v>200</v>
      </c>
      <c r="E211" s="2404">
        <f>SUM(E210)</f>
        <v>200</v>
      </c>
      <c r="F211" s="2404">
        <f>SUM(F210)</f>
        <v>0</v>
      </c>
      <c r="G211" s="2409">
        <f>SUM(G210)</f>
        <v>200</v>
      </c>
      <c r="H211" s="2406"/>
    </row>
    <row r="212" spans="1:21" ht="14.25" customHeight="1">
      <c r="A212" s="2355" t="s">
        <v>5908</v>
      </c>
      <c r="B212" s="2372">
        <f>B186+B189+B197+B205+B208+B211</f>
        <v>11500</v>
      </c>
      <c r="C212" s="2372">
        <f>C186+C189+C197+C205+C208+C211</f>
        <v>13491.440000000002</v>
      </c>
      <c r="D212" s="2372">
        <f>D186+D189+D197+D205+D208+D211</f>
        <v>13400</v>
      </c>
      <c r="E212" s="2372">
        <f>E186+E189+E197+E205+E208+E211</f>
        <v>13399.89</v>
      </c>
      <c r="F212" s="2372">
        <f>F186+F189+F197+F205+F208+F211</f>
        <v>13199.96</v>
      </c>
      <c r="G212" s="2401">
        <f>G186+G189+G197+G205+G211</f>
        <v>14500.01</v>
      </c>
      <c r="H212" s="2402"/>
    </row>
    <row r="215" spans="1:21" ht="14.25" customHeight="1">
      <c r="A215" s="1401" t="s">
        <v>7113</v>
      </c>
    </row>
    <row r="217" spans="1:21" ht="12.75">
      <c r="A217" s="2414"/>
      <c r="B217" s="4891">
        <v>2016</v>
      </c>
      <c r="C217" s="4891"/>
      <c r="D217" s="4892"/>
      <c r="E217" s="4891">
        <v>2017</v>
      </c>
      <c r="F217" s="4891"/>
      <c r="G217" s="4892"/>
      <c r="H217" s="4891">
        <v>2018</v>
      </c>
      <c r="I217" s="4891"/>
      <c r="J217" s="4892"/>
      <c r="K217" s="4891">
        <v>2019</v>
      </c>
      <c r="L217" s="4891"/>
      <c r="M217" s="4893"/>
    </row>
    <row r="218" spans="1:21" ht="14.25" customHeight="1">
      <c r="A218" s="2417" t="s">
        <v>5909</v>
      </c>
      <c r="B218" s="2418" t="s">
        <v>2700</v>
      </c>
      <c r="C218" s="2418" t="s">
        <v>2588</v>
      </c>
      <c r="D218" s="2419" t="s">
        <v>5910</v>
      </c>
      <c r="E218" s="2418" t="s">
        <v>2700</v>
      </c>
      <c r="F218" s="2418" t="s">
        <v>2588</v>
      </c>
      <c r="G218" s="2419" t="s">
        <v>5910</v>
      </c>
      <c r="H218" s="2418" t="s">
        <v>2700</v>
      </c>
      <c r="I218" s="2418" t="s">
        <v>2588</v>
      </c>
      <c r="J218" s="2419" t="s">
        <v>5910</v>
      </c>
      <c r="K218" s="2418" t="s">
        <v>2700</v>
      </c>
      <c r="L218" s="2418" t="s">
        <v>2588</v>
      </c>
      <c r="M218" s="2420" t="s">
        <v>5910</v>
      </c>
      <c r="N218" s="2317"/>
      <c r="O218" s="2317"/>
      <c r="P218" s="2317"/>
      <c r="Q218" s="2317"/>
      <c r="R218" s="2317"/>
      <c r="S218" s="2317"/>
      <c r="T218" s="2342"/>
      <c r="U218" s="2342"/>
    </row>
    <row r="219" spans="1:21" ht="14.25" customHeight="1">
      <c r="A219" s="2315" t="s">
        <v>5911</v>
      </c>
      <c r="B219" s="2343">
        <v>2578.8989999999999</v>
      </c>
      <c r="C219" s="2344">
        <v>1100.51</v>
      </c>
      <c r="D219" s="2345">
        <v>412.4255</v>
      </c>
      <c r="E219" s="2343">
        <v>2571.1280000000002</v>
      </c>
      <c r="F219" s="2344">
        <v>0</v>
      </c>
      <c r="G219" s="2345">
        <v>242.91640000000001</v>
      </c>
      <c r="H219" s="2343">
        <v>2507.96</v>
      </c>
      <c r="I219" s="2344">
        <v>0</v>
      </c>
      <c r="J219" s="2345">
        <v>181.5</v>
      </c>
      <c r="K219" s="2343">
        <v>2637.54</v>
      </c>
      <c r="L219" s="2344">
        <v>0</v>
      </c>
      <c r="M219" s="2345">
        <v>289.02</v>
      </c>
    </row>
    <row r="220" spans="1:21" ht="12.75">
      <c r="A220" s="2315" t="s">
        <v>5912</v>
      </c>
      <c r="B220" s="2343">
        <v>2487.2220000000002</v>
      </c>
      <c r="C220" s="2344">
        <v>0</v>
      </c>
      <c r="D220" s="2345">
        <v>0</v>
      </c>
      <c r="E220" s="2343">
        <v>2415.192</v>
      </c>
      <c r="F220" s="2344">
        <v>1817.9269999999999</v>
      </c>
      <c r="G220" s="2345">
        <v>368.62419999999997</v>
      </c>
      <c r="H220" s="2343">
        <v>2406.02</v>
      </c>
      <c r="I220" s="2344">
        <v>0</v>
      </c>
      <c r="J220" s="2345">
        <v>353.16</v>
      </c>
      <c r="K220" s="2343">
        <v>2438.4699999999998</v>
      </c>
      <c r="L220" s="2344">
        <v>162</v>
      </c>
      <c r="M220" s="2345">
        <v>621.26</v>
      </c>
    </row>
    <row r="221" spans="1:21" ht="12.75">
      <c r="A221" s="2315" t="s">
        <v>5913</v>
      </c>
      <c r="B221" s="2343">
        <v>2609.444</v>
      </c>
      <c r="C221" s="2344">
        <v>0</v>
      </c>
      <c r="D221" s="2345">
        <v>989.06849999999997</v>
      </c>
      <c r="E221" s="2343">
        <v>2487.962</v>
      </c>
      <c r="F221" s="2344">
        <v>0</v>
      </c>
      <c r="G221" s="2345">
        <v>749.94320000000005</v>
      </c>
      <c r="H221" s="2343">
        <v>2483.69</v>
      </c>
      <c r="I221" s="2344">
        <v>956.94</v>
      </c>
      <c r="J221" s="2345">
        <v>698.5</v>
      </c>
      <c r="K221" s="2343">
        <v>2425.25</v>
      </c>
      <c r="L221" s="2344">
        <v>468.23</v>
      </c>
      <c r="M221" s="2345">
        <v>770.5</v>
      </c>
    </row>
    <row r="222" spans="1:21" ht="12.75">
      <c r="A222" s="2315" t="s">
        <v>5914</v>
      </c>
      <c r="B222" s="2343">
        <v>1728.4259999999999</v>
      </c>
      <c r="C222" s="2344">
        <v>838.9</v>
      </c>
      <c r="D222" s="2345">
        <v>183.71299999999999</v>
      </c>
      <c r="E222" s="2343">
        <v>1812.239</v>
      </c>
      <c r="F222" s="2344">
        <v>0</v>
      </c>
      <c r="G222" s="2345">
        <v>315.06599999999997</v>
      </c>
      <c r="H222" s="2343">
        <v>1800.68</v>
      </c>
      <c r="I222" s="2344">
        <v>895.22</v>
      </c>
      <c r="J222" s="2345">
        <v>207.35</v>
      </c>
      <c r="K222" s="2343">
        <v>1734.74</v>
      </c>
      <c r="L222" s="2344">
        <v>0</v>
      </c>
      <c r="M222" s="2345">
        <v>0</v>
      </c>
    </row>
    <row r="223" spans="1:21" ht="12.75">
      <c r="A223" s="2315" t="s">
        <v>5915</v>
      </c>
      <c r="B223" s="2343">
        <v>1596.019</v>
      </c>
      <c r="C223" s="2344">
        <v>0</v>
      </c>
      <c r="D223" s="2345">
        <v>414.79300000000001</v>
      </c>
      <c r="E223" s="2343">
        <v>1713.479</v>
      </c>
      <c r="F223" s="2344">
        <v>182.07320000000001</v>
      </c>
      <c r="G223" s="2345">
        <v>323.4502</v>
      </c>
      <c r="H223" s="2343">
        <v>1801.65</v>
      </c>
      <c r="I223" s="2344">
        <v>0</v>
      </c>
      <c r="J223" s="2345">
        <v>553.41</v>
      </c>
      <c r="K223" s="2343">
        <v>1763.7</v>
      </c>
      <c r="L223" s="2344">
        <v>259.89</v>
      </c>
      <c r="M223" s="2345">
        <v>319.22000000000003</v>
      </c>
    </row>
    <row r="224" spans="1:21" ht="12.75">
      <c r="A224" s="2315" t="s">
        <v>5916</v>
      </c>
      <c r="B224" s="2343">
        <v>0</v>
      </c>
      <c r="C224" s="2344">
        <v>60.59</v>
      </c>
      <c r="D224" s="2345">
        <v>0</v>
      </c>
      <c r="E224" s="2343">
        <v>0</v>
      </c>
      <c r="F224" s="2344">
        <v>0</v>
      </c>
      <c r="G224" s="2345">
        <v>0</v>
      </c>
      <c r="H224" s="2343">
        <v>0</v>
      </c>
      <c r="I224" s="2344">
        <v>147.84</v>
      </c>
      <c r="J224" s="2345">
        <v>0</v>
      </c>
      <c r="K224" s="2343">
        <v>0</v>
      </c>
      <c r="L224" s="2344">
        <v>1109.79</v>
      </c>
      <c r="M224" s="2345">
        <v>0</v>
      </c>
    </row>
    <row r="225" spans="1:13" ht="12.75">
      <c r="A225" s="2355" t="s">
        <v>8</v>
      </c>
      <c r="B225" s="2401">
        <f t="shared" ref="B225:G225" si="4">SUM(B219:B224)</f>
        <v>11000.01</v>
      </c>
      <c r="C225" s="2372">
        <f t="shared" si="4"/>
        <v>1999.9999999999998</v>
      </c>
      <c r="D225" s="2421">
        <f t="shared" si="4"/>
        <v>2000</v>
      </c>
      <c r="E225" s="2401">
        <f t="shared" si="4"/>
        <v>10999.999999999998</v>
      </c>
      <c r="F225" s="2372">
        <f t="shared" si="4"/>
        <v>2000.0001999999999</v>
      </c>
      <c r="G225" s="2421">
        <f t="shared" si="4"/>
        <v>2000</v>
      </c>
      <c r="H225" s="2401">
        <v>11000</v>
      </c>
      <c r="I225" s="2372">
        <v>2000</v>
      </c>
      <c r="J225" s="2421">
        <v>2000</v>
      </c>
      <c r="K225" s="2401">
        <v>11000</v>
      </c>
      <c r="L225" s="2372">
        <v>2000</v>
      </c>
      <c r="M225" s="2373">
        <v>2000</v>
      </c>
    </row>
    <row r="228" spans="1:13" ht="14.25" customHeight="1">
      <c r="A228" s="1401" t="s">
        <v>7114</v>
      </c>
    </row>
    <row r="230" spans="1:13" ht="14.25" customHeight="1">
      <c r="A230" s="2388" t="s">
        <v>38</v>
      </c>
      <c r="B230" s="2423">
        <v>2016</v>
      </c>
      <c r="C230" s="2423">
        <v>2017</v>
      </c>
      <c r="D230" s="2423">
        <v>2018</v>
      </c>
      <c r="E230" s="2424">
        <v>2019</v>
      </c>
      <c r="I230" s="1396"/>
    </row>
    <row r="231" spans="1:13" ht="14.25" customHeight="1">
      <c r="A231" s="2425" t="s">
        <v>5917</v>
      </c>
      <c r="B231" s="2426">
        <v>2500</v>
      </c>
      <c r="C231" s="2426">
        <v>2500</v>
      </c>
      <c r="D231" s="2426">
        <v>2500</v>
      </c>
      <c r="E231" s="2400">
        <v>2500</v>
      </c>
      <c r="I231" s="1396"/>
    </row>
    <row r="232" spans="1:13" ht="14.25" customHeight="1">
      <c r="I232" s="1396"/>
    </row>
    <row r="233" spans="1:13" ht="14.25" customHeight="1">
      <c r="I233" s="1396"/>
    </row>
    <row r="234" spans="1:13" ht="14.25" customHeight="1">
      <c r="A234" s="1401" t="s">
        <v>7115</v>
      </c>
    </row>
    <row r="235" spans="1:13" ht="14.25" customHeight="1">
      <c r="E235" s="2346"/>
      <c r="F235" s="2347"/>
    </row>
    <row r="236" spans="1:13" ht="14.25" customHeight="1">
      <c r="A236" s="2388" t="s">
        <v>5926</v>
      </c>
      <c r="B236" s="2423">
        <v>2016</v>
      </c>
      <c r="C236" s="2423">
        <v>2017</v>
      </c>
      <c r="D236" s="2423">
        <v>2018</v>
      </c>
      <c r="E236" s="2424">
        <v>2019</v>
      </c>
      <c r="F236" s="2347"/>
    </row>
    <row r="237" spans="1:13" ht="14.25" customHeight="1">
      <c r="A237" s="2348" t="s">
        <v>5927</v>
      </c>
      <c r="B237" s="1355">
        <v>600.37</v>
      </c>
      <c r="C237" s="1355">
        <v>494.23</v>
      </c>
      <c r="D237" s="1355">
        <v>391.38</v>
      </c>
      <c r="E237" s="2349">
        <v>515.70000000000005</v>
      </c>
      <c r="F237" s="2347"/>
    </row>
    <row r="238" spans="1:13" ht="14.25" customHeight="1">
      <c r="A238" s="2348" t="s">
        <v>5928</v>
      </c>
      <c r="B238" s="1355">
        <v>826.77</v>
      </c>
      <c r="C238" s="1355">
        <v>1332.49</v>
      </c>
      <c r="D238" s="1355">
        <v>1084.21</v>
      </c>
      <c r="E238" s="2349">
        <v>853.62</v>
      </c>
      <c r="F238" s="2350"/>
    </row>
    <row r="239" spans="1:13" ht="14.25" customHeight="1">
      <c r="A239" s="2348" t="s">
        <v>5929</v>
      </c>
      <c r="B239" s="1355">
        <v>429.07</v>
      </c>
      <c r="C239" s="1355">
        <v>693.74</v>
      </c>
      <c r="D239" s="1355">
        <v>722.19</v>
      </c>
      <c r="E239" s="2349">
        <v>1124.5999999999999</v>
      </c>
    </row>
    <row r="240" spans="1:13" ht="14.25" customHeight="1">
      <c r="A240" s="2348" t="s">
        <v>5930</v>
      </c>
      <c r="B240" s="1355">
        <v>187.8</v>
      </c>
      <c r="C240" s="1355">
        <v>91.49</v>
      </c>
      <c r="D240" s="1355">
        <v>70.819999999999993</v>
      </c>
      <c r="E240" s="2349">
        <v>245.69</v>
      </c>
    </row>
    <row r="241" spans="1:38" ht="14.25" customHeight="1">
      <c r="A241" s="2348" t="s">
        <v>5931</v>
      </c>
      <c r="B241" s="1355">
        <v>644.34</v>
      </c>
      <c r="C241" s="1355">
        <v>847.47</v>
      </c>
      <c r="D241" s="1355">
        <v>843.82</v>
      </c>
      <c r="E241" s="2349">
        <v>1642.38</v>
      </c>
    </row>
    <row r="242" spans="1:38" ht="14.25" customHeight="1">
      <c r="A242" s="2348" t="s">
        <v>5932</v>
      </c>
      <c r="B242" s="1355">
        <v>1072.24</v>
      </c>
      <c r="C242" s="1355">
        <v>855.53</v>
      </c>
      <c r="D242" s="1355">
        <v>936.8</v>
      </c>
      <c r="E242" s="2349">
        <v>902.6</v>
      </c>
    </row>
    <row r="243" spans="1:38" ht="14.25" customHeight="1">
      <c r="A243" s="2348" t="s">
        <v>5933</v>
      </c>
      <c r="B243" s="1355">
        <v>570.52</v>
      </c>
      <c r="C243" s="1355">
        <v>340.6</v>
      </c>
      <c r="D243" s="1355">
        <v>421.62</v>
      </c>
      <c r="E243" s="2349">
        <v>554.64</v>
      </c>
    </row>
    <row r="244" spans="1:38" s="1395" customFormat="1" ht="14.25" customHeight="1">
      <c r="A244" s="2348" t="s">
        <v>5934</v>
      </c>
      <c r="B244" s="1355">
        <v>546.1</v>
      </c>
      <c r="C244" s="1355">
        <v>613.38</v>
      </c>
      <c r="D244" s="1355">
        <v>694.34</v>
      </c>
      <c r="E244" s="2349">
        <v>964.84</v>
      </c>
      <c r="K244" s="1396"/>
      <c r="L244" s="1396"/>
      <c r="M244" s="1396"/>
      <c r="N244" s="1396"/>
      <c r="O244" s="1396"/>
      <c r="P244" s="1396"/>
      <c r="Q244" s="1396"/>
      <c r="R244" s="1396"/>
      <c r="S244" s="1396"/>
      <c r="T244" s="1396"/>
      <c r="U244" s="1396"/>
      <c r="V244" s="1396"/>
      <c r="W244" s="1396"/>
      <c r="X244" s="1396"/>
      <c r="Y244" s="1396"/>
      <c r="Z244" s="1396"/>
      <c r="AA244" s="1396"/>
      <c r="AB244" s="1396"/>
      <c r="AC244" s="1396"/>
      <c r="AD244" s="1396"/>
      <c r="AE244" s="1396"/>
      <c r="AF244" s="1396"/>
      <c r="AG244" s="1396"/>
      <c r="AH244" s="1396"/>
      <c r="AI244" s="1396"/>
      <c r="AJ244" s="1396"/>
      <c r="AK244" s="1396"/>
      <c r="AL244" s="1396"/>
    </row>
    <row r="245" spans="1:38" s="1395" customFormat="1" ht="14.25" customHeight="1">
      <c r="A245" s="2348" t="s">
        <v>5935</v>
      </c>
      <c r="B245" s="1355">
        <v>0</v>
      </c>
      <c r="C245" s="1355">
        <v>90.05</v>
      </c>
      <c r="D245" s="1355">
        <v>53.09</v>
      </c>
      <c r="E245" s="2349">
        <v>0</v>
      </c>
      <c r="K245" s="1396"/>
      <c r="L245" s="1396"/>
      <c r="M245" s="1396"/>
      <c r="N245" s="1396"/>
      <c r="O245" s="1396"/>
      <c r="P245" s="1396"/>
      <c r="Q245" s="1396"/>
      <c r="R245" s="1396"/>
      <c r="S245" s="1396"/>
      <c r="T245" s="1396"/>
      <c r="U245" s="1396"/>
      <c r="V245" s="1396"/>
      <c r="W245" s="1396"/>
      <c r="X245" s="1396"/>
      <c r="Y245" s="1396"/>
      <c r="Z245" s="1396"/>
      <c r="AA245" s="1396"/>
      <c r="AB245" s="1396"/>
      <c r="AC245" s="1396"/>
      <c r="AD245" s="1396"/>
      <c r="AE245" s="1396"/>
      <c r="AF245" s="1396"/>
      <c r="AG245" s="1396"/>
      <c r="AH245" s="1396"/>
      <c r="AI245" s="1396"/>
      <c r="AJ245" s="1396"/>
      <c r="AK245" s="1396"/>
      <c r="AL245" s="1396"/>
    </row>
    <row r="246" spans="1:38" s="1395" customFormat="1" ht="14.25" customHeight="1">
      <c r="A246" s="2348" t="s">
        <v>5936</v>
      </c>
      <c r="B246" s="1355">
        <v>122.8</v>
      </c>
      <c r="C246" s="1355">
        <v>141.03</v>
      </c>
      <c r="D246" s="1355">
        <v>391.3</v>
      </c>
      <c r="E246" s="2349">
        <v>332.73</v>
      </c>
      <c r="K246" s="1396"/>
      <c r="L246" s="1396"/>
      <c r="M246" s="1396"/>
      <c r="N246" s="1396"/>
      <c r="O246" s="1396"/>
      <c r="P246" s="1396"/>
      <c r="Q246" s="1396"/>
      <c r="R246" s="1396"/>
      <c r="S246" s="1396"/>
      <c r="T246" s="1396"/>
      <c r="U246" s="1396"/>
      <c r="V246" s="1396"/>
      <c r="W246" s="1396"/>
      <c r="X246" s="1396"/>
      <c r="Y246" s="1396"/>
      <c r="Z246" s="1396"/>
      <c r="AA246" s="1396"/>
      <c r="AB246" s="1396"/>
      <c r="AC246" s="1396"/>
      <c r="AD246" s="1396"/>
      <c r="AE246" s="1396"/>
      <c r="AF246" s="1396"/>
      <c r="AG246" s="1396"/>
      <c r="AH246" s="1396"/>
      <c r="AI246" s="1396"/>
      <c r="AJ246" s="1396"/>
      <c r="AK246" s="1396"/>
      <c r="AL246" s="1396"/>
    </row>
    <row r="247" spans="1:38" s="1395" customFormat="1" ht="14.25" customHeight="1">
      <c r="A247" s="2348" t="s">
        <v>5937</v>
      </c>
      <c r="B247" s="1355"/>
      <c r="C247" s="1355"/>
      <c r="D247" s="1355">
        <v>235.21</v>
      </c>
      <c r="E247" s="2349">
        <v>156.32</v>
      </c>
      <c r="K247" s="1396"/>
      <c r="L247" s="1396"/>
      <c r="M247" s="1396"/>
      <c r="N247" s="1396"/>
      <c r="O247" s="1396"/>
      <c r="P247" s="1396"/>
      <c r="Q247" s="1396"/>
      <c r="R247" s="1396"/>
      <c r="S247" s="1396"/>
      <c r="T247" s="1396"/>
      <c r="U247" s="1396"/>
      <c r="V247" s="1396"/>
      <c r="W247" s="1396"/>
      <c r="X247" s="1396"/>
      <c r="Y247" s="1396"/>
      <c r="Z247" s="1396"/>
      <c r="AA247" s="1396"/>
      <c r="AB247" s="1396"/>
      <c r="AC247" s="1396"/>
      <c r="AD247" s="1396"/>
      <c r="AE247" s="1396"/>
      <c r="AF247" s="1396"/>
      <c r="AG247" s="1396"/>
      <c r="AH247" s="1396"/>
      <c r="AI247" s="1396"/>
      <c r="AJ247" s="1396"/>
      <c r="AK247" s="1396"/>
      <c r="AL247" s="1396"/>
    </row>
    <row r="248" spans="1:38" s="1395" customFormat="1" ht="14.25" customHeight="1">
      <c r="A248" s="2348" t="s">
        <v>5938</v>
      </c>
      <c r="B248" s="1355"/>
      <c r="C248" s="1355"/>
      <c r="D248" s="1355">
        <v>155.16999999999999</v>
      </c>
      <c r="E248" s="2349">
        <v>206.9</v>
      </c>
      <c r="K248" s="1396"/>
      <c r="L248" s="1396"/>
      <c r="M248" s="1396"/>
      <c r="N248" s="1396"/>
      <c r="O248" s="1396"/>
      <c r="P248" s="1396"/>
      <c r="Q248" s="1396"/>
      <c r="R248" s="1396"/>
      <c r="S248" s="1396"/>
      <c r="T248" s="1396"/>
      <c r="U248" s="1396"/>
      <c r="V248" s="1396"/>
      <c r="W248" s="1396"/>
      <c r="X248" s="1396"/>
      <c r="Y248" s="1396"/>
      <c r="Z248" s="1396"/>
      <c r="AA248" s="1396"/>
      <c r="AB248" s="1396"/>
      <c r="AC248" s="1396"/>
      <c r="AD248" s="1396"/>
      <c r="AE248" s="1396"/>
      <c r="AF248" s="1396"/>
      <c r="AG248" s="1396"/>
      <c r="AH248" s="1396"/>
      <c r="AI248" s="1396"/>
      <c r="AJ248" s="1396"/>
      <c r="AK248" s="1396"/>
      <c r="AL248" s="1396"/>
    </row>
    <row r="249" spans="1:38" s="1395" customFormat="1" ht="14.25" customHeight="1">
      <c r="A249" s="2427" t="s">
        <v>5939</v>
      </c>
      <c r="B249" s="2428">
        <v>5000</v>
      </c>
      <c r="C249" s="2428">
        <v>5500</v>
      </c>
      <c r="D249" s="2428">
        <f>SUM(D237:D248)</f>
        <v>5999.9500000000007</v>
      </c>
      <c r="E249" s="2429">
        <f>SUM(E237:E248)</f>
        <v>7500.02</v>
      </c>
      <c r="K249" s="1396"/>
      <c r="L249" s="1396"/>
      <c r="M249" s="1396"/>
      <c r="N249" s="1396"/>
      <c r="O249" s="1396"/>
      <c r="P249" s="1396"/>
      <c r="Q249" s="1396"/>
      <c r="R249" s="1396"/>
      <c r="S249" s="1396"/>
      <c r="T249" s="1396"/>
      <c r="U249" s="1396"/>
      <c r="V249" s="1396"/>
      <c r="W249" s="1396"/>
      <c r="X249" s="1396"/>
      <c r="Y249" s="1396"/>
      <c r="Z249" s="1396"/>
      <c r="AA249" s="1396"/>
      <c r="AB249" s="1396"/>
      <c r="AC249" s="1396"/>
      <c r="AD249" s="1396"/>
      <c r="AE249" s="1396"/>
      <c r="AF249" s="1396"/>
      <c r="AG249" s="1396"/>
      <c r="AH249" s="1396"/>
      <c r="AI249" s="1396"/>
      <c r="AJ249" s="1396"/>
      <c r="AK249" s="1396"/>
      <c r="AL249" s="1396"/>
    </row>
    <row r="250" spans="1:38" s="1395" customFormat="1" ht="14.25" customHeight="1">
      <c r="K250" s="1396"/>
      <c r="L250" s="1396"/>
      <c r="M250" s="1396"/>
      <c r="N250" s="1396"/>
      <c r="O250" s="1396"/>
      <c r="P250" s="1396"/>
      <c r="Q250" s="1396"/>
      <c r="R250" s="1396"/>
      <c r="S250" s="1396"/>
      <c r="T250" s="1396"/>
      <c r="U250" s="1396"/>
      <c r="V250" s="1396"/>
      <c r="W250" s="1396"/>
      <c r="X250" s="1396"/>
      <c r="Y250" s="1396"/>
      <c r="Z250" s="1396"/>
      <c r="AA250" s="1396"/>
      <c r="AB250" s="1396"/>
      <c r="AC250" s="1396"/>
      <c r="AD250" s="1396"/>
      <c r="AE250" s="1396"/>
      <c r="AF250" s="1396"/>
      <c r="AG250" s="1396"/>
      <c r="AH250" s="1396"/>
      <c r="AI250" s="1396"/>
      <c r="AJ250" s="1396"/>
      <c r="AK250" s="1396"/>
      <c r="AL250" s="1396"/>
    </row>
    <row r="251" spans="1:38" s="1395" customFormat="1" ht="14.25" customHeight="1">
      <c r="K251" s="1396"/>
      <c r="L251" s="1396"/>
      <c r="M251" s="1396"/>
      <c r="N251" s="1396"/>
      <c r="O251" s="1396"/>
      <c r="P251" s="1396"/>
      <c r="Q251" s="1396"/>
      <c r="R251" s="1396"/>
      <c r="S251" s="1396"/>
      <c r="T251" s="1396"/>
      <c r="U251" s="1396"/>
      <c r="V251" s="1396"/>
      <c r="W251" s="1396"/>
      <c r="X251" s="1396"/>
      <c r="Y251" s="1396"/>
      <c r="Z251" s="1396"/>
      <c r="AA251" s="1396"/>
      <c r="AB251" s="1396"/>
      <c r="AC251" s="1396"/>
      <c r="AD251" s="1396"/>
      <c r="AE251" s="1396"/>
      <c r="AF251" s="1396"/>
      <c r="AG251" s="1396"/>
      <c r="AH251" s="1396"/>
      <c r="AI251" s="1396"/>
      <c r="AJ251" s="1396"/>
      <c r="AK251" s="1396"/>
      <c r="AL251" s="1396"/>
    </row>
    <row r="252" spans="1:38" s="1395" customFormat="1" ht="14.25" customHeight="1">
      <c r="A252" s="1418" t="s">
        <v>7116</v>
      </c>
      <c r="K252" s="1396"/>
      <c r="L252" s="1396"/>
      <c r="M252" s="1396"/>
      <c r="N252" s="1396"/>
      <c r="O252" s="1396"/>
      <c r="P252" s="1396"/>
      <c r="Q252" s="1396"/>
      <c r="R252" s="1396"/>
      <c r="S252" s="1396"/>
      <c r="T252" s="1396"/>
      <c r="U252" s="1396"/>
      <c r="V252" s="1396"/>
      <c r="W252" s="1396"/>
      <c r="X252" s="1396"/>
      <c r="Y252" s="1396"/>
      <c r="Z252" s="1396"/>
      <c r="AA252" s="1396"/>
      <c r="AB252" s="1396"/>
      <c r="AC252" s="1396"/>
      <c r="AD252" s="1396"/>
      <c r="AE252" s="1396"/>
      <c r="AF252" s="1396"/>
      <c r="AG252" s="1396"/>
      <c r="AH252" s="1396"/>
      <c r="AI252" s="1396"/>
      <c r="AJ252" s="1396"/>
      <c r="AK252" s="1396"/>
      <c r="AL252" s="1396"/>
    </row>
    <row r="253" spans="1:38" s="1395" customFormat="1" ht="14.25" customHeight="1">
      <c r="A253" s="1396"/>
      <c r="K253" s="1396"/>
      <c r="L253" s="1396"/>
      <c r="M253" s="1396"/>
      <c r="N253" s="1396"/>
      <c r="O253" s="1396"/>
      <c r="P253" s="1396"/>
      <c r="Q253" s="1396"/>
      <c r="R253" s="1396"/>
      <c r="S253" s="1396"/>
      <c r="T253" s="1396"/>
      <c r="U253" s="1396"/>
      <c r="V253" s="1396"/>
      <c r="W253" s="1396"/>
      <c r="X253" s="1396"/>
      <c r="Y253" s="1396"/>
      <c r="Z253" s="1396"/>
      <c r="AA253" s="1396"/>
      <c r="AB253" s="1396"/>
      <c r="AC253" s="1396"/>
      <c r="AD253" s="1396"/>
      <c r="AE253" s="1396"/>
      <c r="AF253" s="1396"/>
      <c r="AG253" s="1396"/>
      <c r="AH253" s="1396"/>
      <c r="AI253" s="1396"/>
      <c r="AJ253" s="1396"/>
      <c r="AK253" s="1396"/>
      <c r="AL253" s="1396"/>
    </row>
    <row r="254" spans="1:38" s="1395" customFormat="1" ht="14.25" customHeight="1">
      <c r="A254" s="2468" t="s">
        <v>5940</v>
      </c>
      <c r="B254" s="2423">
        <v>2017</v>
      </c>
      <c r="C254" s="2423">
        <v>2018</v>
      </c>
      <c r="D254" s="2424">
        <v>2019</v>
      </c>
      <c r="K254" s="1396"/>
      <c r="L254" s="1396"/>
      <c r="M254" s="1396"/>
      <c r="N254" s="1396"/>
      <c r="O254" s="1396"/>
      <c r="P254" s="1396"/>
      <c r="Q254" s="1396"/>
      <c r="R254" s="1396"/>
      <c r="S254" s="1396"/>
      <c r="T254" s="1396"/>
      <c r="U254" s="1396"/>
      <c r="V254" s="1396"/>
      <c r="W254" s="1396"/>
      <c r="X254" s="1396"/>
      <c r="Y254" s="1396"/>
      <c r="Z254" s="1396"/>
      <c r="AA254" s="1396"/>
      <c r="AB254" s="1396"/>
      <c r="AC254" s="1396"/>
      <c r="AD254" s="1396"/>
      <c r="AE254" s="1396"/>
      <c r="AF254" s="1396"/>
      <c r="AG254" s="1396"/>
      <c r="AH254" s="1396"/>
      <c r="AI254" s="1396"/>
      <c r="AJ254" s="1396"/>
      <c r="AK254" s="1396"/>
      <c r="AL254" s="1396"/>
    </row>
    <row r="255" spans="1:38" s="1395" customFormat="1" ht="14.25" customHeight="1">
      <c r="A255" s="2464" t="s">
        <v>5816</v>
      </c>
      <c r="B255" s="1355">
        <v>350</v>
      </c>
      <c r="C255" s="1355"/>
      <c r="D255" s="2364"/>
      <c r="K255" s="1396"/>
      <c r="L255" s="1396"/>
      <c r="M255" s="1396"/>
      <c r="N255" s="1396"/>
      <c r="O255" s="1396"/>
      <c r="P255" s="1396"/>
      <c r="Q255" s="1396"/>
      <c r="R255" s="1396"/>
      <c r="S255" s="1396"/>
      <c r="T255" s="1396"/>
      <c r="U255" s="1396"/>
      <c r="V255" s="1396"/>
      <c r="W255" s="1396"/>
      <c r="X255" s="1396"/>
      <c r="Y255" s="1396"/>
      <c r="Z255" s="1396"/>
      <c r="AA255" s="1396"/>
      <c r="AB255" s="1396"/>
      <c r="AC255" s="1396"/>
      <c r="AD255" s="1396"/>
      <c r="AE255" s="1396"/>
      <c r="AF255" s="1396"/>
      <c r="AG255" s="1396"/>
      <c r="AH255" s="1396"/>
      <c r="AI255" s="1396"/>
      <c r="AJ255" s="1396"/>
      <c r="AK255" s="1396"/>
      <c r="AL255" s="1396"/>
    </row>
    <row r="256" spans="1:38" s="1395" customFormat="1" ht="14.25" customHeight="1">
      <c r="A256" s="2464" t="s">
        <v>5941</v>
      </c>
      <c r="B256" s="1355">
        <v>980</v>
      </c>
      <c r="C256" s="1355"/>
      <c r="D256" s="2364"/>
      <c r="K256" s="1396"/>
      <c r="L256" s="1396"/>
      <c r="M256" s="1396"/>
      <c r="N256" s="1396"/>
      <c r="O256" s="1396"/>
      <c r="P256" s="1396"/>
      <c r="Q256" s="1396"/>
      <c r="R256" s="1396"/>
      <c r="S256" s="1396"/>
      <c r="T256" s="1396"/>
      <c r="U256" s="1396"/>
      <c r="V256" s="1396"/>
      <c r="W256" s="1396"/>
      <c r="X256" s="1396"/>
      <c r="Y256" s="1396"/>
      <c r="Z256" s="1396"/>
      <c r="AA256" s="1396"/>
      <c r="AB256" s="1396"/>
      <c r="AC256" s="1396"/>
      <c r="AD256" s="1396"/>
      <c r="AE256" s="1396"/>
      <c r="AF256" s="1396"/>
      <c r="AG256" s="1396"/>
      <c r="AH256" s="1396"/>
      <c r="AI256" s="1396"/>
      <c r="AJ256" s="1396"/>
      <c r="AK256" s="1396"/>
      <c r="AL256" s="1396"/>
    </row>
    <row r="257" spans="1:38" s="1395" customFormat="1" ht="14.25" customHeight="1">
      <c r="A257" s="2464" t="s">
        <v>5942</v>
      </c>
      <c r="B257" s="1355">
        <v>3670</v>
      </c>
      <c r="C257" s="1355"/>
      <c r="D257" s="2364"/>
      <c r="K257" s="1396"/>
      <c r="L257" s="1396"/>
      <c r="M257" s="1396"/>
      <c r="N257" s="1396"/>
      <c r="O257" s="1396"/>
      <c r="P257" s="1396"/>
      <c r="Q257" s="1396"/>
      <c r="R257" s="1396"/>
      <c r="S257" s="1396"/>
      <c r="T257" s="1396"/>
      <c r="U257" s="1396"/>
      <c r="V257" s="1396"/>
      <c r="W257" s="1396"/>
      <c r="X257" s="1396"/>
      <c r="Y257" s="1396"/>
      <c r="Z257" s="1396"/>
      <c r="AA257" s="1396"/>
      <c r="AB257" s="1396"/>
      <c r="AC257" s="1396"/>
      <c r="AD257" s="1396"/>
      <c r="AE257" s="1396"/>
      <c r="AF257" s="1396"/>
      <c r="AG257" s="1396"/>
      <c r="AH257" s="1396"/>
      <c r="AI257" s="1396"/>
      <c r="AJ257" s="1396"/>
      <c r="AK257" s="1396"/>
      <c r="AL257" s="1396"/>
    </row>
    <row r="258" spans="1:38" s="1395" customFormat="1" ht="14.25" customHeight="1">
      <c r="A258" s="2464" t="s">
        <v>5943</v>
      </c>
      <c r="B258" s="1355"/>
      <c r="C258" s="1355">
        <v>1500</v>
      </c>
      <c r="D258" s="2364"/>
      <c r="K258" s="1396"/>
      <c r="L258" s="1396"/>
      <c r="M258" s="1396"/>
      <c r="N258" s="1396"/>
      <c r="O258" s="1396"/>
      <c r="P258" s="1396"/>
      <c r="Q258" s="1396"/>
      <c r="R258" s="1396"/>
      <c r="S258" s="1396"/>
      <c r="T258" s="1396"/>
      <c r="U258" s="1396"/>
      <c r="V258" s="1396"/>
      <c r="W258" s="1396"/>
      <c r="X258" s="1396"/>
      <c r="Y258" s="1396"/>
      <c r="Z258" s="1396"/>
      <c r="AA258" s="1396"/>
      <c r="AB258" s="1396"/>
      <c r="AC258" s="1396"/>
      <c r="AD258" s="1396"/>
      <c r="AE258" s="1396"/>
      <c r="AF258" s="1396"/>
      <c r="AG258" s="1396"/>
      <c r="AH258" s="1396"/>
      <c r="AI258" s="1396"/>
      <c r="AJ258" s="1396"/>
      <c r="AK258" s="1396"/>
      <c r="AL258" s="1396"/>
    </row>
    <row r="259" spans="1:38" s="1395" customFormat="1" ht="14.25" customHeight="1">
      <c r="A259" s="2464" t="s">
        <v>5944</v>
      </c>
      <c r="B259" s="1355"/>
      <c r="C259" s="1355">
        <v>1426.5</v>
      </c>
      <c r="D259" s="2364"/>
      <c r="K259" s="1396"/>
      <c r="L259" s="1396"/>
      <c r="M259" s="1396"/>
      <c r="N259" s="1396"/>
      <c r="O259" s="1396"/>
      <c r="P259" s="1396"/>
      <c r="Q259" s="1396"/>
      <c r="R259" s="1396"/>
      <c r="S259" s="1396"/>
      <c r="T259" s="1396"/>
      <c r="U259" s="1396"/>
      <c r="V259" s="1396"/>
      <c r="W259" s="1396"/>
      <c r="X259" s="1396"/>
      <c r="Y259" s="1396"/>
      <c r="Z259" s="1396"/>
      <c r="AA259" s="1396"/>
      <c r="AB259" s="1396"/>
      <c r="AC259" s="1396"/>
      <c r="AD259" s="1396"/>
      <c r="AE259" s="1396"/>
      <c r="AF259" s="1396"/>
      <c r="AG259" s="1396"/>
      <c r="AH259" s="1396"/>
      <c r="AI259" s="1396"/>
      <c r="AJ259" s="1396"/>
      <c r="AK259" s="1396"/>
      <c r="AL259" s="1396"/>
    </row>
    <row r="260" spans="1:38" s="1395" customFormat="1" ht="14.25" customHeight="1">
      <c r="A260" s="2464" t="s">
        <v>5945</v>
      </c>
      <c r="B260" s="1355"/>
      <c r="C260" s="1355">
        <v>2073.5</v>
      </c>
      <c r="D260" s="2364"/>
      <c r="K260" s="1396"/>
      <c r="L260" s="1396"/>
      <c r="M260" s="1396"/>
      <c r="N260" s="1396"/>
      <c r="O260" s="1396"/>
      <c r="P260" s="1396"/>
      <c r="Q260" s="1396"/>
      <c r="R260" s="1396"/>
      <c r="S260" s="1396"/>
      <c r="T260" s="1396"/>
      <c r="U260" s="1396"/>
      <c r="V260" s="1396"/>
      <c r="W260" s="1396"/>
      <c r="X260" s="1396"/>
      <c r="Y260" s="1396"/>
      <c r="Z260" s="1396"/>
      <c r="AA260" s="1396"/>
      <c r="AB260" s="1396"/>
      <c r="AC260" s="1396"/>
      <c r="AD260" s="1396"/>
      <c r="AE260" s="1396"/>
      <c r="AF260" s="1396"/>
      <c r="AG260" s="1396"/>
      <c r="AH260" s="1396"/>
      <c r="AI260" s="1396"/>
      <c r="AJ260" s="1396"/>
      <c r="AK260" s="1396"/>
      <c r="AL260" s="1396"/>
    </row>
    <row r="261" spans="1:38" s="1395" customFormat="1" ht="14.25" customHeight="1">
      <c r="A261" s="2464" t="s">
        <v>5946</v>
      </c>
      <c r="B261" s="1355"/>
      <c r="C261" s="1355"/>
      <c r="D261" s="2364">
        <v>1676</v>
      </c>
      <c r="K261" s="1396"/>
      <c r="L261" s="1396"/>
      <c r="M261" s="1396"/>
      <c r="N261" s="1396"/>
      <c r="O261" s="1396"/>
      <c r="P261" s="1396"/>
      <c r="Q261" s="1396"/>
      <c r="R261" s="1396"/>
      <c r="S261" s="1396"/>
      <c r="T261" s="1396"/>
      <c r="U261" s="1396"/>
      <c r="V261" s="1396"/>
      <c r="W261" s="1396"/>
      <c r="X261" s="1396"/>
      <c r="Y261" s="1396"/>
      <c r="Z261" s="1396"/>
      <c r="AA261" s="1396"/>
      <c r="AB261" s="1396"/>
      <c r="AC261" s="1396"/>
      <c r="AD261" s="1396"/>
      <c r="AE261" s="1396"/>
      <c r="AF261" s="1396"/>
      <c r="AG261" s="1396"/>
      <c r="AH261" s="1396"/>
      <c r="AI261" s="1396"/>
      <c r="AJ261" s="1396"/>
      <c r="AK261" s="1396"/>
      <c r="AL261" s="1396"/>
    </row>
    <row r="262" spans="1:38" s="1395" customFormat="1" ht="14.25" customHeight="1">
      <c r="A262" s="2464" t="s">
        <v>5944</v>
      </c>
      <c r="B262" s="1355"/>
      <c r="C262" s="1355"/>
      <c r="D262" s="2364">
        <v>643.70000000000005</v>
      </c>
      <c r="K262" s="1396"/>
      <c r="L262" s="1396"/>
      <c r="M262" s="1396"/>
      <c r="N262" s="1396"/>
      <c r="O262" s="1396"/>
      <c r="P262" s="1396"/>
      <c r="Q262" s="1396"/>
      <c r="R262" s="1396"/>
      <c r="S262" s="1396"/>
      <c r="T262" s="1396"/>
      <c r="U262" s="1396"/>
      <c r="V262" s="1396"/>
      <c r="W262" s="1396"/>
      <c r="X262" s="1396"/>
      <c r="Y262" s="1396"/>
      <c r="Z262" s="1396"/>
      <c r="AA262" s="1396"/>
      <c r="AB262" s="1396"/>
      <c r="AC262" s="1396"/>
      <c r="AD262" s="1396"/>
      <c r="AE262" s="1396"/>
      <c r="AF262" s="1396"/>
      <c r="AG262" s="1396"/>
      <c r="AH262" s="1396"/>
      <c r="AI262" s="1396"/>
      <c r="AJ262" s="1396"/>
      <c r="AK262" s="1396"/>
      <c r="AL262" s="1396"/>
    </row>
    <row r="263" spans="1:38" s="1395" customFormat="1" ht="14.25" customHeight="1">
      <c r="A263" s="2464" t="s">
        <v>5795</v>
      </c>
      <c r="B263" s="1355"/>
      <c r="C263" s="1355"/>
      <c r="D263" s="2364">
        <v>645.44000000000005</v>
      </c>
      <c r="K263" s="1396"/>
      <c r="L263" s="1396"/>
      <c r="M263" s="1396"/>
      <c r="N263" s="1396"/>
      <c r="O263" s="1396"/>
      <c r="P263" s="1396"/>
      <c r="Q263" s="1396"/>
      <c r="R263" s="1396"/>
      <c r="S263" s="1396"/>
      <c r="T263" s="1396"/>
      <c r="U263" s="1396"/>
      <c r="V263" s="1396"/>
      <c r="W263" s="1396"/>
      <c r="X263" s="1396"/>
      <c r="Y263" s="1396"/>
      <c r="Z263" s="1396"/>
      <c r="AA263" s="1396"/>
      <c r="AB263" s="1396"/>
      <c r="AC263" s="1396"/>
      <c r="AD263" s="1396"/>
      <c r="AE263" s="1396"/>
      <c r="AF263" s="1396"/>
      <c r="AG263" s="1396"/>
      <c r="AH263" s="1396"/>
      <c r="AI263" s="1396"/>
      <c r="AJ263" s="1396"/>
      <c r="AK263" s="1396"/>
      <c r="AL263" s="1396"/>
    </row>
    <row r="264" spans="1:38" s="1395" customFormat="1" ht="14.25" customHeight="1">
      <c r="A264" s="2464" t="s">
        <v>5803</v>
      </c>
      <c r="B264" s="1355"/>
      <c r="C264" s="1355"/>
      <c r="D264" s="2364">
        <v>209.34</v>
      </c>
      <c r="K264" s="1396"/>
      <c r="L264" s="1396"/>
      <c r="M264" s="1396"/>
      <c r="N264" s="1396"/>
      <c r="O264" s="1396"/>
      <c r="P264" s="1396"/>
      <c r="Q264" s="1396"/>
      <c r="R264" s="1396"/>
      <c r="S264" s="1396"/>
      <c r="T264" s="1396"/>
      <c r="U264" s="1396"/>
      <c r="V264" s="1396"/>
      <c r="W264" s="1396"/>
      <c r="X264" s="1396"/>
      <c r="Y264" s="1396"/>
      <c r="Z264" s="1396"/>
      <c r="AA264" s="1396"/>
      <c r="AB264" s="1396"/>
      <c r="AC264" s="1396"/>
      <c r="AD264" s="1396"/>
      <c r="AE264" s="1396"/>
      <c r="AF264" s="1396"/>
      <c r="AG264" s="1396"/>
      <c r="AH264" s="1396"/>
      <c r="AI264" s="1396"/>
      <c r="AJ264" s="1396"/>
      <c r="AK264" s="1396"/>
      <c r="AL264" s="1396"/>
    </row>
    <row r="265" spans="1:38" s="1395" customFormat="1" ht="14.25" customHeight="1">
      <c r="A265" s="2464" t="s">
        <v>5945</v>
      </c>
      <c r="B265" s="1355"/>
      <c r="C265" s="1355"/>
      <c r="D265" s="2364">
        <v>1825.52</v>
      </c>
      <c r="K265" s="1396"/>
      <c r="L265" s="1396"/>
      <c r="M265" s="1396"/>
      <c r="N265" s="1396"/>
      <c r="O265" s="1396"/>
      <c r="P265" s="1396"/>
      <c r="Q265" s="1396"/>
      <c r="R265" s="1396"/>
      <c r="S265" s="1396"/>
      <c r="T265" s="1396"/>
      <c r="U265" s="1396"/>
      <c r="V265" s="1396"/>
      <c r="W265" s="1396"/>
      <c r="X265" s="1396"/>
      <c r="Y265" s="1396"/>
      <c r="Z265" s="1396"/>
      <c r="AA265" s="1396"/>
      <c r="AB265" s="1396"/>
      <c r="AC265" s="1396"/>
      <c r="AD265" s="1396"/>
      <c r="AE265" s="1396"/>
      <c r="AF265" s="1396"/>
      <c r="AG265" s="1396"/>
      <c r="AH265" s="1396"/>
      <c r="AI265" s="1396"/>
      <c r="AJ265" s="1396"/>
      <c r="AK265" s="1396"/>
      <c r="AL265" s="1396"/>
    </row>
    <row r="266" spans="1:38" s="1395" customFormat="1" ht="14.25" customHeight="1">
      <c r="A266" s="2464" t="s">
        <v>5947</v>
      </c>
      <c r="B266" s="1355"/>
      <c r="C266" s="1355"/>
      <c r="D266" s="2364">
        <v>0</v>
      </c>
      <c r="K266" s="1396"/>
      <c r="L266" s="1396"/>
      <c r="M266" s="1396"/>
      <c r="N266" s="1396"/>
      <c r="O266" s="1396"/>
      <c r="P266" s="1396"/>
      <c r="Q266" s="1396"/>
      <c r="R266" s="1396"/>
      <c r="S266" s="1396"/>
      <c r="T266" s="1396"/>
      <c r="U266" s="1396"/>
      <c r="V266" s="1396"/>
      <c r="W266" s="1396"/>
      <c r="X266" s="1396"/>
      <c r="Y266" s="1396"/>
      <c r="Z266" s="1396"/>
      <c r="AA266" s="1396"/>
      <c r="AB266" s="1396"/>
      <c r="AC266" s="1396"/>
      <c r="AD266" s="1396"/>
      <c r="AE266" s="1396"/>
      <c r="AF266" s="1396"/>
      <c r="AG266" s="1396"/>
      <c r="AH266" s="1396"/>
      <c r="AI266" s="1396"/>
      <c r="AJ266" s="1396"/>
      <c r="AK266" s="1396"/>
      <c r="AL266" s="1396"/>
    </row>
    <row r="267" spans="1:38" s="1395" customFormat="1" ht="14.25" customHeight="1">
      <c r="A267" s="2467" t="s">
        <v>5939</v>
      </c>
      <c r="B267" s="2428">
        <f>SUM(B255:B257)</f>
        <v>5000</v>
      </c>
      <c r="C267" s="2428">
        <f>SUM(C258:C260)</f>
        <v>5000</v>
      </c>
      <c r="D267" s="2429">
        <f>SUM(D261:D266)</f>
        <v>5000</v>
      </c>
      <c r="K267" s="1396"/>
      <c r="L267" s="1396"/>
      <c r="M267" s="1396"/>
      <c r="N267" s="1396"/>
      <c r="O267" s="1396"/>
      <c r="P267" s="1396"/>
      <c r="Q267" s="1396"/>
      <c r="R267" s="1396"/>
      <c r="S267" s="1396"/>
      <c r="T267" s="1396"/>
      <c r="U267" s="1396"/>
      <c r="V267" s="1396"/>
      <c r="W267" s="1396"/>
      <c r="X267" s="1396"/>
      <c r="Y267" s="1396"/>
      <c r="Z267" s="1396"/>
      <c r="AA267" s="1396"/>
      <c r="AB267" s="1396"/>
      <c r="AC267" s="1396"/>
      <c r="AD267" s="1396"/>
      <c r="AE267" s="1396"/>
      <c r="AF267" s="1396"/>
      <c r="AG267" s="1396"/>
      <c r="AH267" s="1396"/>
      <c r="AI267" s="1396"/>
      <c r="AJ267" s="1396"/>
      <c r="AK267" s="1396"/>
      <c r="AL267" s="1396"/>
    </row>
    <row r="268" spans="1:38" s="1395" customFormat="1" ht="14.25" customHeight="1">
      <c r="K268" s="1396"/>
      <c r="L268" s="1396"/>
      <c r="M268" s="1396"/>
      <c r="N268" s="1396"/>
      <c r="O268" s="1396"/>
      <c r="P268" s="1396"/>
      <c r="Q268" s="1396"/>
      <c r="R268" s="1396"/>
      <c r="S268" s="1396"/>
      <c r="T268" s="1396"/>
      <c r="U268" s="1396"/>
      <c r="V268" s="1396"/>
      <c r="W268" s="1396"/>
      <c r="X268" s="1396"/>
      <c r="Y268" s="1396"/>
      <c r="Z268" s="1396"/>
      <c r="AA268" s="1396"/>
      <c r="AB268" s="1396"/>
      <c r="AC268" s="1396"/>
      <c r="AD268" s="1396"/>
      <c r="AE268" s="1396"/>
      <c r="AF268" s="1396"/>
      <c r="AG268" s="1396"/>
      <c r="AH268" s="1396"/>
      <c r="AI268" s="1396"/>
      <c r="AJ268" s="1396"/>
      <c r="AK268" s="1396"/>
      <c r="AL268" s="1396"/>
    </row>
    <row r="269" spans="1:38" s="1395" customFormat="1" ht="14.25" customHeight="1">
      <c r="K269" s="1396"/>
      <c r="L269" s="1396"/>
      <c r="M269" s="1396"/>
      <c r="N269" s="1396"/>
      <c r="O269" s="1396"/>
      <c r="P269" s="1396"/>
      <c r="Q269" s="1396"/>
      <c r="R269" s="1396"/>
      <c r="S269" s="1396"/>
      <c r="T269" s="1396"/>
      <c r="U269" s="1396"/>
      <c r="V269" s="1396"/>
      <c r="W269" s="1396"/>
      <c r="X269" s="1396"/>
      <c r="Y269" s="1396"/>
      <c r="Z269" s="1396"/>
      <c r="AA269" s="1396"/>
      <c r="AB269" s="1396"/>
      <c r="AC269" s="1396"/>
      <c r="AD269" s="1396"/>
      <c r="AE269" s="1396"/>
      <c r="AF269" s="1396"/>
      <c r="AG269" s="1396"/>
      <c r="AH269" s="1396"/>
      <c r="AI269" s="1396"/>
      <c r="AJ269" s="1396"/>
      <c r="AK269" s="1396"/>
      <c r="AL269" s="1396"/>
    </row>
    <row r="270" spans="1:38" s="1395" customFormat="1" ht="14.25" customHeight="1">
      <c r="A270" s="1416" t="s">
        <v>7117</v>
      </c>
      <c r="K270" s="1396"/>
      <c r="L270" s="1396"/>
      <c r="M270" s="1396"/>
      <c r="N270" s="1396"/>
      <c r="O270" s="1396"/>
      <c r="P270" s="1396"/>
      <c r="Q270" s="1396"/>
      <c r="R270" s="1396"/>
      <c r="S270" s="1396"/>
      <c r="T270" s="1396"/>
      <c r="U270" s="1396"/>
      <c r="V270" s="1396"/>
      <c r="W270" s="1396"/>
      <c r="X270" s="1396"/>
      <c r="Y270" s="1396"/>
      <c r="Z270" s="1396"/>
      <c r="AA270" s="1396"/>
      <c r="AB270" s="1396"/>
      <c r="AC270" s="1396"/>
      <c r="AD270" s="1396"/>
      <c r="AE270" s="1396"/>
      <c r="AF270" s="1396"/>
      <c r="AG270" s="1396"/>
      <c r="AH270" s="1396"/>
      <c r="AI270" s="1396"/>
      <c r="AJ270" s="1396"/>
      <c r="AK270" s="1396"/>
      <c r="AL270" s="1396"/>
    </row>
    <row r="271" spans="1:38" s="1395" customFormat="1" ht="14.25" customHeight="1">
      <c r="A271" s="1396"/>
      <c r="K271" s="1396"/>
      <c r="L271" s="1396"/>
      <c r="M271" s="1396"/>
      <c r="N271" s="1396"/>
      <c r="O271" s="1396"/>
      <c r="P271" s="1396"/>
      <c r="Q271" s="1396"/>
      <c r="R271" s="1396"/>
      <c r="S271" s="1396"/>
      <c r="T271" s="1396"/>
      <c r="U271" s="1396"/>
      <c r="V271" s="1396"/>
      <c r="W271" s="1396"/>
      <c r="X271" s="1396"/>
      <c r="Y271" s="1396"/>
      <c r="Z271" s="1396"/>
      <c r="AA271" s="1396"/>
      <c r="AB271" s="1396"/>
      <c r="AC271" s="1396"/>
      <c r="AD271" s="1396"/>
      <c r="AE271" s="1396"/>
      <c r="AF271" s="1396"/>
      <c r="AG271" s="1396"/>
      <c r="AH271" s="1396"/>
      <c r="AI271" s="1396"/>
      <c r="AJ271" s="1396"/>
      <c r="AK271" s="1396"/>
      <c r="AL271" s="1396"/>
    </row>
    <row r="272" spans="1:38" s="1395" customFormat="1" ht="14.25" customHeight="1">
      <c r="A272" s="2465" t="s">
        <v>5948</v>
      </c>
      <c r="B272" s="2423">
        <v>2017</v>
      </c>
      <c r="C272" s="2423">
        <v>2018</v>
      </c>
      <c r="D272" s="2424">
        <v>2019</v>
      </c>
      <c r="H272" s="1396"/>
      <c r="K272" s="1396"/>
      <c r="L272" s="1396"/>
      <c r="M272" s="1396"/>
      <c r="N272" s="1396"/>
      <c r="O272" s="1396"/>
      <c r="P272" s="1396"/>
      <c r="Q272" s="1396"/>
      <c r="R272" s="1396"/>
      <c r="S272" s="1396"/>
      <c r="T272" s="1396"/>
      <c r="U272" s="1396"/>
      <c r="V272" s="1396"/>
      <c r="W272" s="1396"/>
      <c r="X272" s="1396"/>
      <c r="Y272" s="1396"/>
      <c r="Z272" s="1396"/>
      <c r="AA272" s="1396"/>
      <c r="AB272" s="1396"/>
      <c r="AC272" s="1396"/>
      <c r="AD272" s="1396"/>
      <c r="AE272" s="1396"/>
      <c r="AF272" s="1396"/>
      <c r="AG272" s="1396"/>
      <c r="AH272" s="1396"/>
      <c r="AI272" s="1396"/>
      <c r="AJ272" s="1396"/>
      <c r="AK272" s="1396"/>
      <c r="AL272" s="1396"/>
    </row>
    <row r="273" spans="1:38" s="1395" customFormat="1" ht="14.25" customHeight="1">
      <c r="A273" s="2464" t="s">
        <v>5949</v>
      </c>
      <c r="B273" s="1355">
        <v>700</v>
      </c>
      <c r="C273" s="1355"/>
      <c r="D273" s="2396"/>
      <c r="H273" s="1396"/>
      <c r="K273" s="1396"/>
      <c r="L273" s="1396"/>
      <c r="M273" s="1396"/>
      <c r="N273" s="1396"/>
      <c r="O273" s="1396"/>
      <c r="P273" s="1396"/>
      <c r="Q273" s="1396"/>
      <c r="R273" s="1396"/>
      <c r="S273" s="1396"/>
      <c r="T273" s="1396"/>
      <c r="U273" s="1396"/>
      <c r="V273" s="1396"/>
      <c r="W273" s="1396"/>
      <c r="X273" s="1396"/>
      <c r="Y273" s="1396"/>
      <c r="Z273" s="1396"/>
      <c r="AA273" s="1396"/>
      <c r="AB273" s="1396"/>
      <c r="AC273" s="1396"/>
      <c r="AD273" s="1396"/>
      <c r="AE273" s="1396"/>
      <c r="AF273" s="1396"/>
      <c r="AG273" s="1396"/>
      <c r="AH273" s="1396"/>
      <c r="AI273" s="1396"/>
      <c r="AJ273" s="1396"/>
      <c r="AK273" s="1396"/>
      <c r="AL273" s="1396"/>
    </row>
    <row r="274" spans="1:38" s="1395" customFormat="1" ht="14.25" customHeight="1">
      <c r="A274" s="2464" t="s">
        <v>5803</v>
      </c>
      <c r="B274" s="1355"/>
      <c r="C274" s="1355">
        <v>272.5</v>
      </c>
      <c r="D274" s="2396"/>
      <c r="H274" s="1396"/>
      <c r="K274" s="1396"/>
      <c r="L274" s="1396"/>
      <c r="M274" s="1396"/>
      <c r="N274" s="1396"/>
      <c r="O274" s="1396"/>
      <c r="P274" s="1396"/>
      <c r="Q274" s="1396"/>
      <c r="R274" s="1396"/>
      <c r="S274" s="1396"/>
      <c r="T274" s="1396"/>
      <c r="U274" s="1396"/>
      <c r="V274" s="1396"/>
      <c r="W274" s="1396"/>
      <c r="X274" s="1396"/>
      <c r="Y274" s="1396"/>
      <c r="Z274" s="1396"/>
      <c r="AA274" s="1396"/>
      <c r="AB274" s="1396"/>
      <c r="AC274" s="1396"/>
      <c r="AD274" s="1396"/>
      <c r="AE274" s="1396"/>
      <c r="AF274" s="1396"/>
      <c r="AG274" s="1396"/>
      <c r="AH274" s="1396"/>
      <c r="AI274" s="1396"/>
      <c r="AJ274" s="1396"/>
      <c r="AK274" s="1396"/>
      <c r="AL274" s="1396"/>
    </row>
    <row r="275" spans="1:38" s="1395" customFormat="1" ht="14.25" customHeight="1">
      <c r="A275" s="2466" t="s">
        <v>5950</v>
      </c>
      <c r="B275" s="2426"/>
      <c r="C275" s="2426"/>
      <c r="D275" s="2400">
        <v>180</v>
      </c>
      <c r="H275" s="1396"/>
      <c r="K275" s="1396"/>
      <c r="L275" s="1396"/>
      <c r="M275" s="1396"/>
      <c r="N275" s="1396"/>
      <c r="O275" s="1396"/>
      <c r="P275" s="1396"/>
      <c r="Q275" s="1396"/>
      <c r="R275" s="1396"/>
      <c r="S275" s="1396"/>
      <c r="T275" s="1396"/>
      <c r="U275" s="1396"/>
      <c r="V275" s="1396"/>
      <c r="W275" s="1396"/>
      <c r="X275" s="1396"/>
      <c r="Y275" s="1396"/>
      <c r="Z275" s="1396"/>
      <c r="AA275" s="1396"/>
      <c r="AB275" s="1396"/>
      <c r="AC275" s="1396"/>
      <c r="AD275" s="1396"/>
      <c r="AE275" s="1396"/>
      <c r="AF275" s="1396"/>
      <c r="AG275" s="1396"/>
      <c r="AH275" s="1396"/>
      <c r="AI275" s="1396"/>
      <c r="AJ275" s="1396"/>
      <c r="AK275" s="1396"/>
      <c r="AL275" s="1396"/>
    </row>
    <row r="276" spans="1:38" s="1395" customFormat="1" ht="14.25" customHeight="1">
      <c r="A276" s="1396"/>
      <c r="C276" s="1355"/>
      <c r="H276" s="1396"/>
      <c r="K276" s="1396"/>
      <c r="L276" s="1396"/>
      <c r="M276" s="1396"/>
      <c r="N276" s="1396"/>
      <c r="O276" s="1396"/>
      <c r="P276" s="1396"/>
      <c r="Q276" s="1396"/>
      <c r="R276" s="1396"/>
      <c r="S276" s="1396"/>
      <c r="T276" s="1396"/>
      <c r="U276" s="1396"/>
      <c r="V276" s="1396"/>
      <c r="W276" s="1396"/>
      <c r="X276" s="1396"/>
      <c r="Y276" s="1396"/>
      <c r="Z276" s="1396"/>
      <c r="AA276" s="1396"/>
      <c r="AB276" s="1396"/>
      <c r="AC276" s="1396"/>
      <c r="AD276" s="1396"/>
      <c r="AE276" s="1396"/>
      <c r="AF276" s="1396"/>
      <c r="AG276" s="1396"/>
      <c r="AH276" s="1396"/>
      <c r="AI276" s="1396"/>
      <c r="AJ276" s="1396"/>
      <c r="AK276" s="1396"/>
      <c r="AL276" s="1396"/>
    </row>
    <row r="277" spans="1:38" s="1395" customFormat="1" ht="14.25" customHeight="1">
      <c r="A277" s="1396"/>
      <c r="C277" s="1355"/>
      <c r="I277" s="1418"/>
      <c r="K277" s="1396"/>
      <c r="L277" s="1396"/>
      <c r="M277" s="1396"/>
      <c r="N277" s="1396"/>
      <c r="O277" s="1396"/>
      <c r="P277" s="1396"/>
      <c r="Q277" s="1396"/>
      <c r="R277" s="1396"/>
      <c r="S277" s="1396"/>
      <c r="T277" s="1396"/>
      <c r="U277" s="1396"/>
      <c r="V277" s="1396"/>
      <c r="W277" s="1396"/>
      <c r="X277" s="1396"/>
      <c r="Y277" s="1396"/>
      <c r="Z277" s="1396"/>
      <c r="AA277" s="1396"/>
      <c r="AB277" s="1396"/>
      <c r="AC277" s="1396"/>
      <c r="AD277" s="1396"/>
      <c r="AE277" s="1396"/>
      <c r="AF277" s="1396"/>
      <c r="AG277" s="1396"/>
      <c r="AH277" s="1396"/>
      <c r="AI277" s="1396"/>
      <c r="AJ277" s="1396"/>
      <c r="AK277" s="1396"/>
      <c r="AL277" s="1396"/>
    </row>
    <row r="278" spans="1:38" s="1395" customFormat="1" ht="14.25" customHeight="1">
      <c r="A278" s="1401" t="s">
        <v>7118</v>
      </c>
      <c r="I278" s="1416"/>
      <c r="K278" s="1396"/>
      <c r="L278" s="1396"/>
      <c r="M278" s="1396"/>
      <c r="N278" s="1396"/>
      <c r="O278" s="1396"/>
      <c r="P278" s="1396"/>
      <c r="Q278" s="1396"/>
      <c r="R278" s="1396"/>
      <c r="S278" s="1396"/>
      <c r="T278" s="1396"/>
      <c r="U278" s="1396"/>
      <c r="V278" s="1396"/>
      <c r="W278" s="1396"/>
      <c r="X278" s="1396"/>
      <c r="Y278" s="1396"/>
      <c r="Z278" s="1396"/>
      <c r="AA278" s="1396"/>
      <c r="AB278" s="1396"/>
      <c r="AC278" s="1396"/>
      <c r="AD278" s="1396"/>
      <c r="AE278" s="1396"/>
      <c r="AF278" s="1396"/>
      <c r="AG278" s="1396"/>
      <c r="AH278" s="1396"/>
      <c r="AI278" s="1396"/>
      <c r="AJ278" s="1396"/>
      <c r="AK278" s="1396"/>
      <c r="AL278" s="1396"/>
    </row>
    <row r="279" spans="1:38" s="1395" customFormat="1" ht="14.25" customHeight="1">
      <c r="A279" s="1396"/>
      <c r="K279" s="1396"/>
      <c r="L279" s="1396"/>
      <c r="M279" s="1396"/>
      <c r="N279" s="1396"/>
      <c r="O279" s="1396"/>
      <c r="P279" s="1396"/>
      <c r="Q279" s="1396"/>
      <c r="R279" s="1396"/>
      <c r="S279" s="1396"/>
      <c r="T279" s="1396"/>
      <c r="U279" s="1396"/>
      <c r="V279" s="1396"/>
      <c r="W279" s="1396"/>
      <c r="X279" s="1396"/>
      <c r="Y279" s="1396"/>
      <c r="Z279" s="1396"/>
      <c r="AA279" s="1396"/>
      <c r="AB279" s="1396"/>
      <c r="AC279" s="1396"/>
      <c r="AD279" s="1396"/>
      <c r="AE279" s="1396"/>
      <c r="AF279" s="1396"/>
      <c r="AG279" s="1396"/>
      <c r="AH279" s="1396"/>
      <c r="AI279" s="1396"/>
      <c r="AJ279" s="1396"/>
      <c r="AK279" s="1396"/>
      <c r="AL279" s="1396"/>
    </row>
    <row r="280" spans="1:38" s="1395" customFormat="1" ht="14.25" customHeight="1">
      <c r="A280" s="2463"/>
      <c r="B280" s="2390">
        <v>2017</v>
      </c>
      <c r="C280" s="2390">
        <v>2018</v>
      </c>
      <c r="D280" s="2391">
        <v>2019</v>
      </c>
      <c r="K280" s="1396"/>
      <c r="L280" s="1396"/>
      <c r="M280" s="1396"/>
      <c r="N280" s="1396"/>
      <c r="O280" s="1396"/>
      <c r="P280" s="1396"/>
      <c r="Q280" s="1396"/>
      <c r="R280" s="1396"/>
      <c r="S280" s="1396"/>
      <c r="T280" s="1396"/>
      <c r="U280" s="1396"/>
      <c r="V280" s="1396"/>
      <c r="W280" s="1396"/>
      <c r="X280" s="1396"/>
      <c r="Y280" s="1396"/>
      <c r="Z280" s="1396"/>
      <c r="AA280" s="1396"/>
      <c r="AB280" s="1396"/>
      <c r="AC280" s="1396"/>
      <c r="AD280" s="1396"/>
      <c r="AE280" s="1396"/>
      <c r="AF280" s="1396"/>
      <c r="AG280" s="1396"/>
      <c r="AH280" s="1396"/>
      <c r="AI280" s="1396"/>
      <c r="AJ280" s="1396"/>
      <c r="AK280" s="1396"/>
      <c r="AL280" s="1396"/>
    </row>
    <row r="281" spans="1:38" s="1395" customFormat="1" ht="14.25" customHeight="1">
      <c r="A281" s="2464" t="s">
        <v>5951</v>
      </c>
      <c r="B281" s="1355">
        <v>540.25</v>
      </c>
      <c r="C281" s="1353"/>
      <c r="D281" s="2458">
        <v>1107.95</v>
      </c>
      <c r="H281" s="1396"/>
      <c r="K281" s="1396"/>
      <c r="L281" s="1396"/>
      <c r="M281" s="1396"/>
      <c r="N281" s="1396"/>
      <c r="O281" s="1396"/>
      <c r="P281" s="1396"/>
      <c r="Q281" s="1396"/>
      <c r="R281" s="1396"/>
      <c r="S281" s="1396"/>
      <c r="T281" s="1396"/>
      <c r="U281" s="1396"/>
      <c r="V281" s="1396"/>
      <c r="W281" s="1396"/>
      <c r="X281" s="1396"/>
      <c r="Y281" s="1396"/>
      <c r="Z281" s="1396"/>
      <c r="AA281" s="1396"/>
      <c r="AB281" s="1396"/>
      <c r="AC281" s="1396"/>
      <c r="AD281" s="1396"/>
      <c r="AE281" s="1396"/>
      <c r="AF281" s="1396"/>
      <c r="AG281" s="1396"/>
      <c r="AH281" s="1396"/>
      <c r="AI281" s="1396"/>
      <c r="AJ281" s="1396"/>
      <c r="AK281" s="1396"/>
      <c r="AL281" s="1396"/>
    </row>
    <row r="282" spans="1:38" s="1395" customFormat="1" ht="14.25" customHeight="1">
      <c r="A282" s="2464" t="s">
        <v>5952</v>
      </c>
      <c r="B282" s="1355">
        <v>1726.69</v>
      </c>
      <c r="C282" s="1355">
        <v>2375</v>
      </c>
      <c r="D282" s="2459">
        <v>1761.36</v>
      </c>
      <c r="H282" s="1396"/>
      <c r="K282" s="1396"/>
      <c r="L282" s="1396"/>
      <c r="M282" s="1396"/>
      <c r="N282" s="1396"/>
      <c r="O282" s="1396"/>
      <c r="P282" s="1396"/>
      <c r="Q282" s="1396"/>
      <c r="R282" s="1396"/>
      <c r="S282" s="1396"/>
      <c r="T282" s="1396"/>
      <c r="U282" s="1396"/>
      <c r="V282" s="1396"/>
      <c r="W282" s="1396"/>
      <c r="X282" s="1396"/>
      <c r="Y282" s="1396"/>
      <c r="Z282" s="1396"/>
      <c r="AA282" s="1396"/>
      <c r="AB282" s="1396"/>
      <c r="AC282" s="1396"/>
      <c r="AD282" s="1396"/>
      <c r="AE282" s="1396"/>
      <c r="AF282" s="1396"/>
      <c r="AG282" s="1396"/>
      <c r="AH282" s="1396"/>
      <c r="AI282" s="1396"/>
      <c r="AJ282" s="1396"/>
      <c r="AK282" s="1396"/>
      <c r="AL282" s="1396"/>
    </row>
    <row r="283" spans="1:38" s="1395" customFormat="1" ht="14.25" customHeight="1">
      <c r="A283" s="2464" t="s">
        <v>5953</v>
      </c>
      <c r="B283" s="1355">
        <v>476.69</v>
      </c>
      <c r="C283" s="1355">
        <v>616.07000000000005</v>
      </c>
      <c r="D283" s="2459">
        <v>596.59</v>
      </c>
      <c r="K283" s="1396"/>
      <c r="L283" s="1396"/>
      <c r="M283" s="1396"/>
      <c r="N283" s="1396"/>
      <c r="O283" s="1396"/>
      <c r="P283" s="1396"/>
      <c r="Q283" s="1396"/>
      <c r="R283" s="1396"/>
      <c r="S283" s="1396"/>
      <c r="T283" s="1396"/>
      <c r="U283" s="1396"/>
      <c r="V283" s="1396"/>
      <c r="W283" s="1396"/>
      <c r="X283" s="1396"/>
      <c r="Y283" s="1396"/>
      <c r="Z283" s="1396"/>
      <c r="AA283" s="1396"/>
      <c r="AB283" s="1396"/>
      <c r="AC283" s="1396"/>
      <c r="AD283" s="1396"/>
      <c r="AE283" s="1396"/>
      <c r="AF283" s="1396"/>
      <c r="AG283" s="1396"/>
      <c r="AH283" s="1396"/>
      <c r="AI283" s="1396"/>
      <c r="AJ283" s="1396"/>
      <c r="AK283" s="1396"/>
      <c r="AL283" s="1396"/>
    </row>
    <row r="284" spans="1:38" s="1395" customFormat="1" ht="14.25" customHeight="1">
      <c r="A284" s="2464" t="s">
        <v>5819</v>
      </c>
      <c r="B284" s="1355">
        <v>95.34</v>
      </c>
      <c r="C284" s="1355">
        <v>26.79</v>
      </c>
      <c r="D284" s="2459">
        <v>85.23</v>
      </c>
      <c r="H284" s="1396"/>
      <c r="K284" s="1396"/>
      <c r="L284" s="1396"/>
      <c r="M284" s="1396"/>
      <c r="N284" s="1396"/>
      <c r="O284" s="1396"/>
      <c r="P284" s="1396"/>
      <c r="Q284" s="1396"/>
      <c r="R284" s="1396"/>
      <c r="S284" s="1396"/>
      <c r="T284" s="1396"/>
      <c r="U284" s="1396"/>
      <c r="V284" s="1396"/>
      <c r="W284" s="1396"/>
      <c r="X284" s="1396"/>
      <c r="Y284" s="1396"/>
      <c r="Z284" s="1396"/>
      <c r="AA284" s="1396"/>
      <c r="AB284" s="1396"/>
      <c r="AC284" s="1396"/>
      <c r="AD284" s="1396"/>
      <c r="AE284" s="1396"/>
      <c r="AF284" s="1396"/>
      <c r="AG284" s="1396"/>
      <c r="AH284" s="1396"/>
      <c r="AI284" s="1396"/>
      <c r="AJ284" s="1396"/>
      <c r="AK284" s="1396"/>
      <c r="AL284" s="1396"/>
    </row>
    <row r="285" spans="1:38" s="1395" customFormat="1" ht="14.25" customHeight="1">
      <c r="A285" s="2464" t="s">
        <v>5822</v>
      </c>
      <c r="B285" s="1355">
        <v>63.56</v>
      </c>
      <c r="C285" s="1355">
        <v>26.79</v>
      </c>
      <c r="D285" s="2459">
        <v>28.41</v>
      </c>
      <c r="H285" s="1396"/>
      <c r="K285" s="1396"/>
      <c r="L285" s="1396"/>
      <c r="M285" s="1396"/>
      <c r="N285" s="1396"/>
      <c r="O285" s="1396"/>
      <c r="P285" s="1396"/>
      <c r="Q285" s="1396"/>
      <c r="R285" s="1396"/>
      <c r="S285" s="1396"/>
      <c r="T285" s="1396"/>
      <c r="U285" s="1396"/>
      <c r="V285" s="1396"/>
      <c r="W285" s="1396"/>
      <c r="X285" s="1396"/>
      <c r="Y285" s="1396"/>
      <c r="Z285" s="1396"/>
      <c r="AA285" s="1396"/>
      <c r="AB285" s="1396"/>
      <c r="AC285" s="1396"/>
      <c r="AD285" s="1396"/>
      <c r="AE285" s="1396"/>
      <c r="AF285" s="1396"/>
      <c r="AG285" s="1396"/>
      <c r="AH285" s="1396"/>
      <c r="AI285" s="1396"/>
      <c r="AJ285" s="1396"/>
      <c r="AK285" s="1396"/>
      <c r="AL285" s="1396"/>
    </row>
    <row r="286" spans="1:38" s="1395" customFormat="1" ht="14.25" customHeight="1">
      <c r="A286" s="2464" t="s">
        <v>5954</v>
      </c>
      <c r="B286" s="1355">
        <v>1112.29</v>
      </c>
      <c r="C286" s="1355">
        <v>1473.21</v>
      </c>
      <c r="D286" s="2459">
        <v>710.23</v>
      </c>
      <c r="H286" s="1396"/>
      <c r="K286" s="1396"/>
      <c r="L286" s="1396"/>
      <c r="M286" s="1396"/>
      <c r="N286" s="1396"/>
      <c r="O286" s="1396"/>
      <c r="P286" s="1396"/>
      <c r="Q286" s="1396"/>
      <c r="R286" s="1396"/>
      <c r="S286" s="1396"/>
      <c r="T286" s="1396"/>
      <c r="U286" s="1396"/>
      <c r="V286" s="1396"/>
      <c r="W286" s="1396"/>
      <c r="X286" s="1396"/>
      <c r="Y286" s="1396"/>
      <c r="Z286" s="1396"/>
      <c r="AA286" s="1396"/>
      <c r="AB286" s="1396"/>
      <c r="AC286" s="1396"/>
      <c r="AD286" s="1396"/>
      <c r="AE286" s="1396"/>
      <c r="AF286" s="1396"/>
      <c r="AG286" s="1396"/>
      <c r="AH286" s="1396"/>
      <c r="AI286" s="1396"/>
      <c r="AJ286" s="1396"/>
      <c r="AK286" s="1396"/>
      <c r="AL286" s="1396"/>
    </row>
    <row r="287" spans="1:38" s="1395" customFormat="1" ht="14.25" customHeight="1">
      <c r="A287" s="2464" t="s">
        <v>5955</v>
      </c>
      <c r="B287" s="1355">
        <v>31.78</v>
      </c>
      <c r="C287" s="2352"/>
      <c r="D287" s="2460"/>
      <c r="H287" s="1396"/>
      <c r="K287" s="1396"/>
      <c r="L287" s="1396"/>
      <c r="M287" s="1396"/>
      <c r="N287" s="1396"/>
      <c r="O287" s="1396"/>
      <c r="P287" s="1396"/>
      <c r="Q287" s="1396"/>
      <c r="R287" s="1396"/>
      <c r="S287" s="1396"/>
      <c r="T287" s="1396"/>
      <c r="U287" s="1396"/>
      <c r="V287" s="1396"/>
      <c r="W287" s="1396"/>
      <c r="X287" s="1396"/>
      <c r="Y287" s="1396"/>
      <c r="Z287" s="1396"/>
      <c r="AA287" s="1396"/>
      <c r="AB287" s="1396"/>
      <c r="AC287" s="1396"/>
      <c r="AD287" s="1396"/>
      <c r="AE287" s="1396"/>
      <c r="AF287" s="1396"/>
      <c r="AG287" s="1396"/>
      <c r="AH287" s="1396"/>
      <c r="AI287" s="1396"/>
      <c r="AJ287" s="1396"/>
      <c r="AK287" s="1396"/>
      <c r="AL287" s="1396"/>
    </row>
    <row r="288" spans="1:38" s="1395" customFormat="1" ht="14.25" customHeight="1">
      <c r="A288" s="2464" t="s">
        <v>5821</v>
      </c>
      <c r="B288" s="1355">
        <v>31.78</v>
      </c>
      <c r="C288" s="1355">
        <v>53.57</v>
      </c>
      <c r="D288" s="2459">
        <v>28.41</v>
      </c>
      <c r="H288" s="1396"/>
      <c r="K288" s="1396"/>
      <c r="L288" s="1396"/>
      <c r="M288" s="1396"/>
      <c r="N288" s="1396"/>
      <c r="O288" s="1396"/>
      <c r="P288" s="1396"/>
      <c r="Q288" s="1396"/>
      <c r="R288" s="1396"/>
      <c r="S288" s="1396"/>
      <c r="T288" s="1396"/>
      <c r="U288" s="1396"/>
      <c r="V288" s="1396"/>
      <c r="W288" s="1396"/>
      <c r="X288" s="1396"/>
      <c r="Y288" s="1396"/>
      <c r="Z288" s="1396"/>
      <c r="AA288" s="1396"/>
      <c r="AB288" s="1396"/>
      <c r="AC288" s="1396"/>
      <c r="AD288" s="1396"/>
      <c r="AE288" s="1396"/>
      <c r="AF288" s="1396"/>
      <c r="AG288" s="1396"/>
      <c r="AH288" s="1396"/>
      <c r="AI288" s="1396"/>
      <c r="AJ288" s="1396"/>
      <c r="AK288" s="1396"/>
      <c r="AL288" s="1396"/>
    </row>
    <row r="289" spans="1:38" s="1395" customFormat="1" ht="14.25" customHeight="1">
      <c r="A289" s="2464" t="s">
        <v>5818</v>
      </c>
      <c r="B289" s="1355">
        <v>63.56</v>
      </c>
      <c r="C289" s="2352"/>
      <c r="D289" s="2461"/>
      <c r="K289" s="1396"/>
      <c r="L289" s="1396"/>
      <c r="M289" s="1396"/>
      <c r="N289" s="1396"/>
      <c r="O289" s="1396"/>
      <c r="P289" s="1396"/>
      <c r="Q289" s="1396"/>
      <c r="R289" s="1396"/>
      <c r="S289" s="1396"/>
      <c r="T289" s="1396"/>
      <c r="U289" s="1396"/>
      <c r="V289" s="1396"/>
      <c r="W289" s="1396"/>
      <c r="X289" s="1396"/>
      <c r="Y289" s="1396"/>
      <c r="Z289" s="1396"/>
      <c r="AA289" s="1396"/>
      <c r="AB289" s="1396"/>
      <c r="AC289" s="1396"/>
      <c r="AD289" s="1396"/>
      <c r="AE289" s="1396"/>
      <c r="AF289" s="1396"/>
      <c r="AG289" s="1396"/>
      <c r="AH289" s="1396"/>
      <c r="AI289" s="1396"/>
      <c r="AJ289" s="1396"/>
      <c r="AK289" s="1396"/>
      <c r="AL289" s="1396"/>
    </row>
    <row r="290" spans="1:38" s="1395" customFormat="1" ht="14.25" customHeight="1">
      <c r="A290" s="2464" t="s">
        <v>5956</v>
      </c>
      <c r="B290" s="1355">
        <v>476.69</v>
      </c>
      <c r="C290" s="2352"/>
      <c r="D290" s="2461"/>
      <c r="K290" s="1396"/>
      <c r="L290" s="1396"/>
      <c r="M290" s="1396"/>
      <c r="N290" s="1396"/>
      <c r="O290" s="1396"/>
      <c r="P290" s="1396"/>
      <c r="Q290" s="1396"/>
      <c r="R290" s="1396"/>
      <c r="S290" s="1396"/>
      <c r="T290" s="1396"/>
      <c r="U290" s="1396"/>
      <c r="V290" s="1396"/>
      <c r="W290" s="1396"/>
      <c r="X290" s="1396"/>
      <c r="Y290" s="1396"/>
      <c r="Z290" s="1396"/>
      <c r="AA290" s="1396"/>
      <c r="AB290" s="1396"/>
      <c r="AC290" s="1396"/>
      <c r="AD290" s="1396"/>
      <c r="AE290" s="1396"/>
      <c r="AF290" s="1396"/>
      <c r="AG290" s="1396"/>
      <c r="AH290" s="1396"/>
      <c r="AI290" s="1396"/>
      <c r="AJ290" s="1396"/>
      <c r="AK290" s="1396"/>
      <c r="AL290" s="1396"/>
    </row>
    <row r="291" spans="1:38" s="1395" customFormat="1" ht="14.25" customHeight="1">
      <c r="A291" s="2464" t="s">
        <v>5927</v>
      </c>
      <c r="B291" s="1355">
        <v>63.56</v>
      </c>
      <c r="C291" s="1355">
        <v>26.79</v>
      </c>
      <c r="D291" s="2459">
        <v>28.41</v>
      </c>
      <c r="K291" s="1396"/>
      <c r="L291" s="1396"/>
      <c r="M291" s="1396"/>
      <c r="N291" s="1396"/>
      <c r="O291" s="1396"/>
      <c r="P291" s="1396"/>
      <c r="Q291" s="1396"/>
      <c r="R291" s="1396"/>
      <c r="S291" s="1396"/>
      <c r="T291" s="1396"/>
      <c r="U291" s="1396"/>
      <c r="V291" s="1396"/>
      <c r="W291" s="1396"/>
      <c r="X291" s="1396"/>
      <c r="Y291" s="1396"/>
      <c r="Z291" s="1396"/>
      <c r="AA291" s="1396"/>
      <c r="AB291" s="1396"/>
      <c r="AC291" s="1396"/>
      <c r="AD291" s="1396"/>
      <c r="AE291" s="1396"/>
      <c r="AF291" s="1396"/>
      <c r="AG291" s="1396"/>
      <c r="AH291" s="1396"/>
      <c r="AI291" s="1396"/>
      <c r="AJ291" s="1396"/>
      <c r="AK291" s="1396"/>
      <c r="AL291" s="1396"/>
    </row>
    <row r="292" spans="1:38" s="1395" customFormat="1" ht="14.25" customHeight="1">
      <c r="A292" s="2464" t="s">
        <v>5957</v>
      </c>
      <c r="B292" s="1355">
        <v>63.56</v>
      </c>
      <c r="C292" s="1355">
        <v>26.79</v>
      </c>
      <c r="D292" s="2459">
        <v>28.41</v>
      </c>
      <c r="K292" s="1396"/>
      <c r="L292" s="1396"/>
      <c r="M292" s="1396"/>
      <c r="N292" s="1396"/>
      <c r="O292" s="1396"/>
      <c r="P292" s="1396"/>
      <c r="Q292" s="1396"/>
      <c r="R292" s="1396"/>
      <c r="S292" s="1396"/>
      <c r="T292" s="1396"/>
      <c r="U292" s="1396"/>
      <c r="V292" s="1396"/>
      <c r="W292" s="1396"/>
      <c r="X292" s="1396"/>
      <c r="Y292" s="1396"/>
      <c r="Z292" s="1396"/>
      <c r="AA292" s="1396"/>
      <c r="AB292" s="1396"/>
      <c r="AC292" s="1396"/>
      <c r="AD292" s="1396"/>
      <c r="AE292" s="1396"/>
      <c r="AF292" s="1396"/>
      <c r="AG292" s="1396"/>
      <c r="AH292" s="1396"/>
      <c r="AI292" s="1396"/>
      <c r="AJ292" s="1396"/>
      <c r="AK292" s="1396"/>
      <c r="AL292" s="1396"/>
    </row>
    <row r="293" spans="1:38" s="1395" customFormat="1" ht="14.25" customHeight="1">
      <c r="A293" s="2464" t="s">
        <v>5929</v>
      </c>
      <c r="B293" s="1355">
        <v>31.78</v>
      </c>
      <c r="C293" s="1355"/>
      <c r="D293" s="2459">
        <v>113.64</v>
      </c>
      <c r="K293" s="1396"/>
      <c r="L293" s="1396"/>
      <c r="M293" s="1396"/>
      <c r="N293" s="1396"/>
      <c r="O293" s="1396"/>
      <c r="P293" s="1396"/>
      <c r="Q293" s="1396"/>
      <c r="R293" s="1396"/>
      <c r="S293" s="1396"/>
      <c r="T293" s="1396"/>
      <c r="U293" s="1396"/>
      <c r="V293" s="1396"/>
      <c r="W293" s="1396"/>
      <c r="X293" s="1396"/>
      <c r="Y293" s="1396"/>
      <c r="Z293" s="1396"/>
      <c r="AA293" s="1396"/>
      <c r="AB293" s="1396"/>
      <c r="AC293" s="1396"/>
      <c r="AD293" s="1396"/>
      <c r="AE293" s="1396"/>
      <c r="AF293" s="1396"/>
      <c r="AG293" s="1396"/>
      <c r="AH293" s="1396"/>
      <c r="AI293" s="1396"/>
      <c r="AJ293" s="1396"/>
      <c r="AK293" s="1396"/>
      <c r="AL293" s="1396"/>
    </row>
    <row r="294" spans="1:38" s="1395" customFormat="1" ht="14.25" customHeight="1">
      <c r="A294" s="2464" t="s">
        <v>5958</v>
      </c>
      <c r="B294" s="1355">
        <v>31.78</v>
      </c>
      <c r="C294" s="1355">
        <v>26.79</v>
      </c>
      <c r="D294" s="2458">
        <v>28.41</v>
      </c>
      <c r="K294" s="1396"/>
      <c r="L294" s="1396"/>
      <c r="M294" s="1396"/>
      <c r="N294" s="1396"/>
      <c r="O294" s="1396"/>
      <c r="P294" s="1396"/>
      <c r="Q294" s="1396"/>
      <c r="R294" s="1396"/>
      <c r="S294" s="1396"/>
      <c r="T294" s="1396"/>
      <c r="U294" s="1396"/>
      <c r="V294" s="1396"/>
      <c r="W294" s="1396"/>
      <c r="X294" s="1396"/>
      <c r="Y294" s="1396"/>
      <c r="Z294" s="1396"/>
      <c r="AA294" s="1396"/>
      <c r="AB294" s="1396"/>
      <c r="AC294" s="1396"/>
      <c r="AD294" s="1396"/>
      <c r="AE294" s="1396"/>
      <c r="AF294" s="1396"/>
      <c r="AG294" s="1396"/>
      <c r="AH294" s="1396"/>
      <c r="AI294" s="1396"/>
      <c r="AJ294" s="1396"/>
      <c r="AK294" s="1396"/>
      <c r="AL294" s="1396"/>
    </row>
    <row r="295" spans="1:38" ht="14.25" customHeight="1">
      <c r="A295" s="2464" t="s">
        <v>5959</v>
      </c>
      <c r="B295" s="1355">
        <v>31.78</v>
      </c>
      <c r="C295" s="2352"/>
      <c r="D295" s="2461"/>
    </row>
    <row r="296" spans="1:38" ht="14.25" customHeight="1">
      <c r="A296" s="2464" t="s">
        <v>5960</v>
      </c>
      <c r="B296" s="1355">
        <v>63.56</v>
      </c>
      <c r="C296" s="1355">
        <v>53.57</v>
      </c>
      <c r="D296" s="2458">
        <v>56.82</v>
      </c>
    </row>
    <row r="297" spans="1:38" ht="14.25" customHeight="1">
      <c r="A297" s="2464" t="s">
        <v>5934</v>
      </c>
      <c r="B297" s="1355">
        <v>95.34</v>
      </c>
      <c r="C297" s="1355">
        <v>53.57</v>
      </c>
      <c r="D297" s="2458">
        <v>56.82</v>
      </c>
    </row>
    <row r="298" spans="1:38" ht="14.25" customHeight="1">
      <c r="A298" s="2464" t="s">
        <v>5961</v>
      </c>
      <c r="B298" s="2352"/>
      <c r="C298" s="1355">
        <v>26.79</v>
      </c>
      <c r="D298" s="2458">
        <v>28.41</v>
      </c>
    </row>
    <row r="299" spans="1:38" ht="14.25" customHeight="1">
      <c r="A299" s="2464" t="s">
        <v>5816</v>
      </c>
      <c r="B299" s="2352"/>
      <c r="C299" s="1355">
        <v>160.71</v>
      </c>
      <c r="D299" s="2459">
        <v>170.45</v>
      </c>
    </row>
    <row r="300" spans="1:38" ht="14.25" customHeight="1">
      <c r="A300" s="2464" t="s">
        <v>5962</v>
      </c>
      <c r="B300" s="2352"/>
      <c r="C300" s="1355">
        <v>53.57</v>
      </c>
      <c r="D300" s="2458">
        <v>56.82</v>
      </c>
    </row>
    <row r="301" spans="1:38" ht="14.25" customHeight="1">
      <c r="A301" s="2464" t="s">
        <v>5794</v>
      </c>
      <c r="B301" s="2352"/>
      <c r="C301" s="2352"/>
      <c r="D301" s="2458">
        <v>28.41</v>
      </c>
    </row>
    <row r="302" spans="1:38" ht="14.25" customHeight="1">
      <c r="A302" s="2464" t="s">
        <v>5963</v>
      </c>
      <c r="B302" s="2352"/>
      <c r="C302" s="2352"/>
      <c r="D302" s="2458">
        <v>56.82</v>
      </c>
    </row>
    <row r="303" spans="1:38" ht="14.25" customHeight="1">
      <c r="A303" s="2464" t="s">
        <v>5964</v>
      </c>
      <c r="B303" s="2352"/>
      <c r="C303" s="2352"/>
      <c r="D303" s="2458">
        <v>28.41</v>
      </c>
    </row>
    <row r="304" spans="1:38" ht="14.25" customHeight="1">
      <c r="A304" s="2438" t="s">
        <v>5939</v>
      </c>
      <c r="B304" s="2428">
        <v>5000</v>
      </c>
      <c r="C304" s="2428">
        <f>SUM(C281:C300)</f>
        <v>5000.0099999999993</v>
      </c>
      <c r="D304" s="2462">
        <f>SUM(D281:D303)</f>
        <v>5000.0099999999984</v>
      </c>
    </row>
    <row r="307" spans="1:13" ht="14.25" customHeight="1">
      <c r="A307" s="1401" t="s">
        <v>7119</v>
      </c>
    </row>
    <row r="309" spans="1:13" ht="14.25" customHeight="1">
      <c r="A309" s="2435"/>
      <c r="B309" s="2430" t="s">
        <v>5965</v>
      </c>
      <c r="C309" s="2430" t="s">
        <v>5966</v>
      </c>
      <c r="D309" s="2430" t="s">
        <v>5967</v>
      </c>
      <c r="E309" s="2431" t="s">
        <v>5968</v>
      </c>
      <c r="F309" s="2430" t="s">
        <v>5965</v>
      </c>
      <c r="G309" s="2430" t="s">
        <v>5969</v>
      </c>
      <c r="H309" s="2430" t="s">
        <v>5970</v>
      </c>
      <c r="I309" s="2432" t="s">
        <v>5971</v>
      </c>
      <c r="J309" s="2430" t="s">
        <v>5965</v>
      </c>
      <c r="K309" s="2430" t="s">
        <v>5972</v>
      </c>
      <c r="L309" s="2430" t="s">
        <v>5970</v>
      </c>
      <c r="M309" s="2431" t="s">
        <v>5973</v>
      </c>
    </row>
    <row r="310" spans="1:13" ht="14.25" customHeight="1">
      <c r="A310" s="2439" t="s">
        <v>5974</v>
      </c>
      <c r="B310" s="2440" t="s">
        <v>5975</v>
      </c>
      <c r="C310" s="2441">
        <v>1299</v>
      </c>
      <c r="D310" s="2441">
        <v>649.5</v>
      </c>
      <c r="E310" s="2442">
        <v>649.5</v>
      </c>
      <c r="F310" s="2451"/>
      <c r="G310" s="2443"/>
      <c r="H310" s="2443"/>
      <c r="I310" s="2452"/>
      <c r="J310" s="2444"/>
      <c r="K310" s="2444"/>
      <c r="L310" s="2444"/>
      <c r="M310" s="2445"/>
    </row>
    <row r="311" spans="1:13" ht="14.25" customHeight="1">
      <c r="A311" s="2436" t="s">
        <v>5976</v>
      </c>
      <c r="B311" s="2320" t="s">
        <v>5977</v>
      </c>
      <c r="C311" s="1353">
        <v>1777.48</v>
      </c>
      <c r="D311" s="1353">
        <v>888.74</v>
      </c>
      <c r="E311" s="2353">
        <v>888.74</v>
      </c>
      <c r="F311" s="2453"/>
      <c r="G311" s="1355"/>
      <c r="H311" s="1355"/>
      <c r="I311" s="2396"/>
      <c r="J311" s="2317"/>
      <c r="K311" s="2317"/>
      <c r="L311" s="2317"/>
      <c r="M311" s="2375"/>
    </row>
    <row r="312" spans="1:13" ht="14.25" customHeight="1">
      <c r="A312" s="2436" t="s">
        <v>5976</v>
      </c>
      <c r="B312" s="2320" t="s">
        <v>5978</v>
      </c>
      <c r="C312" s="1353">
        <v>723.16</v>
      </c>
      <c r="D312" s="1353">
        <v>361.58</v>
      </c>
      <c r="E312" s="2353">
        <v>361.58</v>
      </c>
      <c r="F312" s="2453"/>
      <c r="G312" s="1355"/>
      <c r="H312" s="1355"/>
      <c r="I312" s="2396"/>
      <c r="J312" s="2317"/>
      <c r="K312" s="2317"/>
      <c r="L312" s="2317"/>
      <c r="M312" s="2375"/>
    </row>
    <row r="313" spans="1:13" ht="14.25" customHeight="1">
      <c r="A313" s="2436" t="s">
        <v>5979</v>
      </c>
      <c r="B313" s="2320" t="s">
        <v>5980</v>
      </c>
      <c r="C313" s="1353">
        <v>1575.7</v>
      </c>
      <c r="D313" s="1353">
        <v>787.85</v>
      </c>
      <c r="E313" s="2353">
        <v>787.85</v>
      </c>
      <c r="F313" s="2453"/>
      <c r="G313" s="1355"/>
      <c r="H313" s="1355"/>
      <c r="I313" s="2396"/>
      <c r="J313" s="2317"/>
      <c r="K313" s="2317"/>
      <c r="L313" s="2317"/>
      <c r="M313" s="2375"/>
    </row>
    <row r="314" spans="1:13" ht="14.25" customHeight="1">
      <c r="A314" s="2436" t="s">
        <v>5979</v>
      </c>
      <c r="B314" s="2320" t="s">
        <v>5981</v>
      </c>
      <c r="C314" s="1353">
        <v>139.9</v>
      </c>
      <c r="D314" s="1353">
        <v>69.95</v>
      </c>
      <c r="E314" s="2353">
        <v>69.95</v>
      </c>
      <c r="F314" s="2453"/>
      <c r="G314" s="1355"/>
      <c r="H314" s="1355"/>
      <c r="I314" s="2396"/>
      <c r="J314" s="2317"/>
      <c r="K314" s="2317"/>
      <c r="L314" s="2317"/>
      <c r="M314" s="2375"/>
    </row>
    <row r="315" spans="1:13" ht="14.25" customHeight="1">
      <c r="A315" s="2437" t="s">
        <v>5982</v>
      </c>
      <c r="B315" s="2446" t="s">
        <v>5983</v>
      </c>
      <c r="C315" s="2447">
        <v>3423.5</v>
      </c>
      <c r="D315" s="2447">
        <v>1711.75</v>
      </c>
      <c r="E315" s="2448">
        <v>1711.5</v>
      </c>
      <c r="F315" s="2454"/>
      <c r="G315" s="2426"/>
      <c r="H315" s="2426"/>
      <c r="I315" s="2400"/>
      <c r="J315" s="2449"/>
      <c r="K315" s="2449"/>
      <c r="L315" s="2449"/>
      <c r="M315" s="2450"/>
    </row>
    <row r="316" spans="1:13" ht="14.25" customHeight="1">
      <c r="A316" s="2439" t="s">
        <v>5803</v>
      </c>
      <c r="B316" s="2440"/>
      <c r="C316" s="2441"/>
      <c r="D316" s="2441"/>
      <c r="E316" s="2442"/>
      <c r="F316" s="2455" t="s">
        <v>5984</v>
      </c>
      <c r="G316" s="2441">
        <v>1200</v>
      </c>
      <c r="H316" s="2441">
        <v>1200</v>
      </c>
      <c r="I316" s="2442">
        <v>600</v>
      </c>
      <c r="J316" s="2444"/>
      <c r="K316" s="2444"/>
      <c r="L316" s="2444"/>
      <c r="M316" s="2445"/>
    </row>
    <row r="317" spans="1:13" ht="14.25" customHeight="1">
      <c r="A317" s="2436" t="s">
        <v>5985</v>
      </c>
      <c r="B317" s="2320"/>
      <c r="C317" s="1353"/>
      <c r="D317" s="1353"/>
      <c r="E317" s="2353"/>
      <c r="F317" s="2433" t="s">
        <v>5986</v>
      </c>
      <c r="G317" s="1353">
        <v>2953.61</v>
      </c>
      <c r="H317" s="1353">
        <v>2551.2199999999998</v>
      </c>
      <c r="I317" s="2353">
        <v>1225.6600000000001</v>
      </c>
      <c r="J317" s="2317"/>
      <c r="K317" s="2317"/>
      <c r="L317" s="2317"/>
      <c r="M317" s="2375"/>
    </row>
    <row r="318" spans="1:13" ht="14.25" customHeight="1">
      <c r="A318" s="2436" t="s">
        <v>5987</v>
      </c>
      <c r="B318" s="2320"/>
      <c r="C318" s="1353"/>
      <c r="D318" s="1353"/>
      <c r="E318" s="2353"/>
      <c r="F318" s="2433" t="s">
        <v>5988</v>
      </c>
      <c r="G318" s="1353">
        <v>137.5</v>
      </c>
      <c r="H318" s="1353">
        <v>137.5</v>
      </c>
      <c r="I318" s="2353">
        <v>68.75</v>
      </c>
      <c r="J318" s="2317"/>
      <c r="K318" s="2317"/>
      <c r="L318" s="2317"/>
      <c r="M318" s="2375"/>
    </row>
    <row r="319" spans="1:13" ht="14.25" customHeight="1">
      <c r="A319" s="2436" t="s">
        <v>5989</v>
      </c>
      <c r="B319" s="2320"/>
      <c r="C319" s="1353"/>
      <c r="D319" s="1353"/>
      <c r="E319" s="2353"/>
      <c r="F319" s="2433" t="s">
        <v>5990</v>
      </c>
      <c r="G319" s="1353">
        <v>214.65</v>
      </c>
      <c r="H319" s="1353">
        <v>214.65</v>
      </c>
      <c r="I319" s="2353">
        <v>107.33</v>
      </c>
      <c r="J319" s="2317"/>
      <c r="K319" s="2317"/>
      <c r="L319" s="2317"/>
      <c r="M319" s="2375"/>
    </row>
    <row r="320" spans="1:13" ht="14.25" customHeight="1">
      <c r="A320" s="2437" t="s">
        <v>5953</v>
      </c>
      <c r="B320" s="2446"/>
      <c r="C320" s="2447"/>
      <c r="D320" s="2447"/>
      <c r="E320" s="2448"/>
      <c r="F320" s="2456" t="s">
        <v>5991</v>
      </c>
      <c r="G320" s="2447">
        <v>900</v>
      </c>
      <c r="H320" s="2447">
        <v>900</v>
      </c>
      <c r="I320" s="2448">
        <v>450</v>
      </c>
      <c r="J320" s="2449"/>
      <c r="K320" s="2449"/>
      <c r="L320" s="2449"/>
      <c r="M320" s="2450"/>
    </row>
    <row r="321" spans="1:14" ht="14.25" customHeight="1">
      <c r="A321" s="2439" t="s">
        <v>5987</v>
      </c>
      <c r="B321" s="2440"/>
      <c r="C321" s="2441"/>
      <c r="D321" s="2441"/>
      <c r="E321" s="2442"/>
      <c r="F321" s="2455"/>
      <c r="G321" s="2441"/>
      <c r="H321" s="2441"/>
      <c r="I321" s="2442"/>
      <c r="J321" s="2444" t="s">
        <v>5992</v>
      </c>
      <c r="K321" s="2444">
        <v>2012.2</v>
      </c>
      <c r="L321" s="2444">
        <v>1006.1</v>
      </c>
      <c r="M321" s="2445">
        <v>1006.1</v>
      </c>
    </row>
    <row r="322" spans="1:14" ht="14.25" customHeight="1">
      <c r="A322" s="2436" t="s">
        <v>5803</v>
      </c>
      <c r="B322" s="2320"/>
      <c r="C322" s="1353"/>
      <c r="D322" s="1353"/>
      <c r="E322" s="2353"/>
      <c r="F322" s="2433"/>
      <c r="G322" s="1353"/>
      <c r="H322" s="1353"/>
      <c r="I322" s="2353"/>
      <c r="J322" s="2317" t="s">
        <v>5993</v>
      </c>
      <c r="K322" s="2317">
        <v>410</v>
      </c>
      <c r="L322" s="2317">
        <v>345.01</v>
      </c>
      <c r="M322" s="2375">
        <v>345.01</v>
      </c>
    </row>
    <row r="323" spans="1:14" ht="14.25" customHeight="1">
      <c r="A323" s="2363" t="s">
        <v>5803</v>
      </c>
      <c r="B323" s="2320"/>
      <c r="C323" s="1353"/>
      <c r="D323" s="1353"/>
      <c r="E323" s="2353"/>
      <c r="F323" s="2433"/>
      <c r="G323" s="1353"/>
      <c r="H323" s="1353"/>
      <c r="I323" s="2353"/>
      <c r="J323" s="2317" t="s">
        <v>5994</v>
      </c>
      <c r="K323" s="2317">
        <v>280.01</v>
      </c>
      <c r="L323" s="2317"/>
      <c r="M323" s="2375"/>
    </row>
    <row r="324" spans="1:14" ht="14.25" customHeight="1">
      <c r="A324" s="2363" t="s">
        <v>5995</v>
      </c>
      <c r="B324" s="2320"/>
      <c r="C324" s="1353"/>
      <c r="D324" s="1353"/>
      <c r="E324" s="2353"/>
      <c r="F324" s="2433"/>
      <c r="G324" s="1353"/>
      <c r="H324" s="1353"/>
      <c r="I324" s="2353"/>
      <c r="J324" s="2317" t="s">
        <v>5996</v>
      </c>
      <c r="K324" s="2317">
        <v>1635.61</v>
      </c>
      <c r="L324" s="2317">
        <v>1318.29</v>
      </c>
      <c r="M324" s="2375">
        <v>1318.29</v>
      </c>
    </row>
    <row r="325" spans="1:14" ht="14.25" customHeight="1">
      <c r="A325" s="2436" t="s">
        <v>5995</v>
      </c>
      <c r="B325" s="2320"/>
      <c r="C325" s="1353"/>
      <c r="D325" s="1353"/>
      <c r="E325" s="2353"/>
      <c r="F325" s="2433"/>
      <c r="G325" s="1353"/>
      <c r="H325" s="1353"/>
      <c r="I325" s="2353"/>
      <c r="J325" s="2317" t="s">
        <v>5997</v>
      </c>
      <c r="K325" s="2317">
        <v>1001.97</v>
      </c>
      <c r="L325" s="2317"/>
      <c r="M325" s="2375"/>
    </row>
    <row r="326" spans="1:14" ht="14.25" customHeight="1">
      <c r="A326" s="2437" t="s">
        <v>5998</v>
      </c>
      <c r="B326" s="2446"/>
      <c r="C326" s="2447"/>
      <c r="D326" s="2447"/>
      <c r="E326" s="2448"/>
      <c r="F326" s="2456"/>
      <c r="G326" s="2447"/>
      <c r="H326" s="2447"/>
      <c r="I326" s="2448"/>
      <c r="J326" s="2449" t="s">
        <v>5999</v>
      </c>
      <c r="K326" s="2449">
        <f>845.51+1027.29</f>
        <v>1872.8</v>
      </c>
      <c r="L326" s="2449">
        <v>0</v>
      </c>
      <c r="M326" s="2450">
        <v>0</v>
      </c>
      <c r="N326" s="1396" t="s">
        <v>6000</v>
      </c>
    </row>
    <row r="327" spans="1:14" ht="14.25" customHeight="1">
      <c r="A327" s="2438" t="s">
        <v>5939</v>
      </c>
      <c r="B327" s="2428"/>
      <c r="C327" s="2428">
        <v>8938.74</v>
      </c>
      <c r="D327" s="2428">
        <v>4469.37</v>
      </c>
      <c r="E327" s="2429">
        <v>4469.12</v>
      </c>
      <c r="F327" s="2434"/>
      <c r="G327" s="2428">
        <f>SUM(G316:G320)</f>
        <v>5405.76</v>
      </c>
      <c r="H327" s="2428">
        <f>SUM( H316:H320)</f>
        <v>5003.37</v>
      </c>
      <c r="I327" s="2429">
        <f>SUM(I316:I320)</f>
        <v>2451.7399999999998</v>
      </c>
      <c r="J327" s="2428"/>
      <c r="K327" s="2428">
        <f>SUM(K321:K326)</f>
        <v>7212.59</v>
      </c>
      <c r="L327" s="2428">
        <f>SUM(L321:L326)</f>
        <v>2669.4</v>
      </c>
      <c r="M327" s="2429">
        <f>SUM(M321:M326)</f>
        <v>2669.4</v>
      </c>
    </row>
    <row r="328" spans="1:14" ht="14.25" customHeight="1">
      <c r="A328" s="1395"/>
      <c r="D328" s="2354"/>
      <c r="E328" s="2354"/>
    </row>
    <row r="329" spans="1:14" ht="14.25" customHeight="1">
      <c r="A329" s="1395"/>
      <c r="D329" s="2354"/>
      <c r="E329" s="2354"/>
    </row>
    <row r="330" spans="1:14" ht="14.25" customHeight="1">
      <c r="A330" s="1395"/>
      <c r="D330" s="2354"/>
      <c r="E330" s="2354"/>
    </row>
    <row r="331" spans="1:14" ht="14.25" customHeight="1">
      <c r="A331" s="1395"/>
      <c r="D331" s="2354"/>
      <c r="E331" s="2354"/>
    </row>
  </sheetData>
  <mergeCells count="5">
    <mergeCell ref="B217:D217"/>
    <mergeCell ref="E217:G217"/>
    <mergeCell ref="H217:J217"/>
    <mergeCell ref="K217:M217"/>
    <mergeCell ref="A1:F1"/>
  </mergeCells>
  <hyperlinks>
    <hyperlink ref="A1:F1" location="FINANCIËN!A1" display="SUBSIDIES" xr:uid="{00000000-0004-0000-4300-000000000000}"/>
  </hyperlinks>
  <pageMargins left="0.7" right="0.7" top="0.75" bottom="0.75" header="0.3" footer="0.3"/>
  <pageSetup paperSize="9" orientation="landscape" r:id="rId1"/>
  <drawing r:id="rId2"/>
  <legacy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EBD531"/>
    <pageSetUpPr fitToPage="1"/>
  </sheetPr>
  <dimension ref="A1:R268"/>
  <sheetViews>
    <sheetView zoomScaleNormal="100" workbookViewId="0">
      <selection sqref="A1:K1"/>
    </sheetView>
  </sheetViews>
  <sheetFormatPr defaultColWidth="9.140625" defaultRowHeight="12.75"/>
  <cols>
    <col min="1" max="1" width="6.5703125" style="1478" customWidth="1"/>
    <col min="2" max="2" width="21.85546875" style="1479" customWidth="1"/>
    <col min="3" max="3" width="12.85546875" style="1479" bestFit="1" customWidth="1"/>
    <col min="4" max="4" width="12.42578125" style="1479" customWidth="1"/>
    <col min="5" max="5" width="8.85546875" style="1480" bestFit="1" customWidth="1"/>
    <col min="6" max="6" width="11.85546875" style="1479" customWidth="1"/>
    <col min="7" max="8" width="10.85546875" style="1479" bestFit="1" customWidth="1"/>
    <col min="9" max="9" width="10.28515625" style="1479" bestFit="1" customWidth="1"/>
    <col min="10" max="10" width="10.85546875" style="1479" bestFit="1" customWidth="1"/>
    <col min="11" max="11" width="10.7109375" style="1479" customWidth="1"/>
    <col min="12" max="12" width="10.85546875" style="1479" bestFit="1" customWidth="1"/>
    <col min="13" max="13" width="11.42578125" style="1479" customWidth="1"/>
    <col min="14" max="14" width="10.85546875" style="1479" bestFit="1" customWidth="1"/>
    <col min="15" max="15" width="12.5703125" style="1479" customWidth="1"/>
    <col min="16" max="16" width="11.85546875" style="1479" bestFit="1" customWidth="1"/>
    <col min="17" max="17" width="13.140625" style="1479" customWidth="1"/>
    <col min="18" max="18" width="13.28515625" style="1479" customWidth="1"/>
    <col min="19" max="16384" width="9.140625" style="1479"/>
  </cols>
  <sheetData>
    <row r="1" spans="1:18" s="1509" customFormat="1" ht="21" customHeight="1">
      <c r="A1" s="4757" t="s">
        <v>5487</v>
      </c>
      <c r="B1" s="4758"/>
      <c r="C1" s="4758"/>
      <c r="D1" s="4758"/>
      <c r="E1" s="4758"/>
      <c r="F1" s="4758"/>
      <c r="G1" s="4758"/>
      <c r="H1" s="4758"/>
      <c r="I1" s="4758"/>
      <c r="J1" s="4758"/>
      <c r="K1" s="4758"/>
    </row>
    <row r="2" spans="1:18" s="1538" customFormat="1" ht="12" customHeight="1">
      <c r="A2" s="1537"/>
      <c r="B2" s="1537"/>
      <c r="C2" s="1537"/>
      <c r="D2" s="1537"/>
      <c r="E2" s="1537"/>
      <c r="F2" s="1537"/>
      <c r="G2" s="1537"/>
      <c r="H2" s="1537"/>
      <c r="I2" s="1537"/>
      <c r="J2" s="1537"/>
      <c r="K2" s="1537"/>
    </row>
    <row r="3" spans="1:18" s="1538" customFormat="1" ht="15" hidden="1" customHeight="1">
      <c r="A3" s="1536">
        <v>2015</v>
      </c>
      <c r="B3" s="1537"/>
      <c r="C3" s="1537"/>
      <c r="D3" s="1537"/>
      <c r="E3" s="1537"/>
      <c r="F3" s="1537"/>
      <c r="G3" s="1537"/>
      <c r="H3" s="1537"/>
      <c r="I3" s="1537"/>
      <c r="J3" s="1537"/>
      <c r="K3" s="1537"/>
    </row>
    <row r="4" spans="1:18" hidden="1"/>
    <row r="5" spans="1:18" s="1484" customFormat="1" ht="21" hidden="1" customHeight="1">
      <c r="A5" s="1481" t="s">
        <v>2532</v>
      </c>
      <c r="B5" s="1510" t="s">
        <v>624</v>
      </c>
      <c r="C5" s="1482" t="s">
        <v>920</v>
      </c>
      <c r="D5" s="1482" t="s">
        <v>2533</v>
      </c>
      <c r="E5" s="1482" t="s">
        <v>636</v>
      </c>
      <c r="F5" s="1482" t="s">
        <v>2534</v>
      </c>
      <c r="G5" s="1482" t="s">
        <v>2535</v>
      </c>
      <c r="H5" s="1482" t="s">
        <v>2536</v>
      </c>
      <c r="I5" s="1482" t="s">
        <v>2537</v>
      </c>
      <c r="J5" s="1482" t="s">
        <v>2538</v>
      </c>
      <c r="K5" s="1482" t="s">
        <v>720</v>
      </c>
      <c r="L5" s="1482" t="s">
        <v>2539</v>
      </c>
      <c r="M5" s="1482" t="s">
        <v>2540</v>
      </c>
      <c r="N5" s="1482" t="s">
        <v>965</v>
      </c>
      <c r="O5" s="1482" t="s">
        <v>2541</v>
      </c>
      <c r="P5" s="1482" t="s">
        <v>2542</v>
      </c>
      <c r="Q5" s="1482" t="s">
        <v>968</v>
      </c>
      <c r="R5" s="1483" t="s">
        <v>969</v>
      </c>
    </row>
    <row r="6" spans="1:18" hidden="1">
      <c r="A6" s="1485" t="s">
        <v>2543</v>
      </c>
      <c r="B6" s="1526" t="s">
        <v>2544</v>
      </c>
      <c r="C6" s="1486">
        <v>135782</v>
      </c>
      <c r="D6" s="1487">
        <v>79605.33</v>
      </c>
      <c r="E6" s="1488">
        <f t="shared" ref="E6:E23" si="0">D6/C6*100</f>
        <v>58.627307006819748</v>
      </c>
      <c r="F6" s="1486">
        <f>C6-D6</f>
        <v>56176.67</v>
      </c>
      <c r="G6" s="1486">
        <v>0</v>
      </c>
      <c r="H6" s="1486">
        <v>15159.9</v>
      </c>
      <c r="I6" s="1487">
        <v>17591.52</v>
      </c>
      <c r="J6" s="1487">
        <v>17622.759999999998</v>
      </c>
      <c r="K6" s="1487">
        <v>38071.94</v>
      </c>
      <c r="L6" s="1487">
        <v>38078.94</v>
      </c>
      <c r="M6" s="1487">
        <v>56959.07</v>
      </c>
      <c r="N6" s="1487">
        <v>56959.07</v>
      </c>
      <c r="O6" s="1487">
        <v>56959.07</v>
      </c>
      <c r="P6" s="1487">
        <v>66344.41</v>
      </c>
      <c r="Q6" s="1487">
        <v>70892.509999999995</v>
      </c>
      <c r="R6" s="1489">
        <v>79605.33</v>
      </c>
    </row>
    <row r="7" spans="1:18" hidden="1">
      <c r="A7" s="1485" t="s">
        <v>2545</v>
      </c>
      <c r="B7" s="1526" t="s">
        <v>2546</v>
      </c>
      <c r="C7" s="1486">
        <v>6900</v>
      </c>
      <c r="D7" s="1487">
        <v>8319.02</v>
      </c>
      <c r="E7" s="1490">
        <f t="shared" si="0"/>
        <v>120.56550724637682</v>
      </c>
      <c r="F7" s="1486">
        <f>C7-D7</f>
        <v>-1419.0200000000004</v>
      </c>
      <c r="G7" s="1486">
        <v>873.42</v>
      </c>
      <c r="H7" s="1486">
        <v>873.42</v>
      </c>
      <c r="I7" s="1487">
        <v>873.42</v>
      </c>
      <c r="J7" s="1487">
        <v>873.42</v>
      </c>
      <c r="K7" s="1487">
        <v>873.42</v>
      </c>
      <c r="L7" s="1487">
        <v>1325.71</v>
      </c>
      <c r="M7" s="1487">
        <v>1448.27</v>
      </c>
      <c r="N7" s="1487">
        <v>1448.27</v>
      </c>
      <c r="O7" s="1487">
        <v>1465.22</v>
      </c>
      <c r="P7" s="1487">
        <v>8346.98</v>
      </c>
      <c r="Q7" s="1487">
        <v>8346.98</v>
      </c>
      <c r="R7" s="1489">
        <v>8319.02</v>
      </c>
    </row>
    <row r="8" spans="1:18" hidden="1">
      <c r="A8" s="1485" t="s">
        <v>2547</v>
      </c>
      <c r="B8" s="1526" t="s">
        <v>2548</v>
      </c>
      <c r="C8" s="1486">
        <v>7690</v>
      </c>
      <c r="D8" s="1487">
        <v>8479.4699999999993</v>
      </c>
      <c r="E8" s="1488">
        <f t="shared" si="0"/>
        <v>110.26618985695708</v>
      </c>
      <c r="F8" s="1486">
        <f t="shared" ref="F8:F27" si="1">C8-D8</f>
        <v>-789.46999999999935</v>
      </c>
      <c r="G8" s="1486">
        <v>3083.26</v>
      </c>
      <c r="H8" s="1486">
        <v>2883.81</v>
      </c>
      <c r="I8" s="1487">
        <v>2975.79</v>
      </c>
      <c r="J8" s="1487">
        <v>5626.57</v>
      </c>
      <c r="K8" s="1487">
        <v>4961.1899999999996</v>
      </c>
      <c r="L8" s="1487">
        <v>5352.27</v>
      </c>
      <c r="M8" s="1487">
        <v>5892.51</v>
      </c>
      <c r="N8" s="1487">
        <v>6180.99</v>
      </c>
      <c r="O8" s="1487">
        <v>6326.91</v>
      </c>
      <c r="P8" s="1487">
        <v>7562.73</v>
      </c>
      <c r="Q8" s="1487">
        <v>8411.57</v>
      </c>
      <c r="R8" s="1489">
        <v>8479.4699999999993</v>
      </c>
    </row>
    <row r="9" spans="1:18" hidden="1">
      <c r="A9" s="1485" t="s">
        <v>2549</v>
      </c>
      <c r="B9" s="1526" t="s">
        <v>2550</v>
      </c>
      <c r="C9" s="1486">
        <v>719402</v>
      </c>
      <c r="D9" s="1487">
        <v>808622.27</v>
      </c>
      <c r="E9" s="1488">
        <f t="shared" si="0"/>
        <v>112.40200472058739</v>
      </c>
      <c r="F9" s="1486">
        <f t="shared" si="1"/>
        <v>-89220.270000000019</v>
      </c>
      <c r="G9" s="1486">
        <v>87592.87</v>
      </c>
      <c r="H9" s="1486">
        <v>205589.63</v>
      </c>
      <c r="I9" s="1487">
        <v>267506.42</v>
      </c>
      <c r="J9" s="1487">
        <v>315400.53999999998</v>
      </c>
      <c r="K9" s="1487">
        <v>370471.46</v>
      </c>
      <c r="L9" s="1487">
        <v>441414.49</v>
      </c>
      <c r="M9" s="1487">
        <v>486901.71</v>
      </c>
      <c r="N9" s="1487">
        <v>525274.39</v>
      </c>
      <c r="O9" s="1487">
        <v>606238.69999999995</v>
      </c>
      <c r="P9" s="1487">
        <v>640254.56000000006</v>
      </c>
      <c r="Q9" s="1487">
        <v>694802.58</v>
      </c>
      <c r="R9" s="1489">
        <v>808622.27</v>
      </c>
    </row>
    <row r="10" spans="1:18" hidden="1">
      <c r="A10" s="1485" t="s">
        <v>2549</v>
      </c>
      <c r="B10" s="1526" t="s">
        <v>2551</v>
      </c>
      <c r="C10" s="1486">
        <v>397337</v>
      </c>
      <c r="D10" s="1487">
        <v>363296.12</v>
      </c>
      <c r="E10" s="1488">
        <f t="shared" si="0"/>
        <v>91.432743489783235</v>
      </c>
      <c r="F10" s="1486">
        <f t="shared" si="1"/>
        <v>34040.880000000005</v>
      </c>
      <c r="G10" s="1486">
        <v>108179.41</v>
      </c>
      <c r="H10" s="1486">
        <v>148523.07</v>
      </c>
      <c r="I10" s="1487">
        <v>177716.44</v>
      </c>
      <c r="J10" s="1487">
        <v>197997.02</v>
      </c>
      <c r="K10" s="1487">
        <v>223827.1</v>
      </c>
      <c r="L10" s="1487">
        <v>242926.53</v>
      </c>
      <c r="M10" s="1487">
        <v>279658.31</v>
      </c>
      <c r="N10" s="1487">
        <v>295531.44</v>
      </c>
      <c r="O10" s="1487">
        <v>320308.99</v>
      </c>
      <c r="P10" s="1487">
        <v>340279.38</v>
      </c>
      <c r="Q10" s="1487">
        <v>360547.23</v>
      </c>
      <c r="R10" s="1489">
        <v>363296.12</v>
      </c>
    </row>
    <row r="11" spans="1:18" hidden="1">
      <c r="A11" s="1485" t="s">
        <v>2549</v>
      </c>
      <c r="B11" s="1526" t="s">
        <v>2552</v>
      </c>
      <c r="C11" s="1486">
        <v>800800</v>
      </c>
      <c r="D11" s="1487">
        <v>738484.23</v>
      </c>
      <c r="E11" s="1488">
        <f>D11/C11*100</f>
        <v>92.21831043956044</v>
      </c>
      <c r="F11" s="1486">
        <f t="shared" si="1"/>
        <v>62315.770000000019</v>
      </c>
      <c r="G11" s="1486">
        <v>1380.31</v>
      </c>
      <c r="H11" s="1486">
        <v>66335.81</v>
      </c>
      <c r="I11" s="1487">
        <v>102822.66</v>
      </c>
      <c r="J11" s="1487">
        <v>171267.61</v>
      </c>
      <c r="K11" s="1487">
        <v>211079.5</v>
      </c>
      <c r="L11" s="1487">
        <v>241629.37</v>
      </c>
      <c r="M11" s="1487">
        <v>386464.2</v>
      </c>
      <c r="N11" s="1487">
        <v>396299.05</v>
      </c>
      <c r="O11" s="1487">
        <v>432685.85</v>
      </c>
      <c r="P11" s="1487">
        <v>569336.18999999994</v>
      </c>
      <c r="Q11" s="1487">
        <v>644423.92000000004</v>
      </c>
      <c r="R11" s="1489">
        <v>738484.23</v>
      </c>
    </row>
    <row r="12" spans="1:18" hidden="1">
      <c r="A12" s="1485" t="s">
        <v>2549</v>
      </c>
      <c r="B12" s="1526" t="s">
        <v>2553</v>
      </c>
      <c r="C12" s="1486">
        <v>258350</v>
      </c>
      <c r="D12" s="1487">
        <v>2834.49</v>
      </c>
      <c r="E12" s="1491">
        <f t="shared" si="0"/>
        <v>1.0971511515386103</v>
      </c>
      <c r="F12" s="1486">
        <f t="shared" si="1"/>
        <v>255515.51</v>
      </c>
      <c r="G12" s="1486">
        <v>513</v>
      </c>
      <c r="H12" s="1486">
        <v>1079.26</v>
      </c>
      <c r="I12" s="1487">
        <v>1290.04</v>
      </c>
      <c r="J12" s="1487">
        <v>1832.52</v>
      </c>
      <c r="K12" s="1487">
        <v>1833.75</v>
      </c>
      <c r="L12" s="1487">
        <v>1956.29</v>
      </c>
      <c r="M12" s="1487">
        <v>2039.72</v>
      </c>
      <c r="N12" s="1487">
        <v>2040.95</v>
      </c>
      <c r="O12" s="1487">
        <v>2826.76</v>
      </c>
      <c r="P12" s="1487">
        <v>3419.8</v>
      </c>
      <c r="Q12" s="1487">
        <v>4421.29</v>
      </c>
      <c r="R12" s="1489">
        <v>2834.49</v>
      </c>
    </row>
    <row r="13" spans="1:18" hidden="1">
      <c r="A13" s="1485" t="s">
        <v>2554</v>
      </c>
      <c r="B13" s="1526" t="s">
        <v>2555</v>
      </c>
      <c r="C13" s="1486">
        <v>2772</v>
      </c>
      <c r="D13" s="1487">
        <v>2771.15</v>
      </c>
      <c r="E13" s="1491">
        <f t="shared" si="0"/>
        <v>99.969336219336228</v>
      </c>
      <c r="F13" s="1486">
        <f t="shared" si="1"/>
        <v>0.84999999999990905</v>
      </c>
      <c r="G13" s="1486">
        <v>1840.76</v>
      </c>
      <c r="H13" s="1486">
        <v>2220.65</v>
      </c>
      <c r="I13" s="1487">
        <v>2220.65</v>
      </c>
      <c r="J13" s="1487">
        <v>2220.65</v>
      </c>
      <c r="K13" s="1487">
        <v>2220.65</v>
      </c>
      <c r="L13" s="1487">
        <v>2771.15</v>
      </c>
      <c r="M13" s="1487">
        <v>2771.15</v>
      </c>
      <c r="N13" s="1487">
        <v>2771.15</v>
      </c>
      <c r="O13" s="1487">
        <v>2771.15</v>
      </c>
      <c r="P13" s="1487">
        <v>2771.15</v>
      </c>
      <c r="Q13" s="1487">
        <v>2771.15</v>
      </c>
      <c r="R13" s="1489">
        <v>2771.15</v>
      </c>
    </row>
    <row r="14" spans="1:18" hidden="1">
      <c r="A14" s="1485" t="s">
        <v>2549</v>
      </c>
      <c r="B14" s="1526" t="s">
        <v>2556</v>
      </c>
      <c r="C14" s="1486">
        <v>28500</v>
      </c>
      <c r="D14" s="1487">
        <v>1766.81</v>
      </c>
      <c r="E14" s="1491">
        <f t="shared" si="0"/>
        <v>6.1993333333333327</v>
      </c>
      <c r="F14" s="1486">
        <f t="shared" si="1"/>
        <v>26733.19</v>
      </c>
      <c r="G14" s="1486">
        <v>15</v>
      </c>
      <c r="H14" s="1486">
        <v>28.33</v>
      </c>
      <c r="I14" s="1487">
        <v>494.4</v>
      </c>
      <c r="J14" s="1487">
        <v>494.4</v>
      </c>
      <c r="K14" s="1487">
        <v>494.85</v>
      </c>
      <c r="L14" s="1487">
        <v>1452.12</v>
      </c>
      <c r="M14" s="1487">
        <v>1480.21</v>
      </c>
      <c r="N14" s="1487">
        <v>1480.21</v>
      </c>
      <c r="O14" s="1487">
        <v>1518.91</v>
      </c>
      <c r="P14" s="1487">
        <v>1715.11</v>
      </c>
      <c r="Q14" s="1487">
        <v>1732.13</v>
      </c>
      <c r="R14" s="1489">
        <v>1766.81</v>
      </c>
    </row>
    <row r="15" spans="1:18" hidden="1">
      <c r="A15" s="1485" t="s">
        <v>2549</v>
      </c>
      <c r="B15" s="1526" t="s">
        <v>2557</v>
      </c>
      <c r="C15" s="1486">
        <v>371272</v>
      </c>
      <c r="D15" s="1487">
        <v>341906.04</v>
      </c>
      <c r="E15" s="1491">
        <f t="shared" si="0"/>
        <v>92.090445818698953</v>
      </c>
      <c r="F15" s="1486">
        <f t="shared" si="1"/>
        <v>29365.960000000021</v>
      </c>
      <c r="G15" s="1486">
        <v>28668.63</v>
      </c>
      <c r="H15" s="1486">
        <v>87054.8</v>
      </c>
      <c r="I15" s="1487">
        <v>102519.86</v>
      </c>
      <c r="J15" s="1487">
        <v>153118.26</v>
      </c>
      <c r="K15" s="1487">
        <v>184063.97</v>
      </c>
      <c r="L15" s="1487">
        <v>239454.45</v>
      </c>
      <c r="M15" s="1487">
        <v>266446.3</v>
      </c>
      <c r="N15" s="1487">
        <v>276758.87</v>
      </c>
      <c r="O15" s="1487">
        <v>297552.78000000003</v>
      </c>
      <c r="P15" s="1487">
        <v>328477.8</v>
      </c>
      <c r="Q15" s="1487">
        <v>349055.17</v>
      </c>
      <c r="R15" s="1489">
        <v>341906.04</v>
      </c>
    </row>
    <row r="16" spans="1:18" hidden="1">
      <c r="A16" s="1485" t="s">
        <v>2549</v>
      </c>
      <c r="B16" s="1526" t="s">
        <v>2558</v>
      </c>
      <c r="C16" s="1486">
        <v>88891</v>
      </c>
      <c r="D16" s="1487">
        <v>51690.62</v>
      </c>
      <c r="E16" s="1491">
        <f t="shared" si="0"/>
        <v>58.150566424047433</v>
      </c>
      <c r="F16" s="1486">
        <f t="shared" si="1"/>
        <v>37200.379999999997</v>
      </c>
      <c r="G16" s="1486">
        <v>1007.77</v>
      </c>
      <c r="H16" s="1486">
        <v>9873.7199999999993</v>
      </c>
      <c r="I16" s="1487">
        <v>20059.36</v>
      </c>
      <c r="J16" s="1487">
        <v>22748.32</v>
      </c>
      <c r="K16" s="1487">
        <v>23059.68</v>
      </c>
      <c r="L16" s="1487">
        <v>29932.959999999999</v>
      </c>
      <c r="M16" s="1487">
        <v>32147.200000000001</v>
      </c>
      <c r="N16" s="1487">
        <v>34749.03</v>
      </c>
      <c r="O16" s="1487">
        <v>37933.94</v>
      </c>
      <c r="P16" s="1487">
        <v>39480.1</v>
      </c>
      <c r="Q16" s="1487">
        <v>47472.92</v>
      </c>
      <c r="R16" s="1489">
        <v>51690.62</v>
      </c>
    </row>
    <row r="17" spans="1:18" hidden="1">
      <c r="A17" s="1485" t="s">
        <v>2559</v>
      </c>
      <c r="B17" s="1526" t="s">
        <v>2560</v>
      </c>
      <c r="C17" s="1486">
        <v>250000</v>
      </c>
      <c r="D17" s="1487">
        <v>254253.54</v>
      </c>
      <c r="E17" s="1491">
        <f t="shared" si="0"/>
        <v>101.70141599999999</v>
      </c>
      <c r="F17" s="1486">
        <f t="shared" si="1"/>
        <v>-4253.5400000000081</v>
      </c>
      <c r="G17" s="1486">
        <v>211.94</v>
      </c>
      <c r="H17" s="1486">
        <v>29224.7</v>
      </c>
      <c r="I17" s="1487">
        <v>49304.76</v>
      </c>
      <c r="J17" s="1487">
        <v>74050.350000000006</v>
      </c>
      <c r="K17" s="1487">
        <v>88404.479999999996</v>
      </c>
      <c r="L17" s="1487">
        <v>101531.89</v>
      </c>
      <c r="M17" s="1487">
        <v>116553.83</v>
      </c>
      <c r="N17" s="1487">
        <v>129966.23</v>
      </c>
      <c r="O17" s="1487">
        <v>149250.76</v>
      </c>
      <c r="P17" s="1487">
        <v>177489.55</v>
      </c>
      <c r="Q17" s="1487">
        <v>199553.79</v>
      </c>
      <c r="R17" s="1489">
        <v>254253.54</v>
      </c>
    </row>
    <row r="18" spans="1:18" hidden="1">
      <c r="A18" s="1485" t="s">
        <v>2549</v>
      </c>
      <c r="B18" s="1526" t="s">
        <v>1759</v>
      </c>
      <c r="C18" s="1486">
        <v>219081</v>
      </c>
      <c r="D18" s="1487">
        <v>185351.67</v>
      </c>
      <c r="E18" s="1491">
        <f t="shared" si="0"/>
        <v>84.604173798731992</v>
      </c>
      <c r="F18" s="1486">
        <f t="shared" si="1"/>
        <v>33729.329999999987</v>
      </c>
      <c r="G18" s="1486">
        <v>41199.42</v>
      </c>
      <c r="H18" s="1486">
        <v>52233.67</v>
      </c>
      <c r="I18" s="1487">
        <v>64112.92</v>
      </c>
      <c r="J18" s="1487">
        <v>77541.23</v>
      </c>
      <c r="K18" s="1487">
        <v>81863.08</v>
      </c>
      <c r="L18" s="1487">
        <v>88693.94</v>
      </c>
      <c r="M18" s="1487">
        <v>100232.61</v>
      </c>
      <c r="N18" s="1487">
        <v>106496.48</v>
      </c>
      <c r="O18" s="1487">
        <v>137609.94</v>
      </c>
      <c r="P18" s="1487">
        <v>147539.65</v>
      </c>
      <c r="Q18" s="1487">
        <v>156870.89000000001</v>
      </c>
      <c r="R18" s="1489">
        <v>185351.67</v>
      </c>
    </row>
    <row r="19" spans="1:18" hidden="1">
      <c r="A19" s="1485" t="s">
        <v>2549</v>
      </c>
      <c r="B19" s="1526" t="s">
        <v>2561</v>
      </c>
      <c r="C19" s="1486">
        <v>108155</v>
      </c>
      <c r="D19" s="1487">
        <v>97513.8</v>
      </c>
      <c r="E19" s="1491">
        <f t="shared" si="0"/>
        <v>90.161157597891915</v>
      </c>
      <c r="F19" s="1486">
        <f t="shared" si="1"/>
        <v>10641.199999999997</v>
      </c>
      <c r="G19" s="1486">
        <v>15396.05</v>
      </c>
      <c r="H19" s="1486">
        <v>42193.91</v>
      </c>
      <c r="I19" s="1487">
        <v>43801.82</v>
      </c>
      <c r="J19" s="1487">
        <v>49292.75</v>
      </c>
      <c r="K19" s="1487">
        <v>57233.07</v>
      </c>
      <c r="L19" s="1487">
        <v>62744.91</v>
      </c>
      <c r="M19" s="1487">
        <v>69081.11</v>
      </c>
      <c r="N19" s="1487">
        <v>75905.83</v>
      </c>
      <c r="O19" s="1487">
        <v>85111.95</v>
      </c>
      <c r="P19" s="1487">
        <v>85734.22</v>
      </c>
      <c r="Q19" s="1487">
        <v>94711.37</v>
      </c>
      <c r="R19" s="1489">
        <v>97513.8</v>
      </c>
    </row>
    <row r="20" spans="1:18" hidden="1">
      <c r="A20" s="1485" t="s">
        <v>2562</v>
      </c>
      <c r="B20" s="1526" t="s">
        <v>2563</v>
      </c>
      <c r="C20" s="1486">
        <v>100500</v>
      </c>
      <c r="D20" s="1487">
        <v>76951.929999999993</v>
      </c>
      <c r="E20" s="1491">
        <f t="shared" si="0"/>
        <v>76.569084577114424</v>
      </c>
      <c r="F20" s="1486">
        <f t="shared" si="1"/>
        <v>23548.070000000007</v>
      </c>
      <c r="G20" s="1486">
        <v>7533.54</v>
      </c>
      <c r="H20" s="1486">
        <v>13114.48</v>
      </c>
      <c r="I20" s="1487">
        <v>22692.21</v>
      </c>
      <c r="J20" s="1487">
        <v>24418.01</v>
      </c>
      <c r="K20" s="1487">
        <v>26566.15</v>
      </c>
      <c r="L20" s="1487">
        <v>29010.720000000001</v>
      </c>
      <c r="M20" s="1487">
        <v>37793.82</v>
      </c>
      <c r="N20" s="1487">
        <v>38128.120000000003</v>
      </c>
      <c r="O20" s="1487">
        <v>39257.839999999997</v>
      </c>
      <c r="P20" s="1487">
        <v>79922.37</v>
      </c>
      <c r="Q20" s="1487">
        <v>74661.67</v>
      </c>
      <c r="R20" s="1489">
        <v>76951.929999999993</v>
      </c>
    </row>
    <row r="21" spans="1:18" hidden="1">
      <c r="A21" s="1485" t="s">
        <v>2549</v>
      </c>
      <c r="B21" s="1526" t="s">
        <v>2467</v>
      </c>
      <c r="C21" s="1486">
        <v>285986</v>
      </c>
      <c r="D21" s="1487">
        <v>235899.83</v>
      </c>
      <c r="E21" s="1491">
        <f t="shared" si="0"/>
        <v>82.48649584245382</v>
      </c>
      <c r="F21" s="1486">
        <f t="shared" si="1"/>
        <v>50086.170000000013</v>
      </c>
      <c r="G21" s="1486">
        <v>19651.39</v>
      </c>
      <c r="H21" s="1486">
        <v>43063.96</v>
      </c>
      <c r="I21" s="1487">
        <v>66667.11</v>
      </c>
      <c r="J21" s="1487">
        <v>86600.98</v>
      </c>
      <c r="K21" s="1487">
        <v>124730.27</v>
      </c>
      <c r="L21" s="1487">
        <v>147503.35</v>
      </c>
      <c r="M21" s="1487">
        <v>161560.69</v>
      </c>
      <c r="N21" s="1487">
        <v>170437.15</v>
      </c>
      <c r="O21" s="1487">
        <v>185824.76</v>
      </c>
      <c r="P21" s="1487">
        <v>201521.04</v>
      </c>
      <c r="Q21" s="1487">
        <v>219773.7</v>
      </c>
      <c r="R21" s="1489">
        <v>235899.83</v>
      </c>
    </row>
    <row r="22" spans="1:18" hidden="1">
      <c r="A22" s="1485" t="s">
        <v>2549</v>
      </c>
      <c r="B22" s="1526" t="s">
        <v>2564</v>
      </c>
      <c r="C22" s="1486">
        <v>62477</v>
      </c>
      <c r="D22" s="1487">
        <v>31377.09</v>
      </c>
      <c r="E22" s="1491">
        <f t="shared" si="0"/>
        <v>50.221825631832516</v>
      </c>
      <c r="F22" s="1486">
        <f t="shared" si="1"/>
        <v>31099.91</v>
      </c>
      <c r="G22" s="1486">
        <v>3596.65</v>
      </c>
      <c r="H22" s="1486">
        <v>7165.03</v>
      </c>
      <c r="I22" s="1487">
        <v>12158.3</v>
      </c>
      <c r="J22" s="1487">
        <v>15951.24</v>
      </c>
      <c r="K22" s="1487">
        <v>17410.419999999998</v>
      </c>
      <c r="L22" s="1487">
        <v>25571.13</v>
      </c>
      <c r="M22" s="1487">
        <v>27002.22</v>
      </c>
      <c r="N22" s="1487">
        <v>27483.08</v>
      </c>
      <c r="O22" s="1487">
        <v>29026.53</v>
      </c>
      <c r="P22" s="1487">
        <v>33814.47</v>
      </c>
      <c r="Q22" s="1487">
        <v>36060.129999999997</v>
      </c>
      <c r="R22" s="1489">
        <v>31377.09</v>
      </c>
    </row>
    <row r="23" spans="1:18" hidden="1">
      <c r="A23" s="1485" t="s">
        <v>2565</v>
      </c>
      <c r="B23" s="1526" t="s">
        <v>2566</v>
      </c>
      <c r="C23" s="1486">
        <v>23250</v>
      </c>
      <c r="D23" s="1487">
        <v>19702.68</v>
      </c>
      <c r="E23" s="1488">
        <f t="shared" si="0"/>
        <v>84.742709677419356</v>
      </c>
      <c r="F23" s="1486">
        <f t="shared" si="1"/>
        <v>3547.3199999999997</v>
      </c>
      <c r="G23" s="1486">
        <v>10656.96</v>
      </c>
      <c r="H23" s="1486">
        <v>10953.67</v>
      </c>
      <c r="I23" s="1487">
        <v>11755.9</v>
      </c>
      <c r="J23" s="1487">
        <v>11801.67</v>
      </c>
      <c r="K23" s="1487">
        <v>11801.67</v>
      </c>
      <c r="L23" s="1487">
        <v>13289.17</v>
      </c>
      <c r="M23" s="1487">
        <v>19665.169999999998</v>
      </c>
      <c r="N23" s="1487">
        <v>19702.68</v>
      </c>
      <c r="O23" s="1487">
        <v>19702.68</v>
      </c>
      <c r="P23" s="1487">
        <v>19702.68</v>
      </c>
      <c r="Q23" s="1487">
        <v>19702.68</v>
      </c>
      <c r="R23" s="1489">
        <v>19702.68</v>
      </c>
    </row>
    <row r="24" spans="1:18" hidden="1">
      <c r="A24" s="1485" t="s">
        <v>2549</v>
      </c>
      <c r="B24" s="1526" t="s">
        <v>2567</v>
      </c>
      <c r="C24" s="1486">
        <v>149585</v>
      </c>
      <c r="D24" s="1487">
        <v>165522.12</v>
      </c>
      <c r="E24" s="1488">
        <f t="shared" ref="E24:E29" si="2">D24/C24*100</f>
        <v>110.65422335127184</v>
      </c>
      <c r="F24" s="1486">
        <f t="shared" si="1"/>
        <v>-15937.119999999995</v>
      </c>
      <c r="G24" s="1486">
        <v>12328.83</v>
      </c>
      <c r="H24" s="1486">
        <v>34607.56</v>
      </c>
      <c r="I24" s="1487">
        <v>43452.14</v>
      </c>
      <c r="J24" s="1487">
        <v>51548.85</v>
      </c>
      <c r="K24" s="1487">
        <v>70081.009999999995</v>
      </c>
      <c r="L24" s="1487">
        <v>77250.31</v>
      </c>
      <c r="M24" s="1487">
        <v>94829.35</v>
      </c>
      <c r="N24" s="1487">
        <v>111948</v>
      </c>
      <c r="O24" s="1487">
        <v>126012.03</v>
      </c>
      <c r="P24" s="1487">
        <v>135752.19</v>
      </c>
      <c r="Q24" s="1487">
        <v>140160.76</v>
      </c>
      <c r="R24" s="1489">
        <v>165522.12</v>
      </c>
    </row>
    <row r="25" spans="1:18" hidden="1">
      <c r="A25" s="1485" t="s">
        <v>2568</v>
      </c>
      <c r="B25" s="1526" t="s">
        <v>2569</v>
      </c>
      <c r="C25" s="1486">
        <v>113335</v>
      </c>
      <c r="D25" s="1487">
        <v>110532.04</v>
      </c>
      <c r="E25" s="1488">
        <f t="shared" si="2"/>
        <v>97.526836370053374</v>
      </c>
      <c r="F25" s="1486">
        <f t="shared" si="1"/>
        <v>2802.9600000000064</v>
      </c>
      <c r="G25" s="1486">
        <v>15679.18</v>
      </c>
      <c r="H25" s="1486">
        <v>33604.51</v>
      </c>
      <c r="I25" s="1487">
        <v>38132.339999999997</v>
      </c>
      <c r="J25" s="1487">
        <v>50476.46</v>
      </c>
      <c r="K25" s="1487">
        <v>57402.76</v>
      </c>
      <c r="L25" s="1487">
        <v>65733.3</v>
      </c>
      <c r="M25" s="1487">
        <v>74373.649999999994</v>
      </c>
      <c r="N25" s="1487">
        <v>78972.160000000003</v>
      </c>
      <c r="O25" s="1487">
        <v>86764.45</v>
      </c>
      <c r="P25" s="1487">
        <v>94794.69</v>
      </c>
      <c r="Q25" s="1487">
        <v>98363.59</v>
      </c>
      <c r="R25" s="1489">
        <v>110532.04</v>
      </c>
    </row>
    <row r="26" spans="1:18" hidden="1">
      <c r="A26" s="1485" t="s">
        <v>2570</v>
      </c>
      <c r="B26" s="1526" t="s">
        <v>2571</v>
      </c>
      <c r="C26" s="1486">
        <v>14275</v>
      </c>
      <c r="D26" s="1487">
        <v>13287.87</v>
      </c>
      <c r="E26" s="1488">
        <f t="shared" si="2"/>
        <v>93.084903677758319</v>
      </c>
      <c r="F26" s="1486">
        <f t="shared" si="1"/>
        <v>987.1299999999992</v>
      </c>
      <c r="G26" s="1486">
        <v>35.01</v>
      </c>
      <c r="H26" s="1486">
        <v>12076.16</v>
      </c>
      <c r="I26" s="1487">
        <v>12297.38</v>
      </c>
      <c r="J26" s="1487">
        <v>12557.13</v>
      </c>
      <c r="K26" s="1487">
        <v>12577.57</v>
      </c>
      <c r="L26" s="1487">
        <v>12793.31</v>
      </c>
      <c r="M26" s="1487">
        <v>13074.74</v>
      </c>
      <c r="N26" s="1487">
        <v>13085.23</v>
      </c>
      <c r="O26" s="1487">
        <v>13261.11</v>
      </c>
      <c r="P26" s="1487">
        <v>13431.49</v>
      </c>
      <c r="Q26" s="1487">
        <v>13637.96</v>
      </c>
      <c r="R26" s="1489">
        <v>13287.87</v>
      </c>
    </row>
    <row r="27" spans="1:18" hidden="1">
      <c r="A27" s="1485" t="s">
        <v>2549</v>
      </c>
      <c r="B27" s="1526" t="s">
        <v>2572</v>
      </c>
      <c r="C27" s="1486">
        <v>12735</v>
      </c>
      <c r="D27" s="1487">
        <v>9579.51</v>
      </c>
      <c r="E27" s="1488">
        <f t="shared" si="2"/>
        <v>75.221908127208479</v>
      </c>
      <c r="F27" s="1486">
        <f t="shared" si="1"/>
        <v>3155.49</v>
      </c>
      <c r="G27" s="1486">
        <v>751.99</v>
      </c>
      <c r="H27" s="1486">
        <v>2219.36</v>
      </c>
      <c r="I27" s="1487">
        <v>4700.8900000000003</v>
      </c>
      <c r="J27" s="1487">
        <v>4977.93</v>
      </c>
      <c r="K27" s="1487">
        <v>3947.06</v>
      </c>
      <c r="L27" s="1487">
        <v>4409.1000000000004</v>
      </c>
      <c r="M27" s="1487">
        <v>4744.58</v>
      </c>
      <c r="N27" s="1487">
        <v>5737.8</v>
      </c>
      <c r="O27" s="1487">
        <v>6364.99</v>
      </c>
      <c r="P27" s="1487">
        <v>7676.73</v>
      </c>
      <c r="Q27" s="1487">
        <v>8161.31</v>
      </c>
      <c r="R27" s="1489">
        <v>9579.51</v>
      </c>
    </row>
    <row r="28" spans="1:18" hidden="1">
      <c r="A28" s="1485" t="s">
        <v>2549</v>
      </c>
      <c r="B28" s="1526" t="s">
        <v>2573</v>
      </c>
      <c r="C28" s="1486">
        <v>17737</v>
      </c>
      <c r="D28" s="1487">
        <v>6692.62</v>
      </c>
      <c r="E28" s="1488">
        <f t="shared" si="2"/>
        <v>37.732536505609744</v>
      </c>
      <c r="F28" s="1486">
        <f>C28-D28</f>
        <v>11044.380000000001</v>
      </c>
      <c r="G28" s="1486">
        <v>0</v>
      </c>
      <c r="H28" s="1486">
        <v>0</v>
      </c>
      <c r="I28" s="1487">
        <v>883.75</v>
      </c>
      <c r="J28" s="1487">
        <v>2028.54</v>
      </c>
      <c r="K28" s="1487">
        <v>2047.52</v>
      </c>
      <c r="L28" s="1487">
        <v>3009.52</v>
      </c>
      <c r="M28" s="1487">
        <v>3784.57</v>
      </c>
      <c r="N28" s="1487">
        <v>4204.57</v>
      </c>
      <c r="O28" s="1487">
        <v>4150.43</v>
      </c>
      <c r="P28" s="1487">
        <v>4542.13</v>
      </c>
      <c r="Q28" s="1487">
        <v>4989.13</v>
      </c>
      <c r="R28" s="1489">
        <v>6692.62</v>
      </c>
    </row>
    <row r="29" spans="1:18" hidden="1">
      <c r="A29" s="1521"/>
      <c r="B29" s="1527" t="s">
        <v>8</v>
      </c>
      <c r="C29" s="1523">
        <f>SUM(C6:C28)</f>
        <v>4174812</v>
      </c>
      <c r="D29" s="1523">
        <f>SUM(D6:D28)</f>
        <v>3614440.25</v>
      </c>
      <c r="E29" s="1523">
        <f t="shared" si="2"/>
        <v>86.577317733109894</v>
      </c>
      <c r="F29" s="1524">
        <f>C29-D29</f>
        <v>560371.75</v>
      </c>
      <c r="G29" s="1524">
        <f t="shared" ref="G29:R29" si="3">SUM(G6:G28)</f>
        <v>360195.39</v>
      </c>
      <c r="H29" s="1524">
        <f t="shared" si="3"/>
        <v>820079.41000000015</v>
      </c>
      <c r="I29" s="1524">
        <f t="shared" si="3"/>
        <v>1066030.0799999998</v>
      </c>
      <c r="J29" s="1524">
        <f t="shared" si="3"/>
        <v>1350447.2099999997</v>
      </c>
      <c r="K29" s="1524">
        <f t="shared" si="3"/>
        <v>1615022.57</v>
      </c>
      <c r="L29" s="1524">
        <f t="shared" si="3"/>
        <v>1877834.93</v>
      </c>
      <c r="M29" s="1524">
        <f t="shared" si="3"/>
        <v>2244904.9900000002</v>
      </c>
      <c r="N29" s="1524">
        <f t="shared" si="3"/>
        <v>2381560.75</v>
      </c>
      <c r="O29" s="1524">
        <f t="shared" si="3"/>
        <v>2648925.7499999995</v>
      </c>
      <c r="P29" s="1524">
        <f t="shared" si="3"/>
        <v>3009909.4200000009</v>
      </c>
      <c r="Q29" s="1524">
        <f t="shared" si="3"/>
        <v>3259524.43</v>
      </c>
      <c r="R29" s="1525">
        <f t="shared" si="3"/>
        <v>3614440.25</v>
      </c>
    </row>
    <row r="30" spans="1:18" s="1477" customFormat="1" hidden="1">
      <c r="A30" s="1492"/>
      <c r="B30" s="1493"/>
      <c r="C30" s="1493"/>
      <c r="D30" s="1493"/>
      <c r="E30" s="1494"/>
      <c r="F30" s="1495">
        <f t="shared" ref="F30:R30" si="4">F29/$C$29</f>
        <v>0.13422682266890101</v>
      </c>
      <c r="G30" s="1495">
        <f t="shared" si="4"/>
        <v>8.6278230013710794E-2</v>
      </c>
      <c r="H30" s="1495">
        <f t="shared" si="4"/>
        <v>0.19643505144662804</v>
      </c>
      <c r="I30" s="1495">
        <f t="shared" si="4"/>
        <v>0.25534804441493408</v>
      </c>
      <c r="J30" s="1495">
        <f t="shared" si="4"/>
        <v>0.32347497563962158</v>
      </c>
      <c r="K30" s="1495">
        <f t="shared" si="4"/>
        <v>0.38684917308851274</v>
      </c>
      <c r="L30" s="1495">
        <f t="shared" si="4"/>
        <v>0.44980107607240755</v>
      </c>
      <c r="M30" s="1495">
        <f t="shared" si="4"/>
        <v>0.53772600778190738</v>
      </c>
      <c r="N30" s="1495">
        <f t="shared" si="4"/>
        <v>0.57045940032748776</v>
      </c>
      <c r="O30" s="1495">
        <f t="shared" si="4"/>
        <v>0.634501805111224</v>
      </c>
      <c r="P30" s="1495">
        <f t="shared" si="4"/>
        <v>0.72096885320824045</v>
      </c>
      <c r="Q30" s="1495">
        <f t="shared" si="4"/>
        <v>0.78075957192802936</v>
      </c>
      <c r="R30" s="1496">
        <f t="shared" si="4"/>
        <v>0.86577317733109893</v>
      </c>
    </row>
    <row r="31" spans="1:18" hidden="1"/>
    <row r="32" spans="1:18" hidden="1">
      <c r="A32" s="1497"/>
    </row>
    <row r="33" spans="1:18" ht="15.75" hidden="1">
      <c r="A33" s="1536">
        <v>2016</v>
      </c>
    </row>
    <row r="34" spans="1:18" ht="13.5" hidden="1" thickBot="1"/>
    <row r="35" spans="1:18" ht="21" hidden="1" customHeight="1" thickBot="1">
      <c r="A35" s="1528" t="s">
        <v>2532</v>
      </c>
      <c r="B35" s="1529" t="s">
        <v>624</v>
      </c>
      <c r="C35" s="1529" t="s">
        <v>921</v>
      </c>
      <c r="D35" s="1529" t="s">
        <v>2533</v>
      </c>
      <c r="E35" s="1529" t="s">
        <v>636</v>
      </c>
      <c r="F35" s="1529" t="s">
        <v>2534</v>
      </c>
      <c r="G35" s="1529" t="s">
        <v>2535</v>
      </c>
      <c r="H35" s="1529" t="s">
        <v>2536</v>
      </c>
      <c r="I35" s="1529" t="s">
        <v>2537</v>
      </c>
      <c r="J35" s="1529" t="s">
        <v>2538</v>
      </c>
      <c r="K35" s="1529" t="s">
        <v>720</v>
      </c>
      <c r="L35" s="1529" t="s">
        <v>2539</v>
      </c>
      <c r="M35" s="1529" t="s">
        <v>2540</v>
      </c>
      <c r="N35" s="1529" t="s">
        <v>965</v>
      </c>
      <c r="O35" s="1529" t="s">
        <v>2541</v>
      </c>
      <c r="P35" s="1529" t="s">
        <v>2542</v>
      </c>
      <c r="Q35" s="1529" t="s">
        <v>968</v>
      </c>
      <c r="R35" s="1530" t="s">
        <v>969</v>
      </c>
    </row>
    <row r="36" spans="1:18" hidden="1">
      <c r="A36" s="1485" t="s">
        <v>2543</v>
      </c>
      <c r="B36" s="1500" t="s">
        <v>2544</v>
      </c>
      <c r="C36" s="1501">
        <v>137947</v>
      </c>
      <c r="D36" s="1487">
        <v>18082.54</v>
      </c>
      <c r="E36" s="1488">
        <f t="shared" ref="E36:E53" si="5">D36/C36*100</f>
        <v>13.108324211472521</v>
      </c>
      <c r="F36" s="1486">
        <f>C36-D36</f>
        <v>119864.45999999999</v>
      </c>
      <c r="G36" s="1487">
        <v>0.01</v>
      </c>
      <c r="H36" s="1487">
        <v>10880.01</v>
      </c>
      <c r="I36" s="1487">
        <v>11025.39</v>
      </c>
      <c r="J36" s="1487">
        <v>14601.44</v>
      </c>
      <c r="K36" s="1487">
        <v>14808.73</v>
      </c>
      <c r="L36" s="1487">
        <v>14956.43</v>
      </c>
      <c r="M36" s="1487">
        <v>15230.27</v>
      </c>
      <c r="N36" s="1487">
        <v>15230.27</v>
      </c>
      <c r="O36" s="1487">
        <v>15251.48</v>
      </c>
      <c r="P36" s="1487">
        <v>15934.11</v>
      </c>
      <c r="Q36" s="1487">
        <v>17334.11</v>
      </c>
      <c r="R36" s="1489">
        <v>18082.54</v>
      </c>
    </row>
    <row r="37" spans="1:18" hidden="1">
      <c r="A37" s="1485" t="s">
        <v>2545</v>
      </c>
      <c r="B37" s="1500" t="s">
        <v>2546</v>
      </c>
      <c r="C37" s="1501">
        <v>13900</v>
      </c>
      <c r="D37" s="1487">
        <v>7240.56</v>
      </c>
      <c r="E37" s="1490">
        <f t="shared" si="5"/>
        <v>52.090359712230217</v>
      </c>
      <c r="F37" s="1486">
        <f>C37-D37</f>
        <v>6659.44</v>
      </c>
      <c r="G37" s="1487">
        <v>2825.24</v>
      </c>
      <c r="H37" s="1487">
        <v>3115.64</v>
      </c>
      <c r="I37" s="1487">
        <v>3395.19</v>
      </c>
      <c r="J37" s="1487">
        <v>3403.3</v>
      </c>
      <c r="K37" s="1487">
        <v>6791.7</v>
      </c>
      <c r="L37" s="1487">
        <v>6866.96</v>
      </c>
      <c r="M37" s="1487">
        <v>6866.96</v>
      </c>
      <c r="N37" s="1487">
        <v>6866.96</v>
      </c>
      <c r="O37" s="1487">
        <v>7164.1</v>
      </c>
      <c r="P37" s="1487">
        <v>7164.1</v>
      </c>
      <c r="Q37" s="1487">
        <v>7651.96</v>
      </c>
      <c r="R37" s="1489">
        <v>7240.56</v>
      </c>
    </row>
    <row r="38" spans="1:18" hidden="1">
      <c r="A38" s="1485" t="s">
        <v>2547</v>
      </c>
      <c r="B38" s="1500" t="s">
        <v>2548</v>
      </c>
      <c r="C38" s="1501">
        <v>7690</v>
      </c>
      <c r="D38" s="1487">
        <v>8838.57</v>
      </c>
      <c r="E38" s="1488">
        <f t="shared" si="5"/>
        <v>114.93589076723016</v>
      </c>
      <c r="F38" s="1486">
        <f t="shared" ref="F38:F57" si="6">C38-D38</f>
        <v>-1148.5699999999997</v>
      </c>
      <c r="G38" s="1487">
        <v>3218.08</v>
      </c>
      <c r="H38" s="1487">
        <v>3398.19</v>
      </c>
      <c r="I38" s="1487">
        <v>3177.1</v>
      </c>
      <c r="J38" s="1487">
        <v>5043.4799999999996</v>
      </c>
      <c r="K38" s="1487">
        <v>5333.88</v>
      </c>
      <c r="L38" s="1487">
        <v>5561.4</v>
      </c>
      <c r="M38" s="1487">
        <v>5604.02</v>
      </c>
      <c r="N38" s="1487">
        <v>6880.58</v>
      </c>
      <c r="O38" s="1487">
        <v>7240.47</v>
      </c>
      <c r="P38" s="1487">
        <v>7745.92</v>
      </c>
      <c r="Q38" s="1487">
        <v>8234.7099999999991</v>
      </c>
      <c r="R38" s="1489">
        <v>8838.57</v>
      </c>
    </row>
    <row r="39" spans="1:18" hidden="1">
      <c r="A39" s="1485" t="s">
        <v>2549</v>
      </c>
      <c r="B39" s="1500" t="s">
        <v>2550</v>
      </c>
      <c r="C39" s="1501">
        <v>677502</v>
      </c>
      <c r="D39" s="1487">
        <v>700017.44</v>
      </c>
      <c r="E39" s="1488">
        <f t="shared" si="5"/>
        <v>103.32330236663508</v>
      </c>
      <c r="F39" s="1486">
        <f t="shared" si="6"/>
        <v>-22515.439999999944</v>
      </c>
      <c r="G39" s="1487">
        <v>100901.1</v>
      </c>
      <c r="H39" s="1487">
        <v>165306.53</v>
      </c>
      <c r="I39" s="1487">
        <v>202655.46</v>
      </c>
      <c r="J39" s="1487">
        <v>270813.39</v>
      </c>
      <c r="K39" s="1487">
        <v>318819.71000000002</v>
      </c>
      <c r="L39" s="1487">
        <v>366215.28</v>
      </c>
      <c r="M39" s="1487">
        <v>411742.68</v>
      </c>
      <c r="N39" s="1487">
        <v>450242.6</v>
      </c>
      <c r="O39" s="1487">
        <v>533648.97</v>
      </c>
      <c r="P39" s="1487">
        <v>572503.44999999995</v>
      </c>
      <c r="Q39" s="1487">
        <v>612218</v>
      </c>
      <c r="R39" s="1489">
        <v>700017.44</v>
      </c>
    </row>
    <row r="40" spans="1:18" hidden="1">
      <c r="A40" s="1485" t="s">
        <v>2549</v>
      </c>
      <c r="B40" s="1500" t="s">
        <v>2551</v>
      </c>
      <c r="C40" s="1501">
        <v>351737</v>
      </c>
      <c r="D40" s="1487">
        <v>291247.61</v>
      </c>
      <c r="E40" s="1488">
        <f t="shared" si="5"/>
        <v>82.802665059405172</v>
      </c>
      <c r="F40" s="1486">
        <f t="shared" si="6"/>
        <v>60489.390000000014</v>
      </c>
      <c r="G40" s="1487">
        <v>107177.76</v>
      </c>
      <c r="H40" s="1487">
        <v>141238.9</v>
      </c>
      <c r="I40" s="1487">
        <v>168514.7</v>
      </c>
      <c r="J40" s="1487">
        <v>199647.45</v>
      </c>
      <c r="K40" s="1487">
        <v>209685.84</v>
      </c>
      <c r="L40" s="1487">
        <v>237574.37</v>
      </c>
      <c r="M40" s="1487">
        <v>254094.42</v>
      </c>
      <c r="N40" s="1487">
        <v>263924.19</v>
      </c>
      <c r="O40" s="1487">
        <v>277685.26</v>
      </c>
      <c r="P40" s="1487">
        <v>299103.87</v>
      </c>
      <c r="Q40" s="1487">
        <v>323127.63</v>
      </c>
      <c r="R40" s="1489">
        <v>291247.61</v>
      </c>
    </row>
    <row r="41" spans="1:18" hidden="1">
      <c r="A41" s="1485" t="s">
        <v>2549</v>
      </c>
      <c r="B41" s="1500" t="s">
        <v>2552</v>
      </c>
      <c r="C41" s="1501">
        <v>765800</v>
      </c>
      <c r="D41" s="1487">
        <v>662191.13</v>
      </c>
      <c r="E41" s="1488">
        <f t="shared" si="5"/>
        <v>86.470505353878309</v>
      </c>
      <c r="F41" s="1486">
        <f t="shared" si="6"/>
        <v>103608.87</v>
      </c>
      <c r="G41" s="1487">
        <v>4034.56</v>
      </c>
      <c r="H41" s="1487">
        <v>71936.600000000006</v>
      </c>
      <c r="I41" s="1487">
        <v>112506.2</v>
      </c>
      <c r="J41" s="1487">
        <v>163892.49</v>
      </c>
      <c r="K41" s="1487">
        <v>204191.38</v>
      </c>
      <c r="L41" s="1487">
        <v>304209.8</v>
      </c>
      <c r="M41" s="1487">
        <v>348431.87</v>
      </c>
      <c r="N41" s="1487">
        <v>407242.18</v>
      </c>
      <c r="O41" s="1487">
        <v>459140.15</v>
      </c>
      <c r="P41" s="1487">
        <v>537988.35</v>
      </c>
      <c r="Q41" s="1487">
        <v>578145.14</v>
      </c>
      <c r="R41" s="1489">
        <v>662191.13</v>
      </c>
    </row>
    <row r="42" spans="1:18" hidden="1">
      <c r="A42" s="1485" t="s">
        <v>2549</v>
      </c>
      <c r="B42" s="1500" t="s">
        <v>2553</v>
      </c>
      <c r="C42" s="1501">
        <v>190150</v>
      </c>
      <c r="D42" s="1487">
        <v>110570.86</v>
      </c>
      <c r="E42" s="1491">
        <f t="shared" si="5"/>
        <v>58.149282145674462</v>
      </c>
      <c r="F42" s="1486">
        <f t="shared" si="6"/>
        <v>79579.14</v>
      </c>
      <c r="G42" s="1487">
        <v>9552.74</v>
      </c>
      <c r="H42" s="1487">
        <v>9552.74</v>
      </c>
      <c r="I42" s="1487">
        <v>9554.23</v>
      </c>
      <c r="J42" s="1487">
        <v>9751.24</v>
      </c>
      <c r="K42" s="1487">
        <v>9752.73</v>
      </c>
      <c r="L42" s="1487">
        <v>9754.2199999999993</v>
      </c>
      <c r="M42" s="1487">
        <v>10044.93</v>
      </c>
      <c r="N42" s="1487">
        <v>10046.42</v>
      </c>
      <c r="O42" s="1487">
        <v>10922.4</v>
      </c>
      <c r="P42" s="1487">
        <v>33115.629999999997</v>
      </c>
      <c r="Q42" s="1487">
        <v>119110.34</v>
      </c>
      <c r="R42" s="1489">
        <v>110570.86</v>
      </c>
    </row>
    <row r="43" spans="1:18" hidden="1">
      <c r="A43" s="1485" t="s">
        <v>2554</v>
      </c>
      <c r="B43" s="1500" t="s">
        <v>2555</v>
      </c>
      <c r="C43" s="1501">
        <v>0</v>
      </c>
      <c r="D43" s="1487">
        <v>0</v>
      </c>
      <c r="E43" s="1491" t="e">
        <f t="shared" si="5"/>
        <v>#DIV/0!</v>
      </c>
      <c r="F43" s="1486">
        <f t="shared" si="6"/>
        <v>0</v>
      </c>
      <c r="G43" s="1487">
        <v>0</v>
      </c>
      <c r="H43" s="1487">
        <v>0</v>
      </c>
      <c r="I43" s="1487">
        <v>0</v>
      </c>
      <c r="J43" s="1487">
        <v>0</v>
      </c>
      <c r="K43" s="1487">
        <v>0</v>
      </c>
      <c r="L43" s="1487">
        <v>0</v>
      </c>
      <c r="M43" s="1487">
        <v>0</v>
      </c>
      <c r="N43" s="1487">
        <v>0</v>
      </c>
      <c r="O43" s="1487">
        <v>0</v>
      </c>
      <c r="P43" s="1487">
        <v>0</v>
      </c>
      <c r="Q43" s="1487">
        <v>0</v>
      </c>
      <c r="R43" s="1489">
        <v>0</v>
      </c>
    </row>
    <row r="44" spans="1:18" hidden="1">
      <c r="A44" s="1485" t="s">
        <v>2549</v>
      </c>
      <c r="B44" s="1500" t="s">
        <v>2556</v>
      </c>
      <c r="C44" s="1501">
        <v>42140</v>
      </c>
      <c r="D44" s="1487">
        <v>7307.04</v>
      </c>
      <c r="E44" s="1491">
        <f t="shared" si="5"/>
        <v>17.339914570479355</v>
      </c>
      <c r="F44" s="1486">
        <f t="shared" si="6"/>
        <v>34832.959999999999</v>
      </c>
      <c r="G44" s="1487">
        <v>42.41</v>
      </c>
      <c r="H44" s="1487">
        <v>42.41</v>
      </c>
      <c r="I44" s="1487">
        <v>133.72</v>
      </c>
      <c r="J44" s="1487">
        <v>1355.83</v>
      </c>
      <c r="K44" s="1487">
        <v>1664.36</v>
      </c>
      <c r="L44" s="1487">
        <v>4119.22</v>
      </c>
      <c r="M44" s="1487">
        <v>4647.93</v>
      </c>
      <c r="N44" s="1487">
        <v>6410.54</v>
      </c>
      <c r="O44" s="1487">
        <v>5939.99</v>
      </c>
      <c r="P44" s="1487">
        <v>6935.41</v>
      </c>
      <c r="Q44" s="1487">
        <v>7015.96</v>
      </c>
      <c r="R44" s="1489">
        <v>7307.04</v>
      </c>
    </row>
    <row r="45" spans="1:18" hidden="1">
      <c r="A45" s="1485" t="s">
        <v>2549</v>
      </c>
      <c r="B45" s="1500" t="s">
        <v>2557</v>
      </c>
      <c r="C45" s="1501">
        <v>464742</v>
      </c>
      <c r="D45" s="1487">
        <v>469590.23</v>
      </c>
      <c r="E45" s="1491">
        <f t="shared" si="5"/>
        <v>101.04320892021809</v>
      </c>
      <c r="F45" s="1486">
        <f t="shared" si="6"/>
        <v>-4848.2299999999814</v>
      </c>
      <c r="G45" s="1487">
        <v>33293.089999999997</v>
      </c>
      <c r="H45" s="1487">
        <v>48392.02</v>
      </c>
      <c r="I45" s="1487">
        <v>75703.009999999995</v>
      </c>
      <c r="J45" s="1487">
        <v>129683.34</v>
      </c>
      <c r="K45" s="1487">
        <v>174413.58</v>
      </c>
      <c r="L45" s="1487">
        <v>264970.12</v>
      </c>
      <c r="M45" s="1487">
        <v>350744.82</v>
      </c>
      <c r="N45" s="1487">
        <v>364807.11</v>
      </c>
      <c r="O45" s="1487">
        <v>414226.63</v>
      </c>
      <c r="P45" s="1487">
        <v>433823.81</v>
      </c>
      <c r="Q45" s="1487">
        <v>454468.1</v>
      </c>
      <c r="R45" s="1489">
        <v>469590.23</v>
      </c>
    </row>
    <row r="46" spans="1:18" hidden="1">
      <c r="A46" s="1485" t="s">
        <v>2549</v>
      </c>
      <c r="B46" s="1500" t="s">
        <v>2558</v>
      </c>
      <c r="C46" s="1501">
        <v>98501</v>
      </c>
      <c r="D46" s="1487">
        <v>74900.14</v>
      </c>
      <c r="E46" s="1491">
        <f t="shared" si="5"/>
        <v>76.039979289550359</v>
      </c>
      <c r="F46" s="1486">
        <f t="shared" si="6"/>
        <v>23600.86</v>
      </c>
      <c r="G46" s="1487">
        <v>8525.27</v>
      </c>
      <c r="H46" s="1487">
        <v>13425.05</v>
      </c>
      <c r="I46" s="1487">
        <v>43326.89</v>
      </c>
      <c r="J46" s="1487">
        <v>47378.23</v>
      </c>
      <c r="K46" s="1487">
        <v>50459.05</v>
      </c>
      <c r="L46" s="1487">
        <v>61076.21</v>
      </c>
      <c r="M46" s="1487">
        <v>63351.5</v>
      </c>
      <c r="N46" s="1487">
        <v>65364.93</v>
      </c>
      <c r="O46" s="1487">
        <v>67055.31</v>
      </c>
      <c r="P46" s="1487">
        <v>70380.710000000006</v>
      </c>
      <c r="Q46" s="1487">
        <v>71308.039999999994</v>
      </c>
      <c r="R46" s="1489">
        <v>74900.14</v>
      </c>
    </row>
    <row r="47" spans="1:18" hidden="1">
      <c r="A47" s="1485" t="s">
        <v>2559</v>
      </c>
      <c r="B47" s="1500" t="s">
        <v>2560</v>
      </c>
      <c r="C47" s="1501">
        <v>250000</v>
      </c>
      <c r="D47" s="1487">
        <v>281456.19</v>
      </c>
      <c r="E47" s="1491">
        <f t="shared" si="5"/>
        <v>112.582476</v>
      </c>
      <c r="F47" s="1486">
        <f t="shared" si="6"/>
        <v>-31456.190000000002</v>
      </c>
      <c r="G47" s="1487">
        <v>4252.53</v>
      </c>
      <c r="H47" s="1487">
        <v>30719.919999999998</v>
      </c>
      <c r="I47" s="1487">
        <v>55981.49</v>
      </c>
      <c r="J47" s="1487">
        <v>103036.79</v>
      </c>
      <c r="K47" s="1487">
        <v>103875.94</v>
      </c>
      <c r="L47" s="1487">
        <v>118369.3</v>
      </c>
      <c r="M47" s="1487">
        <v>138931.32</v>
      </c>
      <c r="N47" s="1487">
        <v>150728.34</v>
      </c>
      <c r="O47" s="1487">
        <v>181624.75</v>
      </c>
      <c r="P47" s="1487">
        <v>202302.16</v>
      </c>
      <c r="Q47" s="1487">
        <v>228463.9</v>
      </c>
      <c r="R47" s="1489">
        <v>281456.19</v>
      </c>
    </row>
    <row r="48" spans="1:18" hidden="1">
      <c r="A48" s="1485" t="s">
        <v>2549</v>
      </c>
      <c r="B48" s="1500" t="s">
        <v>1759</v>
      </c>
      <c r="C48" s="1501">
        <v>199831</v>
      </c>
      <c r="D48" s="1487">
        <v>276751.28000000003</v>
      </c>
      <c r="E48" s="1491">
        <f t="shared" si="5"/>
        <v>138.49266630302608</v>
      </c>
      <c r="F48" s="1486">
        <f t="shared" si="6"/>
        <v>-76920.280000000028</v>
      </c>
      <c r="G48" s="1487">
        <v>26175.93</v>
      </c>
      <c r="H48" s="1487">
        <v>78495.89</v>
      </c>
      <c r="I48" s="1487">
        <v>87161.04</v>
      </c>
      <c r="J48" s="1487">
        <v>106256.41</v>
      </c>
      <c r="K48" s="1487">
        <v>109609.28</v>
      </c>
      <c r="L48" s="1487">
        <v>130469.12</v>
      </c>
      <c r="M48" s="1487">
        <v>148797.49</v>
      </c>
      <c r="N48" s="1487">
        <v>156553.44</v>
      </c>
      <c r="O48" s="1487">
        <v>195990.64</v>
      </c>
      <c r="P48" s="1487">
        <v>205652.45</v>
      </c>
      <c r="Q48" s="1487">
        <v>221268.52</v>
      </c>
      <c r="R48" s="1489">
        <v>276751.28000000003</v>
      </c>
    </row>
    <row r="49" spans="1:18" hidden="1">
      <c r="A49" s="1485" t="s">
        <v>2549</v>
      </c>
      <c r="B49" s="1500" t="s">
        <v>2561</v>
      </c>
      <c r="C49" s="1501">
        <v>119030</v>
      </c>
      <c r="D49" s="1487">
        <v>103116.87</v>
      </c>
      <c r="E49" s="1491">
        <f t="shared" si="5"/>
        <v>86.630992186843642</v>
      </c>
      <c r="F49" s="1486">
        <f t="shared" si="6"/>
        <v>15913.130000000005</v>
      </c>
      <c r="G49" s="1487">
        <v>16045.6</v>
      </c>
      <c r="H49" s="1487">
        <v>23753.43</v>
      </c>
      <c r="I49" s="1487">
        <v>27182.57</v>
      </c>
      <c r="J49" s="1487">
        <v>47543.74</v>
      </c>
      <c r="K49" s="1487">
        <v>52165.64</v>
      </c>
      <c r="L49" s="1487">
        <v>57926.97</v>
      </c>
      <c r="M49" s="1487">
        <v>67341.820000000007</v>
      </c>
      <c r="N49" s="1487">
        <v>72034.59</v>
      </c>
      <c r="O49" s="1487">
        <v>89829.24</v>
      </c>
      <c r="P49" s="1487">
        <v>95713.39</v>
      </c>
      <c r="Q49" s="1487">
        <v>101067.94</v>
      </c>
      <c r="R49" s="1489">
        <v>103116.87</v>
      </c>
    </row>
    <row r="50" spans="1:18" hidden="1">
      <c r="A50" s="1485" t="s">
        <v>2562</v>
      </c>
      <c r="B50" s="1500" t="s">
        <v>2563</v>
      </c>
      <c r="C50" s="1501">
        <v>90000</v>
      </c>
      <c r="D50" s="1487">
        <v>81739.210000000006</v>
      </c>
      <c r="E50" s="1491">
        <f t="shared" si="5"/>
        <v>90.821344444444449</v>
      </c>
      <c r="F50" s="1486">
        <f t="shared" si="6"/>
        <v>8260.7899999999936</v>
      </c>
      <c r="G50" s="1487">
        <v>7134.55</v>
      </c>
      <c r="H50" s="1487">
        <v>8198.56</v>
      </c>
      <c r="I50" s="1487">
        <v>10068.19</v>
      </c>
      <c r="J50" s="1487">
        <v>12824.89</v>
      </c>
      <c r="K50" s="1487">
        <v>16647.740000000002</v>
      </c>
      <c r="L50" s="1487">
        <v>31044.78</v>
      </c>
      <c r="M50" s="1487">
        <v>33801.160000000003</v>
      </c>
      <c r="N50" s="1487">
        <v>34716.5</v>
      </c>
      <c r="O50" s="1487">
        <v>37047.01</v>
      </c>
      <c r="P50" s="1487">
        <v>42634.51</v>
      </c>
      <c r="Q50" s="1487">
        <v>44057.68</v>
      </c>
      <c r="R50" s="1489">
        <v>81739.210000000006</v>
      </c>
    </row>
    <row r="51" spans="1:18" hidden="1">
      <c r="A51" s="1485" t="s">
        <v>2549</v>
      </c>
      <c r="B51" s="1500" t="s">
        <v>2467</v>
      </c>
      <c r="C51" s="1501">
        <v>263686</v>
      </c>
      <c r="D51" s="1487">
        <v>249968.55</v>
      </c>
      <c r="E51" s="1491">
        <f t="shared" si="5"/>
        <v>94.797808757385667</v>
      </c>
      <c r="F51" s="1486">
        <f t="shared" si="6"/>
        <v>13717.450000000012</v>
      </c>
      <c r="G51" s="1487">
        <v>28633.439999999999</v>
      </c>
      <c r="H51" s="1487">
        <v>38736.269999999997</v>
      </c>
      <c r="I51" s="1487">
        <v>59846.53</v>
      </c>
      <c r="J51" s="1487">
        <v>113913.95</v>
      </c>
      <c r="K51" s="1487">
        <v>139352.21</v>
      </c>
      <c r="L51" s="1487">
        <v>165037.41</v>
      </c>
      <c r="M51" s="1487">
        <v>176594.69</v>
      </c>
      <c r="N51" s="1487">
        <v>186183.96</v>
      </c>
      <c r="O51" s="1487">
        <v>205391.35999999999</v>
      </c>
      <c r="P51" s="1487">
        <v>225324.38</v>
      </c>
      <c r="Q51" s="1487">
        <v>239148.11</v>
      </c>
      <c r="R51" s="1489">
        <v>249968.55</v>
      </c>
    </row>
    <row r="52" spans="1:18" hidden="1">
      <c r="A52" s="1485" t="s">
        <v>2549</v>
      </c>
      <c r="B52" s="1500" t="s">
        <v>2564</v>
      </c>
      <c r="C52" s="1501">
        <v>51777</v>
      </c>
      <c r="D52" s="1487">
        <v>34989.19</v>
      </c>
      <c r="E52" s="1491">
        <f t="shared" si="5"/>
        <v>67.576703941904711</v>
      </c>
      <c r="F52" s="1486">
        <f t="shared" si="6"/>
        <v>16787.809999999998</v>
      </c>
      <c r="G52" s="1487">
        <v>1960.21</v>
      </c>
      <c r="H52" s="1487">
        <v>5204.07</v>
      </c>
      <c r="I52" s="1487">
        <v>12748.34</v>
      </c>
      <c r="J52" s="1487">
        <v>15721.85</v>
      </c>
      <c r="K52" s="1487">
        <v>17876.36</v>
      </c>
      <c r="L52" s="1487">
        <v>24965.06</v>
      </c>
      <c r="M52" s="1487">
        <v>25806.9</v>
      </c>
      <c r="N52" s="1487">
        <v>26286.19</v>
      </c>
      <c r="O52" s="1487">
        <v>29989.77</v>
      </c>
      <c r="P52" s="1487">
        <v>33038.639999999999</v>
      </c>
      <c r="Q52" s="1487">
        <v>35399.89</v>
      </c>
      <c r="R52" s="1489">
        <v>34989.19</v>
      </c>
    </row>
    <row r="53" spans="1:18" hidden="1">
      <c r="A53" s="1485" t="s">
        <v>2565</v>
      </c>
      <c r="B53" s="1500" t="s">
        <v>2566</v>
      </c>
      <c r="C53" s="1501">
        <v>23250</v>
      </c>
      <c r="D53" s="1487">
        <v>16328.11</v>
      </c>
      <c r="E53" s="1488">
        <f t="shared" si="5"/>
        <v>70.22843010752689</v>
      </c>
      <c r="F53" s="1486">
        <f t="shared" si="6"/>
        <v>6921.8899999999994</v>
      </c>
      <c r="G53" s="1487">
        <v>10639.91</v>
      </c>
      <c r="H53" s="1487">
        <v>10754.86</v>
      </c>
      <c r="I53" s="1487">
        <v>10754.86</v>
      </c>
      <c r="J53" s="1487">
        <v>10754.86</v>
      </c>
      <c r="K53" s="1487">
        <v>10754.86</v>
      </c>
      <c r="L53" s="1487">
        <v>16754.86</v>
      </c>
      <c r="M53" s="1487">
        <v>17007.63</v>
      </c>
      <c r="N53" s="1487">
        <v>17090.830000000002</v>
      </c>
      <c r="O53" s="1487">
        <v>17817.189999999999</v>
      </c>
      <c r="P53" s="1487">
        <v>17940.150000000001</v>
      </c>
      <c r="Q53" s="1487">
        <v>16570.11</v>
      </c>
      <c r="R53" s="1489">
        <v>16328.11</v>
      </c>
    </row>
    <row r="54" spans="1:18" hidden="1">
      <c r="A54" s="1485" t="s">
        <v>2549</v>
      </c>
      <c r="B54" s="1500" t="s">
        <v>2567</v>
      </c>
      <c r="C54" s="1501">
        <v>145935</v>
      </c>
      <c r="D54" s="1487">
        <v>148435.66</v>
      </c>
      <c r="E54" s="1488">
        <f t="shared" ref="E54:E59" si="7">D54/C54*100</f>
        <v>101.71354370096275</v>
      </c>
      <c r="F54" s="1486">
        <f t="shared" si="6"/>
        <v>-2500.6600000000035</v>
      </c>
      <c r="G54" s="1487">
        <v>14900.07</v>
      </c>
      <c r="H54" s="1487">
        <v>26000.45</v>
      </c>
      <c r="I54" s="1487">
        <v>32406.92</v>
      </c>
      <c r="J54" s="1487">
        <v>49939.5</v>
      </c>
      <c r="K54" s="1487">
        <v>62272.65</v>
      </c>
      <c r="L54" s="1487">
        <v>71619.14</v>
      </c>
      <c r="M54" s="1487">
        <v>101008.22</v>
      </c>
      <c r="N54" s="1487">
        <v>104269.41</v>
      </c>
      <c r="O54" s="1487">
        <v>123321.5</v>
      </c>
      <c r="P54" s="1487">
        <v>128997.11</v>
      </c>
      <c r="Q54" s="1487">
        <v>142494.51</v>
      </c>
      <c r="R54" s="1489">
        <v>148435.66</v>
      </c>
    </row>
    <row r="55" spans="1:18" hidden="1">
      <c r="A55" s="1485" t="s">
        <v>2568</v>
      </c>
      <c r="B55" s="1500" t="s">
        <v>2569</v>
      </c>
      <c r="C55" s="1501">
        <v>122735</v>
      </c>
      <c r="D55" s="1487">
        <v>106042.69</v>
      </c>
      <c r="E55" s="1488">
        <f t="shared" si="7"/>
        <v>86.399714832769789</v>
      </c>
      <c r="F55" s="1486">
        <f t="shared" si="6"/>
        <v>16692.309999999998</v>
      </c>
      <c r="G55" s="1487">
        <v>7606.59</v>
      </c>
      <c r="H55" s="1487">
        <v>14153.83</v>
      </c>
      <c r="I55" s="1487">
        <v>21651.07</v>
      </c>
      <c r="J55" s="1487">
        <v>29298.45</v>
      </c>
      <c r="K55" s="1487">
        <v>34691.5</v>
      </c>
      <c r="L55" s="1487">
        <v>44977.31</v>
      </c>
      <c r="M55" s="1487">
        <v>69195.789999999994</v>
      </c>
      <c r="N55" s="1487">
        <v>77668.06</v>
      </c>
      <c r="O55" s="1487">
        <v>88683.55</v>
      </c>
      <c r="P55" s="1487">
        <v>92749.55</v>
      </c>
      <c r="Q55" s="1487">
        <v>99183.13</v>
      </c>
      <c r="R55" s="1489">
        <v>106042.69</v>
      </c>
    </row>
    <row r="56" spans="1:18" hidden="1">
      <c r="A56" s="1485" t="s">
        <v>2570</v>
      </c>
      <c r="B56" s="1500" t="s">
        <v>2571</v>
      </c>
      <c r="C56" s="1501">
        <v>13975</v>
      </c>
      <c r="D56" s="1487">
        <v>11756.01</v>
      </c>
      <c r="E56" s="1488">
        <f t="shared" si="7"/>
        <v>84.121717352415033</v>
      </c>
      <c r="F56" s="1486">
        <f t="shared" si="6"/>
        <v>2218.9899999999998</v>
      </c>
      <c r="G56" s="1487">
        <v>81.069999999999993</v>
      </c>
      <c r="H56" s="1487">
        <v>224.68</v>
      </c>
      <c r="I56" s="1487">
        <v>428.64</v>
      </c>
      <c r="J56" s="1487">
        <v>10786.32</v>
      </c>
      <c r="K56" s="1487">
        <v>10869.65</v>
      </c>
      <c r="L56" s="1487">
        <v>11041.1</v>
      </c>
      <c r="M56" s="1487">
        <v>11141.16</v>
      </c>
      <c r="N56" s="1487">
        <v>11326.62</v>
      </c>
      <c r="O56" s="1487">
        <v>11536.14</v>
      </c>
      <c r="P56" s="1487">
        <v>11590.28</v>
      </c>
      <c r="Q56" s="1487">
        <v>11743.22</v>
      </c>
      <c r="R56" s="1489">
        <v>11756.01</v>
      </c>
    </row>
    <row r="57" spans="1:18" hidden="1">
      <c r="A57" s="1485" t="s">
        <v>2549</v>
      </c>
      <c r="B57" s="1500" t="s">
        <v>2572</v>
      </c>
      <c r="C57" s="1501">
        <v>12735</v>
      </c>
      <c r="D57" s="1487">
        <v>5100.3500000000004</v>
      </c>
      <c r="E57" s="1488">
        <f t="shared" si="7"/>
        <v>40.049862583431491</v>
      </c>
      <c r="F57" s="1486">
        <f t="shared" si="6"/>
        <v>7634.65</v>
      </c>
      <c r="G57" s="1487">
        <v>1124.44</v>
      </c>
      <c r="H57" s="1487">
        <v>2588.2600000000002</v>
      </c>
      <c r="I57" s="1487">
        <v>2609.75</v>
      </c>
      <c r="J57" s="1487">
        <v>3135.21</v>
      </c>
      <c r="K57" s="1487">
        <v>3453.87</v>
      </c>
      <c r="L57" s="1487">
        <v>3734.11</v>
      </c>
      <c r="M57" s="1487">
        <v>4017.69</v>
      </c>
      <c r="N57" s="1487">
        <v>4234.18</v>
      </c>
      <c r="O57" s="1487">
        <v>4867.71</v>
      </c>
      <c r="P57" s="1487">
        <v>4867.71</v>
      </c>
      <c r="Q57" s="1487">
        <v>5100.3500000000004</v>
      </c>
      <c r="R57" s="1489">
        <v>5100.3500000000004</v>
      </c>
    </row>
    <row r="58" spans="1:18" hidden="1">
      <c r="A58" s="1515" t="s">
        <v>2549</v>
      </c>
      <c r="B58" s="1516" t="s">
        <v>2573</v>
      </c>
      <c r="C58" s="1517">
        <v>14237</v>
      </c>
      <c r="D58" s="1518">
        <v>6722.38</v>
      </c>
      <c r="E58" s="1494">
        <f t="shared" si="7"/>
        <v>47.217672262414837</v>
      </c>
      <c r="F58" s="1519">
        <f>C58-D58</f>
        <v>7514.62</v>
      </c>
      <c r="G58" s="1518">
        <v>79.28</v>
      </c>
      <c r="H58" s="1518">
        <v>437.44</v>
      </c>
      <c r="I58" s="1518">
        <v>419.29</v>
      </c>
      <c r="J58" s="1518">
        <v>1999.68</v>
      </c>
      <c r="K58" s="1518">
        <v>1999.68</v>
      </c>
      <c r="L58" s="1518">
        <v>2239.6799999999998</v>
      </c>
      <c r="M58" s="1518">
        <v>2239.6799999999998</v>
      </c>
      <c r="N58" s="1518">
        <v>2239.6799999999998</v>
      </c>
      <c r="O58" s="1518">
        <v>2466.83</v>
      </c>
      <c r="P58" s="1518">
        <v>3254.39</v>
      </c>
      <c r="Q58" s="1518">
        <v>5372.2</v>
      </c>
      <c r="R58" s="1520">
        <v>6722.38</v>
      </c>
    </row>
    <row r="59" spans="1:18" hidden="1">
      <c r="A59" s="1512"/>
      <c r="B59" s="1513" t="s">
        <v>8</v>
      </c>
      <c r="C59" s="1513">
        <f>SUM(C36:C58)</f>
        <v>4057300</v>
      </c>
      <c r="D59" s="1513">
        <f>SUM(D36:D58)</f>
        <v>3672392.6100000003</v>
      </c>
      <c r="E59" s="1513">
        <f t="shared" si="7"/>
        <v>90.513213467084029</v>
      </c>
      <c r="F59" s="1513">
        <f>C59-D59</f>
        <v>384907.38999999966</v>
      </c>
      <c r="G59" s="1513">
        <f t="shared" ref="G59:R59" si="8">SUM(G36:G58)</f>
        <v>388203.88000000006</v>
      </c>
      <c r="H59" s="1513">
        <f t="shared" si="8"/>
        <v>706555.74999999988</v>
      </c>
      <c r="I59" s="1513">
        <f t="shared" si="8"/>
        <v>951250.57999999984</v>
      </c>
      <c r="J59" s="1513">
        <f t="shared" si="8"/>
        <v>1350781.8399999999</v>
      </c>
      <c r="K59" s="1513">
        <f t="shared" si="8"/>
        <v>1559490.3399999999</v>
      </c>
      <c r="L59" s="1513">
        <f t="shared" si="8"/>
        <v>1953482.8499999999</v>
      </c>
      <c r="M59" s="1513">
        <f t="shared" si="8"/>
        <v>2266642.9500000002</v>
      </c>
      <c r="N59" s="1513">
        <f t="shared" si="8"/>
        <v>2440347.580000001</v>
      </c>
      <c r="O59" s="1513">
        <f t="shared" si="8"/>
        <v>2786840.45</v>
      </c>
      <c r="P59" s="1513">
        <f t="shared" si="8"/>
        <v>3048760.0799999991</v>
      </c>
      <c r="Q59" s="1513">
        <f t="shared" si="8"/>
        <v>3348483.5500000007</v>
      </c>
      <c r="R59" s="1514">
        <f t="shared" si="8"/>
        <v>3672392.6100000003</v>
      </c>
    </row>
    <row r="60" spans="1:18" hidden="1">
      <c r="A60" s="1502"/>
      <c r="B60" s="1477"/>
      <c r="C60" s="1477"/>
      <c r="D60" s="1477"/>
      <c r="E60" s="1503"/>
      <c r="F60" s="1504">
        <f t="shared" ref="F60:R60" si="9">F59/$C$59</f>
        <v>9.4867865329159709E-2</v>
      </c>
      <c r="G60" s="1504">
        <f t="shared" si="9"/>
        <v>9.5680349000566892E-2</v>
      </c>
      <c r="H60" s="1504">
        <f t="shared" si="9"/>
        <v>0.17414432011436173</v>
      </c>
      <c r="I60" s="1504">
        <f t="shared" si="9"/>
        <v>0.23445409015847973</v>
      </c>
      <c r="J60" s="1504">
        <f t="shared" si="9"/>
        <v>0.33292629088309955</v>
      </c>
      <c r="K60" s="1504">
        <f t="shared" si="9"/>
        <v>0.38436653439479451</v>
      </c>
      <c r="L60" s="1504">
        <f t="shared" si="9"/>
        <v>0.4814736031350898</v>
      </c>
      <c r="M60" s="1504">
        <f t="shared" si="9"/>
        <v>0.55865796219160535</v>
      </c>
      <c r="N60" s="1504">
        <f t="shared" si="9"/>
        <v>0.60147082542577601</v>
      </c>
      <c r="O60" s="1504">
        <f t="shared" si="9"/>
        <v>0.68687068986764599</v>
      </c>
      <c r="P60" s="1504">
        <f t="shared" si="9"/>
        <v>0.75142584477361773</v>
      </c>
      <c r="Q60" s="1504">
        <f t="shared" si="9"/>
        <v>0.82529848667833305</v>
      </c>
      <c r="R60" s="1504">
        <f t="shared" si="9"/>
        <v>0.9051321346708403</v>
      </c>
    </row>
    <row r="61" spans="1:18" hidden="1"/>
    <row r="62" spans="1:18" hidden="1"/>
    <row r="63" spans="1:18" ht="15.75" hidden="1">
      <c r="A63" s="1536">
        <v>2017</v>
      </c>
    </row>
    <row r="64" spans="1:18" hidden="1"/>
    <row r="65" spans="1:18" ht="21" hidden="1" customHeight="1" thickBot="1">
      <c r="A65" s="1531" t="s">
        <v>2532</v>
      </c>
      <c r="B65" s="1532" t="s">
        <v>624</v>
      </c>
      <c r="C65" s="1532" t="s">
        <v>922</v>
      </c>
      <c r="D65" s="1532" t="s">
        <v>2533</v>
      </c>
      <c r="E65" s="1532" t="s">
        <v>636</v>
      </c>
      <c r="F65" s="1532" t="s">
        <v>2534</v>
      </c>
      <c r="G65" s="1532" t="s">
        <v>2535</v>
      </c>
      <c r="H65" s="1532" t="s">
        <v>2536</v>
      </c>
      <c r="I65" s="1532" t="s">
        <v>2537</v>
      </c>
      <c r="J65" s="1532" t="s">
        <v>2538</v>
      </c>
      <c r="K65" s="1532" t="s">
        <v>720</v>
      </c>
      <c r="L65" s="1532" t="s">
        <v>2539</v>
      </c>
      <c r="M65" s="1532" t="s">
        <v>2540</v>
      </c>
      <c r="N65" s="1532" t="s">
        <v>965</v>
      </c>
      <c r="O65" s="1532" t="s">
        <v>2541</v>
      </c>
      <c r="P65" s="1532" t="s">
        <v>2542</v>
      </c>
      <c r="Q65" s="1532" t="s">
        <v>968</v>
      </c>
      <c r="R65" s="1533" t="s">
        <v>969</v>
      </c>
    </row>
    <row r="66" spans="1:18" hidden="1">
      <c r="A66" s="1485" t="s">
        <v>2543</v>
      </c>
      <c r="B66" s="1500" t="s">
        <v>2544</v>
      </c>
      <c r="C66" s="1487">
        <v>55431</v>
      </c>
      <c r="D66" s="1487">
        <v>6783.96</v>
      </c>
      <c r="E66" s="1488">
        <f t="shared" ref="E66:E83" si="10">D66/C66*100</f>
        <v>12.238566866915624</v>
      </c>
      <c r="F66" s="1487">
        <f>C66-D66</f>
        <v>48647.040000000001</v>
      </c>
      <c r="G66" s="1487">
        <v>0</v>
      </c>
      <c r="H66" s="1487">
        <v>266.72000000000003</v>
      </c>
      <c r="I66" s="1487">
        <v>266.72000000000003</v>
      </c>
      <c r="J66" s="1487">
        <v>285.23</v>
      </c>
      <c r="K66" s="1487">
        <v>285.23</v>
      </c>
      <c r="L66" s="1487">
        <v>386.23</v>
      </c>
      <c r="M66" s="1487">
        <v>1738.23</v>
      </c>
      <c r="N66" s="1487">
        <v>1738.23</v>
      </c>
      <c r="O66" s="1487">
        <v>1738.23</v>
      </c>
      <c r="P66" s="1534">
        <v>5344.53</v>
      </c>
      <c r="Q66" s="1487">
        <v>5344.53</v>
      </c>
      <c r="R66" s="1489">
        <v>6783.96</v>
      </c>
    </row>
    <row r="67" spans="1:18" hidden="1">
      <c r="A67" s="1485" t="s">
        <v>2545</v>
      </c>
      <c r="B67" s="1500" t="s">
        <v>2546</v>
      </c>
      <c r="C67" s="1487">
        <v>12850</v>
      </c>
      <c r="D67" s="1487">
        <v>4249.8500000000004</v>
      </c>
      <c r="E67" s="1490">
        <f t="shared" si="10"/>
        <v>33.072762645914402</v>
      </c>
      <c r="F67" s="1487">
        <f t="shared" ref="F67:F88" si="11">C67-D67</f>
        <v>8600.15</v>
      </c>
      <c r="G67" s="1487">
        <v>0</v>
      </c>
      <c r="H67" s="1487">
        <v>635.79999999999995</v>
      </c>
      <c r="I67" s="1487">
        <v>2848.42</v>
      </c>
      <c r="J67" s="1487">
        <v>2848.42</v>
      </c>
      <c r="K67" s="1487">
        <v>2848.42</v>
      </c>
      <c r="L67" s="1487">
        <v>2848.42</v>
      </c>
      <c r="M67" s="1487">
        <v>2848.42</v>
      </c>
      <c r="N67" s="1487">
        <v>3831.96</v>
      </c>
      <c r="O67" s="1487">
        <v>4048.38</v>
      </c>
      <c r="P67" s="1534">
        <v>4249.8500000000004</v>
      </c>
      <c r="Q67" s="1487">
        <v>4249.8500000000004</v>
      </c>
      <c r="R67" s="1489">
        <v>4249.8500000000004</v>
      </c>
    </row>
    <row r="68" spans="1:18" hidden="1">
      <c r="A68" s="1485" t="s">
        <v>2547</v>
      </c>
      <c r="B68" s="1500" t="s">
        <v>2548</v>
      </c>
      <c r="C68" s="1487">
        <v>8490</v>
      </c>
      <c r="D68" s="1487">
        <v>8683.85</v>
      </c>
      <c r="E68" s="1488">
        <f t="shared" si="10"/>
        <v>102.28327444051826</v>
      </c>
      <c r="F68" s="1487">
        <f t="shared" si="11"/>
        <v>-193.85000000000036</v>
      </c>
      <c r="G68" s="1487">
        <v>3488.57</v>
      </c>
      <c r="H68" s="1487">
        <v>4230.07</v>
      </c>
      <c r="I68" s="1487">
        <v>5498.17</v>
      </c>
      <c r="J68" s="1487">
        <v>5995.06</v>
      </c>
      <c r="K68" s="1487">
        <v>6226.36</v>
      </c>
      <c r="L68" s="1487">
        <v>6555.03</v>
      </c>
      <c r="M68" s="1487">
        <v>7177.21</v>
      </c>
      <c r="N68" s="1487">
        <v>7388.16</v>
      </c>
      <c r="O68" s="1487">
        <v>8020.55</v>
      </c>
      <c r="P68" s="1534">
        <v>8109.82</v>
      </c>
      <c r="Q68" s="1487">
        <v>8613.83</v>
      </c>
      <c r="R68" s="1489">
        <v>8683.85</v>
      </c>
    </row>
    <row r="69" spans="1:18" hidden="1">
      <c r="A69" s="1485" t="s">
        <v>2549</v>
      </c>
      <c r="B69" s="1500" t="s">
        <v>2550</v>
      </c>
      <c r="C69" s="1487">
        <v>740546</v>
      </c>
      <c r="D69" s="1487">
        <v>652925.68999999994</v>
      </c>
      <c r="E69" s="1488">
        <f t="shared" si="10"/>
        <v>88.168147555992462</v>
      </c>
      <c r="F69" s="1487">
        <f t="shared" si="11"/>
        <v>87620.310000000056</v>
      </c>
      <c r="G69" s="1487">
        <v>83478.33</v>
      </c>
      <c r="H69" s="1487">
        <v>141748.09</v>
      </c>
      <c r="I69" s="1487">
        <v>207386.55</v>
      </c>
      <c r="J69" s="1487">
        <v>241419.64</v>
      </c>
      <c r="K69" s="1487">
        <v>315613.03000000003</v>
      </c>
      <c r="L69" s="1487">
        <v>390647.61</v>
      </c>
      <c r="M69" s="1487">
        <v>425889.51</v>
      </c>
      <c r="N69" s="1487">
        <v>458174.23</v>
      </c>
      <c r="O69" s="1487">
        <v>515643.31</v>
      </c>
      <c r="P69" s="1534">
        <v>549225.27</v>
      </c>
      <c r="Q69" s="1487">
        <v>593695.52</v>
      </c>
      <c r="R69" s="1489">
        <v>652925.68999999994</v>
      </c>
    </row>
    <row r="70" spans="1:18" hidden="1">
      <c r="A70" s="1485" t="s">
        <v>2549</v>
      </c>
      <c r="B70" s="1500" t="s">
        <v>2551</v>
      </c>
      <c r="C70" s="1487">
        <v>348425</v>
      </c>
      <c r="D70" s="1487">
        <v>293294.44</v>
      </c>
      <c r="E70" s="1488">
        <f t="shared" si="10"/>
        <v>84.177208868479596</v>
      </c>
      <c r="F70" s="1487">
        <f t="shared" si="11"/>
        <v>55130.559999999998</v>
      </c>
      <c r="G70" s="1487">
        <v>32915.599999999999</v>
      </c>
      <c r="H70" s="1487">
        <v>61349.17</v>
      </c>
      <c r="I70" s="1487">
        <v>82143.360000000001</v>
      </c>
      <c r="J70" s="1487">
        <v>164973.82</v>
      </c>
      <c r="K70" s="1487">
        <v>187154.04</v>
      </c>
      <c r="L70" s="1487">
        <v>197228.79999999999</v>
      </c>
      <c r="M70" s="1487">
        <v>208888.42</v>
      </c>
      <c r="N70" s="1487">
        <v>252358.83</v>
      </c>
      <c r="O70" s="1487">
        <v>270303.53000000003</v>
      </c>
      <c r="P70" s="1534">
        <v>295497.53000000003</v>
      </c>
      <c r="Q70" s="1487">
        <v>342414.62</v>
      </c>
      <c r="R70" s="1489">
        <v>293294.44</v>
      </c>
    </row>
    <row r="71" spans="1:18" hidden="1">
      <c r="A71" s="1485" t="s">
        <v>2549</v>
      </c>
      <c r="B71" s="1500" t="s">
        <v>2552</v>
      </c>
      <c r="C71" s="1487">
        <v>688700</v>
      </c>
      <c r="D71" s="1487">
        <v>759816.11</v>
      </c>
      <c r="E71" s="1488">
        <f t="shared" si="10"/>
        <v>110.32613765064613</v>
      </c>
      <c r="F71" s="1487">
        <f t="shared" si="11"/>
        <v>-71116.109999999986</v>
      </c>
      <c r="G71" s="1487">
        <v>33616.720000000001</v>
      </c>
      <c r="H71" s="1487">
        <v>39735.550000000003</v>
      </c>
      <c r="I71" s="1487">
        <v>124020.18</v>
      </c>
      <c r="J71" s="1487">
        <v>158597.59</v>
      </c>
      <c r="K71" s="1487">
        <v>317781.17</v>
      </c>
      <c r="L71" s="1487">
        <v>412274.76</v>
      </c>
      <c r="M71" s="1487">
        <v>424773.22</v>
      </c>
      <c r="N71" s="1487">
        <v>506655.74</v>
      </c>
      <c r="O71" s="1487">
        <v>560899.24</v>
      </c>
      <c r="P71" s="1534">
        <v>652547.32999999996</v>
      </c>
      <c r="Q71" s="1487">
        <v>701881.76</v>
      </c>
      <c r="R71" s="1489">
        <v>759816.11</v>
      </c>
    </row>
    <row r="72" spans="1:18" hidden="1">
      <c r="A72" s="1485" t="s">
        <v>2549</v>
      </c>
      <c r="B72" s="1500" t="s">
        <v>2553</v>
      </c>
      <c r="C72" s="1487">
        <v>14300</v>
      </c>
      <c r="D72" s="1487">
        <v>2817.86</v>
      </c>
      <c r="E72" s="1491">
        <f t="shared" si="10"/>
        <v>19.705314685314686</v>
      </c>
      <c r="F72" s="1487">
        <f t="shared" si="11"/>
        <v>11482.14</v>
      </c>
      <c r="G72" s="1487">
        <v>657.58</v>
      </c>
      <c r="H72" s="1487">
        <v>4462.71</v>
      </c>
      <c r="I72" s="1487">
        <v>4464.2</v>
      </c>
      <c r="J72" s="1487">
        <v>4188.95</v>
      </c>
      <c r="K72" s="1487">
        <v>4290.18</v>
      </c>
      <c r="L72" s="1487">
        <v>4291.67</v>
      </c>
      <c r="M72" s="1487">
        <v>4293.16</v>
      </c>
      <c r="N72" s="1487">
        <v>492.5</v>
      </c>
      <c r="O72" s="1487">
        <v>1889.5</v>
      </c>
      <c r="P72" s="1534">
        <v>1890.99</v>
      </c>
      <c r="Q72" s="1487">
        <v>1910.87</v>
      </c>
      <c r="R72" s="1489">
        <v>2817.86</v>
      </c>
    </row>
    <row r="73" spans="1:18" hidden="1">
      <c r="A73" s="1485" t="s">
        <v>2554</v>
      </c>
      <c r="B73" s="1500" t="s">
        <v>2555</v>
      </c>
      <c r="C73" s="1487">
        <v>0</v>
      </c>
      <c r="D73" s="1487">
        <v>0</v>
      </c>
      <c r="E73" s="1491" t="e">
        <f t="shared" si="10"/>
        <v>#DIV/0!</v>
      </c>
      <c r="F73" s="1487">
        <f t="shared" si="11"/>
        <v>0</v>
      </c>
      <c r="G73" s="1487">
        <v>0</v>
      </c>
      <c r="H73" s="1487">
        <v>0</v>
      </c>
      <c r="I73" s="1487">
        <v>0</v>
      </c>
      <c r="J73" s="1487">
        <v>0</v>
      </c>
      <c r="K73" s="1487">
        <v>0</v>
      </c>
      <c r="L73" s="1487">
        <v>0</v>
      </c>
      <c r="M73" s="1487">
        <v>0</v>
      </c>
      <c r="N73" s="1487">
        <v>0</v>
      </c>
      <c r="O73" s="1487">
        <v>0</v>
      </c>
      <c r="P73" s="1534">
        <v>0</v>
      </c>
      <c r="Q73" s="1487">
        <v>0</v>
      </c>
      <c r="R73" s="1489">
        <v>0</v>
      </c>
    </row>
    <row r="74" spans="1:18" hidden="1">
      <c r="A74" s="1485" t="s">
        <v>2549</v>
      </c>
      <c r="B74" s="1500" t="s">
        <v>2556</v>
      </c>
      <c r="C74" s="1487">
        <v>37040</v>
      </c>
      <c r="D74" s="1487">
        <v>7083.15</v>
      </c>
      <c r="E74" s="1491">
        <f t="shared" si="10"/>
        <v>19.122975161987039</v>
      </c>
      <c r="F74" s="1487">
        <f t="shared" si="11"/>
        <v>29956.85</v>
      </c>
      <c r="G74" s="1487">
        <v>5.9</v>
      </c>
      <c r="H74" s="1487">
        <v>10.45</v>
      </c>
      <c r="I74" s="1487">
        <v>15.81</v>
      </c>
      <c r="J74" s="1487">
        <v>801.56</v>
      </c>
      <c r="K74" s="1487">
        <v>840.8</v>
      </c>
      <c r="L74" s="1487">
        <v>1275.31</v>
      </c>
      <c r="M74" s="1487">
        <v>1281.6099999999999</v>
      </c>
      <c r="N74" s="1487">
        <v>1520.04</v>
      </c>
      <c r="O74" s="1487">
        <v>1595.03</v>
      </c>
      <c r="P74" s="1534">
        <v>1808.07</v>
      </c>
      <c r="Q74" s="1487">
        <v>1832.88</v>
      </c>
      <c r="R74" s="1489">
        <v>7083.15</v>
      </c>
    </row>
    <row r="75" spans="1:18" hidden="1">
      <c r="A75" s="1485" t="s">
        <v>2549</v>
      </c>
      <c r="B75" s="1500" t="s">
        <v>2557</v>
      </c>
      <c r="C75" s="1487">
        <v>424967</v>
      </c>
      <c r="D75" s="1487">
        <v>458587.31</v>
      </c>
      <c r="E75" s="1491">
        <f t="shared" si="10"/>
        <v>107.91127546374189</v>
      </c>
      <c r="F75" s="1487">
        <f t="shared" si="11"/>
        <v>-33620.31</v>
      </c>
      <c r="G75" s="1487">
        <v>57326.82</v>
      </c>
      <c r="H75" s="1487">
        <v>84853.57</v>
      </c>
      <c r="I75" s="1487">
        <v>95781.26</v>
      </c>
      <c r="J75" s="1487">
        <v>154758.42000000001</v>
      </c>
      <c r="K75" s="1487">
        <v>200961.54</v>
      </c>
      <c r="L75" s="1487">
        <v>347777.46</v>
      </c>
      <c r="M75" s="1487">
        <v>355979.81</v>
      </c>
      <c r="N75" s="1487">
        <v>394327.78</v>
      </c>
      <c r="O75" s="1487">
        <v>437083.94</v>
      </c>
      <c r="P75" s="1534">
        <v>463847.73</v>
      </c>
      <c r="Q75" s="1487">
        <v>487338.27</v>
      </c>
      <c r="R75" s="1489">
        <v>458587.31</v>
      </c>
    </row>
    <row r="76" spans="1:18" hidden="1">
      <c r="A76" s="1485" t="s">
        <v>2549</v>
      </c>
      <c r="B76" s="1500" t="s">
        <v>2558</v>
      </c>
      <c r="C76" s="1487">
        <v>91106</v>
      </c>
      <c r="D76" s="1487">
        <v>75849.16</v>
      </c>
      <c r="E76" s="1491">
        <f t="shared" si="10"/>
        <v>83.253748381006744</v>
      </c>
      <c r="F76" s="1487">
        <f t="shared" si="11"/>
        <v>15256.839999999997</v>
      </c>
      <c r="G76" s="1487">
        <v>10315.5</v>
      </c>
      <c r="H76" s="1487">
        <v>12797.83</v>
      </c>
      <c r="I76" s="1487">
        <v>34229.43</v>
      </c>
      <c r="J76" s="1487">
        <v>43917.85</v>
      </c>
      <c r="K76" s="1487">
        <v>49262.78</v>
      </c>
      <c r="L76" s="1487">
        <v>51582.02</v>
      </c>
      <c r="M76" s="1487">
        <v>51703.44</v>
      </c>
      <c r="N76" s="1487">
        <v>55269.66</v>
      </c>
      <c r="O76" s="1487">
        <v>55604.93</v>
      </c>
      <c r="P76" s="1534">
        <v>68943.41</v>
      </c>
      <c r="Q76" s="1487">
        <v>71195.86</v>
      </c>
      <c r="R76" s="1489">
        <v>75849.16</v>
      </c>
    </row>
    <row r="77" spans="1:18" hidden="1">
      <c r="A77" s="1485" t="s">
        <v>2559</v>
      </c>
      <c r="B77" s="1500" t="s">
        <v>2560</v>
      </c>
      <c r="C77" s="1487">
        <v>250000</v>
      </c>
      <c r="D77" s="1487">
        <v>259077.79</v>
      </c>
      <c r="E77" s="1491">
        <f t="shared" si="10"/>
        <v>103.63111600000001</v>
      </c>
      <c r="F77" s="1487">
        <f t="shared" si="11"/>
        <v>-9077.7900000000081</v>
      </c>
      <c r="G77" s="1487">
        <v>8982.74</v>
      </c>
      <c r="H77" s="1487">
        <v>38364.620000000003</v>
      </c>
      <c r="I77" s="1487">
        <v>62890.75</v>
      </c>
      <c r="J77" s="1487">
        <v>104634.37</v>
      </c>
      <c r="K77" s="1487">
        <v>120849.72</v>
      </c>
      <c r="L77" s="1487">
        <v>144750.31</v>
      </c>
      <c r="M77" s="1487">
        <v>147052.23000000001</v>
      </c>
      <c r="N77" s="1487">
        <v>171584.72</v>
      </c>
      <c r="O77" s="1487">
        <v>184785.73</v>
      </c>
      <c r="P77" s="1534">
        <v>206877.97</v>
      </c>
      <c r="Q77" s="1487">
        <v>230421.49</v>
      </c>
      <c r="R77" s="1489">
        <v>259077.79</v>
      </c>
    </row>
    <row r="78" spans="1:18" hidden="1">
      <c r="A78" s="1485" t="s">
        <v>2549</v>
      </c>
      <c r="B78" s="1500" t="s">
        <v>1759</v>
      </c>
      <c r="C78" s="1487">
        <v>211290</v>
      </c>
      <c r="D78" s="1487">
        <v>217121.3</v>
      </c>
      <c r="E78" s="1491">
        <f t="shared" si="10"/>
        <v>102.75985612191774</v>
      </c>
      <c r="F78" s="1487">
        <f t="shared" si="11"/>
        <v>-5831.2999999999884</v>
      </c>
      <c r="G78" s="1487">
        <v>18229.39</v>
      </c>
      <c r="H78" s="1487">
        <v>29449.9</v>
      </c>
      <c r="I78" s="1487">
        <v>38224.769999999997</v>
      </c>
      <c r="J78" s="1487">
        <v>60876.14</v>
      </c>
      <c r="K78" s="1487">
        <v>69980.66</v>
      </c>
      <c r="L78" s="1487">
        <v>76361.119999999995</v>
      </c>
      <c r="M78" s="1487">
        <v>92549.45</v>
      </c>
      <c r="N78" s="1487">
        <v>120410.34</v>
      </c>
      <c r="O78" s="1487">
        <v>133188.85999999999</v>
      </c>
      <c r="P78" s="1534">
        <v>146295.17000000001</v>
      </c>
      <c r="Q78" s="1487">
        <v>150059.12</v>
      </c>
      <c r="R78" s="1489">
        <v>217121.3</v>
      </c>
    </row>
    <row r="79" spans="1:18" hidden="1">
      <c r="A79" s="1485" t="s">
        <v>2549</v>
      </c>
      <c r="B79" s="1500" t="s">
        <v>2561</v>
      </c>
      <c r="C79" s="1487">
        <v>129315</v>
      </c>
      <c r="D79" s="1487">
        <v>126492.76</v>
      </c>
      <c r="E79" s="1491">
        <f t="shared" si="10"/>
        <v>97.817546301666468</v>
      </c>
      <c r="F79" s="1487">
        <f t="shared" si="11"/>
        <v>2822.2400000000052</v>
      </c>
      <c r="G79" s="1487">
        <v>9900.36</v>
      </c>
      <c r="H79" s="1487">
        <v>34449.910000000003</v>
      </c>
      <c r="I79" s="1487">
        <v>50079.88</v>
      </c>
      <c r="J79" s="1487">
        <v>54489.27</v>
      </c>
      <c r="K79" s="1487">
        <v>65555.520000000004</v>
      </c>
      <c r="L79" s="1487">
        <v>81468.47</v>
      </c>
      <c r="M79" s="1487">
        <v>91151.57</v>
      </c>
      <c r="N79" s="1487">
        <v>96925.04</v>
      </c>
      <c r="O79" s="1487">
        <v>112637.83</v>
      </c>
      <c r="P79" s="1534">
        <v>117184.81</v>
      </c>
      <c r="Q79" s="1487">
        <v>128140.79</v>
      </c>
      <c r="R79" s="1489">
        <v>126492.76</v>
      </c>
    </row>
    <row r="80" spans="1:18" hidden="1">
      <c r="A80" s="1485" t="s">
        <v>2562</v>
      </c>
      <c r="B80" s="1500" t="s">
        <v>2563</v>
      </c>
      <c r="C80" s="1487">
        <v>90000</v>
      </c>
      <c r="D80" s="1487">
        <v>93454.74</v>
      </c>
      <c r="E80" s="1491">
        <f t="shared" si="10"/>
        <v>103.8386</v>
      </c>
      <c r="F80" s="1487">
        <f t="shared" si="11"/>
        <v>-3454.7400000000052</v>
      </c>
      <c r="G80" s="1487">
        <v>6528.8</v>
      </c>
      <c r="H80" s="1487">
        <v>12727.16</v>
      </c>
      <c r="I80" s="1487">
        <v>14871.4</v>
      </c>
      <c r="J80" s="1487">
        <v>15993.47</v>
      </c>
      <c r="K80" s="1487">
        <v>18132.91</v>
      </c>
      <c r="L80" s="1487">
        <v>18661.04</v>
      </c>
      <c r="M80" s="1487">
        <v>20768.71</v>
      </c>
      <c r="N80" s="1487">
        <v>30625.82</v>
      </c>
      <c r="O80" s="1487">
        <v>37104.089999999997</v>
      </c>
      <c r="P80" s="1534">
        <v>77141.759999999995</v>
      </c>
      <c r="Q80" s="1487">
        <v>81922.7</v>
      </c>
      <c r="R80" s="1489">
        <v>93454.74</v>
      </c>
    </row>
    <row r="81" spans="1:18" hidden="1">
      <c r="A81" s="1485" t="s">
        <v>2549</v>
      </c>
      <c r="B81" s="1500" t="s">
        <v>2467</v>
      </c>
      <c r="C81" s="1487">
        <v>247855</v>
      </c>
      <c r="D81" s="1487">
        <v>207519.82</v>
      </c>
      <c r="E81" s="1491">
        <f t="shared" si="10"/>
        <v>83.726299651005633</v>
      </c>
      <c r="F81" s="1487">
        <f t="shared" si="11"/>
        <v>40335.179999999993</v>
      </c>
      <c r="G81" s="1487">
        <v>17966.86</v>
      </c>
      <c r="H81" s="1487">
        <v>38517.699999999997</v>
      </c>
      <c r="I81" s="1487">
        <v>68731.5</v>
      </c>
      <c r="J81" s="1487">
        <v>104020.21</v>
      </c>
      <c r="K81" s="1487">
        <v>130181.12</v>
      </c>
      <c r="L81" s="1487">
        <v>142742.39000000001</v>
      </c>
      <c r="M81" s="1487">
        <v>155133.28</v>
      </c>
      <c r="N81" s="1487">
        <v>164304.42000000001</v>
      </c>
      <c r="O81" s="1487">
        <v>178736.32</v>
      </c>
      <c r="P81" s="1534">
        <v>190285.44</v>
      </c>
      <c r="Q81" s="1487">
        <v>204782.62</v>
      </c>
      <c r="R81" s="1489">
        <v>207519.82</v>
      </c>
    </row>
    <row r="82" spans="1:18" hidden="1">
      <c r="A82" s="1485" t="s">
        <v>2549</v>
      </c>
      <c r="B82" s="1500" t="s">
        <v>2564</v>
      </c>
      <c r="C82" s="1487">
        <v>54700</v>
      </c>
      <c r="D82" s="1487">
        <v>39795.800000000003</v>
      </c>
      <c r="E82" s="1491">
        <f t="shared" si="10"/>
        <v>72.752833638025606</v>
      </c>
      <c r="F82" s="1487">
        <f t="shared" si="11"/>
        <v>14904.199999999997</v>
      </c>
      <c r="G82" s="1487">
        <v>3109.41</v>
      </c>
      <c r="H82" s="1487">
        <v>8032.23</v>
      </c>
      <c r="I82" s="1487">
        <v>19054.3</v>
      </c>
      <c r="J82" s="1487">
        <v>26484.639999999999</v>
      </c>
      <c r="K82" s="1487">
        <v>31169.27</v>
      </c>
      <c r="L82" s="1487">
        <v>33356.75</v>
      </c>
      <c r="M82" s="1487">
        <v>34841.910000000003</v>
      </c>
      <c r="N82" s="1487">
        <v>35179.1</v>
      </c>
      <c r="O82" s="1487">
        <v>35807.11</v>
      </c>
      <c r="P82" s="1534">
        <v>38550.97</v>
      </c>
      <c r="Q82" s="1487">
        <v>40683.75</v>
      </c>
      <c r="R82" s="1489">
        <v>39795.800000000003</v>
      </c>
    </row>
    <row r="83" spans="1:18" hidden="1">
      <c r="A83" s="1485" t="s">
        <v>2565</v>
      </c>
      <c r="B83" s="1500" t="s">
        <v>2566</v>
      </c>
      <c r="C83" s="1487">
        <v>22500</v>
      </c>
      <c r="D83" s="1487">
        <v>20614.849999999999</v>
      </c>
      <c r="E83" s="1488">
        <f t="shared" si="10"/>
        <v>91.621555555555545</v>
      </c>
      <c r="F83" s="1487">
        <f t="shared" si="11"/>
        <v>1885.1500000000015</v>
      </c>
      <c r="G83" s="1487">
        <v>6015.65</v>
      </c>
      <c r="H83" s="1487">
        <v>6015.65</v>
      </c>
      <c r="I83" s="1487">
        <v>9982.44</v>
      </c>
      <c r="J83" s="1487">
        <v>10162.950000000001</v>
      </c>
      <c r="K83" s="1487">
        <v>10464.530000000001</v>
      </c>
      <c r="L83" s="1487">
        <v>16751.86</v>
      </c>
      <c r="M83" s="1487">
        <v>19462.259999999998</v>
      </c>
      <c r="N83" s="1487">
        <v>21361.96</v>
      </c>
      <c r="O83" s="1487">
        <v>21573.040000000001</v>
      </c>
      <c r="P83" s="1534">
        <v>21528.55</v>
      </c>
      <c r="Q83" s="1487">
        <v>21667.55</v>
      </c>
      <c r="R83" s="1489">
        <v>20614.849999999999</v>
      </c>
    </row>
    <row r="84" spans="1:18" hidden="1">
      <c r="A84" s="1485" t="s">
        <v>2549</v>
      </c>
      <c r="B84" s="1500" t="s">
        <v>2567</v>
      </c>
      <c r="C84" s="1487">
        <v>145545</v>
      </c>
      <c r="D84" s="1487">
        <v>124439.9</v>
      </c>
      <c r="E84" s="1488">
        <f t="shared" ref="E84:E89" si="12">D84/C84*100</f>
        <v>85.499261396818852</v>
      </c>
      <c r="F84" s="1487">
        <f t="shared" si="11"/>
        <v>21105.100000000006</v>
      </c>
      <c r="G84" s="1487">
        <v>9842.61</v>
      </c>
      <c r="H84" s="1487">
        <v>27626.79</v>
      </c>
      <c r="I84" s="1487">
        <v>37104.949999999997</v>
      </c>
      <c r="J84" s="1487">
        <v>45828.29</v>
      </c>
      <c r="K84" s="1487">
        <v>60091.95</v>
      </c>
      <c r="L84" s="1487">
        <v>68566.429999999993</v>
      </c>
      <c r="M84" s="1487">
        <v>84373.04</v>
      </c>
      <c r="N84" s="1487">
        <v>98933.37</v>
      </c>
      <c r="O84" s="1487">
        <v>108729.45</v>
      </c>
      <c r="P84" s="1534">
        <v>112747.14</v>
      </c>
      <c r="Q84" s="1487">
        <v>123614.31</v>
      </c>
      <c r="R84" s="1489">
        <v>124439.9</v>
      </c>
    </row>
    <row r="85" spans="1:18" hidden="1">
      <c r="A85" s="1485" t="s">
        <v>2568</v>
      </c>
      <c r="B85" s="1500" t="s">
        <v>2569</v>
      </c>
      <c r="C85" s="1487">
        <v>109520</v>
      </c>
      <c r="D85" s="1487">
        <v>85836.12</v>
      </c>
      <c r="E85" s="1488">
        <f t="shared" si="12"/>
        <v>78.374835646457257</v>
      </c>
      <c r="F85" s="1487">
        <f t="shared" si="11"/>
        <v>23683.880000000005</v>
      </c>
      <c r="G85" s="1487">
        <v>6353.62</v>
      </c>
      <c r="H85" s="1487">
        <v>15270.17</v>
      </c>
      <c r="I85" s="1487">
        <v>20920.68</v>
      </c>
      <c r="J85" s="1487">
        <v>27922.35</v>
      </c>
      <c r="K85" s="1487">
        <v>40357.01</v>
      </c>
      <c r="L85" s="1487">
        <v>47393.97</v>
      </c>
      <c r="M85" s="1487">
        <v>50232.89</v>
      </c>
      <c r="N85" s="1487">
        <v>61029.2</v>
      </c>
      <c r="O85" s="1487">
        <v>68612.929999999993</v>
      </c>
      <c r="P85" s="1534">
        <v>73939.850000000006</v>
      </c>
      <c r="Q85" s="1487">
        <v>82381.61</v>
      </c>
      <c r="R85" s="1489">
        <v>85836.12</v>
      </c>
    </row>
    <row r="86" spans="1:18" hidden="1">
      <c r="A86" s="1485" t="s">
        <v>2570</v>
      </c>
      <c r="B86" s="1500" t="s">
        <v>2571</v>
      </c>
      <c r="C86" s="1487">
        <v>13900</v>
      </c>
      <c r="D86" s="1487">
        <v>11400.68</v>
      </c>
      <c r="E86" s="1488">
        <f t="shared" si="12"/>
        <v>82.019280575539568</v>
      </c>
      <c r="F86" s="1487">
        <f t="shared" si="11"/>
        <v>2499.3199999999997</v>
      </c>
      <c r="G86" s="1487">
        <v>41.48</v>
      </c>
      <c r="H86" s="1487">
        <v>116.63</v>
      </c>
      <c r="I86" s="1487">
        <v>10703.28</v>
      </c>
      <c r="J86" s="1487">
        <v>10735.34</v>
      </c>
      <c r="K86" s="1487">
        <v>10818.61</v>
      </c>
      <c r="L86" s="1487">
        <v>10983.29</v>
      </c>
      <c r="M86" s="1487">
        <v>11030.06</v>
      </c>
      <c r="N86" s="1487">
        <v>11074.76</v>
      </c>
      <c r="O86" s="1487">
        <v>11107.03</v>
      </c>
      <c r="P86" s="1534">
        <v>11168.58</v>
      </c>
      <c r="Q86" s="1487">
        <v>11312.11</v>
      </c>
      <c r="R86" s="1489">
        <v>11400.68</v>
      </c>
    </row>
    <row r="87" spans="1:18" hidden="1">
      <c r="A87" s="1485" t="s">
        <v>2549</v>
      </c>
      <c r="B87" s="1500" t="s">
        <v>2572</v>
      </c>
      <c r="C87" s="1487">
        <v>12465</v>
      </c>
      <c r="D87" s="1487">
        <v>5347.91</v>
      </c>
      <c r="E87" s="1488">
        <f t="shared" si="12"/>
        <v>42.903409546730849</v>
      </c>
      <c r="F87" s="1487">
        <f t="shared" si="11"/>
        <v>7117.09</v>
      </c>
      <c r="G87" s="1487">
        <v>922.8</v>
      </c>
      <c r="H87" s="1487">
        <v>1804.53</v>
      </c>
      <c r="I87" s="1487">
        <v>2050.64</v>
      </c>
      <c r="J87" s="1487">
        <v>2337.12</v>
      </c>
      <c r="K87" s="1487">
        <v>2618.5</v>
      </c>
      <c r="L87" s="1487">
        <v>2742.97</v>
      </c>
      <c r="M87" s="1487">
        <v>2851.22</v>
      </c>
      <c r="N87" s="1487">
        <v>3137.97</v>
      </c>
      <c r="O87" s="1487">
        <v>3862.02</v>
      </c>
      <c r="P87" s="1534">
        <v>5057.2700000000004</v>
      </c>
      <c r="Q87" s="1487">
        <v>5169.7700000000004</v>
      </c>
      <c r="R87" s="1489">
        <v>5347.91</v>
      </c>
    </row>
    <row r="88" spans="1:18" hidden="1">
      <c r="A88" s="1515" t="s">
        <v>2549</v>
      </c>
      <c r="B88" s="1516" t="s">
        <v>2573</v>
      </c>
      <c r="C88" s="1518">
        <v>12850</v>
      </c>
      <c r="D88" s="1518">
        <v>2957.74</v>
      </c>
      <c r="E88" s="1494">
        <f t="shared" si="12"/>
        <v>23.017431906614785</v>
      </c>
      <c r="F88" s="1518">
        <f t="shared" si="11"/>
        <v>9892.26</v>
      </c>
      <c r="G88" s="1518">
        <v>0</v>
      </c>
      <c r="H88" s="1518">
        <v>0</v>
      </c>
      <c r="I88" s="1518">
        <v>96</v>
      </c>
      <c r="J88" s="1518">
        <v>1518.4</v>
      </c>
      <c r="K88" s="1518">
        <v>2111.75</v>
      </c>
      <c r="L88" s="1518">
        <v>2111.75</v>
      </c>
      <c r="M88" s="1518">
        <v>2179.75</v>
      </c>
      <c r="N88" s="1518">
        <v>2179.75</v>
      </c>
      <c r="O88" s="1518">
        <v>2439.75</v>
      </c>
      <c r="P88" s="1535">
        <v>2708.89</v>
      </c>
      <c r="Q88" s="1518">
        <v>2708.89</v>
      </c>
      <c r="R88" s="1520">
        <v>2957.74</v>
      </c>
    </row>
    <row r="89" spans="1:18" hidden="1">
      <c r="A89" s="1521"/>
      <c r="B89" s="1522" t="s">
        <v>8</v>
      </c>
      <c r="C89" s="1523">
        <f>SUM(C66:C88)</f>
        <v>3721795</v>
      </c>
      <c r="D89" s="1523">
        <f>SUM(D66:D88)</f>
        <v>3464150.79</v>
      </c>
      <c r="E89" s="1523">
        <f t="shared" si="12"/>
        <v>93.077420706943826</v>
      </c>
      <c r="F89" s="1524">
        <f>C89-D89</f>
        <v>257644.20999999996</v>
      </c>
      <c r="G89" s="1524">
        <f t="shared" ref="G89:R89" si="13">SUM(G66:G88)</f>
        <v>309698.73999999987</v>
      </c>
      <c r="H89" s="1524">
        <f t="shared" si="13"/>
        <v>562465.25000000012</v>
      </c>
      <c r="I89" s="1524">
        <f t="shared" si="13"/>
        <v>891364.69000000006</v>
      </c>
      <c r="J89" s="1524">
        <f t="shared" si="13"/>
        <v>1242789.0900000001</v>
      </c>
      <c r="K89" s="1524">
        <f t="shared" si="13"/>
        <v>1647595.1</v>
      </c>
      <c r="L89" s="1524">
        <f t="shared" si="13"/>
        <v>2060757.6600000001</v>
      </c>
      <c r="M89" s="1524">
        <f t="shared" si="13"/>
        <v>2196199.4000000004</v>
      </c>
      <c r="N89" s="1524">
        <f t="shared" si="13"/>
        <v>2498503.58</v>
      </c>
      <c r="O89" s="1524">
        <f t="shared" si="13"/>
        <v>2755410.8</v>
      </c>
      <c r="P89" s="1524">
        <f t="shared" si="13"/>
        <v>3054950.93</v>
      </c>
      <c r="Q89" s="1524">
        <f t="shared" si="13"/>
        <v>3301342.6999999997</v>
      </c>
      <c r="R89" s="1525">
        <f t="shared" si="13"/>
        <v>3464150.79</v>
      </c>
    </row>
    <row r="90" spans="1:18" hidden="1">
      <c r="A90" s="1502"/>
      <c r="B90" s="1477"/>
      <c r="C90" s="1477"/>
      <c r="D90" s="1477"/>
      <c r="E90" s="1503"/>
      <c r="F90" s="1504">
        <f t="shared" ref="F90:R90" si="14">F89/$C$89</f>
        <v>6.9225792930561719E-2</v>
      </c>
      <c r="G90" s="1504">
        <f t="shared" si="14"/>
        <v>8.3212197340261862E-2</v>
      </c>
      <c r="H90" s="1504">
        <f t="shared" si="14"/>
        <v>0.15112741298217663</v>
      </c>
      <c r="I90" s="1504">
        <f t="shared" si="14"/>
        <v>0.23949859946611785</v>
      </c>
      <c r="J90" s="1504">
        <f t="shared" si="14"/>
        <v>0.33392196238642913</v>
      </c>
      <c r="K90" s="1504">
        <f t="shared" si="14"/>
        <v>0.44268829959737171</v>
      </c>
      <c r="L90" s="1504">
        <f t="shared" si="14"/>
        <v>0.55369993779883098</v>
      </c>
      <c r="M90" s="1504">
        <f t="shared" si="14"/>
        <v>0.59009144780945766</v>
      </c>
      <c r="N90" s="1504">
        <f t="shared" si="14"/>
        <v>0.67131681890055739</v>
      </c>
      <c r="O90" s="1504">
        <f t="shared" si="14"/>
        <v>0.74034459178971435</v>
      </c>
      <c r="P90" s="1504">
        <f t="shared" si="14"/>
        <v>0.82082729704349655</v>
      </c>
      <c r="Q90" s="1504">
        <f t="shared" si="14"/>
        <v>0.88702969937892862</v>
      </c>
      <c r="R90" s="1504">
        <f t="shared" si="14"/>
        <v>0.93077420706943825</v>
      </c>
    </row>
    <row r="91" spans="1:18" hidden="1"/>
    <row r="92" spans="1:18" ht="15.75" hidden="1">
      <c r="A92" s="1536">
        <v>2018</v>
      </c>
    </row>
    <row r="93" spans="1:18" hidden="1"/>
    <row r="94" spans="1:18" ht="21" hidden="1" customHeight="1" thickBot="1">
      <c r="A94" s="1531" t="s">
        <v>2532</v>
      </c>
      <c r="B94" s="1532" t="s">
        <v>624</v>
      </c>
      <c r="C94" s="1532" t="s">
        <v>923</v>
      </c>
      <c r="D94" s="1532" t="s">
        <v>2533</v>
      </c>
      <c r="E94" s="1532" t="s">
        <v>636</v>
      </c>
      <c r="F94" s="1532" t="s">
        <v>2534</v>
      </c>
      <c r="G94" s="1532" t="s">
        <v>2535</v>
      </c>
      <c r="H94" s="1532" t="s">
        <v>2536</v>
      </c>
      <c r="I94" s="1532" t="s">
        <v>2537</v>
      </c>
      <c r="J94" s="1532" t="s">
        <v>2538</v>
      </c>
      <c r="K94" s="1532" t="s">
        <v>720</v>
      </c>
      <c r="L94" s="1532" t="s">
        <v>2539</v>
      </c>
      <c r="M94" s="1532" t="s">
        <v>2540</v>
      </c>
      <c r="N94" s="1532" t="s">
        <v>965</v>
      </c>
      <c r="O94" s="1532" t="s">
        <v>2541</v>
      </c>
      <c r="P94" s="1532" t="s">
        <v>2542</v>
      </c>
      <c r="Q94" s="1532" t="s">
        <v>968</v>
      </c>
      <c r="R94" s="1533" t="s">
        <v>969</v>
      </c>
    </row>
    <row r="95" spans="1:18" hidden="1">
      <c r="A95" s="1511" t="s">
        <v>2543</v>
      </c>
      <c r="B95" s="1498" t="s">
        <v>2544</v>
      </c>
      <c r="C95" s="1487">
        <v>51393</v>
      </c>
      <c r="D95" s="1487">
        <v>100399.67999999999</v>
      </c>
      <c r="E95" s="1499">
        <f t="shared" ref="E95:E112" si="15">D95/C95*100</f>
        <v>195.35672173253164</v>
      </c>
      <c r="F95" s="1487">
        <f>C95-D95</f>
        <v>-49006.679999999993</v>
      </c>
      <c r="G95" s="1487">
        <v>0</v>
      </c>
      <c r="H95" s="1487">
        <v>70000</v>
      </c>
      <c r="I95" s="1487">
        <v>70000</v>
      </c>
      <c r="J95" s="1487">
        <v>70000</v>
      </c>
      <c r="K95" s="1487">
        <v>70175</v>
      </c>
      <c r="L95" s="1487">
        <v>70175</v>
      </c>
      <c r="M95" s="1487">
        <v>71450.259999999995</v>
      </c>
      <c r="N95" s="1487">
        <v>71450.259999999995</v>
      </c>
      <c r="O95" s="1487">
        <v>71838.259999999995</v>
      </c>
      <c r="P95" s="1487">
        <v>72052.259999999995</v>
      </c>
      <c r="Q95" s="1487">
        <v>72545.320000000007</v>
      </c>
      <c r="R95" s="1489">
        <v>100399.67999999999</v>
      </c>
    </row>
    <row r="96" spans="1:18" hidden="1">
      <c r="A96" s="1485" t="s">
        <v>2545</v>
      </c>
      <c r="B96" s="1500" t="s">
        <v>2546</v>
      </c>
      <c r="C96" s="1487">
        <v>14450</v>
      </c>
      <c r="D96" s="1487">
        <v>19947.79</v>
      </c>
      <c r="E96" s="1490">
        <f t="shared" si="15"/>
        <v>138.04698961937717</v>
      </c>
      <c r="F96" s="1487">
        <f t="shared" ref="F96:F117" si="16">C96-D96</f>
        <v>-5497.7900000000009</v>
      </c>
      <c r="G96" s="1487">
        <v>3688.35</v>
      </c>
      <c r="H96" s="1487">
        <v>3954.77</v>
      </c>
      <c r="I96" s="1487">
        <v>5420.87</v>
      </c>
      <c r="J96" s="1487">
        <v>15329</v>
      </c>
      <c r="K96" s="1487">
        <v>15329</v>
      </c>
      <c r="L96" s="1487">
        <v>15329</v>
      </c>
      <c r="M96" s="1487">
        <v>15329</v>
      </c>
      <c r="N96" s="1487">
        <v>18726.37</v>
      </c>
      <c r="O96" s="1487">
        <v>19003.689999999999</v>
      </c>
      <c r="P96" s="1487">
        <v>20131.71</v>
      </c>
      <c r="Q96" s="1487">
        <v>20334.990000000002</v>
      </c>
      <c r="R96" s="1489">
        <v>19947.79</v>
      </c>
    </row>
    <row r="97" spans="1:18" hidden="1">
      <c r="A97" s="1485" t="s">
        <v>2547</v>
      </c>
      <c r="B97" s="1500" t="s">
        <v>2548</v>
      </c>
      <c r="C97" s="1487">
        <v>9000</v>
      </c>
      <c r="D97" s="1487">
        <v>8736.31</v>
      </c>
      <c r="E97" s="1488">
        <f t="shared" si="15"/>
        <v>97.070111111111103</v>
      </c>
      <c r="F97" s="1487">
        <f t="shared" si="16"/>
        <v>263.69000000000051</v>
      </c>
      <c r="G97" s="1487">
        <v>1427.38</v>
      </c>
      <c r="H97" s="1487">
        <v>3283.67</v>
      </c>
      <c r="I97" s="1487">
        <v>3631.76</v>
      </c>
      <c r="J97" s="1487">
        <v>4026.72</v>
      </c>
      <c r="K97" s="1487">
        <v>4923.67</v>
      </c>
      <c r="L97" s="1487">
        <v>5306.93</v>
      </c>
      <c r="M97" s="1487">
        <v>7259.34</v>
      </c>
      <c r="N97" s="1487">
        <v>7698.98</v>
      </c>
      <c r="O97" s="1487">
        <v>8068.15</v>
      </c>
      <c r="P97" s="1487">
        <v>8115.55</v>
      </c>
      <c r="Q97" s="1487">
        <v>8349.57</v>
      </c>
      <c r="R97" s="1489">
        <v>8736.31</v>
      </c>
    </row>
    <row r="98" spans="1:18" hidden="1">
      <c r="A98" s="1485" t="s">
        <v>2549</v>
      </c>
      <c r="B98" s="1500" t="s">
        <v>2550</v>
      </c>
      <c r="C98" s="1487">
        <v>750134.84</v>
      </c>
      <c r="D98" s="1487">
        <v>702617.67</v>
      </c>
      <c r="E98" s="1488">
        <f t="shared" si="15"/>
        <v>93.665516189062771</v>
      </c>
      <c r="F98" s="1487">
        <f t="shared" si="16"/>
        <v>47517.169999999925</v>
      </c>
      <c r="G98" s="1487">
        <v>124827.61</v>
      </c>
      <c r="H98" s="1487">
        <v>198252.91</v>
      </c>
      <c r="I98" s="1487">
        <v>249983.26</v>
      </c>
      <c r="J98" s="1487">
        <v>279954.33</v>
      </c>
      <c r="K98" s="1487">
        <v>335669.46</v>
      </c>
      <c r="L98" s="1487">
        <v>407563.09</v>
      </c>
      <c r="M98" s="1487">
        <v>451311.39</v>
      </c>
      <c r="N98" s="1487">
        <v>521287.86</v>
      </c>
      <c r="O98" s="1487">
        <v>564031.43999999994</v>
      </c>
      <c r="P98" s="1487">
        <v>616969.63</v>
      </c>
      <c r="Q98" s="1487">
        <v>642008.80000000005</v>
      </c>
      <c r="R98" s="1489">
        <v>702617.67</v>
      </c>
    </row>
    <row r="99" spans="1:18" hidden="1">
      <c r="A99" s="1485" t="s">
        <v>2549</v>
      </c>
      <c r="B99" s="1500" t="s">
        <v>2551</v>
      </c>
      <c r="C99" s="1487">
        <v>359475</v>
      </c>
      <c r="D99" s="1487">
        <v>339358.74</v>
      </c>
      <c r="E99" s="1488">
        <f t="shared" si="15"/>
        <v>94.403989150844978</v>
      </c>
      <c r="F99" s="1487">
        <f t="shared" si="16"/>
        <v>20116.260000000009</v>
      </c>
      <c r="G99" s="1487">
        <v>77410.16</v>
      </c>
      <c r="H99" s="1487">
        <v>155932.56</v>
      </c>
      <c r="I99" s="1487">
        <v>183974.01</v>
      </c>
      <c r="J99" s="1487">
        <v>210870.6</v>
      </c>
      <c r="K99" s="1487">
        <v>228327.06</v>
      </c>
      <c r="L99" s="1487">
        <v>245745.86</v>
      </c>
      <c r="M99" s="1487">
        <v>267667.20000000001</v>
      </c>
      <c r="N99" s="1487">
        <v>281492.90999999997</v>
      </c>
      <c r="O99" s="1487">
        <v>299610.26</v>
      </c>
      <c r="P99" s="1487">
        <v>342577.68</v>
      </c>
      <c r="Q99" s="1487">
        <v>374668.94</v>
      </c>
      <c r="R99" s="1489">
        <v>339358.74</v>
      </c>
    </row>
    <row r="100" spans="1:18" hidden="1">
      <c r="A100" s="1485" t="s">
        <v>2549</v>
      </c>
      <c r="B100" s="1500" t="s">
        <v>2552</v>
      </c>
      <c r="C100" s="1487">
        <v>743600</v>
      </c>
      <c r="D100" s="1487">
        <v>795076.33</v>
      </c>
      <c r="E100" s="1488">
        <f t="shared" si="15"/>
        <v>106.9225833781603</v>
      </c>
      <c r="F100" s="1487">
        <f t="shared" si="16"/>
        <v>-51476.329999999958</v>
      </c>
      <c r="G100" s="1487">
        <v>60225.25</v>
      </c>
      <c r="H100" s="1487">
        <v>168879.68</v>
      </c>
      <c r="I100" s="1487">
        <v>245500.84</v>
      </c>
      <c r="J100" s="1487">
        <v>265344.98</v>
      </c>
      <c r="K100" s="1487">
        <v>338598.84</v>
      </c>
      <c r="L100" s="1487">
        <v>408031.83</v>
      </c>
      <c r="M100" s="1487">
        <v>442853.69</v>
      </c>
      <c r="N100" s="1487">
        <v>519566.97</v>
      </c>
      <c r="O100" s="1487">
        <v>561783.26</v>
      </c>
      <c r="P100" s="1487">
        <v>611690.99</v>
      </c>
      <c r="Q100" s="1487">
        <v>738209.92</v>
      </c>
      <c r="R100" s="1489">
        <v>795076.33</v>
      </c>
    </row>
    <row r="101" spans="1:18" hidden="1">
      <c r="A101" s="1485" t="s">
        <v>2549</v>
      </c>
      <c r="B101" s="1500" t="s">
        <v>2553</v>
      </c>
      <c r="C101" s="1487">
        <v>5925</v>
      </c>
      <c r="D101" s="1487">
        <v>1878.81</v>
      </c>
      <c r="E101" s="1491">
        <f t="shared" si="15"/>
        <v>31.709873417721518</v>
      </c>
      <c r="F101" s="1487">
        <f t="shared" si="16"/>
        <v>4046.19</v>
      </c>
      <c r="G101" s="1487">
        <v>17.260000000000002</v>
      </c>
      <c r="H101" s="1487">
        <v>75.989999999999995</v>
      </c>
      <c r="I101" s="1487">
        <v>75.989999999999995</v>
      </c>
      <c r="J101" s="1487">
        <v>75.989999999999995</v>
      </c>
      <c r="K101" s="1487">
        <v>75.989999999999995</v>
      </c>
      <c r="L101" s="1487">
        <v>75.989999999999995</v>
      </c>
      <c r="M101" s="1487">
        <v>75.989999999999995</v>
      </c>
      <c r="N101" s="1487">
        <v>381.6</v>
      </c>
      <c r="O101" s="1487">
        <v>1235.26</v>
      </c>
      <c r="P101" s="1487">
        <v>1235.26</v>
      </c>
      <c r="Q101" s="1487">
        <v>1500.19</v>
      </c>
      <c r="R101" s="1489">
        <v>1878.81</v>
      </c>
    </row>
    <row r="102" spans="1:18" hidden="1">
      <c r="A102" s="1485" t="s">
        <v>2554</v>
      </c>
      <c r="B102" s="1500" t="s">
        <v>2555</v>
      </c>
      <c r="C102" s="1487">
        <v>0</v>
      </c>
      <c r="D102" s="1487">
        <v>0</v>
      </c>
      <c r="E102" s="1491" t="e">
        <f t="shared" si="15"/>
        <v>#DIV/0!</v>
      </c>
      <c r="F102" s="1487">
        <f t="shared" si="16"/>
        <v>0</v>
      </c>
      <c r="G102" s="1487">
        <v>0</v>
      </c>
      <c r="H102" s="1487">
        <v>0</v>
      </c>
      <c r="I102" s="1487">
        <v>0</v>
      </c>
      <c r="J102" s="1487">
        <v>0</v>
      </c>
      <c r="K102" s="1487">
        <v>0</v>
      </c>
      <c r="L102" s="1487">
        <v>0</v>
      </c>
      <c r="M102" s="1487">
        <v>0</v>
      </c>
      <c r="N102" s="1487">
        <v>0</v>
      </c>
      <c r="O102" s="1487">
        <v>0</v>
      </c>
      <c r="P102" s="1487">
        <v>0</v>
      </c>
      <c r="Q102" s="1487">
        <v>0</v>
      </c>
      <c r="R102" s="1489">
        <v>0</v>
      </c>
    </row>
    <row r="103" spans="1:18" hidden="1">
      <c r="A103" s="1485" t="s">
        <v>2549</v>
      </c>
      <c r="B103" s="1500" t="s">
        <v>2556</v>
      </c>
      <c r="C103" s="1487">
        <v>43510.54</v>
      </c>
      <c r="D103" s="1487">
        <v>6259.75</v>
      </c>
      <c r="E103" s="1491">
        <f t="shared" si="15"/>
        <v>14.386743993524329</v>
      </c>
      <c r="F103" s="1487">
        <f t="shared" si="16"/>
        <v>37250.79</v>
      </c>
      <c r="G103" s="1487">
        <v>66.37</v>
      </c>
      <c r="H103" s="1487">
        <v>912.12</v>
      </c>
      <c r="I103" s="1487">
        <v>929.43</v>
      </c>
      <c r="J103" s="1487">
        <v>940.44</v>
      </c>
      <c r="K103" s="1487">
        <v>938.38</v>
      </c>
      <c r="L103" s="1487">
        <v>938.38</v>
      </c>
      <c r="M103" s="1487">
        <v>939.7</v>
      </c>
      <c r="N103" s="1487">
        <v>962.72</v>
      </c>
      <c r="O103" s="1487">
        <v>2460.9499999999998</v>
      </c>
      <c r="P103" s="1487">
        <v>6229.52</v>
      </c>
      <c r="Q103" s="1487">
        <v>6254.64</v>
      </c>
      <c r="R103" s="1489">
        <v>6259.75</v>
      </c>
    </row>
    <row r="104" spans="1:18" hidden="1">
      <c r="A104" s="1485" t="s">
        <v>2549</v>
      </c>
      <c r="B104" s="1500" t="s">
        <v>2557</v>
      </c>
      <c r="C104" s="1487">
        <v>454254.28</v>
      </c>
      <c r="D104" s="1487">
        <v>409791.32</v>
      </c>
      <c r="E104" s="1491">
        <f t="shared" si="15"/>
        <v>90.211878686096242</v>
      </c>
      <c r="F104" s="1487">
        <f t="shared" si="16"/>
        <v>44462.960000000021</v>
      </c>
      <c r="G104" s="1487">
        <v>38062.639999999999</v>
      </c>
      <c r="H104" s="1487">
        <v>63858.66</v>
      </c>
      <c r="I104" s="1487">
        <v>114476.75</v>
      </c>
      <c r="J104" s="1487">
        <v>142536.42000000001</v>
      </c>
      <c r="K104" s="1487">
        <v>194618.86</v>
      </c>
      <c r="L104" s="1487">
        <v>291134.67</v>
      </c>
      <c r="M104" s="1487">
        <v>314483.57</v>
      </c>
      <c r="N104" s="1487">
        <v>339574.4</v>
      </c>
      <c r="O104" s="1487">
        <v>349224.97</v>
      </c>
      <c r="P104" s="1487">
        <v>385559.71</v>
      </c>
      <c r="Q104" s="1487">
        <v>399898.49</v>
      </c>
      <c r="R104" s="1489">
        <v>409791.32</v>
      </c>
    </row>
    <row r="105" spans="1:18" hidden="1">
      <c r="A105" s="1485" t="s">
        <v>2549</v>
      </c>
      <c r="B105" s="1500" t="s">
        <v>2558</v>
      </c>
      <c r="C105" s="1487">
        <v>97397</v>
      </c>
      <c r="D105" s="1487">
        <v>80945.39</v>
      </c>
      <c r="E105" s="1491">
        <f t="shared" si="15"/>
        <v>83.108709713851553</v>
      </c>
      <c r="F105" s="1487">
        <f t="shared" si="16"/>
        <v>16451.61</v>
      </c>
      <c r="G105" s="1487">
        <v>34641.1</v>
      </c>
      <c r="H105" s="1487">
        <v>49142.63</v>
      </c>
      <c r="I105" s="1487">
        <v>52990.54</v>
      </c>
      <c r="J105" s="1487">
        <v>55070.85</v>
      </c>
      <c r="K105" s="1487">
        <v>62383.91</v>
      </c>
      <c r="L105" s="1487">
        <v>79363.460000000006</v>
      </c>
      <c r="M105" s="1487">
        <v>79462.05</v>
      </c>
      <c r="N105" s="1487">
        <v>82398.38</v>
      </c>
      <c r="O105" s="1487">
        <v>86223.01</v>
      </c>
      <c r="P105" s="1487">
        <v>91267.69</v>
      </c>
      <c r="Q105" s="1487">
        <v>91721.05</v>
      </c>
      <c r="R105" s="1489">
        <v>80945.39</v>
      </c>
    </row>
    <row r="106" spans="1:18" hidden="1">
      <c r="A106" s="1485" t="s">
        <v>2559</v>
      </c>
      <c r="B106" s="1500" t="s">
        <v>2560</v>
      </c>
      <c r="C106" s="1487">
        <v>250000</v>
      </c>
      <c r="D106" s="1487">
        <v>328054.61</v>
      </c>
      <c r="E106" s="1491">
        <f t="shared" si="15"/>
        <v>131.22184399999998</v>
      </c>
      <c r="F106" s="1487">
        <f t="shared" si="16"/>
        <v>-78054.609999999986</v>
      </c>
      <c r="G106" s="1487">
        <v>29249.68</v>
      </c>
      <c r="H106" s="1487">
        <v>33573.89</v>
      </c>
      <c r="I106" s="1487">
        <v>33573.89</v>
      </c>
      <c r="J106" s="1487">
        <v>90593.13</v>
      </c>
      <c r="K106" s="1487">
        <v>116685.28</v>
      </c>
      <c r="L106" s="1487">
        <v>138567.84</v>
      </c>
      <c r="M106" s="1487">
        <v>153513.07</v>
      </c>
      <c r="N106" s="1487">
        <v>166953.9</v>
      </c>
      <c r="O106" s="1487">
        <v>172004.17</v>
      </c>
      <c r="P106" s="1487">
        <v>212976.28</v>
      </c>
      <c r="Q106" s="1487">
        <v>233018.62</v>
      </c>
      <c r="R106" s="1489">
        <v>328054.61</v>
      </c>
    </row>
    <row r="107" spans="1:18" hidden="1">
      <c r="A107" s="1485" t="s">
        <v>2549</v>
      </c>
      <c r="B107" s="1500" t="s">
        <v>1759</v>
      </c>
      <c r="C107" s="1487">
        <v>215500</v>
      </c>
      <c r="D107" s="1487">
        <v>245569.97</v>
      </c>
      <c r="E107" s="1491">
        <f t="shared" si="15"/>
        <v>113.95358236658933</v>
      </c>
      <c r="F107" s="1487">
        <f t="shared" si="16"/>
        <v>-30069.97</v>
      </c>
      <c r="G107" s="1487">
        <v>57765.82</v>
      </c>
      <c r="H107" s="1487">
        <v>70864.75</v>
      </c>
      <c r="I107" s="1487">
        <v>82180.87</v>
      </c>
      <c r="J107" s="1487">
        <v>104107.67</v>
      </c>
      <c r="K107" s="1487">
        <v>124862.97</v>
      </c>
      <c r="L107" s="1487">
        <v>153945.38</v>
      </c>
      <c r="M107" s="1487">
        <v>166544.32999999999</v>
      </c>
      <c r="N107" s="1487">
        <v>204931.78</v>
      </c>
      <c r="O107" s="1487">
        <v>213489.77</v>
      </c>
      <c r="P107" s="1487">
        <v>227027.95</v>
      </c>
      <c r="Q107" s="1487">
        <v>242246.99</v>
      </c>
      <c r="R107" s="1489">
        <v>245569.97</v>
      </c>
    </row>
    <row r="108" spans="1:18" hidden="1">
      <c r="A108" s="1485" t="s">
        <v>2549</v>
      </c>
      <c r="B108" s="1500" t="s">
        <v>2561</v>
      </c>
      <c r="C108" s="1487">
        <v>147186.9</v>
      </c>
      <c r="D108" s="1487">
        <v>121053.9</v>
      </c>
      <c r="E108" s="1491">
        <f t="shared" si="15"/>
        <v>82.245023164425632</v>
      </c>
      <c r="F108" s="1487">
        <f t="shared" si="16"/>
        <v>26133</v>
      </c>
      <c r="G108" s="1487">
        <v>15344.47</v>
      </c>
      <c r="H108" s="1487">
        <v>43254.83</v>
      </c>
      <c r="I108" s="1487">
        <v>46631.88</v>
      </c>
      <c r="J108" s="1487">
        <v>50256.76</v>
      </c>
      <c r="K108" s="1487">
        <v>55852.61</v>
      </c>
      <c r="L108" s="1487">
        <v>60982.58</v>
      </c>
      <c r="M108" s="1487">
        <v>66777.56</v>
      </c>
      <c r="N108" s="1487">
        <v>85455.5</v>
      </c>
      <c r="O108" s="1487">
        <v>93675.59</v>
      </c>
      <c r="P108" s="1487">
        <v>101581.07</v>
      </c>
      <c r="Q108" s="1487">
        <v>113747.42</v>
      </c>
      <c r="R108" s="1489">
        <v>121053.9</v>
      </c>
    </row>
    <row r="109" spans="1:18" hidden="1">
      <c r="A109" s="1485" t="s">
        <v>2562</v>
      </c>
      <c r="B109" s="1500" t="s">
        <v>2563</v>
      </c>
      <c r="C109" s="1487">
        <v>94000</v>
      </c>
      <c r="D109" s="1487">
        <v>107997.3</v>
      </c>
      <c r="E109" s="1491">
        <f t="shared" si="15"/>
        <v>114.89074468085107</v>
      </c>
      <c r="F109" s="1487">
        <f t="shared" si="16"/>
        <v>-13997.300000000003</v>
      </c>
      <c r="G109" s="1487">
        <v>8286.69</v>
      </c>
      <c r="H109" s="1487">
        <v>8923.25</v>
      </c>
      <c r="I109" s="1487">
        <v>19872.86</v>
      </c>
      <c r="J109" s="1487">
        <v>20538.259999999998</v>
      </c>
      <c r="K109" s="1487">
        <v>22821.95</v>
      </c>
      <c r="L109" s="1487">
        <v>26437.759999999998</v>
      </c>
      <c r="M109" s="1487">
        <v>38510.97</v>
      </c>
      <c r="N109" s="1487">
        <v>46326.66</v>
      </c>
      <c r="O109" s="1487">
        <v>84732.87</v>
      </c>
      <c r="P109" s="1487">
        <v>97025.81</v>
      </c>
      <c r="Q109" s="1487">
        <v>106493.22</v>
      </c>
      <c r="R109" s="1489">
        <v>107997.3</v>
      </c>
    </row>
    <row r="110" spans="1:18" hidden="1">
      <c r="A110" s="1485" t="s">
        <v>2549</v>
      </c>
      <c r="B110" s="1500" t="s">
        <v>2467</v>
      </c>
      <c r="C110" s="1487">
        <v>244455</v>
      </c>
      <c r="D110" s="1487">
        <v>229388.15</v>
      </c>
      <c r="E110" s="1491">
        <f t="shared" si="15"/>
        <v>93.836554785134268</v>
      </c>
      <c r="F110" s="1487">
        <f t="shared" si="16"/>
        <v>15066.850000000006</v>
      </c>
      <c r="G110" s="1487">
        <v>32040.76</v>
      </c>
      <c r="H110" s="1487">
        <v>42682.19</v>
      </c>
      <c r="I110" s="1487">
        <v>60955.59</v>
      </c>
      <c r="J110" s="1487">
        <v>96354.22</v>
      </c>
      <c r="K110" s="1487">
        <v>126914.25</v>
      </c>
      <c r="L110" s="1487">
        <v>138140.04</v>
      </c>
      <c r="M110" s="1487">
        <v>154126.76</v>
      </c>
      <c r="N110" s="1487">
        <v>167688.92000000001</v>
      </c>
      <c r="O110" s="1487">
        <v>178091.51999999999</v>
      </c>
      <c r="P110" s="1487">
        <v>198010.59</v>
      </c>
      <c r="Q110" s="1487">
        <v>213650.33</v>
      </c>
      <c r="R110" s="1489">
        <v>229388.15</v>
      </c>
    </row>
    <row r="111" spans="1:18" hidden="1">
      <c r="A111" s="1485" t="s">
        <v>2549</v>
      </c>
      <c r="B111" s="1500" t="s">
        <v>2564</v>
      </c>
      <c r="C111" s="1487">
        <v>67478.240000000005</v>
      </c>
      <c r="D111" s="1487">
        <v>59596.72</v>
      </c>
      <c r="E111" s="1491">
        <f t="shared" si="15"/>
        <v>88.31990875873467</v>
      </c>
      <c r="F111" s="1487">
        <f t="shared" si="16"/>
        <v>7881.5200000000041</v>
      </c>
      <c r="G111" s="1487">
        <v>8662.58</v>
      </c>
      <c r="H111" s="1487">
        <v>17660.150000000001</v>
      </c>
      <c r="I111" s="1487">
        <v>20519.07</v>
      </c>
      <c r="J111" s="1487">
        <v>26249.14</v>
      </c>
      <c r="K111" s="1487">
        <v>48071.519999999997</v>
      </c>
      <c r="L111" s="1487">
        <v>52777.34</v>
      </c>
      <c r="M111" s="1487">
        <v>53608.97</v>
      </c>
      <c r="N111" s="1487">
        <v>53583.47</v>
      </c>
      <c r="O111" s="1487">
        <v>55066.86</v>
      </c>
      <c r="P111" s="1487">
        <v>58049.26</v>
      </c>
      <c r="Q111" s="1487">
        <v>61729.54</v>
      </c>
      <c r="R111" s="1489">
        <v>59596.72</v>
      </c>
    </row>
    <row r="112" spans="1:18" hidden="1">
      <c r="A112" s="1485" t="s">
        <v>2565</v>
      </c>
      <c r="B112" s="1500" t="s">
        <v>2566</v>
      </c>
      <c r="C112" s="1487">
        <v>23500</v>
      </c>
      <c r="D112" s="1487">
        <v>20651.919999999998</v>
      </c>
      <c r="E112" s="1488">
        <f t="shared" si="15"/>
        <v>87.880510638297864</v>
      </c>
      <c r="F112" s="1487">
        <f t="shared" si="16"/>
        <v>2848.0800000000017</v>
      </c>
      <c r="G112" s="1487">
        <v>6314.6</v>
      </c>
      <c r="H112" s="1487">
        <v>6499.13</v>
      </c>
      <c r="I112" s="1487">
        <v>6499.13</v>
      </c>
      <c r="J112" s="1487">
        <v>6499.13</v>
      </c>
      <c r="K112" s="1487">
        <v>6499.13</v>
      </c>
      <c r="L112" s="1487">
        <v>15875.03</v>
      </c>
      <c r="M112" s="1487">
        <v>16882.599999999999</v>
      </c>
      <c r="N112" s="1487">
        <v>20526.61</v>
      </c>
      <c r="O112" s="1487">
        <v>22217.77</v>
      </c>
      <c r="P112" s="1487">
        <v>22320.240000000002</v>
      </c>
      <c r="Q112" s="1487">
        <v>21322.01</v>
      </c>
      <c r="R112" s="1489">
        <v>20651.919999999998</v>
      </c>
    </row>
    <row r="113" spans="1:18" hidden="1">
      <c r="A113" s="1485" t="s">
        <v>2549</v>
      </c>
      <c r="B113" s="1500" t="s">
        <v>2567</v>
      </c>
      <c r="C113" s="1487">
        <v>140577.68</v>
      </c>
      <c r="D113" s="1487">
        <v>125398.71</v>
      </c>
      <c r="E113" s="1488">
        <f t="shared" ref="E113:E118" si="17">D113/C113*100</f>
        <v>89.202432420281809</v>
      </c>
      <c r="F113" s="1487">
        <f t="shared" si="16"/>
        <v>15178.969999999987</v>
      </c>
      <c r="G113" s="1487">
        <v>14871.86</v>
      </c>
      <c r="H113" s="1487">
        <v>21958</v>
      </c>
      <c r="I113" s="1487">
        <v>26460.41</v>
      </c>
      <c r="J113" s="1487">
        <v>40544.160000000003</v>
      </c>
      <c r="K113" s="1487">
        <v>53916.17</v>
      </c>
      <c r="L113" s="1487">
        <v>67116.740000000005</v>
      </c>
      <c r="M113" s="1487">
        <v>80917.83</v>
      </c>
      <c r="N113" s="1487">
        <v>85090.64</v>
      </c>
      <c r="O113" s="1487">
        <v>99020.94</v>
      </c>
      <c r="P113" s="1487">
        <v>107843.1</v>
      </c>
      <c r="Q113" s="1487">
        <v>114967.64</v>
      </c>
      <c r="R113" s="1489">
        <v>125398.71</v>
      </c>
    </row>
    <row r="114" spans="1:18" hidden="1">
      <c r="A114" s="1485" t="s">
        <v>2568</v>
      </c>
      <c r="B114" s="1500" t="s">
        <v>2569</v>
      </c>
      <c r="C114" s="1487">
        <v>110506.8</v>
      </c>
      <c r="D114" s="1487">
        <v>97592.26</v>
      </c>
      <c r="E114" s="1488">
        <f t="shared" si="17"/>
        <v>88.313352662460588</v>
      </c>
      <c r="F114" s="1487">
        <f t="shared" si="16"/>
        <v>12914.540000000008</v>
      </c>
      <c r="G114" s="1487">
        <v>9796.01</v>
      </c>
      <c r="H114" s="1487">
        <v>17174.18</v>
      </c>
      <c r="I114" s="1487">
        <v>45547.12</v>
      </c>
      <c r="J114" s="1487">
        <v>48881.13</v>
      </c>
      <c r="K114" s="1487">
        <v>62520.61</v>
      </c>
      <c r="L114" s="1487">
        <v>72504.78</v>
      </c>
      <c r="M114" s="1487">
        <v>75256.72</v>
      </c>
      <c r="N114" s="1487">
        <v>83465.73</v>
      </c>
      <c r="O114" s="1487">
        <v>88873.05</v>
      </c>
      <c r="P114" s="1487">
        <v>95236.88</v>
      </c>
      <c r="Q114" s="1487">
        <v>99905.68</v>
      </c>
      <c r="R114" s="1489">
        <v>97592.26</v>
      </c>
    </row>
    <row r="115" spans="1:18" hidden="1">
      <c r="A115" s="1485" t="s">
        <v>2570</v>
      </c>
      <c r="B115" s="1500" t="s">
        <v>2571</v>
      </c>
      <c r="C115" s="1487">
        <v>13500</v>
      </c>
      <c r="D115" s="1487">
        <v>11950.36</v>
      </c>
      <c r="E115" s="1488">
        <f t="shared" si="17"/>
        <v>88.521185185185189</v>
      </c>
      <c r="F115" s="1487">
        <f t="shared" si="16"/>
        <v>1549.6399999999994</v>
      </c>
      <c r="G115" s="1487">
        <v>24.17</v>
      </c>
      <c r="H115" s="1487">
        <v>11094.04</v>
      </c>
      <c r="I115" s="1487">
        <v>11176.33</v>
      </c>
      <c r="J115" s="1487">
        <v>11322.53</v>
      </c>
      <c r="K115" s="1487">
        <v>11485.4</v>
      </c>
      <c r="L115" s="1487">
        <v>11544.03</v>
      </c>
      <c r="M115" s="1487">
        <v>11601.5</v>
      </c>
      <c r="N115" s="1487">
        <v>11619.82</v>
      </c>
      <c r="O115" s="1487">
        <v>11717.14</v>
      </c>
      <c r="P115" s="1487">
        <v>11846.5</v>
      </c>
      <c r="Q115" s="1487">
        <v>11940.6</v>
      </c>
      <c r="R115" s="1489">
        <v>11950.36</v>
      </c>
    </row>
    <row r="116" spans="1:18" hidden="1">
      <c r="A116" s="1485" t="s">
        <v>2549</v>
      </c>
      <c r="B116" s="1500" t="s">
        <v>2572</v>
      </c>
      <c r="C116" s="1487">
        <v>11185</v>
      </c>
      <c r="D116" s="1487">
        <v>6928.39</v>
      </c>
      <c r="E116" s="1488">
        <f t="shared" si="17"/>
        <v>61.943585158694681</v>
      </c>
      <c r="F116" s="1487">
        <f t="shared" si="16"/>
        <v>4256.6099999999997</v>
      </c>
      <c r="G116" s="1487">
        <v>1831.14</v>
      </c>
      <c r="H116" s="1487">
        <v>1287.58</v>
      </c>
      <c r="I116" s="1487">
        <v>1401.24</v>
      </c>
      <c r="J116" s="1487">
        <v>2244.9899999999998</v>
      </c>
      <c r="K116" s="1487">
        <v>2884.32</v>
      </c>
      <c r="L116" s="1487">
        <v>3289.48</v>
      </c>
      <c r="M116" s="1487">
        <v>3623.14</v>
      </c>
      <c r="N116" s="1487">
        <v>3759.54</v>
      </c>
      <c r="O116" s="1487">
        <v>5173.3900000000003</v>
      </c>
      <c r="P116" s="1487">
        <v>5593.08</v>
      </c>
      <c r="Q116" s="1487">
        <v>7052.33</v>
      </c>
      <c r="R116" s="1489">
        <v>6928.39</v>
      </c>
    </row>
    <row r="117" spans="1:18" hidden="1">
      <c r="A117" s="1485" t="s">
        <v>2549</v>
      </c>
      <c r="B117" s="1500" t="s">
        <v>2573</v>
      </c>
      <c r="C117" s="1487">
        <v>13350</v>
      </c>
      <c r="D117" s="1487">
        <v>4093.12</v>
      </c>
      <c r="E117" s="1488">
        <f t="shared" si="17"/>
        <v>30.66007490636704</v>
      </c>
      <c r="F117" s="1487">
        <f t="shared" si="16"/>
        <v>9256.880000000001</v>
      </c>
      <c r="G117" s="1487">
        <v>15.9</v>
      </c>
      <c r="H117" s="1487">
        <v>901.66</v>
      </c>
      <c r="I117" s="1487">
        <v>1104.1600000000001</v>
      </c>
      <c r="J117" s="1487">
        <v>1832.46</v>
      </c>
      <c r="K117" s="1487">
        <v>1832.46</v>
      </c>
      <c r="L117" s="1487">
        <v>1832.46</v>
      </c>
      <c r="M117" s="1487">
        <v>1868.06</v>
      </c>
      <c r="N117" s="1487">
        <v>1868.06</v>
      </c>
      <c r="O117" s="1487">
        <v>2965.06</v>
      </c>
      <c r="P117" s="1487">
        <v>2894.42</v>
      </c>
      <c r="Q117" s="1487">
        <v>3593.12</v>
      </c>
      <c r="R117" s="1489">
        <v>4093.12</v>
      </c>
    </row>
    <row r="118" spans="1:18" hidden="1">
      <c r="A118" s="1521"/>
      <c r="B118" s="1522" t="s">
        <v>8</v>
      </c>
      <c r="C118" s="1523">
        <f>SUM(C95:C117)</f>
        <v>3860379.2800000003</v>
      </c>
      <c r="D118" s="1523">
        <f>SUM(D95:D117)</f>
        <v>3823287.1999999997</v>
      </c>
      <c r="E118" s="1523">
        <f t="shared" si="17"/>
        <v>99.039159696246202</v>
      </c>
      <c r="F118" s="1524">
        <f>C118-D118</f>
        <v>37092.08000000054</v>
      </c>
      <c r="G118" s="1524">
        <f t="shared" ref="G118:R118" si="18">SUM(G95:G117)</f>
        <v>524569.79999999993</v>
      </c>
      <c r="H118" s="1524">
        <f t="shared" si="18"/>
        <v>990166.64</v>
      </c>
      <c r="I118" s="1524">
        <f t="shared" si="18"/>
        <v>1282906.0000000002</v>
      </c>
      <c r="J118" s="1524">
        <f t="shared" si="18"/>
        <v>1543572.9099999995</v>
      </c>
      <c r="K118" s="1524">
        <f t="shared" si="18"/>
        <v>1885386.8399999999</v>
      </c>
      <c r="L118" s="1524">
        <f t="shared" si="18"/>
        <v>2266677.6699999995</v>
      </c>
      <c r="M118" s="1524">
        <f t="shared" si="18"/>
        <v>2474063.7000000007</v>
      </c>
      <c r="N118" s="1524">
        <f t="shared" si="18"/>
        <v>2774811.0799999996</v>
      </c>
      <c r="O118" s="1524">
        <f t="shared" si="18"/>
        <v>2990507.38</v>
      </c>
      <c r="P118" s="1524">
        <f t="shared" si="18"/>
        <v>3296235.1799999997</v>
      </c>
      <c r="Q118" s="1524">
        <f t="shared" si="18"/>
        <v>3585159.41</v>
      </c>
      <c r="R118" s="1525">
        <f t="shared" si="18"/>
        <v>3823287.1999999997</v>
      </c>
    </row>
    <row r="119" spans="1:18" hidden="1">
      <c r="A119" s="1502"/>
      <c r="B119" s="1477"/>
      <c r="C119" s="1477"/>
      <c r="D119" s="1477"/>
      <c r="E119" s="1503"/>
      <c r="F119" s="1504">
        <f>F118/$C$118</f>
        <v>9.608403037537943E-3</v>
      </c>
      <c r="G119" s="1504">
        <f t="shared" ref="G119:R119" si="19">G118/$C$118</f>
        <v>0.13588555992871246</v>
      </c>
      <c r="H119" s="1504">
        <f t="shared" si="19"/>
        <v>0.25649465199699234</v>
      </c>
      <c r="I119" s="1504">
        <f t="shared" si="19"/>
        <v>0.33232641327408641</v>
      </c>
      <c r="J119" s="1504">
        <f t="shared" si="19"/>
        <v>0.39985006602770889</v>
      </c>
      <c r="K119" s="1504">
        <f t="shared" si="19"/>
        <v>0.48839419737016093</v>
      </c>
      <c r="L119" s="1504">
        <f t="shared" si="19"/>
        <v>0.58716450006435617</v>
      </c>
      <c r="M119" s="1504">
        <f t="shared" si="19"/>
        <v>0.64088617220015764</v>
      </c>
      <c r="N119" s="1504">
        <f t="shared" si="19"/>
        <v>0.71879234622770005</v>
      </c>
      <c r="O119" s="1504">
        <f t="shared" si="19"/>
        <v>0.77466672652952373</v>
      </c>
      <c r="P119" s="1504">
        <f t="shared" si="19"/>
        <v>0.8538630380380654</v>
      </c>
      <c r="Q119" s="1504">
        <f t="shared" si="19"/>
        <v>0.92870652077481874</v>
      </c>
      <c r="R119" s="1504">
        <f t="shared" si="19"/>
        <v>0.99039159696246204</v>
      </c>
    </row>
    <row r="120" spans="1:18" hidden="1"/>
    <row r="121" spans="1:18" ht="15.75" hidden="1">
      <c r="A121" s="1536">
        <v>2019</v>
      </c>
    </row>
    <row r="122" spans="1:18" ht="13.5" hidden="1" thickBot="1"/>
    <row r="123" spans="1:18" ht="21" hidden="1" customHeight="1" thickBot="1">
      <c r="A123" s="1528" t="s">
        <v>2532</v>
      </c>
      <c r="B123" s="1529" t="s">
        <v>624</v>
      </c>
      <c r="C123" s="1529" t="s">
        <v>924</v>
      </c>
      <c r="D123" s="1529" t="s">
        <v>2533</v>
      </c>
      <c r="E123" s="1529" t="s">
        <v>636</v>
      </c>
      <c r="F123" s="1529" t="s">
        <v>2534</v>
      </c>
      <c r="G123" s="1529" t="s">
        <v>2535</v>
      </c>
      <c r="H123" s="1529" t="s">
        <v>2536</v>
      </c>
      <c r="I123" s="1529" t="s">
        <v>2537</v>
      </c>
      <c r="J123" s="1529" t="s">
        <v>2538</v>
      </c>
      <c r="K123" s="1529" t="s">
        <v>720</v>
      </c>
      <c r="L123" s="1529" t="s">
        <v>2539</v>
      </c>
      <c r="M123" s="1529" t="s">
        <v>2540</v>
      </c>
      <c r="N123" s="1529" t="s">
        <v>965</v>
      </c>
      <c r="O123" s="1529" t="s">
        <v>2541</v>
      </c>
      <c r="P123" s="1529" t="s">
        <v>2542</v>
      </c>
      <c r="Q123" s="1529" t="s">
        <v>968</v>
      </c>
      <c r="R123" s="1530" t="s">
        <v>969</v>
      </c>
    </row>
    <row r="124" spans="1:18" hidden="1">
      <c r="A124" s="1511" t="s">
        <v>2543</v>
      </c>
      <c r="B124" s="1498" t="s">
        <v>2544</v>
      </c>
      <c r="C124" s="1487">
        <v>75971</v>
      </c>
      <c r="D124" s="1487">
        <v>1385.19</v>
      </c>
      <c r="E124" s="1499">
        <f t="shared" ref="E124:E141" si="20">D124/C124*100</f>
        <v>1.8233141593502782</v>
      </c>
      <c r="F124" s="1487">
        <v>730.32</v>
      </c>
      <c r="G124" s="1487">
        <v>628</v>
      </c>
      <c r="H124" s="1487">
        <v>628</v>
      </c>
      <c r="I124" s="1487">
        <v>628</v>
      </c>
      <c r="J124" s="1487">
        <v>628</v>
      </c>
      <c r="K124" s="1487">
        <v>730.32</v>
      </c>
      <c r="L124" s="1487">
        <v>730.32</v>
      </c>
      <c r="M124" s="1487">
        <v>887.32</v>
      </c>
      <c r="N124" s="1487">
        <v>887.32</v>
      </c>
      <c r="O124" s="1487">
        <v>887.32</v>
      </c>
      <c r="P124" s="1487">
        <v>1298.32</v>
      </c>
      <c r="Q124" s="1487">
        <v>1385.19</v>
      </c>
      <c r="R124" s="1489">
        <v>1385.19</v>
      </c>
    </row>
    <row r="125" spans="1:18" hidden="1">
      <c r="A125" s="1485" t="s">
        <v>2545</v>
      </c>
      <c r="B125" s="1500" t="s">
        <v>2546</v>
      </c>
      <c r="C125" s="1487">
        <v>15900</v>
      </c>
      <c r="D125" s="1487">
        <v>31160</v>
      </c>
      <c r="E125" s="1490">
        <f t="shared" si="20"/>
        <v>195.9748427672956</v>
      </c>
      <c r="F125" s="1487">
        <v>16452.98</v>
      </c>
      <c r="G125" s="1487">
        <v>11608.68</v>
      </c>
      <c r="H125" s="1487">
        <v>14742.06</v>
      </c>
      <c r="I125" s="1487">
        <v>15309.92</v>
      </c>
      <c r="J125" s="1487">
        <v>15919.81</v>
      </c>
      <c r="K125" s="1487">
        <v>16452.98</v>
      </c>
      <c r="L125" s="1487">
        <v>16648.330000000002</v>
      </c>
      <c r="M125" s="1487">
        <v>16922.400000000001</v>
      </c>
      <c r="N125" s="1487">
        <v>17469.439999999999</v>
      </c>
      <c r="O125" s="1487">
        <v>17512.099999999999</v>
      </c>
      <c r="P125" s="1487">
        <v>21264.76</v>
      </c>
      <c r="Q125" s="1487">
        <v>31693.17</v>
      </c>
      <c r="R125" s="1489">
        <v>31160</v>
      </c>
    </row>
    <row r="126" spans="1:18" hidden="1">
      <c r="A126" s="1485" t="s">
        <v>2547</v>
      </c>
      <c r="B126" s="1500" t="s">
        <v>2548</v>
      </c>
      <c r="C126" s="1487">
        <v>9000</v>
      </c>
      <c r="D126" s="1487">
        <v>8918.86</v>
      </c>
      <c r="E126" s="1488">
        <f t="shared" si="20"/>
        <v>99.098444444444453</v>
      </c>
      <c r="F126" s="1487">
        <v>4635.05</v>
      </c>
      <c r="G126" s="1487">
        <v>1471.36</v>
      </c>
      <c r="H126" s="1487">
        <v>3261.02</v>
      </c>
      <c r="I126" s="1487">
        <v>3566.72</v>
      </c>
      <c r="J126" s="1487">
        <v>4481.7700000000004</v>
      </c>
      <c r="K126" s="1487">
        <v>4635.05</v>
      </c>
      <c r="L126" s="1487">
        <v>4951.5200000000004</v>
      </c>
      <c r="M126" s="1487">
        <v>6106.25</v>
      </c>
      <c r="N126" s="1487">
        <v>6493.45</v>
      </c>
      <c r="O126" s="1487">
        <v>6847.61</v>
      </c>
      <c r="P126" s="1487">
        <v>7095.59</v>
      </c>
      <c r="Q126" s="1487">
        <v>7619.48</v>
      </c>
      <c r="R126" s="1489">
        <v>8918.86</v>
      </c>
    </row>
    <row r="127" spans="1:18" hidden="1">
      <c r="A127" s="1485" t="s">
        <v>2549</v>
      </c>
      <c r="B127" s="1500" t="s">
        <v>2550</v>
      </c>
      <c r="C127" s="1487">
        <v>744250</v>
      </c>
      <c r="D127" s="1487">
        <v>820916.47</v>
      </c>
      <c r="E127" s="1488">
        <f t="shared" si="20"/>
        <v>110.30117164931139</v>
      </c>
      <c r="F127" s="1487">
        <v>520322.06</v>
      </c>
      <c r="G127" s="1487">
        <v>294240.65999999997</v>
      </c>
      <c r="H127" s="1487">
        <v>355383.03</v>
      </c>
      <c r="I127" s="1487">
        <v>424749.91</v>
      </c>
      <c r="J127" s="1487">
        <v>474381.39</v>
      </c>
      <c r="K127" s="1487">
        <v>520322.06</v>
      </c>
      <c r="L127" s="1487">
        <v>574682.71</v>
      </c>
      <c r="M127" s="1487">
        <v>626862.93999999994</v>
      </c>
      <c r="N127" s="1487">
        <v>640471.75</v>
      </c>
      <c r="O127" s="1487">
        <v>696886.63</v>
      </c>
      <c r="P127" s="1487">
        <v>713282.28</v>
      </c>
      <c r="Q127" s="1487">
        <v>760327.66</v>
      </c>
      <c r="R127" s="1489">
        <v>820916.47</v>
      </c>
    </row>
    <row r="128" spans="1:18" hidden="1">
      <c r="A128" s="1485" t="s">
        <v>2549</v>
      </c>
      <c r="B128" s="1500" t="s">
        <v>2551</v>
      </c>
      <c r="C128" s="1487">
        <v>360675</v>
      </c>
      <c r="D128" s="1487">
        <v>359632.75</v>
      </c>
      <c r="E128" s="1488">
        <f t="shared" si="20"/>
        <v>99.711027933735352</v>
      </c>
      <c r="F128" s="1487">
        <v>188857.32</v>
      </c>
      <c r="G128" s="1487">
        <v>80470.320000000007</v>
      </c>
      <c r="H128" s="1487">
        <v>128481.45</v>
      </c>
      <c r="I128" s="1487">
        <v>152761.09</v>
      </c>
      <c r="J128" s="1487">
        <v>171869.8</v>
      </c>
      <c r="K128" s="1487">
        <v>188857.32</v>
      </c>
      <c r="L128" s="1487">
        <v>206645.81</v>
      </c>
      <c r="M128" s="1487">
        <v>231310.89</v>
      </c>
      <c r="N128" s="1487">
        <v>244728.36</v>
      </c>
      <c r="O128" s="1487">
        <v>273017.53000000003</v>
      </c>
      <c r="P128" s="1487">
        <v>328360.03000000003</v>
      </c>
      <c r="Q128" s="1487">
        <v>350242.02</v>
      </c>
      <c r="R128" s="1489">
        <v>359632.75</v>
      </c>
    </row>
    <row r="129" spans="1:18" hidden="1">
      <c r="A129" s="1485" t="s">
        <v>2549</v>
      </c>
      <c r="B129" s="1500" t="s">
        <v>2552</v>
      </c>
      <c r="C129" s="1487">
        <v>754600</v>
      </c>
      <c r="D129" s="1487">
        <v>737071.6</v>
      </c>
      <c r="E129" s="1488">
        <f t="shared" si="20"/>
        <v>97.677126954677973</v>
      </c>
      <c r="F129" s="1487">
        <v>353872.41</v>
      </c>
      <c r="G129" s="1487">
        <v>93029.95</v>
      </c>
      <c r="H129" s="1487">
        <v>145305.45000000001</v>
      </c>
      <c r="I129" s="1487">
        <v>269998.48</v>
      </c>
      <c r="J129" s="1487">
        <v>281813.96000000002</v>
      </c>
      <c r="K129" s="1487">
        <v>353872.41</v>
      </c>
      <c r="L129" s="1487">
        <v>422706.38</v>
      </c>
      <c r="M129" s="1487">
        <v>439335.07</v>
      </c>
      <c r="N129" s="1487">
        <v>515498.78</v>
      </c>
      <c r="O129" s="1487">
        <v>531245.59</v>
      </c>
      <c r="P129" s="1487">
        <v>534173.19999999995</v>
      </c>
      <c r="Q129" s="1487">
        <v>634128.56000000006</v>
      </c>
      <c r="R129" s="1489">
        <v>737071.6</v>
      </c>
    </row>
    <row r="130" spans="1:18" hidden="1">
      <c r="A130" s="1485" t="s">
        <v>2549</v>
      </c>
      <c r="B130" s="1500" t="s">
        <v>2553</v>
      </c>
      <c r="C130" s="1487">
        <v>4725</v>
      </c>
      <c r="D130" s="1487">
        <v>1773.5</v>
      </c>
      <c r="E130" s="1491">
        <f t="shared" si="20"/>
        <v>37.534391534391538</v>
      </c>
      <c r="F130" s="1487">
        <v>261.47000000000003</v>
      </c>
      <c r="G130" s="1487">
        <v>261.47000000000003</v>
      </c>
      <c r="H130" s="1487">
        <v>261.47000000000003</v>
      </c>
      <c r="I130" s="1487">
        <v>261.47000000000003</v>
      </c>
      <c r="J130" s="1487">
        <v>261.47000000000003</v>
      </c>
      <c r="K130" s="1487">
        <v>261.47000000000003</v>
      </c>
      <c r="L130" s="1487">
        <v>574.22</v>
      </c>
      <c r="M130" s="1487">
        <v>596.46</v>
      </c>
      <c r="N130" s="1487">
        <v>1376.53</v>
      </c>
      <c r="O130" s="1487">
        <v>1376.53</v>
      </c>
      <c r="P130" s="1487">
        <v>1376.53</v>
      </c>
      <c r="Q130" s="1487">
        <v>1665.13</v>
      </c>
      <c r="R130" s="1489">
        <v>1773.5</v>
      </c>
    </row>
    <row r="131" spans="1:18" hidden="1">
      <c r="A131" s="1485" t="s">
        <v>2554</v>
      </c>
      <c r="B131" s="1500" t="s">
        <v>2555</v>
      </c>
      <c r="C131" s="1487">
        <v>0</v>
      </c>
      <c r="D131" s="1487">
        <v>0</v>
      </c>
      <c r="E131" s="1491" t="e">
        <f t="shared" si="20"/>
        <v>#DIV/0!</v>
      </c>
      <c r="F131" s="1487">
        <v>0</v>
      </c>
      <c r="G131" s="1487">
        <v>0</v>
      </c>
      <c r="H131" s="1487">
        <v>0</v>
      </c>
      <c r="I131" s="1487">
        <v>0</v>
      </c>
      <c r="J131" s="1487">
        <v>0</v>
      </c>
      <c r="K131" s="1487">
        <v>0</v>
      </c>
      <c r="L131" s="1487">
        <v>0</v>
      </c>
      <c r="M131" s="1487">
        <v>0</v>
      </c>
      <c r="N131" s="1487">
        <v>0</v>
      </c>
      <c r="O131" s="1487">
        <v>0</v>
      </c>
      <c r="P131" s="1487">
        <v>0</v>
      </c>
      <c r="Q131" s="1487">
        <v>0</v>
      </c>
      <c r="R131" s="1489">
        <v>0</v>
      </c>
    </row>
    <row r="132" spans="1:18" hidden="1">
      <c r="A132" s="1485" t="s">
        <v>2549</v>
      </c>
      <c r="B132" s="1500" t="s">
        <v>2556</v>
      </c>
      <c r="C132" s="1487">
        <v>50200</v>
      </c>
      <c r="D132" s="1487">
        <v>22901.200000000001</v>
      </c>
      <c r="E132" s="1491">
        <f t="shared" si="20"/>
        <v>45.6199203187251</v>
      </c>
      <c r="F132" s="1487">
        <v>4037.31</v>
      </c>
      <c r="G132" s="1487">
        <v>53</v>
      </c>
      <c r="H132" s="1487">
        <v>1067.47</v>
      </c>
      <c r="I132" s="1487">
        <v>1841.99</v>
      </c>
      <c r="J132" s="1487">
        <v>2227.4499999999998</v>
      </c>
      <c r="K132" s="1487">
        <v>4037.31</v>
      </c>
      <c r="L132" s="1487">
        <v>4097.41</v>
      </c>
      <c r="M132" s="1487">
        <v>9427.2199999999993</v>
      </c>
      <c r="N132" s="1487">
        <v>20737.12</v>
      </c>
      <c r="O132" s="1487">
        <v>21218.04</v>
      </c>
      <c r="P132" s="1487">
        <v>21871.26</v>
      </c>
      <c r="Q132" s="1487">
        <v>24187.3</v>
      </c>
      <c r="R132" s="1489">
        <v>22901.200000000001</v>
      </c>
    </row>
    <row r="133" spans="1:18" hidden="1">
      <c r="A133" s="1485" t="s">
        <v>2549</v>
      </c>
      <c r="B133" s="1500" t="s">
        <v>2557</v>
      </c>
      <c r="C133" s="1487">
        <v>449685</v>
      </c>
      <c r="D133" s="1487">
        <v>424547.99</v>
      </c>
      <c r="E133" s="1491">
        <f t="shared" si="20"/>
        <v>94.410084837163794</v>
      </c>
      <c r="F133" s="1487">
        <v>147462.04999999999</v>
      </c>
      <c r="G133" s="1487">
        <v>26885.93</v>
      </c>
      <c r="H133" s="1487">
        <v>38208.83</v>
      </c>
      <c r="I133" s="1487">
        <v>80702.62</v>
      </c>
      <c r="J133" s="1487">
        <v>136115.04</v>
      </c>
      <c r="K133" s="1487">
        <v>147462.04999999999</v>
      </c>
      <c r="L133" s="1487">
        <v>189058.47</v>
      </c>
      <c r="M133" s="1487">
        <v>346199.11</v>
      </c>
      <c r="N133" s="1487">
        <v>364501.47</v>
      </c>
      <c r="O133" s="1487">
        <v>384181.15</v>
      </c>
      <c r="P133" s="1487">
        <v>394099.67</v>
      </c>
      <c r="Q133" s="1487">
        <v>413822.69</v>
      </c>
      <c r="R133" s="1489">
        <v>424547.99</v>
      </c>
    </row>
    <row r="134" spans="1:18" hidden="1">
      <c r="A134" s="1485" t="s">
        <v>2549</v>
      </c>
      <c r="B134" s="1500" t="s">
        <v>2558</v>
      </c>
      <c r="C134" s="1487">
        <v>115061</v>
      </c>
      <c r="D134" s="1487">
        <v>85352.75</v>
      </c>
      <c r="E134" s="1491">
        <f t="shared" si="20"/>
        <v>74.180434725927995</v>
      </c>
      <c r="F134" s="1487">
        <v>77702.91</v>
      </c>
      <c r="G134" s="1487">
        <v>56278.12</v>
      </c>
      <c r="H134" s="1487">
        <v>58747.93</v>
      </c>
      <c r="I134" s="1487">
        <v>73558.84</v>
      </c>
      <c r="J134" s="1487">
        <v>75684.58</v>
      </c>
      <c r="K134" s="1487">
        <v>77702.91</v>
      </c>
      <c r="L134" s="1487">
        <v>79524.19</v>
      </c>
      <c r="M134" s="1487">
        <v>81372.12</v>
      </c>
      <c r="N134" s="1487">
        <v>84514.48</v>
      </c>
      <c r="O134" s="1487">
        <v>87394.31</v>
      </c>
      <c r="P134" s="1487">
        <v>73966.179999999993</v>
      </c>
      <c r="Q134" s="1487">
        <v>76705.039999999994</v>
      </c>
      <c r="R134" s="1489">
        <v>85352.75</v>
      </c>
    </row>
    <row r="135" spans="1:18" hidden="1">
      <c r="A135" s="1485" t="s">
        <v>2559</v>
      </c>
      <c r="B135" s="1500" t="s">
        <v>2560</v>
      </c>
      <c r="C135" s="1487">
        <v>250000</v>
      </c>
      <c r="D135" s="1487">
        <v>214685.62</v>
      </c>
      <c r="E135" s="1491">
        <f t="shared" si="20"/>
        <v>85.874247999999994</v>
      </c>
      <c r="F135" s="1487">
        <v>78548.350000000006</v>
      </c>
      <c r="G135" s="1487">
        <v>1742.96</v>
      </c>
      <c r="H135" s="1487">
        <v>2840.01</v>
      </c>
      <c r="I135" s="1487">
        <v>55114.84</v>
      </c>
      <c r="J135" s="1487">
        <v>57801.82</v>
      </c>
      <c r="K135" s="1487">
        <v>78548.350000000006</v>
      </c>
      <c r="L135" s="1487">
        <v>95023.77</v>
      </c>
      <c r="M135" s="1487">
        <v>109224.52</v>
      </c>
      <c r="N135" s="1487">
        <v>109224.52</v>
      </c>
      <c r="O135" s="1487">
        <v>148776.04</v>
      </c>
      <c r="P135" s="1487">
        <v>148776.04</v>
      </c>
      <c r="Q135" s="1487">
        <v>169219.74</v>
      </c>
      <c r="R135" s="1489">
        <v>214685.62</v>
      </c>
    </row>
    <row r="136" spans="1:18" hidden="1">
      <c r="A136" s="1485" t="s">
        <v>2549</v>
      </c>
      <c r="B136" s="1500" t="s">
        <v>1759</v>
      </c>
      <c r="C136" s="1487">
        <v>229000</v>
      </c>
      <c r="D136" s="1487">
        <v>273749.65999999997</v>
      </c>
      <c r="E136" s="1491">
        <f t="shared" si="20"/>
        <v>119.54133624454147</v>
      </c>
      <c r="F136" s="1487">
        <v>134357.49</v>
      </c>
      <c r="G136" s="1487">
        <v>47544.02</v>
      </c>
      <c r="H136" s="1487">
        <v>49607.32</v>
      </c>
      <c r="I136" s="1487">
        <v>62335.65</v>
      </c>
      <c r="J136" s="1487">
        <v>118926.86</v>
      </c>
      <c r="K136" s="1487">
        <v>134357.49</v>
      </c>
      <c r="L136" s="1487">
        <v>143896.06</v>
      </c>
      <c r="M136" s="1487">
        <v>158684.81</v>
      </c>
      <c r="N136" s="1487">
        <v>166787.25</v>
      </c>
      <c r="O136" s="1487">
        <v>180883.24</v>
      </c>
      <c r="P136" s="1487">
        <v>224411.06</v>
      </c>
      <c r="Q136" s="1487">
        <v>233645.99</v>
      </c>
      <c r="R136" s="1489">
        <v>273749.65999999997</v>
      </c>
    </row>
    <row r="137" spans="1:18" hidden="1">
      <c r="A137" s="1485" t="s">
        <v>2549</v>
      </c>
      <c r="B137" s="1500" t="s">
        <v>2561</v>
      </c>
      <c r="C137" s="1487">
        <v>180354</v>
      </c>
      <c r="D137" s="1487">
        <v>153486.56</v>
      </c>
      <c r="E137" s="1491">
        <f t="shared" si="20"/>
        <v>85.102941991860448</v>
      </c>
      <c r="F137" s="1487">
        <v>101604.23</v>
      </c>
      <c r="G137" s="1487">
        <v>21005.09</v>
      </c>
      <c r="H137" s="1487">
        <v>38263.629999999997</v>
      </c>
      <c r="I137" s="1487">
        <v>61433.15</v>
      </c>
      <c r="J137" s="1487">
        <v>78222.69</v>
      </c>
      <c r="K137" s="1487">
        <v>101604.23</v>
      </c>
      <c r="L137" s="1487">
        <v>112404.6</v>
      </c>
      <c r="M137" s="1487">
        <v>119206.68</v>
      </c>
      <c r="N137" s="1487">
        <v>127118.2</v>
      </c>
      <c r="O137" s="1487">
        <v>135716.68</v>
      </c>
      <c r="P137" s="1487">
        <v>145914.10999999999</v>
      </c>
      <c r="Q137" s="1487">
        <v>150784.70000000001</v>
      </c>
      <c r="R137" s="1489">
        <v>153486.56</v>
      </c>
    </row>
    <row r="138" spans="1:18" hidden="1">
      <c r="A138" s="1485" t="s">
        <v>2562</v>
      </c>
      <c r="B138" s="1500" t="s">
        <v>2563</v>
      </c>
      <c r="C138" s="1487">
        <v>109500</v>
      </c>
      <c r="D138" s="1487">
        <v>104578.54</v>
      </c>
      <c r="E138" s="1491">
        <f t="shared" si="20"/>
        <v>95.505515981735158</v>
      </c>
      <c r="F138" s="1487">
        <v>39805.870000000003</v>
      </c>
      <c r="G138" s="1487">
        <v>29684.25</v>
      </c>
      <c r="H138" s="1487">
        <v>27493.919999999998</v>
      </c>
      <c r="I138" s="1487">
        <v>39029.660000000003</v>
      </c>
      <c r="J138" s="1487">
        <v>39550.44</v>
      </c>
      <c r="K138" s="1487">
        <v>39805.870000000003</v>
      </c>
      <c r="L138" s="1487">
        <v>41958.65</v>
      </c>
      <c r="M138" s="1487">
        <v>42588</v>
      </c>
      <c r="N138" s="1487">
        <v>47378.16</v>
      </c>
      <c r="O138" s="1487">
        <v>49097.67</v>
      </c>
      <c r="P138" s="1487">
        <v>52640.32</v>
      </c>
      <c r="Q138" s="1487">
        <v>94979.41</v>
      </c>
      <c r="R138" s="1489">
        <v>104578.54</v>
      </c>
    </row>
    <row r="139" spans="1:18" hidden="1">
      <c r="A139" s="1485" t="s">
        <v>2549</v>
      </c>
      <c r="B139" s="1500" t="s">
        <v>2467</v>
      </c>
      <c r="C139" s="1487">
        <v>257189</v>
      </c>
      <c r="D139" s="1487">
        <v>237784.35</v>
      </c>
      <c r="E139" s="1491">
        <f t="shared" si="20"/>
        <v>92.455101112411498</v>
      </c>
      <c r="F139" s="1487">
        <v>121665.34</v>
      </c>
      <c r="G139" s="1487">
        <v>35454.550000000003</v>
      </c>
      <c r="H139" s="1487">
        <v>38651.919999999998</v>
      </c>
      <c r="I139" s="1487">
        <v>77060.33</v>
      </c>
      <c r="J139" s="1487">
        <v>101147.01</v>
      </c>
      <c r="K139" s="1487">
        <v>121665.34</v>
      </c>
      <c r="L139" s="1487">
        <v>144043.84</v>
      </c>
      <c r="M139" s="1487">
        <v>152707.22</v>
      </c>
      <c r="N139" s="1487">
        <v>159896.38</v>
      </c>
      <c r="O139" s="1487">
        <v>210325.86</v>
      </c>
      <c r="P139" s="1487">
        <v>215212.07</v>
      </c>
      <c r="Q139" s="1487">
        <v>223058.98</v>
      </c>
      <c r="R139" s="1489">
        <v>237784.35</v>
      </c>
    </row>
    <row r="140" spans="1:18" hidden="1">
      <c r="A140" s="1485" t="s">
        <v>2549</v>
      </c>
      <c r="B140" s="1500" t="s">
        <v>2564</v>
      </c>
      <c r="C140" s="1487">
        <v>82884</v>
      </c>
      <c r="D140" s="1487">
        <v>49245.95</v>
      </c>
      <c r="E140" s="1491">
        <f t="shared" si="20"/>
        <v>59.415508421408227</v>
      </c>
      <c r="F140" s="1487">
        <v>26038.25</v>
      </c>
      <c r="G140" s="1487">
        <v>11693.64</v>
      </c>
      <c r="H140" s="1487">
        <v>23581.86</v>
      </c>
      <c r="I140" s="1487">
        <v>18535.86</v>
      </c>
      <c r="J140" s="1487">
        <v>22347.11</v>
      </c>
      <c r="K140" s="1487">
        <v>26038.25</v>
      </c>
      <c r="L140" s="1487">
        <v>28321.01</v>
      </c>
      <c r="M140" s="1487">
        <v>36241.620000000003</v>
      </c>
      <c r="N140" s="1487">
        <v>37582.35</v>
      </c>
      <c r="O140" s="1487">
        <v>40854.06</v>
      </c>
      <c r="P140" s="1487">
        <v>42467.26</v>
      </c>
      <c r="Q140" s="1487">
        <v>44607.22</v>
      </c>
      <c r="R140" s="1489">
        <v>49245.95</v>
      </c>
    </row>
    <row r="141" spans="1:18" hidden="1">
      <c r="A141" s="1485" t="s">
        <v>2565</v>
      </c>
      <c r="B141" s="1500" t="s">
        <v>2566</v>
      </c>
      <c r="C141" s="1487">
        <v>13000</v>
      </c>
      <c r="D141" s="1487">
        <v>30997.72</v>
      </c>
      <c r="E141" s="1488">
        <f t="shared" si="20"/>
        <v>238.44400000000002</v>
      </c>
      <c r="F141" s="1487">
        <v>16843.63</v>
      </c>
      <c r="G141" s="1487">
        <v>302.5</v>
      </c>
      <c r="H141" s="1487">
        <v>3345.59</v>
      </c>
      <c r="I141" s="1487">
        <v>3388.43</v>
      </c>
      <c r="J141" s="1487">
        <v>3388.43</v>
      </c>
      <c r="K141" s="1487">
        <v>16843.63</v>
      </c>
      <c r="L141" s="1487">
        <v>22843.63</v>
      </c>
      <c r="M141" s="1487">
        <v>22887.8</v>
      </c>
      <c r="N141" s="1487">
        <v>23988.9</v>
      </c>
      <c r="O141" s="1487">
        <v>27338.02</v>
      </c>
      <c r="P141" s="1487">
        <v>30900.39</v>
      </c>
      <c r="Q141" s="1487">
        <v>31409.81</v>
      </c>
      <c r="R141" s="1489">
        <v>30997.72</v>
      </c>
    </row>
    <row r="142" spans="1:18" hidden="1">
      <c r="A142" s="1485" t="s">
        <v>2549</v>
      </c>
      <c r="B142" s="1500" t="s">
        <v>2567</v>
      </c>
      <c r="C142" s="1487">
        <v>137315</v>
      </c>
      <c r="D142" s="1487">
        <v>119365.77</v>
      </c>
      <c r="E142" s="1488">
        <f t="shared" ref="E142:E147" si="21">D142/C142*100</f>
        <v>86.92842733860104</v>
      </c>
      <c r="F142" s="1487">
        <v>53861.75</v>
      </c>
      <c r="G142" s="1487">
        <v>23483.98</v>
      </c>
      <c r="H142" s="1487">
        <v>29397.72</v>
      </c>
      <c r="I142" s="1487">
        <v>42226.93</v>
      </c>
      <c r="J142" s="1487">
        <v>48680.79</v>
      </c>
      <c r="K142" s="1487">
        <v>53861.75</v>
      </c>
      <c r="L142" s="1487">
        <v>56893.52</v>
      </c>
      <c r="M142" s="1487">
        <v>68934.8</v>
      </c>
      <c r="N142" s="1487">
        <v>70208.12</v>
      </c>
      <c r="O142" s="1487">
        <v>107018.95</v>
      </c>
      <c r="P142" s="1487">
        <v>106525.21</v>
      </c>
      <c r="Q142" s="1487">
        <v>111901.31</v>
      </c>
      <c r="R142" s="1489">
        <v>119365.77</v>
      </c>
    </row>
    <row r="143" spans="1:18" hidden="1">
      <c r="A143" s="1485" t="s">
        <v>2568</v>
      </c>
      <c r="B143" s="1500" t="s">
        <v>2569</v>
      </c>
      <c r="C143" s="1487">
        <v>99670</v>
      </c>
      <c r="D143" s="1487">
        <v>98283.72</v>
      </c>
      <c r="E143" s="1488">
        <f t="shared" si="21"/>
        <v>98.609130129427115</v>
      </c>
      <c r="F143" s="1487">
        <v>53242.5</v>
      </c>
      <c r="G143" s="1487">
        <v>31341.75</v>
      </c>
      <c r="H143" s="1487">
        <v>34006.25</v>
      </c>
      <c r="I143" s="1487">
        <v>45496.39</v>
      </c>
      <c r="J143" s="1487">
        <v>47748.45</v>
      </c>
      <c r="K143" s="1487">
        <v>53242.5</v>
      </c>
      <c r="L143" s="1487">
        <v>61637.77</v>
      </c>
      <c r="M143" s="1487">
        <v>66140.66</v>
      </c>
      <c r="N143" s="1487">
        <v>71209.399999999994</v>
      </c>
      <c r="O143" s="1487">
        <v>88947.36</v>
      </c>
      <c r="P143" s="1487">
        <v>92069.49</v>
      </c>
      <c r="Q143" s="1487">
        <v>97613.99</v>
      </c>
      <c r="R143" s="1489">
        <v>98283.72</v>
      </c>
    </row>
    <row r="144" spans="1:18" hidden="1">
      <c r="A144" s="1485" t="s">
        <v>2570</v>
      </c>
      <c r="B144" s="1500" t="s">
        <v>2571</v>
      </c>
      <c r="C144" s="1487">
        <v>13500</v>
      </c>
      <c r="D144" s="1487">
        <v>11766.49</v>
      </c>
      <c r="E144" s="1488">
        <f t="shared" si="21"/>
        <v>87.15918518518518</v>
      </c>
      <c r="F144" s="1487">
        <v>11310.77</v>
      </c>
      <c r="G144" s="1487">
        <v>0</v>
      </c>
      <c r="H144" s="1487">
        <v>83.73</v>
      </c>
      <c r="I144" s="1487">
        <v>11300.06</v>
      </c>
      <c r="J144" s="1487">
        <v>11302.630999999999</v>
      </c>
      <c r="K144" s="1487">
        <v>11310.77</v>
      </c>
      <c r="L144" s="1487">
        <v>11314.85</v>
      </c>
      <c r="M144" s="1487">
        <v>11555.64</v>
      </c>
      <c r="N144" s="1487">
        <v>11557.54</v>
      </c>
      <c r="O144" s="1487">
        <v>11573.79</v>
      </c>
      <c r="P144" s="1487">
        <v>11584.91</v>
      </c>
      <c r="Q144" s="1487">
        <v>11760.18</v>
      </c>
      <c r="R144" s="1489">
        <v>11766.49</v>
      </c>
    </row>
    <row r="145" spans="1:18" hidden="1">
      <c r="A145" s="1485" t="s">
        <v>2549</v>
      </c>
      <c r="B145" s="1500" t="s">
        <v>2572</v>
      </c>
      <c r="C145" s="1487">
        <v>12185</v>
      </c>
      <c r="D145" s="1487">
        <v>9015.23</v>
      </c>
      <c r="E145" s="1488">
        <f t="shared" si="21"/>
        <v>73.98629462453836</v>
      </c>
      <c r="F145" s="1487">
        <v>4048.63</v>
      </c>
      <c r="G145" s="1487">
        <v>1567.3</v>
      </c>
      <c r="H145" s="1487">
        <v>2248.35</v>
      </c>
      <c r="I145" s="1487">
        <v>3429.77</v>
      </c>
      <c r="J145" s="1487">
        <v>3776.89</v>
      </c>
      <c r="K145" s="1487">
        <v>4048.63</v>
      </c>
      <c r="L145" s="1487">
        <v>4466.72</v>
      </c>
      <c r="M145" s="1487">
        <v>5503.05</v>
      </c>
      <c r="N145" s="1487">
        <v>5503.05</v>
      </c>
      <c r="O145" s="1487">
        <v>5720.27</v>
      </c>
      <c r="P145" s="1487">
        <v>8590.67</v>
      </c>
      <c r="Q145" s="1487">
        <v>8921.5499999999993</v>
      </c>
      <c r="R145" s="1489">
        <v>9015.23</v>
      </c>
    </row>
    <row r="146" spans="1:18" ht="13.5" hidden="1" thickBot="1">
      <c r="A146" s="1485" t="s">
        <v>2549</v>
      </c>
      <c r="B146" s="1500" t="s">
        <v>2573</v>
      </c>
      <c r="C146" s="1487">
        <v>13350</v>
      </c>
      <c r="D146" s="1487">
        <v>7911.3</v>
      </c>
      <c r="E146" s="1488">
        <f t="shared" si="21"/>
        <v>59.26067415730337</v>
      </c>
      <c r="F146" s="1505">
        <v>1091.56</v>
      </c>
      <c r="G146" s="1487">
        <v>193</v>
      </c>
      <c r="H146" s="1487">
        <v>572</v>
      </c>
      <c r="I146" s="1487">
        <v>572</v>
      </c>
      <c r="J146" s="1487">
        <v>1033.56</v>
      </c>
      <c r="K146" s="1487">
        <v>1091.56</v>
      </c>
      <c r="L146" s="1487">
        <v>1464.37</v>
      </c>
      <c r="M146" s="1487">
        <v>3020.45</v>
      </c>
      <c r="N146" s="1487">
        <v>3000.42</v>
      </c>
      <c r="O146" s="1487">
        <v>5046.79</v>
      </c>
      <c r="P146" s="1487">
        <v>5807.95</v>
      </c>
      <c r="Q146" s="1487">
        <v>6346</v>
      </c>
      <c r="R146" s="1489">
        <v>7911.3</v>
      </c>
    </row>
    <row r="147" spans="1:18" hidden="1">
      <c r="A147" s="1521"/>
      <c r="B147" s="1522" t="s">
        <v>8</v>
      </c>
      <c r="C147" s="1523">
        <f>SUM(C124:C146)</f>
        <v>3978014</v>
      </c>
      <c r="D147" s="1523">
        <f>SUM(D124:D146)</f>
        <v>3804531.2200000011</v>
      </c>
      <c r="E147" s="1523">
        <f t="shared" si="21"/>
        <v>95.638960043881227</v>
      </c>
      <c r="F147" s="1524">
        <f>C147-D147</f>
        <v>173482.77999999886</v>
      </c>
      <c r="G147" s="1524">
        <f t="shared" ref="G147:R147" si="22">SUM(G124:G146)</f>
        <v>768940.53</v>
      </c>
      <c r="H147" s="1524">
        <f t="shared" si="22"/>
        <v>996179.00999999989</v>
      </c>
      <c r="I147" s="1524">
        <f t="shared" si="22"/>
        <v>1443302.1099999996</v>
      </c>
      <c r="J147" s="1524">
        <f t="shared" si="22"/>
        <v>1697309.9510000001</v>
      </c>
      <c r="K147" s="1524">
        <f t="shared" si="22"/>
        <v>1956752.25</v>
      </c>
      <c r="L147" s="1524">
        <f t="shared" si="22"/>
        <v>2223888.15</v>
      </c>
      <c r="M147" s="1524">
        <f t="shared" si="22"/>
        <v>2555715.0300000003</v>
      </c>
      <c r="N147" s="1524">
        <f t="shared" si="22"/>
        <v>2730132.99</v>
      </c>
      <c r="O147" s="1524">
        <f t="shared" si="22"/>
        <v>3031865.54</v>
      </c>
      <c r="P147" s="1524">
        <f t="shared" si="22"/>
        <v>3181687.3</v>
      </c>
      <c r="Q147" s="1524">
        <f t="shared" si="22"/>
        <v>3486025.1200000015</v>
      </c>
      <c r="R147" s="1525">
        <f t="shared" si="22"/>
        <v>3804531.2200000011</v>
      </c>
    </row>
    <row r="148" spans="1:18" hidden="1">
      <c r="A148" s="1502"/>
      <c r="B148" s="1477"/>
      <c r="C148" s="1477"/>
      <c r="D148" s="1477"/>
      <c r="E148" s="1503"/>
      <c r="F148" s="1504">
        <f>F147/$C$147</f>
        <v>4.3610399561187785E-2</v>
      </c>
      <c r="G148" s="1504">
        <f t="shared" ref="G148:R148" si="23">G147/$C$147</f>
        <v>0.19329759271837657</v>
      </c>
      <c r="H148" s="1504">
        <f t="shared" si="23"/>
        <v>0.25042119258504364</v>
      </c>
      <c r="I148" s="1504">
        <f t="shared" si="23"/>
        <v>0.36281976634571916</v>
      </c>
      <c r="J148" s="1504">
        <f t="shared" si="23"/>
        <v>0.42667269421374587</v>
      </c>
      <c r="K148" s="1504">
        <f t="shared" si="23"/>
        <v>0.49189174547902548</v>
      </c>
      <c r="L148" s="1504">
        <f t="shared" si="23"/>
        <v>0.55904482739376982</v>
      </c>
      <c r="M148" s="1504">
        <f t="shared" si="23"/>
        <v>0.64246003910494032</v>
      </c>
      <c r="N148" s="1504">
        <f t="shared" si="23"/>
        <v>0.68630552582268445</v>
      </c>
      <c r="O148" s="1504">
        <f t="shared" si="23"/>
        <v>0.76215557310758586</v>
      </c>
      <c r="P148" s="1504">
        <f t="shared" si="23"/>
        <v>0.79981802477316566</v>
      </c>
      <c r="Q148" s="1504">
        <f t="shared" si="23"/>
        <v>0.87632298931074692</v>
      </c>
      <c r="R148" s="1504">
        <f t="shared" si="23"/>
        <v>0.95638960043881227</v>
      </c>
    </row>
    <row r="150" spans="1:18">
      <c r="A150" s="1497">
        <v>2020</v>
      </c>
    </row>
    <row r="151" spans="1:18" ht="13.5" thickBot="1"/>
    <row r="152" spans="1:18" ht="21" customHeight="1" thickBot="1">
      <c r="A152" s="1528" t="s">
        <v>2532</v>
      </c>
      <c r="B152" s="1529" t="s">
        <v>624</v>
      </c>
      <c r="C152" s="1529" t="s">
        <v>2574</v>
      </c>
      <c r="D152" s="1529" t="s">
        <v>2533</v>
      </c>
      <c r="E152" s="1529" t="s">
        <v>636</v>
      </c>
      <c r="F152" s="1529" t="s">
        <v>2534</v>
      </c>
      <c r="G152" s="1529" t="s">
        <v>2535</v>
      </c>
      <c r="H152" s="1529" t="s">
        <v>2536</v>
      </c>
      <c r="I152" s="1529" t="s">
        <v>2537</v>
      </c>
      <c r="J152" s="1529" t="s">
        <v>2538</v>
      </c>
      <c r="K152" s="1529" t="s">
        <v>720</v>
      </c>
      <c r="L152" s="1529" t="s">
        <v>2539</v>
      </c>
      <c r="M152" s="1529" t="s">
        <v>2540</v>
      </c>
      <c r="N152" s="1529" t="s">
        <v>965</v>
      </c>
      <c r="O152" s="1529" t="s">
        <v>2541</v>
      </c>
      <c r="P152" s="1529" t="s">
        <v>2542</v>
      </c>
      <c r="Q152" s="1529" t="s">
        <v>968</v>
      </c>
      <c r="R152" s="1530" t="s">
        <v>969</v>
      </c>
    </row>
    <row r="153" spans="1:18" ht="15">
      <c r="A153" s="1511" t="s">
        <v>2543</v>
      </c>
      <c r="B153" s="1498" t="s">
        <v>2544</v>
      </c>
      <c r="C153" s="1506">
        <v>51705</v>
      </c>
      <c r="D153" s="1957">
        <v>1071</v>
      </c>
      <c r="E153" s="1499">
        <f>D153/C153*100</f>
        <v>2.0713664055700609</v>
      </c>
      <c r="F153" s="1507">
        <f>C153-D153</f>
        <v>50634</v>
      </c>
      <c r="G153" s="1507">
        <v>0</v>
      </c>
      <c r="H153" s="1487">
        <v>104</v>
      </c>
      <c r="I153" s="1487">
        <v>104</v>
      </c>
      <c r="J153" s="1487">
        <v>339</v>
      </c>
      <c r="K153" s="1487">
        <v>339</v>
      </c>
      <c r="L153" s="1487">
        <v>339</v>
      </c>
      <c r="M153" s="1487">
        <v>339</v>
      </c>
      <c r="N153" s="1543">
        <v>339</v>
      </c>
      <c r="O153" s="1543">
        <v>1071</v>
      </c>
      <c r="P153" s="1957">
        <v>1071</v>
      </c>
      <c r="Q153" s="1957">
        <v>1071</v>
      </c>
      <c r="R153" s="1957">
        <v>1071</v>
      </c>
    </row>
    <row r="154" spans="1:18" ht="15">
      <c r="A154" s="1485" t="s">
        <v>2545</v>
      </c>
      <c r="B154" s="1500" t="s">
        <v>2546</v>
      </c>
      <c r="C154" s="1508">
        <v>10750</v>
      </c>
      <c r="D154" s="1957">
        <v>1233.97</v>
      </c>
      <c r="E154" s="1490">
        <f t="shared" ref="E154:E169" si="24">D154/C154*100</f>
        <v>11.47879069767442</v>
      </c>
      <c r="F154" s="1487">
        <f t="shared" ref="F154:F175" si="25">C154-D154</f>
        <v>9516.0300000000007</v>
      </c>
      <c r="G154" s="1487">
        <v>0</v>
      </c>
      <c r="H154" s="1487">
        <v>0</v>
      </c>
      <c r="I154" s="1487">
        <v>0</v>
      </c>
      <c r="J154" s="1487">
        <v>672.52</v>
      </c>
      <c r="K154" s="1487">
        <v>672.52</v>
      </c>
      <c r="L154" s="1487">
        <v>672.52</v>
      </c>
      <c r="M154" s="1487">
        <v>672.52</v>
      </c>
      <c r="N154" s="1543">
        <v>672.52</v>
      </c>
      <c r="O154" s="1543">
        <v>719.72</v>
      </c>
      <c r="P154" s="1957">
        <v>749.97</v>
      </c>
      <c r="Q154" s="1957">
        <v>1233.97</v>
      </c>
      <c r="R154" s="1957">
        <v>1233.97</v>
      </c>
    </row>
    <row r="155" spans="1:18" ht="15">
      <c r="A155" s="1485" t="s">
        <v>2547</v>
      </c>
      <c r="B155" s="1500" t="s">
        <v>2548</v>
      </c>
      <c r="C155" s="1508">
        <v>9100</v>
      </c>
      <c r="D155" s="1957">
        <v>7917.54</v>
      </c>
      <c r="E155" s="1488">
        <f t="shared" si="24"/>
        <v>87.005934065934071</v>
      </c>
      <c r="F155" s="1487">
        <f t="shared" si="25"/>
        <v>1182.46</v>
      </c>
      <c r="G155" s="1487">
        <v>2864.69</v>
      </c>
      <c r="H155" s="1487">
        <v>3124.8</v>
      </c>
      <c r="I155" s="1487">
        <v>3373.92</v>
      </c>
      <c r="J155" s="1487">
        <v>3461.33</v>
      </c>
      <c r="K155" s="1487">
        <v>5574.52</v>
      </c>
      <c r="L155" s="1487">
        <v>6254.57</v>
      </c>
      <c r="M155" s="1487">
        <v>7088.13</v>
      </c>
      <c r="N155" s="1543">
        <v>6909.42</v>
      </c>
      <c r="O155" s="1543">
        <v>7187.88</v>
      </c>
      <c r="P155" s="1957">
        <v>7623.79</v>
      </c>
      <c r="Q155" s="1957">
        <v>7842.44</v>
      </c>
      <c r="R155" s="1957">
        <v>7917.54</v>
      </c>
    </row>
    <row r="156" spans="1:18" ht="15">
      <c r="A156" s="1485" t="s">
        <v>2549</v>
      </c>
      <c r="B156" s="1500" t="s">
        <v>2550</v>
      </c>
      <c r="C156" s="1508">
        <v>885000</v>
      </c>
      <c r="D156" s="1957">
        <v>842702.88</v>
      </c>
      <c r="E156" s="1488">
        <f t="shared" si="24"/>
        <v>95.220664406779662</v>
      </c>
      <c r="F156" s="1487">
        <f t="shared" si="25"/>
        <v>42297.119999999995</v>
      </c>
      <c r="G156" s="1487">
        <v>97915.77</v>
      </c>
      <c r="H156" s="1487">
        <v>342507.55</v>
      </c>
      <c r="I156" s="1487">
        <v>385510.81</v>
      </c>
      <c r="J156" s="1487">
        <v>523956.35</v>
      </c>
      <c r="K156" s="1487">
        <v>589484.36</v>
      </c>
      <c r="L156" s="1487">
        <v>644130.39</v>
      </c>
      <c r="M156" s="1487">
        <v>641364.77</v>
      </c>
      <c r="N156" s="1543">
        <v>677140.18</v>
      </c>
      <c r="O156" s="1543">
        <v>716282.71</v>
      </c>
      <c r="P156" s="1957">
        <v>784446.86</v>
      </c>
      <c r="Q156" s="1957">
        <v>798850.15</v>
      </c>
      <c r="R156" s="1957">
        <v>842702.88</v>
      </c>
    </row>
    <row r="157" spans="1:18" ht="15">
      <c r="A157" s="1485" t="s">
        <v>2549</v>
      </c>
      <c r="B157" s="1500" t="s">
        <v>2551</v>
      </c>
      <c r="C157" s="1508">
        <v>450600</v>
      </c>
      <c r="D157" s="1957">
        <v>436634.95</v>
      </c>
      <c r="E157" s="1488">
        <f t="shared" si="24"/>
        <v>96.900787838437637</v>
      </c>
      <c r="F157" s="1487">
        <f t="shared" si="25"/>
        <v>13965.049999999988</v>
      </c>
      <c r="G157" s="1487">
        <v>39224.04</v>
      </c>
      <c r="H157" s="1487">
        <v>167358.25</v>
      </c>
      <c r="I157" s="1487">
        <v>191496.67</v>
      </c>
      <c r="J157" s="1487">
        <v>218906.21</v>
      </c>
      <c r="K157" s="1487">
        <v>235291.82</v>
      </c>
      <c r="L157" s="1487">
        <v>261801.75</v>
      </c>
      <c r="M157" s="1487">
        <v>281918.49</v>
      </c>
      <c r="N157" s="1543">
        <v>314693.08</v>
      </c>
      <c r="O157" s="1543">
        <v>332582.69</v>
      </c>
      <c r="P157" s="1957">
        <v>370926.11</v>
      </c>
      <c r="Q157" s="1957">
        <v>415833.15</v>
      </c>
      <c r="R157" s="1957">
        <v>436634.95</v>
      </c>
    </row>
    <row r="158" spans="1:18" ht="15">
      <c r="A158" s="1485" t="s">
        <v>2549</v>
      </c>
      <c r="B158" s="1500" t="s">
        <v>2552</v>
      </c>
      <c r="C158" s="1508">
        <v>753100</v>
      </c>
      <c r="D158" s="1957">
        <v>822824.58</v>
      </c>
      <c r="E158" s="1488">
        <f t="shared" si="24"/>
        <v>109.25834284955516</v>
      </c>
      <c r="F158" s="1487">
        <f t="shared" si="25"/>
        <v>-69724.579999999958</v>
      </c>
      <c r="G158" s="1487">
        <v>64619.3</v>
      </c>
      <c r="H158" s="1487">
        <v>165965.79999999999</v>
      </c>
      <c r="I158" s="1487">
        <v>211712.93</v>
      </c>
      <c r="J158" s="1487">
        <v>230199.2</v>
      </c>
      <c r="K158" s="1487">
        <v>361216.3</v>
      </c>
      <c r="L158" s="1487">
        <v>432624.83</v>
      </c>
      <c r="M158" s="1487">
        <v>455743.24</v>
      </c>
      <c r="N158" s="1543">
        <v>577971.86</v>
      </c>
      <c r="O158" s="1543">
        <v>641394.96</v>
      </c>
      <c r="P158" s="1957">
        <v>707773</v>
      </c>
      <c r="Q158" s="1957">
        <v>758099.22</v>
      </c>
      <c r="R158" s="1957">
        <v>822824.58</v>
      </c>
    </row>
    <row r="159" spans="1:18" ht="15">
      <c r="A159" s="1485" t="s">
        <v>2549</v>
      </c>
      <c r="B159" s="1500" t="s">
        <v>2553</v>
      </c>
      <c r="C159" s="1508">
        <v>2900</v>
      </c>
      <c r="D159" s="1957">
        <v>1867.15</v>
      </c>
      <c r="E159" s="1491">
        <f t="shared" si="24"/>
        <v>64.384482758620692</v>
      </c>
      <c r="F159" s="1487">
        <f t="shared" si="25"/>
        <v>1032.8499999999999</v>
      </c>
      <c r="G159" s="1487">
        <v>782.74</v>
      </c>
      <c r="H159" s="1487">
        <v>782.74</v>
      </c>
      <c r="I159" s="1487">
        <v>782.74</v>
      </c>
      <c r="J159" s="1487">
        <v>782.74</v>
      </c>
      <c r="K159" s="1487">
        <v>1533.5</v>
      </c>
      <c r="L159" s="1487">
        <v>1533.5</v>
      </c>
      <c r="M159" s="1487">
        <v>1658.1</v>
      </c>
      <c r="N159" s="1543">
        <v>1545.86</v>
      </c>
      <c r="O159" s="1543">
        <v>1545.86</v>
      </c>
      <c r="P159" s="1957">
        <v>1545.86</v>
      </c>
      <c r="Q159" s="1957">
        <v>1867.15</v>
      </c>
      <c r="R159" s="1957">
        <v>1867.15</v>
      </c>
    </row>
    <row r="160" spans="1:18" ht="15">
      <c r="A160" s="1485" t="s">
        <v>2554</v>
      </c>
      <c r="B160" s="1500" t="s">
        <v>2555</v>
      </c>
      <c r="C160" s="1508">
        <v>17013</v>
      </c>
      <c r="D160" s="1957">
        <v>19902.72</v>
      </c>
      <c r="E160" s="1491">
        <f t="shared" si="24"/>
        <v>116.98536413330982</v>
      </c>
      <c r="F160" s="1487">
        <f t="shared" si="25"/>
        <v>-2889.7200000000012</v>
      </c>
      <c r="G160" s="1487">
        <v>4207.8500000000004</v>
      </c>
      <c r="H160" s="1487">
        <v>5068.6099999999997</v>
      </c>
      <c r="I160" s="1487">
        <v>5504.21</v>
      </c>
      <c r="J160" s="1487">
        <v>8210.6299999999992</v>
      </c>
      <c r="K160" s="1487">
        <v>10511.45</v>
      </c>
      <c r="L160" s="1487">
        <v>12343.57</v>
      </c>
      <c r="M160" s="1487">
        <v>12343.57</v>
      </c>
      <c r="N160" s="1543">
        <v>12343.57</v>
      </c>
      <c r="O160" s="1543">
        <v>13383.13</v>
      </c>
      <c r="P160" s="1957">
        <v>20084.849999999999</v>
      </c>
      <c r="Q160" s="1957">
        <v>19606.16</v>
      </c>
      <c r="R160" s="1957">
        <v>19902.72</v>
      </c>
    </row>
    <row r="161" spans="1:18" ht="15">
      <c r="A161" s="1485" t="s">
        <v>2549</v>
      </c>
      <c r="B161" s="1500" t="s">
        <v>2556</v>
      </c>
      <c r="C161" s="1508">
        <v>53600</v>
      </c>
      <c r="D161" s="1957">
        <v>20272.37</v>
      </c>
      <c r="E161" s="1491">
        <f t="shared" si="24"/>
        <v>37.821585820895521</v>
      </c>
      <c r="F161" s="1487">
        <f t="shared" si="25"/>
        <v>33327.630000000005</v>
      </c>
      <c r="G161" s="1487">
        <v>1780.93</v>
      </c>
      <c r="H161" s="1487">
        <v>10864.16</v>
      </c>
      <c r="I161" s="1487">
        <v>11103.72</v>
      </c>
      <c r="J161" s="1487">
        <v>11609.49</v>
      </c>
      <c r="K161" s="1487">
        <v>13249.02</v>
      </c>
      <c r="L161" s="1487">
        <v>13313.43</v>
      </c>
      <c r="M161" s="1487">
        <v>13592.43</v>
      </c>
      <c r="N161" s="1543">
        <v>11969.28</v>
      </c>
      <c r="O161" s="1543">
        <v>12085.02</v>
      </c>
      <c r="P161" s="1957">
        <v>14306.4</v>
      </c>
      <c r="Q161" s="1957">
        <v>15025.56</v>
      </c>
      <c r="R161" s="1957">
        <v>20272.37</v>
      </c>
    </row>
    <row r="162" spans="1:18" ht="15">
      <c r="A162" s="1485" t="s">
        <v>2549</v>
      </c>
      <c r="B162" s="1500" t="s">
        <v>2557</v>
      </c>
      <c r="C162" s="1508">
        <v>316132</v>
      </c>
      <c r="D162" s="1957">
        <v>272373.03999999998</v>
      </c>
      <c r="E162" s="1491">
        <f t="shared" si="24"/>
        <v>86.158009945212754</v>
      </c>
      <c r="F162" s="1487">
        <f t="shared" si="25"/>
        <v>43758.960000000021</v>
      </c>
      <c r="G162" s="1487">
        <v>87221.71</v>
      </c>
      <c r="H162" s="1487">
        <v>126899.07</v>
      </c>
      <c r="I162" s="1487">
        <v>161229.76999999999</v>
      </c>
      <c r="J162" s="1487">
        <v>166204.09</v>
      </c>
      <c r="K162" s="1487">
        <v>173240.25</v>
      </c>
      <c r="L162" s="1487">
        <v>213994.49</v>
      </c>
      <c r="M162" s="1487">
        <v>227143.52</v>
      </c>
      <c r="N162" s="1543">
        <v>176183.95</v>
      </c>
      <c r="O162" s="1543">
        <v>189582.18</v>
      </c>
      <c r="P162" s="1957">
        <v>204911.35</v>
      </c>
      <c r="Q162" s="1957">
        <v>264209.56</v>
      </c>
      <c r="R162" s="1957">
        <v>272373.03999999998</v>
      </c>
    </row>
    <row r="163" spans="1:18" ht="15">
      <c r="A163" s="1485" t="s">
        <v>2549</v>
      </c>
      <c r="B163" s="1500" t="s">
        <v>2558</v>
      </c>
      <c r="C163" s="1508">
        <v>131150</v>
      </c>
      <c r="D163" s="1957">
        <v>133676.21</v>
      </c>
      <c r="E163" s="1491">
        <f t="shared" si="24"/>
        <v>101.92619900876858</v>
      </c>
      <c r="F163" s="1487">
        <f t="shared" si="25"/>
        <v>-2526.2099999999919</v>
      </c>
      <c r="G163" s="1487">
        <v>1879.5</v>
      </c>
      <c r="H163" s="1487">
        <v>27855.19</v>
      </c>
      <c r="I163" s="1487">
        <v>30553.49</v>
      </c>
      <c r="J163" s="1487">
        <v>49394.52</v>
      </c>
      <c r="K163" s="1487">
        <v>50673.03</v>
      </c>
      <c r="L163" s="1487">
        <v>110552.53</v>
      </c>
      <c r="M163" s="1487">
        <v>112602.17</v>
      </c>
      <c r="N163" s="1543">
        <v>115367.81</v>
      </c>
      <c r="O163" s="1543">
        <v>117779.81</v>
      </c>
      <c r="P163" s="1957">
        <v>122473.17</v>
      </c>
      <c r="Q163" s="1957">
        <v>127353.85</v>
      </c>
      <c r="R163" s="1957">
        <v>133676.21</v>
      </c>
    </row>
    <row r="164" spans="1:18" ht="15">
      <c r="A164" s="1485" t="s">
        <v>2559</v>
      </c>
      <c r="B164" s="1500" t="s">
        <v>2560</v>
      </c>
      <c r="C164" s="1508">
        <v>254800</v>
      </c>
      <c r="D164" s="1957">
        <v>246729.59</v>
      </c>
      <c r="E164" s="1491">
        <f t="shared" si="24"/>
        <v>96.832649136577714</v>
      </c>
      <c r="F164" s="1487">
        <f t="shared" si="25"/>
        <v>8070.4100000000035</v>
      </c>
      <c r="G164" s="1487">
        <v>3519.76</v>
      </c>
      <c r="H164" s="1487">
        <v>41391.65</v>
      </c>
      <c r="I164" s="1487">
        <v>69307.039999999994</v>
      </c>
      <c r="J164" s="1487">
        <v>109138.32</v>
      </c>
      <c r="K164" s="1487">
        <v>108217.81</v>
      </c>
      <c r="L164" s="1487">
        <v>122515.92</v>
      </c>
      <c r="M164" s="1487">
        <v>134341.95000000001</v>
      </c>
      <c r="N164" s="1543">
        <v>138713.64000000001</v>
      </c>
      <c r="O164" s="1543">
        <v>151161.84</v>
      </c>
      <c r="P164" s="1957">
        <v>166006.03</v>
      </c>
      <c r="Q164" s="1957">
        <v>183810.23</v>
      </c>
      <c r="R164" s="1957">
        <v>246729.59</v>
      </c>
    </row>
    <row r="165" spans="1:18" ht="15">
      <c r="A165" s="1485" t="s">
        <v>2549</v>
      </c>
      <c r="B165" s="1500" t="s">
        <v>1759</v>
      </c>
      <c r="C165" s="1508">
        <v>348192</v>
      </c>
      <c r="D165" s="1957">
        <v>311604.09000000003</v>
      </c>
      <c r="E165" s="1491">
        <f t="shared" si="24"/>
        <v>89.492030259167365</v>
      </c>
      <c r="F165" s="1487">
        <f t="shared" si="25"/>
        <v>36587.909999999974</v>
      </c>
      <c r="G165" s="1487">
        <v>103265.89</v>
      </c>
      <c r="H165" s="1487">
        <v>121935</v>
      </c>
      <c r="I165" s="1487">
        <v>131694.16</v>
      </c>
      <c r="J165" s="1487">
        <v>144722.25</v>
      </c>
      <c r="K165" s="1487">
        <v>158472.04</v>
      </c>
      <c r="L165" s="1487">
        <v>174952.36</v>
      </c>
      <c r="M165" s="1487">
        <v>183719.1</v>
      </c>
      <c r="N165" s="1543">
        <v>192296.65</v>
      </c>
      <c r="O165" s="1543">
        <v>197506.4</v>
      </c>
      <c r="P165" s="1957">
        <v>224594.98</v>
      </c>
      <c r="Q165" s="1957">
        <v>278958.40999999997</v>
      </c>
      <c r="R165" s="1957">
        <v>311604.09000000003</v>
      </c>
    </row>
    <row r="166" spans="1:18" ht="15">
      <c r="A166" s="1485" t="s">
        <v>2549</v>
      </c>
      <c r="B166" s="1500" t="s">
        <v>2561</v>
      </c>
      <c r="C166" s="1508">
        <v>151025</v>
      </c>
      <c r="D166" s="1957">
        <v>148472.18</v>
      </c>
      <c r="E166" s="1491">
        <f t="shared" si="24"/>
        <v>98.309670584340338</v>
      </c>
      <c r="F166" s="1487">
        <f t="shared" si="25"/>
        <v>2552.820000000007</v>
      </c>
      <c r="G166" s="1487">
        <v>20182.47</v>
      </c>
      <c r="H166" s="1487">
        <v>61283.01</v>
      </c>
      <c r="I166" s="1487">
        <v>75140.47</v>
      </c>
      <c r="J166" s="1487">
        <v>91029.85</v>
      </c>
      <c r="K166" s="1487">
        <v>98364.29</v>
      </c>
      <c r="L166" s="1487">
        <v>109599.8</v>
      </c>
      <c r="M166" s="1487">
        <v>115779.56</v>
      </c>
      <c r="N166" s="1543">
        <v>130219.63</v>
      </c>
      <c r="O166" s="1543">
        <v>127975.5</v>
      </c>
      <c r="P166" s="1957">
        <v>137113.66</v>
      </c>
      <c r="Q166" s="1957">
        <v>152348.21</v>
      </c>
      <c r="R166" s="1957">
        <v>148472.18</v>
      </c>
    </row>
    <row r="167" spans="1:18" ht="15">
      <c r="A167" s="1485" t="s">
        <v>2562</v>
      </c>
      <c r="B167" s="1500" t="s">
        <v>2563</v>
      </c>
      <c r="C167" s="1508">
        <v>113500</v>
      </c>
      <c r="D167" s="1957">
        <v>115251.09</v>
      </c>
      <c r="E167" s="1491">
        <f t="shared" si="24"/>
        <v>101.54281057268722</v>
      </c>
      <c r="F167" s="1487">
        <f t="shared" si="25"/>
        <v>-1751.0899999999965</v>
      </c>
      <c r="G167" s="1487">
        <v>37078.550000000003</v>
      </c>
      <c r="H167" s="1487">
        <v>39956.92</v>
      </c>
      <c r="I167" s="1487">
        <v>40003.78</v>
      </c>
      <c r="J167" s="1487">
        <v>40590.78</v>
      </c>
      <c r="K167" s="1487">
        <v>80262.3</v>
      </c>
      <c r="L167" s="1487">
        <v>86048.68</v>
      </c>
      <c r="M167" s="1487">
        <v>86661.26</v>
      </c>
      <c r="N167" s="1543">
        <v>87931.87</v>
      </c>
      <c r="O167" s="1543">
        <v>93712.16</v>
      </c>
      <c r="P167" s="1957">
        <v>99690.82</v>
      </c>
      <c r="Q167" s="1957">
        <v>100178.13</v>
      </c>
      <c r="R167" s="1957">
        <v>115251.09</v>
      </c>
    </row>
    <row r="168" spans="1:18" ht="15">
      <c r="A168" s="1485" t="s">
        <v>2549</v>
      </c>
      <c r="B168" s="1500" t="s">
        <v>2467</v>
      </c>
      <c r="C168" s="1508">
        <v>240685</v>
      </c>
      <c r="D168" s="1957">
        <v>207010.83</v>
      </c>
      <c r="E168" s="1491">
        <f t="shared" si="24"/>
        <v>86.009028398113713</v>
      </c>
      <c r="F168" s="1487">
        <f t="shared" si="25"/>
        <v>33674.170000000013</v>
      </c>
      <c r="G168" s="1487">
        <v>15524.18</v>
      </c>
      <c r="H168" s="1487">
        <v>59830.45</v>
      </c>
      <c r="I168" s="1487">
        <v>73080.320000000007</v>
      </c>
      <c r="J168" s="1487">
        <v>109299.11</v>
      </c>
      <c r="K168" s="1487">
        <v>125332.69</v>
      </c>
      <c r="L168" s="1487">
        <v>146553.4</v>
      </c>
      <c r="M168" s="1487">
        <v>153063.47</v>
      </c>
      <c r="N168" s="1543">
        <v>161014.95000000001</v>
      </c>
      <c r="O168" s="1543">
        <v>174862.97</v>
      </c>
      <c r="P168" s="1957">
        <v>188833.26</v>
      </c>
      <c r="Q168" s="1957">
        <v>195260.68</v>
      </c>
      <c r="R168" s="1957">
        <v>207010.83</v>
      </c>
    </row>
    <row r="169" spans="1:18" ht="15">
      <c r="A169" s="1485" t="s">
        <v>2549</v>
      </c>
      <c r="B169" s="1500" t="s">
        <v>2564</v>
      </c>
      <c r="C169" s="1508">
        <v>69850</v>
      </c>
      <c r="D169" s="1957">
        <v>60739.38</v>
      </c>
      <c r="E169" s="1491">
        <f t="shared" si="24"/>
        <v>86.956879026485325</v>
      </c>
      <c r="F169" s="1487">
        <f t="shared" si="25"/>
        <v>9110.6200000000026</v>
      </c>
      <c r="G169" s="1487">
        <v>21974.25</v>
      </c>
      <c r="H169" s="1487">
        <v>25833.87</v>
      </c>
      <c r="I169" s="1487">
        <v>26453.13</v>
      </c>
      <c r="J169" s="1487">
        <v>32862.620000000003</v>
      </c>
      <c r="K169" s="1487">
        <v>36680.32</v>
      </c>
      <c r="L169" s="1487">
        <v>39711.78</v>
      </c>
      <c r="M169" s="1487">
        <v>40212.46</v>
      </c>
      <c r="N169" s="1543">
        <v>34426.22</v>
      </c>
      <c r="O169" s="1543">
        <v>39968.44</v>
      </c>
      <c r="P169" s="1957">
        <v>45349.38</v>
      </c>
      <c r="Q169" s="1957">
        <v>47701.8</v>
      </c>
      <c r="R169" s="1957">
        <v>60739.38</v>
      </c>
    </row>
    <row r="170" spans="1:18" ht="15">
      <c r="A170" s="1485" t="s">
        <v>2565</v>
      </c>
      <c r="B170" s="1500" t="s">
        <v>2566</v>
      </c>
      <c r="C170" s="1508">
        <v>23500</v>
      </c>
      <c r="D170" s="1957">
        <v>25378.9</v>
      </c>
      <c r="E170" s="1488">
        <f t="shared" ref="E170:E176" si="26">D170/C170*100</f>
        <v>107.99531914893619</v>
      </c>
      <c r="F170" s="1487">
        <f t="shared" si="25"/>
        <v>-1878.9000000000015</v>
      </c>
      <c r="G170" s="1487">
        <v>0</v>
      </c>
      <c r="H170" s="1487">
        <v>10128.23</v>
      </c>
      <c r="I170" s="1487">
        <v>10491.23</v>
      </c>
      <c r="J170" s="1487">
        <v>14661.7</v>
      </c>
      <c r="K170" s="1487">
        <v>14843.2</v>
      </c>
      <c r="L170" s="1487">
        <v>20843.2</v>
      </c>
      <c r="M170" s="1487">
        <v>20843.2</v>
      </c>
      <c r="N170" s="1543">
        <v>25295.200000000001</v>
      </c>
      <c r="O170" s="1543">
        <v>25295.200000000001</v>
      </c>
      <c r="P170" s="1957">
        <v>25378.880000000001</v>
      </c>
      <c r="Q170" s="1957">
        <v>25378.880000000001</v>
      </c>
      <c r="R170" s="1957">
        <v>25378.9</v>
      </c>
    </row>
    <row r="171" spans="1:18" ht="15">
      <c r="A171" s="1485" t="s">
        <v>2549</v>
      </c>
      <c r="B171" s="1500" t="s">
        <v>2567</v>
      </c>
      <c r="C171" s="1508">
        <v>104050</v>
      </c>
      <c r="D171" s="1957">
        <v>69797.73</v>
      </c>
      <c r="E171" s="1488">
        <f t="shared" si="26"/>
        <v>67.080951465641519</v>
      </c>
      <c r="F171" s="1487">
        <f t="shared" si="25"/>
        <v>34252.270000000004</v>
      </c>
      <c r="G171" s="1487">
        <v>9142.56</v>
      </c>
      <c r="H171" s="1487">
        <v>20424.009999999998</v>
      </c>
      <c r="I171" s="1487">
        <v>23307.78</v>
      </c>
      <c r="J171" s="1487">
        <v>32294.01</v>
      </c>
      <c r="K171" s="1487">
        <v>39789.14</v>
      </c>
      <c r="L171" s="1487">
        <v>43741.65</v>
      </c>
      <c r="M171" s="1487">
        <v>49889.23</v>
      </c>
      <c r="N171" s="1543">
        <v>55700.67</v>
      </c>
      <c r="O171" s="1543">
        <v>62584.49</v>
      </c>
      <c r="P171" s="1957">
        <v>70773.679999999993</v>
      </c>
      <c r="Q171" s="1957">
        <v>64889.69</v>
      </c>
      <c r="R171" s="1957">
        <v>69797.73</v>
      </c>
    </row>
    <row r="172" spans="1:18" ht="15">
      <c r="A172" s="1485" t="s">
        <v>2568</v>
      </c>
      <c r="B172" s="1500" t="s">
        <v>2569</v>
      </c>
      <c r="C172" s="1508">
        <v>102450</v>
      </c>
      <c r="D172" s="1957">
        <v>99698.09</v>
      </c>
      <c r="E172" s="1488">
        <f t="shared" si="26"/>
        <v>97.313899463152751</v>
      </c>
      <c r="F172" s="1487">
        <f t="shared" si="25"/>
        <v>2751.9100000000035</v>
      </c>
      <c r="G172" s="1487">
        <v>8557.59</v>
      </c>
      <c r="H172" s="1487">
        <v>29508.560000000001</v>
      </c>
      <c r="I172" s="1487">
        <v>32632.12</v>
      </c>
      <c r="J172" s="1487">
        <v>43388.81</v>
      </c>
      <c r="K172" s="1487">
        <v>49067.68</v>
      </c>
      <c r="L172" s="1487">
        <v>53630.18</v>
      </c>
      <c r="M172" s="1487">
        <v>57480.49</v>
      </c>
      <c r="N172" s="1543">
        <v>60932.01</v>
      </c>
      <c r="O172" s="1543">
        <v>70543.22</v>
      </c>
      <c r="P172" s="1957">
        <v>94249.99</v>
      </c>
      <c r="Q172" s="1957">
        <v>100942.47</v>
      </c>
      <c r="R172" s="1957">
        <v>99698.09</v>
      </c>
    </row>
    <row r="173" spans="1:18" ht="15">
      <c r="A173" s="1485" t="s">
        <v>2570</v>
      </c>
      <c r="B173" s="1500" t="s">
        <v>2571</v>
      </c>
      <c r="C173" s="1508">
        <v>14000</v>
      </c>
      <c r="D173" s="1957">
        <v>9764.49</v>
      </c>
      <c r="E173" s="1488">
        <f t="shared" si="26"/>
        <v>69.746357142857136</v>
      </c>
      <c r="F173" s="1487">
        <f t="shared" si="25"/>
        <v>4235.51</v>
      </c>
      <c r="G173" s="1487">
        <v>0</v>
      </c>
      <c r="H173" s="1487">
        <v>19.47</v>
      </c>
      <c r="I173" s="1487">
        <v>23.71</v>
      </c>
      <c r="J173" s="1487">
        <v>9593.67</v>
      </c>
      <c r="K173" s="1487">
        <v>9639.1200000000008</v>
      </c>
      <c r="L173" s="1487">
        <v>9665.48</v>
      </c>
      <c r="M173" s="1487">
        <v>9665.48</v>
      </c>
      <c r="N173" s="1543">
        <v>9691.4500000000007</v>
      </c>
      <c r="O173" s="1543">
        <v>9732.1299999999992</v>
      </c>
      <c r="P173" s="1957">
        <v>9740.75</v>
      </c>
      <c r="Q173" s="1957">
        <v>9749.1</v>
      </c>
      <c r="R173" s="1957">
        <v>9764.49</v>
      </c>
    </row>
    <row r="174" spans="1:18" ht="15">
      <c r="A174" s="1485" t="s">
        <v>2549</v>
      </c>
      <c r="B174" s="1500" t="s">
        <v>2572</v>
      </c>
      <c r="C174" s="1508">
        <v>9425</v>
      </c>
      <c r="D174" s="1957">
        <v>8016.98</v>
      </c>
      <c r="E174" s="1488">
        <f t="shared" si="26"/>
        <v>85.060795755968172</v>
      </c>
      <c r="F174" s="1487">
        <f t="shared" si="25"/>
        <v>1408.0200000000004</v>
      </c>
      <c r="G174" s="1487">
        <v>916.72</v>
      </c>
      <c r="H174" s="1487">
        <v>3646.28</v>
      </c>
      <c r="I174" s="1487">
        <v>3749.68</v>
      </c>
      <c r="J174" s="1487">
        <v>4356.16</v>
      </c>
      <c r="K174" s="1487">
        <v>5463.91</v>
      </c>
      <c r="L174" s="1487">
        <v>5730.32</v>
      </c>
      <c r="M174" s="1487">
        <v>6223.33</v>
      </c>
      <c r="N174" s="1543">
        <v>6267.11</v>
      </c>
      <c r="O174" s="1543">
        <v>6840.97</v>
      </c>
      <c r="P174" s="1957">
        <v>7604.31</v>
      </c>
      <c r="Q174" s="1957">
        <v>7907.36</v>
      </c>
      <c r="R174" s="1957">
        <v>8016.98</v>
      </c>
    </row>
    <row r="175" spans="1:18" ht="15">
      <c r="A175" s="1515" t="s">
        <v>2549</v>
      </c>
      <c r="B175" s="1516" t="s">
        <v>2573</v>
      </c>
      <c r="C175" s="1544">
        <v>95500</v>
      </c>
      <c r="D175" s="1957">
        <v>57146.32</v>
      </c>
      <c r="E175" s="1494">
        <f t="shared" si="26"/>
        <v>59.839078534031408</v>
      </c>
      <c r="F175" s="1518">
        <f t="shared" si="25"/>
        <v>38353.68</v>
      </c>
      <c r="G175" s="1518">
        <v>0</v>
      </c>
      <c r="H175" s="1518">
        <v>-944.45</v>
      </c>
      <c r="I175" s="1518">
        <v>-435.65</v>
      </c>
      <c r="J175" s="1518">
        <v>-435.65</v>
      </c>
      <c r="K175" s="1518">
        <v>-435.65</v>
      </c>
      <c r="L175" s="1518">
        <v>-435.65</v>
      </c>
      <c r="M175" s="1518">
        <v>40961.15</v>
      </c>
      <c r="N175" s="1545">
        <v>42072.05</v>
      </c>
      <c r="O175" s="1545">
        <v>43170.42</v>
      </c>
      <c r="P175" s="1957">
        <v>54780.3</v>
      </c>
      <c r="Q175" s="1957">
        <v>56930.92</v>
      </c>
      <c r="R175" s="1957">
        <v>57146.32</v>
      </c>
    </row>
    <row r="176" spans="1:18">
      <c r="A176" s="1539"/>
      <c r="B176" s="1540" t="s">
        <v>8</v>
      </c>
      <c r="C176" s="1513">
        <f>SUM(C153:C175)</f>
        <v>4208027</v>
      </c>
      <c r="D176" s="1513">
        <f>SUM(D153:D175)</f>
        <v>3920086.0799999996</v>
      </c>
      <c r="E176" s="1513">
        <f t="shared" si="26"/>
        <v>93.157341433408092</v>
      </c>
      <c r="F176" s="1541">
        <f>C176-D176</f>
        <v>287940.92000000039</v>
      </c>
      <c r="G176" s="1541">
        <f t="shared" ref="G176:R176" si="27">SUM(G153:G175)</f>
        <v>520658.5</v>
      </c>
      <c r="H176" s="1541">
        <f t="shared" si="27"/>
        <v>1263543.17</v>
      </c>
      <c r="I176" s="1541">
        <f t="shared" si="27"/>
        <v>1486820.03</v>
      </c>
      <c r="J176" s="1541">
        <f t="shared" si="27"/>
        <v>1845237.7100000002</v>
      </c>
      <c r="K176" s="1541">
        <f t="shared" si="27"/>
        <v>2167482.6200000006</v>
      </c>
      <c r="L176" s="1541">
        <f t="shared" si="27"/>
        <v>2510117.6999999997</v>
      </c>
      <c r="M176" s="1541">
        <f t="shared" si="27"/>
        <v>2653306.62</v>
      </c>
      <c r="N176" s="1541">
        <f t="shared" si="27"/>
        <v>2839697.9800000004</v>
      </c>
      <c r="O176" s="1541">
        <f t="shared" si="27"/>
        <v>3036968.7000000007</v>
      </c>
      <c r="P176" s="1541">
        <f t="shared" si="27"/>
        <v>3360028.3999999994</v>
      </c>
      <c r="Q176" s="1541">
        <f t="shared" si="27"/>
        <v>3635048.09</v>
      </c>
      <c r="R176" s="1542">
        <f t="shared" si="27"/>
        <v>3920086.0799999996</v>
      </c>
    </row>
    <row r="177" spans="1:18">
      <c r="A177" s="1502"/>
      <c r="B177" s="1477"/>
      <c r="C177" s="1477"/>
      <c r="D177" s="1477"/>
      <c r="E177" s="1503"/>
      <c r="F177" s="1504">
        <f>F176/$C$176</f>
        <v>6.8426585665919068E-2</v>
      </c>
      <c r="G177" s="1504">
        <f t="shared" ref="G177:R177" si="28">G176/$C$176</f>
        <v>0.12372983823535352</v>
      </c>
      <c r="H177" s="1504">
        <f t="shared" si="28"/>
        <v>0.30026973923884043</v>
      </c>
      <c r="I177" s="1504">
        <f t="shared" si="28"/>
        <v>0.35332948909310707</v>
      </c>
      <c r="J177" s="1504">
        <f t="shared" si="28"/>
        <v>0.43850424676457639</v>
      </c>
      <c r="K177" s="1504">
        <f t="shared" si="28"/>
        <v>0.51508286900250411</v>
      </c>
      <c r="L177" s="1504">
        <f t="shared" si="28"/>
        <v>0.5965070328683727</v>
      </c>
      <c r="M177" s="1504">
        <f t="shared" si="28"/>
        <v>0.63053459970670345</v>
      </c>
      <c r="N177" s="1504">
        <f t="shared" si="28"/>
        <v>0.67482884021419076</v>
      </c>
      <c r="O177" s="1504">
        <f t="shared" si="28"/>
        <v>0.72170846337250227</v>
      </c>
      <c r="P177" s="1504">
        <f t="shared" si="28"/>
        <v>0.79848071317032887</v>
      </c>
      <c r="Q177" s="1504">
        <f t="shared" si="28"/>
        <v>0.86383668403268321</v>
      </c>
      <c r="R177" s="1504">
        <f t="shared" si="28"/>
        <v>0.93157341433408092</v>
      </c>
    </row>
    <row r="179" spans="1:18">
      <c r="A179" s="1497">
        <v>2021</v>
      </c>
    </row>
    <row r="180" spans="1:18" ht="13.5" thickBot="1"/>
    <row r="181" spans="1:18" ht="13.5" thickBot="1">
      <c r="A181" s="1528" t="s">
        <v>2532</v>
      </c>
      <c r="B181" s="1529" t="s">
        <v>624</v>
      </c>
      <c r="C181" s="1529" t="s">
        <v>2574</v>
      </c>
      <c r="D181" s="1529" t="s">
        <v>2533</v>
      </c>
      <c r="E181" s="1529" t="s">
        <v>636</v>
      </c>
      <c r="F181" s="1529" t="s">
        <v>2534</v>
      </c>
      <c r="G181" s="1529" t="s">
        <v>2535</v>
      </c>
      <c r="H181" s="1529" t="s">
        <v>2536</v>
      </c>
      <c r="I181" s="1529" t="s">
        <v>2537</v>
      </c>
      <c r="J181" s="1529" t="s">
        <v>2538</v>
      </c>
      <c r="K181" s="1529" t="s">
        <v>720</v>
      </c>
      <c r="L181" s="1529" t="s">
        <v>2539</v>
      </c>
      <c r="M181" s="1529" t="s">
        <v>2540</v>
      </c>
      <c r="N181" s="1529" t="s">
        <v>965</v>
      </c>
      <c r="O181" s="1529" t="s">
        <v>2541</v>
      </c>
      <c r="P181" s="1529" t="s">
        <v>2542</v>
      </c>
      <c r="Q181" s="1529" t="s">
        <v>968</v>
      </c>
      <c r="R181" s="1530" t="s">
        <v>969</v>
      </c>
    </row>
    <row r="182" spans="1:18" ht="15">
      <c r="A182" s="1511" t="s">
        <v>2543</v>
      </c>
      <c r="B182" s="1498" t="s">
        <v>2544</v>
      </c>
      <c r="C182" s="1957">
        <v>36731</v>
      </c>
      <c r="D182" s="1957">
        <v>15000</v>
      </c>
      <c r="E182" s="1499">
        <f>D182/C182*100</f>
        <v>40.837439764776349</v>
      </c>
      <c r="F182" s="1507">
        <f>C182-D182</f>
        <v>21731</v>
      </c>
      <c r="G182" s="1957">
        <v>0</v>
      </c>
      <c r="H182" s="1957">
        <v>0</v>
      </c>
      <c r="I182" s="1957">
        <v>0</v>
      </c>
      <c r="J182" s="1957">
        <v>0</v>
      </c>
      <c r="K182" s="1957">
        <v>0</v>
      </c>
      <c r="L182" s="1957">
        <v>0</v>
      </c>
      <c r="M182" s="1957">
        <v>0</v>
      </c>
      <c r="N182" s="1957">
        <v>0</v>
      </c>
      <c r="O182" s="1957">
        <v>15000</v>
      </c>
      <c r="P182" s="1957">
        <v>15000</v>
      </c>
      <c r="Q182" s="1957">
        <v>15000</v>
      </c>
      <c r="R182" s="1957">
        <v>15000</v>
      </c>
    </row>
    <row r="183" spans="1:18" ht="15">
      <c r="A183" s="1485" t="s">
        <v>2545</v>
      </c>
      <c r="B183" s="1500" t="s">
        <v>2546</v>
      </c>
      <c r="C183" s="1957">
        <v>10250</v>
      </c>
      <c r="D183" s="1957">
        <v>1668.43</v>
      </c>
      <c r="E183" s="1490">
        <f t="shared" ref="E183:E198" si="29">D183/C183*100</f>
        <v>16.277365853658537</v>
      </c>
      <c r="F183" s="1487">
        <f t="shared" ref="F183:F205" si="30">C183-D183</f>
        <v>8581.57</v>
      </c>
      <c r="G183" s="1957">
        <v>649.33000000000004</v>
      </c>
      <c r="H183" s="1957">
        <v>1539.41</v>
      </c>
      <c r="I183" s="1957">
        <v>2183.19</v>
      </c>
      <c r="J183" s="1957">
        <v>2183.19</v>
      </c>
      <c r="K183" s="1957">
        <v>2183.19</v>
      </c>
      <c r="L183" s="1957">
        <v>2183.19</v>
      </c>
      <c r="M183" s="1957">
        <v>1821.55</v>
      </c>
      <c r="N183" s="1957">
        <v>1821.55</v>
      </c>
      <c r="O183" s="1957">
        <v>1821.55</v>
      </c>
      <c r="P183" s="1957">
        <v>1668.43</v>
      </c>
      <c r="Q183" s="1957">
        <v>1668.43</v>
      </c>
      <c r="R183" s="1957">
        <v>1668.43</v>
      </c>
    </row>
    <row r="184" spans="1:18" ht="15">
      <c r="A184" s="1485" t="s">
        <v>2547</v>
      </c>
      <c r="B184" s="1500" t="s">
        <v>2548</v>
      </c>
      <c r="C184" s="1957">
        <v>8650</v>
      </c>
      <c r="D184" s="1957">
        <v>5127.99</v>
      </c>
      <c r="E184" s="1488">
        <f t="shared" si="29"/>
        <v>59.283121387283231</v>
      </c>
      <c r="F184" s="1487">
        <f t="shared" si="30"/>
        <v>3522.01</v>
      </c>
      <c r="G184" s="1957">
        <v>1665.46</v>
      </c>
      <c r="H184" s="1957">
        <v>2048.48</v>
      </c>
      <c r="I184" s="1957">
        <v>2323.89</v>
      </c>
      <c r="J184" s="1957">
        <v>2650.85</v>
      </c>
      <c r="K184" s="1957">
        <v>2877.05</v>
      </c>
      <c r="L184" s="1957">
        <v>3137.14</v>
      </c>
      <c r="M184" s="1957">
        <v>3434.4</v>
      </c>
      <c r="N184" s="1957">
        <v>3558.66</v>
      </c>
      <c r="O184" s="1957">
        <v>4025.77</v>
      </c>
      <c r="P184" s="1957">
        <v>4232.96</v>
      </c>
      <c r="Q184" s="1957">
        <v>5011.0200000000004</v>
      </c>
      <c r="R184" s="1957">
        <v>5127.99</v>
      </c>
    </row>
    <row r="185" spans="1:18" ht="15">
      <c r="A185" s="1485" t="s">
        <v>2549</v>
      </c>
      <c r="B185" s="1500" t="s">
        <v>2550</v>
      </c>
      <c r="C185" s="1957">
        <v>917775</v>
      </c>
      <c r="D185" s="1957">
        <v>919670.1</v>
      </c>
      <c r="E185" s="1488">
        <f t="shared" si="29"/>
        <v>100.20648851842773</v>
      </c>
      <c r="F185" s="1487">
        <f t="shared" si="30"/>
        <v>-1895.0999999999767</v>
      </c>
      <c r="G185" s="1957">
        <v>508591.97</v>
      </c>
      <c r="H185" s="1957">
        <v>544894.25</v>
      </c>
      <c r="I185" s="1957">
        <v>637189.03</v>
      </c>
      <c r="J185" s="1957">
        <v>664576.04</v>
      </c>
      <c r="K185" s="1957">
        <v>693920.45</v>
      </c>
      <c r="L185" s="1957">
        <v>739095.54</v>
      </c>
      <c r="M185" s="1957">
        <v>762909.91</v>
      </c>
      <c r="N185" s="1957">
        <v>774780.96</v>
      </c>
      <c r="O185" s="1957">
        <v>808126.06</v>
      </c>
      <c r="P185" s="1957">
        <v>846422.81</v>
      </c>
      <c r="Q185" s="1957">
        <v>904865.87</v>
      </c>
      <c r="R185" s="1957">
        <v>919670.1</v>
      </c>
    </row>
    <row r="186" spans="1:18" ht="15">
      <c r="A186" s="1485" t="s">
        <v>2549</v>
      </c>
      <c r="B186" s="1500" t="s">
        <v>2551</v>
      </c>
      <c r="C186" s="1957">
        <v>463550</v>
      </c>
      <c r="D186" s="1957">
        <v>433998.5</v>
      </c>
      <c r="E186" s="1488">
        <f t="shared" si="29"/>
        <v>93.624959551288967</v>
      </c>
      <c r="F186" s="1487">
        <f t="shared" si="30"/>
        <v>29551.5</v>
      </c>
      <c r="G186" s="1957">
        <v>165626.4</v>
      </c>
      <c r="H186" s="1957">
        <v>211222.26</v>
      </c>
      <c r="I186" s="1957">
        <v>260413.34</v>
      </c>
      <c r="J186" s="1957">
        <v>295817.12</v>
      </c>
      <c r="K186" s="1957">
        <v>325983.24</v>
      </c>
      <c r="L186" s="1957">
        <v>357287.38</v>
      </c>
      <c r="M186" s="1957">
        <v>373477.56</v>
      </c>
      <c r="N186" s="1957">
        <v>391616.27</v>
      </c>
      <c r="O186" s="1957">
        <v>417041.45</v>
      </c>
      <c r="P186" s="1957">
        <v>457041.18</v>
      </c>
      <c r="Q186" s="1957">
        <v>476083.3</v>
      </c>
      <c r="R186" s="1957">
        <v>433998.5</v>
      </c>
    </row>
    <row r="187" spans="1:18" ht="15">
      <c r="A187" s="1485" t="s">
        <v>2549</v>
      </c>
      <c r="B187" s="1500" t="s">
        <v>2552</v>
      </c>
      <c r="C187" s="1957">
        <v>835000</v>
      </c>
      <c r="D187" s="1957">
        <v>990190.14</v>
      </c>
      <c r="E187" s="1488">
        <f t="shared" si="29"/>
        <v>118.58564550898203</v>
      </c>
      <c r="F187" s="1487">
        <f t="shared" si="30"/>
        <v>-155190.14000000001</v>
      </c>
      <c r="G187" s="1957">
        <v>604798.18000000005</v>
      </c>
      <c r="H187" s="1957">
        <v>655695.42000000004</v>
      </c>
      <c r="I187" s="1957">
        <v>655945.42000000004</v>
      </c>
      <c r="J187" s="1957">
        <v>741400.42</v>
      </c>
      <c r="K187" s="1957">
        <v>741400.42</v>
      </c>
      <c r="L187" s="1957">
        <v>877991.54</v>
      </c>
      <c r="M187" s="1957">
        <v>885949.53</v>
      </c>
      <c r="N187" s="1957">
        <v>910780.87</v>
      </c>
      <c r="O187" s="1957">
        <v>914220.86</v>
      </c>
      <c r="P187" s="1957">
        <v>924509.83</v>
      </c>
      <c r="Q187" s="1957">
        <v>944813.72</v>
      </c>
      <c r="R187" s="1957">
        <v>990190.14</v>
      </c>
    </row>
    <row r="188" spans="1:18" ht="15">
      <c r="A188" s="1485" t="s">
        <v>2549</v>
      </c>
      <c r="B188" s="1500" t="s">
        <v>2553</v>
      </c>
      <c r="C188" s="1957">
        <v>2750</v>
      </c>
      <c r="D188" s="1957">
        <v>2245.62</v>
      </c>
      <c r="E188" s="1491">
        <f t="shared" si="29"/>
        <v>81.658909090909077</v>
      </c>
      <c r="F188" s="1487">
        <f t="shared" si="30"/>
        <v>504.38000000000011</v>
      </c>
      <c r="G188" s="1957">
        <v>532.4</v>
      </c>
      <c r="H188" s="1957">
        <v>1485.73</v>
      </c>
      <c r="I188" s="1957">
        <v>1485.73</v>
      </c>
      <c r="J188" s="1957">
        <v>1485.73</v>
      </c>
      <c r="K188" s="1957">
        <v>1375.25</v>
      </c>
      <c r="L188" s="1957">
        <v>1375.25</v>
      </c>
      <c r="M188" s="1957">
        <v>1375.25</v>
      </c>
      <c r="N188" s="1957">
        <v>1948.17</v>
      </c>
      <c r="O188" s="1957">
        <v>1948.17</v>
      </c>
      <c r="P188" s="1957">
        <v>1948.17</v>
      </c>
      <c r="Q188" s="1957">
        <v>2381.71</v>
      </c>
      <c r="R188" s="1957">
        <v>2245.62</v>
      </c>
    </row>
    <row r="189" spans="1:18" ht="15">
      <c r="A189" s="1485" t="s">
        <v>2554</v>
      </c>
      <c r="B189" s="1500" t="s">
        <v>2555</v>
      </c>
      <c r="C189" s="1957">
        <v>12700</v>
      </c>
      <c r="D189" s="1957">
        <v>8164.29</v>
      </c>
      <c r="E189" s="1491">
        <f t="shared" si="29"/>
        <v>64.285748031496055</v>
      </c>
      <c r="F189" s="1487">
        <f t="shared" si="30"/>
        <v>4535.71</v>
      </c>
      <c r="G189" s="1957">
        <v>28.98</v>
      </c>
      <c r="H189" s="1957">
        <v>28.98</v>
      </c>
      <c r="I189" s="1957">
        <v>1385.76</v>
      </c>
      <c r="J189" s="1957">
        <v>1385.76</v>
      </c>
      <c r="K189" s="1957">
        <v>1385.76</v>
      </c>
      <c r="L189" s="1957">
        <v>3076.24</v>
      </c>
      <c r="M189" s="1957">
        <v>3076.24</v>
      </c>
      <c r="N189" s="1957">
        <v>3076.24</v>
      </c>
      <c r="O189" s="1957">
        <v>3916.06</v>
      </c>
      <c r="P189" s="1957">
        <v>6250.72</v>
      </c>
      <c r="Q189" s="1957">
        <v>6469.54</v>
      </c>
      <c r="R189" s="1957">
        <v>8164.29</v>
      </c>
    </row>
    <row r="190" spans="1:18" ht="15">
      <c r="A190" s="1485" t="s">
        <v>2549</v>
      </c>
      <c r="B190" s="1500" t="s">
        <v>2556</v>
      </c>
      <c r="C190" s="1957">
        <v>30100</v>
      </c>
      <c r="D190" s="3744">
        <v>6968.34</v>
      </c>
      <c r="E190" s="1491">
        <f t="shared" si="29"/>
        <v>23.150631229235881</v>
      </c>
      <c r="F190" s="1487">
        <f t="shared" si="30"/>
        <v>23131.66</v>
      </c>
      <c r="G190" s="1957">
        <v>8332.24</v>
      </c>
      <c r="H190" s="1957">
        <v>8332.24</v>
      </c>
      <c r="I190" s="1957">
        <v>10036.15</v>
      </c>
      <c r="J190" s="3744">
        <v>3419.07</v>
      </c>
      <c r="K190" s="3744">
        <v>3430.69</v>
      </c>
      <c r="L190" s="3744">
        <v>3874.28</v>
      </c>
      <c r="M190" s="3744">
        <v>3897.39</v>
      </c>
      <c r="N190" s="3744">
        <v>3926.05</v>
      </c>
      <c r="O190" s="3744">
        <v>6246.65</v>
      </c>
      <c r="P190" s="3744">
        <v>6259.6</v>
      </c>
      <c r="Q190" s="3744">
        <v>6497.04</v>
      </c>
      <c r="R190" s="3744">
        <v>6968.34</v>
      </c>
    </row>
    <row r="191" spans="1:18" ht="15">
      <c r="A191" s="1485" t="s">
        <v>2549</v>
      </c>
      <c r="B191" s="1500" t="s">
        <v>2557</v>
      </c>
      <c r="C191" s="1957">
        <v>483200</v>
      </c>
      <c r="D191" s="1957">
        <v>411556.21</v>
      </c>
      <c r="E191" s="1491">
        <f t="shared" si="29"/>
        <v>85.173056705298023</v>
      </c>
      <c r="F191" s="1487">
        <f t="shared" si="30"/>
        <v>71643.789999999979</v>
      </c>
      <c r="G191" s="1957">
        <v>54482.43</v>
      </c>
      <c r="H191" s="1957">
        <v>60059.11</v>
      </c>
      <c r="I191" s="1957">
        <v>108046.85</v>
      </c>
      <c r="J191" s="1957">
        <v>144894.73000000001</v>
      </c>
      <c r="K191" s="1957">
        <v>189226.11</v>
      </c>
      <c r="L191" s="1957">
        <v>232670.95</v>
      </c>
      <c r="M191" s="1957">
        <v>257117.56</v>
      </c>
      <c r="N191" s="1957">
        <v>344555.01</v>
      </c>
      <c r="O191" s="1957">
        <v>356799.49</v>
      </c>
      <c r="P191" s="1957">
        <v>376726.93</v>
      </c>
      <c r="Q191" s="1957">
        <v>406957.58</v>
      </c>
      <c r="R191" s="1957">
        <v>411556.21</v>
      </c>
    </row>
    <row r="192" spans="1:18" ht="15">
      <c r="A192" s="1485" t="s">
        <v>2549</v>
      </c>
      <c r="B192" s="1500" t="s">
        <v>2558</v>
      </c>
      <c r="C192" s="1957">
        <v>187966</v>
      </c>
      <c r="D192" s="1957">
        <v>161168.60999999999</v>
      </c>
      <c r="E192" s="1491">
        <f t="shared" si="29"/>
        <v>85.743490844088825</v>
      </c>
      <c r="F192" s="1487">
        <f t="shared" si="30"/>
        <v>26797.390000000014</v>
      </c>
      <c r="G192" s="1957">
        <v>80757.83</v>
      </c>
      <c r="H192" s="1957">
        <v>81660.56</v>
      </c>
      <c r="I192" s="1957">
        <v>144458.09</v>
      </c>
      <c r="J192" s="1957">
        <v>142760.03</v>
      </c>
      <c r="K192" s="1957">
        <v>144230.79</v>
      </c>
      <c r="L192" s="1957">
        <v>144440.54</v>
      </c>
      <c r="M192" s="1957">
        <v>146310.81</v>
      </c>
      <c r="N192" s="1957">
        <v>157065.4</v>
      </c>
      <c r="O192" s="1957">
        <v>178998.9</v>
      </c>
      <c r="P192" s="1957">
        <v>184696.06</v>
      </c>
      <c r="Q192" s="1957">
        <v>186866.57</v>
      </c>
      <c r="R192" s="1957">
        <v>161168.60999999999</v>
      </c>
    </row>
    <row r="193" spans="1:18" ht="15">
      <c r="A193" s="1485" t="s">
        <v>2559</v>
      </c>
      <c r="B193" s="1500" t="s">
        <v>2560</v>
      </c>
      <c r="C193" s="1957">
        <v>284800</v>
      </c>
      <c r="D193" s="1957">
        <v>300651.87</v>
      </c>
      <c r="E193" s="1491">
        <f t="shared" si="29"/>
        <v>105.56596558988764</v>
      </c>
      <c r="F193" s="1487">
        <f t="shared" si="30"/>
        <v>-15851.869999999995</v>
      </c>
      <c r="G193" s="1957">
        <v>27913.19</v>
      </c>
      <c r="H193" s="1957">
        <v>27913.19</v>
      </c>
      <c r="I193" s="1957">
        <v>78525.56</v>
      </c>
      <c r="J193" s="1957">
        <v>99449.08</v>
      </c>
      <c r="K193" s="1957">
        <v>102003.28</v>
      </c>
      <c r="L193" s="1957">
        <v>134488.54</v>
      </c>
      <c r="M193" s="1957">
        <v>134488.54</v>
      </c>
      <c r="N193" s="1957">
        <v>151579.13</v>
      </c>
      <c r="O193" s="1957">
        <v>181383.17</v>
      </c>
      <c r="P193" s="1957">
        <v>206531.21</v>
      </c>
      <c r="Q193" s="1957">
        <v>240568.25</v>
      </c>
      <c r="R193" s="1957">
        <v>300651.87</v>
      </c>
    </row>
    <row r="194" spans="1:18" ht="15">
      <c r="A194" s="1485" t="s">
        <v>2549</v>
      </c>
      <c r="B194" s="1500" t="s">
        <v>1759</v>
      </c>
      <c r="C194" s="1957">
        <v>249700</v>
      </c>
      <c r="D194" s="1957">
        <v>230474.83</v>
      </c>
      <c r="E194" s="1491">
        <f t="shared" si="29"/>
        <v>92.300692831397669</v>
      </c>
      <c r="F194" s="1487">
        <f t="shared" si="30"/>
        <v>19225.170000000013</v>
      </c>
      <c r="G194" s="1957">
        <v>49399.55</v>
      </c>
      <c r="H194" s="1957">
        <v>58932.4</v>
      </c>
      <c r="I194" s="1957">
        <v>69117.8</v>
      </c>
      <c r="J194" s="1957">
        <v>176249.27</v>
      </c>
      <c r="K194" s="1957">
        <v>190078.59</v>
      </c>
      <c r="L194" s="1957">
        <v>197297.65</v>
      </c>
      <c r="M194" s="1957">
        <v>204696.06</v>
      </c>
      <c r="N194" s="1957">
        <v>222307.09</v>
      </c>
      <c r="O194" s="1957">
        <v>233035.09</v>
      </c>
      <c r="P194" s="1957">
        <v>245628.02</v>
      </c>
      <c r="Q194" s="1957">
        <v>266424.90000000002</v>
      </c>
      <c r="R194" s="1957">
        <v>230474.83</v>
      </c>
    </row>
    <row r="195" spans="1:18" ht="15">
      <c r="A195" s="1485" t="s">
        <v>2549</v>
      </c>
      <c r="B195" s="1500" t="s">
        <v>2561</v>
      </c>
      <c r="C195" s="1957">
        <v>288680</v>
      </c>
      <c r="D195" s="1957">
        <v>244667.47</v>
      </c>
      <c r="E195" s="1491">
        <f t="shared" si="29"/>
        <v>84.753869336289327</v>
      </c>
      <c r="F195" s="1487">
        <f t="shared" si="30"/>
        <v>44012.53</v>
      </c>
      <c r="G195" s="1957">
        <v>30277.68</v>
      </c>
      <c r="H195" s="1957">
        <v>33786.089999999997</v>
      </c>
      <c r="I195" s="1957">
        <v>105060.61</v>
      </c>
      <c r="J195" s="1957">
        <v>111350.32</v>
      </c>
      <c r="K195" s="1957">
        <v>124717.71</v>
      </c>
      <c r="L195" s="1957">
        <v>142850.9</v>
      </c>
      <c r="M195" s="1957">
        <v>157130.25</v>
      </c>
      <c r="N195" s="1957">
        <v>210018.13</v>
      </c>
      <c r="O195" s="1957">
        <v>227326.02</v>
      </c>
      <c r="P195" s="1957">
        <v>234483.35</v>
      </c>
      <c r="Q195" s="1957">
        <v>250161.75</v>
      </c>
      <c r="R195" s="1957">
        <v>244667.47</v>
      </c>
    </row>
    <row r="196" spans="1:18" ht="15">
      <c r="A196" s="1485" t="s">
        <v>2562</v>
      </c>
      <c r="B196" s="1500" t="s">
        <v>2563</v>
      </c>
      <c r="C196" s="1957">
        <v>116500</v>
      </c>
      <c r="D196" s="1957">
        <v>113040.46</v>
      </c>
      <c r="E196" s="1491">
        <f t="shared" si="29"/>
        <v>97.030437768240347</v>
      </c>
      <c r="F196" s="1487">
        <f t="shared" si="30"/>
        <v>3459.5399999999936</v>
      </c>
      <c r="G196" s="1957">
        <v>59049.279999999999</v>
      </c>
      <c r="H196" s="1957">
        <v>60536.51</v>
      </c>
      <c r="I196" s="1957">
        <v>68745.100000000006</v>
      </c>
      <c r="J196" s="1957">
        <v>69764.3</v>
      </c>
      <c r="K196" s="1957">
        <v>80640.87</v>
      </c>
      <c r="L196" s="1957">
        <v>87900.42</v>
      </c>
      <c r="M196" s="1957">
        <v>93858.559999999998</v>
      </c>
      <c r="N196" s="1957">
        <v>100047.58</v>
      </c>
      <c r="O196" s="1957">
        <v>104167.01</v>
      </c>
      <c r="P196" s="1957">
        <v>106649.23</v>
      </c>
      <c r="Q196" s="1957">
        <v>108848.41</v>
      </c>
      <c r="R196" s="1957">
        <v>113040.46</v>
      </c>
    </row>
    <row r="197" spans="1:18" ht="15">
      <c r="A197" s="1485" t="s">
        <v>2549</v>
      </c>
      <c r="B197" s="1500" t="s">
        <v>2467</v>
      </c>
      <c r="C197" s="1957">
        <v>294635</v>
      </c>
      <c r="D197" s="1957">
        <v>264577.33</v>
      </c>
      <c r="E197" s="1491">
        <f t="shared" si="29"/>
        <v>89.798336925348323</v>
      </c>
      <c r="F197" s="1487">
        <f t="shared" si="30"/>
        <v>30057.669999999984</v>
      </c>
      <c r="G197" s="1957">
        <v>36035.019999999997</v>
      </c>
      <c r="H197" s="1957">
        <v>41903.230000000003</v>
      </c>
      <c r="I197" s="1957">
        <v>69898.83</v>
      </c>
      <c r="J197" s="1957">
        <v>105546.69</v>
      </c>
      <c r="K197" s="1957">
        <v>126930.44</v>
      </c>
      <c r="L197" s="1957">
        <v>151308.89000000001</v>
      </c>
      <c r="M197" s="1957">
        <v>156811.35</v>
      </c>
      <c r="N197" s="1957">
        <v>177163.09</v>
      </c>
      <c r="O197" s="1957">
        <v>212649.84</v>
      </c>
      <c r="P197" s="1957">
        <v>233405.36</v>
      </c>
      <c r="Q197" s="1957">
        <v>251547.47</v>
      </c>
      <c r="R197" s="1957">
        <v>264577.33</v>
      </c>
    </row>
    <row r="198" spans="1:18" ht="15">
      <c r="A198" s="1485" t="s">
        <v>2549</v>
      </c>
      <c r="B198" s="1500" t="s">
        <v>2564</v>
      </c>
      <c r="C198" s="1957">
        <v>68850</v>
      </c>
      <c r="D198" s="1957">
        <v>55838.85</v>
      </c>
      <c r="E198" s="1491">
        <f t="shared" si="29"/>
        <v>81.102178649237473</v>
      </c>
      <c r="F198" s="1487">
        <f t="shared" si="30"/>
        <v>13011.150000000001</v>
      </c>
      <c r="G198" s="1957">
        <v>18820.78</v>
      </c>
      <c r="H198" s="1957">
        <v>21213.59</v>
      </c>
      <c r="I198" s="1957">
        <v>29493.61</v>
      </c>
      <c r="J198" s="1957">
        <v>29613.279999999999</v>
      </c>
      <c r="K198" s="1957">
        <v>29718.82</v>
      </c>
      <c r="L198" s="1957">
        <v>39285.379999999997</v>
      </c>
      <c r="M198" s="1957">
        <v>43439.9</v>
      </c>
      <c r="N198" s="1957">
        <v>41604.54</v>
      </c>
      <c r="O198" s="1957">
        <v>47132.61</v>
      </c>
      <c r="P198" s="1957">
        <v>47332.59</v>
      </c>
      <c r="Q198" s="1957">
        <v>53940.71</v>
      </c>
      <c r="R198" s="1957">
        <v>55838.85</v>
      </c>
    </row>
    <row r="199" spans="1:18" ht="15">
      <c r="A199" s="1485" t="s">
        <v>2565</v>
      </c>
      <c r="B199" s="1500" t="s">
        <v>2566</v>
      </c>
      <c r="C199" s="1957">
        <v>22500</v>
      </c>
      <c r="D199" s="1957">
        <v>24231.72</v>
      </c>
      <c r="E199" s="1488">
        <f t="shared" ref="E199:E204" si="31">D199/C199*100</f>
        <v>107.69653333333333</v>
      </c>
      <c r="F199" s="1487">
        <f t="shared" si="30"/>
        <v>-1731.7200000000012</v>
      </c>
      <c r="G199" s="1957">
        <v>1121.3599999999999</v>
      </c>
      <c r="H199" s="1957">
        <v>1121.3599999999999</v>
      </c>
      <c r="I199" s="1957">
        <v>9834.8799999999992</v>
      </c>
      <c r="J199" s="1957">
        <v>10896.29</v>
      </c>
      <c r="K199" s="1957">
        <v>14233.47</v>
      </c>
      <c r="L199" s="1957">
        <v>23233.47</v>
      </c>
      <c r="M199" s="1957">
        <v>23233.47</v>
      </c>
      <c r="N199" s="1957">
        <v>24231.72</v>
      </c>
      <c r="O199" s="1957">
        <v>24231.72</v>
      </c>
      <c r="P199" s="1957">
        <v>24231.72</v>
      </c>
      <c r="Q199" s="1957">
        <v>24231.72</v>
      </c>
      <c r="R199" s="1957">
        <v>24231.72</v>
      </c>
    </row>
    <row r="200" spans="1:18" ht="15">
      <c r="A200" s="1485" t="s">
        <v>2549</v>
      </c>
      <c r="B200" s="1500" t="s">
        <v>2567</v>
      </c>
      <c r="C200" s="1957">
        <v>102200</v>
      </c>
      <c r="D200" s="1957">
        <v>82551.55</v>
      </c>
      <c r="E200" s="1488">
        <f t="shared" si="31"/>
        <v>80.774510763209392</v>
      </c>
      <c r="F200" s="1487">
        <f t="shared" si="30"/>
        <v>19648.449999999997</v>
      </c>
      <c r="G200" s="1957">
        <v>14882.71</v>
      </c>
      <c r="H200" s="1957">
        <v>18190.78</v>
      </c>
      <c r="I200" s="1957">
        <v>28042.1</v>
      </c>
      <c r="J200" s="1957">
        <v>29734.21</v>
      </c>
      <c r="K200" s="1957">
        <v>36655.53</v>
      </c>
      <c r="L200" s="1957">
        <v>40454.050000000003</v>
      </c>
      <c r="M200" s="1957">
        <v>51370.93</v>
      </c>
      <c r="N200" s="1957">
        <v>58166.67</v>
      </c>
      <c r="O200" s="1957">
        <v>71993.259999999995</v>
      </c>
      <c r="P200" s="1957">
        <v>77904.06</v>
      </c>
      <c r="Q200" s="1957">
        <v>79966.45</v>
      </c>
      <c r="R200" s="1957">
        <v>82551.55</v>
      </c>
    </row>
    <row r="201" spans="1:18" ht="15">
      <c r="A201" s="1485" t="s">
        <v>2568</v>
      </c>
      <c r="B201" s="1500" t="s">
        <v>2569</v>
      </c>
      <c r="C201" s="1957">
        <v>114950</v>
      </c>
      <c r="D201" s="1957">
        <v>113238.22</v>
      </c>
      <c r="E201" s="1488">
        <f t="shared" si="31"/>
        <v>98.510848194867336</v>
      </c>
      <c r="F201" s="1487">
        <f t="shared" si="30"/>
        <v>1711.7799999999988</v>
      </c>
      <c r="G201" s="1957">
        <v>35148.980000000003</v>
      </c>
      <c r="H201" s="1957">
        <v>38828.06</v>
      </c>
      <c r="I201" s="1957">
        <v>52711</v>
      </c>
      <c r="J201" s="1957">
        <v>58080.05</v>
      </c>
      <c r="K201" s="1957">
        <v>62425.61</v>
      </c>
      <c r="L201" s="1957">
        <v>70325.990000000005</v>
      </c>
      <c r="M201" s="1957">
        <v>71712.259999999995</v>
      </c>
      <c r="N201" s="1957">
        <v>80504.63</v>
      </c>
      <c r="O201" s="1957">
        <v>99387.99</v>
      </c>
      <c r="P201" s="1957">
        <v>105942.89</v>
      </c>
      <c r="Q201" s="1957">
        <v>115669.59</v>
      </c>
      <c r="R201" s="1957">
        <v>113238.22</v>
      </c>
    </row>
    <row r="202" spans="1:18" ht="15">
      <c r="A202" s="1485" t="s">
        <v>2570</v>
      </c>
      <c r="B202" s="1500" t="s">
        <v>2571</v>
      </c>
      <c r="C202" s="1957">
        <v>13500</v>
      </c>
      <c r="D202" s="1957">
        <v>6795.01</v>
      </c>
      <c r="E202" s="1488">
        <f t="shared" si="31"/>
        <v>50.333407407407407</v>
      </c>
      <c r="F202" s="1487">
        <f t="shared" si="30"/>
        <v>6704.99</v>
      </c>
      <c r="G202" s="1957">
        <v>22.16</v>
      </c>
      <c r="H202" s="1957">
        <v>376.98</v>
      </c>
      <c r="I202" s="1957">
        <v>5289.63</v>
      </c>
      <c r="J202" s="1957">
        <v>5425.02</v>
      </c>
      <c r="K202" s="1957">
        <v>5435.91</v>
      </c>
      <c r="L202" s="1957">
        <v>5446.8</v>
      </c>
      <c r="M202" s="1957">
        <v>5686.85</v>
      </c>
      <c r="N202" s="1957">
        <v>5885.51</v>
      </c>
      <c r="O202" s="1957">
        <v>5896.4</v>
      </c>
      <c r="P202" s="1957">
        <v>6090.67</v>
      </c>
      <c r="Q202" s="1957">
        <v>6111.93</v>
      </c>
      <c r="R202" s="1957">
        <v>6795.01</v>
      </c>
    </row>
    <row r="203" spans="1:18" ht="15">
      <c r="A203" s="1485" t="s">
        <v>2549</v>
      </c>
      <c r="B203" s="1500" t="s">
        <v>2572</v>
      </c>
      <c r="C203" s="1957">
        <v>9475</v>
      </c>
      <c r="D203" s="1957">
        <v>8827.31</v>
      </c>
      <c r="E203" s="1488">
        <f t="shared" si="31"/>
        <v>93.164221635883905</v>
      </c>
      <c r="F203" s="1487">
        <f t="shared" si="30"/>
        <v>647.69000000000051</v>
      </c>
      <c r="G203" s="1957">
        <v>4757.9399999999996</v>
      </c>
      <c r="H203" s="1957">
        <v>4913.87</v>
      </c>
      <c r="I203" s="1957">
        <v>4076.04</v>
      </c>
      <c r="J203" s="1957">
        <v>5797.29</v>
      </c>
      <c r="K203" s="1957">
        <v>7646.8</v>
      </c>
      <c r="L203" s="1957">
        <v>7725.65</v>
      </c>
      <c r="M203" s="1957">
        <v>8467.23</v>
      </c>
      <c r="N203" s="1957">
        <v>7634.81</v>
      </c>
      <c r="O203" s="1957">
        <v>6880.71</v>
      </c>
      <c r="P203" s="1957">
        <v>9523.0400000000009</v>
      </c>
      <c r="Q203" s="1957">
        <v>9966.07</v>
      </c>
      <c r="R203" s="1957">
        <v>8827.31</v>
      </c>
    </row>
    <row r="204" spans="1:18" ht="15">
      <c r="A204" s="3552" t="s">
        <v>2549</v>
      </c>
      <c r="B204" s="1500" t="s">
        <v>2573</v>
      </c>
      <c r="C204" s="1957">
        <v>54300</v>
      </c>
      <c r="D204" s="1957">
        <v>26773.09</v>
      </c>
      <c r="E204" s="1488">
        <f t="shared" si="31"/>
        <v>49.30587476979742</v>
      </c>
      <c r="F204" s="1487">
        <f t="shared" si="30"/>
        <v>27526.91</v>
      </c>
      <c r="G204" s="1957">
        <v>54182.34</v>
      </c>
      <c r="H204" s="1957">
        <v>4591.96</v>
      </c>
      <c r="I204" s="1957">
        <v>12231.96</v>
      </c>
      <c r="J204" s="1957">
        <v>14581.89</v>
      </c>
      <c r="K204" s="1957">
        <v>14591.89</v>
      </c>
      <c r="L204" s="1957">
        <v>15365.39</v>
      </c>
      <c r="M204" s="1957">
        <v>15560.13</v>
      </c>
      <c r="N204" s="1957">
        <v>20570.22</v>
      </c>
      <c r="O204" s="1957">
        <v>24251.11</v>
      </c>
      <c r="P204" s="1957">
        <v>25210.55</v>
      </c>
      <c r="Q204" s="1957">
        <v>25392.31</v>
      </c>
      <c r="R204" s="1957">
        <v>26773.09</v>
      </c>
    </row>
    <row r="205" spans="1:18" ht="15">
      <c r="A205" s="1515"/>
      <c r="B205" s="1516" t="s">
        <v>7206</v>
      </c>
      <c r="C205" s="1957">
        <v>655000</v>
      </c>
      <c r="D205" s="1957">
        <v>734631.66</v>
      </c>
      <c r="E205" s="1488"/>
      <c r="F205" s="1487">
        <f t="shared" si="30"/>
        <v>-79631.660000000033</v>
      </c>
      <c r="G205" s="1518">
        <v>0</v>
      </c>
      <c r="H205" s="1957">
        <v>113188.82</v>
      </c>
      <c r="I205" s="1957">
        <v>261784.21</v>
      </c>
      <c r="J205" s="1957">
        <v>282565.46999999997</v>
      </c>
      <c r="K205" s="1957">
        <v>333428.76</v>
      </c>
      <c r="L205" s="1957">
        <v>353071.65</v>
      </c>
      <c r="M205" s="1957">
        <v>397490.61</v>
      </c>
      <c r="N205" s="1957">
        <v>391089.42</v>
      </c>
      <c r="O205" s="1957">
        <v>496047.14</v>
      </c>
      <c r="P205" s="1957">
        <v>532372.23</v>
      </c>
      <c r="Q205" s="1957">
        <v>708619.68</v>
      </c>
      <c r="R205" s="1957">
        <v>734631.66</v>
      </c>
    </row>
    <row r="206" spans="1:18">
      <c r="A206" s="1539"/>
      <c r="B206" s="1540" t="s">
        <v>8</v>
      </c>
      <c r="C206" s="1513">
        <f>SUM(C182:C205)</f>
        <v>5263762</v>
      </c>
      <c r="D206" s="1513">
        <f t="shared" ref="D206:R206" si="32">SUM(D182:D205)</f>
        <v>5162057.5999999996</v>
      </c>
      <c r="E206" s="1513">
        <f t="shared" si="32"/>
        <v>1799.1637336903441</v>
      </c>
      <c r="F206" s="1513">
        <f t="shared" si="32"/>
        <v>101704.39999999997</v>
      </c>
      <c r="G206" s="1513">
        <f t="shared" si="32"/>
        <v>1757076.2099999997</v>
      </c>
      <c r="H206" s="1513">
        <f t="shared" si="32"/>
        <v>1992463.2800000005</v>
      </c>
      <c r="I206" s="1513">
        <f t="shared" si="32"/>
        <v>2618278.7800000003</v>
      </c>
      <c r="J206" s="1513">
        <f t="shared" si="32"/>
        <v>2999626.0999999996</v>
      </c>
      <c r="K206" s="1513">
        <f t="shared" si="32"/>
        <v>3234520.63</v>
      </c>
      <c r="L206" s="1513">
        <f t="shared" si="32"/>
        <v>3633886.83</v>
      </c>
      <c r="M206" s="1513">
        <f t="shared" si="32"/>
        <v>3803316.34</v>
      </c>
      <c r="N206" s="1513">
        <f t="shared" si="32"/>
        <v>4083931.7199999997</v>
      </c>
      <c r="O206" s="1513">
        <f t="shared" si="32"/>
        <v>4442527.0299999984</v>
      </c>
      <c r="P206" s="1513">
        <f t="shared" si="32"/>
        <v>4680061.6100000003</v>
      </c>
      <c r="Q206" s="1513">
        <f t="shared" si="32"/>
        <v>5098064.0199999996</v>
      </c>
      <c r="R206" s="1513">
        <f t="shared" si="32"/>
        <v>5162057.5999999996</v>
      </c>
    </row>
    <row r="207" spans="1:18">
      <c r="A207" s="1502"/>
      <c r="B207" s="1477"/>
      <c r="C207" s="1477"/>
      <c r="D207" s="1477"/>
      <c r="E207" s="1503"/>
      <c r="F207" s="1504">
        <f>F206/$C$176</f>
        <v>2.4169141500280291E-2</v>
      </c>
      <c r="G207" s="1504">
        <f t="shared" ref="G207:R207" si="33">G206/$C$176</f>
        <v>0.41755345438610536</v>
      </c>
      <c r="H207" s="1504">
        <f t="shared" si="33"/>
        <v>0.47349108739083673</v>
      </c>
      <c r="I207" s="1504">
        <f t="shared" si="33"/>
        <v>0.62221054665286135</v>
      </c>
      <c r="J207" s="1504">
        <f t="shared" si="33"/>
        <v>0.71283432829684779</v>
      </c>
      <c r="K207" s="1504">
        <f t="shared" si="33"/>
        <v>0.76865491357351079</v>
      </c>
      <c r="L207" s="1504">
        <f t="shared" si="33"/>
        <v>0.86356072097446146</v>
      </c>
      <c r="M207" s="1504">
        <f t="shared" si="33"/>
        <v>0.9038241294554431</v>
      </c>
      <c r="N207" s="1504">
        <f t="shared" si="33"/>
        <v>0.97050986602509914</v>
      </c>
      <c r="O207" s="1504">
        <f t="shared" si="33"/>
        <v>1.0557268358781915</v>
      </c>
      <c r="P207" s="1504">
        <f t="shared" si="33"/>
        <v>1.1121748054373226</v>
      </c>
      <c r="Q207" s="1504">
        <f t="shared" si="33"/>
        <v>1.2115093415512779</v>
      </c>
      <c r="R207" s="1504">
        <f t="shared" si="33"/>
        <v>1.22671684378451</v>
      </c>
    </row>
    <row r="209" spans="1:18">
      <c r="A209" s="1497">
        <v>2022</v>
      </c>
    </row>
    <row r="210" spans="1:18" ht="13.5" thickBot="1"/>
    <row r="211" spans="1:18" ht="13.5" thickBot="1">
      <c r="A211" s="1528" t="s">
        <v>2532</v>
      </c>
      <c r="B211" s="1529" t="s">
        <v>624</v>
      </c>
      <c r="C211" s="1529" t="s">
        <v>2574</v>
      </c>
      <c r="D211" s="1529" t="s">
        <v>2533</v>
      </c>
      <c r="E211" s="1529" t="s">
        <v>636</v>
      </c>
      <c r="F211" s="1529" t="s">
        <v>2534</v>
      </c>
      <c r="G211" s="1529" t="s">
        <v>2535</v>
      </c>
      <c r="H211" s="1529" t="s">
        <v>2536</v>
      </c>
      <c r="I211" s="1529" t="s">
        <v>2537</v>
      </c>
      <c r="J211" s="1529" t="s">
        <v>2538</v>
      </c>
      <c r="K211" s="1529" t="s">
        <v>720</v>
      </c>
      <c r="L211" s="1529" t="s">
        <v>2539</v>
      </c>
      <c r="M211" s="1529" t="s">
        <v>2540</v>
      </c>
      <c r="N211" s="1529" t="s">
        <v>965</v>
      </c>
      <c r="O211" s="1529" t="s">
        <v>2541</v>
      </c>
      <c r="P211" s="1529" t="s">
        <v>2542</v>
      </c>
      <c r="Q211" s="1529" t="s">
        <v>968</v>
      </c>
      <c r="R211" s="1530" t="s">
        <v>969</v>
      </c>
    </row>
    <row r="212" spans="1:18" ht="15">
      <c r="A212" s="1511" t="s">
        <v>2543</v>
      </c>
      <c r="B212" s="1498" t="s">
        <v>2544</v>
      </c>
      <c r="C212" s="1957">
        <v>40023</v>
      </c>
      <c r="D212" s="1957">
        <v>31005.95</v>
      </c>
      <c r="E212" s="1499">
        <f>D212/C212*100</f>
        <v>77.470329560502719</v>
      </c>
      <c r="F212" s="1507">
        <f>C212-D212</f>
        <v>9017.0499999999993</v>
      </c>
      <c r="G212" s="1957">
        <v>0</v>
      </c>
      <c r="H212" s="1957">
        <v>0</v>
      </c>
      <c r="I212" s="1957">
        <v>0</v>
      </c>
      <c r="J212" s="1957">
        <v>0</v>
      </c>
      <c r="K212" s="1957">
        <v>0</v>
      </c>
      <c r="L212" s="1957">
        <v>0</v>
      </c>
      <c r="M212" s="1957">
        <v>0</v>
      </c>
      <c r="N212" s="1957">
        <v>0</v>
      </c>
      <c r="O212" s="1957">
        <v>160.38</v>
      </c>
      <c r="P212" s="1957">
        <v>160.38</v>
      </c>
      <c r="Q212" s="1957">
        <v>160.38</v>
      </c>
      <c r="R212" s="1957">
        <v>31005.95</v>
      </c>
    </row>
    <row r="213" spans="1:18" ht="15">
      <c r="A213" s="1485" t="s">
        <v>2545</v>
      </c>
      <c r="B213" s="1500" t="s">
        <v>2546</v>
      </c>
      <c r="C213" s="1957">
        <v>10800</v>
      </c>
      <c r="D213" s="1957">
        <v>3371.07</v>
      </c>
      <c r="E213" s="1490">
        <f t="shared" ref="E213:E234" si="34">D213/C213*100</f>
        <v>31.21361111111111</v>
      </c>
      <c r="F213" s="1487">
        <f t="shared" ref="F213:F235" si="35">C213-D213</f>
        <v>7428.93</v>
      </c>
      <c r="G213" s="1957">
        <v>679.58</v>
      </c>
      <c r="H213" s="1957">
        <v>1399.67</v>
      </c>
      <c r="I213" s="1957">
        <v>1439.96</v>
      </c>
      <c r="J213" s="1957">
        <v>1439.96</v>
      </c>
      <c r="K213" s="1957">
        <v>1439.96</v>
      </c>
      <c r="L213" s="1957">
        <v>1676.84</v>
      </c>
      <c r="M213" s="1957">
        <v>1676.84</v>
      </c>
      <c r="N213" s="1957">
        <v>1676.84</v>
      </c>
      <c r="O213" s="1957">
        <v>1676.84</v>
      </c>
      <c r="P213" s="1957">
        <v>3371.07</v>
      </c>
      <c r="Q213" s="1957">
        <v>3371.07</v>
      </c>
      <c r="R213" s="1957">
        <v>3371.07</v>
      </c>
    </row>
    <row r="214" spans="1:18" ht="15">
      <c r="A214" s="1485" t="s">
        <v>2547</v>
      </c>
      <c r="B214" s="1500" t="s">
        <v>2548</v>
      </c>
      <c r="C214" s="1957">
        <v>8500</v>
      </c>
      <c r="D214" s="1957">
        <v>5909.47</v>
      </c>
      <c r="E214" s="1488">
        <f t="shared" si="34"/>
        <v>69.52317647058824</v>
      </c>
      <c r="F214" s="1487">
        <f t="shared" si="35"/>
        <v>2590.5299999999997</v>
      </c>
      <c r="G214" s="1957">
        <v>1518.04</v>
      </c>
      <c r="H214" s="1957">
        <v>1766.44</v>
      </c>
      <c r="I214" s="1957">
        <v>1928.94</v>
      </c>
      <c r="J214" s="1957">
        <v>2086.87</v>
      </c>
      <c r="K214" s="1957">
        <v>4311.78</v>
      </c>
      <c r="L214" s="1957">
        <v>4962.29</v>
      </c>
      <c r="M214" s="1957">
        <v>5092.34</v>
      </c>
      <c r="N214" s="1957">
        <v>5408.98</v>
      </c>
      <c r="O214" s="1957">
        <v>5734.82</v>
      </c>
      <c r="P214" s="1957">
        <v>5890.93</v>
      </c>
      <c r="Q214" s="1957">
        <v>5972.5</v>
      </c>
      <c r="R214" s="1957">
        <v>5909.47</v>
      </c>
    </row>
    <row r="215" spans="1:18" ht="15">
      <c r="A215" s="1485" t="s">
        <v>2549</v>
      </c>
      <c r="B215" s="1500" t="s">
        <v>2550</v>
      </c>
      <c r="C215" s="1957">
        <v>1197050</v>
      </c>
      <c r="D215" s="1957">
        <v>1165576.58</v>
      </c>
      <c r="E215" s="1488">
        <f t="shared" si="34"/>
        <v>97.370751430600237</v>
      </c>
      <c r="F215" s="1487">
        <f t="shared" si="35"/>
        <v>31473.419999999925</v>
      </c>
      <c r="G215" s="1957">
        <v>607283.1</v>
      </c>
      <c r="H215" s="1957">
        <v>656271.42000000004</v>
      </c>
      <c r="I215" s="1957">
        <v>687262.29</v>
      </c>
      <c r="J215" s="1957">
        <v>736079.11</v>
      </c>
      <c r="K215" s="1957">
        <v>772595.84</v>
      </c>
      <c r="L215" s="1957">
        <v>833487.82</v>
      </c>
      <c r="M215" s="1957">
        <v>856995.69</v>
      </c>
      <c r="N215" s="1957">
        <v>968732.28</v>
      </c>
      <c r="O215" s="1957">
        <v>1042982.87</v>
      </c>
      <c r="P215" s="1957">
        <v>1114778.75</v>
      </c>
      <c r="Q215" s="1957">
        <v>1154733.4099999999</v>
      </c>
      <c r="R215" s="1957">
        <v>1165576.58</v>
      </c>
    </row>
    <row r="216" spans="1:18" ht="15">
      <c r="A216" s="1485" t="s">
        <v>2549</v>
      </c>
      <c r="B216" s="1500" t="s">
        <v>2551</v>
      </c>
      <c r="C216" s="1957">
        <v>592035</v>
      </c>
      <c r="D216" s="1957">
        <v>623537.87</v>
      </c>
      <c r="E216" s="1488">
        <f t="shared" si="34"/>
        <v>105.32111615022761</v>
      </c>
      <c r="F216" s="1487">
        <f t="shared" si="35"/>
        <v>-31502.869999999995</v>
      </c>
      <c r="G216" s="1957">
        <v>135972.66</v>
      </c>
      <c r="H216" s="1957">
        <v>207635.4</v>
      </c>
      <c r="I216" s="1957">
        <v>260959.22</v>
      </c>
      <c r="J216" s="1957">
        <v>316483.34999999998</v>
      </c>
      <c r="K216" s="1957">
        <v>331989.59999999998</v>
      </c>
      <c r="L216" s="1957">
        <v>365390.16</v>
      </c>
      <c r="M216" s="1957">
        <v>386136.88</v>
      </c>
      <c r="N216" s="1957">
        <v>448507.65</v>
      </c>
      <c r="O216" s="1957">
        <v>518886.63</v>
      </c>
      <c r="P216" s="1957">
        <v>567265.93000000005</v>
      </c>
      <c r="Q216" s="1957">
        <v>602976.65</v>
      </c>
      <c r="R216" s="1957">
        <v>623537.87</v>
      </c>
    </row>
    <row r="217" spans="1:18" ht="15">
      <c r="A217" s="1485" t="s">
        <v>2549</v>
      </c>
      <c r="B217" s="1500" t="s">
        <v>2552</v>
      </c>
      <c r="C217" s="1957">
        <v>750000</v>
      </c>
      <c r="D217" s="1957">
        <v>801595.03</v>
      </c>
      <c r="E217" s="1488">
        <f t="shared" si="34"/>
        <v>106.87933733333335</v>
      </c>
      <c r="F217" s="1487">
        <f t="shared" si="35"/>
        <v>-51595.030000000028</v>
      </c>
      <c r="G217" s="1957">
        <v>742482.16</v>
      </c>
      <c r="H217" s="1957">
        <v>796302.03</v>
      </c>
      <c r="I217" s="1957">
        <v>798404.99</v>
      </c>
      <c r="J217" s="1957">
        <v>798404.99</v>
      </c>
      <c r="K217" s="1957">
        <v>785694.39</v>
      </c>
      <c r="L217" s="1957">
        <v>777333.02</v>
      </c>
      <c r="M217" s="1957">
        <v>780028.33</v>
      </c>
      <c r="N217" s="1957">
        <v>780077.34</v>
      </c>
      <c r="O217" s="1957">
        <v>773025.76</v>
      </c>
      <c r="P217" s="1957">
        <v>773025.76</v>
      </c>
      <c r="Q217" s="1957">
        <v>821639.43</v>
      </c>
      <c r="R217" s="1957">
        <v>801595.03</v>
      </c>
    </row>
    <row r="218" spans="1:18" ht="15">
      <c r="A218" s="1485" t="s">
        <v>2549</v>
      </c>
      <c r="B218" s="1500" t="s">
        <v>2553</v>
      </c>
      <c r="C218" s="1957">
        <v>2850</v>
      </c>
      <c r="D218" s="1957">
        <v>2823.78</v>
      </c>
      <c r="E218" s="1491">
        <f t="shared" si="34"/>
        <v>99.080000000000013</v>
      </c>
      <c r="F218" s="1487">
        <f t="shared" si="35"/>
        <v>26.2199999999998</v>
      </c>
      <c r="G218" s="1957">
        <v>532.4</v>
      </c>
      <c r="H218" s="1957">
        <v>1270.83</v>
      </c>
      <c r="I218" s="1957">
        <v>1362.77</v>
      </c>
      <c r="J218" s="1957">
        <v>1362.36</v>
      </c>
      <c r="K218" s="1957">
        <v>1377.12</v>
      </c>
      <c r="L218" s="1957">
        <v>1377.12</v>
      </c>
      <c r="M218" s="1957">
        <v>1290.68</v>
      </c>
      <c r="N218" s="1957">
        <v>1930.5</v>
      </c>
      <c r="O218" s="1957">
        <v>1975.84</v>
      </c>
      <c r="P218" s="1957">
        <v>2319.73</v>
      </c>
      <c r="Q218" s="1957">
        <v>2838.54</v>
      </c>
      <c r="R218" s="1957">
        <v>2823.78</v>
      </c>
    </row>
    <row r="219" spans="1:18" ht="15">
      <c r="A219" s="1485" t="s">
        <v>2554</v>
      </c>
      <c r="B219" s="1500" t="s">
        <v>2555</v>
      </c>
      <c r="C219" s="1957">
        <v>8600</v>
      </c>
      <c r="D219" s="1957">
        <v>3411.49</v>
      </c>
      <c r="E219" s="1491">
        <f t="shared" si="34"/>
        <v>39.668488372093016</v>
      </c>
      <c r="F219" s="1487">
        <f t="shared" si="35"/>
        <v>5188.51</v>
      </c>
      <c r="G219" s="1957">
        <v>1177.6600000000001</v>
      </c>
      <c r="H219" s="1957">
        <v>2757.26</v>
      </c>
      <c r="I219" s="1957">
        <v>2770.93</v>
      </c>
      <c r="J219" s="1957">
        <v>3082.49</v>
      </c>
      <c r="K219" s="1957">
        <v>4952.2299999999996</v>
      </c>
      <c r="L219" s="1957">
        <v>4952.2299999999996</v>
      </c>
      <c r="M219" s="1957">
        <v>4963.45</v>
      </c>
      <c r="N219" s="1957">
        <v>5109.8100000000004</v>
      </c>
      <c r="O219" s="1957">
        <v>5073.79</v>
      </c>
      <c r="P219" s="1957">
        <v>5073.79</v>
      </c>
      <c r="Q219" s="1957">
        <v>6236.28</v>
      </c>
      <c r="R219" s="1957">
        <v>3411.49</v>
      </c>
    </row>
    <row r="220" spans="1:18" ht="15">
      <c r="A220" s="1485" t="s">
        <v>2549</v>
      </c>
      <c r="B220" s="1500" t="s">
        <v>2556</v>
      </c>
      <c r="C220" s="1957">
        <v>27650</v>
      </c>
      <c r="D220" s="3744">
        <v>34326.14</v>
      </c>
      <c r="E220" s="1491">
        <f t="shared" si="34"/>
        <v>124.14517179023508</v>
      </c>
      <c r="F220" s="1487">
        <f t="shared" si="35"/>
        <v>-6676.1399999999994</v>
      </c>
      <c r="G220" s="3744">
        <v>2436.0500000000002</v>
      </c>
      <c r="H220" s="3744">
        <v>2472.42</v>
      </c>
      <c r="I220" s="3744">
        <v>2660.44</v>
      </c>
      <c r="J220" s="3744">
        <v>3607.28</v>
      </c>
      <c r="K220" s="3744">
        <v>10047.94</v>
      </c>
      <c r="L220" s="3744">
        <v>13032.33</v>
      </c>
      <c r="M220" s="3744">
        <v>14374.19</v>
      </c>
      <c r="N220" s="3744">
        <v>17612.13</v>
      </c>
      <c r="O220" s="3744">
        <v>18171.87</v>
      </c>
      <c r="P220" s="3744">
        <v>35349.65</v>
      </c>
      <c r="Q220" s="3744">
        <v>35114.15</v>
      </c>
      <c r="R220" s="3744">
        <v>34326.14</v>
      </c>
    </row>
    <row r="221" spans="1:18" ht="15">
      <c r="A221" s="1485" t="s">
        <v>2549</v>
      </c>
      <c r="B221" s="1500" t="s">
        <v>2557</v>
      </c>
      <c r="C221" s="1957">
        <v>489875</v>
      </c>
      <c r="D221" s="1957">
        <v>481506.11</v>
      </c>
      <c r="E221" s="1491">
        <f t="shared" si="34"/>
        <v>98.291627455983672</v>
      </c>
      <c r="F221" s="1487">
        <f t="shared" si="35"/>
        <v>8368.890000000014</v>
      </c>
      <c r="G221" s="1957">
        <v>70215.490000000005</v>
      </c>
      <c r="H221" s="1957">
        <v>113814.27</v>
      </c>
      <c r="I221" s="1957">
        <v>242769.66</v>
      </c>
      <c r="J221" s="1957">
        <v>266309.64</v>
      </c>
      <c r="K221" s="1957">
        <v>291207.45</v>
      </c>
      <c r="L221" s="1957">
        <v>315828.26</v>
      </c>
      <c r="M221" s="1957">
        <v>327913.44</v>
      </c>
      <c r="N221" s="1957">
        <v>347924.54</v>
      </c>
      <c r="O221" s="1957">
        <v>388157.4</v>
      </c>
      <c r="P221" s="1957">
        <v>429680.65</v>
      </c>
      <c r="Q221" s="1957">
        <v>473767.19</v>
      </c>
      <c r="R221" s="1957">
        <v>481506.11</v>
      </c>
    </row>
    <row r="222" spans="1:18" ht="15">
      <c r="A222" s="1485" t="s">
        <v>2549</v>
      </c>
      <c r="B222" s="1500" t="s">
        <v>2558</v>
      </c>
      <c r="C222" s="1957">
        <v>172564</v>
      </c>
      <c r="D222" s="1957">
        <v>159367.1</v>
      </c>
      <c r="E222" s="1491">
        <f t="shared" si="34"/>
        <v>92.352460536380704</v>
      </c>
      <c r="F222" s="1487">
        <f t="shared" si="35"/>
        <v>13196.899999999994</v>
      </c>
      <c r="G222" s="1957">
        <v>60066.12</v>
      </c>
      <c r="H222" s="1957">
        <v>60300.24</v>
      </c>
      <c r="I222" s="1957">
        <v>60906.17</v>
      </c>
      <c r="J222" s="1957">
        <v>74104.81</v>
      </c>
      <c r="K222" s="1957">
        <v>134529.39000000001</v>
      </c>
      <c r="L222" s="1957">
        <v>135873.51</v>
      </c>
      <c r="M222" s="1957">
        <v>139067.28</v>
      </c>
      <c r="N222" s="1957">
        <v>139257.13</v>
      </c>
      <c r="O222" s="1957">
        <v>139585.07999999999</v>
      </c>
      <c r="P222" s="1957">
        <v>152903.44</v>
      </c>
      <c r="Q222" s="1957">
        <v>158604.49</v>
      </c>
      <c r="R222" s="1957">
        <v>159367.1</v>
      </c>
    </row>
    <row r="223" spans="1:18" ht="15">
      <c r="A223" s="1485" t="s">
        <v>2559</v>
      </c>
      <c r="B223" s="1500" t="s">
        <v>2560</v>
      </c>
      <c r="C223" s="1957">
        <v>591800</v>
      </c>
      <c r="D223" s="1957">
        <v>475209.71</v>
      </c>
      <c r="E223" s="1491">
        <f t="shared" si="34"/>
        <v>80.29903852652923</v>
      </c>
      <c r="F223" s="1487">
        <f t="shared" si="35"/>
        <v>116590.28999999998</v>
      </c>
      <c r="G223" s="1957">
        <v>0</v>
      </c>
      <c r="H223" s="1957">
        <v>53622.81</v>
      </c>
      <c r="I223" s="1957">
        <v>96648.61</v>
      </c>
      <c r="J223" s="1957">
        <v>171060.31</v>
      </c>
      <c r="K223" s="1957">
        <v>201495.87</v>
      </c>
      <c r="L223" s="1957">
        <v>222808.99</v>
      </c>
      <c r="M223" s="1957">
        <v>222975.31</v>
      </c>
      <c r="N223" s="1957">
        <v>270220.79999999999</v>
      </c>
      <c r="O223" s="1957">
        <v>329307.62</v>
      </c>
      <c r="P223" s="1957">
        <v>370916.89</v>
      </c>
      <c r="Q223" s="1957">
        <v>374291.88</v>
      </c>
      <c r="R223" s="1957">
        <v>475209.71</v>
      </c>
    </row>
    <row r="224" spans="1:18" ht="15">
      <c r="A224" s="1485" t="s">
        <v>2549</v>
      </c>
      <c r="B224" s="1500" t="s">
        <v>1759</v>
      </c>
      <c r="C224" s="1957">
        <v>300050</v>
      </c>
      <c r="D224" s="1957">
        <v>265549.33</v>
      </c>
      <c r="E224" s="1491">
        <f t="shared" si="34"/>
        <v>88.501693051158142</v>
      </c>
      <c r="F224" s="1487">
        <f t="shared" si="35"/>
        <v>34500.669999999984</v>
      </c>
      <c r="G224" s="1957">
        <v>116605.94</v>
      </c>
      <c r="H224" s="1957">
        <v>221702.11</v>
      </c>
      <c r="I224" s="1957">
        <v>241234.79</v>
      </c>
      <c r="J224" s="1957">
        <v>236679.08</v>
      </c>
      <c r="K224" s="1957">
        <v>251846.92</v>
      </c>
      <c r="L224" s="1957">
        <v>259895.95</v>
      </c>
      <c r="M224" s="1957">
        <v>269071.25</v>
      </c>
      <c r="N224" s="1957">
        <v>280148.96999999997</v>
      </c>
      <c r="O224" s="1957">
        <v>316614.23</v>
      </c>
      <c r="P224" s="1957">
        <v>302521.55</v>
      </c>
      <c r="Q224" s="1957">
        <v>316518.90999999997</v>
      </c>
      <c r="R224" s="1957">
        <v>265549.33</v>
      </c>
    </row>
    <row r="225" spans="1:18" ht="15">
      <c r="A225" s="1485" t="s">
        <v>2549</v>
      </c>
      <c r="B225" s="1500" t="s">
        <v>2561</v>
      </c>
      <c r="C225" s="1957">
        <v>317830</v>
      </c>
      <c r="D225" s="1957">
        <v>318674.03000000003</v>
      </c>
      <c r="E225" s="1491">
        <f t="shared" si="34"/>
        <v>100.26556020514113</v>
      </c>
      <c r="F225" s="1487">
        <f t="shared" si="35"/>
        <v>-844.03000000002794</v>
      </c>
      <c r="G225" s="1957">
        <v>77508.710000000006</v>
      </c>
      <c r="H225" s="1957">
        <v>101504.91</v>
      </c>
      <c r="I225" s="1957">
        <v>117357.87</v>
      </c>
      <c r="J225" s="1957">
        <v>142339.53</v>
      </c>
      <c r="K225" s="1957">
        <v>180252.57</v>
      </c>
      <c r="L225" s="1957">
        <v>204385.16</v>
      </c>
      <c r="M225" s="1957">
        <v>209386.26</v>
      </c>
      <c r="N225" s="1957">
        <v>225564.84</v>
      </c>
      <c r="O225" s="1957">
        <v>277773.86</v>
      </c>
      <c r="P225" s="1957">
        <v>290554.25</v>
      </c>
      <c r="Q225" s="1957">
        <v>306486.49</v>
      </c>
      <c r="R225" s="1957">
        <v>318674.03000000003</v>
      </c>
    </row>
    <row r="226" spans="1:18" ht="15">
      <c r="A226" s="1485" t="s">
        <v>2562</v>
      </c>
      <c r="B226" s="1500" t="s">
        <v>2563</v>
      </c>
      <c r="C226" s="1957">
        <v>123000</v>
      </c>
      <c r="D226" s="1957">
        <v>147117.16</v>
      </c>
      <c r="E226" s="1491">
        <f t="shared" si="34"/>
        <v>119.60744715447156</v>
      </c>
      <c r="F226" s="1487">
        <f t="shared" si="35"/>
        <v>-24117.160000000003</v>
      </c>
      <c r="G226" s="1957">
        <v>28654.74</v>
      </c>
      <c r="H226" s="1957">
        <v>33817.230000000003</v>
      </c>
      <c r="I226" s="1957">
        <v>49017.41</v>
      </c>
      <c r="J226" s="1957">
        <v>56068.36</v>
      </c>
      <c r="K226" s="1957">
        <v>58273.79</v>
      </c>
      <c r="L226" s="1957">
        <v>59460.69</v>
      </c>
      <c r="M226" s="1957">
        <v>63960.79</v>
      </c>
      <c r="N226" s="1957">
        <v>75819.48</v>
      </c>
      <c r="O226" s="1957">
        <v>101021.32</v>
      </c>
      <c r="P226" s="1957">
        <v>96124.95</v>
      </c>
      <c r="Q226" s="1957">
        <v>106679.73</v>
      </c>
      <c r="R226" s="1957">
        <v>147117.16</v>
      </c>
    </row>
    <row r="227" spans="1:18" ht="15">
      <c r="A227" s="1485" t="s">
        <v>2549</v>
      </c>
      <c r="B227" s="1500" t="s">
        <v>2467</v>
      </c>
      <c r="C227" s="1957">
        <v>423295</v>
      </c>
      <c r="D227" s="1957">
        <v>401822.87</v>
      </c>
      <c r="E227" s="1491">
        <f t="shared" si="34"/>
        <v>94.927383975714335</v>
      </c>
      <c r="F227" s="1487">
        <f t="shared" si="35"/>
        <v>21472.130000000005</v>
      </c>
      <c r="G227" s="1957">
        <v>33748.400000000001</v>
      </c>
      <c r="H227" s="1957">
        <v>75120.77</v>
      </c>
      <c r="I227" s="1957">
        <v>108539.53</v>
      </c>
      <c r="J227" s="1957">
        <v>152890.70000000001</v>
      </c>
      <c r="K227" s="1957">
        <v>186042.31</v>
      </c>
      <c r="L227" s="1957">
        <v>212348.39</v>
      </c>
      <c r="M227" s="1957">
        <v>220413.92</v>
      </c>
      <c r="N227" s="1957">
        <v>277929.67</v>
      </c>
      <c r="O227" s="1957">
        <v>323816.40000000002</v>
      </c>
      <c r="P227" s="1957">
        <v>360431.67</v>
      </c>
      <c r="Q227" s="1957">
        <v>386127.08</v>
      </c>
      <c r="R227" s="1957">
        <v>401822.87</v>
      </c>
    </row>
    <row r="228" spans="1:18" ht="15">
      <c r="A228" s="1485" t="s">
        <v>2549</v>
      </c>
      <c r="B228" s="1500" t="s">
        <v>2564</v>
      </c>
      <c r="C228" s="1957">
        <v>77600</v>
      </c>
      <c r="D228" s="1957">
        <v>68976.2</v>
      </c>
      <c r="E228" s="1491">
        <f t="shared" si="34"/>
        <v>88.886855670103088</v>
      </c>
      <c r="F228" s="1487">
        <f t="shared" si="35"/>
        <v>8623.8000000000029</v>
      </c>
      <c r="G228" s="1957">
        <v>26401.03</v>
      </c>
      <c r="H228" s="1957">
        <v>33992.660000000003</v>
      </c>
      <c r="I228" s="1957">
        <v>36841.11</v>
      </c>
      <c r="J228" s="1957">
        <v>49881.59</v>
      </c>
      <c r="K228" s="1957">
        <v>55283.07</v>
      </c>
      <c r="L228" s="1957">
        <v>57830.92</v>
      </c>
      <c r="M228" s="1957">
        <v>58019.26</v>
      </c>
      <c r="N228" s="1957">
        <v>60805.35</v>
      </c>
      <c r="O228" s="1957">
        <v>67262.05</v>
      </c>
      <c r="P228" s="1957">
        <v>68182.12</v>
      </c>
      <c r="Q228" s="1957">
        <v>69272.570000000007</v>
      </c>
      <c r="R228" s="1957">
        <v>68976.2</v>
      </c>
    </row>
    <row r="229" spans="1:18" ht="15">
      <c r="A229" s="1485" t="s">
        <v>2565</v>
      </c>
      <c r="B229" s="1500" t="s">
        <v>2566</v>
      </c>
      <c r="C229" s="1957">
        <v>22500</v>
      </c>
      <c r="D229" s="1957">
        <v>31652.04</v>
      </c>
      <c r="E229" s="1488">
        <f t="shared" si="34"/>
        <v>140.67573333333334</v>
      </c>
      <c r="F229" s="1487">
        <f t="shared" si="35"/>
        <v>-9152.0400000000009</v>
      </c>
      <c r="G229" s="1957">
        <v>608.79999999999995</v>
      </c>
      <c r="H229" s="1957">
        <v>4016.75</v>
      </c>
      <c r="I229" s="1957">
        <v>4016.75</v>
      </c>
      <c r="J229" s="1957">
        <v>4027.89</v>
      </c>
      <c r="K229" s="1957">
        <v>14337.09</v>
      </c>
      <c r="L229" s="1957">
        <v>17337.09</v>
      </c>
      <c r="M229" s="1957">
        <v>17337.09</v>
      </c>
      <c r="N229" s="1957">
        <v>23337.09</v>
      </c>
      <c r="O229" s="1957">
        <v>23337.09</v>
      </c>
      <c r="P229" s="1957">
        <v>23337.09</v>
      </c>
      <c r="Q229" s="1957">
        <v>32260.84</v>
      </c>
      <c r="R229" s="1957">
        <v>31652.04</v>
      </c>
    </row>
    <row r="230" spans="1:18" ht="15">
      <c r="A230" s="1485" t="s">
        <v>2549</v>
      </c>
      <c r="B230" s="1500" t="s">
        <v>2567</v>
      </c>
      <c r="C230" s="1957">
        <v>172550</v>
      </c>
      <c r="D230" s="1957">
        <v>154991.32</v>
      </c>
      <c r="E230" s="1488">
        <f t="shared" si="34"/>
        <v>89.824004636337293</v>
      </c>
      <c r="F230" s="1487">
        <f t="shared" si="35"/>
        <v>17558.679999999993</v>
      </c>
      <c r="G230" s="1957">
        <v>14287.23</v>
      </c>
      <c r="H230" s="1957">
        <v>19421.71</v>
      </c>
      <c r="I230" s="1957">
        <v>23139.25</v>
      </c>
      <c r="J230" s="1957">
        <v>28244.39</v>
      </c>
      <c r="K230" s="1957">
        <v>31795.81</v>
      </c>
      <c r="L230" s="1957">
        <v>34480.019999999997</v>
      </c>
      <c r="M230" s="1957">
        <v>51244.17</v>
      </c>
      <c r="N230" s="1957">
        <v>61195.31</v>
      </c>
      <c r="O230" s="1957">
        <v>125064.78</v>
      </c>
      <c r="P230" s="1957">
        <v>131937.60000000001</v>
      </c>
      <c r="Q230" s="1957">
        <v>148310.07999999999</v>
      </c>
      <c r="R230" s="1957">
        <v>154991.32</v>
      </c>
    </row>
    <row r="231" spans="1:18" ht="15">
      <c r="A231" s="1485" t="s">
        <v>2568</v>
      </c>
      <c r="B231" s="1500" t="s">
        <v>2569</v>
      </c>
      <c r="C231" s="1957">
        <v>156650</v>
      </c>
      <c r="D231" s="1957">
        <v>150581.63</v>
      </c>
      <c r="E231" s="1488">
        <f t="shared" si="34"/>
        <v>96.126160229811688</v>
      </c>
      <c r="F231" s="1487">
        <f t="shared" si="35"/>
        <v>6068.3699999999953</v>
      </c>
      <c r="G231" s="1957">
        <v>32964.449999999997</v>
      </c>
      <c r="H231" s="1957">
        <v>38331.72</v>
      </c>
      <c r="I231" s="1957">
        <v>53298.720000000001</v>
      </c>
      <c r="J231" s="1957">
        <v>58663.86</v>
      </c>
      <c r="K231" s="1957">
        <v>63204.33</v>
      </c>
      <c r="L231" s="1957">
        <v>74419.759999999995</v>
      </c>
      <c r="M231" s="1957">
        <v>87693.78</v>
      </c>
      <c r="N231" s="1957">
        <v>92927.55</v>
      </c>
      <c r="O231" s="1957">
        <v>110450.93</v>
      </c>
      <c r="P231" s="1957">
        <v>129864.64</v>
      </c>
      <c r="Q231" s="1957">
        <v>144611.19</v>
      </c>
      <c r="R231" s="1957">
        <v>150581.63</v>
      </c>
    </row>
    <row r="232" spans="1:18" ht="15">
      <c r="A232" s="1485" t="s">
        <v>2570</v>
      </c>
      <c r="B232" s="1500" t="s">
        <v>2571</v>
      </c>
      <c r="C232" s="1957">
        <v>13750</v>
      </c>
      <c r="D232" s="1957">
        <v>4359.32</v>
      </c>
      <c r="E232" s="1488">
        <f t="shared" si="34"/>
        <v>31.704145454545451</v>
      </c>
      <c r="F232" s="1487">
        <f t="shared" si="35"/>
        <v>9390.68</v>
      </c>
      <c r="G232" s="1957">
        <v>56.09</v>
      </c>
      <c r="H232" s="1957">
        <v>148.41</v>
      </c>
      <c r="I232" s="1957">
        <v>2650.92</v>
      </c>
      <c r="J232" s="1957">
        <v>2674.99</v>
      </c>
      <c r="K232" s="1957">
        <v>2738.73</v>
      </c>
      <c r="L232" s="1957">
        <v>2861.43</v>
      </c>
      <c r="M232" s="1957">
        <v>2912.38</v>
      </c>
      <c r="N232" s="1957">
        <v>3070.42</v>
      </c>
      <c r="O232" s="1957">
        <v>4105.33</v>
      </c>
      <c r="P232" s="1957">
        <v>4173.3</v>
      </c>
      <c r="Q232" s="1957">
        <v>4286.99</v>
      </c>
      <c r="R232" s="1957">
        <v>4359.32</v>
      </c>
    </row>
    <row r="233" spans="1:18" ht="15">
      <c r="A233" s="1485" t="s">
        <v>2549</v>
      </c>
      <c r="B233" s="1500" t="s">
        <v>2572</v>
      </c>
      <c r="C233" s="1957">
        <v>29700</v>
      </c>
      <c r="D233" s="1957">
        <v>35775.129999999997</v>
      </c>
      <c r="E233" s="1488">
        <f t="shared" si="34"/>
        <v>120.45498316498315</v>
      </c>
      <c r="F233" s="1487">
        <f t="shared" si="35"/>
        <v>-6075.1299999999974</v>
      </c>
      <c r="G233" s="1957">
        <v>1751.24</v>
      </c>
      <c r="H233" s="1957">
        <v>30084.46</v>
      </c>
      <c r="I233" s="1957">
        <v>30654.9</v>
      </c>
      <c r="J233" s="1957">
        <v>30875.56</v>
      </c>
      <c r="K233" s="1957">
        <v>31202.17</v>
      </c>
      <c r="L233" s="1957">
        <v>31382.5</v>
      </c>
      <c r="M233" s="1957">
        <v>31669.040000000001</v>
      </c>
      <c r="N233" s="1957">
        <v>31889.7</v>
      </c>
      <c r="O233" s="1957">
        <v>33313.980000000003</v>
      </c>
      <c r="P233" s="1957">
        <v>34558.78</v>
      </c>
      <c r="Q233" s="1957">
        <v>36536.11</v>
      </c>
      <c r="R233" s="1957">
        <v>35775.129999999997</v>
      </c>
    </row>
    <row r="234" spans="1:18" ht="15">
      <c r="A234" s="3552" t="s">
        <v>2549</v>
      </c>
      <c r="B234" s="1500" t="s">
        <v>2573</v>
      </c>
      <c r="C234" s="1957">
        <v>41200</v>
      </c>
      <c r="D234" s="1957">
        <v>8910.89</v>
      </c>
      <c r="E234" s="1488">
        <f t="shared" si="34"/>
        <v>21.628373786407764</v>
      </c>
      <c r="F234" s="1487">
        <f t="shared" si="35"/>
        <v>32289.11</v>
      </c>
      <c r="G234" s="1957">
        <v>2813.37</v>
      </c>
      <c r="H234" s="1957">
        <v>2867.99</v>
      </c>
      <c r="I234" s="1957">
        <v>4228.49</v>
      </c>
      <c r="J234" s="1957">
        <v>5538.96</v>
      </c>
      <c r="K234" s="1957">
        <v>6012.4</v>
      </c>
      <c r="L234" s="1957">
        <v>6780.05</v>
      </c>
      <c r="M234" s="1957">
        <v>7513.05</v>
      </c>
      <c r="N234" s="1957">
        <v>8111.05</v>
      </c>
      <c r="O234" s="1957">
        <v>8141.05</v>
      </c>
      <c r="P234" s="1957">
        <v>8620.89</v>
      </c>
      <c r="Q234" s="1957">
        <v>8740.89</v>
      </c>
      <c r="R234" s="1957">
        <v>8910.89</v>
      </c>
    </row>
    <row r="235" spans="1:18" ht="15">
      <c r="A235" s="1515"/>
      <c r="B235" s="1516" t="s">
        <v>7206</v>
      </c>
      <c r="C235" s="1957">
        <v>384400</v>
      </c>
      <c r="D235" s="1957">
        <v>358740.23</v>
      </c>
      <c r="E235" s="1488"/>
      <c r="F235" s="1487">
        <f t="shared" si="35"/>
        <v>25659.770000000019</v>
      </c>
      <c r="G235" s="1957">
        <v>47236.97</v>
      </c>
      <c r="H235" s="1957">
        <v>68357.16</v>
      </c>
      <c r="I235" s="1957">
        <v>91530.72</v>
      </c>
      <c r="J235" s="1957">
        <v>122463.99</v>
      </c>
      <c r="K235" s="1957">
        <v>169418.22</v>
      </c>
      <c r="L235" s="1957">
        <v>177512.64</v>
      </c>
      <c r="M235" s="1957">
        <v>188835</v>
      </c>
      <c r="N235" s="1957">
        <v>194905.35</v>
      </c>
      <c r="O235" s="1957">
        <v>203890.23</v>
      </c>
      <c r="P235" s="1957">
        <v>240902.47</v>
      </c>
      <c r="Q235" s="1957">
        <v>314738.39</v>
      </c>
      <c r="R235" s="1957">
        <v>358740.23</v>
      </c>
    </row>
    <row r="236" spans="1:18">
      <c r="A236" s="1539"/>
      <c r="B236" s="1540" t="s">
        <v>8</v>
      </c>
      <c r="C236" s="1513">
        <f>SUM(C212:C235)</f>
        <v>5954272</v>
      </c>
      <c r="D236" s="1513">
        <f t="shared" ref="D236:R236" si="36">SUM(D212:D235)</f>
        <v>5734790.4500000011</v>
      </c>
      <c r="E236" s="1513">
        <f t="shared" si="36"/>
        <v>2014.2174493995917</v>
      </c>
      <c r="F236" s="1513">
        <f t="shared" si="36"/>
        <v>219481.54999999987</v>
      </c>
      <c r="G236" s="1513">
        <f t="shared" si="36"/>
        <v>2005000.23</v>
      </c>
      <c r="H236" s="1513">
        <f t="shared" si="36"/>
        <v>2526978.6700000009</v>
      </c>
      <c r="I236" s="1513">
        <f t="shared" si="36"/>
        <v>2919624.44</v>
      </c>
      <c r="J236" s="1513">
        <f t="shared" si="36"/>
        <v>3264370.0700000008</v>
      </c>
      <c r="K236" s="1513">
        <f t="shared" si="36"/>
        <v>3590048.98</v>
      </c>
      <c r="L236" s="1513">
        <f t="shared" si="36"/>
        <v>3815417.1700000004</v>
      </c>
      <c r="M236" s="1513">
        <f t="shared" si="36"/>
        <v>3948570.4199999985</v>
      </c>
      <c r="N236" s="1513">
        <f t="shared" si="36"/>
        <v>4322162.7799999993</v>
      </c>
      <c r="O236" s="1513">
        <f t="shared" si="36"/>
        <v>4819530.1500000004</v>
      </c>
      <c r="P236" s="1513">
        <f t="shared" si="36"/>
        <v>5151946.2799999993</v>
      </c>
      <c r="Q236" s="1513">
        <f t="shared" si="36"/>
        <v>5514275.2400000012</v>
      </c>
      <c r="R236" s="1513">
        <f t="shared" si="36"/>
        <v>5734790.4500000011</v>
      </c>
    </row>
    <row r="237" spans="1:18">
      <c r="A237" s="1502"/>
      <c r="B237" s="1477"/>
      <c r="C237" s="1477"/>
      <c r="D237" s="1477"/>
      <c r="E237" s="1503"/>
      <c r="F237" s="1504">
        <f>F236/$C$236</f>
        <v>3.686118974746197E-2</v>
      </c>
      <c r="G237" s="1504">
        <f t="shared" ref="G237:R237" si="37">G236/$C$176</f>
        <v>0.47647038148757126</v>
      </c>
      <c r="H237" s="1504">
        <f t="shared" si="37"/>
        <v>0.60051389166466873</v>
      </c>
      <c r="I237" s="1504">
        <f t="shared" si="37"/>
        <v>0.69382264895163459</v>
      </c>
      <c r="J237" s="1504">
        <f t="shared" si="37"/>
        <v>0.77574836615829712</v>
      </c>
      <c r="K237" s="1504">
        <f t="shared" si="37"/>
        <v>0.85314304779888528</v>
      </c>
      <c r="L237" s="1504">
        <f t="shared" si="37"/>
        <v>0.90669978353275782</v>
      </c>
      <c r="M237" s="1504">
        <f t="shared" si="37"/>
        <v>0.93834246310681912</v>
      </c>
      <c r="N237" s="1504">
        <f t="shared" si="37"/>
        <v>1.02712334783023</v>
      </c>
      <c r="O237" s="1504">
        <f t="shared" si="37"/>
        <v>1.1453182572260112</v>
      </c>
      <c r="P237" s="1504">
        <f t="shared" si="37"/>
        <v>1.2243139789739941</v>
      </c>
      <c r="Q237" s="1504">
        <f t="shared" si="37"/>
        <v>1.3104182173736054</v>
      </c>
      <c r="R237" s="1504">
        <f t="shared" si="37"/>
        <v>1.3628216857924156</v>
      </c>
    </row>
    <row r="240" spans="1:18">
      <c r="A240" s="1497">
        <v>2023</v>
      </c>
    </row>
    <row r="241" spans="1:18" ht="13.5" thickBot="1"/>
    <row r="242" spans="1:18" ht="13.5" thickBot="1">
      <c r="A242" s="1528" t="s">
        <v>2532</v>
      </c>
      <c r="B242" s="1529" t="s">
        <v>624</v>
      </c>
      <c r="C242" s="1529" t="s">
        <v>2574</v>
      </c>
      <c r="D242" s="1529" t="s">
        <v>2533</v>
      </c>
      <c r="E242" s="1529" t="s">
        <v>636</v>
      </c>
      <c r="F242" s="1529" t="s">
        <v>2534</v>
      </c>
      <c r="G242" s="1529" t="s">
        <v>2535</v>
      </c>
      <c r="H242" s="1529" t="s">
        <v>2536</v>
      </c>
      <c r="I242" s="1529" t="s">
        <v>2537</v>
      </c>
      <c r="J242" s="1529" t="s">
        <v>2538</v>
      </c>
      <c r="K242" s="1529" t="s">
        <v>720</v>
      </c>
      <c r="L242" s="1529" t="s">
        <v>2539</v>
      </c>
      <c r="M242" s="1529" t="s">
        <v>2540</v>
      </c>
      <c r="N242" s="1529" t="s">
        <v>965</v>
      </c>
      <c r="O242" s="1529" t="s">
        <v>2541</v>
      </c>
      <c r="P242" s="1529" t="s">
        <v>2542</v>
      </c>
      <c r="Q242" s="1529" t="s">
        <v>968</v>
      </c>
      <c r="R242" s="1530" t="s">
        <v>969</v>
      </c>
    </row>
    <row r="243" spans="1:18" ht="15">
      <c r="A243" s="1511" t="s">
        <v>2543</v>
      </c>
      <c r="B243" s="1498" t="s">
        <v>2544</v>
      </c>
      <c r="C243" s="1957">
        <v>49429</v>
      </c>
      <c r="D243" s="1957">
        <v>0</v>
      </c>
      <c r="E243" s="1499">
        <f>D243/C243*100</f>
        <v>0</v>
      </c>
      <c r="F243" s="1507">
        <f>C243-D243</f>
        <v>49429</v>
      </c>
      <c r="G243" s="1957">
        <v>0</v>
      </c>
      <c r="H243" s="1957">
        <v>0</v>
      </c>
      <c r="I243" s="1957"/>
      <c r="J243" s="1957"/>
      <c r="K243" s="1957"/>
      <c r="L243" s="1957"/>
      <c r="M243" s="1957"/>
      <c r="N243" s="1957"/>
      <c r="O243" s="1957"/>
      <c r="P243" s="1957"/>
      <c r="Q243" s="1957"/>
      <c r="R243" s="1957"/>
    </row>
    <row r="244" spans="1:18" ht="15">
      <c r="A244" s="1485" t="s">
        <v>2545</v>
      </c>
      <c r="B244" s="1500" t="s">
        <v>2546</v>
      </c>
      <c r="C244" s="1957">
        <v>10790</v>
      </c>
      <c r="D244" s="1957">
        <v>1432.91</v>
      </c>
      <c r="E244" s="1490">
        <f t="shared" ref="E244:E266" si="38">D244/C244*100</f>
        <v>13.279981464318816</v>
      </c>
      <c r="F244" s="1487">
        <f t="shared" ref="F244:F266" si="39">C244-D244</f>
        <v>9357.09</v>
      </c>
      <c r="G244" s="1957">
        <v>1394.58</v>
      </c>
      <c r="H244" s="1957">
        <v>1432.91</v>
      </c>
      <c r="I244" s="1957"/>
      <c r="J244" s="1957"/>
      <c r="K244" s="1957"/>
      <c r="L244" s="1957"/>
      <c r="M244" s="1957"/>
      <c r="N244" s="1957"/>
      <c r="O244" s="1957"/>
      <c r="P244" s="1957"/>
      <c r="Q244" s="1957"/>
      <c r="R244" s="1957"/>
    </row>
    <row r="245" spans="1:18" ht="15">
      <c r="A245" s="1485" t="s">
        <v>2547</v>
      </c>
      <c r="B245" s="1500" t="s">
        <v>2548</v>
      </c>
      <c r="C245" s="1957">
        <v>7896</v>
      </c>
      <c r="D245" s="1957">
        <v>4028.97</v>
      </c>
      <c r="E245" s="1488">
        <f t="shared" si="38"/>
        <v>51.025455927051667</v>
      </c>
      <c r="F245" s="1487">
        <f t="shared" si="39"/>
        <v>3867.03</v>
      </c>
      <c r="G245" s="1957">
        <v>3795.29</v>
      </c>
      <c r="H245" s="1957">
        <v>4028.97</v>
      </c>
      <c r="I245" s="1957"/>
      <c r="J245" s="1957"/>
      <c r="K245" s="1957"/>
      <c r="L245" s="1957"/>
      <c r="M245" s="1957"/>
      <c r="N245" s="1957"/>
      <c r="O245" s="1957"/>
      <c r="P245" s="1957"/>
      <c r="Q245" s="1957"/>
      <c r="R245" s="1957"/>
    </row>
    <row r="246" spans="1:18" ht="15">
      <c r="A246" s="1485" t="s">
        <v>2549</v>
      </c>
      <c r="B246" s="1500" t="s">
        <v>2550</v>
      </c>
      <c r="C246" s="1957">
        <v>1211830</v>
      </c>
      <c r="D246" s="1957">
        <v>1117808.92</v>
      </c>
      <c r="E246" s="1488">
        <f t="shared" si="38"/>
        <v>92.241396895604169</v>
      </c>
      <c r="F246" s="1487">
        <f t="shared" si="39"/>
        <v>94021.080000000075</v>
      </c>
      <c r="G246" s="1957">
        <v>1034804.86</v>
      </c>
      <c r="H246" s="1957">
        <v>1117808.92</v>
      </c>
      <c r="I246" s="1957"/>
      <c r="J246" s="1957"/>
      <c r="K246" s="1957"/>
      <c r="L246" s="1957"/>
      <c r="M246" s="1957"/>
      <c r="N246" s="1957"/>
      <c r="O246" s="1957"/>
      <c r="P246" s="1957"/>
      <c r="Q246" s="1957"/>
      <c r="R246" s="1957"/>
    </row>
    <row r="247" spans="1:18" ht="15">
      <c r="A247" s="1485" t="s">
        <v>2549</v>
      </c>
      <c r="B247" s="1500" t="s">
        <v>2551</v>
      </c>
      <c r="C247" s="1957">
        <v>624215</v>
      </c>
      <c r="D247" s="1957">
        <v>268513.09999999998</v>
      </c>
      <c r="E247" s="1488">
        <f t="shared" si="38"/>
        <v>43.016124252060585</v>
      </c>
      <c r="F247" s="1487">
        <f t="shared" si="39"/>
        <v>355701.9</v>
      </c>
      <c r="G247" s="1957">
        <v>210373.7</v>
      </c>
      <c r="H247" s="1957">
        <v>268513.09999999998</v>
      </c>
      <c r="I247" s="1957"/>
      <c r="J247" s="1957"/>
      <c r="K247" s="1957"/>
      <c r="L247" s="1957"/>
      <c r="M247" s="1957"/>
      <c r="N247" s="1957"/>
      <c r="O247" s="1957"/>
      <c r="P247" s="1957"/>
      <c r="Q247" s="1957"/>
      <c r="R247" s="1957"/>
    </row>
    <row r="248" spans="1:18" ht="15">
      <c r="A248" s="1485" t="s">
        <v>2549</v>
      </c>
      <c r="B248" s="1500" t="s">
        <v>2552</v>
      </c>
      <c r="C248" s="1957">
        <v>806500</v>
      </c>
      <c r="D248" s="1957">
        <v>824631.76</v>
      </c>
      <c r="E248" s="1488">
        <f t="shared" si="38"/>
        <v>102.24820334779913</v>
      </c>
      <c r="F248" s="1487">
        <f t="shared" si="39"/>
        <v>-18131.760000000009</v>
      </c>
      <c r="G248" s="1957">
        <v>800265.16</v>
      </c>
      <c r="H248" s="1957">
        <v>824631.76</v>
      </c>
      <c r="I248" s="1957"/>
      <c r="J248" s="1957"/>
      <c r="K248" s="1957"/>
      <c r="L248" s="1957"/>
      <c r="M248" s="1957"/>
      <c r="N248" s="1957"/>
      <c r="O248" s="1957"/>
      <c r="P248" s="1957"/>
      <c r="Q248" s="1957"/>
      <c r="R248" s="1957"/>
    </row>
    <row r="249" spans="1:18" ht="15">
      <c r="A249" s="1485" t="s">
        <v>2549</v>
      </c>
      <c r="B249" s="1500" t="s">
        <v>2553</v>
      </c>
      <c r="C249" s="1957">
        <v>2857</v>
      </c>
      <c r="D249" s="1957">
        <v>1857.4</v>
      </c>
      <c r="E249" s="1491">
        <f t="shared" si="38"/>
        <v>65.012250612530636</v>
      </c>
      <c r="F249" s="1487">
        <f t="shared" si="39"/>
        <v>999.59999999999991</v>
      </c>
      <c r="G249" s="1957">
        <v>1857.4</v>
      </c>
      <c r="H249" s="1957">
        <v>1857.4</v>
      </c>
      <c r="I249" s="1957"/>
      <c r="J249" s="1957"/>
      <c r="K249" s="1957"/>
      <c r="L249" s="1957"/>
      <c r="M249" s="1957"/>
      <c r="N249" s="1957"/>
      <c r="O249" s="1957"/>
      <c r="P249" s="1957"/>
      <c r="Q249" s="1957"/>
      <c r="R249" s="1957"/>
    </row>
    <row r="250" spans="1:18" ht="15">
      <c r="A250" s="1485" t="s">
        <v>2554</v>
      </c>
      <c r="B250" s="1500" t="s">
        <v>2555</v>
      </c>
      <c r="C250" s="1957">
        <v>8875</v>
      </c>
      <c r="D250" s="1957">
        <v>5284.91</v>
      </c>
      <c r="E250" s="1491">
        <f t="shared" si="38"/>
        <v>59.548281690140847</v>
      </c>
      <c r="F250" s="1487">
        <f t="shared" si="39"/>
        <v>3590.09</v>
      </c>
      <c r="G250" s="1957">
        <v>3283.06</v>
      </c>
      <c r="H250" s="1957">
        <v>5284.91</v>
      </c>
      <c r="I250" s="1957"/>
      <c r="J250" s="1957"/>
      <c r="K250" s="1957"/>
      <c r="L250" s="1957"/>
      <c r="M250" s="1957"/>
      <c r="N250" s="1957"/>
      <c r="O250" s="1957"/>
      <c r="P250" s="1957"/>
      <c r="Q250" s="1957"/>
      <c r="R250" s="1957"/>
    </row>
    <row r="251" spans="1:18" ht="15">
      <c r="A251" s="1485" t="s">
        <v>2549</v>
      </c>
      <c r="B251" s="1500" t="s">
        <v>2556</v>
      </c>
      <c r="C251" s="1957">
        <v>23354</v>
      </c>
      <c r="D251" s="3744">
        <v>1636.8</v>
      </c>
      <c r="E251" s="1491">
        <f t="shared" si="38"/>
        <v>7.0086494818874705</v>
      </c>
      <c r="F251" s="1487">
        <f t="shared" si="39"/>
        <v>21717.200000000001</v>
      </c>
      <c r="G251" s="3744">
        <v>1591.8</v>
      </c>
      <c r="H251" s="3744">
        <v>1636.8</v>
      </c>
      <c r="I251" s="3744"/>
      <c r="J251" s="3744"/>
      <c r="K251" s="3744"/>
      <c r="L251" s="3744"/>
      <c r="M251" s="3744"/>
      <c r="N251" s="3744"/>
      <c r="O251" s="3744"/>
      <c r="P251" s="3744"/>
      <c r="Q251" s="3744"/>
      <c r="R251" s="3744"/>
    </row>
    <row r="252" spans="1:18" ht="15">
      <c r="A252" s="1485" t="s">
        <v>2549</v>
      </c>
      <c r="B252" s="1500" t="s">
        <v>2557</v>
      </c>
      <c r="C252" s="1957">
        <v>493097</v>
      </c>
      <c r="D252" s="1957">
        <v>262320.03000000003</v>
      </c>
      <c r="E252" s="1491">
        <f t="shared" si="38"/>
        <v>53.198463993899779</v>
      </c>
      <c r="F252" s="1487">
        <f t="shared" si="39"/>
        <v>230776.96999999997</v>
      </c>
      <c r="G252" s="1957">
        <v>168295.17</v>
      </c>
      <c r="H252" s="1957">
        <v>262320.03000000003</v>
      </c>
      <c r="I252" s="1957"/>
      <c r="J252" s="1957"/>
      <c r="K252" s="1957"/>
      <c r="L252" s="1957"/>
      <c r="M252" s="1957"/>
      <c r="N252" s="1957"/>
      <c r="O252" s="1957"/>
      <c r="P252" s="1957"/>
      <c r="Q252" s="1957"/>
      <c r="R252" s="1957"/>
    </row>
    <row r="253" spans="1:18" ht="15">
      <c r="A253" s="1485" t="s">
        <v>2549</v>
      </c>
      <c r="B253" s="1500" t="s">
        <v>2558</v>
      </c>
      <c r="C253" s="1957">
        <v>162125</v>
      </c>
      <c r="D253" s="1957">
        <v>132274.41</v>
      </c>
      <c r="E253" s="1491">
        <f t="shared" si="38"/>
        <v>81.587916730917513</v>
      </c>
      <c r="F253" s="1487">
        <f t="shared" si="39"/>
        <v>29850.589999999997</v>
      </c>
      <c r="G253" s="1957">
        <v>118516.94</v>
      </c>
      <c r="H253" s="1957">
        <v>132274.41</v>
      </c>
      <c r="I253" s="1957"/>
      <c r="J253" s="1957"/>
      <c r="K253" s="1957"/>
      <c r="L253" s="1957"/>
      <c r="M253" s="1957"/>
      <c r="N253" s="1957"/>
      <c r="O253" s="1957"/>
      <c r="P253" s="1957"/>
      <c r="Q253" s="1957"/>
      <c r="R253" s="1957"/>
    </row>
    <row r="254" spans="1:18" ht="15">
      <c r="A254" s="1485" t="s">
        <v>2559</v>
      </c>
      <c r="B254" s="1500" t="s">
        <v>2560</v>
      </c>
      <c r="C254" s="1957">
        <v>601890</v>
      </c>
      <c r="D254" s="1957">
        <v>351430.59</v>
      </c>
      <c r="E254" s="1491">
        <f t="shared" si="38"/>
        <v>58.387843293625089</v>
      </c>
      <c r="F254" s="1487">
        <f t="shared" si="39"/>
        <v>250459.40999999997</v>
      </c>
      <c r="G254" s="1957">
        <v>347558.59</v>
      </c>
      <c r="H254" s="1957">
        <v>351430.59</v>
      </c>
      <c r="I254" s="1957"/>
      <c r="J254" s="1957"/>
      <c r="K254" s="1957"/>
      <c r="L254" s="1957"/>
      <c r="M254" s="1957"/>
      <c r="N254" s="1957"/>
      <c r="O254" s="1957"/>
      <c r="P254" s="1957"/>
      <c r="Q254" s="1957"/>
      <c r="R254" s="1957"/>
    </row>
    <row r="255" spans="1:18" ht="15">
      <c r="A255" s="1485" t="s">
        <v>2549</v>
      </c>
      <c r="B255" s="1500" t="s">
        <v>1759</v>
      </c>
      <c r="C255" s="1957">
        <v>308272</v>
      </c>
      <c r="D255" s="1957">
        <v>104587.73</v>
      </c>
      <c r="E255" s="1491">
        <f t="shared" si="38"/>
        <v>33.927093605646959</v>
      </c>
      <c r="F255" s="1487">
        <f t="shared" si="39"/>
        <v>203684.27000000002</v>
      </c>
      <c r="G255" s="1957">
        <v>41563.17</v>
      </c>
      <c r="H255" s="1957">
        <v>104587.73</v>
      </c>
      <c r="I255" s="1957"/>
      <c r="J255" s="1957"/>
      <c r="K255" s="1957"/>
      <c r="L255" s="1957"/>
      <c r="M255" s="1957"/>
      <c r="N255" s="1957"/>
      <c r="O255" s="1957"/>
      <c r="P255" s="1957"/>
      <c r="Q255" s="1957"/>
      <c r="R255" s="1957"/>
    </row>
    <row r="256" spans="1:18" ht="15">
      <c r="A256" s="1485" t="s">
        <v>2549</v>
      </c>
      <c r="B256" s="1500" t="s">
        <v>2561</v>
      </c>
      <c r="C256" s="1957">
        <v>312533</v>
      </c>
      <c r="D256" s="1957">
        <v>176267.98</v>
      </c>
      <c r="E256" s="1491">
        <f t="shared" si="38"/>
        <v>56.399797781354287</v>
      </c>
      <c r="F256" s="1487">
        <f t="shared" si="39"/>
        <v>136265.01999999999</v>
      </c>
      <c r="G256" s="1957">
        <v>167146.20000000001</v>
      </c>
      <c r="H256" s="1957">
        <v>176267.98</v>
      </c>
      <c r="I256" s="1957"/>
      <c r="J256" s="1957"/>
      <c r="K256" s="1957"/>
      <c r="L256" s="1957"/>
      <c r="M256" s="1957"/>
      <c r="N256" s="1957"/>
      <c r="O256" s="1957"/>
      <c r="P256" s="1957"/>
      <c r="Q256" s="1957"/>
      <c r="R256" s="1957"/>
    </row>
    <row r="257" spans="1:18" ht="15">
      <c r="A257" s="1485" t="s">
        <v>2562</v>
      </c>
      <c r="B257" s="1500" t="s">
        <v>2563</v>
      </c>
      <c r="C257" s="1957">
        <v>129050</v>
      </c>
      <c r="D257" s="1957">
        <v>60843.76</v>
      </c>
      <c r="E257" s="1491">
        <f t="shared" si="38"/>
        <v>47.147431228206123</v>
      </c>
      <c r="F257" s="1487">
        <f t="shared" si="39"/>
        <v>68206.239999999991</v>
      </c>
      <c r="G257" s="1957">
        <v>38862.269999999997</v>
      </c>
      <c r="H257" s="1957">
        <v>60843.76</v>
      </c>
      <c r="I257" s="1957"/>
      <c r="J257" s="1957"/>
      <c r="K257" s="1957"/>
      <c r="L257" s="1957"/>
      <c r="M257" s="1957"/>
      <c r="N257" s="1957"/>
      <c r="O257" s="1957"/>
      <c r="P257" s="1957"/>
      <c r="Q257" s="1957"/>
      <c r="R257" s="1957"/>
    </row>
    <row r="258" spans="1:18" ht="15">
      <c r="A258" s="1485" t="s">
        <v>2549</v>
      </c>
      <c r="B258" s="1500" t="s">
        <v>2467</v>
      </c>
      <c r="C258" s="1957">
        <v>417243</v>
      </c>
      <c r="D258" s="1957">
        <v>277407.32</v>
      </c>
      <c r="E258" s="1491">
        <f t="shared" si="38"/>
        <v>66.485793650223016</v>
      </c>
      <c r="F258" s="1487">
        <f t="shared" si="39"/>
        <v>139835.68</v>
      </c>
      <c r="G258" s="1957">
        <v>246724.74</v>
      </c>
      <c r="H258" s="1957">
        <v>277407.32</v>
      </c>
      <c r="I258" s="1957"/>
      <c r="J258" s="1957"/>
      <c r="K258" s="1957"/>
      <c r="L258" s="1957"/>
      <c r="M258" s="1957"/>
      <c r="N258" s="1957"/>
      <c r="O258" s="1957"/>
      <c r="P258" s="1957"/>
      <c r="Q258" s="1957"/>
      <c r="R258" s="1957"/>
    </row>
    <row r="259" spans="1:18" ht="15">
      <c r="A259" s="1485" t="s">
        <v>2549</v>
      </c>
      <c r="B259" s="1500" t="s">
        <v>2564</v>
      </c>
      <c r="C259" s="1957">
        <v>80142</v>
      </c>
      <c r="D259" s="1957">
        <v>50522.58</v>
      </c>
      <c r="E259" s="1491">
        <f t="shared" si="38"/>
        <v>63.041326645204762</v>
      </c>
      <c r="F259" s="1487">
        <f t="shared" si="39"/>
        <v>29619.42</v>
      </c>
      <c r="G259" s="1957">
        <v>35862.1</v>
      </c>
      <c r="H259" s="1957">
        <v>50522.58</v>
      </c>
      <c r="I259" s="1957"/>
      <c r="J259" s="1957"/>
      <c r="K259" s="1957"/>
      <c r="L259" s="1957"/>
      <c r="M259" s="1957"/>
      <c r="N259" s="1957"/>
      <c r="O259" s="1957"/>
      <c r="P259" s="1957"/>
      <c r="Q259" s="1957"/>
      <c r="R259" s="1957"/>
    </row>
    <row r="260" spans="1:18" ht="15">
      <c r="A260" s="1485" t="s">
        <v>2565</v>
      </c>
      <c r="B260" s="1500" t="s">
        <v>2566</v>
      </c>
      <c r="C260" s="1957">
        <v>23625</v>
      </c>
      <c r="D260" s="1957">
        <v>38459.56</v>
      </c>
      <c r="E260" s="1488">
        <f t="shared" si="38"/>
        <v>162.79178835978837</v>
      </c>
      <c r="F260" s="1487">
        <f t="shared" si="39"/>
        <v>-14834.559999999998</v>
      </c>
      <c r="G260" s="1957">
        <v>33629.99</v>
      </c>
      <c r="H260" s="1957">
        <v>38459.56</v>
      </c>
      <c r="I260" s="1957"/>
      <c r="J260" s="1957"/>
      <c r="K260" s="1957"/>
      <c r="L260" s="1957"/>
      <c r="M260" s="1957"/>
      <c r="N260" s="1957"/>
      <c r="O260" s="1957"/>
      <c r="P260" s="1957"/>
      <c r="Q260" s="1957"/>
      <c r="R260" s="1957"/>
    </row>
    <row r="261" spans="1:18" ht="15">
      <c r="A261" s="1485" t="s">
        <v>2549</v>
      </c>
      <c r="B261" s="1500" t="s">
        <v>2567</v>
      </c>
      <c r="C261" s="1957">
        <v>156938</v>
      </c>
      <c r="D261" s="1957">
        <v>130953.22</v>
      </c>
      <c r="E261" s="1488">
        <f t="shared" si="38"/>
        <v>83.442646140514086</v>
      </c>
      <c r="F261" s="1487">
        <f t="shared" si="39"/>
        <v>25984.78</v>
      </c>
      <c r="G261" s="1957">
        <v>130190.08</v>
      </c>
      <c r="H261" s="1957">
        <v>130953.22</v>
      </c>
      <c r="I261" s="1957"/>
      <c r="J261" s="1957"/>
      <c r="K261" s="1957"/>
      <c r="L261" s="1957"/>
      <c r="M261" s="1957"/>
      <c r="N261" s="1957"/>
      <c r="O261" s="1957"/>
      <c r="P261" s="1957"/>
      <c r="Q261" s="1957"/>
      <c r="R261" s="1957"/>
    </row>
    <row r="262" spans="1:18" ht="15">
      <c r="A262" s="1485" t="s">
        <v>2568</v>
      </c>
      <c r="B262" s="1500" t="s">
        <v>2569</v>
      </c>
      <c r="C262" s="1957">
        <v>158643</v>
      </c>
      <c r="D262" s="1957">
        <v>95784.01</v>
      </c>
      <c r="E262" s="1488">
        <f t="shared" si="38"/>
        <v>60.377079354273434</v>
      </c>
      <c r="F262" s="1487">
        <f t="shared" si="39"/>
        <v>62858.990000000005</v>
      </c>
      <c r="G262" s="1957">
        <v>87335.23</v>
      </c>
      <c r="H262" s="1957">
        <v>95784.01</v>
      </c>
      <c r="I262" s="1957"/>
      <c r="J262" s="1957"/>
      <c r="K262" s="1957"/>
      <c r="L262" s="1957"/>
      <c r="M262" s="1957"/>
      <c r="N262" s="1957"/>
      <c r="O262" s="1957"/>
      <c r="P262" s="1957"/>
      <c r="Q262" s="1957"/>
      <c r="R262" s="1957"/>
    </row>
    <row r="263" spans="1:18" ht="15">
      <c r="A263" s="1485" t="s">
        <v>2570</v>
      </c>
      <c r="B263" s="1500" t="s">
        <v>2571</v>
      </c>
      <c r="C263" s="1957">
        <v>13950</v>
      </c>
      <c r="D263" s="1957">
        <v>1622.07</v>
      </c>
      <c r="E263" s="1488">
        <f t="shared" si="38"/>
        <v>11.62774193548387</v>
      </c>
      <c r="F263" s="1487">
        <f t="shared" si="39"/>
        <v>12327.93</v>
      </c>
      <c r="G263" s="1957">
        <v>1622.07</v>
      </c>
      <c r="H263" s="1957">
        <v>1622.07</v>
      </c>
      <c r="I263" s="1957"/>
      <c r="J263" s="1957"/>
      <c r="K263" s="1957"/>
      <c r="L263" s="1957"/>
      <c r="M263" s="1957"/>
      <c r="N263" s="1957"/>
      <c r="O263" s="1957"/>
      <c r="P263" s="1957"/>
      <c r="Q263" s="1957"/>
      <c r="R263" s="1957"/>
    </row>
    <row r="264" spans="1:18" ht="15">
      <c r="A264" s="1485" t="s">
        <v>2549</v>
      </c>
      <c r="B264" s="1500" t="s">
        <v>2572</v>
      </c>
      <c r="C264" s="1957">
        <v>31130</v>
      </c>
      <c r="D264" s="1957">
        <v>5185.88</v>
      </c>
      <c r="E264" s="1488">
        <f t="shared" si="38"/>
        <v>16.658785737230968</v>
      </c>
      <c r="F264" s="1487">
        <f t="shared" si="39"/>
        <v>25944.12</v>
      </c>
      <c r="G264" s="1957">
        <v>3381.26</v>
      </c>
      <c r="H264" s="1957">
        <v>5185.88</v>
      </c>
      <c r="I264" s="1957"/>
      <c r="J264" s="1957"/>
      <c r="K264" s="1957"/>
      <c r="L264" s="1957"/>
      <c r="M264" s="1957"/>
      <c r="N264" s="1957"/>
      <c r="O264" s="1957"/>
      <c r="P264" s="1957"/>
      <c r="Q264" s="1957"/>
      <c r="R264" s="1957"/>
    </row>
    <row r="265" spans="1:18" ht="15">
      <c r="A265" s="3552" t="s">
        <v>2549</v>
      </c>
      <c r="B265" s="1500" t="s">
        <v>2573</v>
      </c>
      <c r="C265" s="1957">
        <v>34375</v>
      </c>
      <c r="D265" s="1957">
        <v>11081.58</v>
      </c>
      <c r="E265" s="1488">
        <f t="shared" si="38"/>
        <v>32.237323636363634</v>
      </c>
      <c r="F265" s="1487">
        <f t="shared" si="39"/>
        <v>23293.42</v>
      </c>
      <c r="G265" s="1957">
        <v>12396.27</v>
      </c>
      <c r="H265" s="1957">
        <v>11081.58</v>
      </c>
      <c r="I265" s="1957"/>
      <c r="J265" s="1957"/>
      <c r="K265" s="1957"/>
      <c r="L265" s="1957"/>
      <c r="M265" s="1957"/>
      <c r="N265" s="1957"/>
      <c r="O265" s="1957"/>
      <c r="P265" s="1957"/>
      <c r="Q265" s="1957"/>
      <c r="R265" s="1957"/>
    </row>
    <row r="266" spans="1:18" ht="15">
      <c r="A266" s="1515"/>
      <c r="B266" s="1516" t="s">
        <v>7206</v>
      </c>
      <c r="C266" s="1957">
        <v>170000</v>
      </c>
      <c r="D266" s="1957">
        <v>386.69</v>
      </c>
      <c r="E266" s="1488">
        <f t="shared" si="38"/>
        <v>0.22746470588235293</v>
      </c>
      <c r="F266" s="1487">
        <f t="shared" si="39"/>
        <v>169613.31</v>
      </c>
      <c r="G266" s="1957">
        <v>0</v>
      </c>
      <c r="H266" s="1957">
        <v>386.69</v>
      </c>
      <c r="I266" s="1957"/>
      <c r="J266" s="1957"/>
      <c r="K266" s="1957"/>
      <c r="L266" s="1957"/>
      <c r="M266" s="1957"/>
      <c r="N266" s="1957"/>
      <c r="O266" s="1957"/>
      <c r="P266" s="1957"/>
      <c r="Q266" s="1957"/>
      <c r="R266" s="1957"/>
    </row>
    <row r="267" spans="1:18">
      <c r="A267" s="1539"/>
      <c r="B267" s="1540" t="s">
        <v>8</v>
      </c>
      <c r="C267" s="1513">
        <f>SUM(C243:C266)</f>
        <v>5838759</v>
      </c>
      <c r="D267" s="1513">
        <f t="shared" ref="D267:R267" si="40">SUM(D243:D266)</f>
        <v>3924322.1799999992</v>
      </c>
      <c r="E267" s="1513">
        <f t="shared" si="40"/>
        <v>1260.918840470008</v>
      </c>
      <c r="F267" s="1513">
        <f t="shared" si="40"/>
        <v>1914436.8199999998</v>
      </c>
      <c r="G267" s="1513">
        <f t="shared" si="40"/>
        <v>3490449.9299999997</v>
      </c>
      <c r="H267" s="1513">
        <f t="shared" si="40"/>
        <v>3924322.1799999992</v>
      </c>
      <c r="I267" s="1513">
        <f t="shared" si="40"/>
        <v>0</v>
      </c>
      <c r="J267" s="1513">
        <f t="shared" si="40"/>
        <v>0</v>
      </c>
      <c r="K267" s="1513">
        <f t="shared" si="40"/>
        <v>0</v>
      </c>
      <c r="L267" s="1513">
        <f t="shared" si="40"/>
        <v>0</v>
      </c>
      <c r="M267" s="1513">
        <f t="shared" si="40"/>
        <v>0</v>
      </c>
      <c r="N267" s="1513">
        <f t="shared" si="40"/>
        <v>0</v>
      </c>
      <c r="O267" s="1513">
        <f t="shared" si="40"/>
        <v>0</v>
      </c>
      <c r="P267" s="1513">
        <f t="shared" si="40"/>
        <v>0</v>
      </c>
      <c r="Q267" s="1513">
        <f t="shared" si="40"/>
        <v>0</v>
      </c>
      <c r="R267" s="1513">
        <f t="shared" si="40"/>
        <v>0</v>
      </c>
    </row>
    <row r="268" spans="1:18">
      <c r="A268" s="1502"/>
      <c r="B268" s="1477"/>
      <c r="C268" s="1477"/>
      <c r="D268" s="1477"/>
      <c r="E268" s="1503"/>
      <c r="F268" s="1504">
        <f>F267/$C$236</f>
        <v>0.32152323911302672</v>
      </c>
      <c r="G268" s="1504">
        <f t="shared" ref="G268:R268" si="41">G267/$C$176</f>
        <v>0.82947422390588266</v>
      </c>
      <c r="H268" s="1504">
        <f t="shared" si="41"/>
        <v>0.93258008563157968</v>
      </c>
      <c r="I268" s="1504">
        <f t="shared" si="41"/>
        <v>0</v>
      </c>
      <c r="J268" s="1504">
        <f t="shared" si="41"/>
        <v>0</v>
      </c>
      <c r="K268" s="1504">
        <f t="shared" si="41"/>
        <v>0</v>
      </c>
      <c r="L268" s="1504">
        <f t="shared" si="41"/>
        <v>0</v>
      </c>
      <c r="M268" s="1504">
        <f t="shared" si="41"/>
        <v>0</v>
      </c>
      <c r="N268" s="1504">
        <f t="shared" si="41"/>
        <v>0</v>
      </c>
      <c r="O268" s="1504">
        <f t="shared" si="41"/>
        <v>0</v>
      </c>
      <c r="P268" s="1504">
        <f t="shared" si="41"/>
        <v>0</v>
      </c>
      <c r="Q268" s="1504">
        <f t="shared" si="41"/>
        <v>0</v>
      </c>
      <c r="R268" s="1504">
        <f t="shared" si="41"/>
        <v>0</v>
      </c>
    </row>
  </sheetData>
  <mergeCells count="1">
    <mergeCell ref="A1:K1"/>
  </mergeCells>
  <hyperlinks>
    <hyperlink ref="A1" location="GLOBAAL!A1" display="Werkingskredieten" xr:uid="{00000000-0004-0000-4400-000000000000}"/>
    <hyperlink ref="A1:K1" location="FINANCIËN!A1" display="Werkingskredieten" xr:uid="{00000000-0004-0000-4400-000001000000}"/>
  </hyperlinks>
  <pageMargins left="0.75" right="0.75" top="1" bottom="1" header="0.5" footer="0.5"/>
  <pageSetup paperSize="8" orientation="landscape" copies="2" r:id="rId1"/>
  <headerFooter alignWithMargins="0">
    <oddHeader>&amp;A</oddHeader>
    <oddFooter>Pagina &amp;P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EBD531"/>
  </sheetPr>
  <dimension ref="A1:U113"/>
  <sheetViews>
    <sheetView topLeftCell="A28" workbookViewId="0">
      <selection sqref="A1:T1"/>
    </sheetView>
  </sheetViews>
  <sheetFormatPr defaultColWidth="9.140625" defaultRowHeight="12.75"/>
  <cols>
    <col min="1" max="1" width="8" style="1633" customWidth="1"/>
    <col min="2" max="2" width="3" style="395" bestFit="1" customWidth="1"/>
    <col min="3" max="3" width="0" style="395" hidden="1" customWidth="1"/>
    <col min="4" max="4" width="9.7109375" style="395" hidden="1" customWidth="1"/>
    <col min="5" max="8" width="9.140625" style="395"/>
    <col min="9" max="9" width="9.85546875" style="395" customWidth="1"/>
    <col min="10" max="10" width="9.7109375" style="1003" bestFit="1" customWidth="1"/>
    <col min="11" max="11" width="9.7109375" style="1003" customWidth="1"/>
    <col min="12" max="12" width="10.140625" style="395" bestFit="1" customWidth="1"/>
    <col min="13" max="17" width="9.140625" style="395"/>
    <col min="18" max="18" width="9.7109375" style="395" bestFit="1" customWidth="1"/>
    <col min="19" max="19" width="9.140625" style="395"/>
    <col min="20" max="20" width="9.85546875" style="395" bestFit="1" customWidth="1"/>
    <col min="21" max="16384" width="9.140625" style="395"/>
  </cols>
  <sheetData>
    <row r="1" spans="1:20" s="2077" customFormat="1" ht="21">
      <c r="A1" s="4757" t="s">
        <v>2575</v>
      </c>
      <c r="B1" s="4758"/>
      <c r="C1" s="4758"/>
      <c r="D1" s="4758"/>
      <c r="E1" s="4758"/>
      <c r="F1" s="4758"/>
      <c r="G1" s="4758"/>
      <c r="H1" s="4758"/>
      <c r="I1" s="4758"/>
      <c r="J1" s="4758"/>
      <c r="K1" s="4758"/>
      <c r="L1" s="4758"/>
      <c r="M1" s="4758"/>
      <c r="N1" s="4758"/>
      <c r="O1" s="4758"/>
      <c r="P1" s="4758"/>
      <c r="Q1" s="4758"/>
      <c r="R1" s="4758"/>
      <c r="S1" s="4758"/>
      <c r="T1" s="4758"/>
    </row>
    <row r="2" spans="1:20" ht="18.75">
      <c r="A2" s="2474"/>
      <c r="N2" s="397"/>
    </row>
    <row r="3" spans="1:20" s="380" customFormat="1">
      <c r="A3" s="2482" t="s">
        <v>2576</v>
      </c>
      <c r="B3" s="2484"/>
      <c r="C3" s="2023">
        <v>2003</v>
      </c>
      <c r="D3" s="2023">
        <v>2004</v>
      </c>
      <c r="E3" s="1989">
        <v>2005</v>
      </c>
      <c r="F3" s="1991">
        <v>2006</v>
      </c>
      <c r="G3" s="1991">
        <v>2007</v>
      </c>
      <c r="H3" s="1991">
        <v>2008</v>
      </c>
      <c r="I3" s="2476">
        <v>2009</v>
      </c>
      <c r="J3" s="1991">
        <v>2010</v>
      </c>
      <c r="K3" s="1991">
        <v>2011</v>
      </c>
      <c r="L3" s="1991">
        <v>2012</v>
      </c>
      <c r="M3" s="1991">
        <v>2013</v>
      </c>
      <c r="N3" s="1991">
        <v>2014</v>
      </c>
      <c r="O3" s="1991">
        <v>2015</v>
      </c>
      <c r="P3" s="1991">
        <v>2016</v>
      </c>
      <c r="Q3" s="1991">
        <v>2017</v>
      </c>
      <c r="R3" s="1991">
        <v>2018</v>
      </c>
      <c r="S3" s="1991">
        <v>2019</v>
      </c>
      <c r="T3" s="1992">
        <v>2020</v>
      </c>
    </row>
    <row r="4" spans="1:20">
      <c r="A4" s="2489" t="s">
        <v>2577</v>
      </c>
      <c r="B4" s="2485">
        <v>1</v>
      </c>
      <c r="C4" s="398">
        <v>320031.02</v>
      </c>
      <c r="D4" s="398">
        <v>300378.84000000003</v>
      </c>
      <c r="E4" s="398">
        <v>237187.58000000005</v>
      </c>
      <c r="F4" s="398">
        <v>245318</v>
      </c>
      <c r="G4" s="398">
        <v>253447.63000000003</v>
      </c>
      <c r="H4" s="398">
        <v>374630.09999999992</v>
      </c>
      <c r="I4" s="398">
        <v>349347.93000000005</v>
      </c>
      <c r="J4" s="398">
        <v>290254.86000000004</v>
      </c>
      <c r="K4" s="398">
        <v>297997</v>
      </c>
      <c r="L4" s="398">
        <v>257714</v>
      </c>
      <c r="M4" s="398">
        <v>193033</v>
      </c>
      <c r="N4" s="398">
        <v>493926</v>
      </c>
      <c r="O4" s="398">
        <v>360195.39</v>
      </c>
      <c r="P4" s="398">
        <v>388203.88000000006</v>
      </c>
      <c r="Q4" s="398">
        <v>309698.73999999987</v>
      </c>
      <c r="R4" s="398">
        <v>524569.79999999993</v>
      </c>
      <c r="S4" s="398">
        <v>768940.5</v>
      </c>
      <c r="T4" s="2479">
        <v>520659</v>
      </c>
    </row>
    <row r="5" spans="1:20">
      <c r="A5" s="2490"/>
      <c r="B5" s="2485">
        <v>2</v>
      </c>
      <c r="C5" s="398">
        <v>487690.56999999983</v>
      </c>
      <c r="D5" s="398">
        <v>488566.18000000005</v>
      </c>
      <c r="E5" s="398">
        <v>497595.02</v>
      </c>
      <c r="F5" s="398">
        <v>588826.75999999989</v>
      </c>
      <c r="G5" s="398">
        <v>540155.33000000007</v>
      </c>
      <c r="H5" s="398">
        <v>642717.54999999993</v>
      </c>
      <c r="I5" s="398">
        <v>584275.41999999993</v>
      </c>
      <c r="J5" s="398">
        <v>514335.14</v>
      </c>
      <c r="K5" s="398">
        <v>566730</v>
      </c>
      <c r="L5" s="398">
        <v>453532</v>
      </c>
      <c r="M5" s="398">
        <v>462992</v>
      </c>
      <c r="N5" s="398">
        <v>987852</v>
      </c>
      <c r="O5" s="398">
        <v>820079.41000000015</v>
      </c>
      <c r="P5" s="398">
        <v>706555.74999999988</v>
      </c>
      <c r="Q5" s="398">
        <v>562465.25000000012</v>
      </c>
      <c r="R5" s="398">
        <v>990166.64</v>
      </c>
      <c r="S5" s="398">
        <v>996179</v>
      </c>
      <c r="T5" s="2479">
        <v>1263543</v>
      </c>
    </row>
    <row r="6" spans="1:20">
      <c r="A6" s="2490"/>
      <c r="B6" s="2485">
        <v>3</v>
      </c>
      <c r="C6" s="398">
        <v>641404.80000000005</v>
      </c>
      <c r="D6" s="398">
        <v>661361.99999999988</v>
      </c>
      <c r="E6" s="398">
        <v>668446.36999999988</v>
      </c>
      <c r="F6" s="398">
        <v>858874.63000000012</v>
      </c>
      <c r="G6" s="398">
        <v>887253.07000000007</v>
      </c>
      <c r="H6" s="398">
        <v>926999.2</v>
      </c>
      <c r="I6" s="398">
        <v>838423.33999999985</v>
      </c>
      <c r="J6" s="398">
        <v>895720.98</v>
      </c>
      <c r="K6" s="398">
        <v>873187</v>
      </c>
      <c r="L6" s="398">
        <v>925795</v>
      </c>
      <c r="M6" s="398">
        <v>801564</v>
      </c>
      <c r="N6" s="398">
        <v>1481778</v>
      </c>
      <c r="O6" s="398">
        <v>1066030.0799999998</v>
      </c>
      <c r="P6" s="398">
        <v>951250.57999999984</v>
      </c>
      <c r="Q6" s="398">
        <v>891364.69000000006</v>
      </c>
      <c r="R6" s="398">
        <v>1282906.0000000002</v>
      </c>
      <c r="S6" s="398">
        <v>1443302</v>
      </c>
      <c r="T6" s="2479">
        <v>1486820</v>
      </c>
    </row>
    <row r="7" spans="1:20">
      <c r="A7" s="2490"/>
      <c r="B7" s="2485">
        <v>4</v>
      </c>
      <c r="C7" s="398">
        <v>752482.11999999988</v>
      </c>
      <c r="D7" s="398">
        <v>816390.14999999979</v>
      </c>
      <c r="E7" s="398">
        <v>803842.64999999991</v>
      </c>
      <c r="F7" s="398">
        <v>1010701.4899999999</v>
      </c>
      <c r="G7" s="398">
        <v>1143998.5499999998</v>
      </c>
      <c r="H7" s="398">
        <v>1134692.83</v>
      </c>
      <c r="I7" s="398">
        <v>1015597.5899999999</v>
      </c>
      <c r="J7" s="398">
        <v>1069392.82</v>
      </c>
      <c r="K7" s="398">
        <v>1181567</v>
      </c>
      <c r="L7" s="398">
        <v>1125835</v>
      </c>
      <c r="M7" s="398">
        <v>1096926</v>
      </c>
      <c r="N7" s="398">
        <v>1917503</v>
      </c>
      <c r="O7" s="398">
        <v>1350447.2099999997</v>
      </c>
      <c r="P7" s="398">
        <v>1350781.8399999999</v>
      </c>
      <c r="Q7" s="398">
        <v>1242789.0900000001</v>
      </c>
      <c r="R7" s="398">
        <v>1543572.9099999995</v>
      </c>
      <c r="S7" s="398">
        <v>1697310</v>
      </c>
      <c r="T7" s="2479">
        <v>1845238</v>
      </c>
    </row>
    <row r="8" spans="1:20">
      <c r="A8" s="2490"/>
      <c r="B8" s="2485">
        <v>5</v>
      </c>
      <c r="C8" s="398">
        <v>898063.07999999984</v>
      </c>
      <c r="D8" s="398">
        <v>917248.13</v>
      </c>
      <c r="E8" s="398">
        <v>951069.11</v>
      </c>
      <c r="F8" s="398">
        <v>1173923.55</v>
      </c>
      <c r="G8" s="398">
        <v>1271213.83</v>
      </c>
      <c r="H8" s="398">
        <v>1271109.2</v>
      </c>
      <c r="I8" s="398">
        <v>1195938.7899999996</v>
      </c>
      <c r="J8" s="398">
        <v>1268665.2400000002</v>
      </c>
      <c r="K8" s="398">
        <v>1334821</v>
      </c>
      <c r="L8" s="398">
        <v>1379937</v>
      </c>
      <c r="M8" s="398">
        <v>1387888</v>
      </c>
      <c r="N8" s="398">
        <v>2088503</v>
      </c>
      <c r="O8" s="398">
        <v>1615022.57</v>
      </c>
      <c r="P8" s="398">
        <v>1559490.3399999999</v>
      </c>
      <c r="Q8" s="398">
        <v>1647595.1</v>
      </c>
      <c r="R8" s="398">
        <v>1885386.8399999999</v>
      </c>
      <c r="S8" s="398">
        <v>1956752</v>
      </c>
      <c r="T8" s="2479">
        <v>2167483</v>
      </c>
    </row>
    <row r="9" spans="1:20">
      <c r="A9" s="2490"/>
      <c r="B9" s="2485">
        <v>6</v>
      </c>
      <c r="C9" s="398">
        <v>1028234.7299999999</v>
      </c>
      <c r="D9" s="398">
        <v>1105215.2100000002</v>
      </c>
      <c r="E9" s="398">
        <v>1142126.43</v>
      </c>
      <c r="F9" s="398">
        <v>1358449.94</v>
      </c>
      <c r="G9" s="398">
        <v>1473476.34</v>
      </c>
      <c r="H9" s="398">
        <v>1567727.6099999996</v>
      </c>
      <c r="I9" s="398">
        <v>1414736.7599999998</v>
      </c>
      <c r="J9" s="398">
        <v>1474344.3900000001</v>
      </c>
      <c r="K9" s="398">
        <v>1593180</v>
      </c>
      <c r="L9" s="398">
        <v>1587013</v>
      </c>
      <c r="M9" s="398">
        <v>1611291</v>
      </c>
      <c r="N9" s="398">
        <v>2189209</v>
      </c>
      <c r="O9" s="398">
        <v>1877834.93</v>
      </c>
      <c r="P9" s="398">
        <v>1953482.8499999999</v>
      </c>
      <c r="Q9" s="398">
        <v>2060757.6600000001</v>
      </c>
      <c r="R9" s="398">
        <v>2266677.6699999995</v>
      </c>
      <c r="S9" s="398">
        <v>2223888</v>
      </c>
      <c r="T9" s="2479">
        <v>2510118</v>
      </c>
    </row>
    <row r="10" spans="1:20">
      <c r="A10" s="2490"/>
      <c r="B10" s="2485">
        <v>7</v>
      </c>
      <c r="C10" s="398">
        <v>1160429.3400000001</v>
      </c>
      <c r="D10" s="398">
        <v>1248407.1200000001</v>
      </c>
      <c r="E10" s="398">
        <v>1293889.3599999996</v>
      </c>
      <c r="F10" s="398">
        <v>1511760.07</v>
      </c>
      <c r="G10" s="398">
        <v>1664740.7699999996</v>
      </c>
      <c r="H10" s="398">
        <v>1751234.08</v>
      </c>
      <c r="I10" s="398">
        <v>1575164.7400000002</v>
      </c>
      <c r="J10" s="398">
        <v>1653789.42</v>
      </c>
      <c r="K10" s="398">
        <v>1812491</v>
      </c>
      <c r="L10" s="398">
        <v>1786615</v>
      </c>
      <c r="M10" s="398">
        <v>1823436</v>
      </c>
      <c r="N10" s="398">
        <v>2453728</v>
      </c>
      <c r="O10" s="398">
        <v>2244904.9900000002</v>
      </c>
      <c r="P10" s="398">
        <v>2266642.9500000002</v>
      </c>
      <c r="Q10" s="398">
        <v>2196199.4000000004</v>
      </c>
      <c r="R10" s="398">
        <v>2474063.7000000007</v>
      </c>
      <c r="S10" s="398">
        <v>2555715</v>
      </c>
      <c r="T10" s="2479">
        <v>2653307</v>
      </c>
    </row>
    <row r="11" spans="1:20">
      <c r="A11" s="2490"/>
      <c r="B11" s="2485">
        <v>8</v>
      </c>
      <c r="C11" s="398">
        <v>1280351.4900000002</v>
      </c>
      <c r="D11" s="398">
        <v>1356331.01</v>
      </c>
      <c r="E11" s="398">
        <v>1514850.2600000002</v>
      </c>
      <c r="F11" s="398">
        <v>1645620.2599999998</v>
      </c>
      <c r="G11" s="398">
        <v>1763040.0399999998</v>
      </c>
      <c r="H11" s="398">
        <v>1915183.8499999999</v>
      </c>
      <c r="I11" s="398">
        <v>1715973.6100000003</v>
      </c>
      <c r="J11" s="398">
        <v>1818806</v>
      </c>
      <c r="K11" s="398">
        <v>1980464</v>
      </c>
      <c r="L11" s="398">
        <v>2055282</v>
      </c>
      <c r="M11" s="398">
        <v>2157818</v>
      </c>
      <c r="N11" s="398">
        <v>2645631</v>
      </c>
      <c r="O11" s="398">
        <v>2381560.75</v>
      </c>
      <c r="P11" s="398">
        <v>2440347.580000001</v>
      </c>
      <c r="Q11" s="398">
        <v>2498503.58</v>
      </c>
      <c r="R11" s="398">
        <v>2774811.0799999996</v>
      </c>
      <c r="S11" s="398">
        <v>2730133</v>
      </c>
      <c r="T11" s="2479">
        <v>2839698</v>
      </c>
    </row>
    <row r="12" spans="1:20">
      <c r="A12" s="2490"/>
      <c r="B12" s="2485">
        <v>9</v>
      </c>
      <c r="C12" s="398">
        <v>1422304.29</v>
      </c>
      <c r="D12" s="398">
        <v>1536200.79</v>
      </c>
      <c r="E12" s="398">
        <v>1637883</v>
      </c>
      <c r="F12" s="398">
        <v>1867834.23</v>
      </c>
      <c r="G12" s="398">
        <v>1868745.5299999998</v>
      </c>
      <c r="H12" s="398">
        <v>2099401.86</v>
      </c>
      <c r="I12" s="398">
        <v>1905633.0600000005</v>
      </c>
      <c r="J12" s="398">
        <v>2061852.65</v>
      </c>
      <c r="K12" s="398">
        <v>2314815</v>
      </c>
      <c r="L12" s="398">
        <v>2297980</v>
      </c>
      <c r="M12" s="398">
        <v>2403752</v>
      </c>
      <c r="N12" s="398">
        <v>3067728</v>
      </c>
      <c r="O12" s="398">
        <v>2648925.7499999995</v>
      </c>
      <c r="P12" s="398">
        <v>2786840.45</v>
      </c>
      <c r="Q12" s="398">
        <v>2755410.8</v>
      </c>
      <c r="R12" s="398">
        <v>2990507.38</v>
      </c>
      <c r="S12" s="398">
        <v>3031865</v>
      </c>
      <c r="T12" s="2479">
        <v>3036969</v>
      </c>
    </row>
    <row r="13" spans="1:20">
      <c r="A13" s="2490"/>
      <c r="B13" s="2485">
        <v>10</v>
      </c>
      <c r="C13" s="398">
        <v>1556019.77</v>
      </c>
      <c r="D13" s="398">
        <v>1674957.4599999997</v>
      </c>
      <c r="E13" s="398">
        <v>1760916.8899999997</v>
      </c>
      <c r="F13" s="398">
        <v>1993359.56</v>
      </c>
      <c r="G13" s="398">
        <v>2186192.96</v>
      </c>
      <c r="H13" s="398">
        <v>2358361.62</v>
      </c>
      <c r="I13" s="398">
        <v>2125888.5099999998</v>
      </c>
      <c r="J13" s="398">
        <v>2287922.31</v>
      </c>
      <c r="K13" s="398">
        <v>2527294</v>
      </c>
      <c r="L13" s="398">
        <v>2507305</v>
      </c>
      <c r="M13" s="398">
        <v>2621396</v>
      </c>
      <c r="N13" s="398">
        <v>3338103</v>
      </c>
      <c r="O13" s="398">
        <v>3009909.4200000009</v>
      </c>
      <c r="P13" s="398">
        <v>3048760.0799999991</v>
      </c>
      <c r="Q13" s="398">
        <v>3054950.93</v>
      </c>
      <c r="R13" s="398">
        <v>3296235.1799999997</v>
      </c>
      <c r="S13" s="398">
        <v>3181687</v>
      </c>
      <c r="T13" s="2479">
        <v>3360028</v>
      </c>
    </row>
    <row r="14" spans="1:20">
      <c r="A14" s="2490"/>
      <c r="B14" s="2485">
        <v>11</v>
      </c>
      <c r="C14" s="398">
        <v>1700836.3500000003</v>
      </c>
      <c r="D14" s="398">
        <v>1797073.13</v>
      </c>
      <c r="E14" s="398">
        <v>1903692.75</v>
      </c>
      <c r="F14" s="398">
        <v>2156807.25</v>
      </c>
      <c r="G14" s="398">
        <v>2308933.5100000002</v>
      </c>
      <c r="H14" s="398">
        <v>2572808.5999999996</v>
      </c>
      <c r="I14" s="398">
        <v>2318678.11</v>
      </c>
      <c r="J14" s="398">
        <v>2459605.89</v>
      </c>
      <c r="K14" s="398">
        <v>2807566</v>
      </c>
      <c r="L14" s="398">
        <v>2726915</v>
      </c>
      <c r="M14" s="398">
        <v>2837583</v>
      </c>
      <c r="N14" s="398">
        <v>3634595</v>
      </c>
      <c r="O14" s="398">
        <v>3259524.43</v>
      </c>
      <c r="P14" s="398">
        <v>3348483.5500000007</v>
      </c>
      <c r="Q14" s="398">
        <v>3301342.6999999997</v>
      </c>
      <c r="R14" s="398">
        <v>3585159.41</v>
      </c>
      <c r="S14" s="398">
        <v>3486025</v>
      </c>
      <c r="T14" s="2479">
        <v>3635048</v>
      </c>
    </row>
    <row r="15" spans="1:20">
      <c r="A15" s="2490"/>
      <c r="B15" s="2485">
        <v>12</v>
      </c>
      <c r="C15" s="398">
        <v>1767936.55</v>
      </c>
      <c r="D15" s="398">
        <v>1943744.2299999997</v>
      </c>
      <c r="E15" s="398">
        <v>2057652.0300000003</v>
      </c>
      <c r="F15" s="398">
        <v>2354148.81</v>
      </c>
      <c r="G15" s="398">
        <v>2471072.6799999997</v>
      </c>
      <c r="H15" s="398">
        <v>2796543.3</v>
      </c>
      <c r="I15" s="398">
        <v>2539107.5000000005</v>
      </c>
      <c r="J15" s="398">
        <v>2680162.62</v>
      </c>
      <c r="K15" s="398">
        <v>3261353</v>
      </c>
      <c r="L15" s="398">
        <v>2992204</v>
      </c>
      <c r="M15" s="398">
        <v>3090000</v>
      </c>
      <c r="N15" s="398">
        <v>4077742</v>
      </c>
      <c r="O15" s="398">
        <v>3614440.25</v>
      </c>
      <c r="P15" s="398">
        <v>3672392.6100000003</v>
      </c>
      <c r="Q15" s="398">
        <v>3464150.79</v>
      </c>
      <c r="R15" s="398">
        <v>3823287.1999999997</v>
      </c>
      <c r="S15" s="398">
        <v>3804531</v>
      </c>
      <c r="T15" s="2479">
        <v>3920086</v>
      </c>
    </row>
    <row r="16" spans="1:20">
      <c r="A16" s="2482" t="s">
        <v>2578</v>
      </c>
      <c r="B16" s="2484"/>
      <c r="C16" s="2025">
        <v>2003</v>
      </c>
      <c r="D16" s="2025">
        <v>2004</v>
      </c>
      <c r="E16" s="1991">
        <v>2005</v>
      </c>
      <c r="F16" s="1991">
        <v>2006</v>
      </c>
      <c r="G16" s="1991">
        <v>2007</v>
      </c>
      <c r="H16" s="1991">
        <v>2008</v>
      </c>
      <c r="I16" s="2476">
        <v>2009</v>
      </c>
      <c r="J16" s="2476">
        <v>2010</v>
      </c>
      <c r="K16" s="2476">
        <v>2011</v>
      </c>
      <c r="L16" s="2476">
        <v>2012</v>
      </c>
      <c r="M16" s="2476">
        <v>2013</v>
      </c>
      <c r="N16" s="2476">
        <v>2014</v>
      </c>
      <c r="O16" s="2476">
        <v>2015</v>
      </c>
      <c r="P16" s="2476">
        <v>2016</v>
      </c>
      <c r="Q16" s="1991">
        <v>2017</v>
      </c>
      <c r="R16" s="1991">
        <v>2018</v>
      </c>
      <c r="S16" s="1991">
        <v>2019</v>
      </c>
      <c r="T16" s="1992">
        <v>2020</v>
      </c>
    </row>
    <row r="17" spans="1:20">
      <c r="A17" s="2489" t="s">
        <v>2577</v>
      </c>
      <c r="B17" s="2485">
        <v>1</v>
      </c>
      <c r="C17" s="398">
        <f t="shared" ref="C17:R17" si="0">C4</f>
        <v>320031.02</v>
      </c>
      <c r="D17" s="398">
        <f t="shared" si="0"/>
        <v>300378.84000000003</v>
      </c>
      <c r="E17" s="398">
        <f t="shared" si="0"/>
        <v>237187.58000000005</v>
      </c>
      <c r="F17" s="398">
        <f t="shared" si="0"/>
        <v>245318</v>
      </c>
      <c r="G17" s="398">
        <f t="shared" si="0"/>
        <v>253447.63000000003</v>
      </c>
      <c r="H17" s="398">
        <f t="shared" si="0"/>
        <v>374630.09999999992</v>
      </c>
      <c r="I17" s="398">
        <f t="shared" si="0"/>
        <v>349347.93000000005</v>
      </c>
      <c r="J17" s="398">
        <f t="shared" si="0"/>
        <v>290254.86000000004</v>
      </c>
      <c r="K17" s="398">
        <f t="shared" si="0"/>
        <v>297997</v>
      </c>
      <c r="L17" s="398">
        <f t="shared" si="0"/>
        <v>257714</v>
      </c>
      <c r="M17" s="398">
        <f t="shared" si="0"/>
        <v>193033</v>
      </c>
      <c r="N17" s="398">
        <f t="shared" si="0"/>
        <v>493926</v>
      </c>
      <c r="O17" s="398">
        <f t="shared" si="0"/>
        <v>360195.39</v>
      </c>
      <c r="P17" s="398">
        <f t="shared" si="0"/>
        <v>388203.88000000006</v>
      </c>
      <c r="Q17" s="398">
        <f t="shared" si="0"/>
        <v>309698.73999999987</v>
      </c>
      <c r="R17" s="398">
        <f t="shared" si="0"/>
        <v>524569.79999999993</v>
      </c>
      <c r="S17" s="398">
        <f>S4</f>
        <v>768940.5</v>
      </c>
      <c r="T17" s="3844">
        <f>T4</f>
        <v>520659</v>
      </c>
    </row>
    <row r="18" spans="1:20">
      <c r="A18" s="2491"/>
      <c r="B18" s="2485">
        <v>2</v>
      </c>
      <c r="C18" s="398">
        <f t="shared" ref="C18:R18" si="1">C5-C4</f>
        <v>167659.54999999981</v>
      </c>
      <c r="D18" s="398">
        <f t="shared" si="1"/>
        <v>188187.34000000003</v>
      </c>
      <c r="E18" s="398">
        <f t="shared" si="1"/>
        <v>260407.43999999997</v>
      </c>
      <c r="F18" s="398">
        <f t="shared" si="1"/>
        <v>343508.75999999989</v>
      </c>
      <c r="G18" s="398">
        <f t="shared" si="1"/>
        <v>286707.70000000007</v>
      </c>
      <c r="H18" s="398">
        <f t="shared" si="1"/>
        <v>268087.45</v>
      </c>
      <c r="I18" s="398">
        <f t="shared" si="1"/>
        <v>234927.48999999987</v>
      </c>
      <c r="J18" s="398">
        <f t="shared" si="1"/>
        <v>224080.27999999997</v>
      </c>
      <c r="K18" s="398">
        <f t="shared" si="1"/>
        <v>268733</v>
      </c>
      <c r="L18" s="398">
        <f t="shared" si="1"/>
        <v>195818</v>
      </c>
      <c r="M18" s="398">
        <f t="shared" si="1"/>
        <v>269959</v>
      </c>
      <c r="N18" s="398">
        <f t="shared" si="1"/>
        <v>493926</v>
      </c>
      <c r="O18" s="398">
        <f t="shared" si="1"/>
        <v>459884.02000000014</v>
      </c>
      <c r="P18" s="398">
        <f t="shared" si="1"/>
        <v>318351.86999999982</v>
      </c>
      <c r="Q18" s="398">
        <f t="shared" si="1"/>
        <v>252766.51000000024</v>
      </c>
      <c r="R18" s="398">
        <f t="shared" si="1"/>
        <v>465596.84000000008</v>
      </c>
      <c r="S18" s="398">
        <f t="shared" ref="S18:T28" si="2">S5-S4</f>
        <v>227238.5</v>
      </c>
      <c r="T18" s="2479">
        <f t="shared" si="2"/>
        <v>742884</v>
      </c>
    </row>
    <row r="19" spans="1:20">
      <c r="A19" s="2491"/>
      <c r="B19" s="2485">
        <v>3</v>
      </c>
      <c r="C19" s="398">
        <f t="shared" ref="C19:Q19" si="3">C6-C5</f>
        <v>153714.23000000021</v>
      </c>
      <c r="D19" s="398">
        <f t="shared" si="3"/>
        <v>172795.81999999983</v>
      </c>
      <c r="E19" s="398">
        <f t="shared" si="3"/>
        <v>170851.34999999986</v>
      </c>
      <c r="F19" s="398">
        <f t="shared" si="3"/>
        <v>270047.87000000023</v>
      </c>
      <c r="G19" s="398">
        <f t="shared" si="3"/>
        <v>347097.74</v>
      </c>
      <c r="H19" s="398">
        <f t="shared" si="3"/>
        <v>284281.65000000002</v>
      </c>
      <c r="I19" s="398">
        <f t="shared" si="3"/>
        <v>254147.91999999993</v>
      </c>
      <c r="J19" s="398">
        <f t="shared" si="3"/>
        <v>381385.83999999997</v>
      </c>
      <c r="K19" s="398">
        <f t="shared" si="3"/>
        <v>306457</v>
      </c>
      <c r="L19" s="398">
        <f t="shared" si="3"/>
        <v>472263</v>
      </c>
      <c r="M19" s="398">
        <f t="shared" si="3"/>
        <v>338572</v>
      </c>
      <c r="N19" s="398">
        <f t="shared" si="3"/>
        <v>493926</v>
      </c>
      <c r="O19" s="398">
        <f t="shared" si="3"/>
        <v>245950.66999999969</v>
      </c>
      <c r="P19" s="398">
        <f t="shared" si="3"/>
        <v>244694.82999999996</v>
      </c>
      <c r="Q19" s="398">
        <f t="shared" si="3"/>
        <v>328899.43999999994</v>
      </c>
      <c r="R19" s="398">
        <f>R6-R5</f>
        <v>292739.36000000022</v>
      </c>
      <c r="S19" s="398">
        <f t="shared" si="2"/>
        <v>447123</v>
      </c>
      <c r="T19" s="2479">
        <f t="shared" si="2"/>
        <v>223277</v>
      </c>
    </row>
    <row r="20" spans="1:20">
      <c r="A20" s="2491"/>
      <c r="B20" s="2485">
        <v>4</v>
      </c>
      <c r="C20" s="398">
        <f t="shared" ref="C20:R20" si="4">C7-C6</f>
        <v>111077.31999999983</v>
      </c>
      <c r="D20" s="398">
        <f t="shared" si="4"/>
        <v>155028.14999999991</v>
      </c>
      <c r="E20" s="398">
        <f t="shared" si="4"/>
        <v>135396.28000000003</v>
      </c>
      <c r="F20" s="398">
        <f t="shared" si="4"/>
        <v>151826.85999999975</v>
      </c>
      <c r="G20" s="398">
        <f t="shared" si="4"/>
        <v>256745.47999999975</v>
      </c>
      <c r="H20" s="398">
        <f t="shared" si="4"/>
        <v>207693.63000000012</v>
      </c>
      <c r="I20" s="398">
        <f t="shared" si="4"/>
        <v>177174.25</v>
      </c>
      <c r="J20" s="398">
        <f t="shared" si="4"/>
        <v>173671.84000000008</v>
      </c>
      <c r="K20" s="398">
        <f t="shared" si="4"/>
        <v>308380</v>
      </c>
      <c r="L20" s="398">
        <f t="shared" si="4"/>
        <v>200040</v>
      </c>
      <c r="M20" s="398">
        <f t="shared" si="4"/>
        <v>295362</v>
      </c>
      <c r="N20" s="398">
        <f t="shared" si="4"/>
        <v>435725</v>
      </c>
      <c r="O20" s="398">
        <f t="shared" si="4"/>
        <v>284417.12999999989</v>
      </c>
      <c r="P20" s="398">
        <f t="shared" si="4"/>
        <v>399531.26</v>
      </c>
      <c r="Q20" s="398">
        <f t="shared" si="4"/>
        <v>351424.4</v>
      </c>
      <c r="R20" s="398">
        <f t="shared" si="4"/>
        <v>260666.90999999922</v>
      </c>
      <c r="S20" s="398">
        <f t="shared" si="2"/>
        <v>254008</v>
      </c>
      <c r="T20" s="2479">
        <f t="shared" si="2"/>
        <v>358418</v>
      </c>
    </row>
    <row r="21" spans="1:20">
      <c r="A21" s="2491"/>
      <c r="B21" s="2485">
        <v>5</v>
      </c>
      <c r="C21" s="398">
        <f t="shared" ref="C21:R21" si="5">C8-C7</f>
        <v>145580.95999999996</v>
      </c>
      <c r="D21" s="398">
        <f t="shared" si="5"/>
        <v>100857.98000000021</v>
      </c>
      <c r="E21" s="398">
        <f t="shared" si="5"/>
        <v>147226.46000000008</v>
      </c>
      <c r="F21" s="398">
        <f t="shared" si="5"/>
        <v>163222.06000000017</v>
      </c>
      <c r="G21" s="398">
        <f t="shared" si="5"/>
        <v>127215.28000000026</v>
      </c>
      <c r="H21" s="398">
        <f t="shared" si="5"/>
        <v>136416.36999999988</v>
      </c>
      <c r="I21" s="398">
        <f t="shared" si="5"/>
        <v>180341.19999999972</v>
      </c>
      <c r="J21" s="398">
        <f t="shared" si="5"/>
        <v>199272.42000000016</v>
      </c>
      <c r="K21" s="398">
        <f t="shared" si="5"/>
        <v>153254</v>
      </c>
      <c r="L21" s="398">
        <f t="shared" si="5"/>
        <v>254102</v>
      </c>
      <c r="M21" s="398">
        <f t="shared" si="5"/>
        <v>290962</v>
      </c>
      <c r="N21" s="398">
        <f t="shared" si="5"/>
        <v>171000</v>
      </c>
      <c r="O21" s="398">
        <f t="shared" si="5"/>
        <v>264575.36000000034</v>
      </c>
      <c r="P21" s="398">
        <f t="shared" si="5"/>
        <v>208708.5</v>
      </c>
      <c r="Q21" s="398">
        <f t="shared" si="5"/>
        <v>404806.01</v>
      </c>
      <c r="R21" s="398">
        <f t="shared" si="5"/>
        <v>341813.9300000004</v>
      </c>
      <c r="S21" s="398">
        <f t="shared" si="2"/>
        <v>259442</v>
      </c>
      <c r="T21" s="2479">
        <f t="shared" si="2"/>
        <v>322245</v>
      </c>
    </row>
    <row r="22" spans="1:20">
      <c r="A22" s="2491"/>
      <c r="B22" s="2485">
        <v>6</v>
      </c>
      <c r="C22" s="398">
        <f t="shared" ref="C22:R22" si="6">C9-C8</f>
        <v>130171.65000000002</v>
      </c>
      <c r="D22" s="398">
        <f t="shared" si="6"/>
        <v>187967.08000000019</v>
      </c>
      <c r="E22" s="398">
        <f t="shared" si="6"/>
        <v>191057.31999999995</v>
      </c>
      <c r="F22" s="398">
        <f t="shared" si="6"/>
        <v>184526.3899999999</v>
      </c>
      <c r="G22" s="398">
        <f t="shared" si="6"/>
        <v>202262.51</v>
      </c>
      <c r="H22" s="398">
        <f t="shared" si="6"/>
        <v>296618.40999999968</v>
      </c>
      <c r="I22" s="398">
        <f t="shared" si="6"/>
        <v>218797.9700000002</v>
      </c>
      <c r="J22" s="398">
        <f t="shared" si="6"/>
        <v>205679.14999999991</v>
      </c>
      <c r="K22" s="398">
        <f t="shared" si="6"/>
        <v>258359</v>
      </c>
      <c r="L22" s="398">
        <f t="shared" si="6"/>
        <v>207076</v>
      </c>
      <c r="M22" s="398">
        <f t="shared" si="6"/>
        <v>223403</v>
      </c>
      <c r="N22" s="398">
        <f t="shared" si="6"/>
        <v>100706</v>
      </c>
      <c r="O22" s="398">
        <f t="shared" si="6"/>
        <v>262812.35999999987</v>
      </c>
      <c r="P22" s="398">
        <f t="shared" si="6"/>
        <v>393992.51</v>
      </c>
      <c r="Q22" s="398">
        <f t="shared" si="6"/>
        <v>413162.56000000006</v>
      </c>
      <c r="R22" s="398">
        <f t="shared" si="6"/>
        <v>381290.82999999961</v>
      </c>
      <c r="S22" s="398">
        <f t="shared" si="2"/>
        <v>267136</v>
      </c>
      <c r="T22" s="2479">
        <f t="shared" si="2"/>
        <v>342635</v>
      </c>
    </row>
    <row r="23" spans="1:20">
      <c r="A23" s="2491"/>
      <c r="B23" s="2485">
        <v>7</v>
      </c>
      <c r="C23" s="398">
        <f t="shared" ref="C23:R23" si="7">C10-C9</f>
        <v>132194.61000000022</v>
      </c>
      <c r="D23" s="398">
        <f t="shared" si="7"/>
        <v>143191.90999999992</v>
      </c>
      <c r="E23" s="398">
        <f t="shared" si="7"/>
        <v>151762.9299999997</v>
      </c>
      <c r="F23" s="398">
        <f t="shared" si="7"/>
        <v>153310.13000000012</v>
      </c>
      <c r="G23" s="398">
        <f t="shared" si="7"/>
        <v>191264.42999999947</v>
      </c>
      <c r="H23" s="398">
        <f t="shared" si="7"/>
        <v>183506.47000000044</v>
      </c>
      <c r="I23" s="398">
        <f t="shared" si="7"/>
        <v>160427.98000000045</v>
      </c>
      <c r="J23" s="398">
        <f t="shared" si="7"/>
        <v>179445.0299999998</v>
      </c>
      <c r="K23" s="398">
        <f t="shared" si="7"/>
        <v>219311</v>
      </c>
      <c r="L23" s="398">
        <f t="shared" si="7"/>
        <v>199602</v>
      </c>
      <c r="M23" s="398">
        <f t="shared" si="7"/>
        <v>212145</v>
      </c>
      <c r="N23" s="398">
        <f t="shared" si="7"/>
        <v>264519</v>
      </c>
      <c r="O23" s="398">
        <f t="shared" si="7"/>
        <v>367070.06000000029</v>
      </c>
      <c r="P23" s="398">
        <f t="shared" si="7"/>
        <v>313160.10000000033</v>
      </c>
      <c r="Q23" s="398">
        <f t="shared" si="7"/>
        <v>135441.74000000022</v>
      </c>
      <c r="R23" s="398">
        <f t="shared" si="7"/>
        <v>207386.03000000119</v>
      </c>
      <c r="S23" s="398">
        <f t="shared" si="2"/>
        <v>331827</v>
      </c>
      <c r="T23" s="2479">
        <f t="shared" si="2"/>
        <v>143189</v>
      </c>
    </row>
    <row r="24" spans="1:20">
      <c r="A24" s="2491"/>
      <c r="B24" s="2485">
        <v>8</v>
      </c>
      <c r="C24" s="398">
        <f t="shared" ref="C24:R24" si="8">C11-C10</f>
        <v>119922.15000000014</v>
      </c>
      <c r="D24" s="398">
        <f t="shared" si="8"/>
        <v>107923.8899999999</v>
      </c>
      <c r="E24" s="398">
        <f t="shared" si="8"/>
        <v>220960.90000000061</v>
      </c>
      <c r="F24" s="398">
        <f t="shared" si="8"/>
        <v>133860.18999999971</v>
      </c>
      <c r="G24" s="398">
        <f t="shared" si="8"/>
        <v>98299.270000000251</v>
      </c>
      <c r="H24" s="398">
        <f t="shared" si="8"/>
        <v>163949.76999999979</v>
      </c>
      <c r="I24" s="398">
        <f t="shared" si="8"/>
        <v>140808.87000000011</v>
      </c>
      <c r="J24" s="398">
        <f t="shared" si="8"/>
        <v>165016.58000000007</v>
      </c>
      <c r="K24" s="398">
        <f t="shared" si="8"/>
        <v>167973</v>
      </c>
      <c r="L24" s="398">
        <f t="shared" si="8"/>
        <v>268667</v>
      </c>
      <c r="M24" s="398">
        <f t="shared" si="8"/>
        <v>334382</v>
      </c>
      <c r="N24" s="398">
        <f t="shared" si="8"/>
        <v>191903</v>
      </c>
      <c r="O24" s="398">
        <f t="shared" si="8"/>
        <v>136655.75999999978</v>
      </c>
      <c r="P24" s="398">
        <f t="shared" si="8"/>
        <v>173704.63000000082</v>
      </c>
      <c r="Q24" s="398">
        <f t="shared" si="8"/>
        <v>302304.1799999997</v>
      </c>
      <c r="R24" s="398">
        <f t="shared" si="8"/>
        <v>300747.37999999896</v>
      </c>
      <c r="S24" s="398">
        <f t="shared" si="2"/>
        <v>174418</v>
      </c>
      <c r="T24" s="2479">
        <f t="shared" si="2"/>
        <v>186391</v>
      </c>
    </row>
    <row r="25" spans="1:20">
      <c r="A25" s="2491"/>
      <c r="B25" s="2485">
        <v>9</v>
      </c>
      <c r="C25" s="398">
        <f t="shared" ref="C25:R25" si="9">C12-C11</f>
        <v>141952.79999999981</v>
      </c>
      <c r="D25" s="398">
        <f t="shared" si="9"/>
        <v>179869.78000000003</v>
      </c>
      <c r="E25" s="398">
        <f t="shared" si="9"/>
        <v>123032.73999999976</v>
      </c>
      <c r="F25" s="398">
        <f t="shared" si="9"/>
        <v>222213.9700000002</v>
      </c>
      <c r="G25" s="398">
        <f t="shared" si="9"/>
        <v>105705.48999999999</v>
      </c>
      <c r="H25" s="398">
        <f t="shared" si="9"/>
        <v>184218.01</v>
      </c>
      <c r="I25" s="398">
        <f t="shared" si="9"/>
        <v>189659.45000000019</v>
      </c>
      <c r="J25" s="398">
        <f t="shared" si="9"/>
        <v>243046.64999999991</v>
      </c>
      <c r="K25" s="398">
        <f t="shared" si="9"/>
        <v>334351</v>
      </c>
      <c r="L25" s="398">
        <f t="shared" si="9"/>
        <v>242698</v>
      </c>
      <c r="M25" s="398">
        <f t="shared" si="9"/>
        <v>245934</v>
      </c>
      <c r="N25" s="398">
        <f t="shared" si="9"/>
        <v>422097</v>
      </c>
      <c r="O25" s="398">
        <f t="shared" si="9"/>
        <v>267364.99999999953</v>
      </c>
      <c r="P25" s="398">
        <f t="shared" si="9"/>
        <v>346492.86999999918</v>
      </c>
      <c r="Q25" s="398">
        <f t="shared" si="9"/>
        <v>256907.21999999974</v>
      </c>
      <c r="R25" s="398">
        <f t="shared" si="9"/>
        <v>215696.30000000028</v>
      </c>
      <c r="S25" s="398">
        <f t="shared" si="2"/>
        <v>301732</v>
      </c>
      <c r="T25" s="2479">
        <f t="shared" si="2"/>
        <v>197271</v>
      </c>
    </row>
    <row r="26" spans="1:20">
      <c r="A26" s="2491"/>
      <c r="B26" s="2485">
        <v>10</v>
      </c>
      <c r="C26" s="398">
        <f t="shared" ref="C26:R26" si="10">C13-C12</f>
        <v>133715.47999999998</v>
      </c>
      <c r="D26" s="398">
        <f t="shared" si="10"/>
        <v>138756.66999999969</v>
      </c>
      <c r="E26" s="398">
        <f t="shared" si="10"/>
        <v>123033.88999999966</v>
      </c>
      <c r="F26" s="398">
        <f t="shared" si="10"/>
        <v>125525.33000000007</v>
      </c>
      <c r="G26" s="398">
        <f t="shared" si="10"/>
        <v>317447.43000000017</v>
      </c>
      <c r="H26" s="398">
        <f t="shared" si="10"/>
        <v>258959.76000000024</v>
      </c>
      <c r="I26" s="398">
        <f t="shared" si="10"/>
        <v>220255.44999999925</v>
      </c>
      <c r="J26" s="398">
        <f t="shared" si="10"/>
        <v>226069.66000000015</v>
      </c>
      <c r="K26" s="398">
        <f t="shared" si="10"/>
        <v>212479</v>
      </c>
      <c r="L26" s="398">
        <f t="shared" si="10"/>
        <v>209325</v>
      </c>
      <c r="M26" s="398">
        <f t="shared" si="10"/>
        <v>217644</v>
      </c>
      <c r="N26" s="398">
        <f t="shared" si="10"/>
        <v>270375</v>
      </c>
      <c r="O26" s="398">
        <f t="shared" si="10"/>
        <v>360983.67000000132</v>
      </c>
      <c r="P26" s="398">
        <f t="shared" si="10"/>
        <v>261919.62999999896</v>
      </c>
      <c r="Q26" s="398">
        <f t="shared" si="10"/>
        <v>299540.13000000035</v>
      </c>
      <c r="R26" s="398">
        <f t="shared" si="10"/>
        <v>305727.79999999981</v>
      </c>
      <c r="S26" s="398">
        <f t="shared" si="2"/>
        <v>149822</v>
      </c>
      <c r="T26" s="2479">
        <f t="shared" si="2"/>
        <v>323059</v>
      </c>
    </row>
    <row r="27" spans="1:20">
      <c r="A27" s="2491"/>
      <c r="B27" s="2485">
        <v>11</v>
      </c>
      <c r="C27" s="398">
        <f t="shared" ref="C27:R27" si="11">C14-C13</f>
        <v>144816.58000000031</v>
      </c>
      <c r="D27" s="398">
        <f t="shared" si="11"/>
        <v>122115.67000000016</v>
      </c>
      <c r="E27" s="398">
        <f t="shared" si="11"/>
        <v>142775.86000000034</v>
      </c>
      <c r="F27" s="398">
        <f t="shared" si="11"/>
        <v>163447.68999999994</v>
      </c>
      <c r="G27" s="398">
        <f t="shared" si="11"/>
        <v>122740.55000000028</v>
      </c>
      <c r="H27" s="398">
        <f t="shared" si="11"/>
        <v>214446.97999999952</v>
      </c>
      <c r="I27" s="398">
        <f t="shared" si="11"/>
        <v>192789.60000000009</v>
      </c>
      <c r="J27" s="398">
        <f t="shared" si="11"/>
        <v>171683.58000000007</v>
      </c>
      <c r="K27" s="398">
        <f t="shared" si="11"/>
        <v>280272</v>
      </c>
      <c r="L27" s="398">
        <f t="shared" si="11"/>
        <v>219610</v>
      </c>
      <c r="M27" s="398">
        <f t="shared" si="11"/>
        <v>216187</v>
      </c>
      <c r="N27" s="398">
        <f t="shared" si="11"/>
        <v>296492</v>
      </c>
      <c r="O27" s="398">
        <f t="shared" si="11"/>
        <v>249615.00999999931</v>
      </c>
      <c r="P27" s="398">
        <f t="shared" si="11"/>
        <v>299723.4700000016</v>
      </c>
      <c r="Q27" s="398">
        <f t="shared" si="11"/>
        <v>246391.76999999955</v>
      </c>
      <c r="R27" s="398">
        <f t="shared" si="11"/>
        <v>288924.23000000045</v>
      </c>
      <c r="S27" s="398">
        <f t="shared" si="2"/>
        <v>304338</v>
      </c>
      <c r="T27" s="2479">
        <f t="shared" si="2"/>
        <v>275020</v>
      </c>
    </row>
    <row r="28" spans="1:20">
      <c r="A28" s="2491"/>
      <c r="B28" s="2485">
        <v>12</v>
      </c>
      <c r="C28" s="398">
        <f t="shared" ref="C28:R28" si="12">C15-C14</f>
        <v>67100.199999999721</v>
      </c>
      <c r="D28" s="398">
        <f t="shared" si="12"/>
        <v>146671.09999999986</v>
      </c>
      <c r="E28" s="398">
        <f t="shared" si="12"/>
        <v>153959.28000000026</v>
      </c>
      <c r="F28" s="398">
        <f t="shared" si="12"/>
        <v>197341.56000000006</v>
      </c>
      <c r="G28" s="398">
        <f t="shared" si="12"/>
        <v>162139.16999999946</v>
      </c>
      <c r="H28" s="398">
        <f t="shared" si="12"/>
        <v>223734.70000000019</v>
      </c>
      <c r="I28" s="398">
        <f t="shared" si="12"/>
        <v>220429.3900000006</v>
      </c>
      <c r="J28" s="398">
        <f t="shared" si="12"/>
        <v>220556.72999999998</v>
      </c>
      <c r="K28" s="398">
        <f t="shared" si="12"/>
        <v>453787</v>
      </c>
      <c r="L28" s="398">
        <f t="shared" si="12"/>
        <v>265289</v>
      </c>
      <c r="M28" s="398">
        <f t="shared" si="12"/>
        <v>252417</v>
      </c>
      <c r="N28" s="398">
        <f t="shared" si="12"/>
        <v>443147</v>
      </c>
      <c r="O28" s="398">
        <f t="shared" si="12"/>
        <v>354915.81999999983</v>
      </c>
      <c r="P28" s="398">
        <f t="shared" si="12"/>
        <v>323909.05999999959</v>
      </c>
      <c r="Q28" s="398">
        <f t="shared" si="12"/>
        <v>162808.09000000032</v>
      </c>
      <c r="R28" s="398">
        <f t="shared" si="12"/>
        <v>238127.78999999957</v>
      </c>
      <c r="S28" s="398">
        <f t="shared" si="2"/>
        <v>318506</v>
      </c>
      <c r="T28" s="2479">
        <f t="shared" si="2"/>
        <v>285038</v>
      </c>
    </row>
    <row r="29" spans="1:20">
      <c r="A29" s="2492"/>
      <c r="B29" s="2072"/>
      <c r="C29" s="397"/>
      <c r="D29" s="397"/>
      <c r="E29" s="398"/>
      <c r="F29" s="397"/>
      <c r="G29" s="397"/>
      <c r="H29" s="397"/>
      <c r="I29" s="398"/>
      <c r="J29" s="398"/>
      <c r="K29" s="398"/>
      <c r="L29" s="397"/>
      <c r="M29" s="397"/>
      <c r="N29" s="397"/>
      <c r="O29" s="397"/>
      <c r="P29" s="2478"/>
      <c r="Q29" s="397"/>
      <c r="R29" s="397"/>
      <c r="S29" s="397"/>
      <c r="T29" s="1998"/>
    </row>
    <row r="30" spans="1:20">
      <c r="A30" s="2475" t="s">
        <v>2579</v>
      </c>
      <c r="B30" s="2024"/>
      <c r="C30" s="2025">
        <v>2003</v>
      </c>
      <c r="D30" s="2025">
        <v>2004</v>
      </c>
      <c r="E30" s="1991">
        <v>2005</v>
      </c>
      <c r="F30" s="1991">
        <v>2006</v>
      </c>
      <c r="G30" s="1991">
        <v>2007</v>
      </c>
      <c r="H30" s="1991">
        <v>2008</v>
      </c>
      <c r="I30" s="2476">
        <v>2009</v>
      </c>
      <c r="J30" s="2476">
        <v>2010</v>
      </c>
      <c r="K30" s="2476">
        <v>2011</v>
      </c>
      <c r="L30" s="2476">
        <v>2012</v>
      </c>
      <c r="M30" s="2476">
        <v>2013</v>
      </c>
      <c r="N30" s="2476">
        <v>2014</v>
      </c>
      <c r="O30" s="2476">
        <v>2015</v>
      </c>
      <c r="P30" s="2476">
        <v>2016</v>
      </c>
      <c r="Q30" s="1991">
        <v>2017</v>
      </c>
      <c r="R30" s="1991">
        <v>2018</v>
      </c>
      <c r="S30" s="1991">
        <v>2019</v>
      </c>
      <c r="T30" s="1992">
        <v>2020</v>
      </c>
    </row>
    <row r="31" spans="1:20">
      <c r="A31" s="2477" t="s">
        <v>2580</v>
      </c>
      <c r="B31" s="397"/>
      <c r="C31" s="397"/>
      <c r="D31" s="397"/>
      <c r="E31" s="398">
        <f t="shared" ref="E31:T31" si="13">AVERAGE(E17:E28)</f>
        <v>171471.00250000003</v>
      </c>
      <c r="F31" s="398">
        <f t="shared" si="13"/>
        <v>196179.0675</v>
      </c>
      <c r="G31" s="398">
        <f t="shared" si="13"/>
        <v>205922.7233333333</v>
      </c>
      <c r="H31" s="398">
        <f t="shared" si="13"/>
        <v>233045.27499999999</v>
      </c>
      <c r="I31" s="398">
        <f t="shared" si="13"/>
        <v>211592.29166666672</v>
      </c>
      <c r="J31" s="398">
        <f t="shared" si="13"/>
        <v>223346.88500000001</v>
      </c>
      <c r="K31" s="398">
        <f t="shared" si="13"/>
        <v>271779.41666666669</v>
      </c>
      <c r="L31" s="398">
        <f t="shared" si="13"/>
        <v>249350.33333333334</v>
      </c>
      <c r="M31" s="398">
        <f t="shared" si="13"/>
        <v>257500</v>
      </c>
      <c r="N31" s="398">
        <f t="shared" si="13"/>
        <v>339811.83333333331</v>
      </c>
      <c r="O31" s="398">
        <f t="shared" si="13"/>
        <v>301203.35416666669</v>
      </c>
      <c r="P31" s="398">
        <f t="shared" si="13"/>
        <v>306032.71750000003</v>
      </c>
      <c r="Q31" s="398">
        <f t="shared" si="13"/>
        <v>288679.23249999998</v>
      </c>
      <c r="R31" s="398">
        <f t="shared" si="13"/>
        <v>318607.26666666666</v>
      </c>
      <c r="S31" s="398">
        <f t="shared" si="13"/>
        <v>317044.25</v>
      </c>
      <c r="T31" s="3844">
        <f t="shared" si="13"/>
        <v>326673.83333333331</v>
      </c>
    </row>
    <row r="32" spans="1:20">
      <c r="A32" s="2487" t="s">
        <v>2577</v>
      </c>
      <c r="B32" s="2019"/>
      <c r="C32" s="2480">
        <f>AVERAGE(C17:C28)</f>
        <v>147328.04583333334</v>
      </c>
      <c r="D32" s="2480">
        <f>AVERAGE(D17:D28)</f>
        <v>161978.68583333332</v>
      </c>
      <c r="E32" s="2001"/>
      <c r="F32" s="2001"/>
      <c r="G32" s="2001"/>
      <c r="H32" s="2001"/>
      <c r="I32" s="2001"/>
      <c r="J32" s="2001"/>
      <c r="K32" s="2001"/>
      <c r="L32" s="2001"/>
      <c r="M32" s="2001"/>
      <c r="N32" s="2001"/>
      <c r="O32" s="2001"/>
      <c r="P32" s="2001"/>
      <c r="Q32" s="2001"/>
      <c r="R32" s="2001"/>
      <c r="S32" s="2001"/>
      <c r="T32" s="2002"/>
    </row>
    <row r="33" spans="1:21">
      <c r="A33" s="2490"/>
      <c r="B33" s="2071"/>
      <c r="C33" s="1591" t="s">
        <v>2581</v>
      </c>
      <c r="D33" s="397"/>
      <c r="E33" s="2486" t="s">
        <v>2582</v>
      </c>
      <c r="F33" s="2486" t="s">
        <v>2583</v>
      </c>
      <c r="G33" s="2486" t="s">
        <v>2584</v>
      </c>
      <c r="H33" s="2486" t="s">
        <v>2585</v>
      </c>
      <c r="I33" s="2486" t="s">
        <v>7533</v>
      </c>
      <c r="J33" s="2486" t="s">
        <v>853</v>
      </c>
      <c r="K33" s="2486" t="s">
        <v>7534</v>
      </c>
      <c r="L33" s="2486" t="s">
        <v>7535</v>
      </c>
      <c r="M33" s="2486" t="s">
        <v>7536</v>
      </c>
      <c r="N33" s="397"/>
      <c r="O33" s="397"/>
      <c r="P33" s="397"/>
      <c r="Q33" s="397"/>
      <c r="R33" s="397"/>
      <c r="S33" s="397"/>
      <c r="T33" s="1998"/>
    </row>
    <row r="34" spans="1:21">
      <c r="A34" s="2490"/>
      <c r="B34" s="2485">
        <v>1</v>
      </c>
      <c r="C34" s="398">
        <f>AVERAGE(C17:J17)</f>
        <v>296324.495</v>
      </c>
      <c r="D34" s="397"/>
      <c r="E34" s="398">
        <f>AVERAGE(H17:M17)</f>
        <v>293829.48166666669</v>
      </c>
      <c r="F34" s="398">
        <f t="shared" ref="F34:M34" si="14">AVERAGE(I17:M17)</f>
        <v>277669.35800000001</v>
      </c>
      <c r="G34" s="398">
        <f t="shared" si="14"/>
        <v>306584.97200000001</v>
      </c>
      <c r="H34" s="398">
        <f t="shared" si="14"/>
        <v>320573.07800000004</v>
      </c>
      <c r="I34" s="398">
        <f t="shared" si="14"/>
        <v>338614.45400000003</v>
      </c>
      <c r="J34" s="398">
        <f t="shared" si="14"/>
        <v>349011.40199999994</v>
      </c>
      <c r="K34" s="398">
        <f t="shared" si="14"/>
        <v>415318.76199999993</v>
      </c>
      <c r="L34" s="398">
        <f t="shared" si="14"/>
        <v>470321.66199999989</v>
      </c>
      <c r="M34" s="398">
        <f t="shared" si="14"/>
        <v>502414.38399999996</v>
      </c>
      <c r="N34" s="398"/>
      <c r="O34" s="398"/>
      <c r="P34" s="398"/>
      <c r="Q34" s="398"/>
      <c r="R34" s="397"/>
      <c r="S34" s="398"/>
      <c r="T34" s="1998"/>
      <c r="U34" s="1003"/>
    </row>
    <row r="35" spans="1:21">
      <c r="A35" s="2490"/>
      <c r="B35" s="2485">
        <v>2</v>
      </c>
      <c r="C35" s="398">
        <f>AVERAGE(C18:J18)</f>
        <v>246695.75124999994</v>
      </c>
      <c r="D35" s="397"/>
      <c r="E35" s="398">
        <f t="shared" ref="E35:E45" si="15">AVERAGE(H18:M18)</f>
        <v>243600.86999999997</v>
      </c>
      <c r="F35" s="398">
        <f t="shared" ref="F35:I45" si="16">AVERAGE(I18:M18)</f>
        <v>238703.55399999995</v>
      </c>
      <c r="G35" s="398">
        <f t="shared" si="16"/>
        <v>290503.25599999999</v>
      </c>
      <c r="H35" s="398">
        <f t="shared" si="16"/>
        <v>337664.00400000002</v>
      </c>
      <c r="I35" s="398">
        <f t="shared" si="16"/>
        <v>347587.77799999999</v>
      </c>
      <c r="J35" s="398">
        <f t="shared" ref="J35:J45" si="17">AVERAGE(M18:Q18)</f>
        <v>358977.48000000004</v>
      </c>
      <c r="K35" s="398">
        <f t="shared" ref="K35:K45" si="18">AVERAGE(N18:R18)</f>
        <v>398105.04800000007</v>
      </c>
      <c r="L35" s="398">
        <f t="shared" ref="L35:L45" si="19">AVERAGE(O18:S18)</f>
        <v>344767.54800000007</v>
      </c>
      <c r="M35" s="398">
        <f t="shared" ref="M35:M45" si="20">AVERAGE(P18:T18)</f>
        <v>401367.54400000005</v>
      </c>
      <c r="N35" s="398"/>
      <c r="O35" s="398"/>
      <c r="P35" s="398"/>
      <c r="Q35" s="398"/>
      <c r="R35" s="398"/>
      <c r="S35" s="398"/>
      <c r="T35" s="2479"/>
      <c r="U35" s="1003"/>
    </row>
    <row r="36" spans="1:21">
      <c r="A36" s="2490"/>
      <c r="B36" s="2485">
        <v>3</v>
      </c>
      <c r="C36" s="398">
        <f>AVERAGE(C19:J19)</f>
        <v>254290.30249999999</v>
      </c>
      <c r="D36" s="397"/>
      <c r="E36" s="398">
        <f t="shared" si="15"/>
        <v>339517.90166666667</v>
      </c>
      <c r="F36" s="398">
        <f t="shared" si="16"/>
        <v>350565.15199999994</v>
      </c>
      <c r="G36" s="398">
        <f t="shared" si="16"/>
        <v>398520.76799999998</v>
      </c>
      <c r="H36" s="398">
        <f t="shared" si="16"/>
        <v>371433.73399999994</v>
      </c>
      <c r="I36" s="398">
        <f t="shared" si="16"/>
        <v>359081.29999999993</v>
      </c>
      <c r="J36" s="398">
        <f t="shared" si="17"/>
        <v>330408.58799999987</v>
      </c>
      <c r="K36" s="398">
        <f t="shared" si="18"/>
        <v>321242.05999999994</v>
      </c>
      <c r="L36" s="398">
        <f t="shared" si="19"/>
        <v>311881.45999999996</v>
      </c>
      <c r="M36" s="398">
        <f t="shared" si="20"/>
        <v>307346.72600000002</v>
      </c>
      <c r="N36" s="398"/>
      <c r="O36" s="398"/>
      <c r="P36" s="398"/>
      <c r="Q36" s="398"/>
      <c r="R36" s="398"/>
      <c r="S36" s="398"/>
      <c r="T36" s="2479"/>
      <c r="U36" s="1003"/>
    </row>
    <row r="37" spans="1:21">
      <c r="A37" s="2490"/>
      <c r="B37" s="2485">
        <v>4</v>
      </c>
      <c r="C37" s="1047">
        <f t="shared" ref="C37:C45" si="21">AVERAGE(C20:I20)</f>
        <v>170705.99571428561</v>
      </c>
      <c r="D37" s="397"/>
      <c r="E37" s="398">
        <f t="shared" si="15"/>
        <v>227053.62000000002</v>
      </c>
      <c r="F37" s="398">
        <f t="shared" si="16"/>
        <v>230925.61800000002</v>
      </c>
      <c r="G37" s="398">
        <f t="shared" si="16"/>
        <v>282635.76800000004</v>
      </c>
      <c r="H37" s="398">
        <f t="shared" si="16"/>
        <v>304784.826</v>
      </c>
      <c r="I37" s="398">
        <f t="shared" si="16"/>
        <v>323015.07799999998</v>
      </c>
      <c r="J37" s="398">
        <f t="shared" si="17"/>
        <v>353291.95799999998</v>
      </c>
      <c r="K37" s="398">
        <f t="shared" si="18"/>
        <v>346352.93999999983</v>
      </c>
      <c r="L37" s="398">
        <f t="shared" si="19"/>
        <v>310009.53999999986</v>
      </c>
      <c r="M37" s="398">
        <f t="shared" si="20"/>
        <v>324809.71399999986</v>
      </c>
      <c r="N37" s="398"/>
      <c r="O37" s="398"/>
      <c r="P37" s="398"/>
      <c r="Q37" s="398"/>
      <c r="R37" s="398"/>
      <c r="S37" s="398"/>
      <c r="T37" s="2479"/>
      <c r="U37" s="1003"/>
    </row>
    <row r="38" spans="1:21">
      <c r="A38" s="2490"/>
      <c r="B38" s="2485">
        <v>5</v>
      </c>
      <c r="C38" s="1047">
        <f t="shared" si="21"/>
        <v>142980.04428571434</v>
      </c>
      <c r="D38" s="397"/>
      <c r="E38" s="398">
        <f t="shared" si="15"/>
        <v>202391.33166666664</v>
      </c>
      <c r="F38" s="398">
        <f t="shared" si="16"/>
        <v>215586.32399999996</v>
      </c>
      <c r="G38" s="398">
        <f t="shared" si="16"/>
        <v>213718.08400000003</v>
      </c>
      <c r="H38" s="398">
        <f t="shared" si="16"/>
        <v>226778.67200000008</v>
      </c>
      <c r="I38" s="398">
        <f t="shared" si="16"/>
        <v>237869.57200000007</v>
      </c>
      <c r="J38" s="398">
        <f t="shared" si="17"/>
        <v>268010.37400000007</v>
      </c>
      <c r="K38" s="398">
        <f t="shared" si="18"/>
        <v>278180.76000000013</v>
      </c>
      <c r="L38" s="398">
        <f t="shared" si="19"/>
        <v>295869.16000000015</v>
      </c>
      <c r="M38" s="398">
        <f t="shared" si="20"/>
        <v>307403.08800000011</v>
      </c>
      <c r="N38" s="398"/>
      <c r="O38" s="398"/>
      <c r="P38" s="398"/>
      <c r="Q38" s="398"/>
      <c r="R38" s="398"/>
      <c r="S38" s="398"/>
      <c r="T38" s="2479"/>
      <c r="U38" s="1003"/>
    </row>
    <row r="39" spans="1:21">
      <c r="A39" s="2490"/>
      <c r="B39" s="2485">
        <v>6</v>
      </c>
      <c r="C39" s="1047">
        <f t="shared" si="21"/>
        <v>201628.76142857145</v>
      </c>
      <c r="D39" s="397"/>
      <c r="E39" s="398">
        <f t="shared" si="15"/>
        <v>234988.92166666663</v>
      </c>
      <c r="F39" s="398">
        <f t="shared" si="16"/>
        <v>222663.02400000003</v>
      </c>
      <c r="G39" s="398">
        <f t="shared" si="16"/>
        <v>199044.62999999998</v>
      </c>
      <c r="H39" s="398">
        <f t="shared" si="16"/>
        <v>210471.27199999997</v>
      </c>
      <c r="I39" s="398">
        <f t="shared" si="16"/>
        <v>237597.97399999999</v>
      </c>
      <c r="J39" s="398">
        <f t="shared" si="17"/>
        <v>278815.28599999996</v>
      </c>
      <c r="K39" s="398">
        <f t="shared" si="18"/>
        <v>310392.8519999999</v>
      </c>
      <c r="L39" s="398">
        <f t="shared" si="19"/>
        <v>343678.8519999999</v>
      </c>
      <c r="M39" s="398">
        <f t="shared" si="20"/>
        <v>359643.37999999995</v>
      </c>
      <c r="N39" s="398"/>
      <c r="O39" s="398"/>
      <c r="P39" s="398"/>
      <c r="Q39" s="398"/>
      <c r="R39" s="398"/>
      <c r="S39" s="398"/>
      <c r="T39" s="2479"/>
      <c r="U39" s="1003"/>
    </row>
    <row r="40" spans="1:21">
      <c r="A40" s="2490"/>
      <c r="B40" s="2485">
        <v>7</v>
      </c>
      <c r="C40" s="1047">
        <f t="shared" si="21"/>
        <v>159379.78000000006</v>
      </c>
      <c r="D40" s="397"/>
      <c r="E40" s="398">
        <f t="shared" si="15"/>
        <v>192406.24666666679</v>
      </c>
      <c r="F40" s="398">
        <f t="shared" si="16"/>
        <v>194186.20200000005</v>
      </c>
      <c r="G40" s="398">
        <f>AVERAGE(J23:N23)</f>
        <v>215004.40599999996</v>
      </c>
      <c r="H40" s="398">
        <f t="shared" si="16"/>
        <v>252529.41200000007</v>
      </c>
      <c r="I40" s="398">
        <f t="shared" si="16"/>
        <v>271299.23200000013</v>
      </c>
      <c r="J40" s="398">
        <f t="shared" si="17"/>
        <v>258467.18000000017</v>
      </c>
      <c r="K40" s="398">
        <f t="shared" si="18"/>
        <v>257515.38600000041</v>
      </c>
      <c r="L40" s="398">
        <f t="shared" si="19"/>
        <v>270976.98600000038</v>
      </c>
      <c r="M40" s="398">
        <f t="shared" si="20"/>
        <v>226200.77400000035</v>
      </c>
      <c r="N40" s="398"/>
      <c r="O40" s="398"/>
      <c r="P40" s="398"/>
      <c r="Q40" s="398"/>
      <c r="R40" s="398"/>
      <c r="S40" s="398"/>
      <c r="T40" s="2479"/>
      <c r="U40" s="1003"/>
    </row>
    <row r="41" spans="1:21">
      <c r="A41" s="2490"/>
      <c r="B41" s="2485">
        <v>8</v>
      </c>
      <c r="C41" s="1047">
        <f t="shared" si="21"/>
        <v>140817.86285714293</v>
      </c>
      <c r="D41" s="397"/>
      <c r="E41" s="398">
        <f t="shared" si="15"/>
        <v>206799.53666666665</v>
      </c>
      <c r="F41" s="398">
        <f t="shared" si="16"/>
        <v>215369.49000000005</v>
      </c>
      <c r="G41" s="398">
        <f t="shared" si="16"/>
        <v>225588.31600000002</v>
      </c>
      <c r="H41" s="398">
        <f t="shared" si="16"/>
        <v>219916.15199999994</v>
      </c>
      <c r="I41" s="398">
        <f t="shared" si="16"/>
        <v>221062.47800000012</v>
      </c>
      <c r="J41" s="398">
        <f t="shared" si="17"/>
        <v>227789.91400000005</v>
      </c>
      <c r="K41" s="398">
        <f t="shared" si="18"/>
        <v>221062.98999999985</v>
      </c>
      <c r="L41" s="398">
        <f t="shared" si="19"/>
        <v>217565.98999999985</v>
      </c>
      <c r="M41" s="398">
        <f t="shared" si="20"/>
        <v>227513.03799999988</v>
      </c>
      <c r="N41" s="398"/>
      <c r="O41" s="398"/>
      <c r="P41" s="398"/>
      <c r="Q41" s="398"/>
      <c r="R41" s="398"/>
      <c r="S41" s="398"/>
      <c r="T41" s="2479"/>
      <c r="U41" s="1003"/>
    </row>
    <row r="42" spans="1:21">
      <c r="A42" s="2490"/>
      <c r="B42" s="2485">
        <v>9</v>
      </c>
      <c r="C42" s="1047">
        <f t="shared" si="21"/>
        <v>163807.46285714285</v>
      </c>
      <c r="D42" s="397"/>
      <c r="E42" s="398">
        <f t="shared" si="15"/>
        <v>239984.51833333334</v>
      </c>
      <c r="F42" s="398">
        <f t="shared" si="16"/>
        <v>251137.82</v>
      </c>
      <c r="G42" s="398">
        <f t="shared" si="16"/>
        <v>297625.32999999996</v>
      </c>
      <c r="H42" s="398">
        <f t="shared" si="16"/>
        <v>302488.99999999988</v>
      </c>
      <c r="I42" s="398">
        <f t="shared" si="16"/>
        <v>304917.37399999972</v>
      </c>
      <c r="J42" s="398">
        <f t="shared" si="17"/>
        <v>307759.2179999997</v>
      </c>
      <c r="K42" s="398">
        <f t="shared" si="18"/>
        <v>301711.67799999972</v>
      </c>
      <c r="L42" s="398">
        <f t="shared" si="19"/>
        <v>277638.67799999972</v>
      </c>
      <c r="M42" s="398">
        <f t="shared" si="20"/>
        <v>263619.87799999985</v>
      </c>
      <c r="N42" s="398"/>
      <c r="O42" s="398"/>
      <c r="P42" s="398"/>
      <c r="Q42" s="398"/>
      <c r="R42" s="398"/>
      <c r="S42" s="398"/>
      <c r="T42" s="2479"/>
      <c r="U42" s="1003"/>
    </row>
    <row r="43" spans="1:21">
      <c r="A43" s="2490"/>
      <c r="B43" s="2485">
        <v>10</v>
      </c>
      <c r="C43" s="1047">
        <f t="shared" si="21"/>
        <v>188242.0014285713</v>
      </c>
      <c r="D43" s="397"/>
      <c r="E43" s="398">
        <f t="shared" si="15"/>
        <v>224122.14499999993</v>
      </c>
      <c r="F43" s="398">
        <f t="shared" si="16"/>
        <v>217154.62199999989</v>
      </c>
      <c r="G43" s="398">
        <f t="shared" si="16"/>
        <v>227178.53200000004</v>
      </c>
      <c r="H43" s="398">
        <f t="shared" si="16"/>
        <v>254161.33400000026</v>
      </c>
      <c r="I43" s="398">
        <f t="shared" si="16"/>
        <v>264049.46000000008</v>
      </c>
      <c r="J43" s="398">
        <f t="shared" si="17"/>
        <v>282092.48600000015</v>
      </c>
      <c r="K43" s="398">
        <f t="shared" si="18"/>
        <v>299709.2460000001</v>
      </c>
      <c r="L43" s="398">
        <f t="shared" si="19"/>
        <v>275598.64600000007</v>
      </c>
      <c r="M43" s="398">
        <f t="shared" si="20"/>
        <v>268013.71199999982</v>
      </c>
      <c r="N43" s="398"/>
      <c r="O43" s="398"/>
      <c r="P43" s="398"/>
      <c r="Q43" s="398"/>
      <c r="R43" s="398"/>
      <c r="S43" s="398"/>
      <c r="T43" s="2479"/>
      <c r="U43" s="1003"/>
    </row>
    <row r="44" spans="1:21">
      <c r="A44" s="2490"/>
      <c r="B44" s="2485">
        <v>11</v>
      </c>
      <c r="C44" s="1047">
        <f t="shared" si="21"/>
        <v>157590.41857142866</v>
      </c>
      <c r="D44" s="397"/>
      <c r="E44" s="398">
        <f t="shared" si="15"/>
        <v>215831.52666666661</v>
      </c>
      <c r="F44" s="398">
        <f t="shared" si="16"/>
        <v>216108.43600000005</v>
      </c>
      <c r="G44" s="398">
        <f t="shared" si="16"/>
        <v>236848.91600000003</v>
      </c>
      <c r="H44" s="398">
        <f t="shared" si="16"/>
        <v>252435.20199999987</v>
      </c>
      <c r="I44" s="398">
        <f t="shared" si="16"/>
        <v>256325.49600000019</v>
      </c>
      <c r="J44" s="398">
        <f t="shared" si="17"/>
        <v>261681.85000000009</v>
      </c>
      <c r="K44" s="398">
        <f t="shared" si="18"/>
        <v>276229.29600000021</v>
      </c>
      <c r="L44" s="398">
        <f t="shared" si="19"/>
        <v>277798.49600000016</v>
      </c>
      <c r="M44" s="398">
        <f t="shared" si="20"/>
        <v>282879.4940000003</v>
      </c>
      <c r="N44" s="398"/>
      <c r="O44" s="398"/>
      <c r="P44" s="398"/>
      <c r="Q44" s="398"/>
      <c r="R44" s="398"/>
      <c r="S44" s="398"/>
      <c r="T44" s="2479"/>
      <c r="U44" s="1003"/>
    </row>
    <row r="45" spans="1:21">
      <c r="A45" s="2490"/>
      <c r="B45" s="2488">
        <v>12</v>
      </c>
      <c r="C45" s="1047">
        <f t="shared" si="21"/>
        <v>167339.34285714288</v>
      </c>
      <c r="D45" s="397"/>
      <c r="E45" s="398">
        <f t="shared" si="15"/>
        <v>272702.30333333346</v>
      </c>
      <c r="F45" s="398">
        <f t="shared" si="16"/>
        <v>282495.82400000014</v>
      </c>
      <c r="G45" s="398">
        <f t="shared" si="16"/>
        <v>327039.34600000002</v>
      </c>
      <c r="H45" s="398">
        <f t="shared" si="16"/>
        <v>353911.16399999999</v>
      </c>
      <c r="I45" s="398">
        <f t="shared" si="16"/>
        <v>327935.57599999988</v>
      </c>
      <c r="J45" s="398">
        <f t="shared" si="17"/>
        <v>307439.39399999997</v>
      </c>
      <c r="K45" s="398">
        <f t="shared" si="18"/>
        <v>304581.55199999985</v>
      </c>
      <c r="L45" s="398">
        <f t="shared" si="19"/>
        <v>279653.35199999984</v>
      </c>
      <c r="M45" s="398">
        <f t="shared" si="20"/>
        <v>265677.78799999988</v>
      </c>
      <c r="N45" s="398"/>
      <c r="O45" s="398"/>
      <c r="P45" s="398"/>
      <c r="Q45" s="398"/>
      <c r="R45" s="398"/>
      <c r="S45" s="398"/>
      <c r="T45" s="2479"/>
      <c r="U45" s="1003"/>
    </row>
    <row r="46" spans="1:21">
      <c r="A46" s="2482" t="s">
        <v>2579</v>
      </c>
      <c r="B46" s="2071"/>
      <c r="C46" s="2278" t="s">
        <v>2581</v>
      </c>
      <c r="D46" s="1995"/>
      <c r="E46" s="1991" t="s">
        <v>2582</v>
      </c>
      <c r="F46" s="1991" t="s">
        <v>2583</v>
      </c>
      <c r="G46" s="1991" t="s">
        <v>2584</v>
      </c>
      <c r="H46" s="1991" t="s">
        <v>2585</v>
      </c>
      <c r="I46" s="1991" t="s">
        <v>7533</v>
      </c>
      <c r="J46" s="2476" t="s">
        <v>853</v>
      </c>
      <c r="K46" s="2476" t="s">
        <v>7534</v>
      </c>
      <c r="L46" s="2476" t="s">
        <v>7535</v>
      </c>
      <c r="M46" s="2476" t="s">
        <v>7536</v>
      </c>
      <c r="N46" s="1995"/>
      <c r="O46" s="1995"/>
      <c r="P46" s="1995"/>
      <c r="Q46" s="1995"/>
      <c r="R46" s="1995"/>
      <c r="S46" s="1995"/>
      <c r="T46" s="1996"/>
    </row>
    <row r="47" spans="1:21">
      <c r="A47" s="2483" t="s">
        <v>2586</v>
      </c>
      <c r="B47" s="2485">
        <v>1</v>
      </c>
      <c r="C47" s="398">
        <f>(AVERAGE(C4:J4))</f>
        <v>296324.495</v>
      </c>
      <c r="D47" s="397"/>
      <c r="E47" s="398">
        <f>(AVERAGE(H4:M4))</f>
        <v>293829.48166666669</v>
      </c>
      <c r="F47" s="398">
        <f>(AVERAGE(I4:M4))</f>
        <v>277669.35800000001</v>
      </c>
      <c r="G47" s="396">
        <f t="shared" ref="G47:M47" si="22">AVERAGE(J4:N4)</f>
        <v>306584.97200000001</v>
      </c>
      <c r="H47" s="396">
        <f t="shared" si="22"/>
        <v>320573.07800000004</v>
      </c>
      <c r="I47" s="396">
        <f t="shared" si="22"/>
        <v>338614.45400000003</v>
      </c>
      <c r="J47" s="396">
        <f t="shared" si="22"/>
        <v>349011.40199999994</v>
      </c>
      <c r="K47" s="396">
        <f t="shared" si="22"/>
        <v>415318.76199999993</v>
      </c>
      <c r="L47" s="396">
        <f t="shared" si="22"/>
        <v>470321.66199999989</v>
      </c>
      <c r="M47" s="396">
        <f t="shared" si="22"/>
        <v>502414.38399999996</v>
      </c>
      <c r="N47" s="397"/>
      <c r="O47" s="397"/>
      <c r="P47" s="397"/>
      <c r="Q47" s="397"/>
      <c r="R47" s="397"/>
      <c r="S47" s="397"/>
      <c r="T47" s="1998"/>
    </row>
    <row r="48" spans="1:21">
      <c r="A48" s="2489" t="s">
        <v>2577</v>
      </c>
      <c r="B48" s="2485">
        <v>2</v>
      </c>
      <c r="C48" s="398">
        <f>(AVERAGE(C5:J5))</f>
        <v>543020.24624999997</v>
      </c>
      <c r="D48" s="397"/>
      <c r="E48" s="398">
        <f t="shared" ref="E48:E58" si="23">(AVERAGE(H5:M5))</f>
        <v>537430.35166666668</v>
      </c>
      <c r="F48" s="398">
        <f t="shared" ref="F48:F58" si="24">(AVERAGE(I5:M5))</f>
        <v>516372.91200000001</v>
      </c>
      <c r="G48" s="396">
        <f t="shared" ref="G48:I58" si="25">AVERAGE(J5:N5)</f>
        <v>597088.228</v>
      </c>
      <c r="H48" s="396">
        <f t="shared" si="25"/>
        <v>658237.08200000005</v>
      </c>
      <c r="I48" s="396">
        <f t="shared" si="25"/>
        <v>686202.23200000008</v>
      </c>
      <c r="J48" s="396">
        <f t="shared" ref="J48:J58" si="26">AVERAGE(M5:Q5)</f>
        <v>707988.88199999998</v>
      </c>
      <c r="K48" s="396">
        <f t="shared" ref="K48:K58" si="27">AVERAGE(N5:R5)</f>
        <v>813423.81</v>
      </c>
      <c r="L48" s="396">
        <f t="shared" ref="L48:L58" si="28">AVERAGE(O5:S5)</f>
        <v>815089.21000000008</v>
      </c>
      <c r="M48" s="396">
        <f t="shared" ref="M48:M58" si="29">AVERAGE(P5:T5)</f>
        <v>903781.92800000007</v>
      </c>
      <c r="N48" s="397"/>
      <c r="O48" s="397"/>
      <c r="P48" s="397"/>
      <c r="Q48" s="397"/>
      <c r="R48" s="397"/>
      <c r="S48" s="397"/>
      <c r="T48" s="1998"/>
    </row>
    <row r="49" spans="1:20">
      <c r="A49" s="2490"/>
      <c r="B49" s="2485">
        <v>3</v>
      </c>
      <c r="C49" s="398">
        <f>(AVERAGE(C6:J6))</f>
        <v>797310.54875000007</v>
      </c>
      <c r="D49" s="397"/>
      <c r="E49" s="398">
        <f t="shared" si="23"/>
        <v>876948.2533333333</v>
      </c>
      <c r="F49" s="398">
        <f t="shared" si="24"/>
        <v>866938.06400000001</v>
      </c>
      <c r="G49" s="396">
        <f t="shared" si="25"/>
        <v>995608.99600000004</v>
      </c>
      <c r="H49" s="396">
        <f t="shared" si="25"/>
        <v>1029670.816</v>
      </c>
      <c r="I49" s="396">
        <f t="shared" si="25"/>
        <v>1045283.532</v>
      </c>
      <c r="J49" s="396">
        <f t="shared" si="26"/>
        <v>1038397.4700000001</v>
      </c>
      <c r="K49" s="396">
        <f t="shared" si="27"/>
        <v>1134665.8700000001</v>
      </c>
      <c r="L49" s="396">
        <f t="shared" si="28"/>
        <v>1126970.67</v>
      </c>
      <c r="M49" s="396">
        <f t="shared" si="29"/>
        <v>1211128.6540000001</v>
      </c>
      <c r="N49" s="397"/>
      <c r="O49" s="397"/>
      <c r="P49" s="397"/>
      <c r="Q49" s="397"/>
      <c r="R49" s="397"/>
      <c r="S49" s="397"/>
      <c r="T49" s="1998"/>
    </row>
    <row r="50" spans="1:20">
      <c r="A50" s="2490"/>
      <c r="B50" s="2485">
        <v>4</v>
      </c>
      <c r="C50" s="398">
        <f t="shared" ref="C50:C58" si="30">(AVERAGE(C7:I7))</f>
        <v>953957.91142857133</v>
      </c>
      <c r="D50" s="397"/>
      <c r="E50" s="398">
        <f t="shared" si="23"/>
        <v>1104001.8733333333</v>
      </c>
      <c r="F50" s="398">
        <f t="shared" si="24"/>
        <v>1097863.682</v>
      </c>
      <c r="G50" s="396">
        <f t="shared" si="25"/>
        <v>1278244.764</v>
      </c>
      <c r="H50" s="396">
        <f t="shared" si="25"/>
        <v>1334455.642</v>
      </c>
      <c r="I50" s="396">
        <f t="shared" si="25"/>
        <v>1368298.6099999999</v>
      </c>
      <c r="J50" s="396">
        <f t="shared" si="26"/>
        <v>1391689.4279999998</v>
      </c>
      <c r="K50" s="396">
        <f t="shared" si="27"/>
        <v>1481018.8099999998</v>
      </c>
      <c r="L50" s="396">
        <f t="shared" si="28"/>
        <v>1436980.2099999997</v>
      </c>
      <c r="M50" s="396">
        <f t="shared" si="29"/>
        <v>1535938.3679999998</v>
      </c>
      <c r="N50" s="397"/>
      <c r="O50" s="397"/>
      <c r="P50" s="397"/>
      <c r="Q50" s="397"/>
      <c r="R50" s="397"/>
      <c r="S50" s="397"/>
      <c r="T50" s="1998"/>
    </row>
    <row r="51" spans="1:20">
      <c r="A51" s="2490"/>
      <c r="B51" s="2485">
        <v>5</v>
      </c>
      <c r="C51" s="398">
        <f t="shared" si="30"/>
        <v>1096937.9557142856</v>
      </c>
      <c r="D51" s="397"/>
      <c r="E51" s="398">
        <f t="shared" si="23"/>
        <v>1306393.2049999998</v>
      </c>
      <c r="F51" s="398">
        <f t="shared" si="24"/>
        <v>1313450.0059999998</v>
      </c>
      <c r="G51" s="396">
        <f t="shared" si="25"/>
        <v>1491962.848</v>
      </c>
      <c r="H51" s="396">
        <f t="shared" si="25"/>
        <v>1561234.314</v>
      </c>
      <c r="I51" s="396">
        <f t="shared" si="25"/>
        <v>1606168.182</v>
      </c>
      <c r="J51" s="396">
        <f t="shared" si="26"/>
        <v>1659699.8019999999</v>
      </c>
      <c r="K51" s="396">
        <f t="shared" si="27"/>
        <v>1759199.5699999998</v>
      </c>
      <c r="L51" s="396">
        <f t="shared" si="28"/>
        <v>1732849.3699999999</v>
      </c>
      <c r="M51" s="396">
        <f t="shared" si="29"/>
        <v>1843341.4559999998</v>
      </c>
      <c r="N51" s="397"/>
      <c r="O51" s="397"/>
      <c r="P51" s="397"/>
      <c r="Q51" s="397"/>
      <c r="R51" s="397"/>
      <c r="S51" s="397"/>
      <c r="T51" s="1998"/>
    </row>
    <row r="52" spans="1:20">
      <c r="A52" s="2490"/>
      <c r="B52" s="2485">
        <v>6</v>
      </c>
      <c r="C52" s="398">
        <f t="shared" si="30"/>
        <v>1298566.7171428571</v>
      </c>
      <c r="D52" s="397"/>
      <c r="E52" s="398">
        <f t="shared" si="23"/>
        <v>1541382.1266666667</v>
      </c>
      <c r="F52" s="398">
        <f t="shared" si="24"/>
        <v>1536113.03</v>
      </c>
      <c r="G52" s="396">
        <f t="shared" si="25"/>
        <v>1691007.4780000001</v>
      </c>
      <c r="H52" s="396">
        <f t="shared" si="25"/>
        <v>1771705.5859999999</v>
      </c>
      <c r="I52" s="396">
        <f t="shared" si="25"/>
        <v>1843766.156</v>
      </c>
      <c r="J52" s="396">
        <f t="shared" si="26"/>
        <v>1938515.088</v>
      </c>
      <c r="K52" s="396">
        <f t="shared" si="27"/>
        <v>2069592.4219999998</v>
      </c>
      <c r="L52" s="396">
        <f t="shared" si="28"/>
        <v>2076528.2219999998</v>
      </c>
      <c r="M52" s="396">
        <f t="shared" si="29"/>
        <v>2202984.8360000001</v>
      </c>
      <c r="N52" s="397"/>
      <c r="O52" s="397"/>
      <c r="P52" s="397"/>
      <c r="Q52" s="397"/>
      <c r="R52" s="397"/>
      <c r="S52" s="397"/>
      <c r="T52" s="1998"/>
    </row>
    <row r="53" spans="1:20">
      <c r="A53" s="2490"/>
      <c r="B53" s="2485">
        <v>7</v>
      </c>
      <c r="C53" s="398">
        <f t="shared" si="30"/>
        <v>1457946.4971428569</v>
      </c>
      <c r="D53" s="397"/>
      <c r="E53" s="398">
        <f t="shared" si="23"/>
        <v>1733788.3733333333</v>
      </c>
      <c r="F53" s="398">
        <f t="shared" si="24"/>
        <v>1730299.2320000001</v>
      </c>
      <c r="G53" s="396">
        <f t="shared" si="25"/>
        <v>1906011.8840000001</v>
      </c>
      <c r="H53" s="396">
        <f t="shared" si="25"/>
        <v>2024234.9980000001</v>
      </c>
      <c r="I53" s="396">
        <f t="shared" si="25"/>
        <v>2115065.3880000003</v>
      </c>
      <c r="J53" s="396">
        <f t="shared" si="26"/>
        <v>2196982.2680000002</v>
      </c>
      <c r="K53" s="396">
        <f t="shared" si="27"/>
        <v>2327107.8080000002</v>
      </c>
      <c r="L53" s="396">
        <f t="shared" si="28"/>
        <v>2347505.2080000001</v>
      </c>
      <c r="M53" s="396">
        <f t="shared" si="29"/>
        <v>2429185.6100000003</v>
      </c>
      <c r="N53" s="397"/>
      <c r="O53" s="397"/>
      <c r="P53" s="397"/>
      <c r="Q53" s="397"/>
      <c r="R53" s="397"/>
      <c r="S53" s="397"/>
      <c r="T53" s="1998"/>
    </row>
    <row r="54" spans="1:20">
      <c r="A54" s="2490"/>
      <c r="B54" s="2485">
        <v>8</v>
      </c>
      <c r="C54" s="398">
        <f t="shared" si="30"/>
        <v>1598764.3599999999</v>
      </c>
      <c r="D54" s="397"/>
      <c r="E54" s="398">
        <f t="shared" si="23"/>
        <v>1940587.9100000001</v>
      </c>
      <c r="F54" s="398">
        <f t="shared" si="24"/>
        <v>1945668.7219999998</v>
      </c>
      <c r="G54" s="396">
        <f t="shared" si="25"/>
        <v>2131600.2000000002</v>
      </c>
      <c r="H54" s="396">
        <f t="shared" si="25"/>
        <v>2244151.15</v>
      </c>
      <c r="I54" s="396">
        <f t="shared" si="25"/>
        <v>2336127.8660000004</v>
      </c>
      <c r="J54" s="396">
        <f t="shared" si="26"/>
        <v>2424772.1820000005</v>
      </c>
      <c r="K54" s="396">
        <f t="shared" si="27"/>
        <v>2548170.798</v>
      </c>
      <c r="L54" s="396">
        <f t="shared" si="28"/>
        <v>2565071.1979999999</v>
      </c>
      <c r="M54" s="396">
        <f t="shared" si="29"/>
        <v>2656698.648</v>
      </c>
      <c r="N54" s="397"/>
      <c r="O54" s="397"/>
      <c r="P54" s="397"/>
      <c r="Q54" s="397"/>
      <c r="R54" s="397"/>
      <c r="S54" s="397"/>
      <c r="T54" s="1998"/>
    </row>
    <row r="55" spans="1:20">
      <c r="A55" s="2490"/>
      <c r="B55" s="2485">
        <v>9</v>
      </c>
      <c r="C55" s="398">
        <f t="shared" si="30"/>
        <v>1762571.8228571429</v>
      </c>
      <c r="D55" s="397"/>
      <c r="E55" s="398">
        <f t="shared" si="23"/>
        <v>2180572.4283333332</v>
      </c>
      <c r="F55" s="398">
        <f t="shared" si="24"/>
        <v>2196806.5420000004</v>
      </c>
      <c r="G55" s="396">
        <f t="shared" si="25"/>
        <v>2429225.5300000003</v>
      </c>
      <c r="H55" s="396">
        <f t="shared" si="25"/>
        <v>2546640.15</v>
      </c>
      <c r="I55" s="396">
        <f t="shared" si="25"/>
        <v>2641045.2399999998</v>
      </c>
      <c r="J55" s="396">
        <f t="shared" si="26"/>
        <v>2732531.4</v>
      </c>
      <c r="K55" s="396">
        <f t="shared" si="27"/>
        <v>2849882.4759999998</v>
      </c>
      <c r="L55" s="396">
        <f t="shared" si="28"/>
        <v>2842709.8759999997</v>
      </c>
      <c r="M55" s="396">
        <f t="shared" si="29"/>
        <v>2920318.5259999996</v>
      </c>
      <c r="N55" s="397"/>
      <c r="O55" s="397"/>
      <c r="P55" s="397"/>
      <c r="Q55" s="397"/>
      <c r="R55" s="397"/>
      <c r="S55" s="397"/>
      <c r="T55" s="1998"/>
    </row>
    <row r="56" spans="1:20">
      <c r="A56" s="2490"/>
      <c r="B56" s="2485">
        <v>10</v>
      </c>
      <c r="C56" s="398">
        <f t="shared" si="30"/>
        <v>1950813.8242857144</v>
      </c>
      <c r="D56" s="397"/>
      <c r="E56" s="398">
        <f t="shared" si="23"/>
        <v>2404694.5733333332</v>
      </c>
      <c r="F56" s="398">
        <f t="shared" si="24"/>
        <v>2413961.1639999999</v>
      </c>
      <c r="G56" s="396">
        <f t="shared" si="25"/>
        <v>2656404.0619999999</v>
      </c>
      <c r="H56" s="396">
        <f t="shared" si="25"/>
        <v>2800801.4840000002</v>
      </c>
      <c r="I56" s="396">
        <f t="shared" si="25"/>
        <v>2905094.7</v>
      </c>
      <c r="J56" s="396">
        <f t="shared" si="26"/>
        <v>3014623.8859999999</v>
      </c>
      <c r="K56" s="396">
        <f t="shared" si="27"/>
        <v>3149591.7220000001</v>
      </c>
      <c r="L56" s="396">
        <f t="shared" si="28"/>
        <v>3118308.5219999999</v>
      </c>
      <c r="M56" s="396">
        <f t="shared" si="29"/>
        <v>3188332.2379999999</v>
      </c>
      <c r="N56" s="397"/>
      <c r="O56" s="397"/>
      <c r="P56" s="397"/>
      <c r="Q56" s="397"/>
      <c r="R56" s="397"/>
      <c r="S56" s="397"/>
      <c r="T56" s="1998"/>
    </row>
    <row r="57" spans="1:20">
      <c r="A57" s="2490"/>
      <c r="B57" s="2485">
        <v>11</v>
      </c>
      <c r="C57" s="398">
        <f t="shared" si="30"/>
        <v>2108404.2428571428</v>
      </c>
      <c r="D57" s="397"/>
      <c r="E57" s="398">
        <f t="shared" si="23"/>
        <v>2620526.1</v>
      </c>
      <c r="F57" s="398">
        <f t="shared" si="24"/>
        <v>2630069.6</v>
      </c>
      <c r="G57" s="396">
        <f t="shared" si="25"/>
        <v>2893252.9780000001</v>
      </c>
      <c r="H57" s="396">
        <f t="shared" si="25"/>
        <v>3053236.6859999998</v>
      </c>
      <c r="I57" s="396">
        <f t="shared" si="25"/>
        <v>3161420.196</v>
      </c>
      <c r="J57" s="396">
        <f t="shared" si="26"/>
        <v>3276305.736</v>
      </c>
      <c r="K57" s="396">
        <f t="shared" si="27"/>
        <v>3425821.0180000002</v>
      </c>
      <c r="L57" s="396">
        <f t="shared" si="28"/>
        <v>3396107.0180000002</v>
      </c>
      <c r="M57" s="396">
        <f t="shared" si="29"/>
        <v>3471211.7319999998</v>
      </c>
      <c r="N57" s="397"/>
      <c r="O57" s="397"/>
      <c r="P57" s="397"/>
      <c r="Q57" s="397"/>
      <c r="R57" s="397"/>
      <c r="S57" s="397"/>
      <c r="T57" s="1998"/>
    </row>
    <row r="58" spans="1:20">
      <c r="A58" s="2493"/>
      <c r="B58" s="2488">
        <v>12</v>
      </c>
      <c r="C58" s="2480">
        <f t="shared" si="30"/>
        <v>2275743.5857142857</v>
      </c>
      <c r="D58" s="2001"/>
      <c r="E58" s="2480">
        <f t="shared" si="23"/>
        <v>2893228.4033333338</v>
      </c>
      <c r="F58" s="2480">
        <f t="shared" si="24"/>
        <v>2912565.4240000001</v>
      </c>
      <c r="G58" s="2481">
        <f t="shared" si="25"/>
        <v>3220292.324</v>
      </c>
      <c r="H58" s="2481">
        <f t="shared" si="25"/>
        <v>3407147.85</v>
      </c>
      <c r="I58" s="2481">
        <f t="shared" si="25"/>
        <v>3489355.7719999999</v>
      </c>
      <c r="J58" s="2481">
        <f t="shared" si="26"/>
        <v>3583745.13</v>
      </c>
      <c r="K58" s="2481">
        <f t="shared" si="27"/>
        <v>3730402.5699999994</v>
      </c>
      <c r="L58" s="2481">
        <f t="shared" si="28"/>
        <v>3675760.37</v>
      </c>
      <c r="M58" s="2481">
        <f t="shared" si="29"/>
        <v>3736889.5200000005</v>
      </c>
      <c r="N58" s="2001"/>
      <c r="O58" s="2001"/>
      <c r="P58" s="2001"/>
      <c r="Q58" s="2001"/>
      <c r="R58" s="2001"/>
      <c r="S58" s="2001"/>
      <c r="T58" s="2002"/>
    </row>
    <row r="59" spans="1:20">
      <c r="E59" s="1570"/>
      <c r="F59" s="1570"/>
      <c r="G59" s="1570"/>
      <c r="H59" s="1570"/>
      <c r="I59" s="1570"/>
      <c r="R59" s="397"/>
    </row>
    <row r="60" spans="1:20">
      <c r="R60" s="397"/>
    </row>
    <row r="61" spans="1:20">
      <c r="R61" s="397"/>
    </row>
    <row r="62" spans="1:20">
      <c r="R62" s="397"/>
    </row>
    <row r="63" spans="1:20">
      <c r="R63" s="397"/>
    </row>
    <row r="64" spans="1:20">
      <c r="R64" s="397"/>
    </row>
    <row r="65" spans="18:18">
      <c r="R65" s="397"/>
    </row>
    <row r="66" spans="18:18">
      <c r="R66" s="397"/>
    </row>
    <row r="67" spans="18:18">
      <c r="R67" s="397"/>
    </row>
    <row r="68" spans="18:18">
      <c r="R68" s="397"/>
    </row>
    <row r="69" spans="18:18">
      <c r="R69" s="397"/>
    </row>
    <row r="70" spans="18:18">
      <c r="R70" s="397"/>
    </row>
    <row r="71" spans="18:18">
      <c r="R71" s="397"/>
    </row>
    <row r="72" spans="18:18">
      <c r="R72" s="397"/>
    </row>
    <row r="73" spans="18:18">
      <c r="R73" s="397"/>
    </row>
    <row r="74" spans="18:18">
      <c r="R74" s="397"/>
    </row>
    <row r="75" spans="18:18">
      <c r="R75" s="397"/>
    </row>
    <row r="76" spans="18:18">
      <c r="R76" s="397"/>
    </row>
    <row r="77" spans="18:18">
      <c r="R77" s="397"/>
    </row>
    <row r="78" spans="18:18">
      <c r="R78" s="397"/>
    </row>
    <row r="79" spans="18:18">
      <c r="R79" s="397"/>
    </row>
    <row r="80" spans="18:18">
      <c r="R80" s="397"/>
    </row>
    <row r="81" spans="18:18">
      <c r="R81" s="397"/>
    </row>
    <row r="82" spans="18:18">
      <c r="R82" s="397"/>
    </row>
    <row r="83" spans="18:18">
      <c r="R83" s="397"/>
    </row>
    <row r="84" spans="18:18">
      <c r="R84" s="397"/>
    </row>
    <row r="85" spans="18:18">
      <c r="R85" s="397"/>
    </row>
    <row r="86" spans="18:18">
      <c r="R86" s="397"/>
    </row>
    <row r="87" spans="18:18">
      <c r="R87" s="397"/>
    </row>
    <row r="88" spans="18:18">
      <c r="R88" s="397"/>
    </row>
    <row r="89" spans="18:18">
      <c r="R89" s="397"/>
    </row>
    <row r="90" spans="18:18">
      <c r="R90" s="397"/>
    </row>
    <row r="91" spans="18:18">
      <c r="R91" s="397"/>
    </row>
    <row r="92" spans="18:18">
      <c r="R92" s="397"/>
    </row>
    <row r="93" spans="18:18">
      <c r="R93" s="397"/>
    </row>
    <row r="94" spans="18:18">
      <c r="R94" s="397"/>
    </row>
    <row r="95" spans="18:18">
      <c r="R95" s="397"/>
    </row>
    <row r="96" spans="18:18">
      <c r="R96" s="397"/>
    </row>
    <row r="97" spans="18:18">
      <c r="R97" s="397"/>
    </row>
    <row r="98" spans="18:18">
      <c r="R98" s="397"/>
    </row>
    <row r="99" spans="18:18">
      <c r="R99" s="397"/>
    </row>
    <row r="100" spans="18:18">
      <c r="R100" s="397"/>
    </row>
    <row r="101" spans="18:18">
      <c r="R101" s="397"/>
    </row>
    <row r="102" spans="18:18">
      <c r="R102" s="397"/>
    </row>
    <row r="103" spans="18:18">
      <c r="R103" s="397"/>
    </row>
    <row r="104" spans="18:18">
      <c r="R104" s="397"/>
    </row>
    <row r="105" spans="18:18">
      <c r="R105" s="397"/>
    </row>
    <row r="106" spans="18:18">
      <c r="R106" s="397"/>
    </row>
    <row r="107" spans="18:18">
      <c r="R107" s="397"/>
    </row>
    <row r="108" spans="18:18">
      <c r="R108" s="397"/>
    </row>
    <row r="109" spans="18:18">
      <c r="R109" s="397"/>
    </row>
    <row r="110" spans="18:18">
      <c r="R110" s="397"/>
    </row>
    <row r="111" spans="18:18">
      <c r="R111" s="397"/>
    </row>
    <row r="112" spans="18:18">
      <c r="R112" s="397"/>
    </row>
    <row r="113" spans="18:18">
      <c r="R113" s="397"/>
    </row>
  </sheetData>
  <mergeCells count="1">
    <mergeCell ref="A1:T1"/>
  </mergeCells>
  <hyperlinks>
    <hyperlink ref="A1" location="GLOBAAL!A1" display="Werkingskredieten - evolutie" xr:uid="{00000000-0004-0000-4500-000000000000}"/>
    <hyperlink ref="A1:P1" location="FINANCIËN!A1" display="Werkingskredieten - evolutie" xr:uid="{00000000-0004-0000-4500-000001000000}"/>
  </hyperlinks>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EBD531"/>
  </sheetPr>
  <dimension ref="A1:Y691"/>
  <sheetViews>
    <sheetView topLeftCell="A175" workbookViewId="0">
      <pane ySplit="6" topLeftCell="A668" activePane="bottomLeft" state="frozen"/>
      <selection activeCell="E37" sqref="E37"/>
      <selection pane="bottomLeft" activeCell="A175" sqref="A175:N175"/>
    </sheetView>
  </sheetViews>
  <sheetFormatPr defaultColWidth="9.140625" defaultRowHeight="12.75"/>
  <cols>
    <col min="1" max="1" width="13.140625" style="627" customWidth="1"/>
    <col min="2" max="2" width="21.140625" style="520" customWidth="1"/>
    <col min="3" max="3" width="9.28515625" style="598" bestFit="1" customWidth="1"/>
    <col min="4" max="4" width="5" style="598" bestFit="1" customWidth="1"/>
    <col min="5" max="5" width="4.140625" style="598" bestFit="1" customWidth="1"/>
    <col min="6" max="6" width="6" style="618" bestFit="1" customWidth="1"/>
    <col min="7" max="7" width="6" style="598" bestFit="1" customWidth="1"/>
    <col min="8" max="8" width="7" style="598" bestFit="1" customWidth="1"/>
    <col min="9" max="9" width="5" style="598" bestFit="1" customWidth="1"/>
    <col min="10" max="10" width="4" style="598" bestFit="1" customWidth="1"/>
    <col min="11" max="11" width="33.140625" style="598" bestFit="1" customWidth="1"/>
    <col min="12" max="12" width="9.42578125" style="611" bestFit="1" customWidth="1"/>
    <col min="13" max="14" width="8.42578125" style="611" bestFit="1" customWidth="1"/>
    <col min="15" max="15" width="7" style="611" bestFit="1" customWidth="1"/>
    <col min="16" max="16" width="10.7109375" style="611" bestFit="1" customWidth="1"/>
    <col min="17" max="17" width="8.42578125" style="611" bestFit="1" customWidth="1"/>
    <col min="18" max="18" width="6" style="608" bestFit="1" customWidth="1"/>
    <col min="19" max="19" width="8.42578125" style="608" bestFit="1" customWidth="1"/>
    <col min="20" max="20" width="9.42578125" style="608" bestFit="1" customWidth="1"/>
    <col min="21" max="21" width="11.85546875" style="520" customWidth="1"/>
    <col min="22" max="22" width="13.140625" style="520" customWidth="1"/>
    <col min="23" max="23" width="9.7109375" style="608" bestFit="1" customWidth="1"/>
    <col min="24" max="16384" width="9.140625" style="520"/>
  </cols>
  <sheetData>
    <row r="1" spans="1:21" ht="18">
      <c r="A1" s="880" t="s">
        <v>5204</v>
      </c>
      <c r="B1" s="880" t="s">
        <v>5204</v>
      </c>
      <c r="C1" s="881"/>
      <c r="D1" s="814"/>
      <c r="E1" s="814"/>
      <c r="F1" s="814"/>
      <c r="G1" s="814"/>
      <c r="H1" s="814"/>
      <c r="I1" s="814"/>
      <c r="J1" s="814"/>
      <c r="K1" s="814"/>
      <c r="L1" s="882"/>
      <c r="M1" s="882"/>
      <c r="N1" s="882"/>
      <c r="O1" s="882"/>
      <c r="P1" s="882"/>
      <c r="Q1" s="882"/>
      <c r="T1" s="882"/>
    </row>
    <row r="2" spans="1:21" ht="15.75">
      <c r="A2" s="883" t="s">
        <v>5205</v>
      </c>
      <c r="B2" s="883"/>
      <c r="C2" s="884"/>
      <c r="D2" s="883"/>
      <c r="E2" s="883"/>
      <c r="F2" s="883"/>
      <c r="G2" s="883"/>
      <c r="H2" s="883"/>
      <c r="I2" s="883"/>
      <c r="J2" s="883"/>
      <c r="K2" s="883"/>
      <c r="L2" s="885"/>
      <c r="M2" s="885"/>
      <c r="N2" s="885"/>
      <c r="O2" s="885"/>
      <c r="P2" s="885"/>
      <c r="Q2" s="885"/>
      <c r="R2" s="886"/>
      <c r="T2" s="885"/>
    </row>
    <row r="3" spans="1:21">
      <c r="F3" s="598"/>
    </row>
    <row r="4" spans="1:21" ht="15.75" thickBot="1">
      <c r="A4" s="887"/>
      <c r="B4" s="887"/>
      <c r="C4" s="888"/>
      <c r="D4" s="887"/>
      <c r="E4" s="887"/>
      <c r="F4" s="887"/>
      <c r="G4" s="887"/>
      <c r="H4" s="887"/>
      <c r="I4" s="887"/>
      <c r="J4" s="887"/>
      <c r="K4" s="887"/>
      <c r="L4" s="889"/>
      <c r="M4" s="889"/>
      <c r="N4" s="889"/>
      <c r="O4" s="889"/>
      <c r="P4" s="889"/>
      <c r="Q4" s="889"/>
      <c r="R4" s="889"/>
      <c r="T4" s="889"/>
    </row>
    <row r="5" spans="1:21" ht="15.75" thickBot="1">
      <c r="A5" s="4899" t="s">
        <v>5206</v>
      </c>
      <c r="B5" s="4900"/>
      <c r="C5" s="4900"/>
      <c r="D5" s="4900"/>
      <c r="E5" s="4900"/>
      <c r="F5" s="4900"/>
      <c r="G5" s="4900"/>
      <c r="H5" s="4900"/>
      <c r="I5" s="4900"/>
      <c r="J5" s="4900"/>
      <c r="K5" s="4900"/>
      <c r="L5" s="4901" t="s">
        <v>5207</v>
      </c>
      <c r="M5" s="4902"/>
      <c r="N5" s="4902"/>
      <c r="O5" s="4902"/>
      <c r="P5" s="4902"/>
      <c r="Q5" s="4902"/>
      <c r="R5" s="4903"/>
      <c r="T5" s="889"/>
    </row>
    <row r="6" spans="1:21" ht="13.5" customHeight="1">
      <c r="A6" s="890" t="s">
        <v>5208</v>
      </c>
      <c r="B6" s="891" t="s">
        <v>5209</v>
      </c>
      <c r="C6" s="891" t="s">
        <v>5210</v>
      </c>
      <c r="D6" s="891" t="s">
        <v>634</v>
      </c>
      <c r="E6" s="891" t="s">
        <v>5211</v>
      </c>
      <c r="F6" s="891" t="s">
        <v>5212</v>
      </c>
      <c r="G6" s="891" t="s">
        <v>5213</v>
      </c>
      <c r="H6" s="892" t="s">
        <v>5214</v>
      </c>
      <c r="I6" s="891" t="s">
        <v>5215</v>
      </c>
      <c r="J6" s="891" t="s">
        <v>5216</v>
      </c>
      <c r="K6" s="891" t="s">
        <v>5217</v>
      </c>
      <c r="L6" s="893" t="s">
        <v>5218</v>
      </c>
      <c r="M6" s="893" t="s">
        <v>5219</v>
      </c>
      <c r="N6" s="893" t="s">
        <v>5220</v>
      </c>
      <c r="O6" s="893" t="s">
        <v>5221</v>
      </c>
      <c r="P6" s="894" t="s">
        <v>5222</v>
      </c>
      <c r="Q6" s="893" t="s">
        <v>5223</v>
      </c>
      <c r="R6" s="895" t="s">
        <v>5224</v>
      </c>
      <c r="S6" s="896" t="s">
        <v>5225</v>
      </c>
      <c r="T6" s="897" t="s">
        <v>8</v>
      </c>
    </row>
    <row r="7" spans="1:21" ht="15">
      <c r="A7" s="890"/>
      <c r="B7" s="898"/>
      <c r="C7" s="891"/>
      <c r="D7" s="898"/>
      <c r="E7" s="898"/>
      <c r="F7" s="898"/>
      <c r="G7" s="898"/>
      <c r="H7" s="899"/>
      <c r="I7" s="898"/>
      <c r="J7" s="898"/>
      <c r="K7" s="898"/>
      <c r="L7" s="900"/>
      <c r="M7" s="900"/>
      <c r="N7" s="900"/>
      <c r="O7" s="900"/>
      <c r="P7" s="900"/>
      <c r="Q7" s="900"/>
      <c r="R7" s="901"/>
      <c r="S7" s="902"/>
      <c r="T7" s="903"/>
    </row>
    <row r="8" spans="1:21" ht="15">
      <c r="A8" s="904" t="s">
        <v>4743</v>
      </c>
      <c r="B8" s="898"/>
      <c r="C8" s="891"/>
      <c r="D8" s="898"/>
      <c r="E8" s="898"/>
      <c r="F8" s="898"/>
      <c r="G8" s="898"/>
      <c r="H8" s="899"/>
      <c r="I8" s="898"/>
      <c r="J8" s="898"/>
      <c r="K8" s="891" t="s">
        <v>5226</v>
      </c>
      <c r="L8" s="900"/>
      <c r="M8" s="900"/>
      <c r="N8" s="900"/>
      <c r="O8" s="900"/>
      <c r="P8" s="900"/>
      <c r="Q8" s="900"/>
      <c r="R8" s="901"/>
      <c r="S8" s="902"/>
      <c r="T8" s="903"/>
      <c r="U8" s="615">
        <f>SUM(T9:T11)</f>
        <v>5517.01</v>
      </c>
    </row>
    <row r="9" spans="1:21" ht="15">
      <c r="A9" s="905">
        <v>2725384</v>
      </c>
      <c r="B9" s="906" t="s">
        <v>5227</v>
      </c>
      <c r="C9" s="907" t="s">
        <v>5228</v>
      </c>
      <c r="D9" s="906">
        <v>1900</v>
      </c>
      <c r="E9" s="906">
        <v>0</v>
      </c>
      <c r="F9" s="906">
        <v>0</v>
      </c>
      <c r="G9" s="906">
        <v>0</v>
      </c>
      <c r="H9" s="906">
        <v>17500</v>
      </c>
      <c r="I9" s="906">
        <v>4</v>
      </c>
      <c r="J9" s="906">
        <v>0</v>
      </c>
      <c r="K9" s="906" t="s">
        <v>5229</v>
      </c>
      <c r="L9" s="908"/>
      <c r="M9" s="908"/>
      <c r="N9" s="908"/>
      <c r="O9" s="908"/>
      <c r="P9" s="908"/>
      <c r="Q9" s="908"/>
      <c r="R9" s="909"/>
      <c r="S9" s="902"/>
      <c r="T9" s="910"/>
    </row>
    <row r="10" spans="1:21" ht="15">
      <c r="A10" s="905">
        <v>19157693</v>
      </c>
      <c r="B10" s="906" t="s">
        <v>5230</v>
      </c>
      <c r="C10" s="907" t="s">
        <v>5231</v>
      </c>
      <c r="D10" s="906">
        <v>2003</v>
      </c>
      <c r="E10" s="906">
        <v>51</v>
      </c>
      <c r="F10" s="906">
        <v>1868</v>
      </c>
      <c r="G10" s="906">
        <v>0</v>
      </c>
      <c r="H10" s="906">
        <v>8529</v>
      </c>
      <c r="I10" s="906">
        <v>4</v>
      </c>
      <c r="J10" s="906">
        <v>0</v>
      </c>
      <c r="K10" s="906" t="s">
        <v>5232</v>
      </c>
      <c r="L10" s="908">
        <v>181.18</v>
      </c>
      <c r="M10" s="908"/>
      <c r="N10" s="908"/>
      <c r="O10" s="911"/>
      <c r="P10" s="908">
        <v>14.87</v>
      </c>
      <c r="Q10" s="908"/>
      <c r="R10" s="909"/>
      <c r="S10" s="902">
        <v>33.46</v>
      </c>
      <c r="T10" s="910">
        <f>SUM(L10:S10)</f>
        <v>229.51000000000002</v>
      </c>
    </row>
    <row r="11" spans="1:21" ht="15">
      <c r="A11" s="912"/>
      <c r="B11" s="913" t="s">
        <v>5233</v>
      </c>
      <c r="C11" s="914"/>
      <c r="D11" s="913"/>
      <c r="E11" s="913"/>
      <c r="F11" s="913"/>
      <c r="G11" s="913"/>
      <c r="H11" s="913"/>
      <c r="I11" s="913"/>
      <c r="J11" s="913"/>
      <c r="K11" s="913" t="s">
        <v>5234</v>
      </c>
      <c r="L11" s="915"/>
      <c r="M11" s="915">
        <v>700</v>
      </c>
      <c r="N11" s="915">
        <v>2400</v>
      </c>
      <c r="O11" s="916">
        <v>700</v>
      </c>
      <c r="P11" s="915"/>
      <c r="Q11" s="915">
        <v>700</v>
      </c>
      <c r="R11" s="909"/>
      <c r="S11" s="902">
        <v>787.5</v>
      </c>
      <c r="T11" s="910">
        <f>SUM(L11:S11)</f>
        <v>5287.5</v>
      </c>
    </row>
    <row r="12" spans="1:21" ht="15">
      <c r="A12" s="912"/>
      <c r="B12" s="913"/>
      <c r="C12" s="914"/>
      <c r="D12" s="913"/>
      <c r="E12" s="913"/>
      <c r="F12" s="913"/>
      <c r="G12" s="913"/>
      <c r="H12" s="913"/>
      <c r="I12" s="913"/>
      <c r="J12" s="913"/>
      <c r="K12" s="913"/>
      <c r="L12" s="915"/>
      <c r="M12" s="915"/>
      <c r="N12" s="915"/>
      <c r="O12" s="916"/>
      <c r="P12" s="915"/>
      <c r="Q12" s="915"/>
      <c r="R12" s="909"/>
      <c r="S12" s="902"/>
      <c r="T12" s="917"/>
    </row>
    <row r="13" spans="1:21" ht="15">
      <c r="A13" s="912"/>
      <c r="B13" s="913"/>
      <c r="C13" s="914"/>
      <c r="D13" s="913"/>
      <c r="E13" s="913"/>
      <c r="F13" s="913"/>
      <c r="G13" s="913"/>
      <c r="H13" s="913"/>
      <c r="I13" s="913"/>
      <c r="J13" s="913"/>
      <c r="K13" s="913"/>
      <c r="L13" s="915"/>
      <c r="M13" s="915"/>
      <c r="N13" s="915"/>
      <c r="O13" s="916"/>
      <c r="P13" s="915"/>
      <c r="Q13" s="915"/>
      <c r="R13" s="909"/>
      <c r="S13" s="902"/>
      <c r="T13" s="910"/>
    </row>
    <row r="14" spans="1:21" ht="15">
      <c r="A14" s="918" t="s">
        <v>5235</v>
      </c>
      <c r="B14" s="906"/>
      <c r="C14" s="907"/>
      <c r="D14" s="906"/>
      <c r="E14" s="906"/>
      <c r="F14" s="906"/>
      <c r="G14" s="906"/>
      <c r="H14" s="906"/>
      <c r="I14" s="906"/>
      <c r="J14" s="906"/>
      <c r="K14" s="919" t="s">
        <v>5236</v>
      </c>
      <c r="L14" s="908"/>
      <c r="M14" s="908"/>
      <c r="N14" s="908"/>
      <c r="O14" s="911"/>
      <c r="P14" s="908"/>
      <c r="Q14" s="908"/>
      <c r="R14" s="909"/>
      <c r="S14" s="902"/>
      <c r="T14" s="910"/>
      <c r="U14" s="615">
        <f>SUM(T15:T48)</f>
        <v>7334.6699999999992</v>
      </c>
    </row>
    <row r="15" spans="1:21" ht="15">
      <c r="A15" s="905">
        <v>2254378</v>
      </c>
      <c r="B15" s="906" t="s">
        <v>5237</v>
      </c>
      <c r="C15" s="907" t="s">
        <v>5228</v>
      </c>
      <c r="D15" s="906">
        <v>1980</v>
      </c>
      <c r="E15" s="906">
        <v>0</v>
      </c>
      <c r="F15" s="906">
        <v>0</v>
      </c>
      <c r="G15" s="906">
        <v>1000</v>
      </c>
      <c r="H15" s="906">
        <v>0</v>
      </c>
      <c r="I15" s="906">
        <v>0</v>
      </c>
      <c r="J15" s="906">
        <v>0</v>
      </c>
      <c r="K15" s="906" t="s">
        <v>5238</v>
      </c>
      <c r="L15" s="908">
        <v>8.2799999999999994</v>
      </c>
      <c r="M15" s="908"/>
      <c r="N15" s="908"/>
      <c r="O15" s="911"/>
      <c r="P15" s="908"/>
      <c r="Q15" s="908"/>
      <c r="R15" s="909"/>
      <c r="S15" s="902">
        <v>1.06</v>
      </c>
      <c r="T15" s="910">
        <f t="shared" ref="T15:T78" si="0">SUM(L15:S15)</f>
        <v>9.34</v>
      </c>
    </row>
    <row r="16" spans="1:21" ht="15">
      <c r="A16" s="905">
        <v>2302144</v>
      </c>
      <c r="B16" s="906" t="s">
        <v>5239</v>
      </c>
      <c r="C16" s="907" t="s">
        <v>5240</v>
      </c>
      <c r="D16" s="906">
        <v>1999</v>
      </c>
      <c r="E16" s="906">
        <v>84</v>
      </c>
      <c r="F16" s="906">
        <v>2799</v>
      </c>
      <c r="G16" s="906">
        <v>0</v>
      </c>
      <c r="H16" s="906">
        <v>24789</v>
      </c>
      <c r="I16" s="906">
        <v>2</v>
      </c>
      <c r="J16" s="906">
        <v>0</v>
      </c>
      <c r="K16" s="906" t="s">
        <v>5241</v>
      </c>
      <c r="L16" s="908">
        <v>400.16</v>
      </c>
      <c r="M16" s="908"/>
      <c r="N16" s="908"/>
      <c r="O16" s="911"/>
      <c r="P16" s="908">
        <v>8.68</v>
      </c>
      <c r="Q16" s="908"/>
      <c r="R16" s="909"/>
      <c r="S16" s="902">
        <v>52.07</v>
      </c>
      <c r="T16" s="910">
        <f t="shared" si="0"/>
        <v>460.91</v>
      </c>
    </row>
    <row r="17" spans="1:20" ht="15">
      <c r="A17" s="905">
        <v>19024173</v>
      </c>
      <c r="B17" s="906" t="s">
        <v>5242</v>
      </c>
      <c r="C17" s="907" t="s">
        <v>5243</v>
      </c>
      <c r="D17" s="906">
        <v>1996</v>
      </c>
      <c r="E17" s="906">
        <v>0</v>
      </c>
      <c r="F17" s="906">
        <v>0</v>
      </c>
      <c r="G17" s="906">
        <v>3500</v>
      </c>
      <c r="H17" s="906">
        <v>5850</v>
      </c>
      <c r="I17" s="906">
        <v>0</v>
      </c>
      <c r="J17" s="906">
        <v>0</v>
      </c>
      <c r="K17" s="906" t="s">
        <v>5238</v>
      </c>
      <c r="L17" s="908">
        <v>44.67</v>
      </c>
      <c r="M17" s="908"/>
      <c r="N17" s="908"/>
      <c r="O17" s="911"/>
      <c r="P17" s="908"/>
      <c r="Q17" s="908"/>
      <c r="R17" s="909"/>
      <c r="S17" s="902">
        <v>5.74</v>
      </c>
      <c r="T17" s="910">
        <f t="shared" si="0"/>
        <v>50.410000000000004</v>
      </c>
    </row>
    <row r="18" spans="1:20" ht="15">
      <c r="A18" s="905">
        <v>19024174</v>
      </c>
      <c r="B18" s="906" t="s">
        <v>5244</v>
      </c>
      <c r="C18" s="907" t="s">
        <v>5245</v>
      </c>
      <c r="D18" s="906">
        <v>1996</v>
      </c>
      <c r="E18" s="906">
        <v>0</v>
      </c>
      <c r="F18" s="906">
        <v>5958</v>
      </c>
      <c r="G18" s="906">
        <v>10000</v>
      </c>
      <c r="H18" s="906">
        <v>23996</v>
      </c>
      <c r="I18" s="906">
        <v>2</v>
      </c>
      <c r="J18" s="906">
        <v>0</v>
      </c>
      <c r="K18" s="906" t="s">
        <v>5246</v>
      </c>
      <c r="L18" s="908">
        <v>290.20999999999998</v>
      </c>
      <c r="M18" s="908"/>
      <c r="N18" s="908"/>
      <c r="O18" s="911"/>
      <c r="P18" s="908">
        <v>8.68</v>
      </c>
      <c r="Q18" s="908"/>
      <c r="R18" s="909"/>
      <c r="S18" s="902">
        <v>37.950000000000003</v>
      </c>
      <c r="T18" s="910">
        <f t="shared" si="0"/>
        <v>336.84</v>
      </c>
    </row>
    <row r="19" spans="1:20" ht="13.5" customHeight="1">
      <c r="A19" s="905">
        <v>19025769</v>
      </c>
      <c r="B19" s="906" t="s">
        <v>5244</v>
      </c>
      <c r="C19" s="907" t="s">
        <v>5247</v>
      </c>
      <c r="D19" s="906">
        <v>1996</v>
      </c>
      <c r="E19" s="906">
        <v>180</v>
      </c>
      <c r="F19" s="906">
        <v>10964</v>
      </c>
      <c r="G19" s="906">
        <v>19000</v>
      </c>
      <c r="H19" s="906">
        <v>141027</v>
      </c>
      <c r="I19" s="906">
        <v>2</v>
      </c>
      <c r="J19" s="906">
        <v>0</v>
      </c>
      <c r="K19" s="906" t="s">
        <v>5246</v>
      </c>
      <c r="L19" s="908">
        <v>455.26</v>
      </c>
      <c r="M19" s="908"/>
      <c r="N19" s="908"/>
      <c r="O19" s="911"/>
      <c r="P19" s="908">
        <v>8.68</v>
      </c>
      <c r="Q19" s="908"/>
      <c r="R19" s="909"/>
      <c r="S19" s="902">
        <v>59.14</v>
      </c>
      <c r="T19" s="910">
        <f t="shared" si="0"/>
        <v>523.08000000000004</v>
      </c>
    </row>
    <row r="20" spans="1:20" ht="15">
      <c r="A20" s="905">
        <v>19046774</v>
      </c>
      <c r="B20" s="906" t="s">
        <v>5248</v>
      </c>
      <c r="C20" s="907" t="s">
        <v>5228</v>
      </c>
      <c r="D20" s="906">
        <v>1999</v>
      </c>
      <c r="E20" s="906">
        <v>0</v>
      </c>
      <c r="F20" s="906">
        <v>0</v>
      </c>
      <c r="G20" s="906">
        <v>2000</v>
      </c>
      <c r="H20" s="906">
        <v>6197</v>
      </c>
      <c r="I20" s="906">
        <v>0</v>
      </c>
      <c r="J20" s="906">
        <v>0</v>
      </c>
      <c r="K20" s="906" t="s">
        <v>5238</v>
      </c>
      <c r="L20" s="908">
        <v>16.559999999999999</v>
      </c>
      <c r="M20" s="908"/>
      <c r="N20" s="908"/>
      <c r="O20" s="911"/>
      <c r="P20" s="908"/>
      <c r="Q20" s="908"/>
      <c r="R20" s="909"/>
      <c r="S20" s="902">
        <v>2.13</v>
      </c>
      <c r="T20" s="910">
        <f t="shared" si="0"/>
        <v>18.689999999999998</v>
      </c>
    </row>
    <row r="21" spans="1:20" ht="15">
      <c r="A21" s="905">
        <v>19055120</v>
      </c>
      <c r="B21" s="906" t="s">
        <v>5249</v>
      </c>
      <c r="C21" s="907" t="s">
        <v>5250</v>
      </c>
      <c r="D21" s="906">
        <v>2000</v>
      </c>
      <c r="E21" s="906">
        <v>51</v>
      </c>
      <c r="F21" s="906">
        <v>1868</v>
      </c>
      <c r="G21" s="906">
        <v>0</v>
      </c>
      <c r="H21" s="906">
        <v>10857</v>
      </c>
      <c r="I21" s="906">
        <v>4</v>
      </c>
      <c r="J21" s="906">
        <v>4</v>
      </c>
      <c r="K21" s="906" t="s">
        <v>5251</v>
      </c>
      <c r="L21" s="908">
        <v>181.18</v>
      </c>
      <c r="M21" s="908"/>
      <c r="N21" s="908"/>
      <c r="O21" s="911"/>
      <c r="P21" s="908">
        <v>14.87</v>
      </c>
      <c r="Q21" s="908"/>
      <c r="R21" s="909"/>
      <c r="S21" s="902">
        <v>33.46</v>
      </c>
      <c r="T21" s="910">
        <f t="shared" si="0"/>
        <v>229.51000000000002</v>
      </c>
    </row>
    <row r="22" spans="1:20" ht="15">
      <c r="A22" s="905">
        <v>19055156</v>
      </c>
      <c r="B22" s="906" t="s">
        <v>5239</v>
      </c>
      <c r="C22" s="907" t="s">
        <v>5252</v>
      </c>
      <c r="D22" s="906">
        <v>2000</v>
      </c>
      <c r="E22" s="906">
        <v>47</v>
      </c>
      <c r="F22" s="906">
        <v>1870</v>
      </c>
      <c r="G22" s="906">
        <v>0</v>
      </c>
      <c r="H22" s="906">
        <v>11279</v>
      </c>
      <c r="I22" s="906">
        <v>1</v>
      </c>
      <c r="J22" s="906">
        <v>3</v>
      </c>
      <c r="K22" s="906" t="s">
        <v>5241</v>
      </c>
      <c r="L22" s="908">
        <v>157.07</v>
      </c>
      <c r="M22" s="908"/>
      <c r="N22" s="908"/>
      <c r="O22" s="911"/>
      <c r="P22" s="908">
        <v>8.68</v>
      </c>
      <c r="Q22" s="908"/>
      <c r="R22" s="909"/>
      <c r="S22" s="902">
        <v>20.83</v>
      </c>
      <c r="T22" s="910">
        <f t="shared" si="0"/>
        <v>186.57999999999998</v>
      </c>
    </row>
    <row r="23" spans="1:20" ht="15">
      <c r="A23" s="905">
        <v>19056155</v>
      </c>
      <c r="B23" s="906" t="s">
        <v>5253</v>
      </c>
      <c r="C23" s="907" t="s">
        <v>5254</v>
      </c>
      <c r="D23" s="906">
        <v>2005</v>
      </c>
      <c r="E23" s="906">
        <v>0</v>
      </c>
      <c r="F23" s="906">
        <v>125</v>
      </c>
      <c r="G23" s="906">
        <v>0</v>
      </c>
      <c r="H23" s="906">
        <v>2434</v>
      </c>
      <c r="I23" s="906">
        <v>1</v>
      </c>
      <c r="J23" s="906">
        <v>0</v>
      </c>
      <c r="K23" s="906" t="s">
        <v>5255</v>
      </c>
      <c r="L23" s="908">
        <v>141.27000000000001</v>
      </c>
      <c r="M23" s="908"/>
      <c r="N23" s="908"/>
      <c r="O23" s="911"/>
      <c r="P23" s="908">
        <v>4.96</v>
      </c>
      <c r="Q23" s="908"/>
      <c r="R23" s="909"/>
      <c r="S23" s="902">
        <v>25.59</v>
      </c>
      <c r="T23" s="910">
        <f t="shared" si="0"/>
        <v>171.82000000000002</v>
      </c>
    </row>
    <row r="24" spans="1:20" ht="15">
      <c r="A24" s="905">
        <v>19057411</v>
      </c>
      <c r="B24" s="906" t="s">
        <v>5256</v>
      </c>
      <c r="C24" s="907" t="s">
        <v>5257</v>
      </c>
      <c r="D24" s="906">
        <v>2000</v>
      </c>
      <c r="E24" s="906">
        <v>0</v>
      </c>
      <c r="F24" s="906">
        <v>0</v>
      </c>
      <c r="G24" s="906">
        <v>3000</v>
      </c>
      <c r="H24" s="906">
        <v>4462</v>
      </c>
      <c r="I24" s="906">
        <v>0</v>
      </c>
      <c r="J24" s="906">
        <v>0</v>
      </c>
      <c r="K24" s="906" t="s">
        <v>5238</v>
      </c>
      <c r="L24" s="908">
        <v>24.81</v>
      </c>
      <c r="M24" s="908"/>
      <c r="N24" s="908"/>
      <c r="O24" s="911"/>
      <c r="P24" s="908"/>
      <c r="Q24" s="908"/>
      <c r="R24" s="909"/>
      <c r="S24" s="902">
        <v>3.19</v>
      </c>
      <c r="T24" s="910">
        <f t="shared" si="0"/>
        <v>28</v>
      </c>
    </row>
    <row r="25" spans="1:20" ht="15">
      <c r="A25" s="905">
        <v>19125110</v>
      </c>
      <c r="B25" s="906" t="s">
        <v>5258</v>
      </c>
      <c r="C25" s="907" t="s">
        <v>5259</v>
      </c>
      <c r="D25" s="906">
        <v>2002</v>
      </c>
      <c r="E25" s="906">
        <v>0</v>
      </c>
      <c r="F25" s="906">
        <v>0</v>
      </c>
      <c r="G25" s="906">
        <v>1300</v>
      </c>
      <c r="H25" s="906">
        <v>12395</v>
      </c>
      <c r="I25" s="906">
        <v>0</v>
      </c>
      <c r="J25" s="906">
        <v>0</v>
      </c>
      <c r="K25" s="906" t="s">
        <v>5260</v>
      </c>
      <c r="L25" s="908">
        <v>16.559999999999999</v>
      </c>
      <c r="M25" s="908"/>
      <c r="N25" s="908"/>
      <c r="O25" s="911"/>
      <c r="P25" s="908"/>
      <c r="Q25" s="908"/>
      <c r="R25" s="909"/>
      <c r="S25" s="902">
        <v>2.13</v>
      </c>
      <c r="T25" s="910">
        <f t="shared" si="0"/>
        <v>18.689999999999998</v>
      </c>
    </row>
    <row r="26" spans="1:20" ht="15">
      <c r="A26" s="905">
        <v>19133993</v>
      </c>
      <c r="B26" s="906" t="s">
        <v>5261</v>
      </c>
      <c r="C26" s="907" t="s">
        <v>5262</v>
      </c>
      <c r="D26" s="906">
        <v>2002</v>
      </c>
      <c r="E26" s="906">
        <v>198</v>
      </c>
      <c r="F26" s="906">
        <v>9973</v>
      </c>
      <c r="G26" s="906">
        <v>19000</v>
      </c>
      <c r="H26" s="906">
        <v>119980</v>
      </c>
      <c r="I26" s="906">
        <v>2</v>
      </c>
      <c r="J26" s="906">
        <v>0</v>
      </c>
      <c r="K26" s="906" t="s">
        <v>5246</v>
      </c>
      <c r="L26" s="908">
        <v>354.09</v>
      </c>
      <c r="M26" s="908"/>
      <c r="N26" s="908"/>
      <c r="O26" s="911"/>
      <c r="P26" s="908">
        <v>8.68</v>
      </c>
      <c r="Q26" s="908"/>
      <c r="R26" s="909"/>
      <c r="S26" s="902">
        <v>46.15</v>
      </c>
      <c r="T26" s="910">
        <f t="shared" si="0"/>
        <v>408.91999999999996</v>
      </c>
    </row>
    <row r="27" spans="1:20" ht="15">
      <c r="A27" s="905">
        <v>19149679</v>
      </c>
      <c r="B27" s="906" t="s">
        <v>5263</v>
      </c>
      <c r="C27" s="907" t="s">
        <v>5228</v>
      </c>
      <c r="D27" s="906">
        <v>2003</v>
      </c>
      <c r="E27" s="906">
        <v>0</v>
      </c>
      <c r="F27" s="906">
        <v>0</v>
      </c>
      <c r="G27" s="906">
        <v>2000</v>
      </c>
      <c r="H27" s="906">
        <v>0</v>
      </c>
      <c r="I27" s="906">
        <v>0</v>
      </c>
      <c r="J27" s="906">
        <v>0</v>
      </c>
      <c r="K27" s="906" t="s">
        <v>5238</v>
      </c>
      <c r="L27" s="908">
        <v>16.559999999999999</v>
      </c>
      <c r="M27" s="908"/>
      <c r="N27" s="908"/>
      <c r="O27" s="911"/>
      <c r="P27" s="908"/>
      <c r="Q27" s="908"/>
      <c r="R27" s="909"/>
      <c r="S27" s="902">
        <v>2.13</v>
      </c>
      <c r="T27" s="910">
        <f t="shared" si="0"/>
        <v>18.689999999999998</v>
      </c>
    </row>
    <row r="28" spans="1:20" ht="15">
      <c r="A28" s="905">
        <v>19228343</v>
      </c>
      <c r="B28" s="906" t="s">
        <v>5264</v>
      </c>
      <c r="C28" s="907" t="s">
        <v>5265</v>
      </c>
      <c r="D28" s="906">
        <v>1999</v>
      </c>
      <c r="E28" s="906">
        <v>74</v>
      </c>
      <c r="F28" s="906">
        <v>0</v>
      </c>
      <c r="G28" s="906">
        <v>0</v>
      </c>
      <c r="H28" s="906">
        <v>0</v>
      </c>
      <c r="I28" s="906">
        <v>2</v>
      </c>
      <c r="J28" s="906">
        <v>0</v>
      </c>
      <c r="K28" s="906" t="s">
        <v>5241</v>
      </c>
      <c r="L28" s="908">
        <v>204.18</v>
      </c>
      <c r="M28" s="908"/>
      <c r="N28" s="908"/>
      <c r="O28" s="911"/>
      <c r="P28" s="908">
        <v>8.68</v>
      </c>
      <c r="Q28" s="908"/>
      <c r="R28" s="909"/>
      <c r="S28" s="902">
        <v>26.88</v>
      </c>
      <c r="T28" s="910">
        <f t="shared" si="0"/>
        <v>239.74</v>
      </c>
    </row>
    <row r="29" spans="1:20" ht="15">
      <c r="A29" s="905">
        <v>19236255</v>
      </c>
      <c r="B29" s="906" t="s">
        <v>5230</v>
      </c>
      <c r="C29" s="907" t="s">
        <v>5266</v>
      </c>
      <c r="D29" s="906">
        <v>2005</v>
      </c>
      <c r="E29" s="906">
        <v>51</v>
      </c>
      <c r="F29" s="906">
        <v>1868</v>
      </c>
      <c r="G29" s="906">
        <v>0</v>
      </c>
      <c r="H29" s="906">
        <v>10767</v>
      </c>
      <c r="I29" s="906">
        <v>2</v>
      </c>
      <c r="J29" s="906">
        <v>0</v>
      </c>
      <c r="K29" s="906" t="s">
        <v>5241</v>
      </c>
      <c r="L29" s="908">
        <v>150.66</v>
      </c>
      <c r="M29" s="908"/>
      <c r="N29" s="908"/>
      <c r="O29" s="911"/>
      <c r="P29" s="908">
        <v>8.68</v>
      </c>
      <c r="Q29" s="908"/>
      <c r="R29" s="909"/>
      <c r="S29" s="902">
        <v>20.010000000000002</v>
      </c>
      <c r="T29" s="910">
        <f t="shared" si="0"/>
        <v>179.35</v>
      </c>
    </row>
    <row r="30" spans="1:20" ht="15">
      <c r="A30" s="905">
        <v>19307022</v>
      </c>
      <c r="B30" s="906" t="s">
        <v>5267</v>
      </c>
      <c r="C30" s="907" t="s">
        <v>5268</v>
      </c>
      <c r="D30" s="906">
        <v>2001</v>
      </c>
      <c r="E30" s="906">
        <v>51</v>
      </c>
      <c r="F30" s="906">
        <v>0</v>
      </c>
      <c r="G30" s="906">
        <v>0</v>
      </c>
      <c r="H30" s="906">
        <v>0</v>
      </c>
      <c r="I30" s="906">
        <v>4</v>
      </c>
      <c r="J30" s="906">
        <v>0</v>
      </c>
      <c r="K30" s="906" t="s">
        <v>5269</v>
      </c>
      <c r="L30" s="908">
        <v>181.18</v>
      </c>
      <c r="M30" s="908"/>
      <c r="N30" s="908"/>
      <c r="O30" s="911"/>
      <c r="P30" s="908">
        <v>14.87</v>
      </c>
      <c r="Q30" s="908"/>
      <c r="R30" s="909"/>
      <c r="S30" s="902">
        <v>33.46</v>
      </c>
      <c r="T30" s="910">
        <f t="shared" si="0"/>
        <v>229.51000000000002</v>
      </c>
    </row>
    <row r="31" spans="1:20" ht="15">
      <c r="A31" s="905">
        <v>19315939</v>
      </c>
      <c r="B31" s="906" t="s">
        <v>5270</v>
      </c>
      <c r="C31" s="907" t="s">
        <v>5271</v>
      </c>
      <c r="D31" s="906">
        <v>2007</v>
      </c>
      <c r="E31" s="906">
        <v>0</v>
      </c>
      <c r="F31" s="906">
        <v>0</v>
      </c>
      <c r="G31" s="906">
        <v>2700</v>
      </c>
      <c r="H31" s="906">
        <v>4471</v>
      </c>
      <c r="I31" s="906">
        <v>0</v>
      </c>
      <c r="J31" s="906">
        <v>0</v>
      </c>
      <c r="K31" s="906" t="s">
        <v>5238</v>
      </c>
      <c r="L31" s="908">
        <v>31.9</v>
      </c>
      <c r="M31" s="908"/>
      <c r="N31" s="908"/>
      <c r="O31" s="911"/>
      <c r="P31" s="908"/>
      <c r="Q31" s="908"/>
      <c r="R31" s="909"/>
      <c r="S31" s="902">
        <v>4.0999999999999996</v>
      </c>
      <c r="T31" s="910">
        <f t="shared" si="0"/>
        <v>36</v>
      </c>
    </row>
    <row r="32" spans="1:20" ht="15">
      <c r="A32" s="905">
        <v>19350146</v>
      </c>
      <c r="B32" s="906" t="s">
        <v>5272</v>
      </c>
      <c r="C32" s="907" t="s">
        <v>5273</v>
      </c>
      <c r="D32" s="906">
        <v>2013</v>
      </c>
      <c r="E32" s="906">
        <v>0</v>
      </c>
      <c r="F32" s="906">
        <v>0</v>
      </c>
      <c r="G32" s="906">
        <v>2000</v>
      </c>
      <c r="H32" s="906">
        <v>0</v>
      </c>
      <c r="I32" s="906">
        <v>0</v>
      </c>
      <c r="J32" s="906">
        <v>0</v>
      </c>
      <c r="K32" s="906" t="s">
        <v>5274</v>
      </c>
      <c r="L32" s="908">
        <v>37.28</v>
      </c>
      <c r="M32" s="908"/>
      <c r="N32" s="908"/>
      <c r="O32" s="911"/>
      <c r="P32" s="908">
        <v>8.68</v>
      </c>
      <c r="Q32" s="908"/>
      <c r="R32" s="909"/>
      <c r="S32" s="902">
        <v>5.44</v>
      </c>
      <c r="T32" s="910">
        <f t="shared" si="0"/>
        <v>51.4</v>
      </c>
    </row>
    <row r="33" spans="1:20" ht="15">
      <c r="A33" s="905">
        <v>19352145</v>
      </c>
      <c r="B33" s="906" t="s">
        <v>5270</v>
      </c>
      <c r="C33" s="907" t="s">
        <v>5228</v>
      </c>
      <c r="D33" s="906">
        <v>2008</v>
      </c>
      <c r="E33" s="906">
        <v>0</v>
      </c>
      <c r="F33" s="906">
        <v>0</v>
      </c>
      <c r="G33" s="906">
        <v>2700</v>
      </c>
      <c r="H33" s="906">
        <v>4713</v>
      </c>
      <c r="I33" s="906">
        <v>0</v>
      </c>
      <c r="J33" s="906">
        <v>0</v>
      </c>
      <c r="K33" s="906" t="s">
        <v>5238</v>
      </c>
      <c r="L33" s="908">
        <v>31.9</v>
      </c>
      <c r="M33" s="908"/>
      <c r="N33" s="908"/>
      <c r="O33" s="911"/>
      <c r="P33" s="908"/>
      <c r="Q33" s="908"/>
      <c r="R33" s="909"/>
      <c r="S33" s="902">
        <v>4.0999999999999996</v>
      </c>
      <c r="T33" s="910">
        <f t="shared" si="0"/>
        <v>36</v>
      </c>
    </row>
    <row r="34" spans="1:20" ht="15">
      <c r="A34" s="905">
        <v>19399222</v>
      </c>
      <c r="B34" s="906" t="s">
        <v>5275</v>
      </c>
      <c r="C34" s="907" t="s">
        <v>5276</v>
      </c>
      <c r="D34" s="906">
        <v>2006</v>
      </c>
      <c r="E34" s="906">
        <v>69</v>
      </c>
      <c r="F34" s="906">
        <v>0</v>
      </c>
      <c r="G34" s="906">
        <v>0</v>
      </c>
      <c r="H34" s="906">
        <v>0</v>
      </c>
      <c r="I34" s="906">
        <v>2</v>
      </c>
      <c r="J34" s="906">
        <v>0</v>
      </c>
      <c r="K34" s="906" t="s">
        <v>5241</v>
      </c>
      <c r="L34" s="908">
        <v>192.55</v>
      </c>
      <c r="M34" s="908"/>
      <c r="N34" s="908"/>
      <c r="O34" s="911"/>
      <c r="P34" s="908">
        <v>8.68</v>
      </c>
      <c r="Q34" s="908"/>
      <c r="R34" s="909"/>
      <c r="S34" s="902">
        <v>25.39</v>
      </c>
      <c r="T34" s="910">
        <f t="shared" si="0"/>
        <v>226.62</v>
      </c>
    </row>
    <row r="35" spans="1:20" ht="15">
      <c r="A35" s="905">
        <v>19454625</v>
      </c>
      <c r="B35" s="906" t="s">
        <v>5277</v>
      </c>
      <c r="C35" s="907" t="s">
        <v>5278</v>
      </c>
      <c r="D35" s="906">
        <v>2010</v>
      </c>
      <c r="E35" s="906">
        <v>116</v>
      </c>
      <c r="F35" s="906">
        <v>0</v>
      </c>
      <c r="G35" s="906">
        <v>0</v>
      </c>
      <c r="H35" s="906">
        <v>35000</v>
      </c>
      <c r="I35" s="906">
        <v>2</v>
      </c>
      <c r="J35" s="906">
        <v>0</v>
      </c>
      <c r="K35" s="906" t="s">
        <v>5241</v>
      </c>
      <c r="L35" s="908">
        <v>301.91000000000003</v>
      </c>
      <c r="M35" s="908"/>
      <c r="N35" s="908"/>
      <c r="O35" s="911"/>
      <c r="P35" s="908">
        <v>8.68</v>
      </c>
      <c r="Q35" s="908"/>
      <c r="R35" s="909"/>
      <c r="S35" s="902">
        <v>39.450000000000003</v>
      </c>
      <c r="T35" s="910">
        <f t="shared" si="0"/>
        <v>350.04</v>
      </c>
    </row>
    <row r="36" spans="1:20" ht="15">
      <c r="A36" s="905">
        <v>19464059</v>
      </c>
      <c r="B36" s="906" t="s">
        <v>5279</v>
      </c>
      <c r="C36" s="907" t="s">
        <v>5280</v>
      </c>
      <c r="D36" s="906">
        <v>2010</v>
      </c>
      <c r="E36" s="906">
        <v>96</v>
      </c>
      <c r="F36" s="906">
        <v>2488</v>
      </c>
      <c r="G36" s="906">
        <v>0</v>
      </c>
      <c r="H36" s="906">
        <v>72479</v>
      </c>
      <c r="I36" s="906">
        <v>2</v>
      </c>
      <c r="J36" s="906">
        <v>0</v>
      </c>
      <c r="K36" s="906" t="s">
        <v>5241</v>
      </c>
      <c r="L36" s="908">
        <v>255.38</v>
      </c>
      <c r="M36" s="908"/>
      <c r="N36" s="908"/>
      <c r="O36" s="911"/>
      <c r="P36" s="908">
        <v>8.68</v>
      </c>
      <c r="Q36" s="908"/>
      <c r="R36" s="909"/>
      <c r="S36" s="902">
        <v>33.46</v>
      </c>
      <c r="T36" s="910">
        <f t="shared" si="0"/>
        <v>297.52</v>
      </c>
    </row>
    <row r="37" spans="1:20" ht="15">
      <c r="A37" s="905">
        <v>19479152</v>
      </c>
      <c r="B37" s="906" t="s">
        <v>5281</v>
      </c>
      <c r="C37" s="907" t="s">
        <v>5228</v>
      </c>
      <c r="D37" s="906">
        <v>2011</v>
      </c>
      <c r="E37" s="906">
        <v>0</v>
      </c>
      <c r="F37" s="906">
        <v>0</v>
      </c>
      <c r="G37" s="906">
        <v>3500</v>
      </c>
      <c r="H37" s="906">
        <v>0</v>
      </c>
      <c r="I37" s="906">
        <v>0</v>
      </c>
      <c r="J37" s="906">
        <v>0</v>
      </c>
      <c r="K37" s="906" t="s">
        <v>5238</v>
      </c>
      <c r="L37" s="908">
        <v>41.15</v>
      </c>
      <c r="M37" s="908"/>
      <c r="N37" s="908"/>
      <c r="O37" s="911"/>
      <c r="P37" s="908"/>
      <c r="Q37" s="908"/>
      <c r="R37" s="909"/>
      <c r="S37" s="902">
        <v>5.29</v>
      </c>
      <c r="T37" s="910">
        <f t="shared" si="0"/>
        <v>46.44</v>
      </c>
    </row>
    <row r="38" spans="1:20" ht="15">
      <c r="A38" s="905">
        <v>19488224</v>
      </c>
      <c r="B38" s="906" t="s">
        <v>5282</v>
      </c>
      <c r="C38" s="907" t="s">
        <v>5283</v>
      </c>
      <c r="D38" s="906">
        <v>2011</v>
      </c>
      <c r="E38" s="906">
        <v>74</v>
      </c>
      <c r="F38" s="906">
        <v>0</v>
      </c>
      <c r="G38" s="906">
        <v>0</v>
      </c>
      <c r="H38" s="906">
        <v>22489</v>
      </c>
      <c r="I38" s="906">
        <v>2</v>
      </c>
      <c r="J38" s="906">
        <v>0</v>
      </c>
      <c r="K38" s="906" t="s">
        <v>5241</v>
      </c>
      <c r="L38" s="908">
        <v>204.18</v>
      </c>
      <c r="M38" s="908"/>
      <c r="N38" s="908"/>
      <c r="O38" s="911"/>
      <c r="P38" s="908">
        <v>8.68</v>
      </c>
      <c r="Q38" s="908"/>
      <c r="R38" s="909"/>
      <c r="S38" s="920">
        <v>26.88</v>
      </c>
      <c r="T38" s="910">
        <f t="shared" si="0"/>
        <v>239.74</v>
      </c>
    </row>
    <row r="39" spans="1:20" ht="15">
      <c r="A39" s="905">
        <v>19252885</v>
      </c>
      <c r="B39" s="906" t="s">
        <v>5239</v>
      </c>
      <c r="C39" s="907" t="s">
        <v>5284</v>
      </c>
      <c r="D39" s="906">
        <v>2000</v>
      </c>
      <c r="E39" s="906">
        <v>73</v>
      </c>
      <c r="F39" s="906">
        <v>2800</v>
      </c>
      <c r="G39" s="906">
        <v>0</v>
      </c>
      <c r="H39" s="906">
        <v>0</v>
      </c>
      <c r="I39" s="906">
        <v>2</v>
      </c>
      <c r="J39" s="906">
        <v>5</v>
      </c>
      <c r="K39" s="906" t="s">
        <v>5241</v>
      </c>
      <c r="L39" s="908">
        <v>259.52999999999997</v>
      </c>
      <c r="M39" s="908"/>
      <c r="N39" s="908"/>
      <c r="O39" s="911"/>
      <c r="P39" s="908">
        <v>8.68</v>
      </c>
      <c r="Q39" s="908"/>
      <c r="R39" s="909"/>
      <c r="S39" s="902">
        <v>34</v>
      </c>
      <c r="T39" s="910">
        <f t="shared" si="0"/>
        <v>302.20999999999998</v>
      </c>
    </row>
    <row r="40" spans="1:20" ht="15">
      <c r="A40" s="905">
        <v>19047864</v>
      </c>
      <c r="B40" s="906" t="s">
        <v>5230</v>
      </c>
      <c r="C40" s="907" t="s">
        <v>5285</v>
      </c>
      <c r="D40" s="906">
        <v>1999</v>
      </c>
      <c r="E40" s="906">
        <v>63</v>
      </c>
      <c r="F40" s="906">
        <v>2446</v>
      </c>
      <c r="G40" s="906">
        <v>0</v>
      </c>
      <c r="H40" s="906">
        <v>18592</v>
      </c>
      <c r="I40" s="906">
        <v>2</v>
      </c>
      <c r="J40" s="906">
        <v>0</v>
      </c>
      <c r="K40" s="906" t="s">
        <v>5241</v>
      </c>
      <c r="L40" s="908">
        <v>229.61</v>
      </c>
      <c r="M40" s="908"/>
      <c r="N40" s="908"/>
      <c r="O40" s="911"/>
      <c r="P40" s="908">
        <v>8.68</v>
      </c>
      <c r="Q40" s="908"/>
      <c r="R40" s="909"/>
      <c r="S40" s="902">
        <v>30.15</v>
      </c>
      <c r="T40" s="910">
        <f t="shared" si="0"/>
        <v>268.44</v>
      </c>
    </row>
    <row r="41" spans="1:20" ht="15">
      <c r="A41" s="905">
        <v>19070414</v>
      </c>
      <c r="B41" s="906" t="s">
        <v>5286</v>
      </c>
      <c r="C41" s="907" t="s">
        <v>5287</v>
      </c>
      <c r="D41" s="906">
        <v>2001</v>
      </c>
      <c r="E41" s="906">
        <v>47</v>
      </c>
      <c r="F41" s="906">
        <v>0</v>
      </c>
      <c r="G41" s="906">
        <v>0</v>
      </c>
      <c r="H41" s="906">
        <v>11651</v>
      </c>
      <c r="I41" s="906">
        <v>1</v>
      </c>
      <c r="J41" s="906">
        <v>0</v>
      </c>
      <c r="K41" s="906" t="s">
        <v>5241</v>
      </c>
      <c r="L41" s="908">
        <v>181.75</v>
      </c>
      <c r="M41" s="908"/>
      <c r="N41" s="908"/>
      <c r="O41" s="911">
        <v>20.97</v>
      </c>
      <c r="P41" s="908">
        <v>8.68</v>
      </c>
      <c r="Q41" s="908"/>
      <c r="R41" s="909">
        <v>28.68</v>
      </c>
      <c r="S41" s="902">
        <v>28.78</v>
      </c>
      <c r="T41" s="910">
        <f t="shared" si="0"/>
        <v>268.86</v>
      </c>
    </row>
    <row r="42" spans="1:20" ht="15">
      <c r="A42" s="905">
        <v>19070415</v>
      </c>
      <c r="B42" s="906" t="s">
        <v>5286</v>
      </c>
      <c r="C42" s="907" t="s">
        <v>5288</v>
      </c>
      <c r="D42" s="906">
        <v>2001</v>
      </c>
      <c r="E42" s="906">
        <v>47</v>
      </c>
      <c r="F42" s="906">
        <v>0</v>
      </c>
      <c r="G42" s="906">
        <v>0</v>
      </c>
      <c r="H42" s="906">
        <v>11651</v>
      </c>
      <c r="I42" s="906">
        <v>1</v>
      </c>
      <c r="J42" s="906">
        <v>0</v>
      </c>
      <c r="K42" s="906" t="s">
        <v>5241</v>
      </c>
      <c r="L42" s="908">
        <v>181.75</v>
      </c>
      <c r="M42" s="908"/>
      <c r="N42" s="908"/>
      <c r="O42" s="911"/>
      <c r="P42" s="908">
        <v>8.68</v>
      </c>
      <c r="Q42" s="908"/>
      <c r="R42" s="909"/>
      <c r="S42" s="902">
        <v>24.01</v>
      </c>
      <c r="T42" s="910">
        <f t="shared" si="0"/>
        <v>214.44</v>
      </c>
    </row>
    <row r="43" spans="1:20" ht="15">
      <c r="A43" s="905"/>
      <c r="B43" s="906" t="s">
        <v>5289</v>
      </c>
      <c r="C43" s="907" t="s">
        <v>5290</v>
      </c>
      <c r="D43" s="906"/>
      <c r="E43" s="906"/>
      <c r="F43" s="906"/>
      <c r="G43" s="906"/>
      <c r="H43" s="906"/>
      <c r="I43" s="906"/>
      <c r="J43" s="906"/>
      <c r="K43" s="906" t="s">
        <v>5241</v>
      </c>
      <c r="L43" s="908">
        <v>246.07</v>
      </c>
      <c r="M43" s="908">
        <v>28.56</v>
      </c>
      <c r="N43" s="908">
        <v>153.55000000000001</v>
      </c>
      <c r="O43" s="911"/>
      <c r="P43" s="908">
        <v>8.68</v>
      </c>
      <c r="Q43" s="908">
        <v>20.010000000000002</v>
      </c>
      <c r="R43" s="909"/>
      <c r="S43" s="902">
        <v>57.54</v>
      </c>
      <c r="T43" s="910">
        <f t="shared" si="0"/>
        <v>514.41</v>
      </c>
    </row>
    <row r="44" spans="1:20" ht="15">
      <c r="A44" s="905"/>
      <c r="B44" s="906" t="s">
        <v>5291</v>
      </c>
      <c r="C44" s="907" t="s">
        <v>5292</v>
      </c>
      <c r="D44" s="906"/>
      <c r="E44" s="906"/>
      <c r="F44" s="906"/>
      <c r="G44" s="906"/>
      <c r="H44" s="906"/>
      <c r="I44" s="906"/>
      <c r="J44" s="906"/>
      <c r="K44" s="906" t="s">
        <v>5241</v>
      </c>
      <c r="L44" s="908">
        <v>271.66000000000003</v>
      </c>
      <c r="M44" s="908"/>
      <c r="N44" s="908"/>
      <c r="O44" s="911"/>
      <c r="P44" s="908">
        <v>8.68</v>
      </c>
      <c r="Q44" s="908"/>
      <c r="R44" s="909"/>
      <c r="S44" s="902">
        <v>35.549999999999997</v>
      </c>
      <c r="T44" s="910">
        <f t="shared" si="0"/>
        <v>315.89000000000004</v>
      </c>
    </row>
    <row r="45" spans="1:20" ht="15">
      <c r="A45" s="905"/>
      <c r="B45" s="906" t="s">
        <v>5293</v>
      </c>
      <c r="C45" s="907" t="s">
        <v>5294</v>
      </c>
      <c r="D45" s="906"/>
      <c r="E45" s="906"/>
      <c r="F45" s="906"/>
      <c r="G45" s="906"/>
      <c r="H45" s="906"/>
      <c r="I45" s="906"/>
      <c r="J45" s="906"/>
      <c r="K45" s="906" t="s">
        <v>5295</v>
      </c>
      <c r="L45" s="908">
        <v>150.66</v>
      </c>
      <c r="M45" s="908"/>
      <c r="N45" s="908"/>
      <c r="O45" s="911"/>
      <c r="P45" s="908">
        <v>8.68</v>
      </c>
      <c r="Q45" s="908"/>
      <c r="R45" s="909"/>
      <c r="S45" s="902">
        <v>20.010000000000002</v>
      </c>
      <c r="T45" s="910">
        <f t="shared" si="0"/>
        <v>179.35</v>
      </c>
    </row>
    <row r="46" spans="1:20" ht="15">
      <c r="A46" s="905"/>
      <c r="B46" s="906" t="s">
        <v>5291</v>
      </c>
      <c r="C46" s="907" t="s">
        <v>5296</v>
      </c>
      <c r="D46" s="906"/>
      <c r="E46" s="906"/>
      <c r="F46" s="906"/>
      <c r="G46" s="906"/>
      <c r="H46" s="906"/>
      <c r="I46" s="906"/>
      <c r="J46" s="906"/>
      <c r="K46" s="906" t="s">
        <v>5295</v>
      </c>
      <c r="L46" s="908">
        <v>162.30000000000001</v>
      </c>
      <c r="M46" s="908"/>
      <c r="N46" s="908"/>
      <c r="O46" s="911"/>
      <c r="P46" s="908">
        <v>8.68</v>
      </c>
      <c r="Q46" s="908"/>
      <c r="R46" s="909"/>
      <c r="S46" s="902">
        <v>21.51</v>
      </c>
      <c r="T46" s="910">
        <f t="shared" si="0"/>
        <v>192.49</v>
      </c>
    </row>
    <row r="47" spans="1:20" ht="15">
      <c r="A47" s="905"/>
      <c r="B47" s="906" t="s">
        <v>5289</v>
      </c>
      <c r="C47" s="907" t="s">
        <v>5297</v>
      </c>
      <c r="D47" s="906"/>
      <c r="E47" s="906"/>
      <c r="F47" s="906"/>
      <c r="G47" s="906"/>
      <c r="H47" s="906"/>
      <c r="I47" s="906"/>
      <c r="J47" s="906"/>
      <c r="K47" s="906"/>
      <c r="L47" s="908">
        <v>204.18</v>
      </c>
      <c r="M47" s="908">
        <v>33.590000000000003</v>
      </c>
      <c r="N47" s="908"/>
      <c r="O47" s="911">
        <v>24.79</v>
      </c>
      <c r="P47" s="908">
        <v>8.68</v>
      </c>
      <c r="Q47" s="908">
        <v>23.53</v>
      </c>
      <c r="R47" s="909"/>
      <c r="S47" s="902">
        <v>37.119999999999997</v>
      </c>
      <c r="T47" s="910">
        <f t="shared" si="0"/>
        <v>331.89</v>
      </c>
    </row>
    <row r="48" spans="1:20" ht="15">
      <c r="A48" s="905">
        <v>19361432</v>
      </c>
      <c r="B48" s="906" t="s">
        <v>5298</v>
      </c>
      <c r="C48" s="907" t="s">
        <v>5299</v>
      </c>
      <c r="D48" s="906">
        <v>2008</v>
      </c>
      <c r="E48" s="906">
        <v>88</v>
      </c>
      <c r="F48" s="906">
        <v>2464</v>
      </c>
      <c r="G48" s="906">
        <v>3500</v>
      </c>
      <c r="H48" s="906">
        <v>30211</v>
      </c>
      <c r="I48" s="906">
        <v>2</v>
      </c>
      <c r="J48" s="906">
        <v>0</v>
      </c>
      <c r="K48" s="906" t="s">
        <v>5241</v>
      </c>
      <c r="L48" s="908">
        <v>304.39999999999998</v>
      </c>
      <c r="M48" s="908"/>
      <c r="N48" s="908"/>
      <c r="O48" s="911"/>
      <c r="P48" s="908">
        <v>8.68</v>
      </c>
      <c r="Q48" s="908"/>
      <c r="R48" s="909"/>
      <c r="S48" s="902">
        <v>39.770000000000003</v>
      </c>
      <c r="T48" s="910">
        <f>SUM(L48:S48)</f>
        <v>352.84999999999997</v>
      </c>
    </row>
    <row r="49" spans="1:21" ht="15">
      <c r="A49" s="905"/>
      <c r="B49" s="906"/>
      <c r="C49" s="907"/>
      <c r="D49" s="906"/>
      <c r="E49" s="906"/>
      <c r="F49" s="906"/>
      <c r="G49" s="906"/>
      <c r="H49" s="906"/>
      <c r="I49" s="906"/>
      <c r="J49" s="906"/>
      <c r="K49" s="906"/>
      <c r="L49" s="908"/>
      <c r="M49" s="908"/>
      <c r="N49" s="908"/>
      <c r="O49" s="911"/>
      <c r="P49" s="908"/>
      <c r="Q49" s="908"/>
      <c r="R49" s="909"/>
      <c r="S49" s="902"/>
      <c r="T49" s="910"/>
    </row>
    <row r="50" spans="1:21" ht="15">
      <c r="A50" s="918" t="s">
        <v>5300</v>
      </c>
      <c r="B50" s="906"/>
      <c r="C50" s="907"/>
      <c r="D50" s="906"/>
      <c r="E50" s="906"/>
      <c r="F50" s="906"/>
      <c r="G50" s="906"/>
      <c r="H50" s="906"/>
      <c r="I50" s="906"/>
      <c r="J50" s="906"/>
      <c r="K50" s="919" t="s">
        <v>2395</v>
      </c>
      <c r="L50" s="908"/>
      <c r="M50" s="908"/>
      <c r="N50" s="908"/>
      <c r="O50" s="911"/>
      <c r="P50" s="908"/>
      <c r="Q50" s="908"/>
      <c r="R50" s="909"/>
      <c r="S50" s="902"/>
      <c r="T50" s="910"/>
      <c r="U50" s="615">
        <f>SUM(T51:T52)</f>
        <v>753.18000000000006</v>
      </c>
    </row>
    <row r="51" spans="1:21" ht="15">
      <c r="A51" s="905">
        <v>19039918</v>
      </c>
      <c r="B51" s="906" t="s">
        <v>5301</v>
      </c>
      <c r="C51" s="907" t="s">
        <v>5302</v>
      </c>
      <c r="D51" s="906">
        <v>1998</v>
      </c>
      <c r="E51" s="906">
        <v>51</v>
      </c>
      <c r="F51" s="906">
        <v>2496</v>
      </c>
      <c r="G51" s="906">
        <v>0</v>
      </c>
      <c r="H51" s="906">
        <v>13758</v>
      </c>
      <c r="I51" s="906">
        <v>8</v>
      </c>
      <c r="J51" s="906">
        <v>0</v>
      </c>
      <c r="K51" s="906" t="s">
        <v>5303</v>
      </c>
      <c r="L51" s="908">
        <v>194.65</v>
      </c>
      <c r="M51" s="908">
        <v>61.06</v>
      </c>
      <c r="N51" s="908"/>
      <c r="O51" s="911">
        <v>36.340000000000003</v>
      </c>
      <c r="P51" s="908">
        <v>14.87</v>
      </c>
      <c r="Q51" s="908">
        <v>14.25</v>
      </c>
      <c r="R51" s="909"/>
      <c r="S51" s="902">
        <v>55.42</v>
      </c>
      <c r="T51" s="910">
        <f t="shared" si="0"/>
        <v>376.59000000000003</v>
      </c>
    </row>
    <row r="52" spans="1:21" ht="15">
      <c r="A52" s="905">
        <v>19253533</v>
      </c>
      <c r="B52" s="906" t="s">
        <v>5301</v>
      </c>
      <c r="C52" s="907" t="s">
        <v>5304</v>
      </c>
      <c r="D52" s="906">
        <v>1999</v>
      </c>
      <c r="E52" s="906">
        <v>56</v>
      </c>
      <c r="F52" s="906">
        <v>2500</v>
      </c>
      <c r="G52" s="906">
        <v>0</v>
      </c>
      <c r="H52" s="906">
        <v>0</v>
      </c>
      <c r="I52" s="906">
        <v>8</v>
      </c>
      <c r="J52" s="906">
        <v>0</v>
      </c>
      <c r="K52" s="906" t="s">
        <v>5303</v>
      </c>
      <c r="L52" s="908">
        <v>194.65</v>
      </c>
      <c r="M52" s="908">
        <v>61.06</v>
      </c>
      <c r="N52" s="908"/>
      <c r="O52" s="911">
        <v>36.340000000000003</v>
      </c>
      <c r="P52" s="908">
        <v>14.87</v>
      </c>
      <c r="Q52" s="908">
        <v>14.25</v>
      </c>
      <c r="R52" s="909"/>
      <c r="S52" s="902">
        <v>55.42</v>
      </c>
      <c r="T52" s="910">
        <f t="shared" si="0"/>
        <v>376.59000000000003</v>
      </c>
    </row>
    <row r="53" spans="1:21" ht="15">
      <c r="A53" s="905"/>
      <c r="B53" s="906"/>
      <c r="C53" s="907"/>
      <c r="D53" s="906"/>
      <c r="E53" s="906"/>
      <c r="F53" s="906"/>
      <c r="G53" s="906"/>
      <c r="H53" s="906"/>
      <c r="I53" s="906"/>
      <c r="J53" s="906"/>
      <c r="K53" s="906"/>
      <c r="L53" s="908"/>
      <c r="M53" s="908"/>
      <c r="N53" s="908"/>
      <c r="O53" s="911"/>
      <c r="P53" s="908"/>
      <c r="Q53" s="908"/>
      <c r="R53" s="909"/>
      <c r="S53" s="902"/>
      <c r="T53" s="910"/>
    </row>
    <row r="54" spans="1:21" ht="15">
      <c r="A54" s="918" t="s">
        <v>5305</v>
      </c>
      <c r="B54" s="906"/>
      <c r="C54" s="907"/>
      <c r="D54" s="906"/>
      <c r="E54" s="906"/>
      <c r="F54" s="906"/>
      <c r="G54" s="906"/>
      <c r="H54" s="906"/>
      <c r="I54" s="906"/>
      <c r="J54" s="906"/>
      <c r="K54" s="919" t="s">
        <v>1840</v>
      </c>
      <c r="L54" s="908"/>
      <c r="M54" s="908"/>
      <c r="N54" s="908"/>
      <c r="O54" s="908"/>
      <c r="P54" s="908"/>
      <c r="Q54" s="908"/>
      <c r="R54" s="909"/>
      <c r="S54" s="902"/>
      <c r="T54" s="910"/>
      <c r="U54" s="615">
        <f>SUM(T55:T70)</f>
        <v>5442.2</v>
      </c>
    </row>
    <row r="55" spans="1:21" ht="15">
      <c r="A55" s="905">
        <v>2256645</v>
      </c>
      <c r="B55" s="906" t="s">
        <v>5306</v>
      </c>
      <c r="C55" s="907" t="s">
        <v>5307</v>
      </c>
      <c r="D55" s="906">
        <v>2000</v>
      </c>
      <c r="E55" s="906">
        <v>64</v>
      </c>
      <c r="F55" s="906">
        <v>0</v>
      </c>
      <c r="G55" s="906">
        <v>3500</v>
      </c>
      <c r="H55" s="906">
        <v>22310</v>
      </c>
      <c r="I55" s="906">
        <v>2</v>
      </c>
      <c r="J55" s="906">
        <v>9</v>
      </c>
      <c r="K55" s="906" t="s">
        <v>5241</v>
      </c>
      <c r="L55" s="908">
        <v>331.47</v>
      </c>
      <c r="M55" s="908"/>
      <c r="N55" s="908"/>
      <c r="O55" s="908"/>
      <c r="P55" s="908">
        <v>8.68</v>
      </c>
      <c r="Q55" s="908"/>
      <c r="R55" s="909"/>
      <c r="S55" s="902">
        <v>43.24</v>
      </c>
      <c r="T55" s="910">
        <f t="shared" si="0"/>
        <v>383.39000000000004</v>
      </c>
    </row>
    <row r="56" spans="1:21" ht="15">
      <c r="A56" s="905">
        <v>19022624</v>
      </c>
      <c r="B56" s="906" t="s">
        <v>5264</v>
      </c>
      <c r="C56" s="907" t="s">
        <v>5308</v>
      </c>
      <c r="D56" s="906">
        <v>1996</v>
      </c>
      <c r="E56" s="906">
        <v>0</v>
      </c>
      <c r="F56" s="906">
        <v>6600</v>
      </c>
      <c r="G56" s="906">
        <v>4000</v>
      </c>
      <c r="H56" s="906">
        <v>98488</v>
      </c>
      <c r="I56" s="906">
        <v>1</v>
      </c>
      <c r="J56" s="906">
        <v>0</v>
      </c>
      <c r="K56" s="906" t="s">
        <v>5309</v>
      </c>
      <c r="L56" s="908">
        <v>45.07</v>
      </c>
      <c r="M56" s="908"/>
      <c r="N56" s="908"/>
      <c r="O56" s="908"/>
      <c r="P56" s="908">
        <v>8.68</v>
      </c>
      <c r="Q56" s="908">
        <v>124.1</v>
      </c>
      <c r="R56" s="909"/>
      <c r="S56" s="902">
        <v>21.96</v>
      </c>
      <c r="T56" s="910">
        <f t="shared" si="0"/>
        <v>199.81</v>
      </c>
    </row>
    <row r="57" spans="1:21" ht="15">
      <c r="A57" s="905">
        <v>19158325</v>
      </c>
      <c r="B57" s="906" t="s">
        <v>5282</v>
      </c>
      <c r="C57" s="907" t="s">
        <v>5310</v>
      </c>
      <c r="D57" s="906">
        <v>2003</v>
      </c>
      <c r="E57" s="906">
        <v>81</v>
      </c>
      <c r="F57" s="906">
        <v>2286</v>
      </c>
      <c r="G57" s="906">
        <v>0</v>
      </c>
      <c r="H57" s="906">
        <v>22000</v>
      </c>
      <c r="I57" s="906">
        <v>2</v>
      </c>
      <c r="J57" s="906">
        <v>0</v>
      </c>
      <c r="K57" s="906" t="s">
        <v>5241</v>
      </c>
      <c r="L57" s="908">
        <v>283.47000000000003</v>
      </c>
      <c r="M57" s="908"/>
      <c r="N57" s="908"/>
      <c r="O57" s="908"/>
      <c r="P57" s="908">
        <v>8.68</v>
      </c>
      <c r="Q57" s="908"/>
      <c r="R57" s="909"/>
      <c r="S57" s="902">
        <v>37.07</v>
      </c>
      <c r="T57" s="910">
        <f t="shared" si="0"/>
        <v>329.22</v>
      </c>
    </row>
    <row r="58" spans="1:21" ht="15">
      <c r="A58" s="905">
        <v>19241504</v>
      </c>
      <c r="B58" s="906" t="s">
        <v>5239</v>
      </c>
      <c r="C58" s="907" t="s">
        <v>5311</v>
      </c>
      <c r="D58" s="906">
        <v>2005</v>
      </c>
      <c r="E58" s="906">
        <v>84</v>
      </c>
      <c r="F58" s="906">
        <v>2463</v>
      </c>
      <c r="G58" s="906">
        <v>0</v>
      </c>
      <c r="H58" s="906">
        <v>19906</v>
      </c>
      <c r="I58" s="906">
        <v>2</v>
      </c>
      <c r="J58" s="906">
        <v>0</v>
      </c>
      <c r="K58" s="906" t="s">
        <v>5241</v>
      </c>
      <c r="L58" s="908">
        <v>227.46</v>
      </c>
      <c r="M58" s="908"/>
      <c r="N58" s="908"/>
      <c r="O58" s="908"/>
      <c r="P58" s="908">
        <v>8.68</v>
      </c>
      <c r="Q58" s="908"/>
      <c r="R58" s="909"/>
      <c r="S58" s="902">
        <v>29.88</v>
      </c>
      <c r="T58" s="910">
        <f t="shared" si="0"/>
        <v>266.02000000000004</v>
      </c>
    </row>
    <row r="59" spans="1:21" ht="15">
      <c r="A59" s="905">
        <v>19295977</v>
      </c>
      <c r="B59" s="906" t="s">
        <v>5298</v>
      </c>
      <c r="C59" s="907" t="s">
        <v>5312</v>
      </c>
      <c r="D59" s="906">
        <v>2007</v>
      </c>
      <c r="E59" s="906">
        <v>88</v>
      </c>
      <c r="F59" s="906">
        <v>0</v>
      </c>
      <c r="G59" s="906">
        <v>0</v>
      </c>
      <c r="H59" s="906">
        <v>20670</v>
      </c>
      <c r="I59" s="906">
        <v>2</v>
      </c>
      <c r="J59" s="906">
        <v>0</v>
      </c>
      <c r="K59" s="906" t="s">
        <v>5241</v>
      </c>
      <c r="L59" s="908">
        <v>304.39999999999998</v>
      </c>
      <c r="M59" s="908"/>
      <c r="N59" s="908"/>
      <c r="O59" s="908"/>
      <c r="P59" s="908">
        <v>8.68</v>
      </c>
      <c r="Q59" s="908"/>
      <c r="R59" s="909"/>
      <c r="S59" s="902">
        <v>39.770000000000003</v>
      </c>
      <c r="T59" s="910">
        <f t="shared" si="0"/>
        <v>352.84999999999997</v>
      </c>
    </row>
    <row r="60" spans="1:21" ht="15">
      <c r="A60" s="905">
        <v>19327360</v>
      </c>
      <c r="B60" s="906" t="s">
        <v>5313</v>
      </c>
      <c r="C60" s="907" t="s">
        <v>5314</v>
      </c>
      <c r="D60" s="906">
        <v>2007</v>
      </c>
      <c r="E60" s="906">
        <v>55</v>
      </c>
      <c r="F60" s="906">
        <v>0</v>
      </c>
      <c r="G60" s="906">
        <v>0</v>
      </c>
      <c r="H60" s="906">
        <v>12286</v>
      </c>
      <c r="I60" s="906">
        <v>1</v>
      </c>
      <c r="J60" s="906">
        <v>0</v>
      </c>
      <c r="K60" s="906" t="s">
        <v>5241</v>
      </c>
      <c r="L60" s="908">
        <v>205.68</v>
      </c>
      <c r="M60" s="908"/>
      <c r="N60" s="908"/>
      <c r="O60" s="908"/>
      <c r="P60" s="908">
        <v>8.68</v>
      </c>
      <c r="Q60" s="908"/>
      <c r="R60" s="909"/>
      <c r="S60" s="902">
        <v>27.08</v>
      </c>
      <c r="T60" s="910">
        <f t="shared" si="0"/>
        <v>241.44</v>
      </c>
    </row>
    <row r="61" spans="1:21" ht="15">
      <c r="A61" s="905">
        <v>19358287</v>
      </c>
      <c r="B61" s="906" t="s">
        <v>5315</v>
      </c>
      <c r="C61" s="907" t="s">
        <v>5316</v>
      </c>
      <c r="D61" s="906">
        <v>2008</v>
      </c>
      <c r="E61" s="906">
        <v>0</v>
      </c>
      <c r="F61" s="906">
        <v>778</v>
      </c>
      <c r="G61" s="906">
        <v>0</v>
      </c>
      <c r="H61" s="906">
        <v>5885</v>
      </c>
      <c r="I61" s="906">
        <v>0</v>
      </c>
      <c r="J61" s="906">
        <v>0</v>
      </c>
      <c r="K61" s="906" t="s">
        <v>5317</v>
      </c>
      <c r="L61" s="908">
        <v>23.55</v>
      </c>
      <c r="M61" s="908"/>
      <c r="N61" s="908"/>
      <c r="O61" s="908"/>
      <c r="P61" s="908">
        <v>3.72</v>
      </c>
      <c r="Q61" s="908"/>
      <c r="R61" s="909"/>
      <c r="S61" s="902">
        <v>3.31</v>
      </c>
      <c r="T61" s="910">
        <f t="shared" si="0"/>
        <v>30.58</v>
      </c>
    </row>
    <row r="62" spans="1:21" ht="15">
      <c r="A62" s="905">
        <v>19469313</v>
      </c>
      <c r="B62" s="906" t="s">
        <v>5318</v>
      </c>
      <c r="C62" s="907" t="s">
        <v>5319</v>
      </c>
      <c r="D62" s="906">
        <v>2011</v>
      </c>
      <c r="E62" s="906">
        <v>0</v>
      </c>
      <c r="F62" s="906">
        <v>0</v>
      </c>
      <c r="G62" s="906">
        <v>0</v>
      </c>
      <c r="H62" s="906">
        <v>116997</v>
      </c>
      <c r="I62" s="906">
        <v>1</v>
      </c>
      <c r="J62" s="906">
        <v>0</v>
      </c>
      <c r="K62" s="906" t="s">
        <v>5309</v>
      </c>
      <c r="L62" s="908">
        <v>45.07</v>
      </c>
      <c r="M62" s="908"/>
      <c r="N62" s="908"/>
      <c r="O62" s="908"/>
      <c r="P62" s="908">
        <v>8.68</v>
      </c>
      <c r="Q62" s="908"/>
      <c r="R62" s="909"/>
      <c r="S62" s="902">
        <v>6.44</v>
      </c>
      <c r="T62" s="910">
        <f t="shared" si="0"/>
        <v>60.19</v>
      </c>
    </row>
    <row r="63" spans="1:21" ht="15">
      <c r="A63" s="905">
        <v>19482716</v>
      </c>
      <c r="B63" s="906" t="s">
        <v>5298</v>
      </c>
      <c r="C63" s="907" t="s">
        <v>5320</v>
      </c>
      <c r="D63" s="906">
        <v>2011</v>
      </c>
      <c r="E63" s="906">
        <v>92</v>
      </c>
      <c r="F63" s="906">
        <v>0</v>
      </c>
      <c r="G63" s="906">
        <v>0</v>
      </c>
      <c r="H63" s="906">
        <v>25388</v>
      </c>
      <c r="I63" s="906">
        <v>2</v>
      </c>
      <c r="J63" s="906">
        <v>0</v>
      </c>
      <c r="K63" s="906" t="s">
        <v>5241</v>
      </c>
      <c r="L63" s="908">
        <v>316.37</v>
      </c>
      <c r="M63" s="908"/>
      <c r="N63" s="908"/>
      <c r="O63" s="908"/>
      <c r="P63" s="908">
        <v>8.68</v>
      </c>
      <c r="Q63" s="908"/>
      <c r="R63" s="909"/>
      <c r="S63" s="902">
        <v>41.31</v>
      </c>
      <c r="T63" s="910">
        <f t="shared" si="0"/>
        <v>366.36</v>
      </c>
    </row>
    <row r="64" spans="1:21" ht="15">
      <c r="A64" s="905">
        <v>19483528</v>
      </c>
      <c r="B64" s="906" t="s">
        <v>5239</v>
      </c>
      <c r="C64" s="907" t="s">
        <v>5321</v>
      </c>
      <c r="D64" s="906">
        <v>2011</v>
      </c>
      <c r="E64" s="906">
        <v>50</v>
      </c>
      <c r="F64" s="906">
        <v>0</v>
      </c>
      <c r="G64" s="906">
        <v>0</v>
      </c>
      <c r="H64" s="906">
        <v>9952</v>
      </c>
      <c r="I64" s="906">
        <v>2</v>
      </c>
      <c r="J64" s="906">
        <v>0</v>
      </c>
      <c r="K64" s="906" t="s">
        <v>5241</v>
      </c>
      <c r="L64" s="908">
        <v>148.33000000000001</v>
      </c>
      <c r="M64" s="908"/>
      <c r="N64" s="908"/>
      <c r="O64" s="908"/>
      <c r="P64" s="908">
        <v>8.68</v>
      </c>
      <c r="Q64" s="908"/>
      <c r="R64" s="909"/>
      <c r="S64" s="902">
        <v>19.71</v>
      </c>
      <c r="T64" s="910">
        <f t="shared" si="0"/>
        <v>176.72000000000003</v>
      </c>
    </row>
    <row r="65" spans="1:21" ht="15">
      <c r="A65" s="905">
        <v>19488216</v>
      </c>
      <c r="B65" s="906" t="s">
        <v>5322</v>
      </c>
      <c r="C65" s="907" t="s">
        <v>5323</v>
      </c>
      <c r="D65" s="906">
        <v>2011</v>
      </c>
      <c r="E65" s="906">
        <v>0</v>
      </c>
      <c r="F65" s="906">
        <v>0</v>
      </c>
      <c r="G65" s="906">
        <v>0</v>
      </c>
      <c r="H65" s="906">
        <v>116997</v>
      </c>
      <c r="I65" s="906">
        <v>1</v>
      </c>
      <c r="J65" s="906">
        <v>0</v>
      </c>
      <c r="K65" s="906" t="s">
        <v>5309</v>
      </c>
      <c r="L65" s="908">
        <v>42.81</v>
      </c>
      <c r="M65" s="908">
        <v>168.49</v>
      </c>
      <c r="N65" s="908">
        <v>878.14</v>
      </c>
      <c r="O65" s="908"/>
      <c r="P65" s="908">
        <v>8.68</v>
      </c>
      <c r="Q65" s="908">
        <v>117.95</v>
      </c>
      <c r="R65" s="909"/>
      <c r="S65" s="902">
        <v>151.72999999999999</v>
      </c>
      <c r="T65" s="910">
        <f t="shared" si="0"/>
        <v>1367.8000000000002</v>
      </c>
    </row>
    <row r="66" spans="1:21" ht="15">
      <c r="A66" s="905">
        <v>19132034</v>
      </c>
      <c r="B66" s="906" t="s">
        <v>5324</v>
      </c>
      <c r="C66" s="907" t="s">
        <v>5325</v>
      </c>
      <c r="D66" s="906">
        <v>2002</v>
      </c>
      <c r="E66" s="906">
        <v>0</v>
      </c>
      <c r="F66" s="906">
        <v>2000</v>
      </c>
      <c r="G66" s="906">
        <v>0</v>
      </c>
      <c r="H66" s="906">
        <v>57061</v>
      </c>
      <c r="I66" s="906">
        <v>0</v>
      </c>
      <c r="J66" s="906">
        <v>0</v>
      </c>
      <c r="K66" s="906" t="s">
        <v>5326</v>
      </c>
      <c r="L66" s="908">
        <v>20.77</v>
      </c>
      <c r="M66" s="908"/>
      <c r="N66" s="908"/>
      <c r="O66" s="908"/>
      <c r="P66" s="908">
        <v>3.72</v>
      </c>
      <c r="Q66" s="908"/>
      <c r="R66" s="909"/>
      <c r="S66" s="902">
        <v>2.95</v>
      </c>
      <c r="T66" s="910">
        <f t="shared" si="0"/>
        <v>27.439999999999998</v>
      </c>
    </row>
    <row r="67" spans="1:21" ht="15">
      <c r="A67" s="905">
        <v>2257818</v>
      </c>
      <c r="B67" s="906" t="s">
        <v>5239</v>
      </c>
      <c r="C67" s="907" t="s">
        <v>5327</v>
      </c>
      <c r="D67" s="906">
        <v>1982</v>
      </c>
      <c r="E67" s="906">
        <v>0</v>
      </c>
      <c r="F67" s="906">
        <v>8820</v>
      </c>
      <c r="G67" s="906">
        <v>19000</v>
      </c>
      <c r="H67" s="906">
        <v>73674</v>
      </c>
      <c r="I67" s="906">
        <v>2</v>
      </c>
      <c r="J67" s="906">
        <v>0</v>
      </c>
      <c r="K67" s="906" t="s">
        <v>5246</v>
      </c>
      <c r="L67" s="908">
        <v>354.09</v>
      </c>
      <c r="M67" s="908"/>
      <c r="N67" s="908"/>
      <c r="O67" s="908"/>
      <c r="P67" s="908">
        <v>8.68</v>
      </c>
      <c r="Q67" s="908"/>
      <c r="R67" s="909"/>
      <c r="S67" s="902">
        <v>46.15</v>
      </c>
      <c r="T67" s="910">
        <f t="shared" si="0"/>
        <v>408.91999999999996</v>
      </c>
    </row>
    <row r="68" spans="1:21" ht="15">
      <c r="A68" s="905">
        <v>2307261</v>
      </c>
      <c r="B68" s="906" t="s">
        <v>5328</v>
      </c>
      <c r="C68" s="907" t="s">
        <v>5329</v>
      </c>
      <c r="D68" s="906">
        <v>1999</v>
      </c>
      <c r="E68" s="906">
        <v>44</v>
      </c>
      <c r="F68" s="906">
        <v>1700</v>
      </c>
      <c r="G68" s="906">
        <v>0</v>
      </c>
      <c r="H68" s="906">
        <v>9916</v>
      </c>
      <c r="I68" s="906">
        <v>2</v>
      </c>
      <c r="J68" s="906">
        <v>0</v>
      </c>
      <c r="K68" s="906" t="s">
        <v>5241</v>
      </c>
      <c r="L68" s="908">
        <v>134.37</v>
      </c>
      <c r="M68" s="908"/>
      <c r="N68" s="908"/>
      <c r="O68" s="908"/>
      <c r="P68" s="908">
        <v>8.68</v>
      </c>
      <c r="Q68" s="908"/>
      <c r="R68" s="909"/>
      <c r="S68" s="902">
        <v>17.920000000000002</v>
      </c>
      <c r="T68" s="910">
        <f t="shared" si="0"/>
        <v>160.97000000000003</v>
      </c>
    </row>
    <row r="69" spans="1:21" ht="15">
      <c r="A69" s="905">
        <v>19057412</v>
      </c>
      <c r="B69" s="906" t="s">
        <v>5330</v>
      </c>
      <c r="C69" s="907" t="s">
        <v>5331</v>
      </c>
      <c r="D69" s="906">
        <v>2000</v>
      </c>
      <c r="E69" s="906">
        <v>0</v>
      </c>
      <c r="F69" s="906">
        <v>0</v>
      </c>
      <c r="G69" s="906">
        <v>0</v>
      </c>
      <c r="H69" s="906">
        <v>24789</v>
      </c>
      <c r="I69" s="906">
        <v>0</v>
      </c>
      <c r="J69" s="906">
        <v>0</v>
      </c>
      <c r="K69" s="906" t="s">
        <v>5332</v>
      </c>
      <c r="L69" s="908">
        <v>77.709999999999994</v>
      </c>
      <c r="M69" s="908"/>
      <c r="N69" s="908"/>
      <c r="O69" s="908">
        <v>24.79</v>
      </c>
      <c r="P69" s="908">
        <v>8.68</v>
      </c>
      <c r="Q69" s="908">
        <v>25.81</v>
      </c>
      <c r="R69" s="909"/>
      <c r="S69" s="902">
        <v>16.97</v>
      </c>
      <c r="T69" s="910">
        <f t="shared" si="0"/>
        <v>153.96</v>
      </c>
    </row>
    <row r="70" spans="1:21" ht="15">
      <c r="A70" s="905"/>
      <c r="B70" s="921" t="s">
        <v>5333</v>
      </c>
      <c r="C70" s="907" t="s">
        <v>5334</v>
      </c>
      <c r="D70" s="906"/>
      <c r="E70" s="906"/>
      <c r="F70" s="906"/>
      <c r="G70" s="906"/>
      <c r="H70" s="906"/>
      <c r="I70" s="906"/>
      <c r="J70" s="906"/>
      <c r="K70" s="906" t="s">
        <v>5335</v>
      </c>
      <c r="L70" s="908">
        <v>35.049999999999997</v>
      </c>
      <c r="M70" s="908"/>
      <c r="N70" s="908">
        <v>660.51</v>
      </c>
      <c r="O70" s="908"/>
      <c r="P70" s="908">
        <v>8.68</v>
      </c>
      <c r="Q70" s="908">
        <v>110.73</v>
      </c>
      <c r="R70" s="909"/>
      <c r="S70" s="902">
        <v>101.56</v>
      </c>
      <c r="T70" s="910">
        <f t="shared" si="0"/>
        <v>916.53</v>
      </c>
    </row>
    <row r="71" spans="1:21" ht="15">
      <c r="A71" s="905"/>
      <c r="B71" s="906"/>
      <c r="C71" s="907"/>
      <c r="D71" s="906"/>
      <c r="E71" s="906"/>
      <c r="F71" s="906"/>
      <c r="G71" s="906"/>
      <c r="H71" s="906"/>
      <c r="I71" s="906"/>
      <c r="J71" s="906"/>
      <c r="K71" s="906"/>
      <c r="L71" s="908"/>
      <c r="M71" s="908"/>
      <c r="N71" s="908"/>
      <c r="O71" s="908"/>
      <c r="P71" s="908"/>
      <c r="Q71" s="908"/>
      <c r="R71" s="909"/>
      <c r="S71" s="902"/>
      <c r="T71" s="910"/>
    </row>
    <row r="72" spans="1:21" ht="15">
      <c r="A72" s="905"/>
      <c r="B72" s="906"/>
      <c r="C72" s="907"/>
      <c r="D72" s="906"/>
      <c r="E72" s="906"/>
      <c r="F72" s="906"/>
      <c r="G72" s="906"/>
      <c r="H72" s="906"/>
      <c r="I72" s="906"/>
      <c r="J72" s="906"/>
      <c r="K72" s="906"/>
      <c r="L72" s="908"/>
      <c r="M72" s="908"/>
      <c r="N72" s="908"/>
      <c r="O72" s="908"/>
      <c r="P72" s="908"/>
      <c r="Q72" s="908"/>
      <c r="R72" s="909"/>
      <c r="S72" s="902"/>
      <c r="T72" s="910"/>
    </row>
    <row r="73" spans="1:21" ht="15">
      <c r="A73" s="918" t="s">
        <v>5336</v>
      </c>
      <c r="B73" s="906"/>
      <c r="C73" s="907"/>
      <c r="D73" s="906"/>
      <c r="E73" s="906"/>
      <c r="F73" s="906"/>
      <c r="G73" s="906"/>
      <c r="H73" s="906"/>
      <c r="I73" s="906"/>
      <c r="J73" s="906"/>
      <c r="K73" s="919" t="s">
        <v>5337</v>
      </c>
      <c r="L73" s="908"/>
      <c r="M73" s="908"/>
      <c r="N73" s="908"/>
      <c r="O73" s="908"/>
      <c r="P73" s="908"/>
      <c r="Q73" s="908"/>
      <c r="R73" s="909"/>
      <c r="S73" s="902"/>
      <c r="T73" s="910"/>
      <c r="U73" s="615">
        <f>SUM(T74)</f>
        <v>462.33000000000004</v>
      </c>
    </row>
    <row r="74" spans="1:21" ht="15">
      <c r="A74" s="905">
        <v>19540416</v>
      </c>
      <c r="B74" s="906" t="s">
        <v>5277</v>
      </c>
      <c r="C74" s="907" t="s">
        <v>5338</v>
      </c>
      <c r="D74" s="906">
        <v>2013</v>
      </c>
      <c r="E74" s="906">
        <v>96</v>
      </c>
      <c r="F74" s="906">
        <v>2198</v>
      </c>
      <c r="G74" s="906">
        <v>0</v>
      </c>
      <c r="H74" s="906">
        <v>24590</v>
      </c>
      <c r="I74" s="906">
        <v>2</v>
      </c>
      <c r="J74" s="906">
        <v>1</v>
      </c>
      <c r="K74" s="906" t="s">
        <v>5241</v>
      </c>
      <c r="L74" s="908">
        <v>345.24</v>
      </c>
      <c r="M74" s="908">
        <v>27.54</v>
      </c>
      <c r="N74" s="908">
        <v>9.52</v>
      </c>
      <c r="O74" s="908"/>
      <c r="P74" s="908">
        <v>8.68</v>
      </c>
      <c r="Q74" s="908">
        <v>19.29</v>
      </c>
      <c r="R74" s="909"/>
      <c r="S74" s="902">
        <v>52.06</v>
      </c>
      <c r="T74" s="910">
        <f>SUM(L74:S74)</f>
        <v>462.33000000000004</v>
      </c>
    </row>
    <row r="75" spans="1:21" ht="15">
      <c r="A75" s="905"/>
      <c r="B75" s="906"/>
      <c r="C75" s="907"/>
      <c r="D75" s="906"/>
      <c r="E75" s="906"/>
      <c r="F75" s="906"/>
      <c r="G75" s="906"/>
      <c r="H75" s="906"/>
      <c r="I75" s="906"/>
      <c r="J75" s="906"/>
      <c r="K75" s="906"/>
      <c r="L75" s="908"/>
      <c r="M75" s="908"/>
      <c r="N75" s="908"/>
      <c r="O75" s="908"/>
      <c r="P75" s="908"/>
      <c r="Q75" s="908"/>
      <c r="R75" s="909"/>
      <c r="S75" s="902"/>
      <c r="T75" s="910"/>
    </row>
    <row r="76" spans="1:21" ht="15">
      <c r="A76" s="918" t="s">
        <v>5339</v>
      </c>
      <c r="B76" s="906"/>
      <c r="C76" s="907"/>
      <c r="D76" s="906"/>
      <c r="E76" s="906"/>
      <c r="F76" s="906"/>
      <c r="G76" s="906"/>
      <c r="H76" s="906"/>
      <c r="I76" s="906"/>
      <c r="J76" s="906"/>
      <c r="K76" s="919" t="s">
        <v>5340</v>
      </c>
      <c r="L76" s="908"/>
      <c r="M76" s="908"/>
      <c r="N76" s="908"/>
      <c r="O76" s="908"/>
      <c r="P76" s="908"/>
      <c r="Q76" s="908"/>
      <c r="R76" s="909"/>
      <c r="S76" s="902"/>
      <c r="T76" s="910"/>
      <c r="U76" s="615">
        <f>SUM(T77:T78)</f>
        <v>425.09999999999997</v>
      </c>
    </row>
    <row r="77" spans="1:21" ht="15">
      <c r="A77" s="905">
        <v>19046300</v>
      </c>
      <c r="B77" s="906" t="s">
        <v>5341</v>
      </c>
      <c r="C77" s="907" t="s">
        <v>5228</v>
      </c>
      <c r="D77" s="906">
        <v>1999</v>
      </c>
      <c r="E77" s="906">
        <v>0</v>
      </c>
      <c r="F77" s="906">
        <v>0</v>
      </c>
      <c r="G77" s="906">
        <v>2000</v>
      </c>
      <c r="H77" s="906">
        <v>7437</v>
      </c>
      <c r="I77" s="906">
        <v>0</v>
      </c>
      <c r="J77" s="906">
        <v>0</v>
      </c>
      <c r="K77" s="906" t="s">
        <v>5238</v>
      </c>
      <c r="L77" s="908">
        <v>16.559999999999999</v>
      </c>
      <c r="M77" s="908"/>
      <c r="N77" s="908"/>
      <c r="O77" s="911"/>
      <c r="P77" s="908"/>
      <c r="Q77" s="908"/>
      <c r="R77" s="909"/>
      <c r="S77" s="902">
        <v>2.13</v>
      </c>
      <c r="T77" s="910">
        <f>SUM(L77:S77)</f>
        <v>18.689999999999998</v>
      </c>
    </row>
    <row r="78" spans="1:21" ht="15">
      <c r="A78" s="905">
        <v>19546172</v>
      </c>
      <c r="B78" s="906" t="s">
        <v>5342</v>
      </c>
      <c r="C78" s="907" t="s">
        <v>5343</v>
      </c>
      <c r="D78" s="906">
        <v>2013</v>
      </c>
      <c r="E78" s="906">
        <v>110</v>
      </c>
      <c r="F78" s="906">
        <v>0</v>
      </c>
      <c r="G78" s="906">
        <v>0</v>
      </c>
      <c r="H78" s="906">
        <v>24051</v>
      </c>
      <c r="I78" s="906">
        <v>6</v>
      </c>
      <c r="J78" s="906">
        <v>1</v>
      </c>
      <c r="K78" s="906" t="s">
        <v>5241</v>
      </c>
      <c r="L78" s="908">
        <v>306.25</v>
      </c>
      <c r="M78" s="908">
        <v>26.92</v>
      </c>
      <c r="N78" s="908"/>
      <c r="O78" s="908"/>
      <c r="P78" s="908">
        <v>8.68</v>
      </c>
      <c r="Q78" s="908">
        <v>18.84</v>
      </c>
      <c r="R78" s="909"/>
      <c r="S78" s="902">
        <v>45.72</v>
      </c>
      <c r="T78" s="910">
        <f t="shared" si="0"/>
        <v>406.40999999999997</v>
      </c>
    </row>
    <row r="79" spans="1:21" ht="15">
      <c r="A79" s="905"/>
      <c r="B79" s="906"/>
      <c r="C79" s="907"/>
      <c r="D79" s="906"/>
      <c r="E79" s="906"/>
      <c r="F79" s="906"/>
      <c r="G79" s="906"/>
      <c r="H79" s="906"/>
      <c r="I79" s="906"/>
      <c r="J79" s="906"/>
      <c r="K79" s="906"/>
      <c r="L79" s="908"/>
      <c r="M79" s="908"/>
      <c r="N79" s="908"/>
      <c r="O79" s="908"/>
      <c r="P79" s="908"/>
      <c r="Q79" s="908"/>
      <c r="R79" s="909"/>
      <c r="S79" s="902"/>
      <c r="T79" s="910"/>
    </row>
    <row r="80" spans="1:21" ht="15">
      <c r="A80" s="918" t="s">
        <v>5344</v>
      </c>
      <c r="B80" s="906"/>
      <c r="C80" s="907"/>
      <c r="D80" s="906"/>
      <c r="E80" s="906"/>
      <c r="F80" s="906"/>
      <c r="G80" s="906"/>
      <c r="H80" s="906"/>
      <c r="I80" s="906"/>
      <c r="J80" s="906"/>
      <c r="K80" s="919" t="s">
        <v>1867</v>
      </c>
      <c r="L80" s="908"/>
      <c r="M80" s="908"/>
      <c r="N80" s="908"/>
      <c r="O80" s="908"/>
      <c r="P80" s="908"/>
      <c r="Q80" s="908"/>
      <c r="R80" s="909"/>
      <c r="S80" s="902"/>
      <c r="T80" s="910"/>
      <c r="U80" s="615">
        <f>SUM(T81:T82)</f>
        <v>632.57999999999993</v>
      </c>
    </row>
    <row r="81" spans="1:23" ht="15">
      <c r="A81" s="905"/>
      <c r="B81" s="906" t="s">
        <v>5345</v>
      </c>
      <c r="C81" s="907" t="s">
        <v>5346</v>
      </c>
      <c r="D81" s="906"/>
      <c r="E81" s="906"/>
      <c r="F81" s="906"/>
      <c r="G81" s="906"/>
      <c r="H81" s="906"/>
      <c r="I81" s="906"/>
      <c r="J81" s="906"/>
      <c r="K81" s="906" t="s">
        <v>5347</v>
      </c>
      <c r="L81" s="908">
        <v>159.97999999999999</v>
      </c>
      <c r="M81" s="908">
        <v>16.809999999999999</v>
      </c>
      <c r="N81" s="908">
        <v>78.239999999999995</v>
      </c>
      <c r="O81" s="908"/>
      <c r="P81" s="908">
        <v>8.68</v>
      </c>
      <c r="Q81" s="908">
        <v>11.75</v>
      </c>
      <c r="R81" s="909"/>
      <c r="S81" s="902">
        <v>34.56</v>
      </c>
      <c r="T81" s="910">
        <f>SUM(L81:S81)</f>
        <v>310.02</v>
      </c>
    </row>
    <row r="82" spans="1:23" ht="15">
      <c r="A82" s="905"/>
      <c r="B82" s="906" t="s">
        <v>5345</v>
      </c>
      <c r="C82" s="907" t="s">
        <v>5348</v>
      </c>
      <c r="D82" s="906"/>
      <c r="E82" s="906"/>
      <c r="F82" s="906"/>
      <c r="G82" s="906"/>
      <c r="H82" s="906"/>
      <c r="I82" s="906"/>
      <c r="J82" s="906"/>
      <c r="K82" s="906" t="s">
        <v>5347</v>
      </c>
      <c r="L82" s="908">
        <v>159.97999999999999</v>
      </c>
      <c r="M82" s="908">
        <v>16.809999999999999</v>
      </c>
      <c r="N82" s="908">
        <v>89.39</v>
      </c>
      <c r="O82" s="908"/>
      <c r="P82" s="908">
        <v>8.68</v>
      </c>
      <c r="Q82" s="908">
        <v>11.75</v>
      </c>
      <c r="R82" s="909"/>
      <c r="S82" s="902">
        <v>35.950000000000003</v>
      </c>
      <c r="T82" s="910">
        <f>SUM(L82:S82)</f>
        <v>322.56</v>
      </c>
    </row>
    <row r="83" spans="1:23" ht="15.75" thickBot="1">
      <c r="A83" s="905"/>
      <c r="B83" s="906"/>
      <c r="C83" s="922"/>
      <c r="D83" s="906"/>
      <c r="E83" s="906"/>
      <c r="F83" s="906"/>
      <c r="G83" s="906"/>
      <c r="H83" s="906"/>
      <c r="I83" s="906"/>
      <c r="J83" s="906"/>
      <c r="K83" s="906"/>
      <c r="L83" s="908"/>
      <c r="M83" s="908"/>
      <c r="N83" s="908"/>
      <c r="O83" s="908"/>
      <c r="P83" s="908"/>
      <c r="Q83" s="908"/>
      <c r="R83" s="909"/>
      <c r="S83" s="902"/>
      <c r="T83" s="910"/>
    </row>
    <row r="84" spans="1:23" ht="15.75" thickBot="1">
      <c r="A84" s="887"/>
      <c r="B84" s="887"/>
      <c r="C84" s="888"/>
      <c r="D84" s="887"/>
      <c r="E84" s="887"/>
      <c r="F84" s="887"/>
      <c r="G84" s="887"/>
      <c r="H84" s="887"/>
      <c r="I84" s="887"/>
      <c r="J84" s="887"/>
      <c r="K84" s="887"/>
      <c r="L84" s="923">
        <f t="shared" ref="L84:S84" si="1">SUM(L8:L83)</f>
        <v>10085.019999999997</v>
      </c>
      <c r="M84" s="923">
        <f t="shared" si="1"/>
        <v>1140.8399999999999</v>
      </c>
      <c r="N84" s="923">
        <f t="shared" si="1"/>
        <v>4269.3500000000004</v>
      </c>
      <c r="O84" s="923">
        <f t="shared" si="1"/>
        <v>843.23</v>
      </c>
      <c r="P84" s="923">
        <f t="shared" si="1"/>
        <v>433.95000000000027</v>
      </c>
      <c r="Q84" s="923">
        <f t="shared" si="1"/>
        <v>1212.26</v>
      </c>
      <c r="R84" s="923">
        <f t="shared" si="1"/>
        <v>28.68</v>
      </c>
      <c r="S84" s="923">
        <f t="shared" si="1"/>
        <v>2553.7399999999998</v>
      </c>
      <c r="T84" s="924">
        <f>SUM(T8:T83)</f>
        <v>20567.07</v>
      </c>
      <c r="U84" s="925">
        <f>SUM(U8:U83)</f>
        <v>20567.07</v>
      </c>
    </row>
    <row r="86" spans="1:23">
      <c r="B86" s="610" t="s">
        <v>5349</v>
      </c>
    </row>
    <row r="87" spans="1:23" ht="13.5" thickBot="1"/>
    <row r="88" spans="1:23" ht="15.75" thickBot="1">
      <c r="A88" s="4899" t="s">
        <v>5206</v>
      </c>
      <c r="B88" s="4900"/>
      <c r="C88" s="4900"/>
      <c r="D88" s="4900"/>
      <c r="E88" s="4900"/>
      <c r="F88" s="4900"/>
      <c r="G88" s="4900"/>
      <c r="H88" s="4900"/>
      <c r="I88" s="4900"/>
      <c r="J88" s="4900"/>
      <c r="K88" s="4900"/>
      <c r="L88" s="4901" t="s">
        <v>5207</v>
      </c>
      <c r="M88" s="4902"/>
      <c r="N88" s="4902"/>
      <c r="O88" s="4902"/>
      <c r="P88" s="4902"/>
      <c r="Q88" s="4902"/>
      <c r="R88" s="4903"/>
      <c r="T88" s="889"/>
    </row>
    <row r="89" spans="1:23" ht="30">
      <c r="A89" s="890" t="s">
        <v>5208</v>
      </c>
      <c r="B89" s="891" t="s">
        <v>5209</v>
      </c>
      <c r="C89" s="891" t="s">
        <v>5210</v>
      </c>
      <c r="D89" s="891" t="s">
        <v>634</v>
      </c>
      <c r="E89" s="891" t="s">
        <v>5211</v>
      </c>
      <c r="F89" s="891" t="s">
        <v>5212</v>
      </c>
      <c r="G89" s="891" t="s">
        <v>5213</v>
      </c>
      <c r="H89" s="892" t="s">
        <v>5214</v>
      </c>
      <c r="I89" s="891" t="s">
        <v>5215</v>
      </c>
      <c r="J89" s="891" t="s">
        <v>5216</v>
      </c>
      <c r="K89" s="891" t="s">
        <v>5217</v>
      </c>
      <c r="L89" s="893" t="s">
        <v>5218</v>
      </c>
      <c r="M89" s="893" t="s">
        <v>5219</v>
      </c>
      <c r="N89" s="893" t="s">
        <v>5220</v>
      </c>
      <c r="O89" s="893" t="s">
        <v>5221</v>
      </c>
      <c r="P89" s="894" t="s">
        <v>5222</v>
      </c>
      <c r="Q89" s="893" t="s">
        <v>5223</v>
      </c>
      <c r="R89" s="895" t="s">
        <v>5224</v>
      </c>
      <c r="S89" s="896" t="s">
        <v>5225</v>
      </c>
      <c r="T89" s="897" t="s">
        <v>8</v>
      </c>
    </row>
    <row r="90" spans="1:23" ht="15">
      <c r="A90" s="890"/>
      <c r="B90" s="898"/>
      <c r="C90" s="891"/>
      <c r="D90" s="898"/>
      <c r="E90" s="898"/>
      <c r="F90" s="898"/>
      <c r="G90" s="898"/>
      <c r="H90" s="899"/>
      <c r="I90" s="898"/>
      <c r="J90" s="898"/>
      <c r="K90" s="898"/>
      <c r="L90" s="900"/>
      <c r="M90" s="900"/>
      <c r="N90" s="900"/>
      <c r="O90" s="900"/>
      <c r="P90" s="900"/>
      <c r="Q90" s="900"/>
      <c r="R90" s="901"/>
      <c r="S90" s="902"/>
      <c r="T90" s="903"/>
    </row>
    <row r="91" spans="1:23" ht="15">
      <c r="A91" s="904" t="s">
        <v>4743</v>
      </c>
      <c r="B91" s="898"/>
      <c r="C91" s="891"/>
      <c r="D91" s="898"/>
      <c r="E91" s="898"/>
      <c r="F91" s="898"/>
      <c r="G91" s="898"/>
      <c r="H91" s="899"/>
      <c r="I91" s="898"/>
      <c r="J91" s="898"/>
      <c r="K91" s="891" t="s">
        <v>5226</v>
      </c>
      <c r="L91" s="900"/>
      <c r="M91" s="900"/>
      <c r="N91" s="900"/>
      <c r="O91" s="900"/>
      <c r="P91" s="900"/>
      <c r="Q91" s="900"/>
      <c r="R91" s="901"/>
      <c r="S91" s="902"/>
      <c r="T91" s="903"/>
      <c r="U91" s="615">
        <f>SUM(T92:T94)</f>
        <v>5517.01</v>
      </c>
      <c r="W91" s="615">
        <f>W92</f>
        <v>-1497.1899999999998</v>
      </c>
    </row>
    <row r="92" spans="1:23" ht="15">
      <c r="A92" s="905">
        <v>2725384</v>
      </c>
      <c r="B92" s="906" t="s">
        <v>5227</v>
      </c>
      <c r="C92" s="907" t="s">
        <v>5228</v>
      </c>
      <c r="D92" s="906">
        <v>1900</v>
      </c>
      <c r="E92" s="906">
        <v>0</v>
      </c>
      <c r="F92" s="906">
        <v>0</v>
      </c>
      <c r="G92" s="906">
        <v>0</v>
      </c>
      <c r="H92" s="906">
        <v>17500</v>
      </c>
      <c r="I92" s="906">
        <v>4</v>
      </c>
      <c r="J92" s="906">
        <v>0</v>
      </c>
      <c r="K92" s="906" t="s">
        <v>5229</v>
      </c>
      <c r="L92" s="908"/>
      <c r="M92" s="908"/>
      <c r="N92" s="908"/>
      <c r="O92" s="908"/>
      <c r="P92" s="908"/>
      <c r="Q92" s="908"/>
      <c r="R92" s="909"/>
      <c r="S92" s="902"/>
      <c r="T92" s="910">
        <f>SUM(L92:S92)</f>
        <v>0</v>
      </c>
      <c r="W92" s="608">
        <f>1112.7-2609.89</f>
        <v>-1497.1899999999998</v>
      </c>
    </row>
    <row r="93" spans="1:23" ht="15">
      <c r="A93" s="905">
        <v>19157693</v>
      </c>
      <c r="B93" s="906" t="s">
        <v>5230</v>
      </c>
      <c r="C93" s="907" t="s">
        <v>5231</v>
      </c>
      <c r="D93" s="906">
        <v>2003</v>
      </c>
      <c r="E93" s="906">
        <v>51</v>
      </c>
      <c r="F93" s="906">
        <v>1868</v>
      </c>
      <c r="G93" s="906">
        <v>0</v>
      </c>
      <c r="H93" s="906">
        <v>8529</v>
      </c>
      <c r="I93" s="906">
        <v>4</v>
      </c>
      <c r="J93" s="906">
        <v>0</v>
      </c>
      <c r="K93" s="906" t="s">
        <v>5232</v>
      </c>
      <c r="L93" s="908">
        <v>181.18</v>
      </c>
      <c r="M93" s="908"/>
      <c r="N93" s="908"/>
      <c r="O93" s="911"/>
      <c r="P93" s="908">
        <v>14.87</v>
      </c>
      <c r="Q93" s="908"/>
      <c r="R93" s="909"/>
      <c r="S93" s="902">
        <v>33.46</v>
      </c>
      <c r="T93" s="910">
        <f t="shared" ref="T93:T155" si="2">SUM(L93:S93)</f>
        <v>229.51000000000002</v>
      </c>
    </row>
    <row r="94" spans="1:23" ht="15">
      <c r="A94" s="912"/>
      <c r="B94" s="913" t="s">
        <v>5233</v>
      </c>
      <c r="C94" s="914"/>
      <c r="D94" s="913"/>
      <c r="E94" s="913"/>
      <c r="F94" s="913"/>
      <c r="G94" s="913"/>
      <c r="H94" s="913"/>
      <c r="I94" s="913"/>
      <c r="J94" s="913"/>
      <c r="K94" s="913" t="s">
        <v>5234</v>
      </c>
      <c r="L94" s="915"/>
      <c r="M94" s="915">
        <v>700</v>
      </c>
      <c r="N94" s="915">
        <v>2400</v>
      </c>
      <c r="O94" s="916">
        <v>700</v>
      </c>
      <c r="P94" s="915"/>
      <c r="Q94" s="915">
        <v>700</v>
      </c>
      <c r="R94" s="909"/>
      <c r="S94" s="902">
        <v>787.5</v>
      </c>
      <c r="T94" s="910">
        <f t="shared" si="2"/>
        <v>5287.5</v>
      </c>
    </row>
    <row r="95" spans="1:23" ht="15">
      <c r="A95" s="912"/>
      <c r="B95" s="913"/>
      <c r="C95" s="914"/>
      <c r="D95" s="913"/>
      <c r="E95" s="913"/>
      <c r="F95" s="913"/>
      <c r="G95" s="913"/>
      <c r="H95" s="913"/>
      <c r="I95" s="913"/>
      <c r="J95" s="913"/>
      <c r="K95" s="913"/>
      <c r="L95" s="915"/>
      <c r="M95" s="915"/>
      <c r="N95" s="915"/>
      <c r="O95" s="916"/>
      <c r="P95" s="915"/>
      <c r="Q95" s="915"/>
      <c r="R95" s="909"/>
      <c r="S95" s="902"/>
      <c r="T95" s="910"/>
    </row>
    <row r="96" spans="1:23" ht="15">
      <c r="A96" s="912"/>
      <c r="B96" s="913"/>
      <c r="C96" s="914"/>
      <c r="D96" s="913"/>
      <c r="E96" s="913"/>
      <c r="F96" s="913"/>
      <c r="G96" s="913"/>
      <c r="H96" s="913"/>
      <c r="I96" s="913"/>
      <c r="J96" s="913"/>
      <c r="K96" s="913"/>
      <c r="L96" s="915"/>
      <c r="M96" s="915"/>
      <c r="N96" s="915"/>
      <c r="O96" s="916"/>
      <c r="P96" s="915"/>
      <c r="Q96" s="915"/>
      <c r="R96" s="909"/>
      <c r="S96" s="902"/>
      <c r="T96" s="910"/>
    </row>
    <row r="97" spans="1:23" ht="15">
      <c r="A97" s="918" t="s">
        <v>5235</v>
      </c>
      <c r="B97" s="906"/>
      <c r="C97" s="907"/>
      <c r="D97" s="906"/>
      <c r="E97" s="906"/>
      <c r="F97" s="906"/>
      <c r="G97" s="906"/>
      <c r="H97" s="906"/>
      <c r="I97" s="906"/>
      <c r="J97" s="906"/>
      <c r="K97" s="919" t="s">
        <v>5236</v>
      </c>
      <c r="L97" s="908"/>
      <c r="M97" s="908"/>
      <c r="N97" s="908"/>
      <c r="O97" s="911"/>
      <c r="P97" s="908"/>
      <c r="Q97" s="908"/>
      <c r="R97" s="909"/>
      <c r="S97" s="902"/>
      <c r="T97" s="910"/>
      <c r="U97" s="615">
        <f>SUM(T98:T133)</f>
        <v>7175.8700000000008</v>
      </c>
      <c r="W97" s="615">
        <f>SUM(W99:W131)</f>
        <v>12.14</v>
      </c>
    </row>
    <row r="98" spans="1:23" ht="15">
      <c r="A98" s="905">
        <v>2254378</v>
      </c>
      <c r="B98" s="906" t="s">
        <v>5237</v>
      </c>
      <c r="C98" s="907" t="s">
        <v>5228</v>
      </c>
      <c r="D98" s="906">
        <v>1980</v>
      </c>
      <c r="E98" s="906">
        <v>0</v>
      </c>
      <c r="F98" s="906">
        <v>0</v>
      </c>
      <c r="G98" s="906">
        <v>1000</v>
      </c>
      <c r="H98" s="906">
        <v>0</v>
      </c>
      <c r="I98" s="906">
        <v>0</v>
      </c>
      <c r="J98" s="906">
        <v>0</v>
      </c>
      <c r="K98" s="906" t="s">
        <v>5238</v>
      </c>
      <c r="L98" s="908">
        <v>8.2799999999999994</v>
      </c>
      <c r="M98" s="908"/>
      <c r="N98" s="908"/>
      <c r="O98" s="911"/>
      <c r="P98" s="908"/>
      <c r="Q98" s="908"/>
      <c r="R98" s="909"/>
      <c r="S98" s="902">
        <v>1.06</v>
      </c>
      <c r="T98" s="910">
        <f t="shared" si="2"/>
        <v>9.34</v>
      </c>
    </row>
    <row r="99" spans="1:23" ht="15">
      <c r="A99" s="905">
        <v>19743702</v>
      </c>
      <c r="B99" s="926" t="s">
        <v>5350</v>
      </c>
      <c r="C99" s="927" t="s">
        <v>5351</v>
      </c>
      <c r="D99" s="906"/>
      <c r="E99" s="906"/>
      <c r="F99" s="906"/>
      <c r="G99" s="906"/>
      <c r="H99" s="906"/>
      <c r="I99" s="906"/>
      <c r="J99" s="906"/>
      <c r="K99" s="906" t="s">
        <v>5238</v>
      </c>
      <c r="L99" s="908">
        <v>16.559999999999999</v>
      </c>
      <c r="M99" s="908"/>
      <c r="N99" s="908"/>
      <c r="O99" s="911"/>
      <c r="P99" s="908"/>
      <c r="Q99" s="908"/>
      <c r="R99" s="909"/>
      <c r="S99" s="902">
        <v>2.13</v>
      </c>
      <c r="T99" s="910">
        <f t="shared" si="2"/>
        <v>18.689999999999998</v>
      </c>
      <c r="W99" s="608">
        <v>12.14</v>
      </c>
    </row>
    <row r="100" spans="1:23" ht="15">
      <c r="A100" s="905">
        <v>2302144</v>
      </c>
      <c r="B100" s="906" t="s">
        <v>5239</v>
      </c>
      <c r="C100" s="907" t="s">
        <v>5240</v>
      </c>
      <c r="D100" s="906">
        <v>1999</v>
      </c>
      <c r="E100" s="906">
        <v>84</v>
      </c>
      <c r="F100" s="906">
        <v>2799</v>
      </c>
      <c r="G100" s="906">
        <v>0</v>
      </c>
      <c r="H100" s="906">
        <v>24789</v>
      </c>
      <c r="I100" s="906">
        <v>2</v>
      </c>
      <c r="J100" s="906">
        <v>0</v>
      </c>
      <c r="K100" s="906" t="s">
        <v>5241</v>
      </c>
      <c r="L100" s="908">
        <v>379.1</v>
      </c>
      <c r="M100" s="908"/>
      <c r="N100" s="908"/>
      <c r="O100" s="911"/>
      <c r="P100" s="908">
        <v>8.68</v>
      </c>
      <c r="Q100" s="908"/>
      <c r="R100" s="909"/>
      <c r="S100" s="902">
        <v>49.37</v>
      </c>
      <c r="T100" s="910">
        <f t="shared" si="2"/>
        <v>437.15000000000003</v>
      </c>
    </row>
    <row r="101" spans="1:23" ht="15">
      <c r="A101" s="905">
        <v>19024173</v>
      </c>
      <c r="B101" s="906" t="s">
        <v>5242</v>
      </c>
      <c r="C101" s="907" t="s">
        <v>5243</v>
      </c>
      <c r="D101" s="906">
        <v>1996</v>
      </c>
      <c r="E101" s="906">
        <v>0</v>
      </c>
      <c r="F101" s="906">
        <v>0</v>
      </c>
      <c r="G101" s="906">
        <v>3500</v>
      </c>
      <c r="H101" s="906">
        <v>5850</v>
      </c>
      <c r="I101" s="906">
        <v>0</v>
      </c>
      <c r="J101" s="906">
        <v>0</v>
      </c>
      <c r="K101" s="906" t="s">
        <v>5238</v>
      </c>
      <c r="L101" s="908">
        <v>44.67</v>
      </c>
      <c r="M101" s="908"/>
      <c r="N101" s="908"/>
      <c r="O101" s="911"/>
      <c r="P101" s="908"/>
      <c r="Q101" s="908"/>
      <c r="R101" s="909"/>
      <c r="S101" s="902">
        <v>5.74</v>
      </c>
      <c r="T101" s="910">
        <f t="shared" si="2"/>
        <v>50.410000000000004</v>
      </c>
    </row>
    <row r="102" spans="1:23" ht="15">
      <c r="A102" s="905">
        <v>19024174</v>
      </c>
      <c r="B102" s="928" t="s">
        <v>5244</v>
      </c>
      <c r="C102" s="929" t="s">
        <v>5245</v>
      </c>
      <c r="D102" s="928">
        <v>1996</v>
      </c>
      <c r="E102" s="928">
        <v>0</v>
      </c>
      <c r="F102" s="928">
        <v>5958</v>
      </c>
      <c r="G102" s="928">
        <v>10000</v>
      </c>
      <c r="H102" s="928">
        <v>23996</v>
      </c>
      <c r="I102" s="928">
        <v>2</v>
      </c>
      <c r="J102" s="928">
        <v>0</v>
      </c>
      <c r="K102" s="928" t="s">
        <v>5246</v>
      </c>
      <c r="L102" s="930">
        <v>290.20999999999998</v>
      </c>
      <c r="M102" s="930"/>
      <c r="N102" s="930"/>
      <c r="O102" s="930"/>
      <c r="P102" s="930">
        <v>8.68</v>
      </c>
      <c r="Q102" s="930"/>
      <c r="R102" s="931"/>
      <c r="S102" s="932">
        <v>37.950000000000003</v>
      </c>
      <c r="T102" s="933">
        <f t="shared" si="2"/>
        <v>336.84</v>
      </c>
      <c r="U102" s="520" t="s">
        <v>5352</v>
      </c>
    </row>
    <row r="103" spans="1:23" ht="15">
      <c r="A103" s="905">
        <v>19025769</v>
      </c>
      <c r="B103" s="906" t="s">
        <v>5244</v>
      </c>
      <c r="C103" s="907" t="s">
        <v>5247</v>
      </c>
      <c r="D103" s="906">
        <v>1996</v>
      </c>
      <c r="E103" s="906">
        <v>180</v>
      </c>
      <c r="F103" s="906">
        <v>10964</v>
      </c>
      <c r="G103" s="906">
        <v>19000</v>
      </c>
      <c r="H103" s="906">
        <v>141027</v>
      </c>
      <c r="I103" s="906">
        <v>2</v>
      </c>
      <c r="J103" s="906">
        <v>0</v>
      </c>
      <c r="K103" s="906" t="s">
        <v>5246</v>
      </c>
      <c r="L103" s="908">
        <v>455.26</v>
      </c>
      <c r="M103" s="908"/>
      <c r="N103" s="908"/>
      <c r="O103" s="911"/>
      <c r="P103" s="908">
        <v>8.68</v>
      </c>
      <c r="Q103" s="908"/>
      <c r="R103" s="909"/>
      <c r="S103" s="902">
        <v>59.14</v>
      </c>
      <c r="T103" s="910">
        <f t="shared" si="2"/>
        <v>523.08000000000004</v>
      </c>
    </row>
    <row r="104" spans="1:23" ht="15">
      <c r="A104" s="905">
        <v>19046774</v>
      </c>
      <c r="B104" s="906" t="s">
        <v>5248</v>
      </c>
      <c r="C104" s="927" t="s">
        <v>5353</v>
      </c>
      <c r="D104" s="906">
        <v>1999</v>
      </c>
      <c r="E104" s="906">
        <v>0</v>
      </c>
      <c r="F104" s="906">
        <v>0</v>
      </c>
      <c r="G104" s="906">
        <v>2000</v>
      </c>
      <c r="H104" s="906">
        <v>6197</v>
      </c>
      <c r="I104" s="906">
        <v>0</v>
      </c>
      <c r="J104" s="906">
        <v>0</v>
      </c>
      <c r="K104" s="906" t="s">
        <v>5238</v>
      </c>
      <c r="L104" s="908">
        <v>16.559999999999999</v>
      </c>
      <c r="M104" s="908"/>
      <c r="N104" s="908"/>
      <c r="O104" s="911"/>
      <c r="P104" s="908"/>
      <c r="Q104" s="908"/>
      <c r="R104" s="909"/>
      <c r="S104" s="902">
        <v>2.13</v>
      </c>
      <c r="T104" s="910">
        <f t="shared" si="2"/>
        <v>18.689999999999998</v>
      </c>
    </row>
    <row r="105" spans="1:23" ht="15">
      <c r="A105" s="905">
        <v>19055120</v>
      </c>
      <c r="B105" s="906" t="s">
        <v>5249</v>
      </c>
      <c r="C105" s="907" t="s">
        <v>5250</v>
      </c>
      <c r="D105" s="906">
        <v>2000</v>
      </c>
      <c r="E105" s="906">
        <v>51</v>
      </c>
      <c r="F105" s="906">
        <v>1868</v>
      </c>
      <c r="G105" s="906">
        <v>0</v>
      </c>
      <c r="H105" s="906">
        <v>10857</v>
      </c>
      <c r="I105" s="906">
        <v>4</v>
      </c>
      <c r="J105" s="906">
        <v>4</v>
      </c>
      <c r="K105" s="906" t="s">
        <v>5251</v>
      </c>
      <c r="L105" s="908">
        <v>181.18</v>
      </c>
      <c r="M105" s="908"/>
      <c r="N105" s="908"/>
      <c r="O105" s="911"/>
      <c r="P105" s="908">
        <v>14.87</v>
      </c>
      <c r="Q105" s="908"/>
      <c r="R105" s="909"/>
      <c r="S105" s="902">
        <v>33.46</v>
      </c>
      <c r="T105" s="910">
        <f t="shared" si="2"/>
        <v>229.51000000000002</v>
      </c>
    </row>
    <row r="106" spans="1:23" ht="15">
      <c r="A106" s="905">
        <v>19055156</v>
      </c>
      <c r="B106" s="906" t="s">
        <v>5239</v>
      </c>
      <c r="C106" s="907" t="s">
        <v>5252</v>
      </c>
      <c r="D106" s="906">
        <v>2000</v>
      </c>
      <c r="E106" s="906">
        <v>47</v>
      </c>
      <c r="F106" s="906">
        <v>1870</v>
      </c>
      <c r="G106" s="906">
        <v>0</v>
      </c>
      <c r="H106" s="906">
        <v>11279</v>
      </c>
      <c r="I106" s="906">
        <v>1</v>
      </c>
      <c r="J106" s="906">
        <v>3</v>
      </c>
      <c r="K106" s="906" t="s">
        <v>5241</v>
      </c>
      <c r="L106" s="908">
        <v>149.21</v>
      </c>
      <c r="M106" s="908"/>
      <c r="N106" s="908"/>
      <c r="O106" s="911"/>
      <c r="P106" s="908">
        <v>8.68</v>
      </c>
      <c r="Q106" s="908"/>
      <c r="R106" s="909"/>
      <c r="S106" s="902">
        <v>19.82</v>
      </c>
      <c r="T106" s="910">
        <f t="shared" si="2"/>
        <v>177.71</v>
      </c>
    </row>
    <row r="107" spans="1:23" ht="15">
      <c r="A107" s="905">
        <v>19056155</v>
      </c>
      <c r="B107" s="906" t="s">
        <v>5253</v>
      </c>
      <c r="C107" s="907" t="s">
        <v>5254</v>
      </c>
      <c r="D107" s="906">
        <v>2005</v>
      </c>
      <c r="E107" s="906">
        <v>0</v>
      </c>
      <c r="F107" s="906">
        <v>125</v>
      </c>
      <c r="G107" s="906">
        <v>0</v>
      </c>
      <c r="H107" s="906">
        <v>2434</v>
      </c>
      <c r="I107" s="906">
        <v>1</v>
      </c>
      <c r="J107" s="906">
        <v>0</v>
      </c>
      <c r="K107" s="906" t="s">
        <v>5255</v>
      </c>
      <c r="L107" s="908">
        <v>141.27000000000001</v>
      </c>
      <c r="M107" s="908"/>
      <c r="N107" s="908"/>
      <c r="O107" s="911"/>
      <c r="P107" s="908">
        <v>4.96</v>
      </c>
      <c r="Q107" s="908"/>
      <c r="R107" s="909"/>
      <c r="S107" s="902">
        <v>25.59</v>
      </c>
      <c r="T107" s="910">
        <f t="shared" si="2"/>
        <v>171.82000000000002</v>
      </c>
    </row>
    <row r="108" spans="1:23" ht="15">
      <c r="A108" s="905">
        <v>19057411</v>
      </c>
      <c r="B108" s="906" t="s">
        <v>5256</v>
      </c>
      <c r="C108" s="907" t="s">
        <v>5257</v>
      </c>
      <c r="D108" s="906">
        <v>2000</v>
      </c>
      <c r="E108" s="906">
        <v>0</v>
      </c>
      <c r="F108" s="906">
        <v>0</v>
      </c>
      <c r="G108" s="906">
        <v>3000</v>
      </c>
      <c r="H108" s="906">
        <v>4462</v>
      </c>
      <c r="I108" s="906">
        <v>0</v>
      </c>
      <c r="J108" s="906">
        <v>0</v>
      </c>
      <c r="K108" s="906" t="s">
        <v>5238</v>
      </c>
      <c r="L108" s="908">
        <v>24.81</v>
      </c>
      <c r="M108" s="908"/>
      <c r="N108" s="908"/>
      <c r="O108" s="911"/>
      <c r="P108" s="908"/>
      <c r="Q108" s="908"/>
      <c r="R108" s="909"/>
      <c r="S108" s="902">
        <v>3.19</v>
      </c>
      <c r="T108" s="910">
        <f t="shared" si="2"/>
        <v>28</v>
      </c>
    </row>
    <row r="109" spans="1:23" ht="15">
      <c r="A109" s="905">
        <v>19125110</v>
      </c>
      <c r="B109" s="906" t="s">
        <v>5258</v>
      </c>
      <c r="C109" s="907" t="s">
        <v>5259</v>
      </c>
      <c r="D109" s="906">
        <v>2002</v>
      </c>
      <c r="E109" s="906">
        <v>0</v>
      </c>
      <c r="F109" s="906">
        <v>0</v>
      </c>
      <c r="G109" s="906">
        <v>1300</v>
      </c>
      <c r="H109" s="906">
        <v>12395</v>
      </c>
      <c r="I109" s="906">
        <v>0</v>
      </c>
      <c r="J109" s="906">
        <v>0</v>
      </c>
      <c r="K109" s="906" t="s">
        <v>5260</v>
      </c>
      <c r="L109" s="908">
        <v>16.559999999999999</v>
      </c>
      <c r="M109" s="908"/>
      <c r="N109" s="908"/>
      <c r="O109" s="911"/>
      <c r="P109" s="908"/>
      <c r="Q109" s="908"/>
      <c r="R109" s="909"/>
      <c r="S109" s="902">
        <v>2.13</v>
      </c>
      <c r="T109" s="910">
        <f t="shared" si="2"/>
        <v>18.689999999999998</v>
      </c>
    </row>
    <row r="110" spans="1:23" ht="15">
      <c r="A110" s="905">
        <v>19133993</v>
      </c>
      <c r="B110" s="906" t="s">
        <v>5261</v>
      </c>
      <c r="C110" s="907" t="s">
        <v>5262</v>
      </c>
      <c r="D110" s="906">
        <v>2002</v>
      </c>
      <c r="E110" s="906">
        <v>198</v>
      </c>
      <c r="F110" s="906">
        <v>9973</v>
      </c>
      <c r="G110" s="906">
        <v>19000</v>
      </c>
      <c r="H110" s="906">
        <v>119980</v>
      </c>
      <c r="I110" s="906">
        <v>2</v>
      </c>
      <c r="J110" s="906">
        <v>0</v>
      </c>
      <c r="K110" s="906" t="s">
        <v>5246</v>
      </c>
      <c r="L110" s="908">
        <v>354.09</v>
      </c>
      <c r="M110" s="908"/>
      <c r="N110" s="908"/>
      <c r="O110" s="911"/>
      <c r="P110" s="908">
        <v>8.68</v>
      </c>
      <c r="Q110" s="908"/>
      <c r="R110" s="909"/>
      <c r="S110" s="902">
        <v>46.15</v>
      </c>
      <c r="T110" s="910">
        <f t="shared" si="2"/>
        <v>408.91999999999996</v>
      </c>
    </row>
    <row r="111" spans="1:23" ht="15">
      <c r="A111" s="905">
        <v>19149679</v>
      </c>
      <c r="B111" s="906" t="s">
        <v>5263</v>
      </c>
      <c r="C111" s="907" t="s">
        <v>5228</v>
      </c>
      <c r="D111" s="906">
        <v>2003</v>
      </c>
      <c r="E111" s="906">
        <v>0</v>
      </c>
      <c r="F111" s="906">
        <v>0</v>
      </c>
      <c r="G111" s="906">
        <v>2000</v>
      </c>
      <c r="H111" s="906">
        <v>0</v>
      </c>
      <c r="I111" s="906">
        <v>0</v>
      </c>
      <c r="J111" s="906">
        <v>0</v>
      </c>
      <c r="K111" s="906" t="s">
        <v>5238</v>
      </c>
      <c r="L111" s="908">
        <v>16.559999999999999</v>
      </c>
      <c r="M111" s="908"/>
      <c r="N111" s="908"/>
      <c r="O111" s="911"/>
      <c r="P111" s="908"/>
      <c r="Q111" s="908"/>
      <c r="R111" s="909"/>
      <c r="S111" s="902">
        <v>2.13</v>
      </c>
      <c r="T111" s="910">
        <f t="shared" si="2"/>
        <v>18.689999999999998</v>
      </c>
    </row>
    <row r="112" spans="1:23" ht="15">
      <c r="A112" s="905">
        <v>19228343</v>
      </c>
      <c r="B112" s="906" t="s">
        <v>5264</v>
      </c>
      <c r="C112" s="907" t="s">
        <v>5265</v>
      </c>
      <c r="D112" s="906">
        <v>1999</v>
      </c>
      <c r="E112" s="906">
        <v>74</v>
      </c>
      <c r="F112" s="906">
        <v>0</v>
      </c>
      <c r="G112" s="906">
        <v>0</v>
      </c>
      <c r="H112" s="906">
        <v>0</v>
      </c>
      <c r="I112" s="906">
        <v>2</v>
      </c>
      <c r="J112" s="906">
        <v>0</v>
      </c>
      <c r="K112" s="906" t="s">
        <v>5241</v>
      </c>
      <c r="L112" s="908">
        <v>204.18</v>
      </c>
      <c r="M112" s="908"/>
      <c r="N112" s="908"/>
      <c r="O112" s="911"/>
      <c r="P112" s="908">
        <v>8.68</v>
      </c>
      <c r="Q112" s="908"/>
      <c r="R112" s="909"/>
      <c r="S112" s="902">
        <v>26.88</v>
      </c>
      <c r="T112" s="910">
        <f t="shared" si="2"/>
        <v>239.74</v>
      </c>
    </row>
    <row r="113" spans="1:20" ht="15">
      <c r="A113" s="905">
        <v>19236255</v>
      </c>
      <c r="B113" s="906" t="s">
        <v>5230</v>
      </c>
      <c r="C113" s="907" t="s">
        <v>5266</v>
      </c>
      <c r="D113" s="906">
        <v>2005</v>
      </c>
      <c r="E113" s="906">
        <v>51</v>
      </c>
      <c r="F113" s="906">
        <v>1868</v>
      </c>
      <c r="G113" s="906">
        <v>0</v>
      </c>
      <c r="H113" s="906">
        <v>10767</v>
      </c>
      <c r="I113" s="906">
        <v>2</v>
      </c>
      <c r="J113" s="906">
        <v>0</v>
      </c>
      <c r="K113" s="906" t="s">
        <v>5241</v>
      </c>
      <c r="L113" s="908">
        <v>150.66</v>
      </c>
      <c r="M113" s="908"/>
      <c r="N113" s="908"/>
      <c r="O113" s="911"/>
      <c r="P113" s="908">
        <v>8.68</v>
      </c>
      <c r="Q113" s="908"/>
      <c r="R113" s="909"/>
      <c r="S113" s="902">
        <v>20.010000000000002</v>
      </c>
      <c r="T113" s="910">
        <f t="shared" si="2"/>
        <v>179.35</v>
      </c>
    </row>
    <row r="114" spans="1:20" ht="15">
      <c r="A114" s="905">
        <v>19307022</v>
      </c>
      <c r="B114" s="906" t="s">
        <v>5267</v>
      </c>
      <c r="C114" s="907" t="s">
        <v>5268</v>
      </c>
      <c r="D114" s="906">
        <v>2001</v>
      </c>
      <c r="E114" s="906">
        <v>51</v>
      </c>
      <c r="F114" s="906">
        <v>0</v>
      </c>
      <c r="G114" s="906">
        <v>0</v>
      </c>
      <c r="H114" s="906">
        <v>0</v>
      </c>
      <c r="I114" s="906">
        <v>4</v>
      </c>
      <c r="J114" s="906">
        <v>0</v>
      </c>
      <c r="K114" s="906" t="s">
        <v>5269</v>
      </c>
      <c r="L114" s="908">
        <v>181.18</v>
      </c>
      <c r="M114" s="908"/>
      <c r="N114" s="908"/>
      <c r="O114" s="911"/>
      <c r="P114" s="908">
        <v>14.87</v>
      </c>
      <c r="Q114" s="908"/>
      <c r="R114" s="909"/>
      <c r="S114" s="902">
        <v>33.46</v>
      </c>
      <c r="T114" s="910">
        <f t="shared" si="2"/>
        <v>229.51000000000002</v>
      </c>
    </row>
    <row r="115" spans="1:20" ht="15">
      <c r="A115" s="905">
        <v>19315939</v>
      </c>
      <c r="B115" s="906" t="s">
        <v>5270</v>
      </c>
      <c r="C115" s="907" t="s">
        <v>5271</v>
      </c>
      <c r="D115" s="906">
        <v>2007</v>
      </c>
      <c r="E115" s="906">
        <v>0</v>
      </c>
      <c r="F115" s="906">
        <v>0</v>
      </c>
      <c r="G115" s="906">
        <v>2700</v>
      </c>
      <c r="H115" s="906">
        <v>4471</v>
      </c>
      <c r="I115" s="906">
        <v>0</v>
      </c>
      <c r="J115" s="906">
        <v>0</v>
      </c>
      <c r="K115" s="906" t="s">
        <v>5238</v>
      </c>
      <c r="L115" s="908">
        <v>31.9</v>
      </c>
      <c r="M115" s="908"/>
      <c r="N115" s="908"/>
      <c r="O115" s="911"/>
      <c r="P115" s="908"/>
      <c r="Q115" s="908"/>
      <c r="R115" s="909"/>
      <c r="S115" s="902">
        <v>4.0999999999999996</v>
      </c>
      <c r="T115" s="910">
        <f t="shared" si="2"/>
        <v>36</v>
      </c>
    </row>
    <row r="116" spans="1:20" ht="15">
      <c r="A116" s="905">
        <v>19350146</v>
      </c>
      <c r="B116" s="906" t="s">
        <v>5272</v>
      </c>
      <c r="C116" s="907" t="s">
        <v>5273</v>
      </c>
      <c r="D116" s="906">
        <v>2013</v>
      </c>
      <c r="E116" s="906">
        <v>0</v>
      </c>
      <c r="F116" s="906">
        <v>0</v>
      </c>
      <c r="G116" s="906">
        <v>2000</v>
      </c>
      <c r="H116" s="906">
        <v>0</v>
      </c>
      <c r="I116" s="906">
        <v>0</v>
      </c>
      <c r="J116" s="906">
        <v>0</v>
      </c>
      <c r="K116" s="906" t="s">
        <v>5274</v>
      </c>
      <c r="L116" s="908">
        <v>37.28</v>
      </c>
      <c r="M116" s="908"/>
      <c r="N116" s="908"/>
      <c r="O116" s="911"/>
      <c r="P116" s="908">
        <v>8.68</v>
      </c>
      <c r="Q116" s="908"/>
      <c r="R116" s="909"/>
      <c r="S116" s="902">
        <v>5.44</v>
      </c>
      <c r="T116" s="910">
        <f t="shared" si="2"/>
        <v>51.4</v>
      </c>
    </row>
    <row r="117" spans="1:20" ht="15">
      <c r="A117" s="905">
        <v>19352145</v>
      </c>
      <c r="B117" s="906" t="s">
        <v>5270</v>
      </c>
      <c r="C117" s="907" t="s">
        <v>5228</v>
      </c>
      <c r="D117" s="906">
        <v>2008</v>
      </c>
      <c r="E117" s="906">
        <v>0</v>
      </c>
      <c r="F117" s="906">
        <v>0</v>
      </c>
      <c r="G117" s="906">
        <v>2700</v>
      </c>
      <c r="H117" s="906">
        <v>4713</v>
      </c>
      <c r="I117" s="906">
        <v>0</v>
      </c>
      <c r="J117" s="906">
        <v>0</v>
      </c>
      <c r="K117" s="906" t="s">
        <v>5238</v>
      </c>
      <c r="L117" s="908">
        <v>31.9</v>
      </c>
      <c r="M117" s="908"/>
      <c r="N117" s="908"/>
      <c r="O117" s="911"/>
      <c r="P117" s="908"/>
      <c r="Q117" s="908"/>
      <c r="R117" s="909"/>
      <c r="S117" s="902">
        <v>4.0999999999999996</v>
      </c>
      <c r="T117" s="910">
        <f t="shared" si="2"/>
        <v>36</v>
      </c>
    </row>
    <row r="118" spans="1:20" ht="15">
      <c r="A118" s="905">
        <v>19399222</v>
      </c>
      <c r="B118" s="906" t="s">
        <v>5275</v>
      </c>
      <c r="C118" s="907" t="s">
        <v>5276</v>
      </c>
      <c r="D118" s="906">
        <v>2006</v>
      </c>
      <c r="E118" s="906">
        <v>69</v>
      </c>
      <c r="F118" s="906">
        <v>0</v>
      </c>
      <c r="G118" s="906">
        <v>0</v>
      </c>
      <c r="H118" s="906">
        <v>0</v>
      </c>
      <c r="I118" s="906">
        <v>2</v>
      </c>
      <c r="J118" s="906">
        <v>0</v>
      </c>
      <c r="K118" s="906" t="s">
        <v>5241</v>
      </c>
      <c r="L118" s="908">
        <v>192.55</v>
      </c>
      <c r="M118" s="908"/>
      <c r="N118" s="908"/>
      <c r="O118" s="911"/>
      <c r="P118" s="908">
        <v>8.68</v>
      </c>
      <c r="Q118" s="908"/>
      <c r="R118" s="909"/>
      <c r="S118" s="902">
        <v>25.39</v>
      </c>
      <c r="T118" s="910">
        <f t="shared" si="2"/>
        <v>226.62</v>
      </c>
    </row>
    <row r="119" spans="1:20" ht="15">
      <c r="A119" s="905">
        <v>19454625</v>
      </c>
      <c r="B119" s="906" t="s">
        <v>5277</v>
      </c>
      <c r="C119" s="907" t="s">
        <v>5278</v>
      </c>
      <c r="D119" s="906">
        <v>2010</v>
      </c>
      <c r="E119" s="906">
        <v>116</v>
      </c>
      <c r="F119" s="906">
        <v>0</v>
      </c>
      <c r="G119" s="906">
        <v>0</v>
      </c>
      <c r="H119" s="906">
        <v>35000</v>
      </c>
      <c r="I119" s="906">
        <v>2</v>
      </c>
      <c r="J119" s="906">
        <v>0</v>
      </c>
      <c r="K119" s="906" t="s">
        <v>5241</v>
      </c>
      <c r="L119" s="908">
        <v>301.91000000000003</v>
      </c>
      <c r="M119" s="908"/>
      <c r="N119" s="908"/>
      <c r="O119" s="911"/>
      <c r="P119" s="908">
        <v>8.68</v>
      </c>
      <c r="Q119" s="908"/>
      <c r="R119" s="909"/>
      <c r="S119" s="902">
        <v>39.450000000000003</v>
      </c>
      <c r="T119" s="910">
        <f t="shared" si="2"/>
        <v>350.04</v>
      </c>
    </row>
    <row r="120" spans="1:20" ht="15">
      <c r="A120" s="905">
        <v>19464059</v>
      </c>
      <c r="B120" s="906" t="s">
        <v>5279</v>
      </c>
      <c r="C120" s="907" t="s">
        <v>5280</v>
      </c>
      <c r="D120" s="906">
        <v>2010</v>
      </c>
      <c r="E120" s="906">
        <v>96</v>
      </c>
      <c r="F120" s="906">
        <v>2488</v>
      </c>
      <c r="G120" s="906">
        <v>0</v>
      </c>
      <c r="H120" s="906">
        <v>72479</v>
      </c>
      <c r="I120" s="906">
        <v>2</v>
      </c>
      <c r="J120" s="906">
        <v>0</v>
      </c>
      <c r="K120" s="906" t="s">
        <v>5241</v>
      </c>
      <c r="L120" s="908">
        <v>255.38</v>
      </c>
      <c r="M120" s="908"/>
      <c r="N120" s="908"/>
      <c r="O120" s="911"/>
      <c r="P120" s="908">
        <v>8.68</v>
      </c>
      <c r="Q120" s="908"/>
      <c r="R120" s="909"/>
      <c r="S120" s="902">
        <v>33.46</v>
      </c>
      <c r="T120" s="910">
        <f t="shared" si="2"/>
        <v>297.52</v>
      </c>
    </row>
    <row r="121" spans="1:20" ht="15">
      <c r="A121" s="905">
        <v>19479152</v>
      </c>
      <c r="B121" s="906" t="s">
        <v>5281</v>
      </c>
      <c r="C121" s="907" t="s">
        <v>5228</v>
      </c>
      <c r="D121" s="906">
        <v>2011</v>
      </c>
      <c r="E121" s="906">
        <v>0</v>
      </c>
      <c r="F121" s="906">
        <v>0</v>
      </c>
      <c r="G121" s="906">
        <v>3500</v>
      </c>
      <c r="H121" s="906">
        <v>0</v>
      </c>
      <c r="I121" s="906">
        <v>0</v>
      </c>
      <c r="J121" s="906">
        <v>0</v>
      </c>
      <c r="K121" s="906" t="s">
        <v>5238</v>
      </c>
      <c r="L121" s="908">
        <v>41.15</v>
      </c>
      <c r="M121" s="908"/>
      <c r="N121" s="908"/>
      <c r="O121" s="911"/>
      <c r="P121" s="908"/>
      <c r="Q121" s="908"/>
      <c r="R121" s="909"/>
      <c r="S121" s="902">
        <v>5.29</v>
      </c>
      <c r="T121" s="910">
        <f t="shared" si="2"/>
        <v>46.44</v>
      </c>
    </row>
    <row r="122" spans="1:20" ht="15">
      <c r="A122" s="905">
        <v>19488224</v>
      </c>
      <c r="B122" s="906" t="s">
        <v>5282</v>
      </c>
      <c r="C122" s="907" t="s">
        <v>5283</v>
      </c>
      <c r="D122" s="906">
        <v>2011</v>
      </c>
      <c r="E122" s="906">
        <v>74</v>
      </c>
      <c r="F122" s="906">
        <v>0</v>
      </c>
      <c r="G122" s="906">
        <v>0</v>
      </c>
      <c r="H122" s="906">
        <v>22489</v>
      </c>
      <c r="I122" s="906">
        <v>2</v>
      </c>
      <c r="J122" s="906">
        <v>0</v>
      </c>
      <c r="K122" s="906" t="s">
        <v>5241</v>
      </c>
      <c r="L122" s="908">
        <v>204.18</v>
      </c>
      <c r="M122" s="908"/>
      <c r="N122" s="908"/>
      <c r="O122" s="911"/>
      <c r="P122" s="908">
        <v>8.68</v>
      </c>
      <c r="Q122" s="908"/>
      <c r="R122" s="909"/>
      <c r="S122" s="920">
        <v>26.88</v>
      </c>
      <c r="T122" s="910">
        <f t="shared" si="2"/>
        <v>239.74</v>
      </c>
    </row>
    <row r="123" spans="1:20" ht="15">
      <c r="A123" s="905">
        <v>19252885</v>
      </c>
      <c r="B123" s="906" t="s">
        <v>5239</v>
      </c>
      <c r="C123" s="907" t="s">
        <v>5284</v>
      </c>
      <c r="D123" s="906">
        <v>2000</v>
      </c>
      <c r="E123" s="906">
        <v>73</v>
      </c>
      <c r="F123" s="906">
        <v>2800</v>
      </c>
      <c r="G123" s="906">
        <v>0</v>
      </c>
      <c r="H123" s="906">
        <v>0</v>
      </c>
      <c r="I123" s="906">
        <v>2</v>
      </c>
      <c r="J123" s="906">
        <v>5</v>
      </c>
      <c r="K123" s="906" t="s">
        <v>5241</v>
      </c>
      <c r="L123" s="908">
        <v>259.52999999999997</v>
      </c>
      <c r="M123" s="908"/>
      <c r="N123" s="908"/>
      <c r="O123" s="911"/>
      <c r="P123" s="908">
        <v>8.68</v>
      </c>
      <c r="Q123" s="908"/>
      <c r="R123" s="909"/>
      <c r="S123" s="902">
        <v>34</v>
      </c>
      <c r="T123" s="910">
        <f t="shared" si="2"/>
        <v>302.20999999999998</v>
      </c>
    </row>
    <row r="124" spans="1:20" ht="15">
      <c r="A124" s="905">
        <v>19047864</v>
      </c>
      <c r="B124" s="906" t="s">
        <v>5230</v>
      </c>
      <c r="C124" s="907" t="s">
        <v>5285</v>
      </c>
      <c r="D124" s="906">
        <v>1999</v>
      </c>
      <c r="E124" s="906">
        <v>63</v>
      </c>
      <c r="F124" s="906">
        <v>2446</v>
      </c>
      <c r="G124" s="906">
        <v>0</v>
      </c>
      <c r="H124" s="906">
        <v>18592</v>
      </c>
      <c r="I124" s="906">
        <v>2</v>
      </c>
      <c r="J124" s="906">
        <v>0</v>
      </c>
      <c r="K124" s="906" t="s">
        <v>5241</v>
      </c>
      <c r="L124" s="908">
        <v>229.61</v>
      </c>
      <c r="M124" s="908"/>
      <c r="N124" s="908"/>
      <c r="O124" s="911"/>
      <c r="P124" s="908">
        <v>8.68</v>
      </c>
      <c r="Q124" s="908"/>
      <c r="R124" s="909"/>
      <c r="S124" s="902">
        <v>30.15</v>
      </c>
      <c r="T124" s="910">
        <f t="shared" si="2"/>
        <v>268.44</v>
      </c>
    </row>
    <row r="125" spans="1:20" ht="15">
      <c r="A125" s="905">
        <v>19070414</v>
      </c>
      <c r="B125" s="906" t="s">
        <v>5286</v>
      </c>
      <c r="C125" s="907" t="s">
        <v>5287</v>
      </c>
      <c r="D125" s="906">
        <v>2001</v>
      </c>
      <c r="E125" s="906">
        <v>47</v>
      </c>
      <c r="F125" s="906">
        <v>0</v>
      </c>
      <c r="G125" s="906">
        <v>0</v>
      </c>
      <c r="H125" s="906">
        <v>11651</v>
      </c>
      <c r="I125" s="906">
        <v>1</v>
      </c>
      <c r="J125" s="906">
        <v>0</v>
      </c>
      <c r="K125" s="906" t="s">
        <v>5241</v>
      </c>
      <c r="L125" s="908">
        <v>181.75</v>
      </c>
      <c r="M125" s="908"/>
      <c r="N125" s="908"/>
      <c r="O125" s="911">
        <v>20.97</v>
      </c>
      <c r="P125" s="908">
        <v>8.68</v>
      </c>
      <c r="Q125" s="908"/>
      <c r="R125" s="909">
        <v>28.68</v>
      </c>
      <c r="S125" s="902">
        <v>28.78</v>
      </c>
      <c r="T125" s="910">
        <f t="shared" si="2"/>
        <v>268.86</v>
      </c>
    </row>
    <row r="126" spans="1:20" ht="15">
      <c r="A126" s="905">
        <v>19070415</v>
      </c>
      <c r="B126" s="906" t="s">
        <v>5286</v>
      </c>
      <c r="C126" s="907" t="s">
        <v>5288</v>
      </c>
      <c r="D126" s="906">
        <v>2001</v>
      </c>
      <c r="E126" s="906">
        <v>47</v>
      </c>
      <c r="F126" s="906">
        <v>0</v>
      </c>
      <c r="G126" s="906">
        <v>0</v>
      </c>
      <c r="H126" s="906">
        <v>11651</v>
      </c>
      <c r="I126" s="906">
        <v>1</v>
      </c>
      <c r="J126" s="906">
        <v>0</v>
      </c>
      <c r="K126" s="906" t="s">
        <v>5241</v>
      </c>
      <c r="L126" s="908">
        <v>181.75</v>
      </c>
      <c r="M126" s="908"/>
      <c r="N126" s="908"/>
      <c r="O126" s="911"/>
      <c r="P126" s="908">
        <v>8.68</v>
      </c>
      <c r="Q126" s="908"/>
      <c r="R126" s="909"/>
      <c r="S126" s="902">
        <v>24.01</v>
      </c>
      <c r="T126" s="910">
        <f t="shared" si="2"/>
        <v>214.44</v>
      </c>
    </row>
    <row r="127" spans="1:20" ht="15">
      <c r="A127" s="905">
        <v>19616686</v>
      </c>
      <c r="B127" s="906" t="s">
        <v>5289</v>
      </c>
      <c r="C127" s="907" t="s">
        <v>5290</v>
      </c>
      <c r="D127" s="906"/>
      <c r="E127" s="906"/>
      <c r="F127" s="906"/>
      <c r="G127" s="906"/>
      <c r="H127" s="906"/>
      <c r="I127" s="906"/>
      <c r="J127" s="906"/>
      <c r="K127" s="906" t="s">
        <v>5241</v>
      </c>
      <c r="L127" s="908">
        <v>246.07</v>
      </c>
      <c r="M127" s="908">
        <v>28.56</v>
      </c>
      <c r="N127" s="908"/>
      <c r="O127" s="911">
        <v>24.79</v>
      </c>
      <c r="P127" s="908">
        <v>8.68</v>
      </c>
      <c r="Q127" s="908">
        <v>20.010000000000002</v>
      </c>
      <c r="R127" s="909"/>
      <c r="S127" s="902">
        <v>41.44</v>
      </c>
      <c r="T127" s="910">
        <f t="shared" si="2"/>
        <v>369.55</v>
      </c>
    </row>
    <row r="128" spans="1:20" ht="15">
      <c r="A128" s="905">
        <v>19647948</v>
      </c>
      <c r="B128" s="906" t="s">
        <v>5291</v>
      </c>
      <c r="C128" s="907" t="s">
        <v>5292</v>
      </c>
      <c r="D128" s="906"/>
      <c r="E128" s="906"/>
      <c r="F128" s="906"/>
      <c r="G128" s="906"/>
      <c r="H128" s="906"/>
      <c r="I128" s="906"/>
      <c r="J128" s="906"/>
      <c r="K128" s="906" t="s">
        <v>5241</v>
      </c>
      <c r="L128" s="908">
        <v>271.66000000000003</v>
      </c>
      <c r="M128" s="908"/>
      <c r="N128" s="908"/>
      <c r="O128" s="911"/>
      <c r="P128" s="908">
        <v>8.68</v>
      </c>
      <c r="Q128" s="908"/>
      <c r="R128" s="909"/>
      <c r="S128" s="902">
        <v>35.549999999999997</v>
      </c>
      <c r="T128" s="910">
        <f t="shared" si="2"/>
        <v>315.89000000000004</v>
      </c>
    </row>
    <row r="129" spans="1:23" ht="15">
      <c r="A129" s="905">
        <v>19565323</v>
      </c>
      <c r="B129" s="906" t="s">
        <v>5293</v>
      </c>
      <c r="C129" s="907" t="s">
        <v>5294</v>
      </c>
      <c r="D129" s="906"/>
      <c r="E129" s="906"/>
      <c r="F129" s="906"/>
      <c r="G129" s="906"/>
      <c r="H129" s="906"/>
      <c r="I129" s="906"/>
      <c r="J129" s="906"/>
      <c r="K129" s="906" t="s">
        <v>5295</v>
      </c>
      <c r="L129" s="908">
        <v>150.66</v>
      </c>
      <c r="M129" s="908"/>
      <c r="N129" s="908"/>
      <c r="O129" s="911"/>
      <c r="P129" s="908">
        <v>8.68</v>
      </c>
      <c r="Q129" s="908"/>
      <c r="R129" s="909"/>
      <c r="S129" s="902">
        <v>20.010000000000002</v>
      </c>
      <c r="T129" s="910">
        <f t="shared" si="2"/>
        <v>179.35</v>
      </c>
    </row>
    <row r="130" spans="1:23" ht="15">
      <c r="A130" s="905">
        <v>19565324</v>
      </c>
      <c r="B130" s="906" t="s">
        <v>5291</v>
      </c>
      <c r="C130" s="907" t="s">
        <v>5296</v>
      </c>
      <c r="D130" s="906"/>
      <c r="E130" s="906"/>
      <c r="F130" s="906"/>
      <c r="G130" s="906"/>
      <c r="H130" s="906"/>
      <c r="I130" s="906"/>
      <c r="J130" s="906"/>
      <c r="K130" s="906" t="s">
        <v>5295</v>
      </c>
      <c r="L130" s="908">
        <v>162.30000000000001</v>
      </c>
      <c r="M130" s="908"/>
      <c r="N130" s="908"/>
      <c r="O130" s="911"/>
      <c r="P130" s="908">
        <v>8.68</v>
      </c>
      <c r="Q130" s="908"/>
      <c r="R130" s="909"/>
      <c r="S130" s="902">
        <v>21.51</v>
      </c>
      <c r="T130" s="910">
        <f t="shared" si="2"/>
        <v>192.49</v>
      </c>
    </row>
    <row r="131" spans="1:23" ht="15">
      <c r="A131" s="905">
        <v>19568323</v>
      </c>
      <c r="B131" s="906" t="s">
        <v>5289</v>
      </c>
      <c r="C131" s="907" t="s">
        <v>5297</v>
      </c>
      <c r="D131" s="906"/>
      <c r="E131" s="906"/>
      <c r="F131" s="906"/>
      <c r="G131" s="906"/>
      <c r="H131" s="906"/>
      <c r="I131" s="906"/>
      <c r="J131" s="906"/>
      <c r="K131" s="926" t="s">
        <v>5354</v>
      </c>
      <c r="L131" s="908">
        <v>204.18</v>
      </c>
      <c r="M131" s="908">
        <v>33.590000000000003</v>
      </c>
      <c r="N131" s="908"/>
      <c r="O131" s="911">
        <v>24.79</v>
      </c>
      <c r="P131" s="908">
        <v>8.68</v>
      </c>
      <c r="Q131" s="908">
        <v>23.53</v>
      </c>
      <c r="R131" s="909"/>
      <c r="S131" s="902">
        <v>37.119999999999997</v>
      </c>
      <c r="T131" s="910">
        <f t="shared" si="2"/>
        <v>331.89</v>
      </c>
    </row>
    <row r="132" spans="1:23" ht="15">
      <c r="A132" s="905">
        <v>19361432</v>
      </c>
      <c r="B132" s="906" t="s">
        <v>5298</v>
      </c>
      <c r="C132" s="907" t="s">
        <v>5299</v>
      </c>
      <c r="D132" s="906">
        <v>2008</v>
      </c>
      <c r="E132" s="906">
        <v>88</v>
      </c>
      <c r="F132" s="906">
        <v>2464</v>
      </c>
      <c r="G132" s="906">
        <v>3500</v>
      </c>
      <c r="H132" s="906">
        <v>30211</v>
      </c>
      <c r="I132" s="906">
        <v>2</v>
      </c>
      <c r="J132" s="906">
        <v>0</v>
      </c>
      <c r="K132" s="906" t="s">
        <v>5241</v>
      </c>
      <c r="L132" s="908">
        <v>304.39999999999998</v>
      </c>
      <c r="M132" s="908"/>
      <c r="N132" s="908"/>
      <c r="O132" s="911"/>
      <c r="P132" s="908">
        <v>8.68</v>
      </c>
      <c r="Q132" s="908"/>
      <c r="R132" s="909"/>
      <c r="S132" s="902">
        <v>39.770000000000003</v>
      </c>
      <c r="T132" s="910">
        <f t="shared" si="2"/>
        <v>352.84999999999997</v>
      </c>
    </row>
    <row r="133" spans="1:23" ht="15">
      <c r="A133" s="905"/>
      <c r="B133" s="906"/>
      <c r="C133" s="907"/>
      <c r="D133" s="906"/>
      <c r="E133" s="906"/>
      <c r="F133" s="906"/>
      <c r="G133" s="906"/>
      <c r="H133" s="906"/>
      <c r="I133" s="906"/>
      <c r="J133" s="906"/>
      <c r="K133" s="906"/>
      <c r="L133" s="908"/>
      <c r="M133" s="908"/>
      <c r="N133" s="908"/>
      <c r="O133" s="911"/>
      <c r="P133" s="908"/>
      <c r="Q133" s="908"/>
      <c r="R133" s="909"/>
      <c r="S133" s="902"/>
      <c r="T133" s="910"/>
    </row>
    <row r="134" spans="1:23" ht="15">
      <c r="A134" s="918" t="s">
        <v>5300</v>
      </c>
      <c r="B134" s="906"/>
      <c r="C134" s="907"/>
      <c r="D134" s="906"/>
      <c r="E134" s="906"/>
      <c r="F134" s="906"/>
      <c r="G134" s="906"/>
      <c r="H134" s="906"/>
      <c r="I134" s="906"/>
      <c r="J134" s="906"/>
      <c r="K134" s="919" t="s">
        <v>2395</v>
      </c>
      <c r="L134" s="908"/>
      <c r="M134" s="908"/>
      <c r="N134" s="908"/>
      <c r="O134" s="911"/>
      <c r="P134" s="908"/>
      <c r="Q134" s="908"/>
      <c r="R134" s="909"/>
      <c r="S134" s="902"/>
      <c r="T134" s="910"/>
      <c r="U134" s="615">
        <f>SUM(T135:T136)</f>
        <v>753.18000000000006</v>
      </c>
    </row>
    <row r="135" spans="1:23" ht="15">
      <c r="A135" s="905">
        <v>19039918</v>
      </c>
      <c r="B135" s="906" t="s">
        <v>5301</v>
      </c>
      <c r="C135" s="907" t="s">
        <v>5302</v>
      </c>
      <c r="D135" s="906">
        <v>1998</v>
      </c>
      <c r="E135" s="906">
        <v>51</v>
      </c>
      <c r="F135" s="906">
        <v>2496</v>
      </c>
      <c r="G135" s="906">
        <v>0</v>
      </c>
      <c r="H135" s="906">
        <v>13758</v>
      </c>
      <c r="I135" s="906">
        <v>8</v>
      </c>
      <c r="J135" s="906">
        <v>0</v>
      </c>
      <c r="K135" s="906" t="s">
        <v>5303</v>
      </c>
      <c r="L135" s="908">
        <v>194.65</v>
      </c>
      <c r="M135" s="908">
        <v>61.06</v>
      </c>
      <c r="N135" s="908"/>
      <c r="O135" s="911">
        <v>36.340000000000003</v>
      </c>
      <c r="P135" s="908">
        <v>14.87</v>
      </c>
      <c r="Q135" s="908">
        <v>14.25</v>
      </c>
      <c r="R135" s="909"/>
      <c r="S135" s="902">
        <v>55.42</v>
      </c>
      <c r="T135" s="910">
        <f t="shared" si="2"/>
        <v>376.59000000000003</v>
      </c>
    </row>
    <row r="136" spans="1:23" ht="15">
      <c r="A136" s="905">
        <v>19253533</v>
      </c>
      <c r="B136" s="906" t="s">
        <v>5301</v>
      </c>
      <c r="C136" s="907" t="s">
        <v>5304</v>
      </c>
      <c r="D136" s="906">
        <v>1999</v>
      </c>
      <c r="E136" s="906">
        <v>56</v>
      </c>
      <c r="F136" s="906">
        <v>2500</v>
      </c>
      <c r="G136" s="906">
        <v>0</v>
      </c>
      <c r="H136" s="906">
        <v>0</v>
      </c>
      <c r="I136" s="906">
        <v>8</v>
      </c>
      <c r="J136" s="906">
        <v>0</v>
      </c>
      <c r="K136" s="906" t="s">
        <v>5303</v>
      </c>
      <c r="L136" s="908">
        <v>194.65</v>
      </c>
      <c r="M136" s="908">
        <v>61.06</v>
      </c>
      <c r="N136" s="908"/>
      <c r="O136" s="911">
        <v>36.340000000000003</v>
      </c>
      <c r="P136" s="908">
        <v>14.87</v>
      </c>
      <c r="Q136" s="908">
        <v>14.25</v>
      </c>
      <c r="R136" s="909"/>
      <c r="S136" s="902">
        <v>55.42</v>
      </c>
      <c r="T136" s="910">
        <f t="shared" si="2"/>
        <v>376.59000000000003</v>
      </c>
    </row>
    <row r="137" spans="1:23" ht="15">
      <c r="A137" s="905"/>
      <c r="B137" s="906"/>
      <c r="C137" s="907"/>
      <c r="D137" s="906"/>
      <c r="E137" s="906"/>
      <c r="F137" s="906"/>
      <c r="G137" s="906"/>
      <c r="H137" s="906"/>
      <c r="I137" s="906"/>
      <c r="J137" s="906"/>
      <c r="K137" s="906"/>
      <c r="L137" s="908"/>
      <c r="M137" s="908"/>
      <c r="N137" s="908"/>
      <c r="O137" s="911"/>
      <c r="P137" s="908"/>
      <c r="Q137" s="908"/>
      <c r="R137" s="909"/>
      <c r="S137" s="902"/>
      <c r="T137" s="910"/>
    </row>
    <row r="138" spans="1:23" ht="15">
      <c r="A138" s="918" t="s">
        <v>5305</v>
      </c>
      <c r="B138" s="906"/>
      <c r="C138" s="907"/>
      <c r="D138" s="906"/>
      <c r="E138" s="906"/>
      <c r="F138" s="906"/>
      <c r="G138" s="906"/>
      <c r="H138" s="906"/>
      <c r="I138" s="906"/>
      <c r="J138" s="906"/>
      <c r="K138" s="919" t="s">
        <v>1840</v>
      </c>
      <c r="L138" s="908"/>
      <c r="M138" s="908"/>
      <c r="N138" s="908"/>
      <c r="O138" s="908"/>
      <c r="P138" s="908"/>
      <c r="Q138" s="908"/>
      <c r="R138" s="909"/>
      <c r="S138" s="902"/>
      <c r="T138" s="910"/>
      <c r="U138" s="615">
        <f>SUM(T139:T155)</f>
        <v>5501.44</v>
      </c>
      <c r="W138" s="615">
        <f>SUM(W139:W158)</f>
        <v>2287.46</v>
      </c>
    </row>
    <row r="139" spans="1:23" ht="15">
      <c r="A139" s="905">
        <v>19757178</v>
      </c>
      <c r="B139" s="926" t="s">
        <v>5355</v>
      </c>
      <c r="C139" s="927" t="s">
        <v>5356</v>
      </c>
      <c r="D139" s="906" t="s">
        <v>5357</v>
      </c>
      <c r="E139" s="906"/>
      <c r="F139" s="906"/>
      <c r="G139" s="906"/>
      <c r="H139" s="906"/>
      <c r="I139" s="906"/>
      <c r="J139" s="906"/>
      <c r="K139" s="906" t="s">
        <v>5309</v>
      </c>
      <c r="L139" s="908">
        <v>50.07</v>
      </c>
      <c r="M139" s="908">
        <v>92.17</v>
      </c>
      <c r="N139" s="908">
        <v>500.55</v>
      </c>
      <c r="O139" s="908"/>
      <c r="P139" s="908">
        <v>8.68</v>
      </c>
      <c r="Q139" s="908">
        <v>64.53</v>
      </c>
      <c r="R139" s="909"/>
      <c r="S139" s="902">
        <v>89.25</v>
      </c>
      <c r="T139" s="910">
        <f t="shared" si="2"/>
        <v>805.24999999999989</v>
      </c>
      <c r="W139" s="608">
        <f>168.13+33.91</f>
        <v>202.04</v>
      </c>
    </row>
    <row r="140" spans="1:23" ht="15">
      <c r="A140" s="905">
        <v>19022624</v>
      </c>
      <c r="B140" s="906" t="s">
        <v>5264</v>
      </c>
      <c r="C140" s="907" t="s">
        <v>5308</v>
      </c>
      <c r="D140" s="906">
        <v>1996</v>
      </c>
      <c r="E140" s="906">
        <v>0</v>
      </c>
      <c r="F140" s="906">
        <v>6600</v>
      </c>
      <c r="G140" s="906">
        <v>4000</v>
      </c>
      <c r="H140" s="906">
        <v>98488</v>
      </c>
      <c r="I140" s="906">
        <v>1</v>
      </c>
      <c r="J140" s="906">
        <v>0</v>
      </c>
      <c r="K140" s="906" t="s">
        <v>5309</v>
      </c>
      <c r="L140" s="908">
        <v>45.07</v>
      </c>
      <c r="M140" s="908"/>
      <c r="N140" s="908"/>
      <c r="O140" s="908"/>
      <c r="P140" s="908">
        <v>8.68</v>
      </c>
      <c r="Q140" s="908">
        <v>124.1</v>
      </c>
      <c r="R140" s="909"/>
      <c r="S140" s="902">
        <v>21.96</v>
      </c>
      <c r="T140" s="910">
        <f t="shared" si="2"/>
        <v>199.81</v>
      </c>
      <c r="W140" s="608">
        <v>-85.09</v>
      </c>
    </row>
    <row r="141" spans="1:23" ht="15">
      <c r="A141" s="905">
        <v>19158325</v>
      </c>
      <c r="B141" s="906" t="s">
        <v>5282</v>
      </c>
      <c r="C141" s="907" t="s">
        <v>5310</v>
      </c>
      <c r="D141" s="906">
        <v>2003</v>
      </c>
      <c r="E141" s="906">
        <v>81</v>
      </c>
      <c r="F141" s="906">
        <v>2286</v>
      </c>
      <c r="G141" s="906">
        <v>0</v>
      </c>
      <c r="H141" s="906">
        <v>22000</v>
      </c>
      <c r="I141" s="906">
        <v>2</v>
      </c>
      <c r="J141" s="906">
        <v>0</v>
      </c>
      <c r="K141" s="906" t="s">
        <v>5241</v>
      </c>
      <c r="L141" s="908">
        <v>283.47000000000003</v>
      </c>
      <c r="M141" s="908"/>
      <c r="N141" s="908"/>
      <c r="O141" s="908"/>
      <c r="P141" s="908">
        <v>8.68</v>
      </c>
      <c r="Q141" s="908"/>
      <c r="R141" s="909"/>
      <c r="S141" s="902">
        <v>37.07</v>
      </c>
      <c r="T141" s="910">
        <f t="shared" si="2"/>
        <v>329.22</v>
      </c>
    </row>
    <row r="142" spans="1:23" ht="15">
      <c r="A142" s="905">
        <v>19241504</v>
      </c>
      <c r="B142" s="906" t="s">
        <v>5239</v>
      </c>
      <c r="C142" s="907" t="s">
        <v>5311</v>
      </c>
      <c r="D142" s="906">
        <v>2005</v>
      </c>
      <c r="E142" s="906">
        <v>84</v>
      </c>
      <c r="F142" s="906">
        <v>2463</v>
      </c>
      <c r="G142" s="906">
        <v>0</v>
      </c>
      <c r="H142" s="906">
        <v>19906</v>
      </c>
      <c r="I142" s="906">
        <v>2</v>
      </c>
      <c r="J142" s="906">
        <v>0</v>
      </c>
      <c r="K142" s="906" t="s">
        <v>5241</v>
      </c>
      <c r="L142" s="908">
        <v>227.46</v>
      </c>
      <c r="M142" s="908"/>
      <c r="N142" s="908"/>
      <c r="O142" s="908"/>
      <c r="P142" s="908">
        <v>8.68</v>
      </c>
      <c r="Q142" s="908"/>
      <c r="R142" s="909"/>
      <c r="S142" s="902">
        <v>29.88</v>
      </c>
      <c r="T142" s="910">
        <f t="shared" si="2"/>
        <v>266.02000000000004</v>
      </c>
    </row>
    <row r="143" spans="1:23" ht="15">
      <c r="A143" s="905">
        <v>19295977</v>
      </c>
      <c r="B143" s="906" t="s">
        <v>5298</v>
      </c>
      <c r="C143" s="907" t="s">
        <v>5312</v>
      </c>
      <c r="D143" s="906">
        <v>2007</v>
      </c>
      <c r="E143" s="906">
        <v>88</v>
      </c>
      <c r="F143" s="906">
        <v>0</v>
      </c>
      <c r="G143" s="906">
        <v>0</v>
      </c>
      <c r="H143" s="906">
        <v>20670</v>
      </c>
      <c r="I143" s="906">
        <v>2</v>
      </c>
      <c r="J143" s="906">
        <v>0</v>
      </c>
      <c r="K143" s="906" t="s">
        <v>5241</v>
      </c>
      <c r="L143" s="908">
        <v>304.39999999999998</v>
      </c>
      <c r="M143" s="908"/>
      <c r="N143" s="908"/>
      <c r="O143" s="908"/>
      <c r="P143" s="908">
        <v>8.68</v>
      </c>
      <c r="Q143" s="908"/>
      <c r="R143" s="909"/>
      <c r="S143" s="902">
        <v>39.770000000000003</v>
      </c>
      <c r="T143" s="910">
        <f t="shared" si="2"/>
        <v>352.84999999999997</v>
      </c>
    </row>
    <row r="144" spans="1:23" ht="15">
      <c r="A144" s="905">
        <v>19327360</v>
      </c>
      <c r="B144" s="906" t="s">
        <v>5313</v>
      </c>
      <c r="C144" s="907" t="s">
        <v>5314</v>
      </c>
      <c r="D144" s="906">
        <v>2007</v>
      </c>
      <c r="E144" s="906">
        <v>55</v>
      </c>
      <c r="F144" s="906">
        <v>0</v>
      </c>
      <c r="G144" s="906">
        <v>0</v>
      </c>
      <c r="H144" s="906">
        <v>12286</v>
      </c>
      <c r="I144" s="906">
        <v>1</v>
      </c>
      <c r="J144" s="906">
        <v>0</v>
      </c>
      <c r="K144" s="906" t="s">
        <v>5241</v>
      </c>
      <c r="L144" s="908">
        <v>205.68</v>
      </c>
      <c r="M144" s="908"/>
      <c r="N144" s="908"/>
      <c r="O144" s="908"/>
      <c r="P144" s="908">
        <v>8.68</v>
      </c>
      <c r="Q144" s="908"/>
      <c r="R144" s="909"/>
      <c r="S144" s="902">
        <v>27.08</v>
      </c>
      <c r="T144" s="910">
        <f t="shared" si="2"/>
        <v>241.44</v>
      </c>
    </row>
    <row r="145" spans="1:23" ht="15">
      <c r="A145" s="905">
        <v>19358287</v>
      </c>
      <c r="B145" s="906" t="s">
        <v>5315</v>
      </c>
      <c r="C145" s="907" t="s">
        <v>5316</v>
      </c>
      <c r="D145" s="906">
        <v>2008</v>
      </c>
      <c r="E145" s="906">
        <v>0</v>
      </c>
      <c r="F145" s="906">
        <v>778</v>
      </c>
      <c r="G145" s="906">
        <v>0</v>
      </c>
      <c r="H145" s="906">
        <v>5885</v>
      </c>
      <c r="I145" s="906">
        <v>0</v>
      </c>
      <c r="J145" s="906">
        <v>0</v>
      </c>
      <c r="K145" s="906" t="s">
        <v>5317</v>
      </c>
      <c r="L145" s="908">
        <v>23.55</v>
      </c>
      <c r="M145" s="908"/>
      <c r="N145" s="908"/>
      <c r="O145" s="908"/>
      <c r="P145" s="908">
        <v>3.72</v>
      </c>
      <c r="Q145" s="908"/>
      <c r="R145" s="909"/>
      <c r="S145" s="902">
        <v>3.31</v>
      </c>
      <c r="T145" s="910">
        <f t="shared" si="2"/>
        <v>30.58</v>
      </c>
    </row>
    <row r="146" spans="1:23" ht="15">
      <c r="A146" s="905">
        <v>19469313</v>
      </c>
      <c r="B146" s="906" t="s">
        <v>5318</v>
      </c>
      <c r="C146" s="927" t="s">
        <v>5358</v>
      </c>
      <c r="D146" s="906">
        <v>2011</v>
      </c>
      <c r="E146" s="906">
        <v>0</v>
      </c>
      <c r="F146" s="906">
        <v>0</v>
      </c>
      <c r="G146" s="906">
        <v>0</v>
      </c>
      <c r="H146" s="906">
        <v>116997</v>
      </c>
      <c r="I146" s="906">
        <v>1</v>
      </c>
      <c r="J146" s="906">
        <v>0</v>
      </c>
      <c r="K146" s="906" t="s">
        <v>5309</v>
      </c>
      <c r="L146" s="908">
        <v>45.07</v>
      </c>
      <c r="M146" s="908"/>
      <c r="N146" s="908"/>
      <c r="O146" s="908"/>
      <c r="P146" s="908">
        <v>8.68</v>
      </c>
      <c r="Q146" s="908"/>
      <c r="R146" s="909"/>
      <c r="S146" s="902">
        <v>6.44</v>
      </c>
      <c r="T146" s="910">
        <f t="shared" si="2"/>
        <v>60.19</v>
      </c>
      <c r="W146" s="608">
        <v>27.2</v>
      </c>
    </row>
    <row r="147" spans="1:23" ht="15">
      <c r="A147" s="905">
        <v>19482716</v>
      </c>
      <c r="B147" s="906" t="s">
        <v>5298</v>
      </c>
      <c r="C147" s="907" t="s">
        <v>5320</v>
      </c>
      <c r="D147" s="906">
        <v>2011</v>
      </c>
      <c r="E147" s="906">
        <v>92</v>
      </c>
      <c r="F147" s="906">
        <v>0</v>
      </c>
      <c r="G147" s="906">
        <v>0</v>
      </c>
      <c r="H147" s="906">
        <v>25388</v>
      </c>
      <c r="I147" s="906">
        <v>2</v>
      </c>
      <c r="J147" s="906">
        <v>0</v>
      </c>
      <c r="K147" s="906" t="s">
        <v>5241</v>
      </c>
      <c r="L147" s="908">
        <v>316.37</v>
      </c>
      <c r="M147" s="908"/>
      <c r="N147" s="908"/>
      <c r="O147" s="908"/>
      <c r="P147" s="908">
        <v>8.68</v>
      </c>
      <c r="Q147" s="908"/>
      <c r="R147" s="909"/>
      <c r="S147" s="902">
        <v>41.31</v>
      </c>
      <c r="T147" s="910">
        <f t="shared" si="2"/>
        <v>366.36</v>
      </c>
    </row>
    <row r="148" spans="1:23" ht="15">
      <c r="A148" s="905">
        <v>19483528</v>
      </c>
      <c r="B148" s="906" t="s">
        <v>5239</v>
      </c>
      <c r="C148" s="907" t="s">
        <v>5321</v>
      </c>
      <c r="D148" s="906">
        <v>2011</v>
      </c>
      <c r="E148" s="906">
        <v>50</v>
      </c>
      <c r="F148" s="906">
        <v>0</v>
      </c>
      <c r="G148" s="906">
        <v>0</v>
      </c>
      <c r="H148" s="906">
        <v>9952</v>
      </c>
      <c r="I148" s="906">
        <v>2</v>
      </c>
      <c r="J148" s="906">
        <v>0</v>
      </c>
      <c r="K148" s="906" t="s">
        <v>5241</v>
      </c>
      <c r="L148" s="908">
        <v>148.33000000000001</v>
      </c>
      <c r="M148" s="908"/>
      <c r="N148" s="908"/>
      <c r="O148" s="908"/>
      <c r="P148" s="908">
        <v>8.68</v>
      </c>
      <c r="Q148" s="908"/>
      <c r="R148" s="909"/>
      <c r="S148" s="902">
        <v>19.71</v>
      </c>
      <c r="T148" s="910">
        <f t="shared" si="2"/>
        <v>176.72000000000003</v>
      </c>
    </row>
    <row r="149" spans="1:23" ht="15">
      <c r="A149" s="905">
        <v>19488216</v>
      </c>
      <c r="B149" s="906" t="s">
        <v>5322</v>
      </c>
      <c r="C149" s="907" t="s">
        <v>5323</v>
      </c>
      <c r="D149" s="906">
        <v>2011</v>
      </c>
      <c r="E149" s="906">
        <v>0</v>
      </c>
      <c r="F149" s="906">
        <v>0</v>
      </c>
      <c r="G149" s="906">
        <v>0</v>
      </c>
      <c r="H149" s="906">
        <v>116997</v>
      </c>
      <c r="I149" s="906">
        <v>1</v>
      </c>
      <c r="J149" s="906">
        <v>0</v>
      </c>
      <c r="K149" s="906" t="s">
        <v>5309</v>
      </c>
      <c r="L149" s="908">
        <v>42.81</v>
      </c>
      <c r="M149" s="908">
        <v>168.49</v>
      </c>
      <c r="N149" s="908">
        <v>878.14</v>
      </c>
      <c r="O149" s="908"/>
      <c r="P149" s="908">
        <v>8.68</v>
      </c>
      <c r="Q149" s="908">
        <v>117.95</v>
      </c>
      <c r="R149" s="909"/>
      <c r="S149" s="902">
        <v>151.72999999999999</v>
      </c>
      <c r="T149" s="910">
        <f t="shared" si="2"/>
        <v>1367.8000000000002</v>
      </c>
    </row>
    <row r="150" spans="1:23" ht="15">
      <c r="A150" s="905">
        <v>19132034</v>
      </c>
      <c r="B150" s="934" t="s">
        <v>5324</v>
      </c>
      <c r="C150" s="935" t="s">
        <v>5325</v>
      </c>
      <c r="D150" s="934">
        <v>2002</v>
      </c>
      <c r="E150" s="934">
        <v>0</v>
      </c>
      <c r="F150" s="934">
        <v>2000</v>
      </c>
      <c r="G150" s="934">
        <v>0</v>
      </c>
      <c r="H150" s="934">
        <v>57061</v>
      </c>
      <c r="I150" s="934">
        <v>0</v>
      </c>
      <c r="J150" s="934">
        <v>0</v>
      </c>
      <c r="K150" s="934" t="s">
        <v>5326</v>
      </c>
      <c r="L150" s="936">
        <v>20.77</v>
      </c>
      <c r="M150" s="936"/>
      <c r="N150" s="936"/>
      <c r="O150" s="936"/>
      <c r="P150" s="936">
        <v>3.72</v>
      </c>
      <c r="Q150" s="936"/>
      <c r="R150" s="937"/>
      <c r="S150" s="938">
        <v>2.95</v>
      </c>
      <c r="T150" s="939">
        <f t="shared" si="2"/>
        <v>27.439999999999998</v>
      </c>
      <c r="V150" s="520" t="s">
        <v>5359</v>
      </c>
    </row>
    <row r="151" spans="1:23" ht="15">
      <c r="A151" s="905">
        <v>2257818</v>
      </c>
      <c r="B151" s="906" t="s">
        <v>5239</v>
      </c>
      <c r="C151" s="907" t="s">
        <v>5327</v>
      </c>
      <c r="D151" s="906">
        <v>1982</v>
      </c>
      <c r="E151" s="906">
        <v>0</v>
      </c>
      <c r="F151" s="906">
        <v>8820</v>
      </c>
      <c r="G151" s="906">
        <v>19000</v>
      </c>
      <c r="H151" s="906">
        <v>73674</v>
      </c>
      <c r="I151" s="906">
        <v>2</v>
      </c>
      <c r="J151" s="906">
        <v>0</v>
      </c>
      <c r="K151" s="906" t="s">
        <v>5246</v>
      </c>
      <c r="L151" s="908">
        <v>354.09</v>
      </c>
      <c r="M151" s="908"/>
      <c r="N151" s="908"/>
      <c r="O151" s="908"/>
      <c r="P151" s="908">
        <v>8.68</v>
      </c>
      <c r="Q151" s="908"/>
      <c r="R151" s="909"/>
      <c r="S151" s="902">
        <v>46.15</v>
      </c>
      <c r="T151" s="910">
        <f t="shared" si="2"/>
        <v>408.91999999999996</v>
      </c>
    </row>
    <row r="152" spans="1:23" ht="15">
      <c r="A152" s="905">
        <v>2307261</v>
      </c>
      <c r="B152" s="906" t="s">
        <v>5328</v>
      </c>
      <c r="C152" s="907" t="s">
        <v>5329</v>
      </c>
      <c r="D152" s="906">
        <v>1999</v>
      </c>
      <c r="E152" s="906">
        <v>44</v>
      </c>
      <c r="F152" s="906">
        <v>1700</v>
      </c>
      <c r="G152" s="906">
        <v>0</v>
      </c>
      <c r="H152" s="906">
        <v>9916</v>
      </c>
      <c r="I152" s="906">
        <v>2</v>
      </c>
      <c r="J152" s="906">
        <v>0</v>
      </c>
      <c r="K152" s="906" t="s">
        <v>5241</v>
      </c>
      <c r="L152" s="908">
        <v>134.37</v>
      </c>
      <c r="M152" s="908"/>
      <c r="N152" s="908"/>
      <c r="O152" s="908"/>
      <c r="P152" s="908">
        <v>8.68</v>
      </c>
      <c r="Q152" s="908"/>
      <c r="R152" s="909"/>
      <c r="S152" s="902">
        <v>17.920000000000002</v>
      </c>
      <c r="T152" s="910">
        <f t="shared" si="2"/>
        <v>160.97000000000003</v>
      </c>
    </row>
    <row r="153" spans="1:23" ht="15">
      <c r="A153" s="905">
        <v>19057412</v>
      </c>
      <c r="B153" s="906" t="s">
        <v>5330</v>
      </c>
      <c r="C153" s="907" t="s">
        <v>5331</v>
      </c>
      <c r="D153" s="906">
        <v>2000</v>
      </c>
      <c r="E153" s="906">
        <v>0</v>
      </c>
      <c r="F153" s="906">
        <v>0</v>
      </c>
      <c r="G153" s="906">
        <v>0</v>
      </c>
      <c r="H153" s="906">
        <v>24789</v>
      </c>
      <c r="I153" s="906">
        <v>0</v>
      </c>
      <c r="J153" s="906">
        <v>0</v>
      </c>
      <c r="K153" s="906" t="s">
        <v>5332</v>
      </c>
      <c r="L153" s="908">
        <v>77.709999999999994</v>
      </c>
      <c r="M153" s="908"/>
      <c r="N153" s="908"/>
      <c r="O153" s="908">
        <v>24.79</v>
      </c>
      <c r="P153" s="908">
        <v>8.68</v>
      </c>
      <c r="Q153" s="908">
        <v>25.81</v>
      </c>
      <c r="R153" s="909"/>
      <c r="S153" s="902">
        <v>16.97</v>
      </c>
      <c r="T153" s="910">
        <f t="shared" si="2"/>
        <v>153.96</v>
      </c>
    </row>
    <row r="154" spans="1:23" ht="15">
      <c r="A154" s="905">
        <v>19677178</v>
      </c>
      <c r="B154" s="921" t="s">
        <v>5333</v>
      </c>
      <c r="C154" s="907" t="s">
        <v>5334</v>
      </c>
      <c r="D154" s="906"/>
      <c r="E154" s="906"/>
      <c r="F154" s="906"/>
      <c r="G154" s="906"/>
      <c r="H154" s="906"/>
      <c r="I154" s="906"/>
      <c r="J154" s="906"/>
      <c r="K154" s="906" t="s">
        <v>5335</v>
      </c>
      <c r="L154" s="908">
        <v>35.049999999999997</v>
      </c>
      <c r="M154" s="908"/>
      <c r="N154" s="908"/>
      <c r="O154" s="908"/>
      <c r="P154" s="908">
        <v>8.68</v>
      </c>
      <c r="Q154" s="908"/>
      <c r="R154" s="909"/>
      <c r="S154" s="902">
        <v>5.15</v>
      </c>
      <c r="T154" s="910">
        <f t="shared" si="2"/>
        <v>48.879999999999995</v>
      </c>
    </row>
    <row r="155" spans="1:23" ht="15">
      <c r="A155" s="905">
        <v>19716916</v>
      </c>
      <c r="B155" s="926" t="s">
        <v>5360</v>
      </c>
      <c r="C155" s="927" t="s">
        <v>5361</v>
      </c>
      <c r="D155" s="906"/>
      <c r="E155" s="906"/>
      <c r="F155" s="906"/>
      <c r="G155" s="906"/>
      <c r="H155" s="906"/>
      <c r="I155" s="906"/>
      <c r="J155" s="906"/>
      <c r="K155" s="926" t="s">
        <v>5362</v>
      </c>
      <c r="L155" s="908">
        <v>40.06</v>
      </c>
      <c r="M155" s="908"/>
      <c r="N155" s="908">
        <v>400.45</v>
      </c>
      <c r="O155" s="908"/>
      <c r="P155" s="908">
        <v>8.68</v>
      </c>
      <c r="Q155" s="908"/>
      <c r="R155" s="909"/>
      <c r="S155" s="902">
        <v>55.84</v>
      </c>
      <c r="T155" s="910">
        <f t="shared" si="2"/>
        <v>505.03</v>
      </c>
      <c r="W155" s="608">
        <v>422.12</v>
      </c>
    </row>
    <row r="156" spans="1:23" ht="15">
      <c r="A156" s="905"/>
      <c r="B156" s="926" t="s">
        <v>5363</v>
      </c>
      <c r="C156" s="927" t="s">
        <v>5364</v>
      </c>
      <c r="D156" s="906"/>
      <c r="E156" s="906"/>
      <c r="F156" s="906"/>
      <c r="G156" s="906"/>
      <c r="H156" s="906"/>
      <c r="I156" s="906"/>
      <c r="J156" s="906"/>
      <c r="K156" s="926"/>
      <c r="L156" s="908"/>
      <c r="M156" s="908"/>
      <c r="N156" s="908"/>
      <c r="O156" s="908"/>
      <c r="P156" s="908"/>
      <c r="Q156" s="908"/>
      <c r="R156" s="909"/>
      <c r="S156" s="902"/>
      <c r="T156" s="910"/>
      <c r="W156" s="608">
        <v>454.17</v>
      </c>
    </row>
    <row r="157" spans="1:23" ht="15">
      <c r="A157" s="905"/>
      <c r="B157" s="926" t="s">
        <v>5282</v>
      </c>
      <c r="C157" s="927" t="s">
        <v>5365</v>
      </c>
      <c r="D157" s="906"/>
      <c r="E157" s="906"/>
      <c r="F157" s="906"/>
      <c r="G157" s="906"/>
      <c r="H157" s="906"/>
      <c r="I157" s="906"/>
      <c r="J157" s="906"/>
      <c r="K157" s="926"/>
      <c r="L157" s="908"/>
      <c r="M157" s="908"/>
      <c r="N157" s="908"/>
      <c r="O157" s="908"/>
      <c r="P157" s="908"/>
      <c r="Q157" s="908"/>
      <c r="R157" s="909"/>
      <c r="S157" s="902"/>
      <c r="T157" s="910"/>
      <c r="W157" s="608">
        <v>867.03</v>
      </c>
    </row>
    <row r="158" spans="1:23" ht="15">
      <c r="A158" s="905"/>
      <c r="B158" s="926" t="s">
        <v>5366</v>
      </c>
      <c r="C158" s="927" t="s">
        <v>5367</v>
      </c>
      <c r="D158" s="906"/>
      <c r="E158" s="906"/>
      <c r="F158" s="906"/>
      <c r="G158" s="906"/>
      <c r="H158" s="906"/>
      <c r="I158" s="906"/>
      <c r="J158" s="906"/>
      <c r="K158" s="926"/>
      <c r="L158" s="908"/>
      <c r="M158" s="908"/>
      <c r="N158" s="908"/>
      <c r="O158" s="908"/>
      <c r="P158" s="908"/>
      <c r="Q158" s="908"/>
      <c r="R158" s="909"/>
      <c r="S158" s="902"/>
      <c r="T158" s="910"/>
      <c r="W158" s="608">
        <v>399.99</v>
      </c>
    </row>
    <row r="159" spans="1:23" ht="15">
      <c r="A159" s="905"/>
      <c r="B159" s="906"/>
      <c r="C159" s="907"/>
      <c r="D159" s="906"/>
      <c r="E159" s="906"/>
      <c r="F159" s="906"/>
      <c r="G159" s="906"/>
      <c r="H159" s="906"/>
      <c r="I159" s="906"/>
      <c r="J159" s="906"/>
      <c r="K159" s="906"/>
      <c r="L159" s="908"/>
      <c r="M159" s="908"/>
      <c r="N159" s="908"/>
      <c r="O159" s="908"/>
      <c r="P159" s="908"/>
      <c r="Q159" s="908"/>
      <c r="R159" s="909"/>
      <c r="S159" s="902"/>
      <c r="T159" s="910"/>
    </row>
    <row r="160" spans="1:23" ht="15">
      <c r="A160" s="918" t="s">
        <v>5336</v>
      </c>
      <c r="B160" s="906"/>
      <c r="C160" s="907"/>
      <c r="D160" s="906"/>
      <c r="E160" s="906"/>
      <c r="F160" s="906"/>
      <c r="G160" s="906"/>
      <c r="H160" s="906"/>
      <c r="I160" s="906"/>
      <c r="J160" s="906"/>
      <c r="K160" s="919" t="s">
        <v>5337</v>
      </c>
      <c r="L160" s="908"/>
      <c r="M160" s="908"/>
      <c r="N160" s="908"/>
      <c r="O160" s="908"/>
      <c r="P160" s="908"/>
      <c r="Q160" s="908"/>
      <c r="R160" s="909"/>
      <c r="S160" s="902"/>
      <c r="T160" s="910"/>
      <c r="U160" s="615">
        <f>SUM(T161)</f>
        <v>458.16000000000008</v>
      </c>
    </row>
    <row r="161" spans="1:23" ht="15">
      <c r="A161" s="905">
        <v>19540416</v>
      </c>
      <c r="B161" s="906" t="s">
        <v>5277</v>
      </c>
      <c r="C161" s="907" t="s">
        <v>5338</v>
      </c>
      <c r="D161" s="906">
        <v>2013</v>
      </c>
      <c r="E161" s="906">
        <v>96</v>
      </c>
      <c r="F161" s="906">
        <v>2198</v>
      </c>
      <c r="G161" s="906">
        <v>0</v>
      </c>
      <c r="H161" s="906">
        <v>24590</v>
      </c>
      <c r="I161" s="906">
        <v>2</v>
      </c>
      <c r="J161" s="906">
        <v>1</v>
      </c>
      <c r="K161" s="906" t="s">
        <v>5241</v>
      </c>
      <c r="L161" s="908">
        <v>326.32</v>
      </c>
      <c r="M161" s="908">
        <v>27.54</v>
      </c>
      <c r="N161" s="908"/>
      <c r="O161" s="908">
        <v>24.79</v>
      </c>
      <c r="P161" s="908">
        <v>8.68</v>
      </c>
      <c r="Q161" s="908">
        <v>19.29</v>
      </c>
      <c r="R161" s="909"/>
      <c r="S161" s="902">
        <v>51.54</v>
      </c>
      <c r="T161" s="910">
        <f t="shared" ref="T161:T168" si="3">SUM(L161:S161)</f>
        <v>458.16000000000008</v>
      </c>
    </row>
    <row r="162" spans="1:23" ht="15">
      <c r="A162" s="905"/>
      <c r="B162" s="906"/>
      <c r="C162" s="907"/>
      <c r="D162" s="906"/>
      <c r="E162" s="906"/>
      <c r="F162" s="906"/>
      <c r="G162" s="906"/>
      <c r="H162" s="906"/>
      <c r="I162" s="906"/>
      <c r="J162" s="906"/>
      <c r="K162" s="906"/>
      <c r="L162" s="908"/>
      <c r="M162" s="908"/>
      <c r="N162" s="908"/>
      <c r="O162" s="908"/>
      <c r="P162" s="908"/>
      <c r="Q162" s="908"/>
      <c r="R162" s="909"/>
      <c r="S162" s="902"/>
      <c r="T162" s="910"/>
    </row>
    <row r="163" spans="1:23" ht="15">
      <c r="A163" s="918" t="s">
        <v>5339</v>
      </c>
      <c r="B163" s="906"/>
      <c r="C163" s="907"/>
      <c r="D163" s="906"/>
      <c r="E163" s="906"/>
      <c r="F163" s="906"/>
      <c r="G163" s="906"/>
      <c r="H163" s="906"/>
      <c r="I163" s="906"/>
      <c r="J163" s="906"/>
      <c r="K163" s="919" t="s">
        <v>5340</v>
      </c>
      <c r="L163" s="908"/>
      <c r="M163" s="908"/>
      <c r="N163" s="908"/>
      <c r="O163" s="908"/>
      <c r="P163" s="908"/>
      <c r="Q163" s="908"/>
      <c r="R163" s="909"/>
      <c r="S163" s="902"/>
      <c r="T163" s="910"/>
      <c r="U163" s="615">
        <f>SUM(T164:T165)</f>
        <v>387.83</v>
      </c>
    </row>
    <row r="164" spans="1:23" ht="15">
      <c r="A164" s="905">
        <v>19046300</v>
      </c>
      <c r="B164" s="906" t="s">
        <v>5341</v>
      </c>
      <c r="C164" s="907" t="s">
        <v>5228</v>
      </c>
      <c r="D164" s="906">
        <v>1999</v>
      </c>
      <c r="E164" s="906">
        <v>0</v>
      </c>
      <c r="F164" s="906">
        <v>0</v>
      </c>
      <c r="G164" s="906">
        <v>2000</v>
      </c>
      <c r="H164" s="906">
        <v>7437</v>
      </c>
      <c r="I164" s="906">
        <v>0</v>
      </c>
      <c r="J164" s="906">
        <v>0</v>
      </c>
      <c r="K164" s="906" t="s">
        <v>5238</v>
      </c>
      <c r="L164" s="908">
        <v>16.559999999999999</v>
      </c>
      <c r="M164" s="908"/>
      <c r="N164" s="908"/>
      <c r="O164" s="911"/>
      <c r="P164" s="908"/>
      <c r="Q164" s="908"/>
      <c r="R164" s="909"/>
      <c r="S164" s="902">
        <v>2.13</v>
      </c>
      <c r="T164" s="910">
        <f t="shared" si="3"/>
        <v>18.689999999999998</v>
      </c>
    </row>
    <row r="165" spans="1:23" ht="15">
      <c r="A165" s="905">
        <v>19546172</v>
      </c>
      <c r="B165" s="906" t="s">
        <v>5342</v>
      </c>
      <c r="C165" s="907" t="s">
        <v>5343</v>
      </c>
      <c r="D165" s="906">
        <v>2013</v>
      </c>
      <c r="E165" s="906">
        <v>110</v>
      </c>
      <c r="F165" s="906">
        <v>0</v>
      </c>
      <c r="G165" s="906">
        <v>0</v>
      </c>
      <c r="H165" s="906">
        <v>24051</v>
      </c>
      <c r="I165" s="906">
        <v>6</v>
      </c>
      <c r="J165" s="906">
        <v>1</v>
      </c>
      <c r="K165" s="906" t="s">
        <v>5241</v>
      </c>
      <c r="L165" s="908">
        <v>306.25</v>
      </c>
      <c r="M165" s="908">
        <v>4.07</v>
      </c>
      <c r="N165" s="908"/>
      <c r="O165" s="908">
        <v>5.71</v>
      </c>
      <c r="P165" s="908">
        <v>8.68</v>
      </c>
      <c r="Q165" s="908">
        <v>2.85</v>
      </c>
      <c r="R165" s="909"/>
      <c r="S165" s="902">
        <v>41.58</v>
      </c>
      <c r="T165" s="910">
        <f t="shared" si="3"/>
        <v>369.14</v>
      </c>
    </row>
    <row r="166" spans="1:23" ht="15">
      <c r="A166" s="905"/>
      <c r="B166" s="906"/>
      <c r="C166" s="907"/>
      <c r="D166" s="906"/>
      <c r="E166" s="906"/>
      <c r="F166" s="906"/>
      <c r="G166" s="906"/>
      <c r="H166" s="906"/>
      <c r="I166" s="906"/>
      <c r="J166" s="906"/>
      <c r="K166" s="906"/>
      <c r="L166" s="908"/>
      <c r="M166" s="908"/>
      <c r="N166" s="908"/>
      <c r="O166" s="908"/>
      <c r="P166" s="908"/>
      <c r="Q166" s="908"/>
      <c r="R166" s="909"/>
      <c r="S166" s="902"/>
      <c r="T166" s="910"/>
    </row>
    <row r="167" spans="1:23" ht="15">
      <c r="A167" s="918" t="s">
        <v>5344</v>
      </c>
      <c r="B167" s="906"/>
      <c r="C167" s="907"/>
      <c r="D167" s="906"/>
      <c r="E167" s="906"/>
      <c r="F167" s="906"/>
      <c r="G167" s="906"/>
      <c r="H167" s="906"/>
      <c r="I167" s="906"/>
      <c r="J167" s="906"/>
      <c r="K167" s="919" t="s">
        <v>1867</v>
      </c>
      <c r="L167" s="908"/>
      <c r="M167" s="908"/>
      <c r="N167" s="908"/>
      <c r="O167" s="908"/>
      <c r="P167" s="908"/>
      <c r="Q167" s="908"/>
      <c r="R167" s="909"/>
      <c r="S167" s="902"/>
      <c r="T167" s="910"/>
      <c r="U167" s="615">
        <f>SUM(T168:T169)</f>
        <v>499.78</v>
      </c>
    </row>
    <row r="168" spans="1:23" ht="15">
      <c r="A168" s="905">
        <v>19602525</v>
      </c>
      <c r="B168" s="906" t="s">
        <v>5345</v>
      </c>
      <c r="C168" s="907" t="s">
        <v>5346</v>
      </c>
      <c r="D168" s="906"/>
      <c r="E168" s="906"/>
      <c r="F168" s="906"/>
      <c r="G168" s="906"/>
      <c r="H168" s="906"/>
      <c r="I168" s="906"/>
      <c r="J168" s="906"/>
      <c r="K168" s="906" t="s">
        <v>5347</v>
      </c>
      <c r="L168" s="908">
        <v>159.97999999999999</v>
      </c>
      <c r="M168" s="908">
        <v>16.809999999999999</v>
      </c>
      <c r="N168" s="908"/>
      <c r="O168" s="908">
        <v>24.79</v>
      </c>
      <c r="P168" s="908">
        <v>8.68</v>
      </c>
      <c r="Q168" s="908">
        <v>11.75</v>
      </c>
      <c r="R168" s="909"/>
      <c r="S168" s="902">
        <v>27.88</v>
      </c>
      <c r="T168" s="910">
        <f t="shared" si="3"/>
        <v>249.89</v>
      </c>
    </row>
    <row r="169" spans="1:23" ht="15">
      <c r="A169" s="905">
        <v>19602527</v>
      </c>
      <c r="B169" s="906" t="s">
        <v>5345</v>
      </c>
      <c r="C169" s="907" t="s">
        <v>5348</v>
      </c>
      <c r="D169" s="906"/>
      <c r="E169" s="906"/>
      <c r="F169" s="906"/>
      <c r="G169" s="906"/>
      <c r="H169" s="906"/>
      <c r="I169" s="906"/>
      <c r="J169" s="906"/>
      <c r="K169" s="906" t="s">
        <v>5347</v>
      </c>
      <c r="L169" s="908">
        <v>159.97999999999999</v>
      </c>
      <c r="M169" s="908">
        <v>16.809999999999999</v>
      </c>
      <c r="N169" s="908"/>
      <c r="O169" s="908">
        <v>24.79</v>
      </c>
      <c r="P169" s="908">
        <v>8.68</v>
      </c>
      <c r="Q169" s="908">
        <v>11.75</v>
      </c>
      <c r="R169" s="909"/>
      <c r="S169" s="902">
        <v>27.88</v>
      </c>
      <c r="T169" s="910">
        <f>SUM(L169:S169)</f>
        <v>249.89</v>
      </c>
    </row>
    <row r="170" spans="1:23" ht="15.75" thickBot="1">
      <c r="A170" s="905"/>
      <c r="B170" s="906"/>
      <c r="C170" s="922"/>
      <c r="D170" s="906"/>
      <c r="E170" s="906"/>
      <c r="F170" s="906"/>
      <c r="G170" s="906"/>
      <c r="H170" s="906"/>
      <c r="I170" s="906"/>
      <c r="J170" s="906"/>
      <c r="K170" s="906"/>
      <c r="L170" s="908"/>
      <c r="M170" s="908"/>
      <c r="N170" s="908"/>
      <c r="O170" s="908"/>
      <c r="P170" s="908"/>
      <c r="Q170" s="908"/>
      <c r="R170" s="909"/>
      <c r="S170" s="902"/>
      <c r="T170" s="910"/>
    </row>
    <row r="171" spans="1:23" ht="15.75" thickBot="1">
      <c r="A171" s="887"/>
      <c r="B171" s="887"/>
      <c r="C171" s="888"/>
      <c r="D171" s="887"/>
      <c r="E171" s="887"/>
      <c r="F171" s="887"/>
      <c r="G171" s="887"/>
      <c r="H171" s="887"/>
      <c r="I171" s="887"/>
      <c r="J171" s="887"/>
      <c r="K171" s="887"/>
      <c r="L171" s="940">
        <f>SUM(L91:L170)</f>
        <v>9812.399999999996</v>
      </c>
      <c r="M171" s="940">
        <f t="shared" ref="M171:U171" si="4">SUM(M91:M170)</f>
        <v>1210.1599999999996</v>
      </c>
      <c r="N171" s="940">
        <f t="shared" si="4"/>
        <v>4179.1400000000003</v>
      </c>
      <c r="O171" s="940">
        <f t="shared" si="4"/>
        <v>948.09999999999991</v>
      </c>
      <c r="P171" s="940">
        <f t="shared" si="4"/>
        <v>442.63000000000028</v>
      </c>
      <c r="Q171" s="940">
        <f t="shared" si="4"/>
        <v>1150.0699999999997</v>
      </c>
      <c r="R171" s="940">
        <f t="shared" si="4"/>
        <v>28.68</v>
      </c>
      <c r="S171" s="940">
        <f t="shared" si="4"/>
        <v>2522.0900000000011</v>
      </c>
      <c r="T171" s="940">
        <f t="shared" si="4"/>
        <v>20293.269999999997</v>
      </c>
      <c r="U171" s="940">
        <f t="shared" si="4"/>
        <v>20293.27</v>
      </c>
      <c r="W171" s="615">
        <f>W138+W97+W91</f>
        <v>802.41000000000008</v>
      </c>
    </row>
    <row r="174" spans="1:23">
      <c r="B174" s="610" t="s">
        <v>5368</v>
      </c>
    </row>
    <row r="175" spans="1:23" ht="21">
      <c r="A175" s="4757" t="s">
        <v>5497</v>
      </c>
      <c r="B175" s="4758"/>
      <c r="C175" s="4758"/>
      <c r="D175" s="4758"/>
      <c r="E175" s="4758"/>
      <c r="F175" s="4758"/>
      <c r="G175" s="4758"/>
      <c r="H175" s="4758"/>
      <c r="I175" s="4758"/>
      <c r="J175" s="4758"/>
      <c r="K175" s="4758"/>
      <c r="L175" s="4758"/>
      <c r="M175" s="4758"/>
      <c r="N175" s="4758"/>
    </row>
    <row r="176" spans="1:23">
      <c r="B176" s="610"/>
    </row>
    <row r="177" spans="1:23">
      <c r="B177" s="610"/>
    </row>
    <row r="178" spans="1:23" ht="13.5" thickBot="1"/>
    <row r="179" spans="1:23" ht="15.75" thickBot="1">
      <c r="A179" s="4894" t="s">
        <v>5206</v>
      </c>
      <c r="B179" s="4895"/>
      <c r="C179" s="4895"/>
      <c r="D179" s="4895"/>
      <c r="E179" s="4895"/>
      <c r="F179" s="4895"/>
      <c r="G179" s="4895"/>
      <c r="H179" s="4895"/>
      <c r="I179" s="4895"/>
      <c r="J179" s="4895"/>
      <c r="K179" s="4895"/>
      <c r="L179" s="4896" t="s">
        <v>5207</v>
      </c>
      <c r="M179" s="4897"/>
      <c r="N179" s="4897"/>
      <c r="O179" s="4897"/>
      <c r="P179" s="4897"/>
      <c r="Q179" s="4897"/>
      <c r="R179" s="4898"/>
      <c r="S179" s="617"/>
      <c r="T179" s="941"/>
      <c r="U179" s="622"/>
    </row>
    <row r="180" spans="1:23" ht="30">
      <c r="A180" s="2494" t="s">
        <v>5208</v>
      </c>
      <c r="B180" s="2495" t="s">
        <v>5209</v>
      </c>
      <c r="C180" s="2495" t="s">
        <v>5210</v>
      </c>
      <c r="D180" s="2495" t="s">
        <v>634</v>
      </c>
      <c r="E180" s="2495" t="s">
        <v>5211</v>
      </c>
      <c r="F180" s="2495" t="s">
        <v>5212</v>
      </c>
      <c r="G180" s="2495" t="s">
        <v>5213</v>
      </c>
      <c r="H180" s="2496" t="s">
        <v>5214</v>
      </c>
      <c r="I180" s="2495" t="s">
        <v>5215</v>
      </c>
      <c r="J180" s="2495" t="s">
        <v>5216</v>
      </c>
      <c r="K180" s="2495" t="s">
        <v>5217</v>
      </c>
      <c r="L180" s="2497" t="s">
        <v>5218</v>
      </c>
      <c r="M180" s="2497" t="s">
        <v>5219</v>
      </c>
      <c r="N180" s="2497" t="s">
        <v>5220</v>
      </c>
      <c r="O180" s="2497" t="s">
        <v>5221</v>
      </c>
      <c r="P180" s="2498" t="s">
        <v>5222</v>
      </c>
      <c r="Q180" s="2497" t="s">
        <v>5223</v>
      </c>
      <c r="R180" s="2499" t="s">
        <v>5224</v>
      </c>
      <c r="S180" s="2500" t="s">
        <v>5225</v>
      </c>
      <c r="T180" s="2501" t="s">
        <v>8</v>
      </c>
      <c r="U180" s="622"/>
    </row>
    <row r="181" spans="1:23" ht="15">
      <c r="A181" s="942"/>
      <c r="B181" s="944"/>
      <c r="C181" s="943"/>
      <c r="D181" s="944"/>
      <c r="E181" s="944"/>
      <c r="F181" s="944"/>
      <c r="G181" s="944"/>
      <c r="H181" s="945"/>
      <c r="I181" s="944"/>
      <c r="J181" s="944"/>
      <c r="K181" s="944"/>
      <c r="L181" s="946"/>
      <c r="M181" s="946"/>
      <c r="N181" s="946"/>
      <c r="O181" s="946"/>
      <c r="P181" s="946"/>
      <c r="Q181" s="946"/>
      <c r="R181" s="947"/>
      <c r="S181" s="920"/>
      <c r="T181" s="948"/>
      <c r="U181" s="622"/>
    </row>
    <row r="182" spans="1:23" ht="15">
      <c r="A182" s="2516" t="s">
        <v>4743</v>
      </c>
      <c r="B182" s="2503"/>
      <c r="C182" s="2504"/>
      <c r="D182" s="2503"/>
      <c r="E182" s="2503"/>
      <c r="F182" s="2503"/>
      <c r="G182" s="2503"/>
      <c r="H182" s="2505"/>
      <c r="I182" s="2503"/>
      <c r="J182" s="2503"/>
      <c r="K182" s="2504" t="s">
        <v>5226</v>
      </c>
      <c r="L182" s="2506"/>
      <c r="M182" s="2506"/>
      <c r="N182" s="2506"/>
      <c r="O182" s="2506"/>
      <c r="P182" s="2506"/>
      <c r="Q182" s="2506"/>
      <c r="R182" s="2507"/>
      <c r="S182" s="2508"/>
      <c r="T182" s="2509"/>
      <c r="U182" s="621">
        <f>SUM(T183:T184)</f>
        <v>5517.01</v>
      </c>
      <c r="W182" s="615"/>
    </row>
    <row r="183" spans="1:23" ht="15">
      <c r="A183" s="949">
        <v>19157693</v>
      </c>
      <c r="B183" s="950" t="s">
        <v>5230</v>
      </c>
      <c r="C183" s="907" t="s">
        <v>5231</v>
      </c>
      <c r="D183" s="950">
        <v>2003</v>
      </c>
      <c r="E183" s="950">
        <v>51</v>
      </c>
      <c r="F183" s="950">
        <v>1868</v>
      </c>
      <c r="G183" s="950">
        <v>0</v>
      </c>
      <c r="H183" s="950">
        <v>8529</v>
      </c>
      <c r="I183" s="950">
        <v>4</v>
      </c>
      <c r="J183" s="950">
        <v>0</v>
      </c>
      <c r="K183" s="950" t="s">
        <v>5232</v>
      </c>
      <c r="L183" s="911">
        <v>181.18</v>
      </c>
      <c r="M183" s="911"/>
      <c r="N183" s="911"/>
      <c r="O183" s="911"/>
      <c r="P183" s="911">
        <v>14.87</v>
      </c>
      <c r="Q183" s="911"/>
      <c r="R183" s="951"/>
      <c r="S183" s="920">
        <v>33.46</v>
      </c>
      <c r="T183" s="952">
        <f>SUM(L183:S183)</f>
        <v>229.51000000000002</v>
      </c>
      <c r="U183" s="622"/>
    </row>
    <row r="184" spans="1:23" ht="15">
      <c r="A184" s="953"/>
      <c r="B184" s="954" t="s">
        <v>5233</v>
      </c>
      <c r="C184" s="914"/>
      <c r="D184" s="954"/>
      <c r="E184" s="954"/>
      <c r="F184" s="954"/>
      <c r="G184" s="954"/>
      <c r="H184" s="954"/>
      <c r="I184" s="954"/>
      <c r="J184" s="954"/>
      <c r="K184" s="954" t="s">
        <v>5234</v>
      </c>
      <c r="L184" s="916"/>
      <c r="M184" s="916">
        <v>700</v>
      </c>
      <c r="N184" s="916">
        <v>2400</v>
      </c>
      <c r="O184" s="916">
        <v>700</v>
      </c>
      <c r="P184" s="916"/>
      <c r="Q184" s="916">
        <v>700</v>
      </c>
      <c r="R184" s="951"/>
      <c r="S184" s="920">
        <v>787.5</v>
      </c>
      <c r="T184" s="952">
        <f>SUM(L184:S184)</f>
        <v>5287.5</v>
      </c>
      <c r="U184" s="622"/>
    </row>
    <row r="185" spans="1:23" ht="15">
      <c r="A185" s="953"/>
      <c r="B185" s="954"/>
      <c r="C185" s="914"/>
      <c r="D185" s="954"/>
      <c r="E185" s="954"/>
      <c r="F185" s="954"/>
      <c r="G185" s="954"/>
      <c r="H185" s="954"/>
      <c r="I185" s="954"/>
      <c r="J185" s="954"/>
      <c r="K185" s="954"/>
      <c r="L185" s="916"/>
      <c r="M185" s="916"/>
      <c r="N185" s="916"/>
      <c r="O185" s="916"/>
      <c r="P185" s="916"/>
      <c r="Q185" s="916"/>
      <c r="R185" s="951"/>
      <c r="S185" s="920"/>
      <c r="T185" s="952"/>
      <c r="U185" s="622"/>
    </row>
    <row r="186" spans="1:23" ht="15">
      <c r="A186" s="953"/>
      <c r="B186" s="954"/>
      <c r="C186" s="914"/>
      <c r="D186" s="954"/>
      <c r="E186" s="954"/>
      <c r="F186" s="954"/>
      <c r="G186" s="954"/>
      <c r="H186" s="954"/>
      <c r="I186" s="954"/>
      <c r="J186" s="954"/>
      <c r="K186" s="954"/>
      <c r="L186" s="916"/>
      <c r="M186" s="916"/>
      <c r="N186" s="916"/>
      <c r="O186" s="916"/>
      <c r="P186" s="916"/>
      <c r="Q186" s="916"/>
      <c r="R186" s="951"/>
      <c r="S186" s="920"/>
      <c r="T186" s="952"/>
      <c r="U186" s="622"/>
    </row>
    <row r="187" spans="1:23" ht="15">
      <c r="A187" s="2517" t="s">
        <v>5235</v>
      </c>
      <c r="B187" s="2510"/>
      <c r="C187" s="2511"/>
      <c r="D187" s="2510"/>
      <c r="E187" s="2510"/>
      <c r="F187" s="2510"/>
      <c r="G187" s="2510"/>
      <c r="H187" s="2510"/>
      <c r="I187" s="2510"/>
      <c r="J187" s="2510"/>
      <c r="K187" s="2512" t="s">
        <v>5236</v>
      </c>
      <c r="L187" s="2513"/>
      <c r="M187" s="2513"/>
      <c r="N187" s="2513"/>
      <c r="O187" s="2513"/>
      <c r="P187" s="2513"/>
      <c r="Q187" s="2513"/>
      <c r="R187" s="2514"/>
      <c r="S187" s="2508"/>
      <c r="T187" s="2515"/>
      <c r="U187" s="621">
        <f>SUM(T188:T219)</f>
        <v>5774.07</v>
      </c>
      <c r="W187" s="615"/>
    </row>
    <row r="188" spans="1:23" ht="15">
      <c r="A188" s="949">
        <v>2254378</v>
      </c>
      <c r="B188" s="950" t="s">
        <v>5237</v>
      </c>
      <c r="C188" s="907" t="s">
        <v>5228</v>
      </c>
      <c r="D188" s="950">
        <v>1980</v>
      </c>
      <c r="E188" s="950">
        <v>0</v>
      </c>
      <c r="F188" s="950">
        <v>0</v>
      </c>
      <c r="G188" s="950">
        <v>1000</v>
      </c>
      <c r="H188" s="950">
        <v>0</v>
      </c>
      <c r="I188" s="950">
        <v>0</v>
      </c>
      <c r="J188" s="950">
        <v>0</v>
      </c>
      <c r="K188" s="950" t="s">
        <v>5238</v>
      </c>
      <c r="L188" s="911">
        <v>8.2799999999999994</v>
      </c>
      <c r="M188" s="911"/>
      <c r="N188" s="911"/>
      <c r="O188" s="911"/>
      <c r="P188" s="911"/>
      <c r="Q188" s="911"/>
      <c r="R188" s="951"/>
      <c r="S188" s="920">
        <v>1.06</v>
      </c>
      <c r="T188" s="952">
        <f t="shared" ref="T188:T218" si="5">SUM(L188:S188)</f>
        <v>9.34</v>
      </c>
      <c r="U188" s="622"/>
    </row>
    <row r="189" spans="1:23" ht="15">
      <c r="A189" s="949">
        <v>19743702</v>
      </c>
      <c r="B189" s="955" t="s">
        <v>5350</v>
      </c>
      <c r="C189" s="927" t="s">
        <v>5351</v>
      </c>
      <c r="D189" s="950"/>
      <c r="E189" s="950"/>
      <c r="F189" s="950"/>
      <c r="G189" s="950"/>
      <c r="H189" s="950"/>
      <c r="I189" s="950"/>
      <c r="J189" s="950"/>
      <c r="K189" s="950" t="s">
        <v>5238</v>
      </c>
      <c r="L189" s="911">
        <v>16.559999999999999</v>
      </c>
      <c r="M189" s="911"/>
      <c r="N189" s="911"/>
      <c r="O189" s="911"/>
      <c r="P189" s="911"/>
      <c r="Q189" s="911"/>
      <c r="R189" s="951"/>
      <c r="S189" s="920">
        <v>2.13</v>
      </c>
      <c r="T189" s="952">
        <f t="shared" si="5"/>
        <v>18.689999999999998</v>
      </c>
      <c r="U189" s="622"/>
    </row>
    <row r="190" spans="1:23" ht="15">
      <c r="A190" s="949">
        <v>2302144</v>
      </c>
      <c r="B190" s="950" t="s">
        <v>5239</v>
      </c>
      <c r="C190" s="907" t="s">
        <v>5240</v>
      </c>
      <c r="D190" s="950">
        <v>1999</v>
      </c>
      <c r="E190" s="950">
        <v>84</v>
      </c>
      <c r="F190" s="950">
        <v>2799</v>
      </c>
      <c r="G190" s="950">
        <v>0</v>
      </c>
      <c r="H190" s="950">
        <v>24789</v>
      </c>
      <c r="I190" s="950">
        <v>2</v>
      </c>
      <c r="J190" s="950">
        <v>0</v>
      </c>
      <c r="K190" s="950" t="s">
        <v>5241</v>
      </c>
      <c r="L190" s="911">
        <v>358.04</v>
      </c>
      <c r="M190" s="911"/>
      <c r="N190" s="911"/>
      <c r="O190" s="911"/>
      <c r="P190" s="911">
        <v>8.68</v>
      </c>
      <c r="Q190" s="911"/>
      <c r="R190" s="951"/>
      <c r="S190" s="920">
        <v>46.65</v>
      </c>
      <c r="T190" s="952">
        <f t="shared" si="5"/>
        <v>413.37</v>
      </c>
      <c r="U190" s="622"/>
    </row>
    <row r="191" spans="1:23" ht="15">
      <c r="A191" s="949">
        <v>19024173</v>
      </c>
      <c r="B191" s="950" t="s">
        <v>5242</v>
      </c>
      <c r="C191" s="907" t="s">
        <v>5243</v>
      </c>
      <c r="D191" s="950">
        <v>1996</v>
      </c>
      <c r="E191" s="950">
        <v>0</v>
      </c>
      <c r="F191" s="950">
        <v>0</v>
      </c>
      <c r="G191" s="950">
        <v>3500</v>
      </c>
      <c r="H191" s="950">
        <v>5850</v>
      </c>
      <c r="I191" s="950">
        <v>0</v>
      </c>
      <c r="J191" s="950">
        <v>0</v>
      </c>
      <c r="K191" s="950" t="s">
        <v>5238</v>
      </c>
      <c r="L191" s="911">
        <v>44.67</v>
      </c>
      <c r="M191" s="911"/>
      <c r="N191" s="911"/>
      <c r="O191" s="911"/>
      <c r="P191" s="911"/>
      <c r="Q191" s="911"/>
      <c r="R191" s="951"/>
      <c r="S191" s="920">
        <v>5.74</v>
      </c>
      <c r="T191" s="952">
        <f t="shared" si="5"/>
        <v>50.410000000000004</v>
      </c>
      <c r="U191" s="622"/>
    </row>
    <row r="192" spans="1:23" ht="15">
      <c r="A192" s="949">
        <v>19025769</v>
      </c>
      <c r="B192" s="950" t="s">
        <v>5244</v>
      </c>
      <c r="C192" s="907" t="s">
        <v>5247</v>
      </c>
      <c r="D192" s="950">
        <v>1996</v>
      </c>
      <c r="E192" s="950">
        <v>180</v>
      </c>
      <c r="F192" s="950">
        <v>10964</v>
      </c>
      <c r="G192" s="950">
        <v>19000</v>
      </c>
      <c r="H192" s="950">
        <v>141027</v>
      </c>
      <c r="I192" s="950">
        <v>2</v>
      </c>
      <c r="J192" s="950">
        <v>0</v>
      </c>
      <c r="K192" s="950" t="s">
        <v>5246</v>
      </c>
      <c r="L192" s="911">
        <v>455.26</v>
      </c>
      <c r="M192" s="911"/>
      <c r="N192" s="911"/>
      <c r="O192" s="911"/>
      <c r="P192" s="911">
        <v>8.68</v>
      </c>
      <c r="Q192" s="911"/>
      <c r="R192" s="951"/>
      <c r="S192" s="920">
        <v>59.14</v>
      </c>
      <c r="T192" s="952">
        <f t="shared" si="5"/>
        <v>523.08000000000004</v>
      </c>
      <c r="U192" s="622"/>
    </row>
    <row r="193" spans="1:21" ht="15">
      <c r="A193" s="949">
        <v>19046774</v>
      </c>
      <c r="B193" s="950" t="s">
        <v>5248</v>
      </c>
      <c r="C193" s="927" t="s">
        <v>5353</v>
      </c>
      <c r="D193" s="950">
        <v>1999</v>
      </c>
      <c r="E193" s="950">
        <v>0</v>
      </c>
      <c r="F193" s="950">
        <v>0</v>
      </c>
      <c r="G193" s="950">
        <v>2000</v>
      </c>
      <c r="H193" s="950">
        <v>6197</v>
      </c>
      <c r="I193" s="950">
        <v>0</v>
      </c>
      <c r="J193" s="950">
        <v>0</v>
      </c>
      <c r="K193" s="950" t="s">
        <v>5238</v>
      </c>
      <c r="L193" s="911">
        <v>16.559999999999999</v>
      </c>
      <c r="M193" s="911"/>
      <c r="N193" s="911"/>
      <c r="O193" s="911"/>
      <c r="P193" s="911"/>
      <c r="Q193" s="911"/>
      <c r="R193" s="951"/>
      <c r="S193" s="920">
        <v>2.13</v>
      </c>
      <c r="T193" s="952">
        <f t="shared" si="5"/>
        <v>18.689999999999998</v>
      </c>
      <c r="U193" s="622"/>
    </row>
    <row r="194" spans="1:21" ht="15">
      <c r="A194" s="949">
        <v>19055120</v>
      </c>
      <c r="B194" s="950" t="s">
        <v>5249</v>
      </c>
      <c r="C194" s="907" t="s">
        <v>5250</v>
      </c>
      <c r="D194" s="950">
        <v>2000</v>
      </c>
      <c r="E194" s="950">
        <v>51</v>
      </c>
      <c r="F194" s="950">
        <v>1868</v>
      </c>
      <c r="G194" s="950">
        <v>0</v>
      </c>
      <c r="H194" s="950">
        <v>10857</v>
      </c>
      <c r="I194" s="950">
        <v>4</v>
      </c>
      <c r="J194" s="950">
        <v>4</v>
      </c>
      <c r="K194" s="950" t="s">
        <v>5251</v>
      </c>
      <c r="L194" s="911">
        <v>181.18</v>
      </c>
      <c r="M194" s="911"/>
      <c r="N194" s="911"/>
      <c r="O194" s="911"/>
      <c r="P194" s="911">
        <v>14.87</v>
      </c>
      <c r="Q194" s="911"/>
      <c r="R194" s="951"/>
      <c r="S194" s="920">
        <v>33.46</v>
      </c>
      <c r="T194" s="952">
        <f t="shared" si="5"/>
        <v>229.51000000000002</v>
      </c>
      <c r="U194" s="622"/>
    </row>
    <row r="195" spans="1:21" ht="15">
      <c r="A195" s="949">
        <v>19055156</v>
      </c>
      <c r="B195" s="950" t="s">
        <v>5239</v>
      </c>
      <c r="C195" s="907" t="s">
        <v>5252</v>
      </c>
      <c r="D195" s="950">
        <v>2000</v>
      </c>
      <c r="E195" s="950">
        <v>47</v>
      </c>
      <c r="F195" s="950">
        <v>1870</v>
      </c>
      <c r="G195" s="950">
        <v>0</v>
      </c>
      <c r="H195" s="950">
        <v>11279</v>
      </c>
      <c r="I195" s="950">
        <v>1</v>
      </c>
      <c r="J195" s="950">
        <v>3</v>
      </c>
      <c r="K195" s="950" t="s">
        <v>5241</v>
      </c>
      <c r="L195" s="911">
        <v>141.36000000000001</v>
      </c>
      <c r="M195" s="911"/>
      <c r="N195" s="911"/>
      <c r="O195" s="911"/>
      <c r="P195" s="911">
        <v>8.68</v>
      </c>
      <c r="Q195" s="911"/>
      <c r="R195" s="951"/>
      <c r="S195" s="920">
        <v>18.809999999999999</v>
      </c>
      <c r="T195" s="952">
        <f t="shared" si="5"/>
        <v>168.85000000000002</v>
      </c>
      <c r="U195" s="622"/>
    </row>
    <row r="196" spans="1:21" ht="15">
      <c r="A196" s="949">
        <v>19056155</v>
      </c>
      <c r="B196" s="950" t="s">
        <v>5253</v>
      </c>
      <c r="C196" s="907" t="s">
        <v>5254</v>
      </c>
      <c r="D196" s="950">
        <v>2005</v>
      </c>
      <c r="E196" s="950">
        <v>0</v>
      </c>
      <c r="F196" s="950">
        <v>125</v>
      </c>
      <c r="G196" s="950">
        <v>0</v>
      </c>
      <c r="H196" s="950">
        <v>2434</v>
      </c>
      <c r="I196" s="950">
        <v>1</v>
      </c>
      <c r="J196" s="950">
        <v>0</v>
      </c>
      <c r="K196" s="950" t="s">
        <v>5255</v>
      </c>
      <c r="L196" s="911">
        <v>141.27000000000001</v>
      </c>
      <c r="M196" s="911"/>
      <c r="N196" s="911"/>
      <c r="O196" s="911"/>
      <c r="P196" s="911">
        <v>4.96</v>
      </c>
      <c r="Q196" s="911"/>
      <c r="R196" s="951"/>
      <c r="S196" s="920">
        <v>25.59</v>
      </c>
      <c r="T196" s="952">
        <f t="shared" si="5"/>
        <v>171.82000000000002</v>
      </c>
      <c r="U196" s="622"/>
    </row>
    <row r="197" spans="1:21" ht="15">
      <c r="A197" s="949">
        <v>19057411</v>
      </c>
      <c r="B197" s="950" t="s">
        <v>5256</v>
      </c>
      <c r="C197" s="907" t="s">
        <v>5257</v>
      </c>
      <c r="D197" s="950">
        <v>2000</v>
      </c>
      <c r="E197" s="950">
        <v>0</v>
      </c>
      <c r="F197" s="950">
        <v>0</v>
      </c>
      <c r="G197" s="950">
        <v>3000</v>
      </c>
      <c r="H197" s="950">
        <v>4462</v>
      </c>
      <c r="I197" s="950">
        <v>0</v>
      </c>
      <c r="J197" s="950">
        <v>0</v>
      </c>
      <c r="K197" s="950" t="s">
        <v>5238</v>
      </c>
      <c r="L197" s="911">
        <v>24.81</v>
      </c>
      <c r="M197" s="911"/>
      <c r="N197" s="911"/>
      <c r="O197" s="911"/>
      <c r="P197" s="911"/>
      <c r="Q197" s="911"/>
      <c r="R197" s="951"/>
      <c r="S197" s="920">
        <v>3.19</v>
      </c>
      <c r="T197" s="952">
        <f t="shared" si="5"/>
        <v>28</v>
      </c>
      <c r="U197" s="622"/>
    </row>
    <row r="198" spans="1:21" ht="15">
      <c r="A198" s="949">
        <v>19125110</v>
      </c>
      <c r="B198" s="950" t="s">
        <v>5258</v>
      </c>
      <c r="C198" s="907" t="s">
        <v>5259</v>
      </c>
      <c r="D198" s="950">
        <v>2002</v>
      </c>
      <c r="E198" s="950">
        <v>0</v>
      </c>
      <c r="F198" s="950">
        <v>0</v>
      </c>
      <c r="G198" s="950">
        <v>1300</v>
      </c>
      <c r="H198" s="950">
        <v>12395</v>
      </c>
      <c r="I198" s="950">
        <v>0</v>
      </c>
      <c r="J198" s="950">
        <v>0</v>
      </c>
      <c r="K198" s="950" t="s">
        <v>5260</v>
      </c>
      <c r="L198" s="911">
        <v>16.559999999999999</v>
      </c>
      <c r="M198" s="911"/>
      <c r="N198" s="911"/>
      <c r="O198" s="911"/>
      <c r="P198" s="911"/>
      <c r="Q198" s="911"/>
      <c r="R198" s="951"/>
      <c r="S198" s="920">
        <v>2.13</v>
      </c>
      <c r="T198" s="952">
        <f t="shared" si="5"/>
        <v>18.689999999999998</v>
      </c>
      <c r="U198" s="622"/>
    </row>
    <row r="199" spans="1:21" ht="15">
      <c r="A199" s="949">
        <v>19133993</v>
      </c>
      <c r="B199" s="950" t="s">
        <v>5261</v>
      </c>
      <c r="C199" s="907" t="s">
        <v>5262</v>
      </c>
      <c r="D199" s="950">
        <v>2002</v>
      </c>
      <c r="E199" s="950">
        <v>198</v>
      </c>
      <c r="F199" s="950">
        <v>9973</v>
      </c>
      <c r="G199" s="950">
        <v>19000</v>
      </c>
      <c r="H199" s="950">
        <v>119980</v>
      </c>
      <c r="I199" s="950">
        <v>2</v>
      </c>
      <c r="J199" s="950">
        <v>0</v>
      </c>
      <c r="K199" s="950" t="s">
        <v>5246</v>
      </c>
      <c r="L199" s="911">
        <v>354.09</v>
      </c>
      <c r="M199" s="911"/>
      <c r="N199" s="911"/>
      <c r="O199" s="911"/>
      <c r="P199" s="911">
        <v>8.68</v>
      </c>
      <c r="Q199" s="911"/>
      <c r="R199" s="951"/>
      <c r="S199" s="920">
        <v>46.15</v>
      </c>
      <c r="T199" s="952">
        <f t="shared" si="5"/>
        <v>408.91999999999996</v>
      </c>
      <c r="U199" s="622"/>
    </row>
    <row r="200" spans="1:21" ht="15">
      <c r="A200" s="949">
        <v>19149679</v>
      </c>
      <c r="B200" s="950" t="s">
        <v>5263</v>
      </c>
      <c r="C200" s="907" t="s">
        <v>5228</v>
      </c>
      <c r="D200" s="950">
        <v>2003</v>
      </c>
      <c r="E200" s="950">
        <v>0</v>
      </c>
      <c r="F200" s="950">
        <v>0</v>
      </c>
      <c r="G200" s="950">
        <v>2000</v>
      </c>
      <c r="H200" s="950">
        <v>0</v>
      </c>
      <c r="I200" s="950">
        <v>0</v>
      </c>
      <c r="J200" s="950">
        <v>0</v>
      </c>
      <c r="K200" s="950" t="s">
        <v>5238</v>
      </c>
      <c r="L200" s="911">
        <v>16.559999999999999</v>
      </c>
      <c r="M200" s="911"/>
      <c r="N200" s="911"/>
      <c r="O200" s="911"/>
      <c r="P200" s="911"/>
      <c r="Q200" s="911"/>
      <c r="R200" s="951"/>
      <c r="S200" s="920">
        <v>2.13</v>
      </c>
      <c r="T200" s="952">
        <f t="shared" si="5"/>
        <v>18.689999999999998</v>
      </c>
      <c r="U200" s="622"/>
    </row>
    <row r="201" spans="1:21" ht="15">
      <c r="A201" s="949">
        <v>19236255</v>
      </c>
      <c r="B201" s="950" t="s">
        <v>5230</v>
      </c>
      <c r="C201" s="907" t="s">
        <v>5266</v>
      </c>
      <c r="D201" s="950">
        <v>2005</v>
      </c>
      <c r="E201" s="950">
        <v>51</v>
      </c>
      <c r="F201" s="950">
        <v>1868</v>
      </c>
      <c r="G201" s="950">
        <v>0</v>
      </c>
      <c r="H201" s="950">
        <v>10767</v>
      </c>
      <c r="I201" s="950">
        <v>2</v>
      </c>
      <c r="J201" s="950">
        <v>0</v>
      </c>
      <c r="K201" s="950" t="s">
        <v>5241</v>
      </c>
      <c r="L201" s="911">
        <v>150.66</v>
      </c>
      <c r="M201" s="911"/>
      <c r="N201" s="911"/>
      <c r="O201" s="911"/>
      <c r="P201" s="911">
        <v>8.68</v>
      </c>
      <c r="Q201" s="911"/>
      <c r="R201" s="951"/>
      <c r="S201" s="920">
        <v>20.010000000000002</v>
      </c>
      <c r="T201" s="952">
        <f t="shared" si="5"/>
        <v>179.35</v>
      </c>
      <c r="U201" s="622"/>
    </row>
    <row r="202" spans="1:21" ht="15">
      <c r="A202" s="949">
        <v>19307022</v>
      </c>
      <c r="B202" s="950" t="s">
        <v>5267</v>
      </c>
      <c r="C202" s="907" t="s">
        <v>5268</v>
      </c>
      <c r="D202" s="950">
        <v>2001</v>
      </c>
      <c r="E202" s="950">
        <v>51</v>
      </c>
      <c r="F202" s="950">
        <v>0</v>
      </c>
      <c r="G202" s="950">
        <v>0</v>
      </c>
      <c r="H202" s="950">
        <v>0</v>
      </c>
      <c r="I202" s="950">
        <v>4</v>
      </c>
      <c r="J202" s="950">
        <v>0</v>
      </c>
      <c r="K202" s="950" t="s">
        <v>5269</v>
      </c>
      <c r="L202" s="911">
        <v>181.18</v>
      </c>
      <c r="M202" s="911"/>
      <c r="N202" s="911"/>
      <c r="O202" s="911"/>
      <c r="P202" s="911">
        <v>14.87</v>
      </c>
      <c r="Q202" s="911"/>
      <c r="R202" s="951"/>
      <c r="S202" s="920">
        <v>33.46</v>
      </c>
      <c r="T202" s="952">
        <f t="shared" si="5"/>
        <v>229.51000000000002</v>
      </c>
      <c r="U202" s="622"/>
    </row>
    <row r="203" spans="1:21" ht="15">
      <c r="A203" s="949">
        <v>19315939</v>
      </c>
      <c r="B203" s="950" t="s">
        <v>5270</v>
      </c>
      <c r="C203" s="907" t="s">
        <v>5271</v>
      </c>
      <c r="D203" s="950">
        <v>2007</v>
      </c>
      <c r="E203" s="950">
        <v>0</v>
      </c>
      <c r="F203" s="950">
        <v>0</v>
      </c>
      <c r="G203" s="950">
        <v>2700</v>
      </c>
      <c r="H203" s="950">
        <v>4471</v>
      </c>
      <c r="I203" s="950">
        <v>0</v>
      </c>
      <c r="J203" s="950">
        <v>0</v>
      </c>
      <c r="K203" s="950" t="s">
        <v>5238</v>
      </c>
      <c r="L203" s="911">
        <v>31.9</v>
      </c>
      <c r="M203" s="911"/>
      <c r="N203" s="911"/>
      <c r="O203" s="911"/>
      <c r="P203" s="911"/>
      <c r="Q203" s="911"/>
      <c r="R203" s="951"/>
      <c r="S203" s="920">
        <v>4.0999999999999996</v>
      </c>
      <c r="T203" s="952">
        <f t="shared" si="5"/>
        <v>36</v>
      </c>
      <c r="U203" s="622"/>
    </row>
    <row r="204" spans="1:21" ht="15">
      <c r="A204" s="949">
        <v>19350146</v>
      </c>
      <c r="B204" s="950" t="s">
        <v>5272</v>
      </c>
      <c r="C204" s="907" t="s">
        <v>5273</v>
      </c>
      <c r="D204" s="950">
        <v>2013</v>
      </c>
      <c r="E204" s="950">
        <v>0</v>
      </c>
      <c r="F204" s="950">
        <v>0</v>
      </c>
      <c r="G204" s="950">
        <v>2000</v>
      </c>
      <c r="H204" s="950">
        <v>0</v>
      </c>
      <c r="I204" s="950">
        <v>0</v>
      </c>
      <c r="J204" s="950">
        <v>0</v>
      </c>
      <c r="K204" s="950" t="s">
        <v>5274</v>
      </c>
      <c r="L204" s="911">
        <v>37.28</v>
      </c>
      <c r="M204" s="911"/>
      <c r="N204" s="911"/>
      <c r="O204" s="911"/>
      <c r="P204" s="911">
        <v>8.68</v>
      </c>
      <c r="Q204" s="911"/>
      <c r="R204" s="951"/>
      <c r="S204" s="920">
        <v>5.44</v>
      </c>
      <c r="T204" s="952">
        <f t="shared" si="5"/>
        <v>51.4</v>
      </c>
      <c r="U204" s="622"/>
    </row>
    <row r="205" spans="1:21" ht="15">
      <c r="A205" s="949">
        <v>19352145</v>
      </c>
      <c r="B205" s="950" t="s">
        <v>5270</v>
      </c>
      <c r="C205" s="907" t="s">
        <v>5228</v>
      </c>
      <c r="D205" s="950">
        <v>2008</v>
      </c>
      <c r="E205" s="950">
        <v>0</v>
      </c>
      <c r="F205" s="950">
        <v>0</v>
      </c>
      <c r="G205" s="950">
        <v>2700</v>
      </c>
      <c r="H205" s="950">
        <v>4713</v>
      </c>
      <c r="I205" s="950">
        <v>0</v>
      </c>
      <c r="J205" s="950">
        <v>0</v>
      </c>
      <c r="K205" s="950" t="s">
        <v>5238</v>
      </c>
      <c r="L205" s="911">
        <v>31.9</v>
      </c>
      <c r="M205" s="911"/>
      <c r="N205" s="911"/>
      <c r="O205" s="911"/>
      <c r="P205" s="911"/>
      <c r="Q205" s="911"/>
      <c r="R205" s="951"/>
      <c r="S205" s="920">
        <v>4.0999999999999996</v>
      </c>
      <c r="T205" s="952">
        <f t="shared" si="5"/>
        <v>36</v>
      </c>
      <c r="U205" s="622"/>
    </row>
    <row r="206" spans="1:21" ht="15">
      <c r="A206" s="949">
        <v>19399222</v>
      </c>
      <c r="B206" s="950" t="s">
        <v>5275</v>
      </c>
      <c r="C206" s="907" t="s">
        <v>5276</v>
      </c>
      <c r="D206" s="950">
        <v>2006</v>
      </c>
      <c r="E206" s="950">
        <v>69</v>
      </c>
      <c r="F206" s="950">
        <v>0</v>
      </c>
      <c r="G206" s="950">
        <v>0</v>
      </c>
      <c r="H206" s="950">
        <v>0</v>
      </c>
      <c r="I206" s="950">
        <v>2</v>
      </c>
      <c r="J206" s="950">
        <v>0</v>
      </c>
      <c r="K206" s="950" t="s">
        <v>5241</v>
      </c>
      <c r="L206" s="911">
        <v>192.55</v>
      </c>
      <c r="M206" s="911"/>
      <c r="N206" s="911"/>
      <c r="O206" s="911"/>
      <c r="P206" s="911">
        <v>8.68</v>
      </c>
      <c r="Q206" s="911"/>
      <c r="R206" s="951"/>
      <c r="S206" s="920">
        <v>25.39</v>
      </c>
      <c r="T206" s="952">
        <f t="shared" si="5"/>
        <v>226.62</v>
      </c>
      <c r="U206" s="622"/>
    </row>
    <row r="207" spans="1:21" ht="15">
      <c r="A207" s="949">
        <v>19454625</v>
      </c>
      <c r="B207" s="950" t="s">
        <v>5277</v>
      </c>
      <c r="C207" s="907" t="s">
        <v>5278</v>
      </c>
      <c r="D207" s="950">
        <v>2010</v>
      </c>
      <c r="E207" s="950">
        <v>116</v>
      </c>
      <c r="F207" s="950">
        <v>0</v>
      </c>
      <c r="G207" s="950">
        <v>0</v>
      </c>
      <c r="H207" s="950">
        <v>35000</v>
      </c>
      <c r="I207" s="950">
        <v>2</v>
      </c>
      <c r="J207" s="950">
        <v>0</v>
      </c>
      <c r="K207" s="950" t="s">
        <v>5241</v>
      </c>
      <c r="L207" s="911">
        <v>335.46</v>
      </c>
      <c r="M207" s="911"/>
      <c r="N207" s="911"/>
      <c r="O207" s="911"/>
      <c r="P207" s="911">
        <v>8.68</v>
      </c>
      <c r="Q207" s="911"/>
      <c r="R207" s="951"/>
      <c r="S207" s="920">
        <v>43.75</v>
      </c>
      <c r="T207" s="952">
        <f t="shared" si="5"/>
        <v>387.89</v>
      </c>
      <c r="U207" s="622"/>
    </row>
    <row r="208" spans="1:21" ht="15">
      <c r="A208" s="949">
        <v>19464059</v>
      </c>
      <c r="B208" s="950" t="s">
        <v>5279</v>
      </c>
      <c r="C208" s="907" t="s">
        <v>5280</v>
      </c>
      <c r="D208" s="950">
        <v>2010</v>
      </c>
      <c r="E208" s="950">
        <v>96</v>
      </c>
      <c r="F208" s="950">
        <v>2488</v>
      </c>
      <c r="G208" s="950">
        <v>0</v>
      </c>
      <c r="H208" s="950">
        <v>72479</v>
      </c>
      <c r="I208" s="950">
        <v>2</v>
      </c>
      <c r="J208" s="950">
        <v>0</v>
      </c>
      <c r="K208" s="950" t="s">
        <v>5241</v>
      </c>
      <c r="L208" s="911">
        <v>255.38</v>
      </c>
      <c r="M208" s="911"/>
      <c r="N208" s="911"/>
      <c r="O208" s="911"/>
      <c r="P208" s="911">
        <v>8.68</v>
      </c>
      <c r="Q208" s="911"/>
      <c r="R208" s="951"/>
      <c r="S208" s="920">
        <v>33.46</v>
      </c>
      <c r="T208" s="952">
        <f t="shared" si="5"/>
        <v>297.52</v>
      </c>
      <c r="U208" s="622"/>
    </row>
    <row r="209" spans="1:23" ht="15">
      <c r="A209" s="949">
        <v>19479152</v>
      </c>
      <c r="B209" s="950" t="s">
        <v>5281</v>
      </c>
      <c r="C209" s="907" t="s">
        <v>5228</v>
      </c>
      <c r="D209" s="950">
        <v>2011</v>
      </c>
      <c r="E209" s="950">
        <v>0</v>
      </c>
      <c r="F209" s="950">
        <v>0</v>
      </c>
      <c r="G209" s="950">
        <v>3500</v>
      </c>
      <c r="H209" s="950">
        <v>0</v>
      </c>
      <c r="I209" s="950">
        <v>0</v>
      </c>
      <c r="J209" s="950">
        <v>0</v>
      </c>
      <c r="K209" s="950" t="s">
        <v>5238</v>
      </c>
      <c r="L209" s="911">
        <v>41.15</v>
      </c>
      <c r="M209" s="911"/>
      <c r="N209" s="911"/>
      <c r="O209" s="911"/>
      <c r="P209" s="911"/>
      <c r="Q209" s="911"/>
      <c r="R209" s="951"/>
      <c r="S209" s="920">
        <v>5.29</v>
      </c>
      <c r="T209" s="952">
        <f t="shared" si="5"/>
        <v>46.44</v>
      </c>
      <c r="U209" s="622"/>
    </row>
    <row r="210" spans="1:23" ht="15">
      <c r="A210" s="949">
        <v>19488224</v>
      </c>
      <c r="B210" s="950" t="s">
        <v>5282</v>
      </c>
      <c r="C210" s="907" t="s">
        <v>5283</v>
      </c>
      <c r="D210" s="950">
        <v>2011</v>
      </c>
      <c r="E210" s="950">
        <v>74</v>
      </c>
      <c r="F210" s="950">
        <v>0</v>
      </c>
      <c r="G210" s="950">
        <v>0</v>
      </c>
      <c r="H210" s="950">
        <v>22489</v>
      </c>
      <c r="I210" s="950">
        <v>2</v>
      </c>
      <c r="J210" s="950">
        <v>0</v>
      </c>
      <c r="K210" s="950" t="s">
        <v>5241</v>
      </c>
      <c r="L210" s="911">
        <v>204.18</v>
      </c>
      <c r="M210" s="911"/>
      <c r="N210" s="911"/>
      <c r="O210" s="911"/>
      <c r="P210" s="911">
        <v>8.68</v>
      </c>
      <c r="Q210" s="911"/>
      <c r="R210" s="951"/>
      <c r="S210" s="920">
        <v>26.88</v>
      </c>
      <c r="T210" s="952">
        <f t="shared" si="5"/>
        <v>239.74</v>
      </c>
      <c r="U210" s="622"/>
    </row>
    <row r="211" spans="1:23" ht="15">
      <c r="A211" s="949">
        <v>19047864</v>
      </c>
      <c r="B211" s="950" t="s">
        <v>5230</v>
      </c>
      <c r="C211" s="907" t="s">
        <v>5285</v>
      </c>
      <c r="D211" s="950">
        <v>1999</v>
      </c>
      <c r="E211" s="950">
        <v>63</v>
      </c>
      <c r="F211" s="950">
        <v>2446</v>
      </c>
      <c r="G211" s="950">
        <v>0</v>
      </c>
      <c r="H211" s="950">
        <v>18592</v>
      </c>
      <c r="I211" s="950">
        <v>2</v>
      </c>
      <c r="J211" s="950">
        <v>0</v>
      </c>
      <c r="K211" s="950" t="s">
        <v>5241</v>
      </c>
      <c r="L211" s="911">
        <v>229.61</v>
      </c>
      <c r="M211" s="911"/>
      <c r="N211" s="911"/>
      <c r="O211" s="911"/>
      <c r="P211" s="911">
        <v>8.68</v>
      </c>
      <c r="Q211" s="911"/>
      <c r="R211" s="951"/>
      <c r="S211" s="920">
        <v>30.15</v>
      </c>
      <c r="T211" s="952">
        <f t="shared" si="5"/>
        <v>268.44</v>
      </c>
      <c r="U211" s="622"/>
    </row>
    <row r="212" spans="1:23" ht="15">
      <c r="A212" s="949">
        <v>19616686</v>
      </c>
      <c r="B212" s="950" t="s">
        <v>5289</v>
      </c>
      <c r="C212" s="907" t="s">
        <v>5290</v>
      </c>
      <c r="D212" s="950"/>
      <c r="E212" s="950"/>
      <c r="F212" s="950"/>
      <c r="G212" s="950"/>
      <c r="H212" s="950"/>
      <c r="I212" s="950"/>
      <c r="J212" s="950"/>
      <c r="K212" s="950" t="s">
        <v>5241</v>
      </c>
      <c r="L212" s="911">
        <v>246.07</v>
      </c>
      <c r="M212" s="911">
        <v>28.56</v>
      </c>
      <c r="N212" s="911"/>
      <c r="O212" s="911">
        <v>24.79</v>
      </c>
      <c r="P212" s="911">
        <v>8.68</v>
      </c>
      <c r="Q212" s="911">
        <v>20.010000000000002</v>
      </c>
      <c r="R212" s="951"/>
      <c r="S212" s="920">
        <v>41.44</v>
      </c>
      <c r="T212" s="952">
        <f t="shared" si="5"/>
        <v>369.55</v>
      </c>
      <c r="U212" s="622"/>
    </row>
    <row r="213" spans="1:23" ht="15">
      <c r="A213" s="949">
        <v>19647948</v>
      </c>
      <c r="B213" s="950" t="s">
        <v>5291</v>
      </c>
      <c r="C213" s="907" t="s">
        <v>5292</v>
      </c>
      <c r="D213" s="950"/>
      <c r="E213" s="950"/>
      <c r="F213" s="950"/>
      <c r="G213" s="950"/>
      <c r="H213" s="950"/>
      <c r="I213" s="950"/>
      <c r="J213" s="950"/>
      <c r="K213" s="950" t="s">
        <v>5241</v>
      </c>
      <c r="L213" s="911">
        <v>271.66000000000003</v>
      </c>
      <c r="M213" s="911"/>
      <c r="N213" s="911"/>
      <c r="O213" s="911"/>
      <c r="P213" s="911">
        <v>8.68</v>
      </c>
      <c r="Q213" s="911"/>
      <c r="R213" s="951"/>
      <c r="S213" s="920">
        <v>35.549999999999997</v>
      </c>
      <c r="T213" s="952">
        <f t="shared" si="5"/>
        <v>315.89000000000004</v>
      </c>
      <c r="U213" s="622"/>
    </row>
    <row r="214" spans="1:23" ht="15">
      <c r="A214" s="949">
        <v>19565323</v>
      </c>
      <c r="B214" s="950" t="s">
        <v>5293</v>
      </c>
      <c r="C214" s="907" t="s">
        <v>5294</v>
      </c>
      <c r="D214" s="950"/>
      <c r="E214" s="950"/>
      <c r="F214" s="950"/>
      <c r="G214" s="950"/>
      <c r="H214" s="950"/>
      <c r="I214" s="950"/>
      <c r="J214" s="950"/>
      <c r="K214" s="950" t="s">
        <v>5295</v>
      </c>
      <c r="L214" s="911">
        <v>150.66</v>
      </c>
      <c r="M214" s="911"/>
      <c r="N214" s="911"/>
      <c r="O214" s="911"/>
      <c r="P214" s="911">
        <v>8.68</v>
      </c>
      <c r="Q214" s="911"/>
      <c r="R214" s="951"/>
      <c r="S214" s="920">
        <v>20.010000000000002</v>
      </c>
      <c r="T214" s="952">
        <f t="shared" si="5"/>
        <v>179.35</v>
      </c>
      <c r="U214" s="622"/>
    </row>
    <row r="215" spans="1:23" ht="15">
      <c r="A215" s="949">
        <v>19565324</v>
      </c>
      <c r="B215" s="950" t="s">
        <v>5291</v>
      </c>
      <c r="C215" s="907" t="s">
        <v>5296</v>
      </c>
      <c r="D215" s="950"/>
      <c r="E215" s="950"/>
      <c r="F215" s="950"/>
      <c r="G215" s="950"/>
      <c r="H215" s="950"/>
      <c r="I215" s="950"/>
      <c r="J215" s="950"/>
      <c r="K215" s="950" t="s">
        <v>5295</v>
      </c>
      <c r="L215" s="911">
        <v>162.30000000000001</v>
      </c>
      <c r="M215" s="911"/>
      <c r="N215" s="911"/>
      <c r="O215" s="911"/>
      <c r="P215" s="911">
        <v>8.68</v>
      </c>
      <c r="Q215" s="911"/>
      <c r="R215" s="951"/>
      <c r="S215" s="920">
        <v>21.51</v>
      </c>
      <c r="T215" s="952">
        <f t="shared" si="5"/>
        <v>192.49</v>
      </c>
      <c r="U215" s="622"/>
    </row>
    <row r="216" spans="1:23" ht="15">
      <c r="A216" s="949">
        <v>19568323</v>
      </c>
      <c r="B216" s="950" t="s">
        <v>5289</v>
      </c>
      <c r="C216" s="907" t="s">
        <v>5297</v>
      </c>
      <c r="D216" s="950"/>
      <c r="E216" s="950"/>
      <c r="F216" s="950"/>
      <c r="G216" s="950"/>
      <c r="H216" s="950"/>
      <c r="I216" s="950"/>
      <c r="J216" s="950"/>
      <c r="K216" s="955" t="s">
        <v>5354</v>
      </c>
      <c r="L216" s="911">
        <v>204.18</v>
      </c>
      <c r="M216" s="911"/>
      <c r="N216" s="911"/>
      <c r="O216" s="911"/>
      <c r="P216" s="911">
        <v>8.68</v>
      </c>
      <c r="Q216" s="911"/>
      <c r="R216" s="951"/>
      <c r="S216" s="920">
        <v>26.88</v>
      </c>
      <c r="T216" s="952">
        <f t="shared" si="5"/>
        <v>239.74</v>
      </c>
      <c r="U216" s="622"/>
    </row>
    <row r="217" spans="1:23" ht="15">
      <c r="A217" s="949">
        <v>19361432</v>
      </c>
      <c r="B217" s="950" t="s">
        <v>5298</v>
      </c>
      <c r="C217" s="907" t="s">
        <v>5299</v>
      </c>
      <c r="D217" s="950">
        <v>2008</v>
      </c>
      <c r="E217" s="950">
        <v>88</v>
      </c>
      <c r="F217" s="950">
        <v>2464</v>
      </c>
      <c r="G217" s="950">
        <v>3500</v>
      </c>
      <c r="H217" s="950">
        <v>30211</v>
      </c>
      <c r="I217" s="950">
        <v>2</v>
      </c>
      <c r="J217" s="950">
        <v>0</v>
      </c>
      <c r="K217" s="950" t="s">
        <v>5241</v>
      </c>
      <c r="L217" s="911">
        <v>304.39999999999998</v>
      </c>
      <c r="M217" s="911"/>
      <c r="N217" s="911"/>
      <c r="O217" s="911"/>
      <c r="P217" s="911">
        <v>8.68</v>
      </c>
      <c r="Q217" s="911"/>
      <c r="R217" s="951"/>
      <c r="S217" s="920">
        <v>39.770000000000003</v>
      </c>
      <c r="T217" s="952">
        <f t="shared" si="5"/>
        <v>352.84999999999997</v>
      </c>
      <c r="U217" s="622"/>
    </row>
    <row r="218" spans="1:23" ht="15">
      <c r="A218" s="949">
        <v>19794335</v>
      </c>
      <c r="B218" s="955" t="s">
        <v>5369</v>
      </c>
      <c r="C218" s="927" t="s">
        <v>5370</v>
      </c>
      <c r="D218" s="950"/>
      <c r="E218" s="950"/>
      <c r="F218" s="950"/>
      <c r="G218" s="950"/>
      <c r="H218" s="950"/>
      <c r="I218" s="950"/>
      <c r="J218" s="950"/>
      <c r="K218" s="955" t="s">
        <v>5238</v>
      </c>
      <c r="L218" s="911">
        <v>16.559999999999999</v>
      </c>
      <c r="M218" s="911">
        <v>4.6100000000000003</v>
      </c>
      <c r="N218" s="911">
        <v>16.14</v>
      </c>
      <c r="O218" s="911"/>
      <c r="P218" s="911"/>
      <c r="Q218" s="911">
        <v>4.6100000000000003</v>
      </c>
      <c r="R218" s="951"/>
      <c r="S218" s="920">
        <v>5.31</v>
      </c>
      <c r="T218" s="952">
        <f t="shared" si="5"/>
        <v>47.230000000000004</v>
      </c>
      <c r="U218" s="622"/>
    </row>
    <row r="219" spans="1:23" ht="15">
      <c r="A219" s="949"/>
      <c r="B219" s="950"/>
      <c r="C219" s="907"/>
      <c r="D219" s="950"/>
      <c r="E219" s="950"/>
      <c r="F219" s="950"/>
      <c r="G219" s="950"/>
      <c r="H219" s="950"/>
      <c r="I219" s="950"/>
      <c r="J219" s="950"/>
      <c r="K219" s="950"/>
      <c r="L219" s="911"/>
      <c r="M219" s="911"/>
      <c r="N219" s="911"/>
      <c r="O219" s="911"/>
      <c r="P219" s="911"/>
      <c r="Q219" s="911"/>
      <c r="R219" s="951"/>
      <c r="S219" s="920"/>
      <c r="T219" s="952"/>
      <c r="U219" s="622"/>
    </row>
    <row r="220" spans="1:23" ht="15">
      <c r="A220" s="2517" t="s">
        <v>5300</v>
      </c>
      <c r="B220" s="2518"/>
      <c r="C220" s="2519"/>
      <c r="D220" s="2518"/>
      <c r="E220" s="2518"/>
      <c r="F220" s="2518"/>
      <c r="G220" s="2518"/>
      <c r="H220" s="2518"/>
      <c r="I220" s="2518"/>
      <c r="J220" s="2518"/>
      <c r="K220" s="2520" t="s">
        <v>2395</v>
      </c>
      <c r="L220" s="2521"/>
      <c r="M220" s="2521"/>
      <c r="N220" s="2521"/>
      <c r="O220" s="2521"/>
      <c r="P220" s="2521"/>
      <c r="Q220" s="2521"/>
      <c r="R220" s="2522"/>
      <c r="S220" s="2523"/>
      <c r="T220" s="2524"/>
      <c r="U220" s="621">
        <f>SUM(T221:T222)</f>
        <v>516.27</v>
      </c>
    </row>
    <row r="221" spans="1:23" ht="15">
      <c r="A221" s="956">
        <v>19561262</v>
      </c>
      <c r="B221" s="950" t="s">
        <v>5301</v>
      </c>
      <c r="C221" s="907" t="s">
        <v>5302</v>
      </c>
      <c r="D221" s="950">
        <v>1998</v>
      </c>
      <c r="E221" s="950">
        <v>51</v>
      </c>
      <c r="F221" s="950">
        <v>2496</v>
      </c>
      <c r="G221" s="950">
        <v>0</v>
      </c>
      <c r="H221" s="950">
        <v>13758</v>
      </c>
      <c r="I221" s="950">
        <v>8</v>
      </c>
      <c r="J221" s="950">
        <v>0</v>
      </c>
      <c r="K221" s="950" t="s">
        <v>5303</v>
      </c>
      <c r="L221" s="911">
        <v>216.28</v>
      </c>
      <c r="M221" s="911"/>
      <c r="N221" s="911"/>
      <c r="O221" s="911"/>
      <c r="P221" s="911">
        <v>14.87</v>
      </c>
      <c r="Q221" s="911"/>
      <c r="R221" s="951"/>
      <c r="S221" s="920">
        <v>39.729999999999997</v>
      </c>
      <c r="T221" s="952">
        <f>SUM(L221:S221)</f>
        <v>270.88</v>
      </c>
      <c r="U221" s="622"/>
    </row>
    <row r="222" spans="1:23" ht="15">
      <c r="A222" s="949">
        <v>19561263</v>
      </c>
      <c r="B222" s="950" t="s">
        <v>5301</v>
      </c>
      <c r="C222" s="907" t="s">
        <v>5304</v>
      </c>
      <c r="D222" s="950">
        <v>1999</v>
      </c>
      <c r="E222" s="950">
        <v>56</v>
      </c>
      <c r="F222" s="950">
        <v>2500</v>
      </c>
      <c r="G222" s="950">
        <v>0</v>
      </c>
      <c r="H222" s="950">
        <v>0</v>
      </c>
      <c r="I222" s="950">
        <v>8</v>
      </c>
      <c r="J222" s="950">
        <v>0</v>
      </c>
      <c r="K222" s="950" t="s">
        <v>5303</v>
      </c>
      <c r="L222" s="911">
        <v>194.65</v>
      </c>
      <c r="M222" s="911"/>
      <c r="N222" s="911"/>
      <c r="O222" s="911"/>
      <c r="P222" s="911">
        <v>14.87</v>
      </c>
      <c r="Q222" s="911"/>
      <c r="R222" s="951"/>
      <c r="S222" s="920">
        <v>35.869999999999997</v>
      </c>
      <c r="T222" s="952">
        <f>SUM(L222:S222)</f>
        <v>245.39000000000001</v>
      </c>
      <c r="U222" s="622"/>
    </row>
    <row r="223" spans="1:23" ht="15">
      <c r="A223" s="949"/>
      <c r="B223" s="950"/>
      <c r="C223" s="907"/>
      <c r="D223" s="950"/>
      <c r="E223" s="950"/>
      <c r="F223" s="950"/>
      <c r="G223" s="950"/>
      <c r="H223" s="950"/>
      <c r="I223" s="950"/>
      <c r="J223" s="950"/>
      <c r="K223" s="950"/>
      <c r="L223" s="911"/>
      <c r="M223" s="911"/>
      <c r="N223" s="911"/>
      <c r="O223" s="911"/>
      <c r="P223" s="911"/>
      <c r="Q223" s="911"/>
      <c r="R223" s="951"/>
      <c r="S223" s="920"/>
      <c r="T223" s="952"/>
      <c r="U223" s="622"/>
    </row>
    <row r="224" spans="1:23" ht="15">
      <c r="A224" s="2517" t="s">
        <v>5305</v>
      </c>
      <c r="B224" s="2518"/>
      <c r="C224" s="2519"/>
      <c r="D224" s="2518"/>
      <c r="E224" s="2518"/>
      <c r="F224" s="2518"/>
      <c r="G224" s="2518"/>
      <c r="H224" s="2518"/>
      <c r="I224" s="2518"/>
      <c r="J224" s="2518"/>
      <c r="K224" s="2520" t="s">
        <v>1840</v>
      </c>
      <c r="L224" s="2521"/>
      <c r="M224" s="2521"/>
      <c r="N224" s="2521"/>
      <c r="O224" s="2521"/>
      <c r="P224" s="2521"/>
      <c r="Q224" s="2521"/>
      <c r="R224" s="2522"/>
      <c r="S224" s="2523"/>
      <c r="T224" s="2524"/>
      <c r="U224" s="621">
        <f>SUM(T225:T245)</f>
        <v>7175.6299999999992</v>
      </c>
      <c r="W224" s="615"/>
    </row>
    <row r="225" spans="1:21" ht="15">
      <c r="A225" s="949">
        <v>19757178</v>
      </c>
      <c r="B225" s="955" t="s">
        <v>5355</v>
      </c>
      <c r="C225" s="927" t="s">
        <v>5356</v>
      </c>
      <c r="D225" s="950" t="s">
        <v>5357</v>
      </c>
      <c r="E225" s="950"/>
      <c r="F225" s="950"/>
      <c r="G225" s="950"/>
      <c r="H225" s="950"/>
      <c r="I225" s="950"/>
      <c r="J225" s="950"/>
      <c r="K225" s="950" t="s">
        <v>5309</v>
      </c>
      <c r="L225" s="911">
        <v>50.07</v>
      </c>
      <c r="M225" s="911">
        <v>92.17</v>
      </c>
      <c r="N225" s="911">
        <v>500.55</v>
      </c>
      <c r="O225" s="911"/>
      <c r="P225" s="911">
        <v>8.68</v>
      </c>
      <c r="Q225" s="911">
        <v>64.53</v>
      </c>
      <c r="R225" s="951"/>
      <c r="S225" s="920">
        <v>89.25</v>
      </c>
      <c r="T225" s="952">
        <f t="shared" ref="T225:T244" si="6">SUM(L225:S225)</f>
        <v>805.24999999999989</v>
      </c>
      <c r="U225" s="622"/>
    </row>
    <row r="226" spans="1:21" ht="15">
      <c r="A226" s="949">
        <v>19022624</v>
      </c>
      <c r="B226" s="950" t="s">
        <v>5264</v>
      </c>
      <c r="C226" s="907" t="s">
        <v>5308</v>
      </c>
      <c r="D226" s="950">
        <v>1996</v>
      </c>
      <c r="E226" s="950">
        <v>0</v>
      </c>
      <c r="F226" s="950">
        <v>6600</v>
      </c>
      <c r="G226" s="950">
        <v>4000</v>
      </c>
      <c r="H226" s="950">
        <v>98488</v>
      </c>
      <c r="I226" s="950">
        <v>1</v>
      </c>
      <c r="J226" s="950">
        <v>0</v>
      </c>
      <c r="K226" s="950" t="s">
        <v>5309</v>
      </c>
      <c r="L226" s="911">
        <v>45.07</v>
      </c>
      <c r="M226" s="911"/>
      <c r="N226" s="911"/>
      <c r="O226" s="911"/>
      <c r="P226" s="911">
        <v>8.68</v>
      </c>
      <c r="Q226" s="911">
        <v>124.1</v>
      </c>
      <c r="R226" s="951"/>
      <c r="S226" s="920">
        <v>21.96</v>
      </c>
      <c r="T226" s="952">
        <f t="shared" si="6"/>
        <v>199.81</v>
      </c>
      <c r="U226" s="622"/>
    </row>
    <row r="227" spans="1:21" ht="15">
      <c r="A227" s="949">
        <v>19158325</v>
      </c>
      <c r="B227" s="950" t="s">
        <v>5282</v>
      </c>
      <c r="C227" s="907" t="s">
        <v>5310</v>
      </c>
      <c r="D227" s="950">
        <v>2003</v>
      </c>
      <c r="E227" s="950">
        <v>81</v>
      </c>
      <c r="F227" s="950">
        <v>2286</v>
      </c>
      <c r="G227" s="950">
        <v>0</v>
      </c>
      <c r="H227" s="950">
        <v>22000</v>
      </c>
      <c r="I227" s="950">
        <v>2</v>
      </c>
      <c r="J227" s="950">
        <v>0</v>
      </c>
      <c r="K227" s="950" t="s">
        <v>5241</v>
      </c>
      <c r="L227" s="911">
        <v>283.47000000000003</v>
      </c>
      <c r="M227" s="911"/>
      <c r="N227" s="911"/>
      <c r="O227" s="911"/>
      <c r="P227" s="911">
        <v>8.68</v>
      </c>
      <c r="Q227" s="911"/>
      <c r="R227" s="951"/>
      <c r="S227" s="920">
        <v>37.07</v>
      </c>
      <c r="T227" s="952">
        <f t="shared" si="6"/>
        <v>329.22</v>
      </c>
      <c r="U227" s="622"/>
    </row>
    <row r="228" spans="1:21" ht="15">
      <c r="A228" s="949">
        <v>19241504</v>
      </c>
      <c r="B228" s="950" t="s">
        <v>5239</v>
      </c>
      <c r="C228" s="907" t="s">
        <v>5311</v>
      </c>
      <c r="D228" s="950">
        <v>2005</v>
      </c>
      <c r="E228" s="950">
        <v>84</v>
      </c>
      <c r="F228" s="950">
        <v>2463</v>
      </c>
      <c r="G228" s="950">
        <v>0</v>
      </c>
      <c r="H228" s="950">
        <v>19906</v>
      </c>
      <c r="I228" s="950">
        <v>2</v>
      </c>
      <c r="J228" s="950">
        <v>0</v>
      </c>
      <c r="K228" s="950" t="s">
        <v>5241</v>
      </c>
      <c r="L228" s="911">
        <v>227.46</v>
      </c>
      <c r="M228" s="911"/>
      <c r="N228" s="911"/>
      <c r="O228" s="911"/>
      <c r="P228" s="911">
        <v>8.68</v>
      </c>
      <c r="Q228" s="911"/>
      <c r="R228" s="951"/>
      <c r="S228" s="920">
        <v>29.88</v>
      </c>
      <c r="T228" s="952">
        <f t="shared" si="6"/>
        <v>266.02000000000004</v>
      </c>
      <c r="U228" s="622"/>
    </row>
    <row r="229" spans="1:21" ht="15">
      <c r="A229" s="949">
        <v>19295977</v>
      </c>
      <c r="B229" s="950" t="s">
        <v>5298</v>
      </c>
      <c r="C229" s="907" t="s">
        <v>5312</v>
      </c>
      <c r="D229" s="950">
        <v>2007</v>
      </c>
      <c r="E229" s="950">
        <v>88</v>
      </c>
      <c r="F229" s="950">
        <v>0</v>
      </c>
      <c r="G229" s="950">
        <v>0</v>
      </c>
      <c r="H229" s="950">
        <v>20670</v>
      </c>
      <c r="I229" s="950">
        <v>2</v>
      </c>
      <c r="J229" s="950">
        <v>0</v>
      </c>
      <c r="K229" s="950" t="s">
        <v>5241</v>
      </c>
      <c r="L229" s="911">
        <v>304.39999999999998</v>
      </c>
      <c r="M229" s="911"/>
      <c r="N229" s="911"/>
      <c r="O229" s="911"/>
      <c r="P229" s="911">
        <v>8.68</v>
      </c>
      <c r="Q229" s="911"/>
      <c r="R229" s="951"/>
      <c r="S229" s="920">
        <v>39.770000000000003</v>
      </c>
      <c r="T229" s="952">
        <f t="shared" si="6"/>
        <v>352.84999999999997</v>
      </c>
      <c r="U229" s="622"/>
    </row>
    <row r="230" spans="1:21" ht="15">
      <c r="A230" s="949">
        <v>19327360</v>
      </c>
      <c r="B230" s="950" t="s">
        <v>5313</v>
      </c>
      <c r="C230" s="907" t="s">
        <v>5314</v>
      </c>
      <c r="D230" s="950">
        <v>2007</v>
      </c>
      <c r="E230" s="950">
        <v>55</v>
      </c>
      <c r="F230" s="950">
        <v>0</v>
      </c>
      <c r="G230" s="950">
        <v>0</v>
      </c>
      <c r="H230" s="950">
        <v>12286</v>
      </c>
      <c r="I230" s="950">
        <v>1</v>
      </c>
      <c r="J230" s="950">
        <v>0</v>
      </c>
      <c r="K230" s="950" t="s">
        <v>5241</v>
      </c>
      <c r="L230" s="911">
        <v>205.68</v>
      </c>
      <c r="M230" s="911"/>
      <c r="N230" s="911"/>
      <c r="O230" s="911"/>
      <c r="P230" s="911">
        <v>8.68</v>
      </c>
      <c r="Q230" s="911"/>
      <c r="R230" s="951"/>
      <c r="S230" s="920">
        <v>27.08</v>
      </c>
      <c r="T230" s="952">
        <f t="shared" si="6"/>
        <v>241.44</v>
      </c>
      <c r="U230" s="622"/>
    </row>
    <row r="231" spans="1:21" ht="15">
      <c r="A231" s="949">
        <v>19358287</v>
      </c>
      <c r="B231" s="950" t="s">
        <v>5315</v>
      </c>
      <c r="C231" s="907" t="s">
        <v>5316</v>
      </c>
      <c r="D231" s="950">
        <v>2008</v>
      </c>
      <c r="E231" s="950">
        <v>0</v>
      </c>
      <c r="F231" s="950">
        <v>778</v>
      </c>
      <c r="G231" s="950">
        <v>0</v>
      </c>
      <c r="H231" s="950">
        <v>5885</v>
      </c>
      <c r="I231" s="950">
        <v>0</v>
      </c>
      <c r="J231" s="950">
        <v>0</v>
      </c>
      <c r="K231" s="950" t="s">
        <v>5317</v>
      </c>
      <c r="L231" s="911">
        <v>23.55</v>
      </c>
      <c r="M231" s="911"/>
      <c r="N231" s="911"/>
      <c r="O231" s="911"/>
      <c r="P231" s="911">
        <v>3.72</v>
      </c>
      <c r="Q231" s="911"/>
      <c r="R231" s="951"/>
      <c r="S231" s="920">
        <v>3.31</v>
      </c>
      <c r="T231" s="952">
        <f t="shared" si="6"/>
        <v>30.58</v>
      </c>
      <c r="U231" s="622"/>
    </row>
    <row r="232" spans="1:21" ht="15">
      <c r="A232" s="949">
        <v>19469313</v>
      </c>
      <c r="B232" s="950" t="s">
        <v>5318</v>
      </c>
      <c r="C232" s="927" t="s">
        <v>5358</v>
      </c>
      <c r="D232" s="950">
        <v>2011</v>
      </c>
      <c r="E232" s="950">
        <v>0</v>
      </c>
      <c r="F232" s="950">
        <v>0</v>
      </c>
      <c r="G232" s="950">
        <v>0</v>
      </c>
      <c r="H232" s="950">
        <v>116997</v>
      </c>
      <c r="I232" s="950">
        <v>1</v>
      </c>
      <c r="J232" s="950">
        <v>0</v>
      </c>
      <c r="K232" s="950" t="s">
        <v>5309</v>
      </c>
      <c r="L232" s="911">
        <v>45.07</v>
      </c>
      <c r="M232" s="911"/>
      <c r="N232" s="911"/>
      <c r="O232" s="911"/>
      <c r="P232" s="911">
        <v>8.68</v>
      </c>
      <c r="Q232" s="911"/>
      <c r="R232" s="951"/>
      <c r="S232" s="920">
        <v>6.44</v>
      </c>
      <c r="T232" s="952">
        <f t="shared" si="6"/>
        <v>60.19</v>
      </c>
      <c r="U232" s="622"/>
    </row>
    <row r="233" spans="1:21" ht="15">
      <c r="A233" s="949">
        <v>19482716</v>
      </c>
      <c r="B233" s="950" t="s">
        <v>5298</v>
      </c>
      <c r="C233" s="907" t="s">
        <v>5320</v>
      </c>
      <c r="D233" s="950">
        <v>2011</v>
      </c>
      <c r="E233" s="950">
        <v>92</v>
      </c>
      <c r="F233" s="950">
        <v>0</v>
      </c>
      <c r="G233" s="950">
        <v>0</v>
      </c>
      <c r="H233" s="950">
        <v>25388</v>
      </c>
      <c r="I233" s="950">
        <v>2</v>
      </c>
      <c r="J233" s="950">
        <v>0</v>
      </c>
      <c r="K233" s="950" t="s">
        <v>5241</v>
      </c>
      <c r="L233" s="911">
        <v>316.37</v>
      </c>
      <c r="M233" s="911"/>
      <c r="N233" s="911"/>
      <c r="O233" s="911"/>
      <c r="P233" s="911">
        <v>8.68</v>
      </c>
      <c r="Q233" s="911"/>
      <c r="R233" s="951"/>
      <c r="S233" s="920">
        <v>41.31</v>
      </c>
      <c r="T233" s="952">
        <f t="shared" si="6"/>
        <v>366.36</v>
      </c>
      <c r="U233" s="622"/>
    </row>
    <row r="234" spans="1:21" ht="15">
      <c r="A234" s="949">
        <v>19483528</v>
      </c>
      <c r="B234" s="950" t="s">
        <v>5239</v>
      </c>
      <c r="C234" s="907" t="s">
        <v>5321</v>
      </c>
      <c r="D234" s="950">
        <v>2011</v>
      </c>
      <c r="E234" s="950">
        <v>50</v>
      </c>
      <c r="F234" s="950">
        <v>0</v>
      </c>
      <c r="G234" s="950">
        <v>0</v>
      </c>
      <c r="H234" s="950">
        <v>9952</v>
      </c>
      <c r="I234" s="950">
        <v>2</v>
      </c>
      <c r="J234" s="950">
        <v>0</v>
      </c>
      <c r="K234" s="950" t="s">
        <v>5241</v>
      </c>
      <c r="L234" s="911">
        <v>148.33000000000001</v>
      </c>
      <c r="M234" s="911"/>
      <c r="N234" s="911"/>
      <c r="O234" s="911"/>
      <c r="P234" s="911">
        <v>8.68</v>
      </c>
      <c r="Q234" s="911"/>
      <c r="R234" s="951"/>
      <c r="S234" s="920">
        <v>19.71</v>
      </c>
      <c r="T234" s="952">
        <f t="shared" si="6"/>
        <v>176.72000000000003</v>
      </c>
      <c r="U234" s="622"/>
    </row>
    <row r="235" spans="1:21" ht="15">
      <c r="A235" s="949">
        <v>19488216</v>
      </c>
      <c r="B235" s="950" t="s">
        <v>5322</v>
      </c>
      <c r="C235" s="907" t="s">
        <v>5323</v>
      </c>
      <c r="D235" s="950">
        <v>2011</v>
      </c>
      <c r="E235" s="950">
        <v>0</v>
      </c>
      <c r="F235" s="950">
        <v>0</v>
      </c>
      <c r="G235" s="950">
        <v>0</v>
      </c>
      <c r="H235" s="950">
        <v>116997</v>
      </c>
      <c r="I235" s="950">
        <v>1</v>
      </c>
      <c r="J235" s="950">
        <v>0</v>
      </c>
      <c r="K235" s="950" t="s">
        <v>5309</v>
      </c>
      <c r="L235" s="911">
        <v>42.81</v>
      </c>
      <c r="M235" s="911">
        <v>168.49</v>
      </c>
      <c r="N235" s="911">
        <v>878.14</v>
      </c>
      <c r="O235" s="911"/>
      <c r="P235" s="911">
        <v>8.68</v>
      </c>
      <c r="Q235" s="911">
        <v>117.95</v>
      </c>
      <c r="R235" s="951"/>
      <c r="S235" s="920">
        <v>151.72999999999999</v>
      </c>
      <c r="T235" s="952">
        <f t="shared" si="6"/>
        <v>1367.8000000000002</v>
      </c>
      <c r="U235" s="622"/>
    </row>
    <row r="236" spans="1:21" ht="15">
      <c r="A236" s="949">
        <v>2307261</v>
      </c>
      <c r="B236" s="950" t="s">
        <v>5328</v>
      </c>
      <c r="C236" s="907" t="s">
        <v>5329</v>
      </c>
      <c r="D236" s="950">
        <v>1999</v>
      </c>
      <c r="E236" s="950">
        <v>44</v>
      </c>
      <c r="F236" s="950">
        <v>1700</v>
      </c>
      <c r="G236" s="950">
        <v>0</v>
      </c>
      <c r="H236" s="950">
        <v>9916</v>
      </c>
      <c r="I236" s="950">
        <v>2</v>
      </c>
      <c r="J236" s="950">
        <v>0</v>
      </c>
      <c r="K236" s="950" t="s">
        <v>5241</v>
      </c>
      <c r="L236" s="911">
        <v>134.37</v>
      </c>
      <c r="M236" s="911"/>
      <c r="N236" s="911"/>
      <c r="O236" s="911"/>
      <c r="P236" s="911">
        <v>8.68</v>
      </c>
      <c r="Q236" s="911"/>
      <c r="R236" s="951"/>
      <c r="S236" s="920">
        <v>17.920000000000002</v>
      </c>
      <c r="T236" s="952">
        <f t="shared" si="6"/>
        <v>160.97000000000003</v>
      </c>
      <c r="U236" s="622"/>
    </row>
    <row r="237" spans="1:21" ht="15">
      <c r="A237" s="949">
        <v>19057412</v>
      </c>
      <c r="B237" s="950" t="s">
        <v>5330</v>
      </c>
      <c r="C237" s="907" t="s">
        <v>5331</v>
      </c>
      <c r="D237" s="950">
        <v>2000</v>
      </c>
      <c r="E237" s="950">
        <v>0</v>
      </c>
      <c r="F237" s="950">
        <v>0</v>
      </c>
      <c r="G237" s="950">
        <v>0</v>
      </c>
      <c r="H237" s="950">
        <v>24789</v>
      </c>
      <c r="I237" s="950">
        <v>0</v>
      </c>
      <c r="J237" s="950">
        <v>0</v>
      </c>
      <c r="K237" s="950" t="s">
        <v>5332</v>
      </c>
      <c r="L237" s="911">
        <v>77.709999999999994</v>
      </c>
      <c r="M237" s="911"/>
      <c r="N237" s="911"/>
      <c r="O237" s="911">
        <v>24.79</v>
      </c>
      <c r="P237" s="911">
        <v>8.68</v>
      </c>
      <c r="Q237" s="911">
        <v>25.81</v>
      </c>
      <c r="R237" s="951"/>
      <c r="S237" s="920">
        <v>16.97</v>
      </c>
      <c r="T237" s="952">
        <f t="shared" si="6"/>
        <v>153.96</v>
      </c>
      <c r="U237" s="622"/>
    </row>
    <row r="238" spans="1:21" ht="15">
      <c r="A238" s="949">
        <v>19677178</v>
      </c>
      <c r="B238" s="921" t="s">
        <v>5333</v>
      </c>
      <c r="C238" s="907" t="s">
        <v>5334</v>
      </c>
      <c r="D238" s="950"/>
      <c r="E238" s="950"/>
      <c r="F238" s="950"/>
      <c r="G238" s="950"/>
      <c r="H238" s="950"/>
      <c r="I238" s="950"/>
      <c r="J238" s="950"/>
      <c r="K238" s="950" t="s">
        <v>5335</v>
      </c>
      <c r="L238" s="911">
        <v>35.049999999999997</v>
      </c>
      <c r="M238" s="911"/>
      <c r="N238" s="911"/>
      <c r="O238" s="911"/>
      <c r="P238" s="911">
        <v>8.68</v>
      </c>
      <c r="Q238" s="911"/>
      <c r="R238" s="951"/>
      <c r="S238" s="920">
        <v>5.15</v>
      </c>
      <c r="T238" s="952">
        <f t="shared" si="6"/>
        <v>48.879999999999995</v>
      </c>
      <c r="U238" s="622"/>
    </row>
    <row r="239" spans="1:21" ht="15">
      <c r="A239" s="949">
        <v>19770680</v>
      </c>
      <c r="B239" s="955" t="s">
        <v>5363</v>
      </c>
      <c r="C239" s="927" t="s">
        <v>5364</v>
      </c>
      <c r="D239" s="950"/>
      <c r="E239" s="950"/>
      <c r="F239" s="950"/>
      <c r="G239" s="950"/>
      <c r="H239" s="950"/>
      <c r="I239" s="950"/>
      <c r="J239" s="950"/>
      <c r="K239" s="955"/>
      <c r="L239" s="911">
        <v>287.95</v>
      </c>
      <c r="M239" s="911">
        <v>25.71</v>
      </c>
      <c r="N239" s="911"/>
      <c r="O239" s="911">
        <v>24.79</v>
      </c>
      <c r="P239" s="911">
        <v>8.68</v>
      </c>
      <c r="Q239" s="911">
        <v>18</v>
      </c>
      <c r="R239" s="951"/>
      <c r="S239" s="920">
        <v>46.23</v>
      </c>
      <c r="T239" s="952">
        <f t="shared" si="6"/>
        <v>411.36</v>
      </c>
      <c r="U239" s="622"/>
    </row>
    <row r="240" spans="1:21" ht="15">
      <c r="A240" s="949">
        <v>19776374</v>
      </c>
      <c r="B240" s="955" t="s">
        <v>5282</v>
      </c>
      <c r="C240" s="927" t="s">
        <v>5365</v>
      </c>
      <c r="D240" s="950"/>
      <c r="E240" s="950"/>
      <c r="F240" s="950"/>
      <c r="G240" s="950"/>
      <c r="H240" s="950"/>
      <c r="I240" s="950"/>
      <c r="J240" s="950"/>
      <c r="K240" s="955"/>
      <c r="L240" s="911">
        <v>264.69</v>
      </c>
      <c r="M240" s="911">
        <v>62.44</v>
      </c>
      <c r="N240" s="911">
        <v>374.12</v>
      </c>
      <c r="O240" s="911"/>
      <c r="P240" s="911">
        <v>8.68</v>
      </c>
      <c r="Q240" s="911">
        <v>62.44</v>
      </c>
      <c r="R240" s="951"/>
      <c r="S240" s="920">
        <v>97.03</v>
      </c>
      <c r="T240" s="952">
        <f t="shared" si="6"/>
        <v>869.39999999999986</v>
      </c>
      <c r="U240" s="622"/>
    </row>
    <row r="241" spans="1:21" ht="15">
      <c r="A241" s="949">
        <v>19774565</v>
      </c>
      <c r="B241" s="955" t="s">
        <v>5366</v>
      </c>
      <c r="C241" s="927" t="s">
        <v>5367</v>
      </c>
      <c r="D241" s="950"/>
      <c r="E241" s="950"/>
      <c r="F241" s="950"/>
      <c r="G241" s="950"/>
      <c r="H241" s="950"/>
      <c r="I241" s="950"/>
      <c r="J241" s="950"/>
      <c r="K241" s="955"/>
      <c r="L241" s="911">
        <v>265.82</v>
      </c>
      <c r="M241" s="911">
        <v>23.7</v>
      </c>
      <c r="N241" s="911"/>
      <c r="O241" s="911">
        <v>24.79</v>
      </c>
      <c r="P241" s="911">
        <v>8.68</v>
      </c>
      <c r="Q241" s="911">
        <v>18.96</v>
      </c>
      <c r="R241" s="951"/>
      <c r="S241" s="920">
        <v>43.25</v>
      </c>
      <c r="T241" s="952">
        <f t="shared" si="6"/>
        <v>385.2</v>
      </c>
      <c r="U241" s="622"/>
    </row>
    <row r="242" spans="1:21" ht="15">
      <c r="A242" s="949">
        <v>19814661</v>
      </c>
      <c r="B242" s="955" t="s">
        <v>5371</v>
      </c>
      <c r="C242" s="927" t="s">
        <v>5372</v>
      </c>
      <c r="D242" s="950"/>
      <c r="E242" s="950"/>
      <c r="F242" s="950"/>
      <c r="G242" s="950"/>
      <c r="H242" s="950"/>
      <c r="I242" s="950"/>
      <c r="J242" s="950"/>
      <c r="K242" s="955"/>
      <c r="L242" s="911">
        <v>436.66</v>
      </c>
      <c r="M242" s="911"/>
      <c r="N242" s="911"/>
      <c r="O242" s="911"/>
      <c r="P242" s="911">
        <v>8.68</v>
      </c>
      <c r="Q242" s="911"/>
      <c r="R242" s="951"/>
      <c r="S242" s="920">
        <v>56.76</v>
      </c>
      <c r="T242" s="952">
        <f t="shared" si="6"/>
        <v>502.1</v>
      </c>
      <c r="U242" s="622"/>
    </row>
    <row r="243" spans="1:21" ht="15">
      <c r="A243" s="949">
        <v>19828023</v>
      </c>
      <c r="B243" s="955" t="s">
        <v>5291</v>
      </c>
      <c r="C243" s="927" t="s">
        <v>5373</v>
      </c>
      <c r="D243" s="950"/>
      <c r="E243" s="950"/>
      <c r="F243" s="950"/>
      <c r="G243" s="950"/>
      <c r="H243" s="950"/>
      <c r="I243" s="950"/>
      <c r="J243" s="950"/>
      <c r="K243" s="955"/>
      <c r="L243" s="911">
        <v>251.97</v>
      </c>
      <c r="M243" s="911">
        <v>15.49</v>
      </c>
      <c r="N243" s="911"/>
      <c r="O243" s="911">
        <v>24.19</v>
      </c>
      <c r="P243" s="911">
        <v>8.68</v>
      </c>
      <c r="Q243" s="911">
        <v>10.83</v>
      </c>
      <c r="R243" s="951"/>
      <c r="S243" s="920">
        <v>39.33</v>
      </c>
      <c r="T243" s="952">
        <f t="shared" si="6"/>
        <v>350.48999999999995</v>
      </c>
      <c r="U243" s="622"/>
    </row>
    <row r="244" spans="1:21" ht="15">
      <c r="A244" s="949">
        <v>19805234</v>
      </c>
      <c r="B244" s="955" t="s">
        <v>5374</v>
      </c>
      <c r="C244" s="927" t="s">
        <v>5375</v>
      </c>
      <c r="D244" s="950"/>
      <c r="E244" s="950"/>
      <c r="F244" s="950"/>
      <c r="G244" s="950"/>
      <c r="H244" s="950"/>
      <c r="I244" s="950"/>
      <c r="J244" s="950"/>
      <c r="K244" s="955"/>
      <c r="L244" s="911">
        <v>77.709999999999994</v>
      </c>
      <c r="M244" s="911"/>
      <c r="N244" s="911"/>
      <c r="O244" s="911"/>
      <c r="P244" s="911">
        <v>8.68</v>
      </c>
      <c r="Q244" s="911"/>
      <c r="R244" s="951"/>
      <c r="S244" s="920">
        <v>10.64</v>
      </c>
      <c r="T244" s="952">
        <f t="shared" si="6"/>
        <v>97.029999999999987</v>
      </c>
      <c r="U244" s="622"/>
    </row>
    <row r="245" spans="1:21" ht="15">
      <c r="A245" s="949"/>
      <c r="B245" s="950"/>
      <c r="C245" s="907"/>
      <c r="D245" s="950"/>
      <c r="E245" s="950"/>
      <c r="F245" s="950"/>
      <c r="G245" s="950"/>
      <c r="H245" s="950"/>
      <c r="I245" s="950"/>
      <c r="J245" s="950"/>
      <c r="K245" s="950"/>
      <c r="L245" s="911"/>
      <c r="M245" s="911"/>
      <c r="N245" s="911"/>
      <c r="O245" s="911"/>
      <c r="P245" s="911"/>
      <c r="Q245" s="911"/>
      <c r="R245" s="951"/>
      <c r="S245" s="920"/>
      <c r="T245" s="952"/>
      <c r="U245" s="622"/>
    </row>
    <row r="246" spans="1:21" ht="15">
      <c r="A246" s="2517" t="s">
        <v>5336</v>
      </c>
      <c r="B246" s="2518"/>
      <c r="C246" s="2519"/>
      <c r="D246" s="2518"/>
      <c r="E246" s="2518"/>
      <c r="F246" s="2518"/>
      <c r="G246" s="2518"/>
      <c r="H246" s="2518"/>
      <c r="I246" s="2518"/>
      <c r="J246" s="2518"/>
      <c r="K246" s="2520" t="s">
        <v>5337</v>
      </c>
      <c r="L246" s="2521"/>
      <c r="M246" s="2521"/>
      <c r="N246" s="2521"/>
      <c r="O246" s="2521"/>
      <c r="P246" s="2521"/>
      <c r="Q246" s="2521"/>
      <c r="R246" s="2522"/>
      <c r="S246" s="2523"/>
      <c r="T246" s="2524"/>
      <c r="U246" s="621">
        <f>SUM(T247)</f>
        <v>366.21000000000004</v>
      </c>
    </row>
    <row r="247" spans="1:21" ht="15">
      <c r="A247" s="949">
        <v>19540416</v>
      </c>
      <c r="B247" s="950" t="s">
        <v>5277</v>
      </c>
      <c r="C247" s="907" t="s">
        <v>5338</v>
      </c>
      <c r="D247" s="950">
        <v>2013</v>
      </c>
      <c r="E247" s="950">
        <v>96</v>
      </c>
      <c r="F247" s="950">
        <v>2198</v>
      </c>
      <c r="G247" s="950">
        <v>0</v>
      </c>
      <c r="H247" s="950">
        <v>24590</v>
      </c>
      <c r="I247" s="950">
        <v>2</v>
      </c>
      <c r="J247" s="950">
        <v>1</v>
      </c>
      <c r="K247" s="950" t="s">
        <v>5241</v>
      </c>
      <c r="L247" s="911">
        <v>312.13</v>
      </c>
      <c r="M247" s="911">
        <v>1.58</v>
      </c>
      <c r="N247" s="911"/>
      <c r="O247" s="911">
        <v>1.43</v>
      </c>
      <c r="P247" s="911">
        <v>8.68</v>
      </c>
      <c r="Q247" s="911">
        <v>1.1100000000000001</v>
      </c>
      <c r="R247" s="951"/>
      <c r="S247" s="920">
        <v>41.28</v>
      </c>
      <c r="T247" s="952">
        <f>SUM(L247:S247)</f>
        <v>366.21000000000004</v>
      </c>
      <c r="U247" s="622"/>
    </row>
    <row r="248" spans="1:21" ht="15">
      <c r="A248" s="949"/>
      <c r="B248" s="950"/>
      <c r="C248" s="907"/>
      <c r="D248" s="950"/>
      <c r="E248" s="950"/>
      <c r="F248" s="950"/>
      <c r="G248" s="950"/>
      <c r="H248" s="950"/>
      <c r="I248" s="950"/>
      <c r="J248" s="950"/>
      <c r="K248" s="950"/>
      <c r="L248" s="911"/>
      <c r="M248" s="911"/>
      <c r="N248" s="911"/>
      <c r="O248" s="911"/>
      <c r="P248" s="911"/>
      <c r="Q248" s="911"/>
      <c r="R248" s="951"/>
      <c r="S248" s="920"/>
      <c r="T248" s="952"/>
      <c r="U248" s="622"/>
    </row>
    <row r="249" spans="1:21" ht="15">
      <c r="A249" s="2517" t="s">
        <v>5339</v>
      </c>
      <c r="B249" s="2518"/>
      <c r="C249" s="2519"/>
      <c r="D249" s="2518"/>
      <c r="E249" s="2518"/>
      <c r="F249" s="2518"/>
      <c r="G249" s="2518"/>
      <c r="H249" s="2518"/>
      <c r="I249" s="2518"/>
      <c r="J249" s="2518"/>
      <c r="K249" s="2520" t="s">
        <v>5340</v>
      </c>
      <c r="L249" s="2521"/>
      <c r="M249" s="2521"/>
      <c r="N249" s="2521"/>
      <c r="O249" s="2521"/>
      <c r="P249" s="2521"/>
      <c r="Q249" s="2521"/>
      <c r="R249" s="2522"/>
      <c r="S249" s="2523"/>
      <c r="T249" s="2524"/>
      <c r="U249" s="621">
        <f>SUM(T250:T251)</f>
        <v>546.43000000000006</v>
      </c>
    </row>
    <row r="250" spans="1:21" ht="15">
      <c r="A250" s="949">
        <v>19046300</v>
      </c>
      <c r="B250" s="950" t="s">
        <v>5341</v>
      </c>
      <c r="C250" s="907" t="s">
        <v>5228</v>
      </c>
      <c r="D250" s="950">
        <v>1999</v>
      </c>
      <c r="E250" s="950">
        <v>0</v>
      </c>
      <c r="F250" s="950">
        <v>0</v>
      </c>
      <c r="G250" s="950">
        <v>2000</v>
      </c>
      <c r="H250" s="950">
        <v>7437</v>
      </c>
      <c r="I250" s="950">
        <v>0</v>
      </c>
      <c r="J250" s="950">
        <v>0</v>
      </c>
      <c r="K250" s="950" t="s">
        <v>5238</v>
      </c>
      <c r="L250" s="911">
        <v>16.559999999999999</v>
      </c>
      <c r="M250" s="911"/>
      <c r="N250" s="911"/>
      <c r="O250" s="911"/>
      <c r="P250" s="911"/>
      <c r="Q250" s="911"/>
      <c r="R250" s="951"/>
      <c r="S250" s="920">
        <v>2.13</v>
      </c>
      <c r="T250" s="952">
        <f>SUM(L250:S250)</f>
        <v>18.689999999999998</v>
      </c>
      <c r="U250" s="622"/>
    </row>
    <row r="251" spans="1:21" ht="15">
      <c r="A251" s="949">
        <v>19546172</v>
      </c>
      <c r="B251" s="950" t="s">
        <v>5342</v>
      </c>
      <c r="C251" s="907" t="s">
        <v>5343</v>
      </c>
      <c r="D251" s="950">
        <v>2013</v>
      </c>
      <c r="E251" s="950">
        <v>110</v>
      </c>
      <c r="F251" s="950">
        <v>0</v>
      </c>
      <c r="G251" s="950">
        <v>0</v>
      </c>
      <c r="H251" s="950">
        <v>24051</v>
      </c>
      <c r="I251" s="950">
        <v>6</v>
      </c>
      <c r="J251" s="950">
        <v>1</v>
      </c>
      <c r="K251" s="950" t="s">
        <v>5241</v>
      </c>
      <c r="L251" s="911">
        <v>459.38</v>
      </c>
      <c r="M251" s="911"/>
      <c r="N251" s="911"/>
      <c r="O251" s="911"/>
      <c r="P251" s="911">
        <v>8.68</v>
      </c>
      <c r="Q251" s="911"/>
      <c r="R251" s="951"/>
      <c r="S251" s="920">
        <v>59.68</v>
      </c>
      <c r="T251" s="952">
        <f>SUM(L251:S251)</f>
        <v>527.74</v>
      </c>
      <c r="U251" s="622"/>
    </row>
    <row r="252" spans="1:21" ht="15">
      <c r="A252" s="949"/>
      <c r="B252" s="950"/>
      <c r="C252" s="907"/>
      <c r="D252" s="950"/>
      <c r="E252" s="950"/>
      <c r="F252" s="950"/>
      <c r="G252" s="950"/>
      <c r="H252" s="950"/>
      <c r="I252" s="950"/>
      <c r="J252" s="950"/>
      <c r="K252" s="950"/>
      <c r="L252" s="911"/>
      <c r="M252" s="911"/>
      <c r="N252" s="911"/>
      <c r="O252" s="911"/>
      <c r="P252" s="911"/>
      <c r="Q252" s="911"/>
      <c r="R252" s="951"/>
      <c r="S252" s="920"/>
      <c r="T252" s="952"/>
      <c r="U252" s="622"/>
    </row>
    <row r="253" spans="1:21" ht="15">
      <c r="A253" s="2517" t="s">
        <v>5344</v>
      </c>
      <c r="B253" s="2518"/>
      <c r="C253" s="2519"/>
      <c r="D253" s="2518"/>
      <c r="E253" s="2518"/>
      <c r="F253" s="2518"/>
      <c r="G253" s="2518"/>
      <c r="H253" s="2518"/>
      <c r="I253" s="2518"/>
      <c r="J253" s="2518"/>
      <c r="K253" s="2520" t="s">
        <v>1867</v>
      </c>
      <c r="L253" s="2521"/>
      <c r="M253" s="2521"/>
      <c r="N253" s="2521"/>
      <c r="O253" s="2521"/>
      <c r="P253" s="2521"/>
      <c r="Q253" s="2521"/>
      <c r="R253" s="2522"/>
      <c r="S253" s="2523"/>
      <c r="T253" s="2524"/>
      <c r="U253" s="621">
        <f>SUM(T254:T255)</f>
        <v>499.78</v>
      </c>
    </row>
    <row r="254" spans="1:21" ht="15">
      <c r="A254" s="949">
        <v>19602525</v>
      </c>
      <c r="B254" s="950" t="s">
        <v>5345</v>
      </c>
      <c r="C254" s="907" t="s">
        <v>5346</v>
      </c>
      <c r="D254" s="950"/>
      <c r="E254" s="950"/>
      <c r="F254" s="950"/>
      <c r="G254" s="950"/>
      <c r="H254" s="950"/>
      <c r="I254" s="950"/>
      <c r="J254" s="950"/>
      <c r="K254" s="950" t="s">
        <v>5347</v>
      </c>
      <c r="L254" s="911">
        <v>159.97999999999999</v>
      </c>
      <c r="M254" s="911">
        <v>16.809999999999999</v>
      </c>
      <c r="N254" s="911"/>
      <c r="O254" s="911">
        <v>24.79</v>
      </c>
      <c r="P254" s="911">
        <v>8.68</v>
      </c>
      <c r="Q254" s="911">
        <v>11.75</v>
      </c>
      <c r="R254" s="951"/>
      <c r="S254" s="920">
        <v>27.88</v>
      </c>
      <c r="T254" s="952">
        <f>SUM(L254:S254)</f>
        <v>249.89</v>
      </c>
      <c r="U254" s="622"/>
    </row>
    <row r="255" spans="1:21" ht="15">
      <c r="A255" s="949">
        <v>19602527</v>
      </c>
      <c r="B255" s="950" t="s">
        <v>5345</v>
      </c>
      <c r="C255" s="907" t="s">
        <v>5348</v>
      </c>
      <c r="D255" s="950"/>
      <c r="E255" s="950"/>
      <c r="F255" s="950"/>
      <c r="G255" s="950"/>
      <c r="H255" s="950"/>
      <c r="I255" s="950"/>
      <c r="J255" s="950"/>
      <c r="K255" s="950" t="s">
        <v>5347</v>
      </c>
      <c r="L255" s="911">
        <v>159.97999999999999</v>
      </c>
      <c r="M255" s="911">
        <v>16.809999999999999</v>
      </c>
      <c r="N255" s="911"/>
      <c r="O255" s="911">
        <v>24.79</v>
      </c>
      <c r="P255" s="911">
        <v>8.68</v>
      </c>
      <c r="Q255" s="911">
        <v>11.75</v>
      </c>
      <c r="R255" s="951"/>
      <c r="S255" s="920">
        <v>27.88</v>
      </c>
      <c r="T255" s="952">
        <f>SUM(L255:S255)</f>
        <v>249.89</v>
      </c>
      <c r="U255" s="622"/>
    </row>
    <row r="256" spans="1:21" ht="15.75" thickBot="1">
      <c r="A256" s="949"/>
      <c r="B256" s="950"/>
      <c r="C256" s="907"/>
      <c r="D256" s="950"/>
      <c r="E256" s="950"/>
      <c r="F256" s="950"/>
      <c r="G256" s="950"/>
      <c r="H256" s="950"/>
      <c r="I256" s="950"/>
      <c r="J256" s="950"/>
      <c r="K256" s="950"/>
      <c r="L256" s="911"/>
      <c r="M256" s="911"/>
      <c r="N256" s="911"/>
      <c r="O256" s="911"/>
      <c r="P256" s="911"/>
      <c r="Q256" s="911"/>
      <c r="R256" s="951"/>
      <c r="S256" s="920"/>
      <c r="T256" s="952"/>
      <c r="U256" s="622"/>
    </row>
    <row r="257" spans="1:25" ht="15.75" thickBot="1">
      <c r="A257" s="957"/>
      <c r="B257" s="957"/>
      <c r="C257" s="958"/>
      <c r="D257" s="957"/>
      <c r="E257" s="957"/>
      <c r="F257" s="957"/>
      <c r="G257" s="957"/>
      <c r="H257" s="957"/>
      <c r="I257" s="957"/>
      <c r="J257" s="957"/>
      <c r="K257" s="957"/>
      <c r="L257" s="2502">
        <f t="shared" ref="L257:U257" si="7">SUM(L182:L256)</f>
        <v>10046.629999999996</v>
      </c>
      <c r="M257" s="2502">
        <f t="shared" si="7"/>
        <v>1156.3699999999999</v>
      </c>
      <c r="N257" s="2502">
        <f t="shared" si="7"/>
        <v>4168.95</v>
      </c>
      <c r="O257" s="2502">
        <f t="shared" si="7"/>
        <v>874.35999999999979</v>
      </c>
      <c r="P257" s="2502">
        <f t="shared" si="7"/>
        <v>430.23000000000025</v>
      </c>
      <c r="Q257" s="2502">
        <f t="shared" si="7"/>
        <v>1191.8499999999999</v>
      </c>
      <c r="R257" s="2502">
        <f t="shared" si="7"/>
        <v>0</v>
      </c>
      <c r="S257" s="2502">
        <f t="shared" si="7"/>
        <v>2527.0100000000007</v>
      </c>
      <c r="T257" s="2502">
        <f t="shared" si="7"/>
        <v>20395.399999999994</v>
      </c>
      <c r="U257" s="2502">
        <f t="shared" si="7"/>
        <v>20395.399999999998</v>
      </c>
      <c r="W257" s="615"/>
    </row>
    <row r="259" spans="1:25">
      <c r="B259" s="610" t="s">
        <v>5376</v>
      </c>
    </row>
    <row r="260" spans="1:25" ht="13.5" thickBot="1"/>
    <row r="261" spans="1:25" ht="15.75" thickBot="1">
      <c r="A261" s="4894" t="s">
        <v>5206</v>
      </c>
      <c r="B261" s="4895"/>
      <c r="C261" s="4895"/>
      <c r="D261" s="4895"/>
      <c r="E261" s="4895"/>
      <c r="F261" s="4895"/>
      <c r="G261" s="4895"/>
      <c r="H261" s="4895"/>
      <c r="I261" s="4895"/>
      <c r="J261" s="4895"/>
      <c r="K261" s="4895"/>
      <c r="L261" s="4896" t="s">
        <v>5207</v>
      </c>
      <c r="M261" s="4897"/>
      <c r="N261" s="4897"/>
      <c r="O261" s="4897"/>
      <c r="P261" s="4897"/>
      <c r="Q261" s="4897"/>
      <c r="R261" s="4898"/>
      <c r="S261" s="617"/>
      <c r="T261" s="941"/>
      <c r="U261" s="622"/>
      <c r="V261" s="610" t="s">
        <v>5377</v>
      </c>
      <c r="Y261" s="523" t="s">
        <v>2953</v>
      </c>
    </row>
    <row r="262" spans="1:25" ht="30">
      <c r="A262" s="2494" t="s">
        <v>5208</v>
      </c>
      <c r="B262" s="2495" t="s">
        <v>5209</v>
      </c>
      <c r="C262" s="2495" t="s">
        <v>5210</v>
      </c>
      <c r="D262" s="2495" t="s">
        <v>634</v>
      </c>
      <c r="E262" s="2495" t="s">
        <v>5211</v>
      </c>
      <c r="F262" s="2495" t="s">
        <v>5212</v>
      </c>
      <c r="G262" s="2495" t="s">
        <v>5213</v>
      </c>
      <c r="H262" s="2496" t="s">
        <v>5214</v>
      </c>
      <c r="I262" s="2495" t="s">
        <v>5215</v>
      </c>
      <c r="J262" s="2495" t="s">
        <v>5216</v>
      </c>
      <c r="K262" s="2495" t="s">
        <v>5217</v>
      </c>
      <c r="L262" s="2497" t="s">
        <v>5218</v>
      </c>
      <c r="M262" s="2497" t="s">
        <v>5219</v>
      </c>
      <c r="N262" s="2497" t="s">
        <v>5220</v>
      </c>
      <c r="O262" s="2497" t="s">
        <v>5221</v>
      </c>
      <c r="P262" s="2498" t="s">
        <v>5222</v>
      </c>
      <c r="Q262" s="2497" t="s">
        <v>5223</v>
      </c>
      <c r="R262" s="2499" t="s">
        <v>5224</v>
      </c>
      <c r="S262" s="2500" t="s">
        <v>5225</v>
      </c>
      <c r="T262" s="2501" t="s">
        <v>8</v>
      </c>
      <c r="U262" s="622"/>
    </row>
    <row r="263" spans="1:25" ht="15">
      <c r="A263" s="942"/>
      <c r="B263" s="944"/>
      <c r="C263" s="943"/>
      <c r="D263" s="944"/>
      <c r="E263" s="944"/>
      <c r="F263" s="944"/>
      <c r="G263" s="944"/>
      <c r="H263" s="945"/>
      <c r="I263" s="944"/>
      <c r="J263" s="944"/>
      <c r="K263" s="944"/>
      <c r="L263" s="946"/>
      <c r="M263" s="946"/>
      <c r="N263" s="946"/>
      <c r="O263" s="946"/>
      <c r="P263" s="946"/>
      <c r="Q263" s="946"/>
      <c r="R263" s="947"/>
      <c r="S263" s="920"/>
      <c r="T263" s="948"/>
      <c r="U263" s="622"/>
      <c r="V263" s="608"/>
    </row>
    <row r="264" spans="1:25" ht="15">
      <c r="A264" s="2516" t="s">
        <v>4743</v>
      </c>
      <c r="B264" s="2525"/>
      <c r="C264" s="2526"/>
      <c r="D264" s="2525"/>
      <c r="E264" s="2525"/>
      <c r="F264" s="2525"/>
      <c r="G264" s="2525"/>
      <c r="H264" s="2527"/>
      <c r="I264" s="2525"/>
      <c r="J264" s="2525"/>
      <c r="K264" s="2526" t="s">
        <v>5378</v>
      </c>
      <c r="L264" s="2528"/>
      <c r="M264" s="2528"/>
      <c r="N264" s="2528"/>
      <c r="O264" s="2528"/>
      <c r="P264" s="2528"/>
      <c r="Q264" s="2528"/>
      <c r="R264" s="2529"/>
      <c r="S264" s="2523"/>
      <c r="T264" s="2530"/>
      <c r="U264" s="621">
        <f>SUM(T265:T266)</f>
        <v>5471.27</v>
      </c>
      <c r="V264" s="615">
        <f>U349</f>
        <v>-45.74</v>
      </c>
      <c r="W264" s="615">
        <f>U264+V264</f>
        <v>5425.5300000000007</v>
      </c>
      <c r="Y264" s="523">
        <f>SUM(Y265:Y268)</f>
        <v>356.90999999999997</v>
      </c>
    </row>
    <row r="265" spans="1:25" ht="15">
      <c r="A265" s="949">
        <v>19157693</v>
      </c>
      <c r="B265" s="950" t="s">
        <v>5230</v>
      </c>
      <c r="C265" s="907" t="s">
        <v>5231</v>
      </c>
      <c r="D265" s="950">
        <v>2003</v>
      </c>
      <c r="E265" s="950">
        <v>51</v>
      </c>
      <c r="F265" s="950">
        <v>1868</v>
      </c>
      <c r="G265" s="950">
        <v>0</v>
      </c>
      <c r="H265" s="950">
        <v>8529</v>
      </c>
      <c r="I265" s="950">
        <v>4</v>
      </c>
      <c r="J265" s="950">
        <v>0</v>
      </c>
      <c r="K265" s="950" t="s">
        <v>5232</v>
      </c>
      <c r="L265" s="911">
        <v>142.36000000000001</v>
      </c>
      <c r="M265" s="911"/>
      <c r="N265" s="911"/>
      <c r="O265" s="911"/>
      <c r="P265" s="911">
        <v>14.87</v>
      </c>
      <c r="Q265" s="911"/>
      <c r="R265" s="951"/>
      <c r="S265" s="920">
        <v>26.54</v>
      </c>
      <c r="T265" s="952">
        <f>SUM(L265:S265)</f>
        <v>183.77</v>
      </c>
      <c r="U265" s="622"/>
      <c r="V265" s="615"/>
    </row>
    <row r="266" spans="1:25" ht="15">
      <c r="A266" s="953"/>
      <c r="B266" s="954" t="s">
        <v>5233</v>
      </c>
      <c r="C266" s="914"/>
      <c r="D266" s="954"/>
      <c r="E266" s="954"/>
      <c r="F266" s="954"/>
      <c r="G266" s="954"/>
      <c r="H266" s="954"/>
      <c r="I266" s="954"/>
      <c r="J266" s="954"/>
      <c r="K266" s="954" t="s">
        <v>5234</v>
      </c>
      <c r="L266" s="916"/>
      <c r="M266" s="916">
        <v>700</v>
      </c>
      <c r="N266" s="916">
        <v>2400</v>
      </c>
      <c r="O266" s="916">
        <v>700</v>
      </c>
      <c r="P266" s="916"/>
      <c r="Q266" s="916">
        <v>700</v>
      </c>
      <c r="R266" s="951"/>
      <c r="S266" s="920">
        <v>787.5</v>
      </c>
      <c r="T266" s="952">
        <f>SUM(L266:S266)</f>
        <v>5287.5</v>
      </c>
      <c r="U266" s="622"/>
      <c r="V266" s="608"/>
    </row>
    <row r="267" spans="1:25" ht="15">
      <c r="A267" s="953"/>
      <c r="B267" s="3533" t="s">
        <v>8153</v>
      </c>
      <c r="C267" s="914"/>
      <c r="D267" s="954"/>
      <c r="E267" s="954"/>
      <c r="F267" s="954"/>
      <c r="G267" s="954"/>
      <c r="H267" s="954"/>
      <c r="I267" s="954"/>
      <c r="J267" s="954"/>
      <c r="K267" s="954"/>
      <c r="L267" s="916"/>
      <c r="M267" s="916"/>
      <c r="N267" s="916"/>
      <c r="O267" s="916"/>
      <c r="P267" s="916"/>
      <c r="Q267" s="916"/>
      <c r="R267" s="951"/>
      <c r="S267" s="920"/>
      <c r="T267" s="952"/>
      <c r="U267" s="622"/>
      <c r="V267" s="608"/>
      <c r="Y267" s="520">
        <f>35.42+184.83+96.15+40.51</f>
        <v>356.90999999999997</v>
      </c>
    </row>
    <row r="268" spans="1:25" ht="15">
      <c r="A268" s="953"/>
      <c r="B268" s="954"/>
      <c r="C268" s="914"/>
      <c r="D268" s="954"/>
      <c r="E268" s="954"/>
      <c r="F268" s="954"/>
      <c r="G268" s="954"/>
      <c r="H268" s="954"/>
      <c r="I268" s="954"/>
      <c r="J268" s="954"/>
      <c r="K268" s="954"/>
      <c r="L268" s="916"/>
      <c r="M268" s="916"/>
      <c r="N268" s="916"/>
      <c r="O268" s="916"/>
      <c r="P268" s="916"/>
      <c r="Q268" s="916"/>
      <c r="R268" s="951"/>
      <c r="S268" s="920"/>
      <c r="T268" s="952"/>
      <c r="U268" s="622"/>
      <c r="V268" s="608"/>
    </row>
    <row r="269" spans="1:25" ht="15">
      <c r="A269" s="2517" t="s">
        <v>5235</v>
      </c>
      <c r="B269" s="2518"/>
      <c r="C269" s="2519"/>
      <c r="D269" s="2518"/>
      <c r="E269" s="2518"/>
      <c r="F269" s="2518"/>
      <c r="G269" s="2518"/>
      <c r="H269" s="2518"/>
      <c r="I269" s="2518"/>
      <c r="J269" s="2518"/>
      <c r="K269" s="2520" t="s">
        <v>5379</v>
      </c>
      <c r="L269" s="2521"/>
      <c r="M269" s="2521"/>
      <c r="N269" s="2521"/>
      <c r="O269" s="2521"/>
      <c r="P269" s="2521"/>
      <c r="Q269" s="2521"/>
      <c r="R269" s="2522"/>
      <c r="S269" s="2523"/>
      <c r="T269" s="2524"/>
      <c r="U269" s="621">
        <f>SUM(T271:T305)</f>
        <v>5750.9400000000005</v>
      </c>
      <c r="V269" s="615">
        <f>U354</f>
        <v>1209.76</v>
      </c>
      <c r="W269" s="615">
        <f>SUM(U269:V269)</f>
        <v>6960.7000000000007</v>
      </c>
      <c r="Y269" s="523">
        <f>SUM(Y270:Y306)</f>
        <v>182.50999999999996</v>
      </c>
    </row>
    <row r="270" spans="1:25" ht="15">
      <c r="A270" s="949">
        <v>2254378</v>
      </c>
      <c r="B270" s="950" t="s">
        <v>5237</v>
      </c>
      <c r="C270" s="907" t="s">
        <v>5228</v>
      </c>
      <c r="D270" s="950">
        <v>1980</v>
      </c>
      <c r="E270" s="950">
        <v>0</v>
      </c>
      <c r="F270" s="950">
        <v>0</v>
      </c>
      <c r="G270" s="950">
        <v>1000</v>
      </c>
      <c r="H270" s="950">
        <v>0</v>
      </c>
      <c r="I270" s="950">
        <v>0</v>
      </c>
      <c r="J270" s="950">
        <v>0</v>
      </c>
      <c r="K270" s="950" t="s">
        <v>5238</v>
      </c>
      <c r="L270" s="911"/>
      <c r="M270" s="911"/>
      <c r="N270" s="911"/>
      <c r="O270" s="911"/>
      <c r="P270" s="911"/>
      <c r="Q270" s="911"/>
      <c r="R270" s="951"/>
      <c r="S270" s="920"/>
      <c r="T270" s="952"/>
      <c r="U270" s="621"/>
      <c r="V270" s="615"/>
    </row>
    <row r="271" spans="1:25" ht="15">
      <c r="A271" s="949">
        <v>19743702</v>
      </c>
      <c r="B271" s="955" t="s">
        <v>5350</v>
      </c>
      <c r="C271" s="927" t="s">
        <v>5351</v>
      </c>
      <c r="D271" s="950"/>
      <c r="E271" s="950"/>
      <c r="F271" s="950"/>
      <c r="G271" s="950"/>
      <c r="H271" s="950"/>
      <c r="I271" s="950"/>
      <c r="J271" s="950"/>
      <c r="K271" s="950" t="s">
        <v>5238</v>
      </c>
      <c r="L271" s="911">
        <v>16.559999999999999</v>
      </c>
      <c r="M271" s="911"/>
      <c r="N271" s="911"/>
      <c r="O271" s="911"/>
      <c r="P271" s="911"/>
      <c r="Q271" s="911"/>
      <c r="R271" s="951"/>
      <c r="S271" s="920">
        <v>2.13</v>
      </c>
      <c r="T271" s="952">
        <f t="shared" ref="T271:T302" si="8">SUM(L271:S271)</f>
        <v>18.689999999999998</v>
      </c>
      <c r="U271" s="622"/>
      <c r="V271" s="608"/>
    </row>
    <row r="272" spans="1:25" ht="15">
      <c r="A272" s="949">
        <v>2302144</v>
      </c>
      <c r="B272" s="950" t="s">
        <v>5239</v>
      </c>
      <c r="C272" s="907" t="s">
        <v>5240</v>
      </c>
      <c r="D272" s="950">
        <v>1999</v>
      </c>
      <c r="E272" s="950">
        <v>84</v>
      </c>
      <c r="F272" s="950">
        <v>2799</v>
      </c>
      <c r="G272" s="950">
        <v>0</v>
      </c>
      <c r="H272" s="950">
        <v>24789</v>
      </c>
      <c r="I272" s="950">
        <v>2</v>
      </c>
      <c r="J272" s="950">
        <v>0</v>
      </c>
      <c r="K272" s="950" t="s">
        <v>5241</v>
      </c>
      <c r="L272" s="911">
        <v>268.08</v>
      </c>
      <c r="M272" s="911"/>
      <c r="N272" s="911"/>
      <c r="O272" s="911"/>
      <c r="P272" s="911">
        <v>8.68</v>
      </c>
      <c r="Q272" s="911"/>
      <c r="R272" s="951"/>
      <c r="S272" s="920">
        <v>35.1</v>
      </c>
      <c r="T272" s="952">
        <f t="shared" si="8"/>
        <v>311.86</v>
      </c>
      <c r="U272" s="622"/>
      <c r="V272" s="615"/>
    </row>
    <row r="273" spans="1:25" ht="15">
      <c r="A273" s="949">
        <v>19024173</v>
      </c>
      <c r="B273" s="950" t="s">
        <v>5242</v>
      </c>
      <c r="C273" s="907" t="s">
        <v>5243</v>
      </c>
      <c r="D273" s="950">
        <v>1996</v>
      </c>
      <c r="E273" s="950">
        <v>0</v>
      </c>
      <c r="F273" s="950">
        <v>0</v>
      </c>
      <c r="G273" s="950">
        <v>3500</v>
      </c>
      <c r="H273" s="950">
        <v>5850</v>
      </c>
      <c r="I273" s="950">
        <v>0</v>
      </c>
      <c r="J273" s="950">
        <v>0</v>
      </c>
      <c r="K273" s="950" t="s">
        <v>5238</v>
      </c>
      <c r="L273" s="911">
        <v>35.1</v>
      </c>
      <c r="M273" s="911"/>
      <c r="N273" s="911"/>
      <c r="O273" s="911"/>
      <c r="P273" s="911"/>
      <c r="Q273" s="911"/>
      <c r="R273" s="951"/>
      <c r="S273" s="920">
        <v>4.51</v>
      </c>
      <c r="T273" s="952">
        <f t="shared" si="8"/>
        <v>39.61</v>
      </c>
      <c r="U273" s="622"/>
      <c r="V273" s="615"/>
    </row>
    <row r="274" spans="1:25" ht="15">
      <c r="A274" s="949">
        <v>19025769</v>
      </c>
      <c r="B274" s="950" t="s">
        <v>5244</v>
      </c>
      <c r="C274" s="907" t="s">
        <v>5247</v>
      </c>
      <c r="D274" s="950">
        <v>1996</v>
      </c>
      <c r="E274" s="950">
        <v>180</v>
      </c>
      <c r="F274" s="950">
        <v>10964</v>
      </c>
      <c r="G274" s="950">
        <v>19000</v>
      </c>
      <c r="H274" s="950">
        <v>141027</v>
      </c>
      <c r="I274" s="950">
        <v>2</v>
      </c>
      <c r="J274" s="950">
        <v>0</v>
      </c>
      <c r="K274" s="950" t="s">
        <v>5246</v>
      </c>
      <c r="L274" s="911">
        <v>357.71</v>
      </c>
      <c r="M274" s="911"/>
      <c r="N274" s="911"/>
      <c r="O274" s="911"/>
      <c r="P274" s="911">
        <v>8.68</v>
      </c>
      <c r="Q274" s="911"/>
      <c r="R274" s="951"/>
      <c r="S274" s="920">
        <v>46.62</v>
      </c>
      <c r="T274" s="952">
        <f t="shared" si="8"/>
        <v>413.01</v>
      </c>
      <c r="U274" s="622"/>
      <c r="V274" s="615"/>
      <c r="Y274" s="520">
        <v>-230.83</v>
      </c>
    </row>
    <row r="275" spans="1:25" ht="15">
      <c r="A275" s="949">
        <v>19046774</v>
      </c>
      <c r="B275" s="950" t="s">
        <v>5248</v>
      </c>
      <c r="C275" s="927" t="s">
        <v>5353</v>
      </c>
      <c r="D275" s="950">
        <v>1999</v>
      </c>
      <c r="E275" s="950">
        <v>0</v>
      </c>
      <c r="F275" s="950">
        <v>0</v>
      </c>
      <c r="G275" s="950">
        <v>2000</v>
      </c>
      <c r="H275" s="950">
        <v>6197</v>
      </c>
      <c r="I275" s="950">
        <v>0</v>
      </c>
      <c r="J275" s="950">
        <v>0</v>
      </c>
      <c r="K275" s="950" t="s">
        <v>5238</v>
      </c>
      <c r="L275" s="911">
        <v>12.99</v>
      </c>
      <c r="M275" s="911"/>
      <c r="N275" s="911"/>
      <c r="O275" s="911"/>
      <c r="P275" s="911"/>
      <c r="Q275" s="911"/>
      <c r="R275" s="951"/>
      <c r="S275" s="920">
        <v>1.67</v>
      </c>
      <c r="T275" s="952">
        <f t="shared" si="8"/>
        <v>14.66</v>
      </c>
      <c r="U275" s="622"/>
      <c r="V275" s="615"/>
    </row>
    <row r="276" spans="1:25" s="608" customFormat="1" ht="15">
      <c r="A276" s="949">
        <v>19055120</v>
      </c>
      <c r="B276" s="950" t="s">
        <v>5249</v>
      </c>
      <c r="C276" s="907" t="s">
        <v>5250</v>
      </c>
      <c r="D276" s="950">
        <v>2000</v>
      </c>
      <c r="E276" s="950">
        <v>51</v>
      </c>
      <c r="F276" s="950">
        <v>1868</v>
      </c>
      <c r="G276" s="950">
        <v>0</v>
      </c>
      <c r="H276" s="950">
        <v>10857</v>
      </c>
      <c r="I276" s="950">
        <v>4</v>
      </c>
      <c r="J276" s="950">
        <v>4</v>
      </c>
      <c r="K276" s="950" t="s">
        <v>5251</v>
      </c>
      <c r="L276" s="911">
        <v>142.36000000000001</v>
      </c>
      <c r="M276" s="911"/>
      <c r="N276" s="911"/>
      <c r="O276" s="911"/>
      <c r="P276" s="911">
        <v>14.87</v>
      </c>
      <c r="Q276" s="911"/>
      <c r="R276" s="951"/>
      <c r="S276" s="920">
        <v>26.54</v>
      </c>
      <c r="T276" s="952">
        <f t="shared" si="8"/>
        <v>183.77</v>
      </c>
      <c r="U276" s="622"/>
      <c r="V276" s="615"/>
    </row>
    <row r="277" spans="1:25" s="608" customFormat="1" ht="15">
      <c r="A277" s="949">
        <v>19055156</v>
      </c>
      <c r="B277" s="950" t="s">
        <v>5239</v>
      </c>
      <c r="C277" s="907" t="s">
        <v>5252</v>
      </c>
      <c r="D277" s="950">
        <v>2000</v>
      </c>
      <c r="E277" s="950">
        <v>47</v>
      </c>
      <c r="F277" s="950">
        <v>1870</v>
      </c>
      <c r="G277" s="950">
        <v>0</v>
      </c>
      <c r="H277" s="950">
        <v>11279</v>
      </c>
      <c r="I277" s="950">
        <v>1</v>
      </c>
      <c r="J277" s="950">
        <v>3</v>
      </c>
      <c r="K277" s="950" t="s">
        <v>5241</v>
      </c>
      <c r="L277" s="911">
        <v>111.07</v>
      </c>
      <c r="M277" s="911"/>
      <c r="N277" s="911"/>
      <c r="O277" s="911"/>
      <c r="P277" s="911">
        <v>8.68</v>
      </c>
      <c r="Q277" s="911"/>
      <c r="R277" s="951"/>
      <c r="S277" s="920">
        <v>14.92</v>
      </c>
      <c r="T277" s="952">
        <f t="shared" si="8"/>
        <v>134.66999999999999</v>
      </c>
      <c r="U277" s="622"/>
      <c r="V277" s="615"/>
    </row>
    <row r="278" spans="1:25" s="608" customFormat="1" ht="15">
      <c r="A278" s="949">
        <v>19056155</v>
      </c>
      <c r="B278" s="950" t="s">
        <v>5253</v>
      </c>
      <c r="C278" s="907" t="s">
        <v>5254</v>
      </c>
      <c r="D278" s="950">
        <v>2005</v>
      </c>
      <c r="E278" s="950">
        <v>0</v>
      </c>
      <c r="F278" s="950">
        <v>125</v>
      </c>
      <c r="G278" s="950">
        <v>0</v>
      </c>
      <c r="H278" s="950">
        <v>2434</v>
      </c>
      <c r="I278" s="950">
        <v>1</v>
      </c>
      <c r="J278" s="950">
        <v>0</v>
      </c>
      <c r="K278" s="950" t="s">
        <v>5255</v>
      </c>
      <c r="L278" s="911">
        <v>111.01</v>
      </c>
      <c r="M278" s="911"/>
      <c r="N278" s="911"/>
      <c r="O278" s="911"/>
      <c r="P278" s="911">
        <v>4.96</v>
      </c>
      <c r="Q278" s="911"/>
      <c r="R278" s="951"/>
      <c r="S278" s="920">
        <v>20.190000000000001</v>
      </c>
      <c r="T278" s="952">
        <f t="shared" si="8"/>
        <v>136.16</v>
      </c>
      <c r="U278" s="622"/>
      <c r="V278" s="615"/>
    </row>
    <row r="279" spans="1:25" s="608" customFormat="1" ht="15">
      <c r="A279" s="949">
        <v>19057411</v>
      </c>
      <c r="B279" s="950" t="s">
        <v>5256</v>
      </c>
      <c r="C279" s="907" t="s">
        <v>5257</v>
      </c>
      <c r="D279" s="950">
        <v>2000</v>
      </c>
      <c r="E279" s="950">
        <v>0</v>
      </c>
      <c r="F279" s="950">
        <v>0</v>
      </c>
      <c r="G279" s="950">
        <v>3000</v>
      </c>
      <c r="H279" s="950">
        <v>4462</v>
      </c>
      <c r="I279" s="950">
        <v>0</v>
      </c>
      <c r="J279" s="950">
        <v>0</v>
      </c>
      <c r="K279" s="950" t="s">
        <v>5238</v>
      </c>
      <c r="L279" s="911">
        <v>19.510000000000002</v>
      </c>
      <c r="M279" s="911"/>
      <c r="N279" s="911"/>
      <c r="O279" s="911"/>
      <c r="P279" s="911"/>
      <c r="Q279" s="911"/>
      <c r="R279" s="951"/>
      <c r="S279" s="920">
        <v>2.5099999999999998</v>
      </c>
      <c r="T279" s="952">
        <f t="shared" si="8"/>
        <v>22.020000000000003</v>
      </c>
      <c r="U279" s="622"/>
      <c r="V279" s="615"/>
    </row>
    <row r="280" spans="1:25" s="608" customFormat="1" ht="15">
      <c r="A280" s="949">
        <v>19125110</v>
      </c>
      <c r="B280" s="950" t="s">
        <v>5258</v>
      </c>
      <c r="C280" s="907" t="s">
        <v>5259</v>
      </c>
      <c r="D280" s="950">
        <v>2002</v>
      </c>
      <c r="E280" s="950">
        <v>0</v>
      </c>
      <c r="F280" s="950">
        <v>0</v>
      </c>
      <c r="G280" s="950">
        <v>1300</v>
      </c>
      <c r="H280" s="950">
        <v>12395</v>
      </c>
      <c r="I280" s="950">
        <v>0</v>
      </c>
      <c r="J280" s="950">
        <v>0</v>
      </c>
      <c r="K280" s="950" t="s">
        <v>5260</v>
      </c>
      <c r="L280" s="911">
        <v>12.99</v>
      </c>
      <c r="M280" s="911"/>
      <c r="N280" s="911"/>
      <c r="O280" s="911"/>
      <c r="P280" s="911"/>
      <c r="Q280" s="911"/>
      <c r="R280" s="951"/>
      <c r="S280" s="920">
        <v>1.67</v>
      </c>
      <c r="T280" s="952">
        <f t="shared" si="8"/>
        <v>14.66</v>
      </c>
      <c r="U280" s="622"/>
      <c r="V280" s="615"/>
    </row>
    <row r="281" spans="1:25" s="608" customFormat="1" ht="15">
      <c r="A281" s="949">
        <v>19133993</v>
      </c>
      <c r="B281" s="950" t="s">
        <v>5261</v>
      </c>
      <c r="C281" s="907" t="s">
        <v>5262</v>
      </c>
      <c r="D281" s="950">
        <v>2002</v>
      </c>
      <c r="E281" s="950">
        <v>198</v>
      </c>
      <c r="F281" s="950">
        <v>9973</v>
      </c>
      <c r="G281" s="950">
        <v>19000</v>
      </c>
      <c r="H281" s="950">
        <v>119980</v>
      </c>
      <c r="I281" s="950">
        <v>2</v>
      </c>
      <c r="J281" s="950">
        <v>0</v>
      </c>
      <c r="K281" s="950" t="s">
        <v>5246</v>
      </c>
      <c r="L281" s="911">
        <v>278.20999999999998</v>
      </c>
      <c r="M281" s="911"/>
      <c r="N281" s="911"/>
      <c r="O281" s="911"/>
      <c r="P281" s="911">
        <v>8.68</v>
      </c>
      <c r="Q281" s="911"/>
      <c r="R281" s="951"/>
      <c r="S281" s="920">
        <v>36.4</v>
      </c>
      <c r="T281" s="952">
        <f t="shared" si="8"/>
        <v>323.28999999999996</v>
      </c>
      <c r="U281" s="622"/>
      <c r="V281" s="615"/>
      <c r="Y281" s="608">
        <v>-68.2</v>
      </c>
    </row>
    <row r="282" spans="1:25" s="608" customFormat="1" ht="15">
      <c r="A282" s="949">
        <v>19149679</v>
      </c>
      <c r="B282" s="950" t="s">
        <v>5263</v>
      </c>
      <c r="C282" s="907" t="s">
        <v>5228</v>
      </c>
      <c r="D282" s="950">
        <v>2003</v>
      </c>
      <c r="E282" s="950">
        <v>0</v>
      </c>
      <c r="F282" s="950">
        <v>0</v>
      </c>
      <c r="G282" s="950">
        <v>2000</v>
      </c>
      <c r="H282" s="950">
        <v>0</v>
      </c>
      <c r="I282" s="950">
        <v>0</v>
      </c>
      <c r="J282" s="950">
        <v>0</v>
      </c>
      <c r="K282" s="950" t="s">
        <v>5238</v>
      </c>
      <c r="L282" s="911">
        <v>12.99</v>
      </c>
      <c r="M282" s="911"/>
      <c r="N282" s="911"/>
      <c r="O282" s="911"/>
      <c r="P282" s="911"/>
      <c r="Q282" s="911"/>
      <c r="R282" s="951"/>
      <c r="S282" s="920">
        <v>1.67</v>
      </c>
      <c r="T282" s="952">
        <f t="shared" si="8"/>
        <v>14.66</v>
      </c>
      <c r="U282" s="622"/>
      <c r="V282" s="615"/>
    </row>
    <row r="283" spans="1:25" s="608" customFormat="1" ht="15">
      <c r="A283" s="949">
        <v>19236255</v>
      </c>
      <c r="B283" s="950" t="s">
        <v>5230</v>
      </c>
      <c r="C283" s="907" t="s">
        <v>5266</v>
      </c>
      <c r="D283" s="950">
        <v>2005</v>
      </c>
      <c r="E283" s="950">
        <v>51</v>
      </c>
      <c r="F283" s="950">
        <v>1868</v>
      </c>
      <c r="G283" s="950">
        <v>0</v>
      </c>
      <c r="H283" s="950">
        <v>10767</v>
      </c>
      <c r="I283" s="950">
        <v>2</v>
      </c>
      <c r="J283" s="950">
        <v>0</v>
      </c>
      <c r="K283" s="950" t="s">
        <v>5241</v>
      </c>
      <c r="L283" s="911">
        <v>118.37</v>
      </c>
      <c r="M283" s="911"/>
      <c r="N283" s="911"/>
      <c r="O283" s="911"/>
      <c r="P283" s="911">
        <v>8.68</v>
      </c>
      <c r="Q283" s="911"/>
      <c r="R283" s="951"/>
      <c r="S283" s="920">
        <v>15.86</v>
      </c>
      <c r="T283" s="952">
        <f t="shared" si="8"/>
        <v>142.91000000000003</v>
      </c>
      <c r="U283" s="622"/>
      <c r="V283" s="615"/>
    </row>
    <row r="284" spans="1:25" s="608" customFormat="1" ht="15">
      <c r="A284" s="949">
        <v>19307022</v>
      </c>
      <c r="B284" s="950" t="s">
        <v>5267</v>
      </c>
      <c r="C284" s="907" t="s">
        <v>5268</v>
      </c>
      <c r="D284" s="950">
        <v>2001</v>
      </c>
      <c r="E284" s="950">
        <v>51</v>
      </c>
      <c r="F284" s="950">
        <v>0</v>
      </c>
      <c r="G284" s="950">
        <v>0</v>
      </c>
      <c r="H284" s="950">
        <v>0</v>
      </c>
      <c r="I284" s="950">
        <v>4</v>
      </c>
      <c r="J284" s="950">
        <v>0</v>
      </c>
      <c r="K284" s="950" t="s">
        <v>5269</v>
      </c>
      <c r="L284" s="911">
        <v>142.36000000000001</v>
      </c>
      <c r="M284" s="911"/>
      <c r="N284" s="911"/>
      <c r="O284" s="911"/>
      <c r="P284" s="911">
        <v>14.87</v>
      </c>
      <c r="Q284" s="911"/>
      <c r="R284" s="951"/>
      <c r="S284" s="920">
        <v>26.54</v>
      </c>
      <c r="T284" s="952">
        <f t="shared" si="8"/>
        <v>183.77</v>
      </c>
      <c r="U284" s="622"/>
      <c r="V284" s="615"/>
    </row>
    <row r="285" spans="1:25" s="608" customFormat="1" ht="15">
      <c r="A285" s="949">
        <v>19315939</v>
      </c>
      <c r="B285" s="950" t="s">
        <v>5270</v>
      </c>
      <c r="C285" s="907" t="s">
        <v>5271</v>
      </c>
      <c r="D285" s="950">
        <v>2007</v>
      </c>
      <c r="E285" s="950">
        <v>0</v>
      </c>
      <c r="F285" s="950">
        <v>0</v>
      </c>
      <c r="G285" s="950">
        <v>2700</v>
      </c>
      <c r="H285" s="950">
        <v>4471</v>
      </c>
      <c r="I285" s="950">
        <v>0</v>
      </c>
      <c r="J285" s="950">
        <v>0</v>
      </c>
      <c r="K285" s="950" t="s">
        <v>5238</v>
      </c>
      <c r="L285" s="911">
        <v>25.09</v>
      </c>
      <c r="M285" s="911"/>
      <c r="N285" s="911"/>
      <c r="O285" s="911"/>
      <c r="P285" s="911"/>
      <c r="Q285" s="911"/>
      <c r="R285" s="951"/>
      <c r="S285" s="920">
        <v>3.22</v>
      </c>
      <c r="T285" s="952">
        <f t="shared" si="8"/>
        <v>28.31</v>
      </c>
      <c r="U285" s="622"/>
      <c r="V285" s="615"/>
    </row>
    <row r="286" spans="1:25" s="608" customFormat="1" ht="15">
      <c r="A286" s="949">
        <v>19350146</v>
      </c>
      <c r="B286" s="950" t="s">
        <v>5272</v>
      </c>
      <c r="C286" s="907" t="s">
        <v>5273</v>
      </c>
      <c r="D286" s="950">
        <v>2013</v>
      </c>
      <c r="E286" s="950">
        <v>0</v>
      </c>
      <c r="F286" s="950">
        <v>0</v>
      </c>
      <c r="G286" s="950">
        <v>2000</v>
      </c>
      <c r="H286" s="950">
        <v>0</v>
      </c>
      <c r="I286" s="950">
        <v>0</v>
      </c>
      <c r="J286" s="950">
        <v>0</v>
      </c>
      <c r="K286" s="950" t="s">
        <v>5274</v>
      </c>
      <c r="L286" s="911">
        <v>29.3</v>
      </c>
      <c r="M286" s="911"/>
      <c r="N286" s="911"/>
      <c r="O286" s="911"/>
      <c r="P286" s="911">
        <v>8.68</v>
      </c>
      <c r="Q286" s="911"/>
      <c r="R286" s="951"/>
      <c r="S286" s="920">
        <v>4.42</v>
      </c>
      <c r="T286" s="952">
        <f t="shared" si="8"/>
        <v>42.400000000000006</v>
      </c>
      <c r="U286" s="622"/>
      <c r="V286" s="615"/>
    </row>
    <row r="287" spans="1:25" s="608" customFormat="1" ht="15">
      <c r="A287" s="949">
        <v>19352145</v>
      </c>
      <c r="B287" s="950" t="s">
        <v>5270</v>
      </c>
      <c r="C287" s="907" t="s">
        <v>5228</v>
      </c>
      <c r="D287" s="950">
        <v>2008</v>
      </c>
      <c r="E287" s="950">
        <v>0</v>
      </c>
      <c r="F287" s="950">
        <v>0</v>
      </c>
      <c r="G287" s="950">
        <v>2700</v>
      </c>
      <c r="H287" s="950">
        <v>4713</v>
      </c>
      <c r="I287" s="950">
        <v>0</v>
      </c>
      <c r="J287" s="950">
        <v>0</v>
      </c>
      <c r="K287" s="950" t="s">
        <v>5238</v>
      </c>
      <c r="L287" s="911">
        <v>25.09</v>
      </c>
      <c r="M287" s="911"/>
      <c r="N287" s="911"/>
      <c r="O287" s="911"/>
      <c r="P287" s="911"/>
      <c r="Q287" s="911"/>
      <c r="R287" s="951"/>
      <c r="S287" s="920">
        <v>3.22</v>
      </c>
      <c r="T287" s="952">
        <f t="shared" si="8"/>
        <v>28.31</v>
      </c>
      <c r="U287" s="622"/>
      <c r="V287" s="615"/>
    </row>
    <row r="288" spans="1:25" s="608" customFormat="1" ht="15">
      <c r="A288" s="949">
        <v>19399222</v>
      </c>
      <c r="B288" s="950" t="s">
        <v>5275</v>
      </c>
      <c r="C288" s="907" t="s">
        <v>5276</v>
      </c>
      <c r="D288" s="950">
        <v>2006</v>
      </c>
      <c r="E288" s="950">
        <v>69</v>
      </c>
      <c r="F288" s="950">
        <v>0</v>
      </c>
      <c r="G288" s="950">
        <v>0</v>
      </c>
      <c r="H288" s="950">
        <v>0</v>
      </c>
      <c r="I288" s="950">
        <v>2</v>
      </c>
      <c r="J288" s="950">
        <v>0</v>
      </c>
      <c r="K288" s="950" t="s">
        <v>5241</v>
      </c>
      <c r="L288" s="911">
        <v>151.29</v>
      </c>
      <c r="M288" s="911"/>
      <c r="N288" s="911"/>
      <c r="O288" s="911"/>
      <c r="P288" s="911">
        <v>8.68</v>
      </c>
      <c r="Q288" s="911"/>
      <c r="R288" s="951"/>
      <c r="S288" s="920">
        <v>20.09</v>
      </c>
      <c r="T288" s="952">
        <f t="shared" si="8"/>
        <v>180.06</v>
      </c>
      <c r="U288" s="622"/>
      <c r="V288" s="615"/>
    </row>
    <row r="289" spans="1:25" s="608" customFormat="1" ht="15">
      <c r="A289" s="949">
        <v>19454625</v>
      </c>
      <c r="B289" s="950" t="s">
        <v>5277</v>
      </c>
      <c r="C289" s="907" t="s">
        <v>5278</v>
      </c>
      <c r="D289" s="950">
        <v>2010</v>
      </c>
      <c r="E289" s="950">
        <v>116</v>
      </c>
      <c r="F289" s="950">
        <v>0</v>
      </c>
      <c r="G289" s="950">
        <v>0</v>
      </c>
      <c r="H289" s="950">
        <v>35000</v>
      </c>
      <c r="I289" s="950">
        <v>2</v>
      </c>
      <c r="J289" s="950">
        <v>0</v>
      </c>
      <c r="K289" s="950" t="s">
        <v>5241</v>
      </c>
      <c r="L289" s="911">
        <v>320.68</v>
      </c>
      <c r="M289" s="911"/>
      <c r="N289" s="911"/>
      <c r="O289" s="911"/>
      <c r="P289" s="911">
        <v>8.68</v>
      </c>
      <c r="Q289" s="911"/>
      <c r="R289" s="951"/>
      <c r="S289" s="920">
        <v>41.85</v>
      </c>
      <c r="T289" s="952">
        <f t="shared" si="8"/>
        <v>371.21000000000004</v>
      </c>
      <c r="U289" s="622"/>
      <c r="V289" s="615"/>
    </row>
    <row r="290" spans="1:25" s="608" customFormat="1" ht="15">
      <c r="A290" s="949">
        <v>19464059</v>
      </c>
      <c r="B290" s="950" t="s">
        <v>5279</v>
      </c>
      <c r="C290" s="907" t="s">
        <v>5280</v>
      </c>
      <c r="D290" s="950">
        <v>2010</v>
      </c>
      <c r="E290" s="950">
        <v>96</v>
      </c>
      <c r="F290" s="950">
        <v>2488</v>
      </c>
      <c r="G290" s="950">
        <v>0</v>
      </c>
      <c r="H290" s="950">
        <v>72479</v>
      </c>
      <c r="I290" s="950">
        <v>2</v>
      </c>
      <c r="J290" s="950">
        <v>0</v>
      </c>
      <c r="K290" s="950" t="s">
        <v>5241</v>
      </c>
      <c r="L290" s="911">
        <v>200.66</v>
      </c>
      <c r="M290" s="911"/>
      <c r="N290" s="911"/>
      <c r="O290" s="911"/>
      <c r="P290" s="911">
        <v>8.68</v>
      </c>
      <c r="Q290" s="911"/>
      <c r="R290" s="951"/>
      <c r="S290" s="920">
        <v>26.43</v>
      </c>
      <c r="T290" s="952">
        <f t="shared" si="8"/>
        <v>235.77</v>
      </c>
      <c r="U290" s="622"/>
      <c r="V290" s="615"/>
    </row>
    <row r="291" spans="1:25" s="608" customFormat="1" ht="15">
      <c r="A291" s="949">
        <v>19479152</v>
      </c>
      <c r="B291" s="950" t="s">
        <v>5281</v>
      </c>
      <c r="C291" s="907" t="s">
        <v>5228</v>
      </c>
      <c r="D291" s="950">
        <v>2011</v>
      </c>
      <c r="E291" s="950">
        <v>0</v>
      </c>
      <c r="F291" s="950">
        <v>0</v>
      </c>
      <c r="G291" s="950">
        <v>3500</v>
      </c>
      <c r="H291" s="950">
        <v>0</v>
      </c>
      <c r="I291" s="950">
        <v>0</v>
      </c>
      <c r="J291" s="950">
        <v>0</v>
      </c>
      <c r="K291" s="950" t="s">
        <v>5238</v>
      </c>
      <c r="L291" s="911">
        <v>32.33</v>
      </c>
      <c r="M291" s="911"/>
      <c r="N291" s="911"/>
      <c r="O291" s="911"/>
      <c r="P291" s="911"/>
      <c r="Q291" s="911"/>
      <c r="R291" s="951"/>
      <c r="S291" s="920">
        <v>4.1500000000000004</v>
      </c>
      <c r="T291" s="952">
        <f t="shared" si="8"/>
        <v>36.479999999999997</v>
      </c>
      <c r="U291" s="622"/>
      <c r="V291" s="615"/>
    </row>
    <row r="292" spans="1:25" ht="15">
      <c r="A292" s="949">
        <v>19488224</v>
      </c>
      <c r="B292" s="950" t="s">
        <v>5282</v>
      </c>
      <c r="C292" s="907" t="s">
        <v>5283</v>
      </c>
      <c r="D292" s="950">
        <v>2011</v>
      </c>
      <c r="E292" s="950">
        <v>74</v>
      </c>
      <c r="F292" s="950">
        <v>0</v>
      </c>
      <c r="G292" s="950">
        <v>0</v>
      </c>
      <c r="H292" s="950">
        <v>22489</v>
      </c>
      <c r="I292" s="950">
        <v>2</v>
      </c>
      <c r="J292" s="950">
        <v>0</v>
      </c>
      <c r="K292" s="950" t="s">
        <v>5241</v>
      </c>
      <c r="L292" s="911">
        <v>160.43</v>
      </c>
      <c r="M292" s="911"/>
      <c r="N292" s="911"/>
      <c r="O292" s="911"/>
      <c r="P292" s="911">
        <v>8.68</v>
      </c>
      <c r="Q292" s="911"/>
      <c r="R292" s="951"/>
      <c r="S292" s="920">
        <v>21.26</v>
      </c>
      <c r="T292" s="952">
        <f t="shared" si="8"/>
        <v>190.37</v>
      </c>
      <c r="U292" s="622"/>
      <c r="V292" s="615"/>
    </row>
    <row r="293" spans="1:25" ht="15">
      <c r="A293" s="949">
        <v>19047864</v>
      </c>
      <c r="B293" s="950" t="s">
        <v>5230</v>
      </c>
      <c r="C293" s="907" t="s">
        <v>5285</v>
      </c>
      <c r="D293" s="950">
        <v>1999</v>
      </c>
      <c r="E293" s="950">
        <v>63</v>
      </c>
      <c r="F293" s="950">
        <v>2446</v>
      </c>
      <c r="G293" s="950">
        <v>0</v>
      </c>
      <c r="H293" s="950">
        <v>18592</v>
      </c>
      <c r="I293" s="950">
        <v>2</v>
      </c>
      <c r="J293" s="950">
        <v>0</v>
      </c>
      <c r="K293" s="950" t="s">
        <v>5241</v>
      </c>
      <c r="L293" s="911">
        <v>140.31</v>
      </c>
      <c r="M293" s="911"/>
      <c r="N293" s="911"/>
      <c r="O293" s="911"/>
      <c r="P293" s="911">
        <v>8.68</v>
      </c>
      <c r="Q293" s="911"/>
      <c r="R293" s="951"/>
      <c r="S293" s="920">
        <v>18.68</v>
      </c>
      <c r="T293" s="952">
        <f t="shared" si="8"/>
        <v>167.67000000000002</v>
      </c>
      <c r="U293" s="622"/>
      <c r="V293" s="615"/>
      <c r="Y293" s="4369">
        <v>-154.81</v>
      </c>
    </row>
    <row r="294" spans="1:25" ht="15">
      <c r="A294" s="949">
        <v>19616686</v>
      </c>
      <c r="B294" s="950" t="s">
        <v>5289</v>
      </c>
      <c r="C294" s="907" t="s">
        <v>5290</v>
      </c>
      <c r="D294" s="950"/>
      <c r="E294" s="950"/>
      <c r="F294" s="950"/>
      <c r="G294" s="950"/>
      <c r="H294" s="950"/>
      <c r="I294" s="950"/>
      <c r="J294" s="950"/>
      <c r="K294" s="950" t="s">
        <v>5241</v>
      </c>
      <c r="L294" s="911">
        <v>193.34</v>
      </c>
      <c r="M294" s="911">
        <v>22.46</v>
      </c>
      <c r="N294" s="911"/>
      <c r="O294" s="911">
        <v>24.79</v>
      </c>
      <c r="P294" s="911">
        <v>8.68</v>
      </c>
      <c r="Q294" s="911">
        <v>15.72</v>
      </c>
      <c r="R294" s="951"/>
      <c r="S294" s="920">
        <v>33.369999999999997</v>
      </c>
      <c r="T294" s="952">
        <f t="shared" si="8"/>
        <v>298.36</v>
      </c>
      <c r="U294" s="622"/>
      <c r="V294" s="615"/>
    </row>
    <row r="295" spans="1:25" ht="15">
      <c r="A295" s="949">
        <v>19647948</v>
      </c>
      <c r="B295" s="950" t="s">
        <v>5291</v>
      </c>
      <c r="C295" s="907" t="s">
        <v>5292</v>
      </c>
      <c r="D295" s="950"/>
      <c r="E295" s="950"/>
      <c r="F295" s="950"/>
      <c r="G295" s="950"/>
      <c r="H295" s="950"/>
      <c r="I295" s="950"/>
      <c r="J295" s="950"/>
      <c r="K295" s="950" t="s">
        <v>5241</v>
      </c>
      <c r="L295" s="911">
        <v>237.17</v>
      </c>
      <c r="M295" s="911"/>
      <c r="N295" s="911"/>
      <c r="O295" s="911"/>
      <c r="P295" s="911">
        <v>8.68</v>
      </c>
      <c r="Q295" s="911"/>
      <c r="R295" s="951"/>
      <c r="S295" s="920">
        <v>31.13</v>
      </c>
      <c r="T295" s="952">
        <f t="shared" si="8"/>
        <v>276.98</v>
      </c>
      <c r="U295" s="622"/>
      <c r="V295" s="615"/>
    </row>
    <row r="296" spans="1:25" ht="15">
      <c r="A296" s="949">
        <v>19565323</v>
      </c>
      <c r="B296" s="950" t="s">
        <v>5293</v>
      </c>
      <c r="C296" s="907" t="s">
        <v>5294</v>
      </c>
      <c r="D296" s="950"/>
      <c r="E296" s="950"/>
      <c r="F296" s="950"/>
      <c r="G296" s="950"/>
      <c r="H296" s="950"/>
      <c r="I296" s="950"/>
      <c r="J296" s="950"/>
      <c r="K296" s="950" t="s">
        <v>5295</v>
      </c>
      <c r="L296" s="911">
        <v>118.37</v>
      </c>
      <c r="M296" s="911"/>
      <c r="N296" s="911"/>
      <c r="O296" s="911"/>
      <c r="P296" s="911">
        <v>8.68</v>
      </c>
      <c r="Q296" s="911"/>
      <c r="R296" s="951"/>
      <c r="S296" s="920">
        <v>15.86</v>
      </c>
      <c r="T296" s="952">
        <f t="shared" si="8"/>
        <v>142.91000000000003</v>
      </c>
      <c r="U296" s="622"/>
      <c r="V296" s="615"/>
    </row>
    <row r="297" spans="1:25" ht="15">
      <c r="A297" s="949">
        <v>19565324</v>
      </c>
      <c r="B297" s="950" t="s">
        <v>5291</v>
      </c>
      <c r="C297" s="907" t="s">
        <v>5296</v>
      </c>
      <c r="D297" s="950"/>
      <c r="E297" s="950"/>
      <c r="F297" s="950"/>
      <c r="G297" s="950"/>
      <c r="H297" s="950"/>
      <c r="I297" s="950"/>
      <c r="J297" s="950"/>
      <c r="K297" s="950" t="s">
        <v>5295</v>
      </c>
      <c r="L297" s="911">
        <v>127.52</v>
      </c>
      <c r="M297" s="911"/>
      <c r="N297" s="911"/>
      <c r="O297" s="911"/>
      <c r="P297" s="911">
        <v>8.68</v>
      </c>
      <c r="Q297" s="911"/>
      <c r="R297" s="951"/>
      <c r="S297" s="920">
        <v>17.04</v>
      </c>
      <c r="T297" s="952">
        <f>SUM(L297:S297)</f>
        <v>153.23999999999998</v>
      </c>
      <c r="U297" s="622"/>
      <c r="V297" s="615"/>
    </row>
    <row r="298" spans="1:25" ht="15">
      <c r="A298" s="949">
        <v>19568323</v>
      </c>
      <c r="B298" s="950" t="s">
        <v>5289</v>
      </c>
      <c r="C298" s="907" t="s">
        <v>5297</v>
      </c>
      <c r="D298" s="950"/>
      <c r="E298" s="950"/>
      <c r="F298" s="950"/>
      <c r="G298" s="950"/>
      <c r="H298" s="950"/>
      <c r="I298" s="950"/>
      <c r="J298" s="950"/>
      <c r="K298" s="955" t="s">
        <v>5354</v>
      </c>
      <c r="L298" s="911">
        <v>160.43</v>
      </c>
      <c r="M298" s="911"/>
      <c r="N298" s="911"/>
      <c r="O298" s="911"/>
      <c r="P298" s="911">
        <v>8.68</v>
      </c>
      <c r="Q298" s="911"/>
      <c r="R298" s="951"/>
      <c r="S298" s="920">
        <v>21.26</v>
      </c>
      <c r="T298" s="952">
        <f t="shared" si="8"/>
        <v>190.37</v>
      </c>
      <c r="U298" s="622"/>
      <c r="V298" s="615"/>
    </row>
    <row r="299" spans="1:25" ht="15">
      <c r="A299" s="949">
        <v>19361432</v>
      </c>
      <c r="B299" s="950" t="s">
        <v>5298</v>
      </c>
      <c r="C299" s="907" t="s">
        <v>5299</v>
      </c>
      <c r="D299" s="950">
        <v>2008</v>
      </c>
      <c r="E299" s="950">
        <v>88</v>
      </c>
      <c r="F299" s="950">
        <v>2464</v>
      </c>
      <c r="G299" s="950">
        <v>3500</v>
      </c>
      <c r="H299" s="950">
        <v>30211</v>
      </c>
      <c r="I299" s="950">
        <v>2</v>
      </c>
      <c r="J299" s="950">
        <v>0</v>
      </c>
      <c r="K299" s="950" t="s">
        <v>5241</v>
      </c>
      <c r="L299" s="911">
        <v>186.03</v>
      </c>
      <c r="M299" s="911"/>
      <c r="N299" s="911"/>
      <c r="O299" s="911"/>
      <c r="P299" s="911">
        <v>8.68</v>
      </c>
      <c r="Q299" s="911"/>
      <c r="R299" s="951"/>
      <c r="S299" s="920">
        <v>24.55</v>
      </c>
      <c r="T299" s="952">
        <f t="shared" si="8"/>
        <v>219.26000000000002</v>
      </c>
      <c r="U299" s="622"/>
      <c r="V299" s="615"/>
    </row>
    <row r="300" spans="1:25" ht="15">
      <c r="A300" s="949">
        <v>19794335</v>
      </c>
      <c r="B300" s="955" t="s">
        <v>5369</v>
      </c>
      <c r="C300" s="927" t="s">
        <v>5370</v>
      </c>
      <c r="D300" s="950"/>
      <c r="E300" s="950"/>
      <c r="F300" s="950"/>
      <c r="G300" s="950"/>
      <c r="H300" s="950"/>
      <c r="I300" s="950"/>
      <c r="J300" s="950"/>
      <c r="K300" s="955" t="s">
        <v>5238</v>
      </c>
      <c r="L300" s="911">
        <v>12.99</v>
      </c>
      <c r="M300" s="911">
        <v>3.62</v>
      </c>
      <c r="N300" s="911">
        <v>12.67</v>
      </c>
      <c r="O300" s="911"/>
      <c r="P300" s="911"/>
      <c r="Q300" s="911">
        <v>3.62</v>
      </c>
      <c r="R300" s="951"/>
      <c r="S300" s="920">
        <v>4.1500000000000004</v>
      </c>
      <c r="T300" s="952">
        <f t="shared" si="8"/>
        <v>37.049999999999997</v>
      </c>
      <c r="U300" s="622"/>
      <c r="V300" s="615"/>
    </row>
    <row r="301" spans="1:25" ht="15">
      <c r="A301" s="959" t="s">
        <v>5380</v>
      </c>
      <c r="B301" s="960" t="s">
        <v>5282</v>
      </c>
      <c r="C301" s="961" t="s">
        <v>5381</v>
      </c>
      <c r="D301" s="950">
        <v>2019</v>
      </c>
      <c r="E301" s="950"/>
      <c r="F301" s="950"/>
      <c r="G301" s="950"/>
      <c r="H301" s="950"/>
      <c r="I301" s="950"/>
      <c r="J301" s="950"/>
      <c r="K301" s="955"/>
      <c r="L301" s="911">
        <v>207.97</v>
      </c>
      <c r="M301" s="911">
        <v>35.369999999999997</v>
      </c>
      <c r="N301" s="911">
        <v>201.96</v>
      </c>
      <c r="O301" s="911"/>
      <c r="P301" s="911">
        <v>8.68</v>
      </c>
      <c r="Q301" s="911">
        <v>35.369999999999997</v>
      </c>
      <c r="R301" s="951"/>
      <c r="S301" s="920">
        <v>61.47</v>
      </c>
      <c r="T301" s="952">
        <f t="shared" si="8"/>
        <v>550.82000000000005</v>
      </c>
      <c r="U301" s="622"/>
      <c r="V301" s="615"/>
    </row>
    <row r="302" spans="1:25" ht="15">
      <c r="A302" s="959" t="s">
        <v>5382</v>
      </c>
      <c r="B302" s="960" t="s">
        <v>5383</v>
      </c>
      <c r="C302" s="961" t="s">
        <v>5384</v>
      </c>
      <c r="D302" s="950">
        <v>2019</v>
      </c>
      <c r="E302" s="950"/>
      <c r="F302" s="950"/>
      <c r="G302" s="950"/>
      <c r="H302" s="950"/>
      <c r="I302" s="950"/>
      <c r="J302" s="950"/>
      <c r="K302" s="955"/>
      <c r="L302" s="911">
        <v>207.97</v>
      </c>
      <c r="M302" s="911">
        <v>47.67</v>
      </c>
      <c r="N302" s="911">
        <v>263.41000000000003</v>
      </c>
      <c r="O302" s="911"/>
      <c r="P302" s="911">
        <v>8.68</v>
      </c>
      <c r="Q302" s="911">
        <v>47.67</v>
      </c>
      <c r="R302" s="951"/>
      <c r="S302" s="920">
        <v>72.23</v>
      </c>
      <c r="T302" s="952">
        <f t="shared" si="8"/>
        <v>647.62999999999988</v>
      </c>
      <c r="U302" s="622"/>
      <c r="V302" s="615"/>
    </row>
    <row r="303" spans="1:25" ht="15">
      <c r="A303" s="962" t="s">
        <v>5385</v>
      </c>
      <c r="B303" s="963" t="s">
        <v>5386</v>
      </c>
      <c r="C303" s="964" t="s">
        <v>5387</v>
      </c>
      <c r="D303" s="950">
        <v>2019</v>
      </c>
      <c r="E303" s="950"/>
      <c r="F303" s="950"/>
      <c r="G303" s="950"/>
      <c r="H303" s="950"/>
      <c r="I303" s="950"/>
      <c r="J303" s="950"/>
      <c r="K303" s="955"/>
      <c r="L303" s="911">
        <v>448.31</v>
      </c>
      <c r="M303" s="911">
        <v>138.36000000000001</v>
      </c>
      <c r="N303" s="911">
        <v>893.19</v>
      </c>
      <c r="O303" s="911">
        <v>25.88</v>
      </c>
      <c r="P303" s="911">
        <v>9.06</v>
      </c>
      <c r="Q303" s="911">
        <v>96.86</v>
      </c>
      <c r="R303" s="951"/>
      <c r="S303" s="920">
        <v>202.57</v>
      </c>
      <c r="T303" s="952"/>
      <c r="U303" s="622"/>
      <c r="V303" s="615"/>
    </row>
    <row r="304" spans="1:25" ht="15">
      <c r="A304" s="962"/>
      <c r="B304" s="963" t="s">
        <v>8154</v>
      </c>
      <c r="C304" s="964"/>
      <c r="D304" s="950"/>
      <c r="E304" s="950"/>
      <c r="F304" s="950"/>
      <c r="G304" s="950"/>
      <c r="H304" s="950"/>
      <c r="I304" s="950"/>
      <c r="J304" s="950"/>
      <c r="K304" s="955"/>
      <c r="L304" s="911"/>
      <c r="M304" s="911"/>
      <c r="N304" s="911"/>
      <c r="O304" s="911"/>
      <c r="P304" s="911"/>
      <c r="Q304" s="911"/>
      <c r="R304" s="951"/>
      <c r="S304" s="920"/>
      <c r="T304" s="952"/>
      <c r="U304" s="622"/>
      <c r="V304" s="615"/>
      <c r="Y304" s="520">
        <f>496.75</f>
        <v>496.75</v>
      </c>
    </row>
    <row r="305" spans="1:25" ht="15">
      <c r="A305" s="949"/>
      <c r="B305" s="960" t="s">
        <v>7190</v>
      </c>
      <c r="C305" s="907"/>
      <c r="D305" s="950"/>
      <c r="E305" s="950"/>
      <c r="F305" s="950"/>
      <c r="G305" s="950"/>
      <c r="H305" s="950"/>
      <c r="I305" s="950"/>
      <c r="J305" s="950"/>
      <c r="K305" s="950"/>
      <c r="L305" s="911"/>
      <c r="M305" s="911"/>
      <c r="N305" s="911"/>
      <c r="O305" s="911"/>
      <c r="P305" s="911"/>
      <c r="Q305" s="911"/>
      <c r="R305" s="951"/>
      <c r="S305" s="920"/>
      <c r="T305" s="952"/>
      <c r="U305" s="622"/>
      <c r="V305" s="608"/>
      <c r="Y305" s="520">
        <f>179.29-166.48</f>
        <v>12.810000000000002</v>
      </c>
    </row>
    <row r="306" spans="1:25" ht="15">
      <c r="A306" s="949"/>
      <c r="B306" s="960" t="s">
        <v>5282</v>
      </c>
      <c r="C306" s="961" t="s">
        <v>7195</v>
      </c>
      <c r="D306" s="950"/>
      <c r="E306" s="950"/>
      <c r="F306" s="950"/>
      <c r="G306" s="950"/>
      <c r="H306" s="950"/>
      <c r="I306" s="950"/>
      <c r="J306" s="950"/>
      <c r="K306" s="950"/>
      <c r="L306" s="911"/>
      <c r="M306" s="911"/>
      <c r="N306" s="911"/>
      <c r="O306" s="911"/>
      <c r="P306" s="911"/>
      <c r="Q306" s="911"/>
      <c r="R306" s="951"/>
      <c r="S306" s="920"/>
      <c r="T306" s="952"/>
      <c r="U306" s="622"/>
      <c r="V306" s="608"/>
      <c r="Y306" s="520">
        <f>82.66+44.13</f>
        <v>126.78999999999999</v>
      </c>
    </row>
    <row r="307" spans="1:25" ht="15">
      <c r="A307" s="2517" t="s">
        <v>5300</v>
      </c>
      <c r="B307" s="2518"/>
      <c r="C307" s="2519"/>
      <c r="D307" s="2518"/>
      <c r="E307" s="2518"/>
      <c r="F307" s="2518"/>
      <c r="G307" s="2518"/>
      <c r="H307" s="2518"/>
      <c r="I307" s="2518"/>
      <c r="J307" s="2518"/>
      <c r="K307" s="2520" t="s">
        <v>5388</v>
      </c>
      <c r="L307" s="2521"/>
      <c r="M307" s="2521"/>
      <c r="N307" s="2521"/>
      <c r="O307" s="2521"/>
      <c r="P307" s="2521"/>
      <c r="Q307" s="2521"/>
      <c r="R307" s="2522"/>
      <c r="S307" s="2523"/>
      <c r="T307" s="2524"/>
      <c r="U307" s="621">
        <f>SUM(T308:T309)</f>
        <v>402.48</v>
      </c>
      <c r="V307" s="615">
        <f>U390</f>
        <v>-103.80000000000001</v>
      </c>
      <c r="W307" s="615">
        <f>U307+V307</f>
        <v>298.68</v>
      </c>
    </row>
    <row r="308" spans="1:25" ht="15">
      <c r="A308" s="956">
        <v>19561262</v>
      </c>
      <c r="B308" s="950" t="s">
        <v>5301</v>
      </c>
      <c r="C308" s="907" t="s">
        <v>5302</v>
      </c>
      <c r="D308" s="950">
        <v>1998</v>
      </c>
      <c r="E308" s="950">
        <v>51</v>
      </c>
      <c r="F308" s="950">
        <v>2496</v>
      </c>
      <c r="G308" s="950">
        <v>0</v>
      </c>
      <c r="H308" s="950">
        <v>13758</v>
      </c>
      <c r="I308" s="950">
        <v>8</v>
      </c>
      <c r="J308" s="950">
        <v>0</v>
      </c>
      <c r="K308" s="950" t="s">
        <v>5303</v>
      </c>
      <c r="L308" s="911">
        <v>161.44</v>
      </c>
      <c r="M308" s="911"/>
      <c r="N308" s="911"/>
      <c r="O308" s="911"/>
      <c r="P308" s="911">
        <v>14.87</v>
      </c>
      <c r="Q308" s="911"/>
      <c r="R308" s="951"/>
      <c r="S308" s="920">
        <v>29.94</v>
      </c>
      <c r="T308" s="952">
        <f>SUM(L308:S308)</f>
        <v>206.25</v>
      </c>
      <c r="U308" s="622"/>
      <c r="V308" s="615"/>
    </row>
    <row r="309" spans="1:25" ht="15">
      <c r="A309" s="949">
        <v>19561263</v>
      </c>
      <c r="B309" s="950" t="s">
        <v>5301</v>
      </c>
      <c r="C309" s="907" t="s">
        <v>5304</v>
      </c>
      <c r="D309" s="950">
        <v>1999</v>
      </c>
      <c r="E309" s="950">
        <v>56</v>
      </c>
      <c r="F309" s="950">
        <v>2500</v>
      </c>
      <c r="G309" s="950">
        <v>0</v>
      </c>
      <c r="H309" s="950">
        <v>0</v>
      </c>
      <c r="I309" s="950">
        <v>8</v>
      </c>
      <c r="J309" s="950">
        <v>0</v>
      </c>
      <c r="K309" s="950" t="s">
        <v>5303</v>
      </c>
      <c r="L309" s="911">
        <v>152.94</v>
      </c>
      <c r="M309" s="911"/>
      <c r="N309" s="911"/>
      <c r="O309" s="911"/>
      <c r="P309" s="911">
        <v>14.87</v>
      </c>
      <c r="Q309" s="911"/>
      <c r="R309" s="951"/>
      <c r="S309" s="920">
        <v>28.42</v>
      </c>
      <c r="T309" s="952">
        <f>SUM(L309:S309)</f>
        <v>196.23000000000002</v>
      </c>
      <c r="U309" s="622"/>
      <c r="V309" s="615"/>
    </row>
    <row r="310" spans="1:25" ht="15">
      <c r="A310" s="949"/>
      <c r="B310" s="950"/>
      <c r="C310" s="907"/>
      <c r="D310" s="950"/>
      <c r="E310" s="950"/>
      <c r="F310" s="950"/>
      <c r="G310" s="950"/>
      <c r="H310" s="950"/>
      <c r="I310" s="950"/>
      <c r="J310" s="950"/>
      <c r="K310" s="950"/>
      <c r="L310" s="911"/>
      <c r="M310" s="911"/>
      <c r="N310" s="911"/>
      <c r="O310" s="911"/>
      <c r="P310" s="911"/>
      <c r="Q310" s="911"/>
      <c r="R310" s="951"/>
      <c r="S310" s="920"/>
      <c r="T310" s="952"/>
      <c r="U310" s="622"/>
      <c r="V310" s="608"/>
    </row>
    <row r="311" spans="1:25" ht="15">
      <c r="A311" s="2517" t="s">
        <v>5305</v>
      </c>
      <c r="B311" s="2518"/>
      <c r="C311" s="2519"/>
      <c r="D311" s="2518"/>
      <c r="E311" s="2518"/>
      <c r="F311" s="2518"/>
      <c r="G311" s="2518"/>
      <c r="H311" s="2518"/>
      <c r="I311" s="2518"/>
      <c r="J311" s="2518"/>
      <c r="K311" s="2520" t="s">
        <v>5389</v>
      </c>
      <c r="L311" s="2521"/>
      <c r="M311" s="2521"/>
      <c r="N311" s="2521"/>
      <c r="O311" s="2521"/>
      <c r="P311" s="2521"/>
      <c r="Q311" s="2521"/>
      <c r="R311" s="2522"/>
      <c r="S311" s="2523"/>
      <c r="T311" s="2524"/>
      <c r="U311" s="621">
        <f>SUM(T312:T335)</f>
        <v>5194.17</v>
      </c>
      <c r="V311" s="615">
        <f>U394</f>
        <v>-2560.6000000000004</v>
      </c>
      <c r="W311" s="615">
        <f>V311+U311</f>
        <v>2633.5699999999997</v>
      </c>
      <c r="Y311" s="4368">
        <f>SUM(Y313:Y324)</f>
        <v>-65.12</v>
      </c>
    </row>
    <row r="312" spans="1:25" ht="15">
      <c r="A312" s="949">
        <v>19757178</v>
      </c>
      <c r="B312" s="955" t="s">
        <v>5355</v>
      </c>
      <c r="C312" s="927" t="s">
        <v>5356</v>
      </c>
      <c r="D312" s="950" t="s">
        <v>5357</v>
      </c>
      <c r="E312" s="950"/>
      <c r="F312" s="950"/>
      <c r="G312" s="950"/>
      <c r="H312" s="950"/>
      <c r="I312" s="950"/>
      <c r="J312" s="950"/>
      <c r="K312" s="950" t="s">
        <v>5309</v>
      </c>
      <c r="L312" s="911">
        <v>27.54</v>
      </c>
      <c r="M312" s="911">
        <v>50.69</v>
      </c>
      <c r="N312" s="911">
        <v>275.31</v>
      </c>
      <c r="O312" s="911"/>
      <c r="P312" s="911">
        <v>8.68</v>
      </c>
      <c r="Q312" s="911">
        <v>35.5</v>
      </c>
      <c r="R312" s="951"/>
      <c r="S312" s="920">
        <v>49.39</v>
      </c>
      <c r="T312" s="952">
        <f t="shared" ref="T312:T331" si="9">SUM(L312:S312)</f>
        <v>447.10999999999996</v>
      </c>
      <c r="U312" s="622"/>
      <c r="V312" s="615"/>
    </row>
    <row r="313" spans="1:25" ht="15">
      <c r="A313" s="949">
        <v>19022624</v>
      </c>
      <c r="B313" s="950" t="s">
        <v>5264</v>
      </c>
      <c r="C313" s="907" t="s">
        <v>5308</v>
      </c>
      <c r="D313" s="950">
        <v>1996</v>
      </c>
      <c r="E313" s="950">
        <v>0</v>
      </c>
      <c r="F313" s="950">
        <v>6600</v>
      </c>
      <c r="G313" s="950">
        <v>4000</v>
      </c>
      <c r="H313" s="950">
        <v>98488</v>
      </c>
      <c r="I313" s="950">
        <v>1</v>
      </c>
      <c r="J313" s="950">
        <v>0</v>
      </c>
      <c r="K313" s="950" t="s">
        <v>5309</v>
      </c>
      <c r="L313" s="911">
        <v>27.54</v>
      </c>
      <c r="M313" s="911"/>
      <c r="N313" s="911"/>
      <c r="O313" s="911"/>
      <c r="P313" s="911">
        <v>8.68</v>
      </c>
      <c r="Q313" s="911">
        <v>75.83</v>
      </c>
      <c r="R313" s="951"/>
      <c r="S313" s="920">
        <v>13.68</v>
      </c>
      <c r="T313" s="952">
        <f t="shared" si="9"/>
        <v>125.72999999999999</v>
      </c>
      <c r="U313" s="622"/>
      <c r="V313" s="615"/>
    </row>
    <row r="314" spans="1:25" ht="15">
      <c r="A314" s="949">
        <v>19241504</v>
      </c>
      <c r="B314" s="950" t="s">
        <v>5239</v>
      </c>
      <c r="C314" s="907" t="s">
        <v>5311</v>
      </c>
      <c r="D314" s="950">
        <v>2005</v>
      </c>
      <c r="E314" s="950">
        <v>84</v>
      </c>
      <c r="F314" s="950">
        <v>2463</v>
      </c>
      <c r="G314" s="950">
        <v>0</v>
      </c>
      <c r="H314" s="950">
        <v>19906</v>
      </c>
      <c r="I314" s="950">
        <v>2</v>
      </c>
      <c r="J314" s="950">
        <v>0</v>
      </c>
      <c r="K314" s="950" t="s">
        <v>5241</v>
      </c>
      <c r="L314" s="911">
        <v>198.58</v>
      </c>
      <c r="M314" s="911"/>
      <c r="N314" s="911"/>
      <c r="O314" s="911"/>
      <c r="P314" s="911">
        <v>8.68</v>
      </c>
      <c r="Q314" s="911"/>
      <c r="R314" s="951"/>
      <c r="S314" s="920">
        <v>26.17</v>
      </c>
      <c r="T314" s="952">
        <f t="shared" si="9"/>
        <v>233.43</v>
      </c>
      <c r="U314" s="622"/>
      <c r="V314" s="615"/>
    </row>
    <row r="315" spans="1:25" ht="15">
      <c r="A315" s="949">
        <v>19295977</v>
      </c>
      <c r="B315" s="950" t="s">
        <v>5298</v>
      </c>
      <c r="C315" s="907" t="s">
        <v>5312</v>
      </c>
      <c r="D315" s="950">
        <v>2007</v>
      </c>
      <c r="E315" s="950">
        <v>88</v>
      </c>
      <c r="F315" s="950">
        <v>0</v>
      </c>
      <c r="G315" s="950">
        <v>0</v>
      </c>
      <c r="H315" s="950">
        <v>20670</v>
      </c>
      <c r="I315" s="950">
        <v>2</v>
      </c>
      <c r="J315" s="950">
        <v>0</v>
      </c>
      <c r="K315" s="950" t="s">
        <v>5241</v>
      </c>
      <c r="L315" s="911">
        <v>206.7</v>
      </c>
      <c r="M315" s="911"/>
      <c r="N315" s="911"/>
      <c r="O315" s="911"/>
      <c r="P315" s="911">
        <v>8.68</v>
      </c>
      <c r="Q315" s="911"/>
      <c r="R315" s="951"/>
      <c r="S315" s="920">
        <v>27.21</v>
      </c>
      <c r="T315" s="952">
        <f t="shared" si="9"/>
        <v>242.59</v>
      </c>
      <c r="U315" s="622"/>
      <c r="V315" s="615"/>
    </row>
    <row r="316" spans="1:25" ht="15">
      <c r="A316" s="949">
        <v>19327360</v>
      </c>
      <c r="B316" s="950" t="s">
        <v>5313</v>
      </c>
      <c r="C316" s="907" t="s">
        <v>5314</v>
      </c>
      <c r="D316" s="950">
        <v>2007</v>
      </c>
      <c r="E316" s="950">
        <v>55</v>
      </c>
      <c r="F316" s="950">
        <v>0</v>
      </c>
      <c r="G316" s="950">
        <v>0</v>
      </c>
      <c r="H316" s="950">
        <v>12286</v>
      </c>
      <c r="I316" s="950">
        <v>1</v>
      </c>
      <c r="J316" s="950">
        <v>0</v>
      </c>
      <c r="K316" s="950" t="s">
        <v>5241</v>
      </c>
      <c r="L316" s="911">
        <v>125.7</v>
      </c>
      <c r="M316" s="911"/>
      <c r="N316" s="911"/>
      <c r="O316" s="911"/>
      <c r="P316" s="911">
        <v>8.68</v>
      </c>
      <c r="Q316" s="911"/>
      <c r="R316" s="951"/>
      <c r="S316" s="920">
        <v>16.809999999999999</v>
      </c>
      <c r="T316" s="952">
        <f t="shared" si="9"/>
        <v>151.19</v>
      </c>
      <c r="U316" s="622"/>
      <c r="V316" s="615"/>
    </row>
    <row r="317" spans="1:25" ht="15">
      <c r="A317" s="949">
        <v>19358287</v>
      </c>
      <c r="B317" s="950" t="s">
        <v>5315</v>
      </c>
      <c r="C317" s="907" t="s">
        <v>5316</v>
      </c>
      <c r="D317" s="950">
        <v>2008</v>
      </c>
      <c r="E317" s="950">
        <v>0</v>
      </c>
      <c r="F317" s="950">
        <v>778</v>
      </c>
      <c r="G317" s="950">
        <v>0</v>
      </c>
      <c r="H317" s="950">
        <v>5885</v>
      </c>
      <c r="I317" s="950">
        <v>0</v>
      </c>
      <c r="J317" s="950">
        <v>0</v>
      </c>
      <c r="K317" s="950" t="s">
        <v>5317</v>
      </c>
      <c r="L317" s="911">
        <v>14.4</v>
      </c>
      <c r="M317" s="911"/>
      <c r="N317" s="911"/>
      <c r="O317" s="911"/>
      <c r="P317" s="911">
        <v>3.72</v>
      </c>
      <c r="Q317" s="911"/>
      <c r="R317" s="951"/>
      <c r="S317" s="920">
        <v>2.13</v>
      </c>
      <c r="T317" s="952">
        <f t="shared" si="9"/>
        <v>20.25</v>
      </c>
      <c r="U317" s="622"/>
      <c r="V317" s="615"/>
    </row>
    <row r="318" spans="1:25" ht="15">
      <c r="A318" s="949">
        <v>19469313</v>
      </c>
      <c r="B318" s="950" t="s">
        <v>5318</v>
      </c>
      <c r="C318" s="927" t="s">
        <v>5358</v>
      </c>
      <c r="D318" s="950">
        <v>2011</v>
      </c>
      <c r="E318" s="950">
        <v>0</v>
      </c>
      <c r="F318" s="950">
        <v>0</v>
      </c>
      <c r="G318" s="950">
        <v>0</v>
      </c>
      <c r="H318" s="950">
        <v>116997</v>
      </c>
      <c r="I318" s="950">
        <v>1</v>
      </c>
      <c r="J318" s="950">
        <v>0</v>
      </c>
      <c r="K318" s="950" t="s">
        <v>5309</v>
      </c>
      <c r="L318" s="911">
        <v>27.54</v>
      </c>
      <c r="M318" s="911"/>
      <c r="N318" s="911"/>
      <c r="O318" s="911"/>
      <c r="P318" s="911">
        <v>8.68</v>
      </c>
      <c r="Q318" s="911"/>
      <c r="R318" s="951"/>
      <c r="S318" s="920">
        <v>4.2</v>
      </c>
      <c r="T318" s="952">
        <f t="shared" si="9"/>
        <v>40.42</v>
      </c>
      <c r="U318" s="622"/>
      <c r="V318" s="615"/>
    </row>
    <row r="319" spans="1:25" ht="15">
      <c r="A319" s="949">
        <v>19482716</v>
      </c>
      <c r="B319" s="950" t="s">
        <v>5298</v>
      </c>
      <c r="C319" s="907" t="s">
        <v>5320</v>
      </c>
      <c r="D319" s="950">
        <v>2011</v>
      </c>
      <c r="E319" s="950">
        <v>92</v>
      </c>
      <c r="F319" s="950">
        <v>0</v>
      </c>
      <c r="G319" s="950">
        <v>0</v>
      </c>
      <c r="H319" s="950">
        <v>25388</v>
      </c>
      <c r="I319" s="950">
        <v>2</v>
      </c>
      <c r="J319" s="950">
        <v>0</v>
      </c>
      <c r="K319" s="950" t="s">
        <v>5241</v>
      </c>
      <c r="L319" s="911">
        <v>193.34</v>
      </c>
      <c r="M319" s="911"/>
      <c r="N319" s="911"/>
      <c r="O319" s="911"/>
      <c r="P319" s="911">
        <v>8.68</v>
      </c>
      <c r="Q319" s="911"/>
      <c r="R319" s="951"/>
      <c r="S319" s="920">
        <v>25.5</v>
      </c>
      <c r="T319" s="952">
        <f t="shared" si="9"/>
        <v>227.52</v>
      </c>
      <c r="U319" s="622"/>
      <c r="V319" s="615"/>
    </row>
    <row r="320" spans="1:25" ht="15">
      <c r="A320" s="949">
        <v>19483528</v>
      </c>
      <c r="B320" s="950" t="s">
        <v>5239</v>
      </c>
      <c r="C320" s="907" t="s">
        <v>5321</v>
      </c>
      <c r="D320" s="950">
        <v>2011</v>
      </c>
      <c r="E320" s="950">
        <v>50</v>
      </c>
      <c r="F320" s="950">
        <v>0</v>
      </c>
      <c r="G320" s="950">
        <v>0</v>
      </c>
      <c r="H320" s="950">
        <v>9952</v>
      </c>
      <c r="I320" s="950">
        <v>2</v>
      </c>
      <c r="J320" s="950">
        <v>0</v>
      </c>
      <c r="K320" s="950" t="s">
        <v>5241</v>
      </c>
      <c r="L320" s="911">
        <v>116.55</v>
      </c>
      <c r="M320" s="911"/>
      <c r="N320" s="911"/>
      <c r="O320" s="911"/>
      <c r="P320" s="911">
        <v>8.68</v>
      </c>
      <c r="Q320" s="911"/>
      <c r="R320" s="951"/>
      <c r="S320" s="920">
        <v>15.63</v>
      </c>
      <c r="T320" s="952">
        <f t="shared" si="9"/>
        <v>140.85999999999999</v>
      </c>
      <c r="U320" s="622"/>
      <c r="V320" s="615"/>
    </row>
    <row r="321" spans="1:25" ht="15">
      <c r="A321" s="949">
        <v>19488216</v>
      </c>
      <c r="B321" s="950" t="s">
        <v>5322</v>
      </c>
      <c r="C321" s="907" t="s">
        <v>5323</v>
      </c>
      <c r="D321" s="950">
        <v>2011</v>
      </c>
      <c r="E321" s="950">
        <v>0</v>
      </c>
      <c r="F321" s="950">
        <v>0</v>
      </c>
      <c r="G321" s="950">
        <v>0</v>
      </c>
      <c r="H321" s="950">
        <v>116997</v>
      </c>
      <c r="I321" s="950">
        <v>1</v>
      </c>
      <c r="J321" s="950">
        <v>0</v>
      </c>
      <c r="K321" s="950" t="s">
        <v>5309</v>
      </c>
      <c r="L321" s="911">
        <v>26.15</v>
      </c>
      <c r="M321" s="911">
        <v>102.97</v>
      </c>
      <c r="N321" s="911">
        <v>536.64</v>
      </c>
      <c r="O321" s="911"/>
      <c r="P321" s="911">
        <v>8.68</v>
      </c>
      <c r="Q321" s="911">
        <v>72.09</v>
      </c>
      <c r="R321" s="951"/>
      <c r="S321" s="920">
        <v>92.97</v>
      </c>
      <c r="T321" s="952">
        <f t="shared" si="9"/>
        <v>839.5</v>
      </c>
      <c r="U321" s="622"/>
      <c r="V321" s="615"/>
    </row>
    <row r="322" spans="1:25" ht="15">
      <c r="A322" s="949">
        <v>2307261</v>
      </c>
      <c r="B322" s="950" t="s">
        <v>5328</v>
      </c>
      <c r="C322" s="907" t="s">
        <v>5329</v>
      </c>
      <c r="D322" s="950">
        <v>1999</v>
      </c>
      <c r="E322" s="950">
        <v>44</v>
      </c>
      <c r="F322" s="950">
        <v>1700</v>
      </c>
      <c r="G322" s="950">
        <v>0</v>
      </c>
      <c r="H322" s="950">
        <v>9916</v>
      </c>
      <c r="I322" s="950">
        <v>2</v>
      </c>
      <c r="J322" s="950">
        <v>0</v>
      </c>
      <c r="K322" s="950" t="s">
        <v>5241</v>
      </c>
      <c r="L322" s="911">
        <v>105.58</v>
      </c>
      <c r="M322" s="911"/>
      <c r="N322" s="911"/>
      <c r="O322" s="911"/>
      <c r="P322" s="911">
        <v>8.68</v>
      </c>
      <c r="Q322" s="911"/>
      <c r="R322" s="951"/>
      <c r="S322" s="920">
        <v>14.22</v>
      </c>
      <c r="T322" s="952">
        <f t="shared" si="9"/>
        <v>128.47999999999999</v>
      </c>
      <c r="U322" s="622"/>
      <c r="V322" s="615"/>
      <c r="Y322" s="520">
        <v>-65.12</v>
      </c>
    </row>
    <row r="323" spans="1:25" ht="15">
      <c r="A323" s="949">
        <v>19057412</v>
      </c>
      <c r="B323" s="950" t="s">
        <v>5330</v>
      </c>
      <c r="C323" s="907" t="s">
        <v>5331</v>
      </c>
      <c r="D323" s="950">
        <v>2000</v>
      </c>
      <c r="E323" s="950">
        <v>0</v>
      </c>
      <c r="F323" s="950">
        <v>0</v>
      </c>
      <c r="G323" s="950">
        <v>0</v>
      </c>
      <c r="H323" s="950">
        <v>24789</v>
      </c>
      <c r="I323" s="950">
        <v>0</v>
      </c>
      <c r="J323" s="950">
        <v>0</v>
      </c>
      <c r="K323" s="950" t="s">
        <v>5332</v>
      </c>
      <c r="L323" s="911">
        <v>61.06</v>
      </c>
      <c r="M323" s="911"/>
      <c r="N323" s="911"/>
      <c r="O323" s="911"/>
      <c r="P323" s="911">
        <v>8.68</v>
      </c>
      <c r="Q323" s="911"/>
      <c r="R323" s="951"/>
      <c r="S323" s="920">
        <v>8.49</v>
      </c>
      <c r="T323" s="952">
        <f t="shared" si="9"/>
        <v>78.23</v>
      </c>
      <c r="U323" s="622"/>
      <c r="V323" s="615"/>
    </row>
    <row r="324" spans="1:25" ht="15">
      <c r="A324" s="949">
        <v>19677178</v>
      </c>
      <c r="B324" s="921" t="s">
        <v>5333</v>
      </c>
      <c r="C324" s="907" t="s">
        <v>5334</v>
      </c>
      <c r="D324" s="950"/>
      <c r="E324" s="950"/>
      <c r="F324" s="950"/>
      <c r="G324" s="950"/>
      <c r="H324" s="950"/>
      <c r="I324" s="950"/>
      <c r="J324" s="950"/>
      <c r="K324" s="950" t="s">
        <v>5335</v>
      </c>
      <c r="L324" s="911">
        <v>27.54</v>
      </c>
      <c r="M324" s="911"/>
      <c r="N324" s="911"/>
      <c r="O324" s="911"/>
      <c r="P324" s="911">
        <v>8.68</v>
      </c>
      <c r="Q324" s="911"/>
      <c r="R324" s="951"/>
      <c r="S324" s="920">
        <v>4.2</v>
      </c>
      <c r="T324" s="952">
        <f t="shared" si="9"/>
        <v>40.42</v>
      </c>
      <c r="U324" s="622"/>
      <c r="V324" s="615"/>
    </row>
    <row r="325" spans="1:25" ht="15">
      <c r="A325" s="949">
        <v>19770680</v>
      </c>
      <c r="B325" s="955" t="s">
        <v>5363</v>
      </c>
      <c r="C325" s="927" t="s">
        <v>5364</v>
      </c>
      <c r="D325" s="950"/>
      <c r="E325" s="950"/>
      <c r="F325" s="950"/>
      <c r="G325" s="950"/>
      <c r="H325" s="950"/>
      <c r="I325" s="950"/>
      <c r="J325" s="950"/>
      <c r="K325" s="955"/>
      <c r="L325" s="911">
        <v>226.25</v>
      </c>
      <c r="M325" s="911">
        <v>20.2</v>
      </c>
      <c r="N325" s="911"/>
      <c r="O325" s="911">
        <v>24.79</v>
      </c>
      <c r="P325" s="911">
        <v>8.68</v>
      </c>
      <c r="Q325" s="911">
        <v>14.13</v>
      </c>
      <c r="R325" s="951"/>
      <c r="S325" s="920">
        <v>37.119999999999997</v>
      </c>
      <c r="T325" s="952">
        <f t="shared" si="9"/>
        <v>331.17</v>
      </c>
      <c r="U325" s="622"/>
      <c r="V325" s="615"/>
    </row>
    <row r="326" spans="1:25" ht="15">
      <c r="A326" s="949">
        <v>19776374</v>
      </c>
      <c r="B326" s="955" t="s">
        <v>5282</v>
      </c>
      <c r="C326" s="927" t="s">
        <v>5365</v>
      </c>
      <c r="D326" s="950"/>
      <c r="E326" s="950"/>
      <c r="F326" s="950"/>
      <c r="G326" s="950"/>
      <c r="H326" s="950"/>
      <c r="I326" s="950"/>
      <c r="J326" s="950"/>
      <c r="K326" s="955"/>
      <c r="L326" s="911">
        <v>207.97</v>
      </c>
      <c r="M326" s="911">
        <v>49.06</v>
      </c>
      <c r="N326" s="911">
        <v>293.95</v>
      </c>
      <c r="O326" s="911"/>
      <c r="P326" s="911">
        <v>8.68</v>
      </c>
      <c r="Q326" s="911">
        <v>49.06</v>
      </c>
      <c r="R326" s="951"/>
      <c r="S326" s="920">
        <v>76.39</v>
      </c>
      <c r="T326" s="952">
        <f t="shared" si="9"/>
        <v>685.11</v>
      </c>
      <c r="U326" s="622"/>
      <c r="V326" s="615"/>
    </row>
    <row r="327" spans="1:25" ht="15">
      <c r="A327" s="949">
        <v>19774565</v>
      </c>
      <c r="B327" s="955" t="s">
        <v>5366</v>
      </c>
      <c r="C327" s="927" t="s">
        <v>5367</v>
      </c>
      <c r="D327" s="950"/>
      <c r="E327" s="950"/>
      <c r="F327" s="950"/>
      <c r="G327" s="950"/>
      <c r="H327" s="950"/>
      <c r="I327" s="950"/>
      <c r="J327" s="950"/>
      <c r="K327" s="955"/>
      <c r="L327" s="911">
        <v>208.85</v>
      </c>
      <c r="M327" s="911">
        <v>18.64</v>
      </c>
      <c r="N327" s="911"/>
      <c r="O327" s="911">
        <v>24.79</v>
      </c>
      <c r="P327" s="911">
        <v>8.68</v>
      </c>
      <c r="Q327" s="911">
        <v>14.9</v>
      </c>
      <c r="R327" s="951"/>
      <c r="S327" s="920">
        <v>34.78</v>
      </c>
      <c r="T327" s="952">
        <f t="shared" si="9"/>
        <v>310.64</v>
      </c>
      <c r="U327" s="622"/>
      <c r="V327" s="608"/>
    </row>
    <row r="328" spans="1:25" ht="15">
      <c r="A328" s="949">
        <v>19814661</v>
      </c>
      <c r="B328" s="955" t="s">
        <v>5371</v>
      </c>
      <c r="C328" s="927" t="s">
        <v>5372</v>
      </c>
      <c r="D328" s="950"/>
      <c r="E328" s="950"/>
      <c r="F328" s="950"/>
      <c r="G328" s="950"/>
      <c r="H328" s="950"/>
      <c r="I328" s="950"/>
      <c r="J328" s="950"/>
      <c r="K328" s="955"/>
      <c r="L328" s="911">
        <v>343.11</v>
      </c>
      <c r="M328" s="911"/>
      <c r="N328" s="911"/>
      <c r="O328" s="911"/>
      <c r="P328" s="911">
        <v>8.68</v>
      </c>
      <c r="Q328" s="911"/>
      <c r="R328" s="951"/>
      <c r="S328" s="920">
        <v>44.74</v>
      </c>
      <c r="T328" s="952">
        <f t="shared" si="9"/>
        <v>396.53000000000003</v>
      </c>
      <c r="U328" s="622"/>
      <c r="V328" s="615"/>
    </row>
    <row r="329" spans="1:25" ht="15">
      <c r="A329" s="949">
        <v>19828023</v>
      </c>
      <c r="B329" s="955" t="s">
        <v>5291</v>
      </c>
      <c r="C329" s="927" t="s">
        <v>5373</v>
      </c>
      <c r="D329" s="950"/>
      <c r="E329" s="950"/>
      <c r="F329" s="950"/>
      <c r="G329" s="950"/>
      <c r="H329" s="950"/>
      <c r="I329" s="950"/>
      <c r="J329" s="950"/>
      <c r="K329" s="955"/>
      <c r="L329" s="911">
        <v>173.23</v>
      </c>
      <c r="M329" s="911">
        <v>10.63</v>
      </c>
      <c r="N329" s="911"/>
      <c r="O329" s="911">
        <v>24.19</v>
      </c>
      <c r="P329" s="911">
        <v>8.68</v>
      </c>
      <c r="Q329" s="911">
        <v>7.46</v>
      </c>
      <c r="R329" s="951"/>
      <c r="S329" s="920">
        <v>28.19</v>
      </c>
      <c r="T329" s="952">
        <f t="shared" si="9"/>
        <v>252.38</v>
      </c>
      <c r="U329" s="622"/>
      <c r="V329" s="615"/>
    </row>
    <row r="330" spans="1:25" ht="15">
      <c r="A330" s="949">
        <v>19805234</v>
      </c>
      <c r="B330" s="955" t="s">
        <v>5374</v>
      </c>
      <c r="C330" s="927" t="s">
        <v>5375</v>
      </c>
      <c r="D330" s="950"/>
      <c r="E330" s="950"/>
      <c r="F330" s="950"/>
      <c r="G330" s="950"/>
      <c r="H330" s="950"/>
      <c r="I330" s="950"/>
      <c r="J330" s="950"/>
      <c r="K330" s="955"/>
      <c r="L330" s="911">
        <v>61.06</v>
      </c>
      <c r="M330" s="911"/>
      <c r="N330" s="911"/>
      <c r="O330" s="911"/>
      <c r="P330" s="911">
        <v>8.68</v>
      </c>
      <c r="Q330" s="911"/>
      <c r="R330" s="951"/>
      <c r="S330" s="920">
        <v>8.49</v>
      </c>
      <c r="T330" s="952">
        <f t="shared" si="9"/>
        <v>78.23</v>
      </c>
      <c r="U330" s="622"/>
      <c r="V330" s="608"/>
    </row>
    <row r="331" spans="1:25" ht="15">
      <c r="A331" s="949">
        <v>19602525</v>
      </c>
      <c r="B331" s="950" t="s">
        <v>5345</v>
      </c>
      <c r="C331" s="907" t="s">
        <v>5346</v>
      </c>
      <c r="D331" s="950"/>
      <c r="E331" s="950"/>
      <c r="F331" s="950"/>
      <c r="G331" s="950"/>
      <c r="H331" s="950"/>
      <c r="I331" s="950"/>
      <c r="J331" s="950"/>
      <c r="K331" s="950" t="s">
        <v>5347</v>
      </c>
      <c r="L331" s="911">
        <v>139.66</v>
      </c>
      <c r="M331" s="911">
        <v>13.19</v>
      </c>
      <c r="N331" s="911"/>
      <c r="O331" s="911">
        <v>24.79</v>
      </c>
      <c r="P331" s="911">
        <v>8.68</v>
      </c>
      <c r="Q331" s="911">
        <v>9.25</v>
      </c>
      <c r="R331" s="951"/>
      <c r="S331" s="920">
        <v>24.49</v>
      </c>
      <c r="T331" s="952">
        <f t="shared" si="9"/>
        <v>220.06</v>
      </c>
      <c r="U331" s="622"/>
      <c r="V331" s="615"/>
    </row>
    <row r="332" spans="1:25" ht="15">
      <c r="A332" s="949">
        <v>19602527</v>
      </c>
      <c r="B332" s="950" t="s">
        <v>5345</v>
      </c>
      <c r="C332" s="907" t="s">
        <v>5348</v>
      </c>
      <c r="D332" s="950"/>
      <c r="E332" s="950"/>
      <c r="F332" s="950"/>
      <c r="G332" s="950"/>
      <c r="H332" s="950"/>
      <c r="I332" s="950"/>
      <c r="J332" s="950"/>
      <c r="K332" s="950" t="s">
        <v>5347</v>
      </c>
      <c r="L332" s="911">
        <v>125.7</v>
      </c>
      <c r="M332" s="911">
        <v>13.19</v>
      </c>
      <c r="N332" s="911"/>
      <c r="O332" s="911">
        <v>24.79</v>
      </c>
      <c r="P332" s="911">
        <v>8.68</v>
      </c>
      <c r="Q332" s="911">
        <v>9.25</v>
      </c>
      <c r="R332" s="951"/>
      <c r="S332" s="920">
        <v>22.71</v>
      </c>
      <c r="T332" s="952">
        <f>SUM(L332:S332)</f>
        <v>204.32000000000002</v>
      </c>
      <c r="U332" s="622"/>
      <c r="V332" s="615"/>
    </row>
    <row r="333" spans="1:25" ht="15">
      <c r="A333" s="949">
        <v>19158325</v>
      </c>
      <c r="B333" s="950" t="s">
        <v>5282</v>
      </c>
      <c r="C333" s="907" t="s">
        <v>5310</v>
      </c>
      <c r="D333" s="950">
        <v>2003</v>
      </c>
      <c r="E333" s="950">
        <v>81</v>
      </c>
      <c r="F333" s="950">
        <v>2286</v>
      </c>
      <c r="G333" s="950">
        <v>0</v>
      </c>
      <c r="H333" s="950">
        <v>22000</v>
      </c>
      <c r="I333" s="950">
        <v>2</v>
      </c>
      <c r="J333" s="950">
        <v>0</v>
      </c>
      <c r="K333" s="950" t="s">
        <v>5241</v>
      </c>
      <c r="L333" s="911"/>
      <c r="M333" s="911"/>
      <c r="N333" s="911"/>
      <c r="O333" s="911"/>
      <c r="P333" s="911"/>
      <c r="Q333" s="911"/>
      <c r="R333" s="951"/>
      <c r="S333" s="920"/>
      <c r="T333" s="952"/>
      <c r="U333" s="622"/>
      <c r="V333" s="615"/>
    </row>
    <row r="334" spans="1:25" ht="15">
      <c r="A334" s="949">
        <v>19805234</v>
      </c>
      <c r="B334" s="955" t="s">
        <v>5374</v>
      </c>
      <c r="C334" s="927" t="s">
        <v>5375</v>
      </c>
      <c r="D334" s="950"/>
      <c r="E334" s="950"/>
      <c r="F334" s="950"/>
      <c r="G334" s="950"/>
      <c r="H334" s="950"/>
      <c r="I334" s="950"/>
      <c r="J334" s="950"/>
      <c r="K334" s="950"/>
      <c r="L334" s="911"/>
      <c r="M334" s="911"/>
      <c r="N334" s="911"/>
      <c r="O334" s="911"/>
      <c r="P334" s="911"/>
      <c r="Q334" s="911"/>
      <c r="R334" s="951"/>
      <c r="S334" s="920"/>
      <c r="T334" s="952"/>
      <c r="U334" s="622"/>
      <c r="V334" s="615"/>
    </row>
    <row r="335" spans="1:25" ht="15">
      <c r="A335" s="949"/>
      <c r="B335" s="950"/>
      <c r="C335" s="907"/>
      <c r="D335" s="950"/>
      <c r="E335" s="950"/>
      <c r="F335" s="950"/>
      <c r="G335" s="950"/>
      <c r="H335" s="950"/>
      <c r="I335" s="950"/>
      <c r="J335" s="950"/>
      <c r="K335" s="950"/>
      <c r="L335" s="911"/>
      <c r="M335" s="911"/>
      <c r="N335" s="911"/>
      <c r="O335" s="911"/>
      <c r="P335" s="911"/>
      <c r="Q335" s="911"/>
      <c r="R335" s="951"/>
      <c r="S335" s="920"/>
      <c r="T335" s="952"/>
      <c r="U335" s="622"/>
      <c r="V335" s="608"/>
    </row>
    <row r="336" spans="1:25" ht="15">
      <c r="A336" s="2517" t="s">
        <v>5336</v>
      </c>
      <c r="B336" s="2518"/>
      <c r="C336" s="2519"/>
      <c r="D336" s="2518"/>
      <c r="E336" s="2518"/>
      <c r="F336" s="2518"/>
      <c r="G336" s="2518"/>
      <c r="H336" s="2518"/>
      <c r="I336" s="2518"/>
      <c r="J336" s="2518"/>
      <c r="K336" s="2520" t="s">
        <v>5390</v>
      </c>
      <c r="L336" s="2521"/>
      <c r="M336" s="2521"/>
      <c r="N336" s="2521"/>
      <c r="O336" s="2521"/>
      <c r="P336" s="2521"/>
      <c r="Q336" s="2521"/>
      <c r="R336" s="2522"/>
      <c r="S336" s="2523"/>
      <c r="T336" s="2524"/>
      <c r="U336" s="621">
        <f>SUM(T337)</f>
        <v>273.52</v>
      </c>
      <c r="V336" s="615">
        <f>U420</f>
        <v>-76.13</v>
      </c>
      <c r="W336" s="615">
        <f>V336+U336</f>
        <v>197.39</v>
      </c>
    </row>
    <row r="337" spans="1:25" ht="15">
      <c r="A337" s="949">
        <v>19540416</v>
      </c>
      <c r="B337" s="950" t="s">
        <v>5277</v>
      </c>
      <c r="C337" s="907" t="s">
        <v>5338</v>
      </c>
      <c r="D337" s="950">
        <v>2013</v>
      </c>
      <c r="E337" s="950">
        <v>96</v>
      </c>
      <c r="F337" s="950">
        <v>2198</v>
      </c>
      <c r="G337" s="950">
        <v>0</v>
      </c>
      <c r="H337" s="950">
        <v>24590</v>
      </c>
      <c r="I337" s="950">
        <v>2</v>
      </c>
      <c r="J337" s="950">
        <v>1</v>
      </c>
      <c r="K337" s="950" t="s">
        <v>5241</v>
      </c>
      <c r="L337" s="911">
        <v>234.1</v>
      </c>
      <c r="M337" s="911"/>
      <c r="N337" s="911"/>
      <c r="O337" s="911"/>
      <c r="P337" s="911">
        <v>8.68</v>
      </c>
      <c r="Q337" s="911"/>
      <c r="R337" s="951"/>
      <c r="S337" s="920">
        <v>30.74</v>
      </c>
      <c r="T337" s="952">
        <f>SUM(L337:S337)</f>
        <v>273.52</v>
      </c>
      <c r="U337" s="622"/>
      <c r="V337" s="615"/>
      <c r="Y337" s="4368">
        <v>-152.86000000000001</v>
      </c>
    </row>
    <row r="338" spans="1:25" ht="15">
      <c r="A338" s="949"/>
      <c r="B338" s="950"/>
      <c r="C338" s="907"/>
      <c r="D338" s="950"/>
      <c r="E338" s="950"/>
      <c r="F338" s="950"/>
      <c r="G338" s="950"/>
      <c r="H338" s="950"/>
      <c r="I338" s="950"/>
      <c r="J338" s="950"/>
      <c r="K338" s="950"/>
      <c r="L338" s="911"/>
      <c r="M338" s="911"/>
      <c r="N338" s="911"/>
      <c r="O338" s="911"/>
      <c r="P338" s="911"/>
      <c r="Q338" s="911"/>
      <c r="R338" s="951"/>
      <c r="S338" s="920"/>
      <c r="T338" s="952"/>
      <c r="U338" s="622"/>
      <c r="V338" s="608"/>
    </row>
    <row r="339" spans="1:25" ht="15">
      <c r="A339" s="2517" t="s">
        <v>5339</v>
      </c>
      <c r="B339" s="2518"/>
      <c r="C339" s="2519"/>
      <c r="D339" s="2518"/>
      <c r="E339" s="2518"/>
      <c r="F339" s="2518"/>
      <c r="G339" s="2518"/>
      <c r="H339" s="2518"/>
      <c r="I339" s="2518"/>
      <c r="J339" s="2518"/>
      <c r="K339" s="2520" t="s">
        <v>5391</v>
      </c>
      <c r="L339" s="2521"/>
      <c r="M339" s="2521"/>
      <c r="N339" s="2521"/>
      <c r="O339" s="2521"/>
      <c r="P339" s="2521"/>
      <c r="Q339" s="2521"/>
      <c r="R339" s="2522"/>
      <c r="S339" s="2523"/>
      <c r="T339" s="2524"/>
      <c r="U339" s="621">
        <f>SUM(T340:T341)</f>
        <v>411.18000000000006</v>
      </c>
      <c r="V339" s="615">
        <f>U423</f>
        <v>-115.13000000000001</v>
      </c>
      <c r="W339" s="615">
        <f>V339+U339</f>
        <v>296.05000000000007</v>
      </c>
    </row>
    <row r="340" spans="1:25" ht="15">
      <c r="A340" s="949">
        <v>19046300</v>
      </c>
      <c r="B340" s="950" t="s">
        <v>5341</v>
      </c>
      <c r="C340" s="907" t="s">
        <v>5228</v>
      </c>
      <c r="D340" s="950">
        <v>1999</v>
      </c>
      <c r="E340" s="950">
        <v>0</v>
      </c>
      <c r="F340" s="950">
        <v>0</v>
      </c>
      <c r="G340" s="950">
        <v>2000</v>
      </c>
      <c r="H340" s="950">
        <v>7437</v>
      </c>
      <c r="I340" s="950">
        <v>0</v>
      </c>
      <c r="J340" s="950">
        <v>0</v>
      </c>
      <c r="K340" s="950" t="s">
        <v>5238</v>
      </c>
      <c r="L340" s="911">
        <v>12.99</v>
      </c>
      <c r="M340" s="911"/>
      <c r="N340" s="911"/>
      <c r="O340" s="911"/>
      <c r="P340" s="911"/>
      <c r="Q340" s="911"/>
      <c r="R340" s="951"/>
      <c r="S340" s="920">
        <v>1.67</v>
      </c>
      <c r="T340" s="952">
        <f>SUM(L340:S340)</f>
        <v>14.66</v>
      </c>
      <c r="U340" s="622"/>
      <c r="V340" s="615"/>
    </row>
    <row r="341" spans="1:25" ht="15">
      <c r="A341" s="949">
        <v>19546172</v>
      </c>
      <c r="B341" s="950" t="s">
        <v>5342</v>
      </c>
      <c r="C341" s="907" t="s">
        <v>5343</v>
      </c>
      <c r="D341" s="950">
        <v>2013</v>
      </c>
      <c r="E341" s="950">
        <v>110</v>
      </c>
      <c r="F341" s="950">
        <v>0</v>
      </c>
      <c r="G341" s="950">
        <v>0</v>
      </c>
      <c r="H341" s="950">
        <v>24051</v>
      </c>
      <c r="I341" s="950">
        <v>6</v>
      </c>
      <c r="J341" s="950">
        <v>1</v>
      </c>
      <c r="K341" s="950" t="s">
        <v>5241</v>
      </c>
      <c r="L341" s="911">
        <v>343.1</v>
      </c>
      <c r="M341" s="911"/>
      <c r="N341" s="911"/>
      <c r="O341" s="911"/>
      <c r="P341" s="911">
        <v>8.68</v>
      </c>
      <c r="Q341" s="911"/>
      <c r="R341" s="951"/>
      <c r="S341" s="920">
        <v>44.74</v>
      </c>
      <c r="T341" s="952">
        <f>SUM(L341:S341)</f>
        <v>396.52000000000004</v>
      </c>
      <c r="U341" s="622"/>
      <c r="V341" s="615"/>
    </row>
    <row r="342" spans="1:25" ht="15">
      <c r="A342" s="949"/>
      <c r="B342" s="950"/>
      <c r="C342" s="907"/>
      <c r="D342" s="950"/>
      <c r="E342" s="950"/>
      <c r="F342" s="950"/>
      <c r="G342" s="950"/>
      <c r="H342" s="950"/>
      <c r="I342" s="950"/>
      <c r="J342" s="950"/>
      <c r="K342" s="950"/>
      <c r="L342" s="911"/>
      <c r="M342" s="911"/>
      <c r="N342" s="911"/>
      <c r="O342" s="911"/>
      <c r="P342" s="911"/>
      <c r="Q342" s="911"/>
      <c r="R342" s="951"/>
      <c r="S342" s="920"/>
      <c r="T342" s="952"/>
      <c r="U342" s="622"/>
      <c r="V342" s="608"/>
    </row>
    <row r="343" spans="1:25" ht="15.75" thickBot="1">
      <c r="A343" s="949"/>
      <c r="B343" s="950"/>
      <c r="C343" s="907"/>
      <c r="D343" s="950"/>
      <c r="E343" s="950"/>
      <c r="F343" s="950"/>
      <c r="G343" s="950"/>
      <c r="H343" s="950"/>
      <c r="I343" s="950"/>
      <c r="J343" s="950"/>
      <c r="K343" s="950"/>
      <c r="L343" s="911"/>
      <c r="M343" s="911"/>
      <c r="N343" s="911"/>
      <c r="O343" s="911"/>
      <c r="P343" s="911"/>
      <c r="Q343" s="911"/>
      <c r="R343" s="951"/>
      <c r="S343" s="920"/>
      <c r="T343" s="952"/>
      <c r="U343" s="622"/>
      <c r="V343" s="608"/>
    </row>
    <row r="344" spans="1:25" ht="15.75" thickBot="1">
      <c r="A344" s="957"/>
      <c r="B344" s="957"/>
      <c r="C344" s="958"/>
      <c r="D344" s="957"/>
      <c r="E344" s="957"/>
      <c r="F344" s="957"/>
      <c r="G344" s="957"/>
      <c r="H344" s="957"/>
      <c r="I344" s="957"/>
      <c r="J344" s="957"/>
      <c r="K344" s="957"/>
      <c r="L344" s="2502">
        <f t="shared" ref="L344:V344" si="10">SUM(L264:L343)</f>
        <v>8315.5699999999979</v>
      </c>
      <c r="M344" s="2502">
        <f t="shared" si="10"/>
        <v>1226.0500000000004</v>
      </c>
      <c r="N344" s="2502">
        <f t="shared" si="10"/>
        <v>4877.13</v>
      </c>
      <c r="O344" s="2502">
        <f t="shared" si="10"/>
        <v>874.01999999999987</v>
      </c>
      <c r="P344" s="2502">
        <f t="shared" si="10"/>
        <v>447.97000000000025</v>
      </c>
      <c r="Q344" s="2502">
        <f t="shared" si="10"/>
        <v>1186.7100000000003</v>
      </c>
      <c r="R344" s="2502">
        <f t="shared" si="10"/>
        <v>0</v>
      </c>
      <c r="S344" s="2502">
        <f t="shared" si="10"/>
        <v>2390.3399999999997</v>
      </c>
      <c r="T344" s="2502">
        <f t="shared" si="10"/>
        <v>17503.560000000005</v>
      </c>
      <c r="U344" s="2502">
        <f t="shared" si="10"/>
        <v>17503.560000000001</v>
      </c>
      <c r="V344" s="2502">
        <f t="shared" si="10"/>
        <v>-1691.6400000000003</v>
      </c>
      <c r="W344" s="615">
        <f>U344+V344</f>
        <v>15811.920000000002</v>
      </c>
      <c r="Y344" s="520">
        <f>Y337+Y311+Y269+Y264</f>
        <v>321.43999999999994</v>
      </c>
    </row>
    <row r="345" spans="1:25" ht="13.5" thickBot="1">
      <c r="V345" s="608"/>
    </row>
    <row r="346" spans="1:25" ht="15.75" thickBot="1">
      <c r="A346" s="4894" t="s">
        <v>5206</v>
      </c>
      <c r="B346" s="4895"/>
      <c r="C346" s="4895"/>
      <c r="D346" s="4895"/>
      <c r="E346" s="4895"/>
      <c r="F346" s="4895"/>
      <c r="G346" s="4895"/>
      <c r="H346" s="4895"/>
      <c r="I346" s="4895"/>
      <c r="J346" s="4895"/>
      <c r="K346" s="4895"/>
      <c r="L346" s="4896" t="s">
        <v>5207</v>
      </c>
      <c r="M346" s="4897"/>
      <c r="N346" s="4897"/>
      <c r="O346" s="4897"/>
      <c r="P346" s="4897"/>
      <c r="Q346" s="4897"/>
      <c r="R346" s="4898"/>
      <c r="S346" s="617"/>
      <c r="T346" s="941"/>
      <c r="U346" s="622"/>
      <c r="V346" s="608"/>
    </row>
    <row r="347" spans="1:25" ht="30">
      <c r="A347" s="2494" t="s">
        <v>5208</v>
      </c>
      <c r="B347" s="2495" t="s">
        <v>5209</v>
      </c>
      <c r="C347" s="2495" t="s">
        <v>5210</v>
      </c>
      <c r="D347" s="2495" t="s">
        <v>634</v>
      </c>
      <c r="E347" s="2495" t="s">
        <v>5211</v>
      </c>
      <c r="F347" s="2495" t="s">
        <v>5212</v>
      </c>
      <c r="G347" s="2495" t="s">
        <v>5213</v>
      </c>
      <c r="H347" s="2496" t="s">
        <v>5214</v>
      </c>
      <c r="I347" s="2495" t="s">
        <v>5215</v>
      </c>
      <c r="J347" s="2495" t="s">
        <v>5216</v>
      </c>
      <c r="K347" s="2495" t="s">
        <v>5217</v>
      </c>
      <c r="L347" s="2497" t="s">
        <v>5218</v>
      </c>
      <c r="M347" s="2497" t="s">
        <v>5219</v>
      </c>
      <c r="N347" s="2497" t="s">
        <v>5220</v>
      </c>
      <c r="O347" s="2497" t="s">
        <v>5221</v>
      </c>
      <c r="P347" s="2498" t="s">
        <v>5222</v>
      </c>
      <c r="Q347" s="2497" t="s">
        <v>5223</v>
      </c>
      <c r="R347" s="2499" t="s">
        <v>5224</v>
      </c>
      <c r="S347" s="2500" t="s">
        <v>5225</v>
      </c>
      <c r="T347" s="2501" t="s">
        <v>8</v>
      </c>
      <c r="U347" s="622"/>
      <c r="V347" s="608"/>
    </row>
    <row r="348" spans="1:25" ht="15">
      <c r="A348" s="942"/>
      <c r="B348" s="944"/>
      <c r="C348" s="943"/>
      <c r="D348" s="944"/>
      <c r="E348" s="944"/>
      <c r="F348" s="944"/>
      <c r="G348" s="944"/>
      <c r="H348" s="945"/>
      <c r="I348" s="944"/>
      <c r="J348" s="944"/>
      <c r="K348" s="944"/>
      <c r="L348" s="946"/>
      <c r="M348" s="946"/>
      <c r="N348" s="946"/>
      <c r="O348" s="946"/>
      <c r="P348" s="946"/>
      <c r="Q348" s="946"/>
      <c r="R348" s="947"/>
      <c r="S348" s="920"/>
      <c r="T348" s="948"/>
      <c r="U348" s="622"/>
    </row>
    <row r="349" spans="1:25" ht="15">
      <c r="A349" s="2516" t="s">
        <v>4743</v>
      </c>
      <c r="B349" s="2525"/>
      <c r="C349" s="2526"/>
      <c r="D349" s="2525"/>
      <c r="E349" s="2525"/>
      <c r="F349" s="2525"/>
      <c r="G349" s="2525"/>
      <c r="H349" s="2527"/>
      <c r="I349" s="2525"/>
      <c r="J349" s="2525"/>
      <c r="K349" s="2526" t="s">
        <v>5378</v>
      </c>
      <c r="L349" s="2528"/>
      <c r="M349" s="2528"/>
      <c r="N349" s="2528"/>
      <c r="O349" s="2528"/>
      <c r="P349" s="2528"/>
      <c r="Q349" s="2528"/>
      <c r="R349" s="2529"/>
      <c r="S349" s="2523"/>
      <c r="T349" s="2530"/>
      <c r="U349" s="621">
        <f>SUM(T350:T351)</f>
        <v>-45.74</v>
      </c>
    </row>
    <row r="350" spans="1:25" ht="15">
      <c r="A350" s="949">
        <v>19157693</v>
      </c>
      <c r="B350" s="950" t="s">
        <v>5230</v>
      </c>
      <c r="C350" s="907" t="s">
        <v>5231</v>
      </c>
      <c r="D350" s="950">
        <v>2003</v>
      </c>
      <c r="E350" s="950">
        <v>51</v>
      </c>
      <c r="F350" s="950">
        <v>1868</v>
      </c>
      <c r="G350" s="950">
        <v>0</v>
      </c>
      <c r="H350" s="950">
        <v>8529</v>
      </c>
      <c r="I350" s="950">
        <v>4</v>
      </c>
      <c r="J350" s="950">
        <v>0</v>
      </c>
      <c r="K350" s="950" t="s">
        <v>5232</v>
      </c>
      <c r="L350" s="911">
        <v>-38.82</v>
      </c>
      <c r="M350" s="911"/>
      <c r="N350" s="911"/>
      <c r="O350" s="911"/>
      <c r="P350" s="911"/>
      <c r="Q350" s="911"/>
      <c r="R350" s="951"/>
      <c r="S350" s="920">
        <v>-6.92</v>
      </c>
      <c r="T350" s="952">
        <f>SUM(L350:S350)</f>
        <v>-45.74</v>
      </c>
      <c r="U350" s="622"/>
    </row>
    <row r="351" spans="1:25" ht="15">
      <c r="A351" s="953"/>
      <c r="B351" s="954" t="s">
        <v>5233</v>
      </c>
      <c r="C351" s="914"/>
      <c r="D351" s="954"/>
      <c r="E351" s="954"/>
      <c r="F351" s="954"/>
      <c r="G351" s="954"/>
      <c r="H351" s="954"/>
      <c r="I351" s="954"/>
      <c r="J351" s="954"/>
      <c r="K351" s="954" t="s">
        <v>5234</v>
      </c>
      <c r="L351" s="916"/>
      <c r="M351" s="916"/>
      <c r="N351" s="916"/>
      <c r="O351" s="916"/>
      <c r="P351" s="916"/>
      <c r="Q351" s="916"/>
      <c r="R351" s="951"/>
      <c r="S351" s="920"/>
      <c r="T351" s="952">
        <f>SUM(L351:S351)</f>
        <v>0</v>
      </c>
      <c r="U351" s="622"/>
    </row>
    <row r="352" spans="1:25" ht="15">
      <c r="A352" s="953"/>
      <c r="B352" s="954"/>
      <c r="C352" s="914"/>
      <c r="D352" s="954"/>
      <c r="E352" s="954"/>
      <c r="F352" s="954"/>
      <c r="G352" s="954"/>
      <c r="H352" s="954"/>
      <c r="I352" s="954"/>
      <c r="J352" s="954"/>
      <c r="K352" s="954"/>
      <c r="L352" s="916"/>
      <c r="M352" s="916"/>
      <c r="N352" s="916"/>
      <c r="O352" s="916"/>
      <c r="P352" s="916"/>
      <c r="Q352" s="916"/>
      <c r="R352" s="951"/>
      <c r="S352" s="920"/>
      <c r="T352" s="952"/>
      <c r="U352" s="622"/>
    </row>
    <row r="353" spans="1:21" ht="15">
      <c r="A353" s="953"/>
      <c r="B353" s="954"/>
      <c r="C353" s="914"/>
      <c r="D353" s="954"/>
      <c r="E353" s="954"/>
      <c r="F353" s="954"/>
      <c r="G353" s="954"/>
      <c r="H353" s="954"/>
      <c r="I353" s="954"/>
      <c r="J353" s="954"/>
      <c r="K353" s="954"/>
      <c r="L353" s="916"/>
      <c r="M353" s="916"/>
      <c r="N353" s="916"/>
      <c r="O353" s="916"/>
      <c r="P353" s="916"/>
      <c r="Q353" s="916"/>
      <c r="R353" s="951"/>
      <c r="S353" s="920"/>
      <c r="T353" s="952"/>
      <c r="U353" s="622"/>
    </row>
    <row r="354" spans="1:21" ht="15">
      <c r="A354" s="2517" t="s">
        <v>5235</v>
      </c>
      <c r="B354" s="2518"/>
      <c r="C354" s="2519"/>
      <c r="D354" s="2518"/>
      <c r="E354" s="2518"/>
      <c r="F354" s="2518"/>
      <c r="G354" s="2518"/>
      <c r="H354" s="2518"/>
      <c r="I354" s="2518"/>
      <c r="J354" s="2518"/>
      <c r="K354" s="2520" t="s">
        <v>5379</v>
      </c>
      <c r="L354" s="2521"/>
      <c r="M354" s="2521"/>
      <c r="N354" s="2521"/>
      <c r="O354" s="2521"/>
      <c r="P354" s="2521"/>
      <c r="Q354" s="2521"/>
      <c r="R354" s="2522"/>
      <c r="S354" s="2523"/>
      <c r="T354" s="2524"/>
      <c r="U354" s="621">
        <f>SUM(T355:T389)</f>
        <v>1209.76</v>
      </c>
    </row>
    <row r="355" spans="1:21" ht="15">
      <c r="A355" s="949">
        <v>2254378</v>
      </c>
      <c r="B355" s="950" t="s">
        <v>5237</v>
      </c>
      <c r="C355" s="907" t="s">
        <v>5228</v>
      </c>
      <c r="D355" s="950">
        <v>1980</v>
      </c>
      <c r="E355" s="950">
        <v>0</v>
      </c>
      <c r="F355" s="950">
        <v>0</v>
      </c>
      <c r="G355" s="950">
        <v>1000</v>
      </c>
      <c r="H355" s="950">
        <v>0</v>
      </c>
      <c r="I355" s="950">
        <v>0</v>
      </c>
      <c r="J355" s="950">
        <v>0</v>
      </c>
      <c r="K355" s="950" t="s">
        <v>5238</v>
      </c>
      <c r="L355" s="911">
        <f>-6.49-1.79</f>
        <v>-8.2800000000000011</v>
      </c>
      <c r="M355" s="911"/>
      <c r="N355" s="911"/>
      <c r="O355" s="911"/>
      <c r="P355" s="911"/>
      <c r="Q355" s="911"/>
      <c r="R355" s="951"/>
      <c r="S355" s="920">
        <f>-0.83-0.23</f>
        <v>-1.06</v>
      </c>
      <c r="T355" s="952">
        <f t="shared" ref="T355:T381" si="11">SUM(L355:S355)</f>
        <v>-9.3400000000000016</v>
      </c>
      <c r="U355" s="621"/>
    </row>
    <row r="356" spans="1:21" ht="15">
      <c r="A356" s="949">
        <v>19743702</v>
      </c>
      <c r="B356" s="955" t="s">
        <v>5350</v>
      </c>
      <c r="C356" s="927" t="s">
        <v>5351</v>
      </c>
      <c r="D356" s="950"/>
      <c r="E356" s="950"/>
      <c r="F356" s="950"/>
      <c r="G356" s="950"/>
      <c r="H356" s="950"/>
      <c r="I356" s="950"/>
      <c r="J356" s="950"/>
      <c r="K356" s="950" t="s">
        <v>5238</v>
      </c>
      <c r="L356" s="911"/>
      <c r="M356" s="911"/>
      <c r="N356" s="911"/>
      <c r="O356" s="911"/>
      <c r="P356" s="911"/>
      <c r="Q356" s="911"/>
      <c r="R356" s="951"/>
      <c r="S356" s="920"/>
      <c r="T356" s="952">
        <f t="shared" si="11"/>
        <v>0</v>
      </c>
      <c r="U356" s="622"/>
    </row>
    <row r="357" spans="1:21" ht="15">
      <c r="A357" s="949">
        <v>2302144</v>
      </c>
      <c r="B357" s="950" t="s">
        <v>5239</v>
      </c>
      <c r="C357" s="907" t="s">
        <v>5240</v>
      </c>
      <c r="D357" s="950">
        <v>1999</v>
      </c>
      <c r="E357" s="950">
        <v>84</v>
      </c>
      <c r="F357" s="950">
        <v>2799</v>
      </c>
      <c r="G357" s="950">
        <v>0</v>
      </c>
      <c r="H357" s="950">
        <v>24789</v>
      </c>
      <c r="I357" s="950">
        <v>2</v>
      </c>
      <c r="J357" s="950">
        <v>0</v>
      </c>
      <c r="K357" s="950" t="s">
        <v>5241</v>
      </c>
      <c r="L357" s="911">
        <v>-76.72</v>
      </c>
      <c r="M357" s="911"/>
      <c r="N357" s="911"/>
      <c r="O357" s="911"/>
      <c r="P357" s="911"/>
      <c r="Q357" s="911"/>
      <c r="R357" s="951"/>
      <c r="S357" s="920">
        <v>-9.85</v>
      </c>
      <c r="T357" s="952">
        <f t="shared" si="11"/>
        <v>-86.57</v>
      </c>
      <c r="U357" s="622"/>
    </row>
    <row r="358" spans="1:21" ht="15">
      <c r="A358" s="949">
        <v>19024173</v>
      </c>
      <c r="B358" s="950" t="s">
        <v>5242</v>
      </c>
      <c r="C358" s="907" t="s">
        <v>5243</v>
      </c>
      <c r="D358" s="950">
        <v>1996</v>
      </c>
      <c r="E358" s="950">
        <v>0</v>
      </c>
      <c r="F358" s="950">
        <v>0</v>
      </c>
      <c r="G358" s="950">
        <v>3500</v>
      </c>
      <c r="H358" s="950">
        <v>5850</v>
      </c>
      <c r="I358" s="950">
        <v>0</v>
      </c>
      <c r="J358" s="950">
        <v>0</v>
      </c>
      <c r="K358" s="950" t="s">
        <v>5238</v>
      </c>
      <c r="L358" s="911">
        <v>-9.57</v>
      </c>
      <c r="M358" s="911"/>
      <c r="N358" s="911"/>
      <c r="O358" s="911"/>
      <c r="P358" s="911"/>
      <c r="Q358" s="911"/>
      <c r="R358" s="951"/>
      <c r="S358" s="920">
        <v>-1.23</v>
      </c>
      <c r="T358" s="952">
        <f t="shared" si="11"/>
        <v>-10.8</v>
      </c>
      <c r="U358" s="622"/>
    </row>
    <row r="359" spans="1:21" ht="15">
      <c r="A359" s="949">
        <v>19025769</v>
      </c>
      <c r="B359" s="950" t="s">
        <v>5244</v>
      </c>
      <c r="C359" s="907" t="s">
        <v>5247</v>
      </c>
      <c r="D359" s="950">
        <v>1996</v>
      </c>
      <c r="E359" s="950">
        <v>180</v>
      </c>
      <c r="F359" s="950">
        <v>10964</v>
      </c>
      <c r="G359" s="950">
        <v>19000</v>
      </c>
      <c r="H359" s="950">
        <v>141027</v>
      </c>
      <c r="I359" s="950">
        <v>2</v>
      </c>
      <c r="J359" s="950">
        <v>0</v>
      </c>
      <c r="K359" s="950" t="s">
        <v>5246</v>
      </c>
      <c r="L359" s="911">
        <v>-97.55</v>
      </c>
      <c r="M359" s="911"/>
      <c r="N359" s="911"/>
      <c r="O359" s="911"/>
      <c r="P359" s="911"/>
      <c r="Q359" s="911"/>
      <c r="R359" s="951"/>
      <c r="S359" s="920">
        <v>-12.52</v>
      </c>
      <c r="T359" s="952">
        <f t="shared" si="11"/>
        <v>-110.07</v>
      </c>
      <c r="U359" s="622"/>
    </row>
    <row r="360" spans="1:21" ht="15">
      <c r="A360" s="949">
        <v>19046774</v>
      </c>
      <c r="B360" s="950" t="s">
        <v>5248</v>
      </c>
      <c r="C360" s="927" t="s">
        <v>5353</v>
      </c>
      <c r="D360" s="950">
        <v>1999</v>
      </c>
      <c r="E360" s="950">
        <v>0</v>
      </c>
      <c r="F360" s="950">
        <v>0</v>
      </c>
      <c r="G360" s="950">
        <v>2000</v>
      </c>
      <c r="H360" s="950">
        <v>6197</v>
      </c>
      <c r="I360" s="950">
        <v>0</v>
      </c>
      <c r="J360" s="950">
        <v>0</v>
      </c>
      <c r="K360" s="950" t="s">
        <v>5238</v>
      </c>
      <c r="L360" s="911">
        <v>-3.57</v>
      </c>
      <c r="M360" s="911"/>
      <c r="N360" s="911"/>
      <c r="O360" s="911"/>
      <c r="P360" s="911"/>
      <c r="Q360" s="911"/>
      <c r="R360" s="951"/>
      <c r="S360" s="920">
        <v>-0.46</v>
      </c>
      <c r="T360" s="952">
        <f t="shared" si="11"/>
        <v>-4.03</v>
      </c>
      <c r="U360" s="622"/>
    </row>
    <row r="361" spans="1:21" ht="15">
      <c r="A361" s="949">
        <v>19055120</v>
      </c>
      <c r="B361" s="950" t="s">
        <v>5249</v>
      </c>
      <c r="C361" s="907" t="s">
        <v>5250</v>
      </c>
      <c r="D361" s="950">
        <v>2000</v>
      </c>
      <c r="E361" s="950">
        <v>51</v>
      </c>
      <c r="F361" s="950">
        <v>1868</v>
      </c>
      <c r="G361" s="950">
        <v>0</v>
      </c>
      <c r="H361" s="950">
        <v>10857</v>
      </c>
      <c r="I361" s="950">
        <v>4</v>
      </c>
      <c r="J361" s="950">
        <v>4</v>
      </c>
      <c r="K361" s="950" t="s">
        <v>5251</v>
      </c>
      <c r="L361" s="911">
        <v>-38.82</v>
      </c>
      <c r="M361" s="911"/>
      <c r="N361" s="911"/>
      <c r="O361" s="911"/>
      <c r="P361" s="911"/>
      <c r="Q361" s="911"/>
      <c r="R361" s="951"/>
      <c r="S361" s="920">
        <v>-6.92</v>
      </c>
      <c r="T361" s="952">
        <f t="shared" si="11"/>
        <v>-45.74</v>
      </c>
      <c r="U361" s="622"/>
    </row>
    <row r="362" spans="1:21" ht="15">
      <c r="A362" s="949">
        <v>19055156</v>
      </c>
      <c r="B362" s="950" t="s">
        <v>5239</v>
      </c>
      <c r="C362" s="907" t="s">
        <v>5252</v>
      </c>
      <c r="D362" s="950">
        <v>2000</v>
      </c>
      <c r="E362" s="950">
        <v>47</v>
      </c>
      <c r="F362" s="950">
        <v>1870</v>
      </c>
      <c r="G362" s="950">
        <v>0</v>
      </c>
      <c r="H362" s="950">
        <v>11279</v>
      </c>
      <c r="I362" s="950">
        <v>1</v>
      </c>
      <c r="J362" s="950">
        <v>3</v>
      </c>
      <c r="K362" s="950" t="s">
        <v>5241</v>
      </c>
      <c r="L362" s="911">
        <v>-30.29</v>
      </c>
      <c r="M362" s="911"/>
      <c r="N362" s="911"/>
      <c r="O362" s="911"/>
      <c r="P362" s="911"/>
      <c r="Q362" s="911"/>
      <c r="R362" s="951"/>
      <c r="S362" s="920">
        <v>-3.89</v>
      </c>
      <c r="T362" s="952">
        <f t="shared" si="11"/>
        <v>-34.18</v>
      </c>
      <c r="U362" s="622"/>
    </row>
    <row r="363" spans="1:21" ht="15">
      <c r="A363" s="949">
        <v>19056155</v>
      </c>
      <c r="B363" s="950" t="s">
        <v>5253</v>
      </c>
      <c r="C363" s="907" t="s">
        <v>5254</v>
      </c>
      <c r="D363" s="950">
        <v>2005</v>
      </c>
      <c r="E363" s="950">
        <v>0</v>
      </c>
      <c r="F363" s="950">
        <v>125</v>
      </c>
      <c r="G363" s="950">
        <v>0</v>
      </c>
      <c r="H363" s="950">
        <v>2434</v>
      </c>
      <c r="I363" s="950">
        <v>1</v>
      </c>
      <c r="J363" s="950">
        <v>0</v>
      </c>
      <c r="K363" s="950" t="s">
        <v>5255</v>
      </c>
      <c r="L363" s="911">
        <v>-30.26</v>
      </c>
      <c r="M363" s="911"/>
      <c r="N363" s="911"/>
      <c r="O363" s="911"/>
      <c r="P363" s="911"/>
      <c r="Q363" s="911"/>
      <c r="R363" s="951"/>
      <c r="S363" s="920">
        <v>-5.4</v>
      </c>
      <c r="T363" s="952">
        <f t="shared" si="11"/>
        <v>-35.660000000000004</v>
      </c>
      <c r="U363" s="622"/>
    </row>
    <row r="364" spans="1:21" ht="15">
      <c r="A364" s="949">
        <v>19057411</v>
      </c>
      <c r="B364" s="950" t="s">
        <v>5256</v>
      </c>
      <c r="C364" s="907" t="s">
        <v>5257</v>
      </c>
      <c r="D364" s="950">
        <v>2000</v>
      </c>
      <c r="E364" s="950">
        <v>0</v>
      </c>
      <c r="F364" s="950">
        <v>0</v>
      </c>
      <c r="G364" s="950">
        <v>3000</v>
      </c>
      <c r="H364" s="950">
        <v>4462</v>
      </c>
      <c r="I364" s="950">
        <v>0</v>
      </c>
      <c r="J364" s="950">
        <v>0</v>
      </c>
      <c r="K364" s="950" t="s">
        <v>5238</v>
      </c>
      <c r="L364" s="911">
        <v>-5.3</v>
      </c>
      <c r="M364" s="911"/>
      <c r="N364" s="911"/>
      <c r="O364" s="911"/>
      <c r="P364" s="911"/>
      <c r="Q364" s="911"/>
      <c r="R364" s="951"/>
      <c r="S364" s="920">
        <v>-0.68</v>
      </c>
      <c r="T364" s="952">
        <f t="shared" si="11"/>
        <v>-5.9799999999999995</v>
      </c>
      <c r="U364" s="622"/>
    </row>
    <row r="365" spans="1:21" ht="15">
      <c r="A365" s="949">
        <v>19125110</v>
      </c>
      <c r="B365" s="950" t="s">
        <v>5258</v>
      </c>
      <c r="C365" s="907" t="s">
        <v>5259</v>
      </c>
      <c r="D365" s="950">
        <v>2002</v>
      </c>
      <c r="E365" s="950">
        <v>0</v>
      </c>
      <c r="F365" s="950">
        <v>0</v>
      </c>
      <c r="G365" s="950">
        <v>1300</v>
      </c>
      <c r="H365" s="950">
        <v>12395</v>
      </c>
      <c r="I365" s="950">
        <v>0</v>
      </c>
      <c r="J365" s="950">
        <v>0</v>
      </c>
      <c r="K365" s="950" t="s">
        <v>5260</v>
      </c>
      <c r="L365" s="911">
        <v>-3.57</v>
      </c>
      <c r="M365" s="911"/>
      <c r="N365" s="911"/>
      <c r="O365" s="911"/>
      <c r="P365" s="911"/>
      <c r="Q365" s="911"/>
      <c r="R365" s="951"/>
      <c r="S365" s="920">
        <v>-0.46</v>
      </c>
      <c r="T365" s="952">
        <f t="shared" si="11"/>
        <v>-4.03</v>
      </c>
      <c r="U365" s="622"/>
    </row>
    <row r="366" spans="1:21" ht="15">
      <c r="A366" s="949">
        <v>19133993</v>
      </c>
      <c r="B366" s="950" t="s">
        <v>5261</v>
      </c>
      <c r="C366" s="907" t="s">
        <v>5262</v>
      </c>
      <c r="D366" s="950">
        <v>2002</v>
      </c>
      <c r="E366" s="950">
        <v>198</v>
      </c>
      <c r="F366" s="950">
        <v>9973</v>
      </c>
      <c r="G366" s="950">
        <v>19000</v>
      </c>
      <c r="H366" s="950">
        <v>119980</v>
      </c>
      <c r="I366" s="950">
        <v>2</v>
      </c>
      <c r="J366" s="950">
        <v>0</v>
      </c>
      <c r="K366" s="950" t="s">
        <v>5246</v>
      </c>
      <c r="L366" s="911">
        <v>-75.88</v>
      </c>
      <c r="M366" s="911"/>
      <c r="N366" s="911"/>
      <c r="O366" s="911"/>
      <c r="P366" s="911"/>
      <c r="Q366" s="911"/>
      <c r="R366" s="951"/>
      <c r="S366" s="920">
        <v>-9.75</v>
      </c>
      <c r="T366" s="952">
        <f t="shared" si="11"/>
        <v>-85.63</v>
      </c>
      <c r="U366" s="622"/>
    </row>
    <row r="367" spans="1:21" ht="15">
      <c r="A367" s="949">
        <v>19149679</v>
      </c>
      <c r="B367" s="960" t="s">
        <v>5263</v>
      </c>
      <c r="C367" s="907" t="s">
        <v>5228</v>
      </c>
      <c r="D367" s="950">
        <v>2003</v>
      </c>
      <c r="E367" s="950">
        <v>0</v>
      </c>
      <c r="F367" s="950">
        <v>0</v>
      </c>
      <c r="G367" s="950">
        <v>2000</v>
      </c>
      <c r="H367" s="950">
        <v>0</v>
      </c>
      <c r="I367" s="950">
        <v>0</v>
      </c>
      <c r="J367" s="950">
        <v>0</v>
      </c>
      <c r="K367" s="950" t="s">
        <v>5238</v>
      </c>
      <c r="L367" s="911">
        <v>-3.57</v>
      </c>
      <c r="M367" s="911"/>
      <c r="N367" s="911"/>
      <c r="O367" s="911"/>
      <c r="P367" s="911"/>
      <c r="Q367" s="911"/>
      <c r="R367" s="951"/>
      <c r="S367" s="920">
        <v>-0.46</v>
      </c>
      <c r="T367" s="952">
        <f t="shared" si="11"/>
        <v>-4.03</v>
      </c>
      <c r="U367" s="622"/>
    </row>
    <row r="368" spans="1:21" ht="15">
      <c r="A368" s="949">
        <v>19236255</v>
      </c>
      <c r="B368" s="950" t="s">
        <v>5230</v>
      </c>
      <c r="C368" s="907" t="s">
        <v>5266</v>
      </c>
      <c r="D368" s="950">
        <v>2005</v>
      </c>
      <c r="E368" s="950">
        <v>51</v>
      </c>
      <c r="F368" s="950">
        <v>1868</v>
      </c>
      <c r="G368" s="950">
        <v>0</v>
      </c>
      <c r="H368" s="950">
        <v>10767</v>
      </c>
      <c r="I368" s="950">
        <v>2</v>
      </c>
      <c r="J368" s="950">
        <v>0</v>
      </c>
      <c r="K368" s="950" t="s">
        <v>5241</v>
      </c>
      <c r="L368" s="911">
        <v>-32.29</v>
      </c>
      <c r="M368" s="911"/>
      <c r="N368" s="911"/>
      <c r="O368" s="911"/>
      <c r="P368" s="911"/>
      <c r="Q368" s="911"/>
      <c r="R368" s="951"/>
      <c r="S368" s="920">
        <v>-4.1500000000000004</v>
      </c>
      <c r="T368" s="952">
        <f t="shared" si="11"/>
        <v>-36.44</v>
      </c>
      <c r="U368" s="622"/>
    </row>
    <row r="369" spans="1:21" ht="15">
      <c r="A369" s="949">
        <v>19307022</v>
      </c>
      <c r="B369" s="950" t="s">
        <v>5267</v>
      </c>
      <c r="C369" s="907" t="s">
        <v>5268</v>
      </c>
      <c r="D369" s="950">
        <v>2001</v>
      </c>
      <c r="E369" s="950">
        <v>51</v>
      </c>
      <c r="F369" s="950">
        <v>0</v>
      </c>
      <c r="G369" s="950">
        <v>0</v>
      </c>
      <c r="H369" s="950">
        <v>0</v>
      </c>
      <c r="I369" s="950">
        <v>4</v>
      </c>
      <c r="J369" s="950">
        <v>0</v>
      </c>
      <c r="K369" s="950" t="s">
        <v>5269</v>
      </c>
      <c r="L369" s="911">
        <v>-38.82</v>
      </c>
      <c r="M369" s="911"/>
      <c r="N369" s="911"/>
      <c r="O369" s="911"/>
      <c r="P369" s="911"/>
      <c r="Q369" s="911"/>
      <c r="R369" s="951"/>
      <c r="S369" s="920">
        <v>-6.92</v>
      </c>
      <c r="T369" s="952">
        <f t="shared" si="11"/>
        <v>-45.74</v>
      </c>
      <c r="U369" s="622"/>
    </row>
    <row r="370" spans="1:21" ht="15">
      <c r="A370" s="949">
        <v>19315939</v>
      </c>
      <c r="B370" s="950" t="s">
        <v>5270</v>
      </c>
      <c r="C370" s="907" t="s">
        <v>5271</v>
      </c>
      <c r="D370" s="950">
        <v>2007</v>
      </c>
      <c r="E370" s="950">
        <v>0</v>
      </c>
      <c r="F370" s="950">
        <v>0</v>
      </c>
      <c r="G370" s="950">
        <v>2700</v>
      </c>
      <c r="H370" s="950">
        <v>4471</v>
      </c>
      <c r="I370" s="950">
        <v>0</v>
      </c>
      <c r="J370" s="950">
        <v>0</v>
      </c>
      <c r="K370" s="950" t="s">
        <v>5238</v>
      </c>
      <c r="L370" s="911">
        <v>-6.81</v>
      </c>
      <c r="M370" s="911"/>
      <c r="N370" s="911"/>
      <c r="O370" s="911"/>
      <c r="P370" s="911"/>
      <c r="Q370" s="911"/>
      <c r="R370" s="951"/>
      <c r="S370" s="920">
        <v>-0.88</v>
      </c>
      <c r="T370" s="952">
        <f t="shared" si="11"/>
        <v>-7.6899999999999995</v>
      </c>
      <c r="U370" s="622"/>
    </row>
    <row r="371" spans="1:21" ht="15">
      <c r="A371" s="949">
        <v>19350146</v>
      </c>
      <c r="B371" s="950" t="s">
        <v>5272</v>
      </c>
      <c r="C371" s="907" t="s">
        <v>5273</v>
      </c>
      <c r="D371" s="950">
        <v>2013</v>
      </c>
      <c r="E371" s="950">
        <v>0</v>
      </c>
      <c r="F371" s="950">
        <v>0</v>
      </c>
      <c r="G371" s="950">
        <v>2000</v>
      </c>
      <c r="H371" s="950">
        <v>0</v>
      </c>
      <c r="I371" s="950">
        <v>0</v>
      </c>
      <c r="J371" s="950">
        <v>0</v>
      </c>
      <c r="K371" s="950" t="s">
        <v>5274</v>
      </c>
      <c r="L371" s="911">
        <v>-7.98</v>
      </c>
      <c r="M371" s="911"/>
      <c r="N371" s="911"/>
      <c r="O371" s="911"/>
      <c r="P371" s="911"/>
      <c r="Q371" s="911"/>
      <c r="R371" s="951"/>
      <c r="S371" s="920">
        <v>-1.02</v>
      </c>
      <c r="T371" s="952">
        <f t="shared" si="11"/>
        <v>-9</v>
      </c>
      <c r="U371" s="622"/>
    </row>
    <row r="372" spans="1:21" ht="15">
      <c r="A372" s="949">
        <v>19352145</v>
      </c>
      <c r="B372" s="950" t="s">
        <v>5270</v>
      </c>
      <c r="C372" s="907" t="s">
        <v>5228</v>
      </c>
      <c r="D372" s="950">
        <v>2008</v>
      </c>
      <c r="E372" s="950">
        <v>0</v>
      </c>
      <c r="F372" s="950">
        <v>0</v>
      </c>
      <c r="G372" s="950">
        <v>2700</v>
      </c>
      <c r="H372" s="950">
        <v>4713</v>
      </c>
      <c r="I372" s="950">
        <v>0</v>
      </c>
      <c r="J372" s="950">
        <v>0</v>
      </c>
      <c r="K372" s="950" t="s">
        <v>5238</v>
      </c>
      <c r="L372" s="911">
        <v>-6.81</v>
      </c>
      <c r="M372" s="911"/>
      <c r="N372" s="911"/>
      <c r="O372" s="911"/>
      <c r="P372" s="911"/>
      <c r="Q372" s="911"/>
      <c r="R372" s="951"/>
      <c r="S372" s="920">
        <v>-0.88</v>
      </c>
      <c r="T372" s="952">
        <f t="shared" si="11"/>
        <v>-7.6899999999999995</v>
      </c>
      <c r="U372" s="622"/>
    </row>
    <row r="373" spans="1:21" ht="15">
      <c r="A373" s="949">
        <v>19399222</v>
      </c>
      <c r="B373" s="950" t="s">
        <v>5275</v>
      </c>
      <c r="C373" s="907" t="s">
        <v>5276</v>
      </c>
      <c r="D373" s="950">
        <v>2006</v>
      </c>
      <c r="E373" s="950">
        <v>69</v>
      </c>
      <c r="F373" s="950">
        <v>0</v>
      </c>
      <c r="G373" s="950">
        <v>0</v>
      </c>
      <c r="H373" s="950">
        <v>0</v>
      </c>
      <c r="I373" s="950">
        <v>2</v>
      </c>
      <c r="J373" s="950">
        <v>0</v>
      </c>
      <c r="K373" s="950" t="s">
        <v>5241</v>
      </c>
      <c r="L373" s="911">
        <v>-41.26</v>
      </c>
      <c r="M373" s="911"/>
      <c r="N373" s="911"/>
      <c r="O373" s="911"/>
      <c r="P373" s="911"/>
      <c r="Q373" s="911"/>
      <c r="R373" s="951"/>
      <c r="S373" s="920">
        <v>-5.3</v>
      </c>
      <c r="T373" s="952">
        <f t="shared" si="11"/>
        <v>-46.559999999999995</v>
      </c>
      <c r="U373" s="622"/>
    </row>
    <row r="374" spans="1:21" ht="15">
      <c r="A374" s="949">
        <v>19454625</v>
      </c>
      <c r="B374" s="950" t="s">
        <v>5277</v>
      </c>
      <c r="C374" s="907" t="s">
        <v>5278</v>
      </c>
      <c r="D374" s="950">
        <v>2010</v>
      </c>
      <c r="E374" s="950">
        <v>116</v>
      </c>
      <c r="F374" s="950">
        <v>0</v>
      </c>
      <c r="G374" s="950">
        <v>0</v>
      </c>
      <c r="H374" s="950">
        <v>35000</v>
      </c>
      <c r="I374" s="950">
        <v>2</v>
      </c>
      <c r="J374" s="950">
        <v>0</v>
      </c>
      <c r="K374" s="950" t="s">
        <v>5241</v>
      </c>
      <c r="L374" s="911">
        <v>-71.89</v>
      </c>
      <c r="M374" s="911"/>
      <c r="N374" s="911"/>
      <c r="O374" s="911"/>
      <c r="P374" s="911"/>
      <c r="Q374" s="911"/>
      <c r="R374" s="951"/>
      <c r="S374" s="920">
        <v>-9.23</v>
      </c>
      <c r="T374" s="952">
        <f t="shared" si="11"/>
        <v>-81.12</v>
      </c>
      <c r="U374" s="622"/>
    </row>
    <row r="375" spans="1:21" ht="15">
      <c r="A375" s="949">
        <v>19464059</v>
      </c>
      <c r="B375" s="950" t="s">
        <v>5279</v>
      </c>
      <c r="C375" s="907" t="s">
        <v>5280</v>
      </c>
      <c r="D375" s="950">
        <v>2010</v>
      </c>
      <c r="E375" s="950">
        <v>96</v>
      </c>
      <c r="F375" s="950">
        <v>2488</v>
      </c>
      <c r="G375" s="950">
        <v>0</v>
      </c>
      <c r="H375" s="950">
        <v>72479</v>
      </c>
      <c r="I375" s="950">
        <v>2</v>
      </c>
      <c r="J375" s="950">
        <v>0</v>
      </c>
      <c r="K375" s="950" t="s">
        <v>5241</v>
      </c>
      <c r="L375" s="911">
        <v>-54.72</v>
      </c>
      <c r="M375" s="911"/>
      <c r="N375" s="911"/>
      <c r="O375" s="911"/>
      <c r="P375" s="911"/>
      <c r="Q375" s="911"/>
      <c r="R375" s="951"/>
      <c r="S375" s="920">
        <v>-7.03</v>
      </c>
      <c r="T375" s="952">
        <f t="shared" si="11"/>
        <v>-61.75</v>
      </c>
      <c r="U375" s="622"/>
    </row>
    <row r="376" spans="1:21" ht="15">
      <c r="A376" s="949">
        <v>19479152</v>
      </c>
      <c r="B376" s="950" t="s">
        <v>5281</v>
      </c>
      <c r="C376" s="907" t="s">
        <v>5228</v>
      </c>
      <c r="D376" s="950">
        <v>2011</v>
      </c>
      <c r="E376" s="950">
        <v>0</v>
      </c>
      <c r="F376" s="950">
        <v>0</v>
      </c>
      <c r="G376" s="950">
        <v>3500</v>
      </c>
      <c r="H376" s="950">
        <v>0</v>
      </c>
      <c r="I376" s="950">
        <v>0</v>
      </c>
      <c r="J376" s="950">
        <v>0</v>
      </c>
      <c r="K376" s="950" t="s">
        <v>5238</v>
      </c>
      <c r="L376" s="911">
        <v>-8.82</v>
      </c>
      <c r="M376" s="911"/>
      <c r="N376" s="911"/>
      <c r="O376" s="911"/>
      <c r="P376" s="911"/>
      <c r="Q376" s="911"/>
      <c r="R376" s="951"/>
      <c r="S376" s="920">
        <v>-1.1399999999999999</v>
      </c>
      <c r="T376" s="952">
        <f t="shared" si="11"/>
        <v>-9.9600000000000009</v>
      </c>
      <c r="U376" s="622"/>
    </row>
    <row r="377" spans="1:21" ht="15">
      <c r="A377" s="949">
        <v>19488224</v>
      </c>
      <c r="B377" s="950" t="s">
        <v>5282</v>
      </c>
      <c r="C377" s="907" t="s">
        <v>5283</v>
      </c>
      <c r="D377" s="950">
        <v>2011</v>
      </c>
      <c r="E377" s="950">
        <v>74</v>
      </c>
      <c r="F377" s="950">
        <v>0</v>
      </c>
      <c r="G377" s="950">
        <v>0</v>
      </c>
      <c r="H377" s="950">
        <v>22489</v>
      </c>
      <c r="I377" s="950">
        <v>2</v>
      </c>
      <c r="J377" s="950">
        <v>0</v>
      </c>
      <c r="K377" s="950" t="s">
        <v>5241</v>
      </c>
      <c r="L377" s="911">
        <v>-43.75</v>
      </c>
      <c r="M377" s="911"/>
      <c r="N377" s="911"/>
      <c r="O377" s="911"/>
      <c r="P377" s="911"/>
      <c r="Q377" s="911"/>
      <c r="R377" s="951"/>
      <c r="S377" s="920">
        <v>-5.62</v>
      </c>
      <c r="T377" s="952">
        <f t="shared" si="11"/>
        <v>-49.37</v>
      </c>
      <c r="U377" s="622"/>
    </row>
    <row r="378" spans="1:21" ht="15">
      <c r="A378" s="949">
        <v>19047864</v>
      </c>
      <c r="B378" s="950" t="s">
        <v>5230</v>
      </c>
      <c r="C378" s="907" t="s">
        <v>5285</v>
      </c>
      <c r="D378" s="950">
        <v>1999</v>
      </c>
      <c r="E378" s="950">
        <v>63</v>
      </c>
      <c r="F378" s="950">
        <v>2446</v>
      </c>
      <c r="G378" s="950">
        <v>0</v>
      </c>
      <c r="H378" s="950">
        <v>18592</v>
      </c>
      <c r="I378" s="950">
        <v>2</v>
      </c>
      <c r="J378" s="950">
        <v>0</v>
      </c>
      <c r="K378" s="950" t="s">
        <v>5241</v>
      </c>
      <c r="L378" s="911">
        <v>-89.3</v>
      </c>
      <c r="M378" s="911"/>
      <c r="N378" s="911"/>
      <c r="O378" s="911"/>
      <c r="P378" s="911"/>
      <c r="Q378" s="911"/>
      <c r="R378" s="951"/>
      <c r="S378" s="920">
        <v>-11.47</v>
      </c>
      <c r="T378" s="952">
        <f t="shared" si="11"/>
        <v>-100.77</v>
      </c>
      <c r="U378" s="622"/>
    </row>
    <row r="379" spans="1:21" ht="15">
      <c r="A379" s="949">
        <v>19616686</v>
      </c>
      <c r="B379" s="950" t="s">
        <v>5289</v>
      </c>
      <c r="C379" s="907" t="s">
        <v>5290</v>
      </c>
      <c r="D379" s="950"/>
      <c r="E379" s="950"/>
      <c r="F379" s="950"/>
      <c r="G379" s="950"/>
      <c r="H379" s="950"/>
      <c r="I379" s="950"/>
      <c r="J379" s="950"/>
      <c r="K379" s="950" t="s">
        <v>5241</v>
      </c>
      <c r="L379" s="911">
        <v>-52.73</v>
      </c>
      <c r="M379" s="911">
        <v>-6.1</v>
      </c>
      <c r="N379" s="911"/>
      <c r="O379" s="911"/>
      <c r="P379" s="911"/>
      <c r="Q379" s="911">
        <v>-4.29</v>
      </c>
      <c r="R379" s="951"/>
      <c r="S379" s="920">
        <v>-8.07</v>
      </c>
      <c r="T379" s="952">
        <f t="shared" si="11"/>
        <v>-71.19</v>
      </c>
      <c r="U379" s="622"/>
    </row>
    <row r="380" spans="1:21" ht="15">
      <c r="A380" s="949">
        <v>19647948</v>
      </c>
      <c r="B380" s="950" t="s">
        <v>5291</v>
      </c>
      <c r="C380" s="907" t="s">
        <v>5292</v>
      </c>
      <c r="D380" s="950"/>
      <c r="E380" s="950"/>
      <c r="F380" s="950"/>
      <c r="G380" s="950"/>
      <c r="H380" s="950"/>
      <c r="I380" s="950"/>
      <c r="J380" s="950"/>
      <c r="K380" s="950" t="s">
        <v>5241</v>
      </c>
      <c r="L380" s="911">
        <v>-58.2</v>
      </c>
      <c r="M380" s="911"/>
      <c r="N380" s="911"/>
      <c r="O380" s="911"/>
      <c r="P380" s="911"/>
      <c r="Q380" s="911"/>
      <c r="R380" s="951"/>
      <c r="S380" s="920">
        <v>-7.47</v>
      </c>
      <c r="T380" s="952">
        <f t="shared" si="11"/>
        <v>-65.67</v>
      </c>
      <c r="U380" s="622"/>
    </row>
    <row r="381" spans="1:21" ht="15">
      <c r="A381" s="949">
        <v>19565323</v>
      </c>
      <c r="B381" s="950" t="s">
        <v>5293</v>
      </c>
      <c r="C381" s="907" t="s">
        <v>5294</v>
      </c>
      <c r="D381" s="950"/>
      <c r="E381" s="950"/>
      <c r="F381" s="950"/>
      <c r="G381" s="950"/>
      <c r="H381" s="950"/>
      <c r="I381" s="950"/>
      <c r="J381" s="950"/>
      <c r="K381" s="950" t="s">
        <v>5295</v>
      </c>
      <c r="L381" s="911">
        <v>-32.29</v>
      </c>
      <c r="M381" s="911"/>
      <c r="N381" s="911"/>
      <c r="O381" s="911"/>
      <c r="P381" s="911"/>
      <c r="Q381" s="911"/>
      <c r="R381" s="951"/>
      <c r="S381" s="920">
        <v>-4.1500000000000004</v>
      </c>
      <c r="T381" s="952">
        <f t="shared" si="11"/>
        <v>-36.44</v>
      </c>
      <c r="U381" s="622"/>
    </row>
    <row r="382" spans="1:21" ht="15">
      <c r="A382" s="949">
        <v>19565324</v>
      </c>
      <c r="B382" s="950" t="s">
        <v>5291</v>
      </c>
      <c r="C382" s="907" t="s">
        <v>5296</v>
      </c>
      <c r="D382" s="950"/>
      <c r="E382" s="950"/>
      <c r="F382" s="950"/>
      <c r="G382" s="950"/>
      <c r="H382" s="950"/>
      <c r="I382" s="950"/>
      <c r="J382" s="950"/>
      <c r="K382" s="950" t="s">
        <v>5295</v>
      </c>
      <c r="L382" s="911">
        <v>-34.78</v>
      </c>
      <c r="M382" s="911"/>
      <c r="N382" s="911"/>
      <c r="O382" s="911"/>
      <c r="P382" s="911"/>
      <c r="Q382" s="911"/>
      <c r="R382" s="951"/>
      <c r="S382" s="920">
        <v>-4.47</v>
      </c>
      <c r="T382" s="952">
        <f>SUM(L382:S382)</f>
        <v>-39.25</v>
      </c>
      <c r="U382" s="622"/>
    </row>
    <row r="383" spans="1:21" ht="15">
      <c r="A383" s="949">
        <v>19568323</v>
      </c>
      <c r="B383" s="950" t="s">
        <v>5289</v>
      </c>
      <c r="C383" s="907" t="s">
        <v>5297</v>
      </c>
      <c r="D383" s="950"/>
      <c r="E383" s="950"/>
      <c r="F383" s="950"/>
      <c r="G383" s="950"/>
      <c r="H383" s="950"/>
      <c r="I383" s="950"/>
      <c r="J383" s="950"/>
      <c r="K383" s="955" t="s">
        <v>5354</v>
      </c>
      <c r="L383" s="911">
        <v>-43.75</v>
      </c>
      <c r="M383" s="911"/>
      <c r="N383" s="911"/>
      <c r="O383" s="911"/>
      <c r="P383" s="911"/>
      <c r="Q383" s="911"/>
      <c r="R383" s="951"/>
      <c r="S383" s="920">
        <v>-5.62</v>
      </c>
      <c r="T383" s="952">
        <f t="shared" ref="T383:T388" si="12">SUM(L383:S383)</f>
        <v>-49.37</v>
      </c>
      <c r="U383" s="622"/>
    </row>
    <row r="384" spans="1:21" ht="15">
      <c r="A384" s="949">
        <v>19361432</v>
      </c>
      <c r="B384" s="950" t="s">
        <v>5298</v>
      </c>
      <c r="C384" s="907" t="s">
        <v>5299</v>
      </c>
      <c r="D384" s="950">
        <v>2008</v>
      </c>
      <c r="E384" s="950">
        <v>88</v>
      </c>
      <c r="F384" s="950">
        <v>2464</v>
      </c>
      <c r="G384" s="950">
        <v>3500</v>
      </c>
      <c r="H384" s="950">
        <v>30211</v>
      </c>
      <c r="I384" s="950">
        <v>2</v>
      </c>
      <c r="J384" s="950">
        <v>0</v>
      </c>
      <c r="K384" s="950" t="s">
        <v>5241</v>
      </c>
      <c r="L384" s="911">
        <v>-118.37</v>
      </c>
      <c r="M384" s="911"/>
      <c r="N384" s="911"/>
      <c r="O384" s="911"/>
      <c r="P384" s="911"/>
      <c r="Q384" s="911"/>
      <c r="R384" s="951"/>
      <c r="S384" s="920">
        <v>-15.22</v>
      </c>
      <c r="T384" s="952">
        <f t="shared" si="12"/>
        <v>-133.59</v>
      </c>
      <c r="U384" s="622"/>
    </row>
    <row r="385" spans="1:21" ht="15">
      <c r="A385" s="949">
        <v>19794335</v>
      </c>
      <c r="B385" s="955" t="s">
        <v>5369</v>
      </c>
      <c r="C385" s="927" t="s">
        <v>5370</v>
      </c>
      <c r="D385" s="950"/>
      <c r="E385" s="950"/>
      <c r="F385" s="950"/>
      <c r="G385" s="950"/>
      <c r="H385" s="950"/>
      <c r="I385" s="950"/>
      <c r="J385" s="950"/>
      <c r="K385" s="955" t="s">
        <v>5238</v>
      </c>
      <c r="L385" s="911">
        <v>-3.57</v>
      </c>
      <c r="M385" s="911">
        <v>-0.99</v>
      </c>
      <c r="N385" s="911">
        <v>-3.47</v>
      </c>
      <c r="O385" s="911"/>
      <c r="P385" s="911"/>
      <c r="Q385" s="911">
        <v>-0.99</v>
      </c>
      <c r="R385" s="951"/>
      <c r="S385" s="920">
        <v>-1.1599999999999999</v>
      </c>
      <c r="T385" s="952">
        <f t="shared" si="12"/>
        <v>-10.18</v>
      </c>
      <c r="U385" s="622"/>
    </row>
    <row r="386" spans="1:21" ht="15">
      <c r="A386" s="959" t="s">
        <v>5380</v>
      </c>
      <c r="B386" s="960" t="s">
        <v>5282</v>
      </c>
      <c r="C386" s="961" t="s">
        <v>5381</v>
      </c>
      <c r="D386" s="950">
        <v>2019</v>
      </c>
      <c r="E386" s="950"/>
      <c r="F386" s="950"/>
      <c r="G386" s="950"/>
      <c r="H386" s="950"/>
      <c r="I386" s="950"/>
      <c r="J386" s="950"/>
      <c r="K386" s="955"/>
      <c r="L386" s="911">
        <v>191.45</v>
      </c>
      <c r="M386" s="911">
        <v>32.56</v>
      </c>
      <c r="N386" s="911">
        <v>185.91</v>
      </c>
      <c r="O386" s="911">
        <v>7.99</v>
      </c>
      <c r="P386" s="911">
        <v>32.56</v>
      </c>
      <c r="Q386" s="911"/>
      <c r="R386" s="951"/>
      <c r="S386" s="920">
        <v>56.58</v>
      </c>
      <c r="T386" s="952">
        <f t="shared" si="12"/>
        <v>507.04999999999995</v>
      </c>
      <c r="U386" s="622"/>
    </row>
    <row r="387" spans="1:21" ht="15">
      <c r="A387" s="959" t="s">
        <v>5382</v>
      </c>
      <c r="B387" s="960" t="s">
        <v>5383</v>
      </c>
      <c r="C387" s="961" t="s">
        <v>5384</v>
      </c>
      <c r="D387" s="950">
        <v>2019</v>
      </c>
      <c r="E387" s="950"/>
      <c r="F387" s="950"/>
      <c r="G387" s="950"/>
      <c r="H387" s="950"/>
      <c r="I387" s="950"/>
      <c r="J387" s="950"/>
      <c r="K387" s="955"/>
      <c r="L387" s="911">
        <v>59.83</v>
      </c>
      <c r="M387" s="911">
        <v>13.71</v>
      </c>
      <c r="N387" s="911">
        <v>75.78</v>
      </c>
      <c r="O387" s="911"/>
      <c r="P387" s="911">
        <v>2.5</v>
      </c>
      <c r="Q387" s="911">
        <v>13.71</v>
      </c>
      <c r="R387" s="951"/>
      <c r="S387" s="920">
        <v>20.79</v>
      </c>
      <c r="T387" s="952">
        <f t="shared" si="12"/>
        <v>186.32</v>
      </c>
      <c r="U387" s="622"/>
    </row>
    <row r="388" spans="1:21" ht="15">
      <c r="A388" s="962" t="s">
        <v>5385</v>
      </c>
      <c r="B388" s="963" t="s">
        <v>5386</v>
      </c>
      <c r="C388" s="964" t="s">
        <v>5387</v>
      </c>
      <c r="D388" s="950">
        <v>2019</v>
      </c>
      <c r="E388" s="950"/>
      <c r="F388" s="950"/>
      <c r="G388" s="950"/>
      <c r="H388" s="950"/>
      <c r="I388" s="950"/>
      <c r="J388" s="950"/>
      <c r="K388" s="955"/>
      <c r="L388" s="911">
        <v>448.31</v>
      </c>
      <c r="M388" s="911">
        <v>138.36000000000001</v>
      </c>
      <c r="N388" s="911">
        <v>893.19</v>
      </c>
      <c r="O388" s="911">
        <v>25.88</v>
      </c>
      <c r="P388" s="911">
        <v>9.06</v>
      </c>
      <c r="Q388" s="911">
        <v>96.86</v>
      </c>
      <c r="R388" s="951"/>
      <c r="S388" s="920">
        <v>202.57</v>
      </c>
      <c r="T388" s="952">
        <f t="shared" si="12"/>
        <v>1814.23</v>
      </c>
      <c r="U388" s="622"/>
    </row>
    <row r="389" spans="1:21" ht="15">
      <c r="A389" s="949"/>
      <c r="B389" s="950"/>
      <c r="C389" s="907"/>
      <c r="D389" s="950"/>
      <c r="E389" s="950"/>
      <c r="F389" s="950"/>
      <c r="G389" s="950"/>
      <c r="H389" s="950"/>
      <c r="I389" s="950"/>
      <c r="J389" s="950"/>
      <c r="K389" s="950"/>
      <c r="L389" s="911"/>
      <c r="M389" s="911"/>
      <c r="N389" s="911"/>
      <c r="O389" s="911"/>
      <c r="P389" s="911"/>
      <c r="Q389" s="911"/>
      <c r="R389" s="951"/>
      <c r="S389" s="920"/>
      <c r="T389" s="952"/>
      <c r="U389" s="622"/>
    </row>
    <row r="390" spans="1:21" ht="15">
      <c r="A390" s="2517" t="s">
        <v>5300</v>
      </c>
      <c r="B390" s="2518"/>
      <c r="C390" s="2519"/>
      <c r="D390" s="2518"/>
      <c r="E390" s="2518"/>
      <c r="F390" s="2518"/>
      <c r="G390" s="2518"/>
      <c r="H390" s="2518"/>
      <c r="I390" s="2518"/>
      <c r="J390" s="2518"/>
      <c r="K390" s="2520" t="s">
        <v>5388</v>
      </c>
      <c r="L390" s="2521"/>
      <c r="M390" s="2521"/>
      <c r="N390" s="2521"/>
      <c r="O390" s="2521"/>
      <c r="P390" s="2521"/>
      <c r="Q390" s="2521"/>
      <c r="R390" s="2522"/>
      <c r="S390" s="2523"/>
      <c r="T390" s="2524"/>
      <c r="U390" s="621">
        <f>SUM(T391:T392)</f>
        <v>-103.80000000000001</v>
      </c>
    </row>
    <row r="391" spans="1:21" ht="15">
      <c r="A391" s="956">
        <v>19561262</v>
      </c>
      <c r="B391" s="950" t="s">
        <v>5301</v>
      </c>
      <c r="C391" s="907" t="s">
        <v>5302</v>
      </c>
      <c r="D391" s="950">
        <v>1998</v>
      </c>
      <c r="E391" s="950">
        <v>51</v>
      </c>
      <c r="F391" s="950">
        <v>2496</v>
      </c>
      <c r="G391" s="950">
        <v>0</v>
      </c>
      <c r="H391" s="950">
        <v>13758</v>
      </c>
      <c r="I391" s="950">
        <v>8</v>
      </c>
      <c r="J391" s="950">
        <v>0</v>
      </c>
      <c r="K391" s="950" t="s">
        <v>5303</v>
      </c>
      <c r="L391" s="911">
        <v>-46.35</v>
      </c>
      <c r="M391" s="911"/>
      <c r="N391" s="911"/>
      <c r="O391" s="911"/>
      <c r="P391" s="911"/>
      <c r="Q391" s="911"/>
      <c r="R391" s="951"/>
      <c r="S391" s="920">
        <v>-8.2899999999999991</v>
      </c>
      <c r="T391" s="952">
        <f>SUM(L391:S391)</f>
        <v>-54.64</v>
      </c>
      <c r="U391" s="622"/>
    </row>
    <row r="392" spans="1:21" ht="15">
      <c r="A392" s="949">
        <v>19561263</v>
      </c>
      <c r="B392" s="950" t="s">
        <v>5301</v>
      </c>
      <c r="C392" s="907" t="s">
        <v>5304</v>
      </c>
      <c r="D392" s="950">
        <v>1999</v>
      </c>
      <c r="E392" s="950">
        <v>56</v>
      </c>
      <c r="F392" s="950">
        <v>2500</v>
      </c>
      <c r="G392" s="950">
        <v>0</v>
      </c>
      <c r="H392" s="950">
        <v>0</v>
      </c>
      <c r="I392" s="950">
        <v>8</v>
      </c>
      <c r="J392" s="950">
        <v>0</v>
      </c>
      <c r="K392" s="950" t="s">
        <v>5303</v>
      </c>
      <c r="L392" s="911">
        <v>-41.71</v>
      </c>
      <c r="M392" s="911"/>
      <c r="N392" s="911"/>
      <c r="O392" s="911"/>
      <c r="P392" s="911"/>
      <c r="Q392" s="911"/>
      <c r="R392" s="951"/>
      <c r="S392" s="920">
        <v>-7.45</v>
      </c>
      <c r="T392" s="952">
        <f>SUM(L392:S392)</f>
        <v>-49.160000000000004</v>
      </c>
      <c r="U392" s="622"/>
    </row>
    <row r="393" spans="1:21" ht="15">
      <c r="A393" s="949"/>
      <c r="B393" s="950"/>
      <c r="C393" s="907"/>
      <c r="D393" s="950"/>
      <c r="E393" s="950"/>
      <c r="F393" s="950"/>
      <c r="G393" s="950"/>
      <c r="H393" s="950"/>
      <c r="I393" s="950"/>
      <c r="J393" s="950"/>
      <c r="K393" s="950"/>
      <c r="L393" s="911"/>
      <c r="M393" s="911"/>
      <c r="N393" s="911"/>
      <c r="O393" s="911"/>
      <c r="P393" s="911"/>
      <c r="Q393" s="911"/>
      <c r="R393" s="951"/>
      <c r="S393" s="920"/>
      <c r="T393" s="952"/>
      <c r="U393" s="622"/>
    </row>
    <row r="394" spans="1:21" ht="15">
      <c r="A394" s="2517" t="s">
        <v>5305</v>
      </c>
      <c r="B394" s="2518"/>
      <c r="C394" s="2519"/>
      <c r="D394" s="2518"/>
      <c r="E394" s="2518"/>
      <c r="F394" s="2518"/>
      <c r="G394" s="2518"/>
      <c r="H394" s="2518"/>
      <c r="I394" s="2518"/>
      <c r="J394" s="2518"/>
      <c r="K394" s="2520" t="s">
        <v>5389</v>
      </c>
      <c r="L394" s="2521"/>
      <c r="M394" s="2521"/>
      <c r="N394" s="2521"/>
      <c r="O394" s="2521"/>
      <c r="P394" s="2521"/>
      <c r="Q394" s="2521"/>
      <c r="R394" s="2522"/>
      <c r="S394" s="2523"/>
      <c r="T394" s="2524"/>
      <c r="U394" s="621">
        <f>SUM(T395:T419)</f>
        <v>-2560.6000000000004</v>
      </c>
    </row>
    <row r="395" spans="1:21" ht="15">
      <c r="A395" s="949">
        <v>19757178</v>
      </c>
      <c r="B395" s="955" t="s">
        <v>5355</v>
      </c>
      <c r="C395" s="927" t="s">
        <v>5356</v>
      </c>
      <c r="D395" s="950" t="s">
        <v>5357</v>
      </c>
      <c r="E395" s="950"/>
      <c r="F395" s="950"/>
      <c r="G395" s="950"/>
      <c r="H395" s="950"/>
      <c r="I395" s="950"/>
      <c r="J395" s="950"/>
      <c r="K395" s="950" t="s">
        <v>5309</v>
      </c>
      <c r="L395" s="911">
        <v>-22.53</v>
      </c>
      <c r="M395" s="911">
        <v>-41.48</v>
      </c>
      <c r="N395" s="911">
        <v>-225.24</v>
      </c>
      <c r="O395" s="911"/>
      <c r="P395" s="911"/>
      <c r="Q395" s="911">
        <v>-29.03</v>
      </c>
      <c r="R395" s="951"/>
      <c r="S395" s="920">
        <v>-39.86</v>
      </c>
      <c r="T395" s="952">
        <f t="shared" ref="T395:T415" si="13">SUM(L395:S395)</f>
        <v>-358.14</v>
      </c>
      <c r="U395" s="622"/>
    </row>
    <row r="396" spans="1:21" ht="15">
      <c r="A396" s="949">
        <v>19022624</v>
      </c>
      <c r="B396" s="950" t="s">
        <v>5264</v>
      </c>
      <c r="C396" s="907" t="s">
        <v>5308</v>
      </c>
      <c r="D396" s="950">
        <v>1996</v>
      </c>
      <c r="E396" s="950">
        <v>0</v>
      </c>
      <c r="F396" s="950">
        <v>6600</v>
      </c>
      <c r="G396" s="950">
        <v>4000</v>
      </c>
      <c r="H396" s="950">
        <v>98488</v>
      </c>
      <c r="I396" s="950">
        <v>1</v>
      </c>
      <c r="J396" s="950">
        <v>0</v>
      </c>
      <c r="K396" s="950" t="s">
        <v>5309</v>
      </c>
      <c r="L396" s="911">
        <v>-17.53</v>
      </c>
      <c r="M396" s="911"/>
      <c r="N396" s="911"/>
      <c r="O396" s="911"/>
      <c r="P396" s="911"/>
      <c r="Q396" s="911">
        <v>-48.27</v>
      </c>
      <c r="R396" s="951"/>
      <c r="S396" s="920">
        <v>-8.2799999999999994</v>
      </c>
      <c r="T396" s="952">
        <f t="shared" si="13"/>
        <v>-74.080000000000013</v>
      </c>
      <c r="U396" s="622"/>
    </row>
    <row r="397" spans="1:21" ht="15">
      <c r="A397" s="949">
        <v>19241504</v>
      </c>
      <c r="B397" s="950" t="s">
        <v>5239</v>
      </c>
      <c r="C397" s="907" t="s">
        <v>5311</v>
      </c>
      <c r="D397" s="950">
        <v>2005</v>
      </c>
      <c r="E397" s="950">
        <v>84</v>
      </c>
      <c r="F397" s="950">
        <v>2463</v>
      </c>
      <c r="G397" s="950">
        <v>0</v>
      </c>
      <c r="H397" s="950">
        <v>19906</v>
      </c>
      <c r="I397" s="950">
        <v>2</v>
      </c>
      <c r="J397" s="950">
        <v>0</v>
      </c>
      <c r="K397" s="950" t="s">
        <v>5241</v>
      </c>
      <c r="L397" s="911">
        <v>-48.74</v>
      </c>
      <c r="M397" s="911"/>
      <c r="N397" s="911"/>
      <c r="O397" s="911"/>
      <c r="P397" s="911"/>
      <c r="Q397" s="911"/>
      <c r="R397" s="951"/>
      <c r="S397" s="920">
        <v>-6.26</v>
      </c>
      <c r="T397" s="952">
        <f t="shared" si="13"/>
        <v>-55</v>
      </c>
      <c r="U397" s="622"/>
    </row>
    <row r="398" spans="1:21" ht="15">
      <c r="A398" s="949">
        <v>19295977</v>
      </c>
      <c r="B398" s="950" t="s">
        <v>5298</v>
      </c>
      <c r="C398" s="907" t="s">
        <v>5312</v>
      </c>
      <c r="D398" s="950">
        <v>2007</v>
      </c>
      <c r="E398" s="950">
        <v>88</v>
      </c>
      <c r="F398" s="950">
        <v>0</v>
      </c>
      <c r="G398" s="950">
        <v>0</v>
      </c>
      <c r="H398" s="950">
        <v>20670</v>
      </c>
      <c r="I398" s="950">
        <v>2</v>
      </c>
      <c r="J398" s="950">
        <v>0</v>
      </c>
      <c r="K398" s="950" t="s">
        <v>5241</v>
      </c>
      <c r="L398" s="911">
        <v>-118.37</v>
      </c>
      <c r="M398" s="911"/>
      <c r="N398" s="911"/>
      <c r="O398" s="911"/>
      <c r="P398" s="911"/>
      <c r="Q398" s="911"/>
      <c r="R398" s="951"/>
      <c r="S398" s="920">
        <v>-15.22</v>
      </c>
      <c r="T398" s="952">
        <f t="shared" si="13"/>
        <v>-133.59</v>
      </c>
      <c r="U398" s="622"/>
    </row>
    <row r="399" spans="1:21" ht="15">
      <c r="A399" s="949">
        <v>19327360</v>
      </c>
      <c r="B399" s="950" t="s">
        <v>5313</v>
      </c>
      <c r="C399" s="907" t="s">
        <v>5314</v>
      </c>
      <c r="D399" s="950">
        <v>2007</v>
      </c>
      <c r="E399" s="950">
        <v>55</v>
      </c>
      <c r="F399" s="950">
        <v>0</v>
      </c>
      <c r="G399" s="950">
        <v>0</v>
      </c>
      <c r="H399" s="950">
        <v>12286</v>
      </c>
      <c r="I399" s="950">
        <v>1</v>
      </c>
      <c r="J399" s="950">
        <v>0</v>
      </c>
      <c r="K399" s="950" t="s">
        <v>5241</v>
      </c>
      <c r="L399" s="911">
        <v>-79.98</v>
      </c>
      <c r="M399" s="911"/>
      <c r="N399" s="911"/>
      <c r="O399" s="911"/>
      <c r="P399" s="911"/>
      <c r="Q399" s="911"/>
      <c r="R399" s="951"/>
      <c r="S399" s="920">
        <v>-10.27</v>
      </c>
      <c r="T399" s="952">
        <f t="shared" si="13"/>
        <v>-90.25</v>
      </c>
      <c r="U399" s="622"/>
    </row>
    <row r="400" spans="1:21" ht="15">
      <c r="A400" s="949">
        <v>19358287</v>
      </c>
      <c r="B400" s="950" t="s">
        <v>5315</v>
      </c>
      <c r="C400" s="907" t="s">
        <v>5316</v>
      </c>
      <c r="D400" s="950">
        <v>2008</v>
      </c>
      <c r="E400" s="950">
        <v>0</v>
      </c>
      <c r="F400" s="950">
        <v>778</v>
      </c>
      <c r="G400" s="950">
        <v>0</v>
      </c>
      <c r="H400" s="950">
        <v>5885</v>
      </c>
      <c r="I400" s="950">
        <v>0</v>
      </c>
      <c r="J400" s="950">
        <v>0</v>
      </c>
      <c r="K400" s="950" t="s">
        <v>5317</v>
      </c>
      <c r="L400" s="911">
        <v>-9.15</v>
      </c>
      <c r="M400" s="911"/>
      <c r="N400" s="911"/>
      <c r="O400" s="911"/>
      <c r="P400" s="911"/>
      <c r="Q400" s="911"/>
      <c r="R400" s="951"/>
      <c r="S400" s="920">
        <v>-1.18</v>
      </c>
      <c r="T400" s="952">
        <f t="shared" si="13"/>
        <v>-10.33</v>
      </c>
      <c r="U400" s="622"/>
    </row>
    <row r="401" spans="1:21" ht="15">
      <c r="A401" s="949">
        <v>19469313</v>
      </c>
      <c r="B401" s="950" t="s">
        <v>5318</v>
      </c>
      <c r="C401" s="927" t="s">
        <v>5358</v>
      </c>
      <c r="D401" s="950">
        <v>2011</v>
      </c>
      <c r="E401" s="950">
        <v>0</v>
      </c>
      <c r="F401" s="950">
        <v>0</v>
      </c>
      <c r="G401" s="950">
        <v>0</v>
      </c>
      <c r="H401" s="950">
        <v>116997</v>
      </c>
      <c r="I401" s="950">
        <v>1</v>
      </c>
      <c r="J401" s="950">
        <v>0</v>
      </c>
      <c r="K401" s="950" t="s">
        <v>5309</v>
      </c>
      <c r="L401" s="911">
        <v>-17.53</v>
      </c>
      <c r="M401" s="911"/>
      <c r="N401" s="911"/>
      <c r="O401" s="911"/>
      <c r="P401" s="911"/>
      <c r="Q401" s="911"/>
      <c r="R401" s="951"/>
      <c r="S401" s="920">
        <v>-2.2400000000000002</v>
      </c>
      <c r="T401" s="952">
        <f t="shared" si="13"/>
        <v>-19.770000000000003</v>
      </c>
      <c r="U401" s="622"/>
    </row>
    <row r="402" spans="1:21" ht="15">
      <c r="A402" s="949">
        <v>19482716</v>
      </c>
      <c r="B402" s="950" t="s">
        <v>5298</v>
      </c>
      <c r="C402" s="907" t="s">
        <v>5320</v>
      </c>
      <c r="D402" s="950">
        <v>2011</v>
      </c>
      <c r="E402" s="950">
        <v>92</v>
      </c>
      <c r="F402" s="950">
        <v>0</v>
      </c>
      <c r="G402" s="950">
        <v>0</v>
      </c>
      <c r="H402" s="950">
        <v>25388</v>
      </c>
      <c r="I402" s="950">
        <v>2</v>
      </c>
      <c r="J402" s="950">
        <v>0</v>
      </c>
      <c r="K402" s="950" t="s">
        <v>5241</v>
      </c>
      <c r="L402" s="911">
        <v>-123.03</v>
      </c>
      <c r="M402" s="911"/>
      <c r="N402" s="911"/>
      <c r="O402" s="911"/>
      <c r="P402" s="911"/>
      <c r="Q402" s="911"/>
      <c r="R402" s="951"/>
      <c r="S402" s="920">
        <v>-15.81</v>
      </c>
      <c r="T402" s="952">
        <f t="shared" si="13"/>
        <v>-138.84</v>
      </c>
      <c r="U402" s="622"/>
    </row>
    <row r="403" spans="1:21" ht="15">
      <c r="A403" s="949">
        <v>19483528</v>
      </c>
      <c r="B403" s="950" t="s">
        <v>5239</v>
      </c>
      <c r="C403" s="907" t="s">
        <v>5321</v>
      </c>
      <c r="D403" s="950">
        <v>2011</v>
      </c>
      <c r="E403" s="950">
        <v>50</v>
      </c>
      <c r="F403" s="950">
        <v>0</v>
      </c>
      <c r="G403" s="950">
        <v>0</v>
      </c>
      <c r="H403" s="950">
        <v>9952</v>
      </c>
      <c r="I403" s="950">
        <v>2</v>
      </c>
      <c r="J403" s="950">
        <v>0</v>
      </c>
      <c r="K403" s="950" t="s">
        <v>5241</v>
      </c>
      <c r="L403" s="911">
        <v>-31.78</v>
      </c>
      <c r="M403" s="911"/>
      <c r="N403" s="911"/>
      <c r="O403" s="911"/>
      <c r="P403" s="911"/>
      <c r="Q403" s="911"/>
      <c r="R403" s="951"/>
      <c r="S403" s="920">
        <v>-4.08</v>
      </c>
      <c r="T403" s="952">
        <f t="shared" si="13"/>
        <v>-35.86</v>
      </c>
      <c r="U403" s="622"/>
    </row>
    <row r="404" spans="1:21" ht="15">
      <c r="A404" s="949">
        <v>19488216</v>
      </c>
      <c r="B404" s="950" t="s">
        <v>5322</v>
      </c>
      <c r="C404" s="907" t="s">
        <v>5323</v>
      </c>
      <c r="D404" s="950">
        <v>2011</v>
      </c>
      <c r="E404" s="950">
        <v>0</v>
      </c>
      <c r="F404" s="950">
        <v>0</v>
      </c>
      <c r="G404" s="950">
        <v>0</v>
      </c>
      <c r="H404" s="950">
        <v>116997</v>
      </c>
      <c r="I404" s="950">
        <v>1</v>
      </c>
      <c r="J404" s="950">
        <v>0</v>
      </c>
      <c r="K404" s="950" t="s">
        <v>5309</v>
      </c>
      <c r="L404" s="911">
        <v>-16.66</v>
      </c>
      <c r="M404" s="911">
        <v>-65.52</v>
      </c>
      <c r="N404" s="911">
        <v>-341.5</v>
      </c>
      <c r="O404" s="911"/>
      <c r="P404" s="911"/>
      <c r="Q404" s="911">
        <v>-45.86</v>
      </c>
      <c r="R404" s="951"/>
      <c r="S404" s="920">
        <v>-58.76</v>
      </c>
      <c r="T404" s="952">
        <f t="shared" si="13"/>
        <v>-528.30000000000007</v>
      </c>
      <c r="U404" s="622"/>
    </row>
    <row r="405" spans="1:21" ht="15">
      <c r="A405" s="949">
        <v>2307261</v>
      </c>
      <c r="B405" s="950" t="s">
        <v>5328</v>
      </c>
      <c r="C405" s="907" t="s">
        <v>5329</v>
      </c>
      <c r="D405" s="950">
        <v>1999</v>
      </c>
      <c r="E405" s="950">
        <v>44</v>
      </c>
      <c r="F405" s="950">
        <v>1700</v>
      </c>
      <c r="G405" s="950">
        <v>0</v>
      </c>
      <c r="H405" s="950">
        <v>9916</v>
      </c>
      <c r="I405" s="950">
        <v>2</v>
      </c>
      <c r="J405" s="950">
        <v>0</v>
      </c>
      <c r="K405" s="950" t="s">
        <v>5241</v>
      </c>
      <c r="L405" s="911">
        <v>-28.79</v>
      </c>
      <c r="M405" s="911"/>
      <c r="N405" s="911"/>
      <c r="O405" s="911"/>
      <c r="P405" s="911"/>
      <c r="Q405" s="911"/>
      <c r="R405" s="951"/>
      <c r="S405" s="920">
        <v>-3.7</v>
      </c>
      <c r="T405" s="952">
        <f t="shared" si="13"/>
        <v>-32.49</v>
      </c>
      <c r="U405" s="622"/>
    </row>
    <row r="406" spans="1:21" ht="15">
      <c r="A406" s="949">
        <v>19057412</v>
      </c>
      <c r="B406" s="950" t="s">
        <v>5330</v>
      </c>
      <c r="C406" s="907" t="s">
        <v>5331</v>
      </c>
      <c r="D406" s="950">
        <v>2000</v>
      </c>
      <c r="E406" s="950">
        <v>0</v>
      </c>
      <c r="F406" s="950">
        <v>0</v>
      </c>
      <c r="G406" s="950">
        <v>0</v>
      </c>
      <c r="H406" s="950">
        <v>24789</v>
      </c>
      <c r="I406" s="950">
        <v>0</v>
      </c>
      <c r="J406" s="950">
        <v>0</v>
      </c>
      <c r="K406" s="950" t="s">
        <v>5332</v>
      </c>
      <c r="L406" s="911">
        <f>-16.65-57.55</f>
        <v>-74.199999999999989</v>
      </c>
      <c r="M406" s="911"/>
      <c r="N406" s="911"/>
      <c r="O406" s="911">
        <v>-23.36</v>
      </c>
      <c r="P406" s="911">
        <v>-8.18</v>
      </c>
      <c r="Q406" s="911">
        <f>-17.99-6.72</f>
        <v>-24.709999999999997</v>
      </c>
      <c r="R406" s="951"/>
      <c r="S406" s="920">
        <f>-3-13.18</f>
        <v>-16.18</v>
      </c>
      <c r="T406" s="952">
        <f t="shared" si="13"/>
        <v>-146.63</v>
      </c>
      <c r="U406" s="622"/>
    </row>
    <row r="407" spans="1:21" ht="15">
      <c r="A407" s="949">
        <v>19887631</v>
      </c>
      <c r="B407" s="965" t="s">
        <v>5330</v>
      </c>
      <c r="C407" s="907"/>
      <c r="D407" s="950"/>
      <c r="E407" s="950"/>
      <c r="F407" s="950"/>
      <c r="G407" s="950"/>
      <c r="H407" s="950"/>
      <c r="I407" s="950"/>
      <c r="J407" s="950"/>
      <c r="K407" s="955" t="s">
        <v>5332</v>
      </c>
      <c r="L407" s="911">
        <v>39.979999999999997</v>
      </c>
      <c r="M407" s="911"/>
      <c r="N407" s="911"/>
      <c r="O407" s="911"/>
      <c r="P407" s="911">
        <v>5.68</v>
      </c>
      <c r="Q407" s="911"/>
      <c r="R407" s="951"/>
      <c r="S407" s="920">
        <v>5.57</v>
      </c>
      <c r="T407" s="952">
        <f t="shared" si="13"/>
        <v>51.23</v>
      </c>
      <c r="U407" s="622"/>
    </row>
    <row r="408" spans="1:21" ht="15">
      <c r="A408" s="949">
        <v>19677178</v>
      </c>
      <c r="B408" s="921" t="s">
        <v>5333</v>
      </c>
      <c r="C408" s="907" t="s">
        <v>5334</v>
      </c>
      <c r="D408" s="950"/>
      <c r="E408" s="950"/>
      <c r="F408" s="950"/>
      <c r="G408" s="950"/>
      <c r="H408" s="950"/>
      <c r="I408" s="950"/>
      <c r="J408" s="950"/>
      <c r="K408" s="950" t="s">
        <v>5335</v>
      </c>
      <c r="L408" s="911">
        <v>-7.51</v>
      </c>
      <c r="M408" s="911"/>
      <c r="N408" s="911"/>
      <c r="O408" s="911"/>
      <c r="P408" s="911"/>
      <c r="Q408" s="911"/>
      <c r="R408" s="951"/>
      <c r="S408" s="920">
        <v>-0.95</v>
      </c>
      <c r="T408" s="952">
        <f t="shared" si="13"/>
        <v>-8.4599999999999991</v>
      </c>
      <c r="U408" s="622"/>
    </row>
    <row r="409" spans="1:21" ht="15">
      <c r="A409" s="949">
        <v>19770680</v>
      </c>
      <c r="B409" s="955" t="s">
        <v>5363</v>
      </c>
      <c r="C409" s="927" t="s">
        <v>5364</v>
      </c>
      <c r="D409" s="950"/>
      <c r="E409" s="950"/>
      <c r="F409" s="950"/>
      <c r="G409" s="950"/>
      <c r="H409" s="950"/>
      <c r="I409" s="950"/>
      <c r="J409" s="950"/>
      <c r="K409" s="955"/>
      <c r="L409" s="911">
        <v>-61.7</v>
      </c>
      <c r="M409" s="911">
        <v>-5.51</v>
      </c>
      <c r="N409" s="911"/>
      <c r="O409" s="911"/>
      <c r="P409" s="911"/>
      <c r="Q409" s="911">
        <v>-3.87</v>
      </c>
      <c r="R409" s="951"/>
      <c r="S409" s="920">
        <v>-9.11</v>
      </c>
      <c r="T409" s="952">
        <f t="shared" si="13"/>
        <v>-80.190000000000012</v>
      </c>
      <c r="U409" s="622"/>
    </row>
    <row r="410" spans="1:21" ht="15">
      <c r="A410" s="949">
        <v>19776374</v>
      </c>
      <c r="B410" s="955" t="s">
        <v>5282</v>
      </c>
      <c r="C410" s="927" t="s">
        <v>5365</v>
      </c>
      <c r="D410" s="950"/>
      <c r="E410" s="950"/>
      <c r="F410" s="950"/>
      <c r="G410" s="950"/>
      <c r="H410" s="950"/>
      <c r="I410" s="950"/>
      <c r="J410" s="950"/>
      <c r="K410" s="955"/>
      <c r="L410" s="911">
        <v>-56.72</v>
      </c>
      <c r="M410" s="911">
        <v>-13.38</v>
      </c>
      <c r="N410" s="911">
        <v>-80.17</v>
      </c>
      <c r="O410" s="911"/>
      <c r="P410" s="911"/>
      <c r="Q410" s="911">
        <v>-13.38</v>
      </c>
      <c r="R410" s="951"/>
      <c r="S410" s="920">
        <v>-20.64</v>
      </c>
      <c r="T410" s="952">
        <f t="shared" si="13"/>
        <v>-184.28999999999996</v>
      </c>
      <c r="U410" s="622"/>
    </row>
    <row r="411" spans="1:21" ht="15">
      <c r="A411" s="949">
        <v>19774565</v>
      </c>
      <c r="B411" s="955" t="s">
        <v>5366</v>
      </c>
      <c r="C411" s="927" t="s">
        <v>5367</v>
      </c>
      <c r="D411" s="950"/>
      <c r="E411" s="950"/>
      <c r="F411" s="950"/>
      <c r="G411" s="950"/>
      <c r="H411" s="950"/>
      <c r="I411" s="950"/>
      <c r="J411" s="950"/>
      <c r="K411" s="955"/>
      <c r="L411" s="911">
        <v>-56.97</v>
      </c>
      <c r="M411" s="911">
        <v>-5.0599999999999996</v>
      </c>
      <c r="N411" s="911"/>
      <c r="O411" s="911"/>
      <c r="P411" s="911"/>
      <c r="Q411" s="911">
        <v>-4.0599999999999996</v>
      </c>
      <c r="R411" s="951"/>
      <c r="S411" s="920">
        <v>-8.4700000000000006</v>
      </c>
      <c r="T411" s="952">
        <f t="shared" si="13"/>
        <v>-74.56</v>
      </c>
      <c r="U411" s="622"/>
    </row>
    <row r="412" spans="1:21" ht="15">
      <c r="A412" s="949">
        <v>19814661</v>
      </c>
      <c r="B412" s="955" t="s">
        <v>5371</v>
      </c>
      <c r="C412" s="927" t="s">
        <v>5372</v>
      </c>
      <c r="D412" s="950"/>
      <c r="E412" s="950"/>
      <c r="F412" s="950"/>
      <c r="G412" s="950"/>
      <c r="H412" s="950"/>
      <c r="I412" s="950"/>
      <c r="J412" s="950"/>
      <c r="K412" s="955"/>
      <c r="L412" s="911">
        <v>-93.55</v>
      </c>
      <c r="M412" s="911"/>
      <c r="N412" s="911"/>
      <c r="O412" s="911"/>
      <c r="P412" s="911"/>
      <c r="Q412" s="911"/>
      <c r="R412" s="951"/>
      <c r="S412" s="920">
        <v>-12.02</v>
      </c>
      <c r="T412" s="952">
        <f t="shared" si="13"/>
        <v>-105.57</v>
      </c>
      <c r="U412" s="622"/>
    </row>
    <row r="413" spans="1:21" ht="15">
      <c r="A413" s="949">
        <v>19828023</v>
      </c>
      <c r="B413" s="955" t="s">
        <v>5291</v>
      </c>
      <c r="C413" s="927" t="s">
        <v>5373</v>
      </c>
      <c r="D413" s="950"/>
      <c r="E413" s="950"/>
      <c r="F413" s="950"/>
      <c r="G413" s="950"/>
      <c r="H413" s="950"/>
      <c r="I413" s="950"/>
      <c r="J413" s="950"/>
      <c r="K413" s="955"/>
      <c r="L413" s="911">
        <v>-78.739999999999995</v>
      </c>
      <c r="M413" s="911">
        <v>-4.8600000000000003</v>
      </c>
      <c r="N413" s="911"/>
      <c r="O413" s="911"/>
      <c r="P413" s="911"/>
      <c r="Q413" s="911">
        <v>-3.37</v>
      </c>
      <c r="R413" s="951"/>
      <c r="S413" s="920">
        <v>-11.14</v>
      </c>
      <c r="T413" s="952">
        <f t="shared" si="13"/>
        <v>-98.11</v>
      </c>
      <c r="U413" s="622"/>
    </row>
    <row r="414" spans="1:21" ht="15">
      <c r="A414" s="949">
        <v>19805234</v>
      </c>
      <c r="B414" s="955" t="s">
        <v>5374</v>
      </c>
      <c r="C414" s="927" t="s">
        <v>5375</v>
      </c>
      <c r="D414" s="950"/>
      <c r="E414" s="950"/>
      <c r="F414" s="950"/>
      <c r="G414" s="950"/>
      <c r="H414" s="950"/>
      <c r="I414" s="950"/>
      <c r="J414" s="950"/>
      <c r="K414" s="955"/>
      <c r="L414" s="911"/>
      <c r="M414" s="911"/>
      <c r="N414" s="911"/>
      <c r="O414" s="911"/>
      <c r="P414" s="911"/>
      <c r="Q414" s="911"/>
      <c r="R414" s="951"/>
      <c r="S414" s="920"/>
      <c r="T414" s="952">
        <f t="shared" si="13"/>
        <v>0</v>
      </c>
      <c r="U414" s="622"/>
    </row>
    <row r="415" spans="1:21" ht="15">
      <c r="A415" s="949">
        <v>19602525</v>
      </c>
      <c r="B415" s="950" t="s">
        <v>5345</v>
      </c>
      <c r="C415" s="907" t="s">
        <v>5346</v>
      </c>
      <c r="D415" s="950"/>
      <c r="E415" s="950"/>
      <c r="F415" s="950"/>
      <c r="G415" s="950"/>
      <c r="H415" s="950"/>
      <c r="I415" s="950"/>
      <c r="J415" s="950"/>
      <c r="K415" s="950" t="s">
        <v>5347</v>
      </c>
      <c r="L415" s="911">
        <v>-34.28</v>
      </c>
      <c r="M415" s="911">
        <v>-3.62</v>
      </c>
      <c r="N415" s="911"/>
      <c r="O415" s="911"/>
      <c r="P415" s="911"/>
      <c r="Q415" s="911">
        <v>-2.5</v>
      </c>
      <c r="R415" s="951"/>
      <c r="S415" s="920">
        <v>-5.17</v>
      </c>
      <c r="T415" s="952">
        <f t="shared" si="13"/>
        <v>-45.57</v>
      </c>
      <c r="U415" s="622"/>
    </row>
    <row r="416" spans="1:21" ht="15">
      <c r="A416" s="949">
        <v>19602527</v>
      </c>
      <c r="B416" s="950" t="s">
        <v>5345</v>
      </c>
      <c r="C416" s="907" t="s">
        <v>5348</v>
      </c>
      <c r="D416" s="950"/>
      <c r="E416" s="950"/>
      <c r="F416" s="950"/>
      <c r="G416" s="950"/>
      <c r="H416" s="950"/>
      <c r="I416" s="950"/>
      <c r="J416" s="950"/>
      <c r="K416" s="950" t="s">
        <v>5347</v>
      </c>
      <c r="L416" s="911">
        <v>-34.28</v>
      </c>
      <c r="M416" s="911">
        <v>-3.62</v>
      </c>
      <c r="N416" s="911"/>
      <c r="O416" s="911"/>
      <c r="P416" s="911"/>
      <c r="Q416" s="911">
        <v>-2.5</v>
      </c>
      <c r="R416" s="951"/>
      <c r="S416" s="920">
        <v>-5.17</v>
      </c>
      <c r="T416" s="952">
        <f>SUM(L416:S416)</f>
        <v>-45.57</v>
      </c>
      <c r="U416" s="622"/>
    </row>
    <row r="417" spans="1:22" ht="15">
      <c r="A417" s="949">
        <v>19158325</v>
      </c>
      <c r="B417" s="950" t="s">
        <v>5282</v>
      </c>
      <c r="C417" s="907" t="s">
        <v>5310</v>
      </c>
      <c r="D417" s="950">
        <v>2003</v>
      </c>
      <c r="E417" s="950">
        <v>81</v>
      </c>
      <c r="F417" s="950">
        <v>2286</v>
      </c>
      <c r="G417" s="950">
        <v>0</v>
      </c>
      <c r="H417" s="950">
        <v>22000</v>
      </c>
      <c r="I417" s="950">
        <v>2</v>
      </c>
      <c r="J417" s="950">
        <v>0</v>
      </c>
      <c r="K417" s="950" t="s">
        <v>5241</v>
      </c>
      <c r="L417" s="911">
        <v>-281.92</v>
      </c>
      <c r="M417" s="911"/>
      <c r="N417" s="911"/>
      <c r="O417" s="911"/>
      <c r="P417" s="911">
        <v>-8.6300000000000008</v>
      </c>
      <c r="Q417" s="911"/>
      <c r="R417" s="951"/>
      <c r="S417" s="920">
        <v>-36.880000000000003</v>
      </c>
      <c r="T417" s="952">
        <f>SUM(L417:S417)</f>
        <v>-327.43</v>
      </c>
      <c r="U417" s="622"/>
    </row>
    <row r="418" spans="1:22" ht="15">
      <c r="A418" s="949">
        <v>19805234</v>
      </c>
      <c r="B418" s="955" t="s">
        <v>5374</v>
      </c>
      <c r="C418" s="927" t="s">
        <v>5375</v>
      </c>
      <c r="D418" s="950"/>
      <c r="E418" s="950"/>
      <c r="F418" s="950"/>
      <c r="G418" s="950"/>
      <c r="H418" s="950"/>
      <c r="I418" s="950"/>
      <c r="J418" s="950"/>
      <c r="K418" s="950"/>
      <c r="L418" s="911">
        <v>-16.649999999999999</v>
      </c>
      <c r="M418" s="911"/>
      <c r="N418" s="911"/>
      <c r="O418" s="911"/>
      <c r="P418" s="911"/>
      <c r="Q418" s="911"/>
      <c r="R418" s="951"/>
      <c r="S418" s="920">
        <v>-2.15</v>
      </c>
      <c r="T418" s="952">
        <f>SUM(L418:S418)</f>
        <v>-18.799999999999997</v>
      </c>
      <c r="U418" s="622"/>
    </row>
    <row r="419" spans="1:22" ht="15">
      <c r="A419" s="949"/>
      <c r="B419" s="950"/>
      <c r="C419" s="907"/>
      <c r="D419" s="950"/>
      <c r="E419" s="950"/>
      <c r="F419" s="950"/>
      <c r="G419" s="950"/>
      <c r="H419" s="950"/>
      <c r="I419" s="950"/>
      <c r="J419" s="950"/>
      <c r="K419" s="950"/>
      <c r="L419" s="911"/>
      <c r="M419" s="911"/>
      <c r="N419" s="911"/>
      <c r="O419" s="911"/>
      <c r="P419" s="911"/>
      <c r="Q419" s="911"/>
      <c r="R419" s="951"/>
      <c r="S419" s="920"/>
      <c r="T419" s="952"/>
      <c r="U419" s="622"/>
    </row>
    <row r="420" spans="1:22" ht="15">
      <c r="A420" s="2517" t="s">
        <v>5336</v>
      </c>
      <c r="B420" s="2518"/>
      <c r="C420" s="2519"/>
      <c r="D420" s="2518"/>
      <c r="E420" s="2518"/>
      <c r="F420" s="2518"/>
      <c r="G420" s="2518"/>
      <c r="H420" s="2518"/>
      <c r="I420" s="2518"/>
      <c r="J420" s="2518"/>
      <c r="K420" s="2520" t="s">
        <v>5390</v>
      </c>
      <c r="L420" s="2521"/>
      <c r="M420" s="2521"/>
      <c r="N420" s="2521"/>
      <c r="O420" s="2521"/>
      <c r="P420" s="2521"/>
      <c r="Q420" s="2521"/>
      <c r="R420" s="2522"/>
      <c r="S420" s="2523"/>
      <c r="T420" s="2524"/>
      <c r="U420" s="621">
        <f>SUM(T421)</f>
        <v>-76.13</v>
      </c>
    </row>
    <row r="421" spans="1:22" ht="15">
      <c r="A421" s="949">
        <v>19540416</v>
      </c>
      <c r="B421" s="950" t="s">
        <v>5277</v>
      </c>
      <c r="C421" s="907" t="s">
        <v>5338</v>
      </c>
      <c r="D421" s="950">
        <v>2013</v>
      </c>
      <c r="E421" s="950">
        <v>96</v>
      </c>
      <c r="F421" s="950">
        <v>2198</v>
      </c>
      <c r="G421" s="950">
        <v>0</v>
      </c>
      <c r="H421" s="950">
        <v>24590</v>
      </c>
      <c r="I421" s="950">
        <v>2</v>
      </c>
      <c r="J421" s="950">
        <v>1</v>
      </c>
      <c r="K421" s="950" t="s">
        <v>5241</v>
      </c>
      <c r="L421" s="911">
        <v>-66.88</v>
      </c>
      <c r="M421" s="911">
        <v>-0.33</v>
      </c>
      <c r="N421" s="911"/>
      <c r="O421" s="911"/>
      <c r="P421" s="911"/>
      <c r="Q421" s="911">
        <v>-0.24</v>
      </c>
      <c r="R421" s="951"/>
      <c r="S421" s="920">
        <v>-8.68</v>
      </c>
      <c r="T421" s="952">
        <f>SUM(L421:S421)</f>
        <v>-76.13</v>
      </c>
      <c r="U421" s="622"/>
    </row>
    <row r="422" spans="1:22" ht="15">
      <c r="A422" s="949"/>
      <c r="B422" s="950"/>
      <c r="C422" s="907"/>
      <c r="D422" s="950"/>
      <c r="E422" s="950"/>
      <c r="F422" s="950"/>
      <c r="G422" s="950"/>
      <c r="H422" s="950"/>
      <c r="I422" s="950"/>
      <c r="J422" s="950"/>
      <c r="K422" s="950"/>
      <c r="L422" s="911"/>
      <c r="M422" s="911"/>
      <c r="N422" s="911"/>
      <c r="O422" s="911"/>
      <c r="P422" s="911"/>
      <c r="Q422" s="911"/>
      <c r="R422" s="951"/>
      <c r="S422" s="920"/>
      <c r="T422" s="952"/>
      <c r="U422" s="622"/>
    </row>
    <row r="423" spans="1:22" ht="15">
      <c r="A423" s="2517" t="s">
        <v>5339</v>
      </c>
      <c r="B423" s="2518"/>
      <c r="C423" s="2519"/>
      <c r="D423" s="2518"/>
      <c r="E423" s="2518"/>
      <c r="F423" s="2518"/>
      <c r="G423" s="2518"/>
      <c r="H423" s="2518"/>
      <c r="I423" s="2518"/>
      <c r="J423" s="2518"/>
      <c r="K423" s="2520" t="s">
        <v>5391</v>
      </c>
      <c r="L423" s="2521"/>
      <c r="M423" s="2521"/>
      <c r="N423" s="2521"/>
      <c r="O423" s="2521"/>
      <c r="P423" s="2521"/>
      <c r="Q423" s="2521"/>
      <c r="R423" s="2522"/>
      <c r="S423" s="2523"/>
      <c r="T423" s="2524"/>
      <c r="U423" s="621">
        <f>SUM(T424:T425)</f>
        <v>-115.13000000000001</v>
      </c>
    </row>
    <row r="424" spans="1:22" ht="15">
      <c r="A424" s="949">
        <v>19046300</v>
      </c>
      <c r="B424" s="950" t="s">
        <v>5341</v>
      </c>
      <c r="C424" s="907" t="s">
        <v>5228</v>
      </c>
      <c r="D424" s="950">
        <v>1999</v>
      </c>
      <c r="E424" s="950">
        <v>0</v>
      </c>
      <c r="F424" s="950">
        <v>0</v>
      </c>
      <c r="G424" s="950">
        <v>2000</v>
      </c>
      <c r="H424" s="950">
        <v>7437</v>
      </c>
      <c r="I424" s="950">
        <v>0</v>
      </c>
      <c r="J424" s="950">
        <v>0</v>
      </c>
      <c r="K424" s="950" t="s">
        <v>5238</v>
      </c>
      <c r="L424" s="911">
        <v>-3.57</v>
      </c>
      <c r="M424" s="911"/>
      <c r="N424" s="911"/>
      <c r="O424" s="911"/>
      <c r="P424" s="911"/>
      <c r="Q424" s="911"/>
      <c r="R424" s="951"/>
      <c r="S424" s="920">
        <v>-0.46</v>
      </c>
      <c r="T424" s="952">
        <f>SUM(L424:S424)</f>
        <v>-4.03</v>
      </c>
      <c r="U424" s="622"/>
    </row>
    <row r="425" spans="1:22" ht="15">
      <c r="A425" s="949">
        <v>19546172</v>
      </c>
      <c r="B425" s="950" t="s">
        <v>5342</v>
      </c>
      <c r="C425" s="907" t="s">
        <v>5343</v>
      </c>
      <c r="D425" s="950">
        <v>2013</v>
      </c>
      <c r="E425" s="950">
        <v>110</v>
      </c>
      <c r="F425" s="950">
        <v>0</v>
      </c>
      <c r="G425" s="950">
        <v>0</v>
      </c>
      <c r="H425" s="950">
        <v>24051</v>
      </c>
      <c r="I425" s="950">
        <v>6</v>
      </c>
      <c r="J425" s="950">
        <v>1</v>
      </c>
      <c r="K425" s="950" t="s">
        <v>5241</v>
      </c>
      <c r="L425" s="911">
        <v>-98.45</v>
      </c>
      <c r="M425" s="911"/>
      <c r="N425" s="911"/>
      <c r="O425" s="911"/>
      <c r="P425" s="911"/>
      <c r="Q425" s="911"/>
      <c r="R425" s="951"/>
      <c r="S425" s="920">
        <v>-12.65</v>
      </c>
      <c r="T425" s="952">
        <f>SUM(L425:S425)</f>
        <v>-111.10000000000001</v>
      </c>
      <c r="U425" s="622"/>
    </row>
    <row r="426" spans="1:22" ht="15">
      <c r="A426" s="949"/>
      <c r="B426" s="950"/>
      <c r="C426" s="907"/>
      <c r="D426" s="950"/>
      <c r="E426" s="950"/>
      <c r="F426" s="950"/>
      <c r="G426" s="950"/>
      <c r="H426" s="950"/>
      <c r="I426" s="950"/>
      <c r="J426" s="950"/>
      <c r="K426" s="950"/>
      <c r="L426" s="911"/>
      <c r="M426" s="911"/>
      <c r="N426" s="911"/>
      <c r="O426" s="911"/>
      <c r="P426" s="911"/>
      <c r="Q426" s="911"/>
      <c r="R426" s="951"/>
      <c r="S426" s="920"/>
      <c r="T426" s="952"/>
      <c r="U426" s="622"/>
    </row>
    <row r="427" spans="1:22" ht="15.75" thickBot="1">
      <c r="A427" s="949"/>
      <c r="B427" s="950"/>
      <c r="C427" s="907"/>
      <c r="D427" s="950"/>
      <c r="E427" s="950"/>
      <c r="F427" s="950"/>
      <c r="G427" s="950"/>
      <c r="H427" s="950"/>
      <c r="I427" s="950"/>
      <c r="J427" s="950"/>
      <c r="K427" s="950"/>
      <c r="L427" s="911"/>
      <c r="M427" s="911"/>
      <c r="N427" s="911"/>
      <c r="O427" s="911"/>
      <c r="P427" s="911"/>
      <c r="Q427" s="911"/>
      <c r="R427" s="951"/>
      <c r="S427" s="920"/>
      <c r="T427" s="952"/>
      <c r="U427" s="622"/>
    </row>
    <row r="428" spans="1:22" ht="15.75" thickBot="1">
      <c r="A428" s="957"/>
      <c r="B428" s="957"/>
      <c r="C428" s="958"/>
      <c r="D428" s="957"/>
      <c r="E428" s="957"/>
      <c r="F428" s="957"/>
      <c r="G428" s="957"/>
      <c r="H428" s="957"/>
      <c r="I428" s="957"/>
      <c r="J428" s="957"/>
      <c r="K428" s="957"/>
      <c r="L428" s="2502">
        <f t="shared" ref="L428:U428" si="14">SUM(L349:L427)</f>
        <v>-1996.3400000000001</v>
      </c>
      <c r="M428" s="2502">
        <f t="shared" si="14"/>
        <v>34.160000000000032</v>
      </c>
      <c r="N428" s="2502">
        <f t="shared" si="14"/>
        <v>504.50000000000006</v>
      </c>
      <c r="O428" s="2502">
        <f t="shared" si="14"/>
        <v>10.509999999999998</v>
      </c>
      <c r="P428" s="2502">
        <f t="shared" si="14"/>
        <v>32.99</v>
      </c>
      <c r="Q428" s="2502">
        <f t="shared" si="14"/>
        <v>-72.500000000000014</v>
      </c>
      <c r="R428" s="2502">
        <f t="shared" si="14"/>
        <v>0</v>
      </c>
      <c r="S428" s="2502">
        <f t="shared" si="14"/>
        <v>-204.96</v>
      </c>
      <c r="T428" s="2502">
        <f t="shared" si="14"/>
        <v>-1691.64</v>
      </c>
      <c r="U428" s="2502">
        <f t="shared" si="14"/>
        <v>-1691.6400000000003</v>
      </c>
    </row>
    <row r="430" spans="1:22">
      <c r="B430" s="610" t="s">
        <v>7188</v>
      </c>
    </row>
    <row r="431" spans="1:22" ht="13.5" thickBot="1"/>
    <row r="432" spans="1:22" ht="15.75" thickBot="1">
      <c r="A432" s="4894" t="s">
        <v>5206</v>
      </c>
      <c r="B432" s="4895"/>
      <c r="C432" s="4895"/>
      <c r="D432" s="4895"/>
      <c r="E432" s="4895"/>
      <c r="F432" s="4895"/>
      <c r="G432" s="4895"/>
      <c r="H432" s="4895"/>
      <c r="I432" s="4895"/>
      <c r="J432" s="4895"/>
      <c r="K432" s="4895"/>
      <c r="L432" s="4896" t="s">
        <v>5207</v>
      </c>
      <c r="M432" s="4897"/>
      <c r="N432" s="4897"/>
      <c r="O432" s="4897"/>
      <c r="P432" s="4897"/>
      <c r="Q432" s="4897"/>
      <c r="R432" s="4898"/>
      <c r="S432" s="617"/>
      <c r="T432" s="941"/>
      <c r="U432" s="622"/>
      <c r="V432" s="610" t="s">
        <v>5377</v>
      </c>
    </row>
    <row r="433" spans="1:23" ht="30">
      <c r="A433" s="2494" t="s">
        <v>5208</v>
      </c>
      <c r="B433" s="2495" t="s">
        <v>5209</v>
      </c>
      <c r="C433" s="2495" t="s">
        <v>5210</v>
      </c>
      <c r="D433" s="2495" t="s">
        <v>634</v>
      </c>
      <c r="E433" s="2495" t="s">
        <v>5211</v>
      </c>
      <c r="F433" s="2495" t="s">
        <v>5212</v>
      </c>
      <c r="G433" s="2495" t="s">
        <v>5213</v>
      </c>
      <c r="H433" s="2496" t="s">
        <v>5214</v>
      </c>
      <c r="I433" s="2495" t="s">
        <v>5215</v>
      </c>
      <c r="J433" s="2495" t="s">
        <v>5216</v>
      </c>
      <c r="K433" s="2495" t="s">
        <v>5217</v>
      </c>
      <c r="L433" s="2497" t="s">
        <v>5218</v>
      </c>
      <c r="M433" s="2497" t="s">
        <v>5219</v>
      </c>
      <c r="N433" s="2497" t="s">
        <v>5220</v>
      </c>
      <c r="O433" s="2497" t="s">
        <v>5221</v>
      </c>
      <c r="P433" s="2498" t="s">
        <v>5222</v>
      </c>
      <c r="Q433" s="2497" t="s">
        <v>5223</v>
      </c>
      <c r="R433" s="2499" t="s">
        <v>5224</v>
      </c>
      <c r="S433" s="2500" t="s">
        <v>5225</v>
      </c>
      <c r="T433" s="2501" t="s">
        <v>8</v>
      </c>
      <c r="U433" s="622"/>
    </row>
    <row r="434" spans="1:23" ht="15">
      <c r="A434" s="942"/>
      <c r="B434" s="944"/>
      <c r="C434" s="943"/>
      <c r="D434" s="944"/>
      <c r="E434" s="944"/>
      <c r="F434" s="944"/>
      <c r="G434" s="944"/>
      <c r="H434" s="945"/>
      <c r="I434" s="944"/>
      <c r="J434" s="944"/>
      <c r="K434" s="944"/>
      <c r="L434" s="946"/>
      <c r="M434" s="946"/>
      <c r="N434" s="946"/>
      <c r="O434" s="946"/>
      <c r="P434" s="946"/>
      <c r="Q434" s="946"/>
      <c r="R434" s="947"/>
      <c r="S434" s="920"/>
      <c r="T434" s="948"/>
      <c r="U434" s="622"/>
      <c r="V434" s="608"/>
    </row>
    <row r="435" spans="1:23" ht="15">
      <c r="A435" s="2516" t="s">
        <v>4743</v>
      </c>
      <c r="B435" s="2525"/>
      <c r="C435" s="2526"/>
      <c r="D435" s="2525"/>
      <c r="E435" s="2525"/>
      <c r="F435" s="2525"/>
      <c r="G435" s="2525"/>
      <c r="H435" s="2527"/>
      <c r="I435" s="2525"/>
      <c r="J435" s="2525"/>
      <c r="K435" s="2526" t="s">
        <v>5378</v>
      </c>
      <c r="L435" s="2528"/>
      <c r="M435" s="2528"/>
      <c r="N435" s="2528"/>
      <c r="O435" s="2528"/>
      <c r="P435" s="2528"/>
      <c r="Q435" s="2528"/>
      <c r="R435" s="2529"/>
      <c r="S435" s="2523"/>
      <c r="T435" s="2530"/>
      <c r="U435" s="621">
        <f>SUM(T436:T438)</f>
        <v>6547.39</v>
      </c>
      <c r="V435" s="615">
        <f>SUM(V436:V440)</f>
        <v>-76.02</v>
      </c>
      <c r="W435" s="615"/>
    </row>
    <row r="436" spans="1:23" ht="15">
      <c r="A436" s="949">
        <v>19157693</v>
      </c>
      <c r="B436" s="950" t="s">
        <v>5230</v>
      </c>
      <c r="C436" s="907" t="s">
        <v>5231</v>
      </c>
      <c r="D436" s="950">
        <v>2003</v>
      </c>
      <c r="E436" s="950">
        <v>51</v>
      </c>
      <c r="F436" s="950">
        <v>1868</v>
      </c>
      <c r="G436" s="950">
        <v>0</v>
      </c>
      <c r="H436" s="950">
        <v>8529</v>
      </c>
      <c r="I436" s="950">
        <v>4</v>
      </c>
      <c r="J436" s="950">
        <v>0</v>
      </c>
      <c r="K436" s="950" t="s">
        <v>5232</v>
      </c>
      <c r="L436" s="911">
        <v>142.36000000000001</v>
      </c>
      <c r="M436" s="911"/>
      <c r="N436" s="911"/>
      <c r="O436" s="911"/>
      <c r="P436" s="911">
        <v>14.87</v>
      </c>
      <c r="Q436" s="911"/>
      <c r="R436" s="951"/>
      <c r="S436" s="920">
        <v>26.54</v>
      </c>
      <c r="T436" s="952">
        <f>SUM(L436:S436)</f>
        <v>183.77</v>
      </c>
      <c r="U436" s="622"/>
      <c r="V436" s="616">
        <v>-76.02</v>
      </c>
    </row>
    <row r="437" spans="1:23" ht="15">
      <c r="A437" s="953">
        <v>19957529</v>
      </c>
      <c r="B437" s="3533" t="s">
        <v>7192</v>
      </c>
      <c r="C437" s="3534" t="s">
        <v>7193</v>
      </c>
      <c r="D437" s="954">
        <v>2020</v>
      </c>
      <c r="E437" s="954"/>
      <c r="F437" s="954"/>
      <c r="G437" s="954"/>
      <c r="H437" s="954"/>
      <c r="I437" s="954"/>
      <c r="J437" s="954"/>
      <c r="K437" s="3533" t="s">
        <v>7194</v>
      </c>
      <c r="L437" s="916">
        <v>263.63</v>
      </c>
      <c r="M437" s="916">
        <v>109.42</v>
      </c>
      <c r="N437" s="916">
        <v>462.79</v>
      </c>
      <c r="O437" s="916"/>
      <c r="P437" s="916">
        <v>14.87</v>
      </c>
      <c r="Q437" s="916">
        <v>36.47</v>
      </c>
      <c r="R437" s="951">
        <v>31.85</v>
      </c>
      <c r="S437" s="920">
        <v>157.09</v>
      </c>
      <c r="T437" s="952">
        <f>SUM(L437:S437)</f>
        <v>1076.1200000000001</v>
      </c>
      <c r="U437" s="622"/>
      <c r="V437" s="615"/>
    </row>
    <row r="438" spans="1:23" ht="15">
      <c r="A438" s="953"/>
      <c r="B438" s="954" t="s">
        <v>5233</v>
      </c>
      <c r="C438" s="914"/>
      <c r="D438" s="954"/>
      <c r="E438" s="954"/>
      <c r="F438" s="954"/>
      <c r="G438" s="954"/>
      <c r="H438" s="954"/>
      <c r="I438" s="954"/>
      <c r="J438" s="954"/>
      <c r="K438" s="954" t="s">
        <v>5234</v>
      </c>
      <c r="L438" s="916"/>
      <c r="M438" s="916">
        <v>700</v>
      </c>
      <c r="N438" s="916">
        <v>2400</v>
      </c>
      <c r="O438" s="916">
        <v>700</v>
      </c>
      <c r="P438" s="916"/>
      <c r="Q438" s="916">
        <v>700</v>
      </c>
      <c r="R438" s="951"/>
      <c r="S438" s="920">
        <v>787.5</v>
      </c>
      <c r="T438" s="952">
        <f>SUM(L438:S438)</f>
        <v>5287.5</v>
      </c>
      <c r="U438" s="622"/>
      <c r="V438" s="608"/>
    </row>
    <row r="439" spans="1:23" ht="15">
      <c r="A439" s="953"/>
      <c r="B439" s="954"/>
      <c r="C439" s="914"/>
      <c r="D439" s="954"/>
      <c r="E439" s="954"/>
      <c r="F439" s="954"/>
      <c r="G439" s="954"/>
      <c r="H439" s="954"/>
      <c r="I439" s="954"/>
      <c r="J439" s="954"/>
      <c r="K439" s="954"/>
      <c r="L439" s="916"/>
      <c r="M439" s="916"/>
      <c r="N439" s="916"/>
      <c r="O439" s="916"/>
      <c r="P439" s="916"/>
      <c r="Q439" s="916"/>
      <c r="R439" s="951"/>
      <c r="S439" s="920"/>
      <c r="T439" s="952"/>
      <c r="U439" s="622"/>
      <c r="V439" s="608"/>
    </row>
    <row r="440" spans="1:23" ht="15">
      <c r="A440" s="953"/>
      <c r="B440" s="954"/>
      <c r="C440" s="914"/>
      <c r="D440" s="954"/>
      <c r="E440" s="954"/>
      <c r="F440" s="954"/>
      <c r="G440" s="954"/>
      <c r="H440" s="954"/>
      <c r="I440" s="954"/>
      <c r="J440" s="954"/>
      <c r="K440" s="954"/>
      <c r="L440" s="916"/>
      <c r="M440" s="916"/>
      <c r="N440" s="916"/>
      <c r="O440" s="916"/>
      <c r="P440" s="916"/>
      <c r="Q440" s="916"/>
      <c r="R440" s="951"/>
      <c r="S440" s="920"/>
      <c r="T440" s="952"/>
      <c r="U440" s="622"/>
      <c r="V440" s="608"/>
    </row>
    <row r="441" spans="1:23" ht="15">
      <c r="A441" s="2517" t="s">
        <v>5235</v>
      </c>
      <c r="B441" s="2518"/>
      <c r="C441" s="2519"/>
      <c r="D441" s="2518"/>
      <c r="E441" s="2518"/>
      <c r="F441" s="2518"/>
      <c r="G441" s="2518"/>
      <c r="H441" s="2518"/>
      <c r="I441" s="2518"/>
      <c r="J441" s="2518"/>
      <c r="K441" s="2520" t="s">
        <v>5379</v>
      </c>
      <c r="L441" s="2521"/>
      <c r="M441" s="2521"/>
      <c r="N441" s="2521"/>
      <c r="O441" s="2521"/>
      <c r="P441" s="2521"/>
      <c r="Q441" s="2521"/>
      <c r="R441" s="2522"/>
      <c r="S441" s="2523"/>
      <c r="T441" s="2524"/>
      <c r="U441" s="621">
        <f>SUM(T442:T480)</f>
        <v>7277.8099999999995</v>
      </c>
      <c r="V441" s="615">
        <f>SUM(V443:V480)</f>
        <v>634.77</v>
      </c>
      <c r="W441" s="615"/>
    </row>
    <row r="442" spans="1:23" ht="15">
      <c r="A442" s="949">
        <v>19938474</v>
      </c>
      <c r="B442" s="960" t="s">
        <v>7190</v>
      </c>
      <c r="C442" s="961" t="s">
        <v>7191</v>
      </c>
      <c r="D442" s="950">
        <v>2020</v>
      </c>
      <c r="E442" s="950">
        <v>0</v>
      </c>
      <c r="F442" s="950">
        <v>0</v>
      </c>
      <c r="G442" s="950">
        <v>0</v>
      </c>
      <c r="H442" s="950">
        <v>0</v>
      </c>
      <c r="I442" s="950">
        <v>0</v>
      </c>
      <c r="J442" s="950">
        <v>0</v>
      </c>
      <c r="K442" s="950" t="s">
        <v>5238</v>
      </c>
      <c r="L442" s="911">
        <v>12.99</v>
      </c>
      <c r="M442" s="911"/>
      <c r="N442" s="911"/>
      <c r="O442" s="911"/>
      <c r="P442" s="911"/>
      <c r="Q442" s="911"/>
      <c r="R442" s="951"/>
      <c r="S442" s="920">
        <v>1.67</v>
      </c>
      <c r="T442" s="952">
        <f t="shared" ref="T442:T468" si="15">SUM(L442:S442)</f>
        <v>14.66</v>
      </c>
      <c r="U442" s="621"/>
      <c r="V442" s="615"/>
    </row>
    <row r="443" spans="1:23" ht="15">
      <c r="A443" s="949">
        <v>19743702</v>
      </c>
      <c r="B443" s="955" t="s">
        <v>5350</v>
      </c>
      <c r="C443" s="927" t="s">
        <v>5351</v>
      </c>
      <c r="D443" s="950"/>
      <c r="E443" s="950"/>
      <c r="F443" s="950"/>
      <c r="G443" s="950"/>
      <c r="H443" s="950"/>
      <c r="I443" s="950"/>
      <c r="J443" s="950"/>
      <c r="K443" s="950" t="s">
        <v>5238</v>
      </c>
      <c r="L443" s="911">
        <v>16.559999999999999</v>
      </c>
      <c r="M443" s="911"/>
      <c r="N443" s="911"/>
      <c r="O443" s="911"/>
      <c r="P443" s="911"/>
      <c r="Q443" s="911"/>
      <c r="R443" s="951"/>
      <c r="S443" s="920">
        <v>2.13</v>
      </c>
      <c r="T443" s="952">
        <f t="shared" si="15"/>
        <v>18.689999999999998</v>
      </c>
      <c r="U443" s="622"/>
      <c r="V443" s="608"/>
    </row>
    <row r="444" spans="1:23" ht="15">
      <c r="A444" s="949">
        <v>2302144</v>
      </c>
      <c r="B444" s="950" t="s">
        <v>5239</v>
      </c>
      <c r="C444" s="907" t="s">
        <v>5240</v>
      </c>
      <c r="D444" s="950">
        <v>1999</v>
      </c>
      <c r="E444" s="950">
        <v>84</v>
      </c>
      <c r="F444" s="950">
        <v>2799</v>
      </c>
      <c r="G444" s="950">
        <v>0</v>
      </c>
      <c r="H444" s="950">
        <v>24789</v>
      </c>
      <c r="I444" s="950">
        <v>2</v>
      </c>
      <c r="J444" s="950">
        <v>0</v>
      </c>
      <c r="K444" s="950" t="s">
        <v>5241</v>
      </c>
      <c r="L444" s="911">
        <v>254.84</v>
      </c>
      <c r="M444" s="911"/>
      <c r="N444" s="911"/>
      <c r="O444" s="911"/>
      <c r="P444" s="911">
        <v>8.68</v>
      </c>
      <c r="Q444" s="911"/>
      <c r="R444" s="951"/>
      <c r="S444" s="920">
        <v>33.39</v>
      </c>
      <c r="T444" s="952">
        <f t="shared" si="15"/>
        <v>296.90999999999997</v>
      </c>
      <c r="U444" s="622"/>
      <c r="V444" s="615"/>
    </row>
    <row r="445" spans="1:23" ht="15">
      <c r="A445" s="949">
        <v>19024173</v>
      </c>
      <c r="B445" s="950" t="s">
        <v>5242</v>
      </c>
      <c r="C445" s="907" t="s">
        <v>5243</v>
      </c>
      <c r="D445" s="950">
        <v>1996</v>
      </c>
      <c r="E445" s="950">
        <v>0</v>
      </c>
      <c r="F445" s="950">
        <v>0</v>
      </c>
      <c r="G445" s="950">
        <v>3500</v>
      </c>
      <c r="H445" s="950">
        <v>5850</v>
      </c>
      <c r="I445" s="950">
        <v>0</v>
      </c>
      <c r="J445" s="950">
        <v>0</v>
      </c>
      <c r="K445" s="950" t="s">
        <v>5238</v>
      </c>
      <c r="L445" s="911">
        <v>35.1</v>
      </c>
      <c r="M445" s="911"/>
      <c r="N445" s="911"/>
      <c r="O445" s="911"/>
      <c r="P445" s="911"/>
      <c r="Q445" s="911"/>
      <c r="R445" s="951"/>
      <c r="S445" s="920">
        <v>4.51</v>
      </c>
      <c r="T445" s="952">
        <f t="shared" si="15"/>
        <v>39.61</v>
      </c>
      <c r="U445" s="622"/>
      <c r="V445" s="615"/>
    </row>
    <row r="446" spans="1:23" ht="15">
      <c r="A446" s="3532">
        <v>19025769</v>
      </c>
      <c r="B446" s="3530" t="s">
        <v>5244</v>
      </c>
      <c r="C446" s="3531" t="s">
        <v>5247</v>
      </c>
      <c r="D446" s="3530">
        <v>1996</v>
      </c>
      <c r="E446" s="3530">
        <v>180</v>
      </c>
      <c r="F446" s="3530">
        <v>10964</v>
      </c>
      <c r="G446" s="3530">
        <v>19000</v>
      </c>
      <c r="H446" s="3530">
        <v>141027</v>
      </c>
      <c r="I446" s="3530">
        <v>2</v>
      </c>
      <c r="J446" s="3530">
        <v>0</v>
      </c>
      <c r="K446" s="3530" t="s">
        <v>5246</v>
      </c>
      <c r="L446" s="911"/>
      <c r="M446" s="911"/>
      <c r="N446" s="911"/>
      <c r="O446" s="911"/>
      <c r="P446" s="911"/>
      <c r="Q446" s="911"/>
      <c r="R446" s="951"/>
      <c r="S446" s="920"/>
      <c r="T446" s="952">
        <f t="shared" si="15"/>
        <v>0</v>
      </c>
      <c r="U446" s="622"/>
      <c r="V446" s="615"/>
    </row>
    <row r="447" spans="1:23" ht="15">
      <c r="A447" s="949">
        <v>19046774</v>
      </c>
      <c r="B447" s="950" t="s">
        <v>5248</v>
      </c>
      <c r="C447" s="927" t="s">
        <v>5353</v>
      </c>
      <c r="D447" s="950">
        <v>1999</v>
      </c>
      <c r="E447" s="950">
        <v>0</v>
      </c>
      <c r="F447" s="950">
        <v>0</v>
      </c>
      <c r="G447" s="950">
        <v>2000</v>
      </c>
      <c r="H447" s="950">
        <v>6197</v>
      </c>
      <c r="I447" s="950">
        <v>0</v>
      </c>
      <c r="J447" s="950">
        <v>0</v>
      </c>
      <c r="K447" s="950" t="s">
        <v>5238</v>
      </c>
      <c r="L447" s="911">
        <v>12.99</v>
      </c>
      <c r="M447" s="911"/>
      <c r="N447" s="911"/>
      <c r="O447" s="911"/>
      <c r="P447" s="911"/>
      <c r="Q447" s="911"/>
      <c r="R447" s="951"/>
      <c r="S447" s="920">
        <v>1.67</v>
      </c>
      <c r="T447" s="952">
        <f t="shared" si="15"/>
        <v>14.66</v>
      </c>
      <c r="U447" s="622"/>
      <c r="V447" s="615"/>
    </row>
    <row r="448" spans="1:23" s="608" customFormat="1" ht="15">
      <c r="A448" s="949">
        <v>19055120</v>
      </c>
      <c r="B448" s="950" t="s">
        <v>5249</v>
      </c>
      <c r="C448" s="907" t="s">
        <v>5250</v>
      </c>
      <c r="D448" s="950">
        <v>2000</v>
      </c>
      <c r="E448" s="950">
        <v>51</v>
      </c>
      <c r="F448" s="950">
        <v>1868</v>
      </c>
      <c r="G448" s="950">
        <v>0</v>
      </c>
      <c r="H448" s="950">
        <v>10857</v>
      </c>
      <c r="I448" s="950">
        <v>4</v>
      </c>
      <c r="J448" s="950">
        <v>4</v>
      </c>
      <c r="K448" s="950" t="s">
        <v>5251</v>
      </c>
      <c r="L448" s="911">
        <v>142.36000000000001</v>
      </c>
      <c r="M448" s="911"/>
      <c r="N448" s="911"/>
      <c r="O448" s="911"/>
      <c r="P448" s="911">
        <v>14.87</v>
      </c>
      <c r="Q448" s="911"/>
      <c r="R448" s="951"/>
      <c r="S448" s="920">
        <v>26.54</v>
      </c>
      <c r="T448" s="952">
        <f t="shared" si="15"/>
        <v>183.77</v>
      </c>
      <c r="U448" s="622"/>
      <c r="V448" s="615"/>
    </row>
    <row r="449" spans="1:22" s="608" customFormat="1" ht="15">
      <c r="A449" s="949">
        <v>19055156</v>
      </c>
      <c r="B449" s="950" t="s">
        <v>5239</v>
      </c>
      <c r="C449" s="907" t="s">
        <v>5252</v>
      </c>
      <c r="D449" s="950">
        <v>2000</v>
      </c>
      <c r="E449" s="950">
        <v>47</v>
      </c>
      <c r="F449" s="950">
        <v>1870</v>
      </c>
      <c r="G449" s="950">
        <v>0</v>
      </c>
      <c r="H449" s="950">
        <v>11279</v>
      </c>
      <c r="I449" s="950">
        <v>1</v>
      </c>
      <c r="J449" s="950">
        <v>3</v>
      </c>
      <c r="K449" s="950" t="s">
        <v>5241</v>
      </c>
      <c r="L449" s="911">
        <v>111.07</v>
      </c>
      <c r="M449" s="911"/>
      <c r="N449" s="911"/>
      <c r="O449" s="911"/>
      <c r="P449" s="911">
        <v>8.68</v>
      </c>
      <c r="Q449" s="911"/>
      <c r="R449" s="951"/>
      <c r="S449" s="920">
        <v>14.92</v>
      </c>
      <c r="T449" s="952">
        <f t="shared" si="15"/>
        <v>134.66999999999999</v>
      </c>
      <c r="U449" s="622"/>
      <c r="V449" s="616">
        <v>-56.45</v>
      </c>
    </row>
    <row r="450" spans="1:22" s="608" customFormat="1" ht="15">
      <c r="A450" s="949">
        <v>19056155</v>
      </c>
      <c r="B450" s="950" t="s">
        <v>5253</v>
      </c>
      <c r="C450" s="907" t="s">
        <v>5254</v>
      </c>
      <c r="D450" s="950">
        <v>2005</v>
      </c>
      <c r="E450" s="950">
        <v>0</v>
      </c>
      <c r="F450" s="950">
        <v>125</v>
      </c>
      <c r="G450" s="950">
        <v>0</v>
      </c>
      <c r="H450" s="950">
        <v>2434</v>
      </c>
      <c r="I450" s="950">
        <v>1</v>
      </c>
      <c r="J450" s="950">
        <v>0</v>
      </c>
      <c r="K450" s="950" t="s">
        <v>5255</v>
      </c>
      <c r="L450" s="911">
        <v>111.01</v>
      </c>
      <c r="M450" s="911"/>
      <c r="N450" s="911"/>
      <c r="O450" s="911"/>
      <c r="P450" s="911">
        <v>4.96</v>
      </c>
      <c r="Q450" s="911"/>
      <c r="R450" s="951"/>
      <c r="S450" s="920">
        <v>20.190000000000001</v>
      </c>
      <c r="T450" s="952">
        <f t="shared" si="15"/>
        <v>136.16</v>
      </c>
      <c r="U450" s="622"/>
      <c r="V450" s="615"/>
    </row>
    <row r="451" spans="1:22" s="608" customFormat="1" ht="15">
      <c r="A451" s="949">
        <v>19057411</v>
      </c>
      <c r="B451" s="950" t="s">
        <v>5256</v>
      </c>
      <c r="C451" s="907" t="s">
        <v>5257</v>
      </c>
      <c r="D451" s="950">
        <v>2000</v>
      </c>
      <c r="E451" s="950">
        <v>0</v>
      </c>
      <c r="F451" s="950">
        <v>0</v>
      </c>
      <c r="G451" s="950">
        <v>3000</v>
      </c>
      <c r="H451" s="950">
        <v>4462</v>
      </c>
      <c r="I451" s="950">
        <v>0</v>
      </c>
      <c r="J451" s="950">
        <v>0</v>
      </c>
      <c r="K451" s="950" t="s">
        <v>5238</v>
      </c>
      <c r="L451" s="911">
        <v>19.510000000000002</v>
      </c>
      <c r="M451" s="911"/>
      <c r="N451" s="911"/>
      <c r="O451" s="911"/>
      <c r="P451" s="911"/>
      <c r="Q451" s="911"/>
      <c r="R451" s="951"/>
      <c r="S451" s="920">
        <v>2.5099999999999998</v>
      </c>
      <c r="T451" s="952">
        <f t="shared" si="15"/>
        <v>22.020000000000003</v>
      </c>
      <c r="U451" s="622"/>
      <c r="V451" s="615"/>
    </row>
    <row r="452" spans="1:22" s="608" customFormat="1" ht="15">
      <c r="A452" s="949">
        <v>19125110</v>
      </c>
      <c r="B452" s="950" t="s">
        <v>5258</v>
      </c>
      <c r="C452" s="907" t="s">
        <v>5259</v>
      </c>
      <c r="D452" s="950">
        <v>2002</v>
      </c>
      <c r="E452" s="950">
        <v>0</v>
      </c>
      <c r="F452" s="950">
        <v>0</v>
      </c>
      <c r="G452" s="950">
        <v>1300</v>
      </c>
      <c r="H452" s="950">
        <v>12395</v>
      </c>
      <c r="I452" s="950">
        <v>0</v>
      </c>
      <c r="J452" s="950">
        <v>0</v>
      </c>
      <c r="K452" s="950" t="s">
        <v>5260</v>
      </c>
      <c r="L452" s="911">
        <v>12.99</v>
      </c>
      <c r="M452" s="911"/>
      <c r="N452" s="911"/>
      <c r="O452" s="911"/>
      <c r="P452" s="911"/>
      <c r="Q452" s="911"/>
      <c r="R452" s="951"/>
      <c r="S452" s="920">
        <v>1.67</v>
      </c>
      <c r="T452" s="952">
        <f t="shared" si="15"/>
        <v>14.66</v>
      </c>
      <c r="U452" s="622"/>
      <c r="V452" s="615"/>
    </row>
    <row r="453" spans="1:22" s="608" customFormat="1" ht="15">
      <c r="A453" s="3532">
        <v>19133993</v>
      </c>
      <c r="B453" s="3530" t="s">
        <v>5261</v>
      </c>
      <c r="C453" s="3531" t="s">
        <v>5262</v>
      </c>
      <c r="D453" s="3530">
        <v>2002</v>
      </c>
      <c r="E453" s="3530">
        <v>198</v>
      </c>
      <c r="F453" s="3530">
        <v>9973</v>
      </c>
      <c r="G453" s="3530">
        <v>19000</v>
      </c>
      <c r="H453" s="3530">
        <v>119980</v>
      </c>
      <c r="I453" s="3530">
        <v>2</v>
      </c>
      <c r="J453" s="3530">
        <v>0</v>
      </c>
      <c r="K453" s="3530" t="s">
        <v>5246</v>
      </c>
      <c r="L453" s="911"/>
      <c r="M453" s="911"/>
      <c r="N453" s="911"/>
      <c r="O453" s="911"/>
      <c r="P453" s="911"/>
      <c r="Q453" s="911"/>
      <c r="R453" s="951"/>
      <c r="S453" s="920"/>
      <c r="T453" s="952">
        <f t="shared" si="15"/>
        <v>0</v>
      </c>
      <c r="U453" s="622"/>
      <c r="V453" s="615"/>
    </row>
    <row r="454" spans="1:22" s="608" customFormat="1" ht="15">
      <c r="A454" s="949">
        <v>19149679</v>
      </c>
      <c r="B454" s="950" t="s">
        <v>5263</v>
      </c>
      <c r="C454" s="961" t="s">
        <v>7189</v>
      </c>
      <c r="D454" s="950">
        <v>2003</v>
      </c>
      <c r="E454" s="950">
        <v>0</v>
      </c>
      <c r="F454" s="950">
        <v>0</v>
      </c>
      <c r="G454" s="950">
        <v>2000</v>
      </c>
      <c r="H454" s="950">
        <v>0</v>
      </c>
      <c r="I454" s="950">
        <v>0</v>
      </c>
      <c r="J454" s="950">
        <v>0</v>
      </c>
      <c r="K454" s="950" t="s">
        <v>5238</v>
      </c>
      <c r="L454" s="911">
        <v>12.99</v>
      </c>
      <c r="M454" s="911"/>
      <c r="N454" s="911"/>
      <c r="O454" s="911"/>
      <c r="P454" s="911"/>
      <c r="Q454" s="911"/>
      <c r="R454" s="951"/>
      <c r="S454" s="920">
        <v>1.67</v>
      </c>
      <c r="T454" s="952">
        <f t="shared" si="15"/>
        <v>14.66</v>
      </c>
      <c r="U454" s="622"/>
      <c r="V454" s="615"/>
    </row>
    <row r="455" spans="1:22" s="608" customFormat="1" ht="15">
      <c r="A455" s="949">
        <v>19236255</v>
      </c>
      <c r="B455" s="950" t="s">
        <v>5230</v>
      </c>
      <c r="C455" s="907" t="s">
        <v>5266</v>
      </c>
      <c r="D455" s="950">
        <v>2005</v>
      </c>
      <c r="E455" s="950">
        <v>51</v>
      </c>
      <c r="F455" s="950">
        <v>1868</v>
      </c>
      <c r="G455" s="950">
        <v>0</v>
      </c>
      <c r="H455" s="950">
        <v>10767</v>
      </c>
      <c r="I455" s="950">
        <v>2</v>
      </c>
      <c r="J455" s="950">
        <v>0</v>
      </c>
      <c r="K455" s="950" t="s">
        <v>5241</v>
      </c>
      <c r="L455" s="911">
        <v>118.37</v>
      </c>
      <c r="M455" s="911"/>
      <c r="N455" s="911"/>
      <c r="O455" s="911"/>
      <c r="P455" s="911">
        <v>8.68</v>
      </c>
      <c r="Q455" s="911"/>
      <c r="R455" s="951"/>
      <c r="S455" s="920">
        <v>15.86</v>
      </c>
      <c r="T455" s="952">
        <f t="shared" si="15"/>
        <v>142.91000000000003</v>
      </c>
      <c r="U455" s="622"/>
      <c r="V455" s="615"/>
    </row>
    <row r="456" spans="1:22" s="608" customFormat="1" ht="15">
      <c r="A456" s="949">
        <v>19307022</v>
      </c>
      <c r="B456" s="950" t="s">
        <v>5267</v>
      </c>
      <c r="C456" s="907" t="s">
        <v>5268</v>
      </c>
      <c r="D456" s="950">
        <v>2001</v>
      </c>
      <c r="E456" s="950">
        <v>51</v>
      </c>
      <c r="F456" s="950">
        <v>0</v>
      </c>
      <c r="G456" s="950">
        <v>0</v>
      </c>
      <c r="H456" s="950">
        <v>0</v>
      </c>
      <c r="I456" s="950">
        <v>4</v>
      </c>
      <c r="J456" s="950">
        <v>0</v>
      </c>
      <c r="K456" s="950" t="s">
        <v>5269</v>
      </c>
      <c r="L456" s="911">
        <v>142.36000000000001</v>
      </c>
      <c r="M456" s="911"/>
      <c r="N456" s="911"/>
      <c r="O456" s="911"/>
      <c r="P456" s="911">
        <v>14.87</v>
      </c>
      <c r="Q456" s="911"/>
      <c r="R456" s="951"/>
      <c r="S456" s="920">
        <v>26.54</v>
      </c>
      <c r="T456" s="952">
        <f t="shared" si="15"/>
        <v>183.77</v>
      </c>
      <c r="U456" s="622"/>
      <c r="V456" s="615"/>
    </row>
    <row r="457" spans="1:22" s="608" customFormat="1" ht="15">
      <c r="A457" s="949">
        <v>19315939</v>
      </c>
      <c r="B457" s="950" t="s">
        <v>5270</v>
      </c>
      <c r="C457" s="907" t="s">
        <v>5271</v>
      </c>
      <c r="D457" s="950">
        <v>2007</v>
      </c>
      <c r="E457" s="950">
        <v>0</v>
      </c>
      <c r="F457" s="950">
        <v>0</v>
      </c>
      <c r="G457" s="950">
        <v>2700</v>
      </c>
      <c r="H457" s="950">
        <v>4471</v>
      </c>
      <c r="I457" s="950">
        <v>0</v>
      </c>
      <c r="J457" s="950">
        <v>0</v>
      </c>
      <c r="K457" s="950" t="s">
        <v>5238</v>
      </c>
      <c r="L457" s="911">
        <v>25.09</v>
      </c>
      <c r="M457" s="911"/>
      <c r="N457" s="911"/>
      <c r="O457" s="911"/>
      <c r="P457" s="911"/>
      <c r="Q457" s="911"/>
      <c r="R457" s="951"/>
      <c r="S457" s="920">
        <v>3.22</v>
      </c>
      <c r="T457" s="952">
        <f t="shared" si="15"/>
        <v>28.31</v>
      </c>
      <c r="U457" s="622"/>
      <c r="V457" s="615"/>
    </row>
    <row r="458" spans="1:22" s="608" customFormat="1" ht="15">
      <c r="A458" s="949">
        <v>19350146</v>
      </c>
      <c r="B458" s="950" t="s">
        <v>5272</v>
      </c>
      <c r="C458" s="907" t="s">
        <v>5273</v>
      </c>
      <c r="D458" s="950">
        <v>2013</v>
      </c>
      <c r="E458" s="950">
        <v>0</v>
      </c>
      <c r="F458" s="950">
        <v>0</v>
      </c>
      <c r="G458" s="950">
        <v>2000</v>
      </c>
      <c r="H458" s="950">
        <v>0</v>
      </c>
      <c r="I458" s="950">
        <v>0</v>
      </c>
      <c r="J458" s="950">
        <v>0</v>
      </c>
      <c r="K458" s="950" t="s">
        <v>5274</v>
      </c>
      <c r="L458" s="911">
        <v>29.3</v>
      </c>
      <c r="M458" s="911"/>
      <c r="N458" s="911"/>
      <c r="O458" s="911"/>
      <c r="P458" s="911">
        <v>8.68</v>
      </c>
      <c r="Q458" s="911"/>
      <c r="R458" s="951"/>
      <c r="S458" s="920">
        <v>4.42</v>
      </c>
      <c r="T458" s="952">
        <f t="shared" si="15"/>
        <v>42.400000000000006</v>
      </c>
      <c r="U458" s="622"/>
      <c r="V458" s="615"/>
    </row>
    <row r="459" spans="1:22" s="608" customFormat="1" ht="15">
      <c r="A459" s="949">
        <v>19352145</v>
      </c>
      <c r="B459" s="950" t="s">
        <v>5270</v>
      </c>
      <c r="C459" s="907" t="s">
        <v>5228</v>
      </c>
      <c r="D459" s="950">
        <v>2008</v>
      </c>
      <c r="E459" s="950">
        <v>0</v>
      </c>
      <c r="F459" s="950">
        <v>0</v>
      </c>
      <c r="G459" s="950">
        <v>2700</v>
      </c>
      <c r="H459" s="950">
        <v>4713</v>
      </c>
      <c r="I459" s="950">
        <v>0</v>
      </c>
      <c r="J459" s="950">
        <v>0</v>
      </c>
      <c r="K459" s="950" t="s">
        <v>5238</v>
      </c>
      <c r="L459" s="911">
        <v>25.09</v>
      </c>
      <c r="M459" s="911"/>
      <c r="N459" s="911"/>
      <c r="O459" s="911"/>
      <c r="P459" s="911"/>
      <c r="Q459" s="911"/>
      <c r="R459" s="951"/>
      <c r="S459" s="920">
        <v>3.22</v>
      </c>
      <c r="T459" s="952">
        <f t="shared" si="15"/>
        <v>28.31</v>
      </c>
      <c r="U459" s="622"/>
      <c r="V459" s="615"/>
    </row>
    <row r="460" spans="1:22" s="608" customFormat="1" ht="15">
      <c r="A460" s="949">
        <v>19399222</v>
      </c>
      <c r="B460" s="950" t="s">
        <v>5275</v>
      </c>
      <c r="C460" s="907" t="s">
        <v>5276</v>
      </c>
      <c r="D460" s="950">
        <v>2006</v>
      </c>
      <c r="E460" s="950">
        <v>69</v>
      </c>
      <c r="F460" s="950">
        <v>0</v>
      </c>
      <c r="G460" s="950">
        <v>0</v>
      </c>
      <c r="H460" s="950">
        <v>0</v>
      </c>
      <c r="I460" s="950">
        <v>2</v>
      </c>
      <c r="J460" s="950">
        <v>0</v>
      </c>
      <c r="K460" s="950" t="s">
        <v>5241</v>
      </c>
      <c r="L460" s="911">
        <v>151.29</v>
      </c>
      <c r="M460" s="911"/>
      <c r="N460" s="911"/>
      <c r="O460" s="911"/>
      <c r="P460" s="911">
        <v>8.68</v>
      </c>
      <c r="Q460" s="911"/>
      <c r="R460" s="951"/>
      <c r="S460" s="920">
        <v>20.09</v>
      </c>
      <c r="T460" s="952">
        <f t="shared" si="15"/>
        <v>180.06</v>
      </c>
      <c r="U460" s="622"/>
      <c r="V460" s="615"/>
    </row>
    <row r="461" spans="1:22" s="608" customFormat="1" ht="15">
      <c r="A461" s="949">
        <v>19454625</v>
      </c>
      <c r="B461" s="950" t="s">
        <v>5277</v>
      </c>
      <c r="C461" s="907" t="s">
        <v>5278</v>
      </c>
      <c r="D461" s="950">
        <v>2010</v>
      </c>
      <c r="E461" s="950">
        <v>116</v>
      </c>
      <c r="F461" s="950">
        <v>0</v>
      </c>
      <c r="G461" s="950">
        <v>0</v>
      </c>
      <c r="H461" s="950">
        <v>35000</v>
      </c>
      <c r="I461" s="950">
        <v>2</v>
      </c>
      <c r="J461" s="950">
        <v>0</v>
      </c>
      <c r="K461" s="950" t="s">
        <v>5241</v>
      </c>
      <c r="L461" s="911">
        <v>303.11</v>
      </c>
      <c r="M461" s="911"/>
      <c r="N461" s="911"/>
      <c r="O461" s="911"/>
      <c r="P461" s="911">
        <v>8.68</v>
      </c>
      <c r="Q461" s="911"/>
      <c r="R461" s="951"/>
      <c r="S461" s="920">
        <v>39.6</v>
      </c>
      <c r="T461" s="952">
        <f t="shared" si="15"/>
        <v>351.39000000000004</v>
      </c>
      <c r="U461" s="622"/>
      <c r="V461" s="615"/>
    </row>
    <row r="462" spans="1:22" s="608" customFormat="1" ht="15">
      <c r="A462" s="949">
        <v>19464059</v>
      </c>
      <c r="B462" s="950" t="s">
        <v>5279</v>
      </c>
      <c r="C462" s="907" t="s">
        <v>5280</v>
      </c>
      <c r="D462" s="950">
        <v>2010</v>
      </c>
      <c r="E462" s="950">
        <v>96</v>
      </c>
      <c r="F462" s="950">
        <v>2488</v>
      </c>
      <c r="G462" s="950">
        <v>0</v>
      </c>
      <c r="H462" s="950">
        <v>72479</v>
      </c>
      <c r="I462" s="950">
        <v>2</v>
      </c>
      <c r="J462" s="950">
        <v>0</v>
      </c>
      <c r="K462" s="950" t="s">
        <v>5241</v>
      </c>
      <c r="L462" s="911">
        <v>222.95</v>
      </c>
      <c r="M462" s="911"/>
      <c r="N462" s="911"/>
      <c r="O462" s="911"/>
      <c r="P462" s="911">
        <v>8.68</v>
      </c>
      <c r="Q462" s="911"/>
      <c r="R462" s="951"/>
      <c r="S462" s="920">
        <v>29.3</v>
      </c>
      <c r="T462" s="952">
        <f t="shared" si="15"/>
        <v>260.93</v>
      </c>
      <c r="U462" s="622"/>
      <c r="V462" s="615"/>
    </row>
    <row r="463" spans="1:22" s="608" customFormat="1" ht="15">
      <c r="A463" s="949">
        <v>19479152</v>
      </c>
      <c r="B463" s="950" t="s">
        <v>5281</v>
      </c>
      <c r="C463" s="907" t="s">
        <v>5228</v>
      </c>
      <c r="D463" s="950">
        <v>2011</v>
      </c>
      <c r="E463" s="950">
        <v>0</v>
      </c>
      <c r="F463" s="950">
        <v>0</v>
      </c>
      <c r="G463" s="950">
        <v>3500</v>
      </c>
      <c r="H463" s="950">
        <v>0</v>
      </c>
      <c r="I463" s="950">
        <v>0</v>
      </c>
      <c r="J463" s="950">
        <v>0</v>
      </c>
      <c r="K463" s="950" t="s">
        <v>5238</v>
      </c>
      <c r="L463" s="911">
        <v>32.33</v>
      </c>
      <c r="M463" s="911"/>
      <c r="N463" s="911"/>
      <c r="O463" s="911"/>
      <c r="P463" s="911"/>
      <c r="Q463" s="911"/>
      <c r="R463" s="951"/>
      <c r="S463" s="920">
        <v>4.1500000000000004</v>
      </c>
      <c r="T463" s="952">
        <f t="shared" si="15"/>
        <v>36.479999999999997</v>
      </c>
      <c r="U463" s="622"/>
      <c r="V463" s="615"/>
    </row>
    <row r="464" spans="1:22" ht="15">
      <c r="A464" s="949">
        <v>19488224</v>
      </c>
      <c r="B464" s="950" t="s">
        <v>5282</v>
      </c>
      <c r="C464" s="907" t="s">
        <v>5283</v>
      </c>
      <c r="D464" s="950">
        <v>2011</v>
      </c>
      <c r="E464" s="950">
        <v>74</v>
      </c>
      <c r="F464" s="950">
        <v>0</v>
      </c>
      <c r="G464" s="950">
        <v>0</v>
      </c>
      <c r="H464" s="950">
        <v>22489</v>
      </c>
      <c r="I464" s="950">
        <v>2</v>
      </c>
      <c r="J464" s="950">
        <v>0</v>
      </c>
      <c r="K464" s="950" t="s">
        <v>5241</v>
      </c>
      <c r="L464" s="911">
        <v>160.43</v>
      </c>
      <c r="M464" s="911"/>
      <c r="N464" s="911"/>
      <c r="O464" s="911"/>
      <c r="P464" s="911">
        <v>8.68</v>
      </c>
      <c r="Q464" s="911"/>
      <c r="R464" s="951"/>
      <c r="S464" s="920">
        <v>21.26</v>
      </c>
      <c r="T464" s="952">
        <f t="shared" si="15"/>
        <v>190.37</v>
      </c>
      <c r="U464" s="622"/>
      <c r="V464" s="615"/>
    </row>
    <row r="465" spans="1:22" ht="15">
      <c r="A465" s="949">
        <v>19974354</v>
      </c>
      <c r="B465" s="950" t="s">
        <v>5282</v>
      </c>
      <c r="C465" s="961" t="s">
        <v>7195</v>
      </c>
      <c r="D465" s="950">
        <v>2020</v>
      </c>
      <c r="E465" s="950"/>
      <c r="F465" s="950"/>
      <c r="G465" s="950"/>
      <c r="H465" s="950"/>
      <c r="I465" s="950"/>
      <c r="J465" s="950"/>
      <c r="K465" s="950" t="s">
        <v>5241</v>
      </c>
      <c r="L465" s="911">
        <v>207.97</v>
      </c>
      <c r="M465" s="911">
        <v>54.46</v>
      </c>
      <c r="N465" s="911">
        <v>297.39999999999998</v>
      </c>
      <c r="O465" s="911"/>
      <c r="P465" s="911">
        <v>8.68</v>
      </c>
      <c r="Q465" s="911">
        <v>54.46</v>
      </c>
      <c r="R465" s="951"/>
      <c r="S465" s="920">
        <v>78.16</v>
      </c>
      <c r="T465" s="952">
        <f t="shared" si="15"/>
        <v>701.12999999999988</v>
      </c>
      <c r="U465" s="622"/>
      <c r="V465" s="615"/>
    </row>
    <row r="466" spans="1:22" ht="15">
      <c r="A466" s="949">
        <v>19616686</v>
      </c>
      <c r="B466" s="950" t="s">
        <v>5289</v>
      </c>
      <c r="C466" s="907" t="s">
        <v>5290</v>
      </c>
      <c r="D466" s="950"/>
      <c r="E466" s="950"/>
      <c r="F466" s="950"/>
      <c r="G466" s="950"/>
      <c r="H466" s="950"/>
      <c r="I466" s="950"/>
      <c r="J466" s="950"/>
      <c r="K466" s="950" t="s">
        <v>5241</v>
      </c>
      <c r="L466" s="911">
        <v>193.34</v>
      </c>
      <c r="M466" s="911">
        <v>22.46</v>
      </c>
      <c r="N466" s="911"/>
      <c r="O466" s="911">
        <v>24.79</v>
      </c>
      <c r="P466" s="911">
        <v>8.68</v>
      </c>
      <c r="Q466" s="911">
        <v>15.72</v>
      </c>
      <c r="R466" s="951"/>
      <c r="S466" s="920">
        <v>33.369999999999997</v>
      </c>
      <c r="T466" s="952">
        <f t="shared" si="15"/>
        <v>298.36</v>
      </c>
      <c r="U466" s="622"/>
      <c r="V466" s="615"/>
    </row>
    <row r="467" spans="1:22" ht="15">
      <c r="A467" s="949">
        <v>19647948</v>
      </c>
      <c r="B467" s="950" t="s">
        <v>5291</v>
      </c>
      <c r="C467" s="907" t="s">
        <v>5292</v>
      </c>
      <c r="D467" s="950"/>
      <c r="E467" s="950"/>
      <c r="F467" s="950"/>
      <c r="G467" s="950"/>
      <c r="H467" s="950"/>
      <c r="I467" s="950"/>
      <c r="J467" s="950"/>
      <c r="K467" s="950" t="s">
        <v>5241</v>
      </c>
      <c r="L467" s="911">
        <v>225.32</v>
      </c>
      <c r="M467" s="911"/>
      <c r="N467" s="911"/>
      <c r="O467" s="911"/>
      <c r="P467" s="911">
        <v>8.68</v>
      </c>
      <c r="Q467" s="911"/>
      <c r="R467" s="951"/>
      <c r="S467" s="920">
        <v>29.61</v>
      </c>
      <c r="T467" s="952">
        <f t="shared" si="15"/>
        <v>263.61</v>
      </c>
      <c r="U467" s="622"/>
      <c r="V467" s="615"/>
    </row>
    <row r="468" spans="1:22" ht="15">
      <c r="A468" s="949">
        <v>19565323</v>
      </c>
      <c r="B468" s="950" t="s">
        <v>5293</v>
      </c>
      <c r="C468" s="907" t="s">
        <v>5294</v>
      </c>
      <c r="D468" s="950"/>
      <c r="E468" s="950"/>
      <c r="F468" s="950"/>
      <c r="G468" s="950"/>
      <c r="H468" s="950"/>
      <c r="I468" s="950"/>
      <c r="J468" s="950"/>
      <c r="K468" s="950" t="s">
        <v>5295</v>
      </c>
      <c r="L468" s="911">
        <v>118.37</v>
      </c>
      <c r="M468" s="911"/>
      <c r="N468" s="911"/>
      <c r="O468" s="911"/>
      <c r="P468" s="911">
        <v>8.68</v>
      </c>
      <c r="Q468" s="911"/>
      <c r="R468" s="951"/>
      <c r="S468" s="920">
        <v>15.86</v>
      </c>
      <c r="T468" s="952">
        <f t="shared" si="15"/>
        <v>142.91000000000003</v>
      </c>
      <c r="U468" s="622"/>
      <c r="V468" s="615"/>
    </row>
    <row r="469" spans="1:22" ht="15">
      <c r="A469" s="949">
        <v>19565324</v>
      </c>
      <c r="B469" s="950" t="s">
        <v>5291</v>
      </c>
      <c r="C469" s="907" t="s">
        <v>5296</v>
      </c>
      <c r="D469" s="950"/>
      <c r="E469" s="950"/>
      <c r="F469" s="950"/>
      <c r="G469" s="950"/>
      <c r="H469" s="950"/>
      <c r="I469" s="950"/>
      <c r="J469" s="950"/>
      <c r="K469" s="950" t="s">
        <v>5295</v>
      </c>
      <c r="L469" s="911">
        <v>127.52</v>
      </c>
      <c r="M469" s="911"/>
      <c r="N469" s="911"/>
      <c r="O469" s="911"/>
      <c r="P469" s="911">
        <v>8.68</v>
      </c>
      <c r="Q469" s="911"/>
      <c r="R469" s="951"/>
      <c r="S469" s="920">
        <v>17.04</v>
      </c>
      <c r="T469" s="952">
        <f>SUM(L469:S469)</f>
        <v>153.23999999999998</v>
      </c>
      <c r="U469" s="622"/>
      <c r="V469" s="616">
        <v>-40.31</v>
      </c>
    </row>
    <row r="470" spans="1:22" ht="15">
      <c r="A470" s="949">
        <v>19568323</v>
      </c>
      <c r="B470" s="950" t="s">
        <v>5289</v>
      </c>
      <c r="C470" s="907" t="s">
        <v>5297</v>
      </c>
      <c r="D470" s="950"/>
      <c r="E470" s="950"/>
      <c r="F470" s="950"/>
      <c r="G470" s="950"/>
      <c r="H470" s="950"/>
      <c r="I470" s="950"/>
      <c r="J470" s="950"/>
      <c r="K470" s="955" t="s">
        <v>5354</v>
      </c>
      <c r="L470" s="911">
        <v>160.43</v>
      </c>
      <c r="M470" s="911"/>
      <c r="N470" s="911"/>
      <c r="O470" s="911"/>
      <c r="P470" s="911">
        <v>8.68</v>
      </c>
      <c r="Q470" s="911"/>
      <c r="R470" s="951"/>
      <c r="S470" s="920">
        <v>21.26</v>
      </c>
      <c r="T470" s="952">
        <f t="shared" ref="T470:T475" si="16">SUM(L470:S470)</f>
        <v>190.37</v>
      </c>
      <c r="U470" s="622"/>
      <c r="V470" s="616"/>
    </row>
    <row r="471" spans="1:22" ht="15">
      <c r="A471" s="949">
        <v>19361432</v>
      </c>
      <c r="B471" s="950" t="s">
        <v>5298</v>
      </c>
      <c r="C471" s="907" t="s">
        <v>5299</v>
      </c>
      <c r="D471" s="950">
        <v>2008</v>
      </c>
      <c r="E471" s="950">
        <v>88</v>
      </c>
      <c r="F471" s="950">
        <v>2464</v>
      </c>
      <c r="G471" s="950">
        <v>3500</v>
      </c>
      <c r="H471" s="950">
        <v>30211</v>
      </c>
      <c r="I471" s="950">
        <v>2</v>
      </c>
      <c r="J471" s="950">
        <v>0</v>
      </c>
      <c r="K471" s="950" t="s">
        <v>5241</v>
      </c>
      <c r="L471" s="911">
        <v>186.03</v>
      </c>
      <c r="M471" s="911"/>
      <c r="N471" s="911"/>
      <c r="O471" s="911"/>
      <c r="P471" s="911">
        <v>8.68</v>
      </c>
      <c r="Q471" s="911"/>
      <c r="R471" s="951"/>
      <c r="S471" s="920">
        <v>24.55</v>
      </c>
      <c r="T471" s="952">
        <f t="shared" si="16"/>
        <v>219.26000000000002</v>
      </c>
      <c r="U471" s="622"/>
      <c r="V471" s="616"/>
    </row>
    <row r="472" spans="1:22" ht="15">
      <c r="A472" s="949">
        <v>19794335</v>
      </c>
      <c r="B472" s="955" t="s">
        <v>5369</v>
      </c>
      <c r="C472" s="927" t="s">
        <v>5370</v>
      </c>
      <c r="D472" s="950"/>
      <c r="E472" s="950"/>
      <c r="F472" s="950"/>
      <c r="G472" s="950"/>
      <c r="H472" s="950"/>
      <c r="I472" s="950"/>
      <c r="J472" s="950"/>
      <c r="K472" s="955" t="s">
        <v>5238</v>
      </c>
      <c r="L472" s="911">
        <v>12.99</v>
      </c>
      <c r="M472" s="911">
        <v>3.62</v>
      </c>
      <c r="N472" s="911">
        <v>12.67</v>
      </c>
      <c r="O472" s="911"/>
      <c r="P472" s="911"/>
      <c r="Q472" s="911">
        <v>3.62</v>
      </c>
      <c r="R472" s="951"/>
      <c r="S472" s="920">
        <v>4.1500000000000004</v>
      </c>
      <c r="T472" s="952">
        <f t="shared" si="16"/>
        <v>37.049999999999997</v>
      </c>
      <c r="U472" s="622"/>
      <c r="V472" s="616"/>
    </row>
    <row r="473" spans="1:22" ht="15">
      <c r="A473" s="959" t="s">
        <v>5380</v>
      </c>
      <c r="B473" s="960" t="s">
        <v>5282</v>
      </c>
      <c r="C473" s="961" t="s">
        <v>5381</v>
      </c>
      <c r="D473" s="950">
        <v>2019</v>
      </c>
      <c r="E473" s="950"/>
      <c r="F473" s="950"/>
      <c r="G473" s="950"/>
      <c r="H473" s="950"/>
      <c r="I473" s="950"/>
      <c r="J473" s="950"/>
      <c r="K473" s="955"/>
      <c r="L473" s="911">
        <v>207.97</v>
      </c>
      <c r="M473" s="911">
        <v>35.369999999999997</v>
      </c>
      <c r="N473" s="911">
        <v>201.96</v>
      </c>
      <c r="O473" s="911"/>
      <c r="P473" s="911">
        <v>8.68</v>
      </c>
      <c r="Q473" s="911">
        <v>35.369999999999997</v>
      </c>
      <c r="R473" s="951"/>
      <c r="S473" s="920">
        <v>61.47</v>
      </c>
      <c r="T473" s="952">
        <f t="shared" si="16"/>
        <v>550.82000000000005</v>
      </c>
      <c r="U473" s="622"/>
      <c r="V473" s="616"/>
    </row>
    <row r="474" spans="1:22" ht="15">
      <c r="A474" s="959" t="s">
        <v>5382</v>
      </c>
      <c r="B474" s="960" t="s">
        <v>5383</v>
      </c>
      <c r="C474" s="961" t="s">
        <v>5384</v>
      </c>
      <c r="D474" s="950">
        <v>2019</v>
      </c>
      <c r="E474" s="950"/>
      <c r="F474" s="950"/>
      <c r="G474" s="950"/>
      <c r="H474" s="950"/>
      <c r="I474" s="950"/>
      <c r="J474" s="950"/>
      <c r="K474" s="955"/>
      <c r="L474" s="911">
        <v>207.97</v>
      </c>
      <c r="M474" s="911">
        <v>47.67</v>
      </c>
      <c r="N474" s="911">
        <v>263.41000000000003</v>
      </c>
      <c r="O474" s="911"/>
      <c r="P474" s="911">
        <v>8.68</v>
      </c>
      <c r="Q474" s="911">
        <v>47.67</v>
      </c>
      <c r="R474" s="951"/>
      <c r="S474" s="920">
        <v>72.23</v>
      </c>
      <c r="T474" s="952">
        <f t="shared" si="16"/>
        <v>647.62999999999988</v>
      </c>
      <c r="U474" s="622"/>
      <c r="V474" s="616"/>
    </row>
    <row r="475" spans="1:22" ht="15">
      <c r="A475" s="962" t="s">
        <v>5385</v>
      </c>
      <c r="B475" s="963" t="s">
        <v>5386</v>
      </c>
      <c r="C475" s="964" t="s">
        <v>5387</v>
      </c>
      <c r="D475" s="950">
        <v>2019</v>
      </c>
      <c r="E475" s="950"/>
      <c r="F475" s="950"/>
      <c r="G475" s="950"/>
      <c r="H475" s="950"/>
      <c r="I475" s="950"/>
      <c r="J475" s="950"/>
      <c r="K475" s="955"/>
      <c r="L475" s="911">
        <v>429.48</v>
      </c>
      <c r="M475" s="911">
        <v>132.55000000000001</v>
      </c>
      <c r="N475" s="911">
        <v>855.68</v>
      </c>
      <c r="O475" s="911">
        <v>24.79</v>
      </c>
      <c r="P475" s="911">
        <v>8.68</v>
      </c>
      <c r="Q475" s="911">
        <v>92.79</v>
      </c>
      <c r="R475" s="951"/>
      <c r="S475" s="920">
        <v>194.06</v>
      </c>
      <c r="T475" s="952">
        <f t="shared" si="16"/>
        <v>1738.03</v>
      </c>
      <c r="U475" s="622"/>
      <c r="V475" s="616"/>
    </row>
    <row r="476" spans="1:22" ht="15">
      <c r="A476" s="959" t="s">
        <v>7550</v>
      </c>
      <c r="B476" s="960" t="s">
        <v>7190</v>
      </c>
      <c r="C476" s="961" t="s">
        <v>7551</v>
      </c>
      <c r="D476" s="950">
        <v>2021</v>
      </c>
      <c r="E476" s="950"/>
      <c r="F476" s="950"/>
      <c r="G476" s="950"/>
      <c r="H476" s="950"/>
      <c r="I476" s="950"/>
      <c r="J476" s="950"/>
      <c r="K476" s="960" t="s">
        <v>5238</v>
      </c>
      <c r="L476" s="911"/>
      <c r="M476" s="911"/>
      <c r="N476" s="911"/>
      <c r="O476" s="911"/>
      <c r="P476" s="911"/>
      <c r="Q476" s="911"/>
      <c r="R476" s="951"/>
      <c r="S476" s="920"/>
      <c r="T476" s="952"/>
      <c r="U476" s="622"/>
      <c r="V476" s="616">
        <v>20.5</v>
      </c>
    </row>
    <row r="477" spans="1:22" ht="15">
      <c r="A477" s="962" t="s">
        <v>7552</v>
      </c>
      <c r="B477" s="963" t="s">
        <v>7553</v>
      </c>
      <c r="C477" s="964" t="s">
        <v>7554</v>
      </c>
      <c r="D477" s="950">
        <v>2021</v>
      </c>
      <c r="E477" s="950"/>
      <c r="F477" s="950"/>
      <c r="G477" s="950"/>
      <c r="H477" s="950"/>
      <c r="I477" s="950"/>
      <c r="J477" s="950"/>
      <c r="K477" s="960" t="s">
        <v>5241</v>
      </c>
      <c r="L477" s="911"/>
      <c r="M477" s="911"/>
      <c r="N477" s="911"/>
      <c r="O477" s="911"/>
      <c r="P477" s="911"/>
      <c r="Q477" s="911"/>
      <c r="R477" s="951"/>
      <c r="S477" s="920"/>
      <c r="T477" s="952"/>
      <c r="U477" s="622"/>
      <c r="V477" s="616">
        <v>214.37</v>
      </c>
    </row>
    <row r="478" spans="1:22" ht="15">
      <c r="A478" s="962" t="s">
        <v>7555</v>
      </c>
      <c r="B478" s="963" t="s">
        <v>7553</v>
      </c>
      <c r="C478" s="964" t="s">
        <v>7556</v>
      </c>
      <c r="D478" s="950">
        <v>2021</v>
      </c>
      <c r="E478" s="950"/>
      <c r="F478" s="950"/>
      <c r="G478" s="950"/>
      <c r="H478" s="950"/>
      <c r="I478" s="950"/>
      <c r="J478" s="950"/>
      <c r="K478" s="960" t="s">
        <v>5241</v>
      </c>
      <c r="L478" s="911"/>
      <c r="M478" s="911"/>
      <c r="N478" s="911"/>
      <c r="O478" s="911"/>
      <c r="P478" s="911"/>
      <c r="Q478" s="911"/>
      <c r="R478" s="951"/>
      <c r="S478" s="920"/>
      <c r="T478" s="952"/>
      <c r="U478" s="622"/>
      <c r="V478" s="616">
        <v>219.82</v>
      </c>
    </row>
    <row r="479" spans="1:22" ht="15">
      <c r="A479" s="962" t="s">
        <v>7557</v>
      </c>
      <c r="B479" s="963" t="s">
        <v>7553</v>
      </c>
      <c r="C479" s="964" t="s">
        <v>7558</v>
      </c>
      <c r="D479" s="950">
        <v>2021</v>
      </c>
      <c r="E479" s="950"/>
      <c r="F479" s="950"/>
      <c r="G479" s="950"/>
      <c r="H479" s="950"/>
      <c r="I479" s="950"/>
      <c r="J479" s="950"/>
      <c r="K479" s="960" t="s">
        <v>5241</v>
      </c>
      <c r="L479" s="911"/>
      <c r="M479" s="911"/>
      <c r="N479" s="911"/>
      <c r="O479" s="911"/>
      <c r="P479" s="911"/>
      <c r="Q479" s="911"/>
      <c r="R479" s="951"/>
      <c r="S479" s="920"/>
      <c r="T479" s="952"/>
      <c r="U479" s="622"/>
      <c r="V479" s="616">
        <v>219.82</v>
      </c>
    </row>
    <row r="480" spans="1:22" ht="15">
      <c r="A480" s="962" t="s">
        <v>7559</v>
      </c>
      <c r="B480" s="963" t="s">
        <v>7560</v>
      </c>
      <c r="C480" s="964" t="s">
        <v>7561</v>
      </c>
      <c r="D480" s="950">
        <v>2021</v>
      </c>
      <c r="E480" s="950"/>
      <c r="F480" s="950"/>
      <c r="G480" s="950"/>
      <c r="H480" s="950"/>
      <c r="I480" s="950"/>
      <c r="J480" s="950"/>
      <c r="K480" s="960" t="s">
        <v>5241</v>
      </c>
      <c r="L480" s="911"/>
      <c r="M480" s="911"/>
      <c r="N480" s="911"/>
      <c r="O480" s="911"/>
      <c r="P480" s="911"/>
      <c r="Q480" s="911"/>
      <c r="R480" s="951"/>
      <c r="S480" s="920"/>
      <c r="T480" s="952"/>
      <c r="U480" s="622"/>
      <c r="V480" s="608">
        <v>57.02</v>
      </c>
    </row>
    <row r="481" spans="1:23" ht="15">
      <c r="A481" s="2517" t="s">
        <v>5300</v>
      </c>
      <c r="B481" s="2518"/>
      <c r="C481" s="2519"/>
      <c r="D481" s="2518"/>
      <c r="E481" s="2518"/>
      <c r="F481" s="2518"/>
      <c r="G481" s="2518"/>
      <c r="H481" s="2518"/>
      <c r="I481" s="2518"/>
      <c r="J481" s="2518"/>
      <c r="K481" s="2520" t="s">
        <v>5388</v>
      </c>
      <c r="L481" s="2521"/>
      <c r="M481" s="2521"/>
      <c r="N481" s="2521"/>
      <c r="O481" s="2521"/>
      <c r="P481" s="2521"/>
      <c r="Q481" s="2521"/>
      <c r="R481" s="2522"/>
      <c r="S481" s="2523"/>
      <c r="T481" s="2524"/>
      <c r="U481" s="621">
        <f>SUM(T482:T483)</f>
        <v>392.46000000000004</v>
      </c>
      <c r="V481" s="615"/>
      <c r="W481" s="615"/>
    </row>
    <row r="482" spans="1:23" ht="15">
      <c r="A482" s="956">
        <v>19561262</v>
      </c>
      <c r="B482" s="950" t="s">
        <v>5301</v>
      </c>
      <c r="C482" s="907" t="s">
        <v>5302</v>
      </c>
      <c r="D482" s="950">
        <v>1998</v>
      </c>
      <c r="E482" s="950">
        <v>51</v>
      </c>
      <c r="F482" s="950">
        <v>2496</v>
      </c>
      <c r="G482" s="950">
        <v>0</v>
      </c>
      <c r="H482" s="950">
        <v>13758</v>
      </c>
      <c r="I482" s="950">
        <v>8</v>
      </c>
      <c r="J482" s="950">
        <v>0</v>
      </c>
      <c r="K482" s="950" t="s">
        <v>5303</v>
      </c>
      <c r="L482" s="911">
        <v>152.94</v>
      </c>
      <c r="M482" s="911"/>
      <c r="N482" s="911"/>
      <c r="O482" s="911"/>
      <c r="P482" s="911">
        <v>14.87</v>
      </c>
      <c r="Q482" s="911"/>
      <c r="R482" s="951"/>
      <c r="S482" s="920">
        <v>28.42</v>
      </c>
      <c r="T482" s="952">
        <f>SUM(L482:S482)</f>
        <v>196.23000000000002</v>
      </c>
      <c r="U482" s="622"/>
      <c r="V482" s="615"/>
    </row>
    <row r="483" spans="1:23" ht="15">
      <c r="A483" s="949">
        <v>19561263</v>
      </c>
      <c r="B483" s="950" t="s">
        <v>5301</v>
      </c>
      <c r="C483" s="907" t="s">
        <v>5304</v>
      </c>
      <c r="D483" s="950">
        <v>1999</v>
      </c>
      <c r="E483" s="950">
        <v>56</v>
      </c>
      <c r="F483" s="950">
        <v>2500</v>
      </c>
      <c r="G483" s="950">
        <v>0</v>
      </c>
      <c r="H483" s="950">
        <v>0</v>
      </c>
      <c r="I483" s="950">
        <v>8</v>
      </c>
      <c r="J483" s="950">
        <v>0</v>
      </c>
      <c r="K483" s="950" t="s">
        <v>5303</v>
      </c>
      <c r="L483" s="911">
        <v>152.94</v>
      </c>
      <c r="M483" s="911"/>
      <c r="N483" s="911"/>
      <c r="O483" s="911"/>
      <c r="P483" s="911">
        <v>14.87</v>
      </c>
      <c r="Q483" s="911"/>
      <c r="R483" s="951"/>
      <c r="S483" s="920">
        <v>28.42</v>
      </c>
      <c r="T483" s="952">
        <f>SUM(L483:S483)</f>
        <v>196.23000000000002</v>
      </c>
      <c r="U483" s="622"/>
      <c r="V483" s="615"/>
    </row>
    <row r="484" spans="1:23" ht="15">
      <c r="A484" s="949"/>
      <c r="B484" s="950"/>
      <c r="C484" s="907"/>
      <c r="D484" s="950"/>
      <c r="E484" s="950"/>
      <c r="F484" s="950"/>
      <c r="G484" s="950"/>
      <c r="H484" s="950"/>
      <c r="I484" s="950"/>
      <c r="J484" s="950"/>
      <c r="K484" s="950"/>
      <c r="L484" s="911"/>
      <c r="M484" s="911"/>
      <c r="N484" s="911"/>
      <c r="O484" s="911"/>
      <c r="P484" s="911"/>
      <c r="Q484" s="911"/>
      <c r="R484" s="951"/>
      <c r="S484" s="920"/>
      <c r="T484" s="952"/>
      <c r="U484" s="622"/>
      <c r="V484" s="608"/>
    </row>
    <row r="485" spans="1:23" ht="15">
      <c r="A485" s="2517" t="s">
        <v>5305</v>
      </c>
      <c r="B485" s="2518"/>
      <c r="C485" s="2519"/>
      <c r="D485" s="2518"/>
      <c r="E485" s="2518"/>
      <c r="F485" s="2518"/>
      <c r="G485" s="2518"/>
      <c r="H485" s="2518"/>
      <c r="I485" s="2518"/>
      <c r="J485" s="2518"/>
      <c r="K485" s="2520" t="s">
        <v>5389</v>
      </c>
      <c r="L485" s="2521"/>
      <c r="M485" s="2521"/>
      <c r="N485" s="2521"/>
      <c r="O485" s="2521"/>
      <c r="P485" s="2521"/>
      <c r="Q485" s="2521"/>
      <c r="R485" s="2522"/>
      <c r="S485" s="2523"/>
      <c r="T485" s="2524"/>
      <c r="U485" s="621">
        <f>SUM(T486:T508)</f>
        <v>4334.4399999999996</v>
      </c>
      <c r="V485" s="615">
        <f>SUM(V487:V494)</f>
        <v>-25.1</v>
      </c>
      <c r="W485" s="615"/>
    </row>
    <row r="486" spans="1:23" ht="15">
      <c r="A486" s="949">
        <v>19757178</v>
      </c>
      <c r="B486" s="955" t="s">
        <v>5355</v>
      </c>
      <c r="C486" s="927" t="s">
        <v>5356</v>
      </c>
      <c r="D486" s="950" t="s">
        <v>5357</v>
      </c>
      <c r="E486" s="950"/>
      <c r="F486" s="950"/>
      <c r="G486" s="950"/>
      <c r="H486" s="950"/>
      <c r="I486" s="950"/>
      <c r="J486" s="950"/>
      <c r="K486" s="950" t="s">
        <v>5309</v>
      </c>
      <c r="L486" s="911">
        <v>27.54</v>
      </c>
      <c r="M486" s="911">
        <v>50.69</v>
      </c>
      <c r="N486" s="911"/>
      <c r="O486" s="911"/>
      <c r="P486" s="911">
        <v>8.68</v>
      </c>
      <c r="Q486" s="911">
        <v>35.5</v>
      </c>
      <c r="R486" s="951"/>
      <c r="S486" s="920">
        <v>14.97</v>
      </c>
      <c r="T486" s="952">
        <f t="shared" ref="T486:T505" si="17">SUM(L486:S486)</f>
        <v>137.38</v>
      </c>
      <c r="U486" s="622"/>
      <c r="V486" s="615"/>
    </row>
    <row r="487" spans="1:23" ht="15">
      <c r="A487" s="949">
        <v>19022624</v>
      </c>
      <c r="B487" s="950" t="s">
        <v>5264</v>
      </c>
      <c r="C487" s="907" t="s">
        <v>5308</v>
      </c>
      <c r="D487" s="950">
        <v>1996</v>
      </c>
      <c r="E487" s="950">
        <v>0</v>
      </c>
      <c r="F487" s="950">
        <v>6600</v>
      </c>
      <c r="G487" s="950">
        <v>4000</v>
      </c>
      <c r="H487" s="950">
        <v>98488</v>
      </c>
      <c r="I487" s="950">
        <v>1</v>
      </c>
      <c r="J487" s="950">
        <v>0</v>
      </c>
      <c r="K487" s="950" t="s">
        <v>5309</v>
      </c>
      <c r="L487" s="911">
        <v>27.54</v>
      </c>
      <c r="M487" s="911"/>
      <c r="N487" s="911"/>
      <c r="O487" s="911"/>
      <c r="P487" s="911">
        <v>8.68</v>
      </c>
      <c r="Q487" s="911">
        <v>75.83</v>
      </c>
      <c r="R487" s="951"/>
      <c r="S487" s="920">
        <v>13.68</v>
      </c>
      <c r="T487" s="952">
        <f t="shared" si="17"/>
        <v>125.72999999999999</v>
      </c>
      <c r="U487" s="622"/>
      <c r="V487" s="615"/>
    </row>
    <row r="488" spans="1:23" ht="15">
      <c r="A488" s="949">
        <v>19241504</v>
      </c>
      <c r="B488" s="950" t="s">
        <v>5239</v>
      </c>
      <c r="C488" s="907" t="s">
        <v>5311</v>
      </c>
      <c r="D488" s="950">
        <v>2005</v>
      </c>
      <c r="E488" s="950">
        <v>84</v>
      </c>
      <c r="F488" s="950">
        <v>2463</v>
      </c>
      <c r="G488" s="950">
        <v>0</v>
      </c>
      <c r="H488" s="950">
        <v>19906</v>
      </c>
      <c r="I488" s="950">
        <v>2</v>
      </c>
      <c r="J488" s="950">
        <v>0</v>
      </c>
      <c r="K488" s="950" t="s">
        <v>5241</v>
      </c>
      <c r="L488" s="911">
        <v>188.65</v>
      </c>
      <c r="M488" s="911"/>
      <c r="N488" s="911"/>
      <c r="O488" s="911"/>
      <c r="P488" s="911">
        <v>8.68</v>
      </c>
      <c r="Q488" s="911"/>
      <c r="R488" s="951"/>
      <c r="S488" s="920">
        <v>24.89</v>
      </c>
      <c r="T488" s="952">
        <f t="shared" si="17"/>
        <v>222.22000000000003</v>
      </c>
      <c r="U488" s="622"/>
      <c r="V488" s="615"/>
    </row>
    <row r="489" spans="1:23" ht="15">
      <c r="A489" s="949">
        <v>19295977</v>
      </c>
      <c r="B489" s="950" t="s">
        <v>5298</v>
      </c>
      <c r="C489" s="907" t="s">
        <v>5312</v>
      </c>
      <c r="D489" s="950">
        <v>2007</v>
      </c>
      <c r="E489" s="950">
        <v>88</v>
      </c>
      <c r="F489" s="950">
        <v>0</v>
      </c>
      <c r="G489" s="950">
        <v>0</v>
      </c>
      <c r="H489" s="950">
        <v>20670</v>
      </c>
      <c r="I489" s="950">
        <v>2</v>
      </c>
      <c r="J489" s="950">
        <v>0</v>
      </c>
      <c r="K489" s="950" t="s">
        <v>5241</v>
      </c>
      <c r="L489" s="911">
        <v>196.37</v>
      </c>
      <c r="M489" s="911"/>
      <c r="N489" s="911"/>
      <c r="O489" s="911"/>
      <c r="P489" s="911">
        <v>8.68</v>
      </c>
      <c r="Q489" s="911"/>
      <c r="R489" s="951"/>
      <c r="S489" s="920">
        <v>25.89</v>
      </c>
      <c r="T489" s="952">
        <f t="shared" si="17"/>
        <v>230.94</v>
      </c>
      <c r="U489" s="622"/>
      <c r="V489" s="615"/>
    </row>
    <row r="490" spans="1:23" ht="15">
      <c r="A490" s="949">
        <v>19327360</v>
      </c>
      <c r="B490" s="950" t="s">
        <v>5313</v>
      </c>
      <c r="C490" s="907" t="s">
        <v>5314</v>
      </c>
      <c r="D490" s="950">
        <v>2007</v>
      </c>
      <c r="E490" s="950">
        <v>55</v>
      </c>
      <c r="F490" s="950">
        <v>0</v>
      </c>
      <c r="G490" s="950">
        <v>0</v>
      </c>
      <c r="H490" s="950">
        <v>12286</v>
      </c>
      <c r="I490" s="950">
        <v>1</v>
      </c>
      <c r="J490" s="950">
        <v>0</v>
      </c>
      <c r="K490" s="950" t="s">
        <v>5241</v>
      </c>
      <c r="L490" s="911">
        <v>125.7</v>
      </c>
      <c r="M490" s="911"/>
      <c r="N490" s="911"/>
      <c r="O490" s="911"/>
      <c r="P490" s="911">
        <v>8.68</v>
      </c>
      <c r="Q490" s="911"/>
      <c r="R490" s="951"/>
      <c r="S490" s="920">
        <v>16.809999999999999</v>
      </c>
      <c r="T490" s="952">
        <f t="shared" si="17"/>
        <v>151.19</v>
      </c>
      <c r="U490" s="622"/>
      <c r="V490" s="615"/>
    </row>
    <row r="491" spans="1:23" ht="15">
      <c r="A491" s="949">
        <v>19358287</v>
      </c>
      <c r="B491" s="950" t="s">
        <v>5315</v>
      </c>
      <c r="C491" s="907" t="s">
        <v>5316</v>
      </c>
      <c r="D491" s="950">
        <v>2008</v>
      </c>
      <c r="E491" s="950">
        <v>0</v>
      </c>
      <c r="F491" s="950">
        <v>778</v>
      </c>
      <c r="G491" s="950">
        <v>0</v>
      </c>
      <c r="H491" s="950">
        <v>5885</v>
      </c>
      <c r="I491" s="950">
        <v>0</v>
      </c>
      <c r="J491" s="950">
        <v>0</v>
      </c>
      <c r="K491" s="950" t="s">
        <v>5317</v>
      </c>
      <c r="L491" s="911">
        <v>14.4</v>
      </c>
      <c r="M491" s="911"/>
      <c r="N491" s="911"/>
      <c r="O491" s="911"/>
      <c r="P491" s="911">
        <v>3.72</v>
      </c>
      <c r="Q491" s="911"/>
      <c r="R491" s="951"/>
      <c r="S491" s="920">
        <v>2.13</v>
      </c>
      <c r="T491" s="952">
        <f t="shared" si="17"/>
        <v>20.25</v>
      </c>
      <c r="U491" s="622"/>
      <c r="V491" s="615"/>
    </row>
    <row r="492" spans="1:23" ht="15">
      <c r="A492" s="949">
        <v>19469313</v>
      </c>
      <c r="B492" s="950" t="s">
        <v>5318</v>
      </c>
      <c r="C492" s="927" t="s">
        <v>5358</v>
      </c>
      <c r="D492" s="950">
        <v>2011</v>
      </c>
      <c r="E492" s="950">
        <v>0</v>
      </c>
      <c r="F492" s="950">
        <v>0</v>
      </c>
      <c r="G492" s="950">
        <v>0</v>
      </c>
      <c r="H492" s="950">
        <v>116997</v>
      </c>
      <c r="I492" s="950">
        <v>1</v>
      </c>
      <c r="J492" s="950">
        <v>0</v>
      </c>
      <c r="K492" s="950" t="s">
        <v>5309</v>
      </c>
      <c r="L492" s="911">
        <v>27.54</v>
      </c>
      <c r="M492" s="911"/>
      <c r="N492" s="911"/>
      <c r="O492" s="911"/>
      <c r="P492" s="911">
        <v>8.68</v>
      </c>
      <c r="Q492" s="911"/>
      <c r="R492" s="951"/>
      <c r="S492" s="920">
        <v>4.2</v>
      </c>
      <c r="T492" s="952">
        <f t="shared" si="17"/>
        <v>40.42</v>
      </c>
      <c r="U492" s="622"/>
      <c r="V492" s="615"/>
    </row>
    <row r="493" spans="1:23" ht="15">
      <c r="A493" s="949">
        <v>19482716</v>
      </c>
      <c r="B493" s="950" t="s">
        <v>5298</v>
      </c>
      <c r="C493" s="907" t="s">
        <v>5320</v>
      </c>
      <c r="D493" s="950">
        <v>2011</v>
      </c>
      <c r="E493" s="950">
        <v>92</v>
      </c>
      <c r="F493" s="950">
        <v>0</v>
      </c>
      <c r="G493" s="950">
        <v>0</v>
      </c>
      <c r="H493" s="950">
        <v>25388</v>
      </c>
      <c r="I493" s="950">
        <v>2</v>
      </c>
      <c r="J493" s="950">
        <v>0</v>
      </c>
      <c r="K493" s="950" t="s">
        <v>5241</v>
      </c>
      <c r="L493" s="911">
        <v>214.82</v>
      </c>
      <c r="M493" s="911"/>
      <c r="N493" s="911"/>
      <c r="O493" s="911"/>
      <c r="P493" s="911">
        <v>8.68</v>
      </c>
      <c r="Q493" s="911"/>
      <c r="R493" s="951"/>
      <c r="S493" s="920">
        <v>28.25</v>
      </c>
      <c r="T493" s="952">
        <f t="shared" si="17"/>
        <v>251.75</v>
      </c>
      <c r="U493" s="622"/>
      <c r="V493" s="615"/>
    </row>
    <row r="494" spans="1:23" ht="15">
      <c r="A494" s="949">
        <v>19483528</v>
      </c>
      <c r="B494" s="950" t="s">
        <v>5239</v>
      </c>
      <c r="C494" s="907" t="s">
        <v>5321</v>
      </c>
      <c r="D494" s="950">
        <v>2011</v>
      </c>
      <c r="E494" s="950">
        <v>50</v>
      </c>
      <c r="F494" s="950">
        <v>0</v>
      </c>
      <c r="G494" s="950">
        <v>0</v>
      </c>
      <c r="H494" s="950">
        <v>9952</v>
      </c>
      <c r="I494" s="950">
        <v>2</v>
      </c>
      <c r="J494" s="950">
        <v>0</v>
      </c>
      <c r="K494" s="950" t="s">
        <v>5241</v>
      </c>
      <c r="L494" s="911">
        <v>116.55</v>
      </c>
      <c r="M494" s="911"/>
      <c r="N494" s="911"/>
      <c r="O494" s="911"/>
      <c r="P494" s="911">
        <v>8.68</v>
      </c>
      <c r="Q494" s="911"/>
      <c r="R494" s="951"/>
      <c r="S494" s="920">
        <v>15.63</v>
      </c>
      <c r="T494" s="952">
        <f t="shared" si="17"/>
        <v>140.85999999999999</v>
      </c>
      <c r="U494" s="622"/>
      <c r="V494" s="616">
        <v>-25.1</v>
      </c>
    </row>
    <row r="495" spans="1:23" ht="15">
      <c r="A495" s="949">
        <v>19488216</v>
      </c>
      <c r="B495" s="950" t="s">
        <v>5322</v>
      </c>
      <c r="C495" s="907" t="s">
        <v>5323</v>
      </c>
      <c r="D495" s="950">
        <v>2011</v>
      </c>
      <c r="E495" s="950">
        <v>0</v>
      </c>
      <c r="F495" s="950">
        <v>0</v>
      </c>
      <c r="G495" s="950">
        <v>0</v>
      </c>
      <c r="H495" s="950">
        <v>116997</v>
      </c>
      <c r="I495" s="950">
        <v>1</v>
      </c>
      <c r="J495" s="950">
        <v>0</v>
      </c>
      <c r="K495" s="950" t="s">
        <v>5309</v>
      </c>
      <c r="L495" s="911">
        <v>26.15</v>
      </c>
      <c r="M495" s="911">
        <v>102.97</v>
      </c>
      <c r="N495" s="911">
        <v>536.64</v>
      </c>
      <c r="O495" s="911"/>
      <c r="P495" s="911">
        <v>8.68</v>
      </c>
      <c r="Q495" s="911">
        <v>72.09</v>
      </c>
      <c r="R495" s="951"/>
      <c r="S495" s="920">
        <v>92.97</v>
      </c>
      <c r="T495" s="952">
        <f t="shared" si="17"/>
        <v>839.5</v>
      </c>
      <c r="U495" s="622"/>
      <c r="V495" s="615"/>
    </row>
    <row r="496" spans="1:23" ht="15">
      <c r="A496" s="3532">
        <v>2307261</v>
      </c>
      <c r="B496" s="3530" t="s">
        <v>5328</v>
      </c>
      <c r="C496" s="3531" t="s">
        <v>5329</v>
      </c>
      <c r="D496" s="3530">
        <v>1999</v>
      </c>
      <c r="E496" s="3530">
        <v>44</v>
      </c>
      <c r="F496" s="3530">
        <v>1700</v>
      </c>
      <c r="G496" s="3530">
        <v>0</v>
      </c>
      <c r="H496" s="3530">
        <v>9916</v>
      </c>
      <c r="I496" s="3530">
        <v>2</v>
      </c>
      <c r="J496" s="3530">
        <v>0</v>
      </c>
      <c r="K496" s="3530" t="s">
        <v>5241</v>
      </c>
      <c r="L496" s="911"/>
      <c r="M496" s="911"/>
      <c r="N496" s="911"/>
      <c r="O496" s="911"/>
      <c r="P496" s="911"/>
      <c r="Q496" s="911"/>
      <c r="R496" s="951"/>
      <c r="S496" s="920"/>
      <c r="T496" s="952">
        <f t="shared" si="17"/>
        <v>0</v>
      </c>
      <c r="U496" s="622"/>
      <c r="V496" s="615"/>
    </row>
    <row r="497" spans="1:23" ht="15">
      <c r="A497" s="949">
        <v>19057412</v>
      </c>
      <c r="B497" s="950" t="s">
        <v>5330</v>
      </c>
      <c r="C497" s="907" t="s">
        <v>5331</v>
      </c>
      <c r="D497" s="950">
        <v>2000</v>
      </c>
      <c r="E497" s="950">
        <v>0</v>
      </c>
      <c r="F497" s="950">
        <v>0</v>
      </c>
      <c r="G497" s="950">
        <v>0</v>
      </c>
      <c r="H497" s="950">
        <v>24789</v>
      </c>
      <c r="I497" s="950">
        <v>0</v>
      </c>
      <c r="J497" s="950">
        <v>0</v>
      </c>
      <c r="K497" s="950" t="s">
        <v>5332</v>
      </c>
      <c r="L497" s="911">
        <v>61.06</v>
      </c>
      <c r="M497" s="911"/>
      <c r="N497" s="911"/>
      <c r="O497" s="911"/>
      <c r="P497" s="911">
        <v>8.68</v>
      </c>
      <c r="Q497" s="911"/>
      <c r="R497" s="951"/>
      <c r="S497" s="920">
        <v>8.49</v>
      </c>
      <c r="T497" s="952">
        <f t="shared" si="17"/>
        <v>78.23</v>
      </c>
      <c r="U497" s="622"/>
      <c r="V497" s="615"/>
    </row>
    <row r="498" spans="1:23" ht="15">
      <c r="A498" s="949">
        <v>19677178</v>
      </c>
      <c r="B498" s="921" t="s">
        <v>5333</v>
      </c>
      <c r="C498" s="907" t="s">
        <v>5334</v>
      </c>
      <c r="D498" s="950"/>
      <c r="E498" s="950"/>
      <c r="F498" s="950"/>
      <c r="G498" s="950"/>
      <c r="H498" s="950"/>
      <c r="I498" s="950"/>
      <c r="J498" s="950"/>
      <c r="K498" s="950" t="s">
        <v>5335</v>
      </c>
      <c r="L498" s="911">
        <v>27.54</v>
      </c>
      <c r="M498" s="911"/>
      <c r="N498" s="911"/>
      <c r="O498" s="911"/>
      <c r="P498" s="911">
        <v>8.68</v>
      </c>
      <c r="Q498" s="911"/>
      <c r="R498" s="951"/>
      <c r="S498" s="920">
        <v>4.2</v>
      </c>
      <c r="T498" s="952">
        <f t="shared" si="17"/>
        <v>40.42</v>
      </c>
      <c r="U498" s="622"/>
      <c r="V498" s="615"/>
    </row>
    <row r="499" spans="1:23" ht="15">
      <c r="A499" s="949">
        <v>19770680</v>
      </c>
      <c r="B499" s="955" t="s">
        <v>5363</v>
      </c>
      <c r="C499" s="927" t="s">
        <v>5364</v>
      </c>
      <c r="D499" s="950"/>
      <c r="E499" s="950"/>
      <c r="F499" s="950"/>
      <c r="G499" s="950"/>
      <c r="H499" s="950"/>
      <c r="I499" s="950"/>
      <c r="J499" s="950"/>
      <c r="K499" s="955"/>
      <c r="L499" s="911">
        <v>226.25</v>
      </c>
      <c r="M499" s="911">
        <v>20.2</v>
      </c>
      <c r="N499" s="911"/>
      <c r="O499" s="911">
        <v>24.79</v>
      </c>
      <c r="P499" s="911">
        <v>8.68</v>
      </c>
      <c r="Q499" s="911">
        <v>14.13</v>
      </c>
      <c r="R499" s="951"/>
      <c r="S499" s="920">
        <v>37.119999999999997</v>
      </c>
      <c r="T499" s="952">
        <f t="shared" si="17"/>
        <v>331.17</v>
      </c>
      <c r="U499" s="622"/>
      <c r="V499" s="615"/>
    </row>
    <row r="500" spans="1:23" ht="15">
      <c r="A500" s="949">
        <v>19776374</v>
      </c>
      <c r="B500" s="955" t="s">
        <v>5282</v>
      </c>
      <c r="C500" s="927" t="s">
        <v>5365</v>
      </c>
      <c r="D500" s="950"/>
      <c r="E500" s="950"/>
      <c r="F500" s="950"/>
      <c r="G500" s="950"/>
      <c r="H500" s="950"/>
      <c r="I500" s="950"/>
      <c r="J500" s="950"/>
      <c r="K500" s="955"/>
      <c r="L500" s="911">
        <v>231.08</v>
      </c>
      <c r="M500" s="911"/>
      <c r="N500" s="911"/>
      <c r="O500" s="911"/>
      <c r="P500" s="911">
        <v>8.68</v>
      </c>
      <c r="Q500" s="911"/>
      <c r="R500" s="951"/>
      <c r="S500" s="920">
        <v>30.34</v>
      </c>
      <c r="T500" s="952">
        <f t="shared" si="17"/>
        <v>270.10000000000002</v>
      </c>
      <c r="U500" s="622"/>
      <c r="V500" s="615"/>
    </row>
    <row r="501" spans="1:23" ht="15">
      <c r="A501" s="949">
        <v>19774565</v>
      </c>
      <c r="B501" s="955" t="s">
        <v>5366</v>
      </c>
      <c r="C501" s="927" t="s">
        <v>5367</v>
      </c>
      <c r="D501" s="950"/>
      <c r="E501" s="950"/>
      <c r="F501" s="950"/>
      <c r="G501" s="950"/>
      <c r="H501" s="950"/>
      <c r="I501" s="950"/>
      <c r="J501" s="950"/>
      <c r="K501" s="955"/>
      <c r="L501" s="911">
        <v>208.85</v>
      </c>
      <c r="M501" s="911">
        <v>18.64</v>
      </c>
      <c r="N501" s="911"/>
      <c r="O501" s="911">
        <v>24.79</v>
      </c>
      <c r="P501" s="911">
        <v>8.68</v>
      </c>
      <c r="Q501" s="911">
        <v>14.9</v>
      </c>
      <c r="R501" s="951"/>
      <c r="S501" s="920">
        <v>34.78</v>
      </c>
      <c r="T501" s="952">
        <f t="shared" si="17"/>
        <v>310.64</v>
      </c>
      <c r="U501" s="622"/>
      <c r="V501" s="608"/>
    </row>
    <row r="502" spans="1:23" ht="15">
      <c r="A502" s="949">
        <v>19814661</v>
      </c>
      <c r="B502" s="955" t="s">
        <v>5371</v>
      </c>
      <c r="C502" s="927" t="s">
        <v>5372</v>
      </c>
      <c r="D502" s="950"/>
      <c r="E502" s="950"/>
      <c r="F502" s="950"/>
      <c r="G502" s="950"/>
      <c r="H502" s="950"/>
      <c r="I502" s="950"/>
      <c r="J502" s="950"/>
      <c r="K502" s="955"/>
      <c r="L502" s="911">
        <v>343.11</v>
      </c>
      <c r="M502" s="911"/>
      <c r="N502" s="911"/>
      <c r="O502" s="911"/>
      <c r="P502" s="911">
        <v>8.68</v>
      </c>
      <c r="Q502" s="911"/>
      <c r="R502" s="951"/>
      <c r="S502" s="920">
        <v>44.74</v>
      </c>
      <c r="T502" s="952">
        <f t="shared" si="17"/>
        <v>396.53000000000003</v>
      </c>
      <c r="U502" s="622"/>
      <c r="V502" s="615"/>
    </row>
    <row r="503" spans="1:23" ht="15">
      <c r="A503" s="949">
        <v>19828023</v>
      </c>
      <c r="B503" s="955" t="s">
        <v>5291</v>
      </c>
      <c r="C503" s="927" t="s">
        <v>5373</v>
      </c>
      <c r="D503" s="950"/>
      <c r="E503" s="950"/>
      <c r="F503" s="950"/>
      <c r="G503" s="950"/>
      <c r="H503" s="950"/>
      <c r="I503" s="950"/>
      <c r="J503" s="950"/>
      <c r="K503" s="955"/>
      <c r="L503" s="911">
        <v>173.23</v>
      </c>
      <c r="M503" s="911">
        <v>10.63</v>
      </c>
      <c r="N503" s="911"/>
      <c r="O503" s="911">
        <v>24.19</v>
      </c>
      <c r="P503" s="911">
        <v>8.68</v>
      </c>
      <c r="Q503" s="911">
        <v>7.46</v>
      </c>
      <c r="R503" s="951"/>
      <c r="S503" s="920">
        <v>28.19</v>
      </c>
      <c r="T503" s="952">
        <f t="shared" si="17"/>
        <v>252.38</v>
      </c>
      <c r="U503" s="622"/>
      <c r="V503" s="615"/>
    </row>
    <row r="504" spans="1:23" ht="15">
      <c r="A504" s="949">
        <v>19805234</v>
      </c>
      <c r="B504" s="955" t="s">
        <v>5374</v>
      </c>
      <c r="C504" s="927" t="s">
        <v>5375</v>
      </c>
      <c r="D504" s="950"/>
      <c r="E504" s="950"/>
      <c r="F504" s="950"/>
      <c r="G504" s="950"/>
      <c r="H504" s="950"/>
      <c r="I504" s="950"/>
      <c r="J504" s="950"/>
      <c r="K504" s="955"/>
      <c r="L504" s="911">
        <v>61.06</v>
      </c>
      <c r="M504" s="911"/>
      <c r="N504" s="911"/>
      <c r="O504" s="911"/>
      <c r="P504" s="911">
        <v>8.68</v>
      </c>
      <c r="Q504" s="911"/>
      <c r="R504" s="951"/>
      <c r="S504" s="920">
        <v>8.49</v>
      </c>
      <c r="T504" s="952">
        <f t="shared" si="17"/>
        <v>78.23</v>
      </c>
      <c r="U504" s="622"/>
      <c r="V504" s="608"/>
    </row>
    <row r="505" spans="1:23" ht="15">
      <c r="A505" s="949">
        <v>19602525</v>
      </c>
      <c r="B505" s="950" t="s">
        <v>5345</v>
      </c>
      <c r="C505" s="907" t="s">
        <v>5346</v>
      </c>
      <c r="D505" s="950"/>
      <c r="E505" s="950"/>
      <c r="F505" s="950"/>
      <c r="G505" s="950"/>
      <c r="H505" s="950"/>
      <c r="I505" s="950"/>
      <c r="J505" s="950"/>
      <c r="K505" s="950" t="s">
        <v>5347</v>
      </c>
      <c r="L505" s="911">
        <v>132.68</v>
      </c>
      <c r="M505" s="911">
        <v>13.19</v>
      </c>
      <c r="N505" s="911"/>
      <c r="O505" s="911">
        <v>24.79</v>
      </c>
      <c r="P505" s="911">
        <v>8.68</v>
      </c>
      <c r="Q505" s="911">
        <v>9.25</v>
      </c>
      <c r="R505" s="951"/>
      <c r="S505" s="920">
        <v>23.59</v>
      </c>
      <c r="T505" s="952">
        <f t="shared" si="17"/>
        <v>212.18</v>
      </c>
      <c r="U505" s="622"/>
      <c r="V505" s="615"/>
    </row>
    <row r="506" spans="1:23" ht="15">
      <c r="A506" s="949">
        <v>19602527</v>
      </c>
      <c r="B506" s="950" t="s">
        <v>5345</v>
      </c>
      <c r="C506" s="907" t="s">
        <v>5348</v>
      </c>
      <c r="D506" s="950"/>
      <c r="E506" s="950"/>
      <c r="F506" s="950"/>
      <c r="G506" s="950"/>
      <c r="H506" s="950"/>
      <c r="I506" s="950"/>
      <c r="J506" s="950"/>
      <c r="K506" s="950" t="s">
        <v>5347</v>
      </c>
      <c r="L506" s="911">
        <v>125.7</v>
      </c>
      <c r="M506" s="911">
        <v>13.19</v>
      </c>
      <c r="N506" s="911"/>
      <c r="O506" s="911">
        <v>24.79</v>
      </c>
      <c r="P506" s="911">
        <v>8.68</v>
      </c>
      <c r="Q506" s="911">
        <v>9.25</v>
      </c>
      <c r="R506" s="951"/>
      <c r="S506" s="920">
        <v>22.71</v>
      </c>
      <c r="T506" s="952">
        <f>SUM(L506:S506)</f>
        <v>204.32000000000002</v>
      </c>
      <c r="U506" s="622"/>
      <c r="V506" s="615"/>
    </row>
    <row r="507" spans="1:23" ht="15">
      <c r="A507" s="949">
        <v>19805234</v>
      </c>
      <c r="B507" s="955" t="s">
        <v>5374</v>
      </c>
      <c r="C507" s="927" t="s">
        <v>5375</v>
      </c>
      <c r="D507" s="950"/>
      <c r="E507" s="950"/>
      <c r="F507" s="950"/>
      <c r="G507" s="950"/>
      <c r="H507" s="950"/>
      <c r="I507" s="950"/>
      <c r="J507" s="950"/>
      <c r="K507" s="950"/>
      <c r="L507" s="911"/>
      <c r="M507" s="911"/>
      <c r="N507" s="911"/>
      <c r="O507" s="911"/>
      <c r="P507" s="911"/>
      <c r="Q507" s="911"/>
      <c r="R507" s="951"/>
      <c r="S507" s="920"/>
      <c r="T507" s="952"/>
      <c r="U507" s="622"/>
      <c r="V507" s="615"/>
    </row>
    <row r="508" spans="1:23" ht="15">
      <c r="A508" s="949"/>
      <c r="B508" s="950"/>
      <c r="C508" s="907"/>
      <c r="D508" s="950"/>
      <c r="E508" s="950"/>
      <c r="F508" s="950"/>
      <c r="G508" s="950"/>
      <c r="H508" s="950"/>
      <c r="I508" s="950"/>
      <c r="J508" s="950"/>
      <c r="K508" s="950"/>
      <c r="L508" s="911"/>
      <c r="M508" s="911"/>
      <c r="N508" s="911"/>
      <c r="O508" s="911"/>
      <c r="P508" s="911"/>
      <c r="Q508" s="911"/>
      <c r="R508" s="951"/>
      <c r="S508" s="920"/>
      <c r="T508" s="952"/>
      <c r="U508" s="622"/>
      <c r="V508" s="608"/>
    </row>
    <row r="509" spans="1:23" ht="15">
      <c r="A509" s="2517" t="s">
        <v>5336</v>
      </c>
      <c r="B509" s="2518"/>
      <c r="C509" s="2519"/>
      <c r="D509" s="2518"/>
      <c r="E509" s="2518"/>
      <c r="F509" s="2518"/>
      <c r="G509" s="2518"/>
      <c r="H509" s="2518"/>
      <c r="I509" s="2518"/>
      <c r="J509" s="2518"/>
      <c r="K509" s="2520" t="s">
        <v>5390</v>
      </c>
      <c r="L509" s="2521"/>
      <c r="M509" s="2521"/>
      <c r="N509" s="2521"/>
      <c r="O509" s="2521"/>
      <c r="P509" s="2521"/>
      <c r="Q509" s="2521"/>
      <c r="R509" s="2522"/>
      <c r="S509" s="2523"/>
      <c r="T509" s="2524"/>
      <c r="U509" s="621">
        <f>SUM(T510)</f>
        <v>0</v>
      </c>
      <c r="V509" s="621"/>
      <c r="W509" s="621"/>
    </row>
    <row r="510" spans="1:23" ht="15">
      <c r="A510" s="3532">
        <v>19540416</v>
      </c>
      <c r="B510" s="3530" t="s">
        <v>5277</v>
      </c>
      <c r="C510" s="3531" t="s">
        <v>5338</v>
      </c>
      <c r="D510" s="3530">
        <v>2013</v>
      </c>
      <c r="E510" s="3530">
        <v>96</v>
      </c>
      <c r="F510" s="3530">
        <v>2198</v>
      </c>
      <c r="G510" s="3530">
        <v>0</v>
      </c>
      <c r="H510" s="3530">
        <v>24590</v>
      </c>
      <c r="I510" s="3530">
        <v>2</v>
      </c>
      <c r="J510" s="3530">
        <v>1</v>
      </c>
      <c r="K510" s="3530" t="s">
        <v>5241</v>
      </c>
      <c r="L510" s="911"/>
      <c r="M510" s="911"/>
      <c r="N510" s="911"/>
      <c r="O510" s="911"/>
      <c r="P510" s="911"/>
      <c r="Q510" s="911"/>
      <c r="R510" s="951"/>
      <c r="S510" s="920"/>
      <c r="T510" s="952">
        <f>SUM(L510:S510)</f>
        <v>0</v>
      </c>
      <c r="U510" s="622"/>
      <c r="V510" s="621"/>
      <c r="W510" s="617"/>
    </row>
    <row r="511" spans="1:23" ht="15">
      <c r="A511" s="949"/>
      <c r="B511" s="950"/>
      <c r="C511" s="907"/>
      <c r="D511" s="950"/>
      <c r="E511" s="950"/>
      <c r="F511" s="950"/>
      <c r="G511" s="950"/>
      <c r="H511" s="950"/>
      <c r="I511" s="950"/>
      <c r="J511" s="950"/>
      <c r="K511" s="950"/>
      <c r="L511" s="911"/>
      <c r="M511" s="911"/>
      <c r="N511" s="911"/>
      <c r="O511" s="911"/>
      <c r="P511" s="911"/>
      <c r="Q511" s="911"/>
      <c r="R511" s="951"/>
      <c r="S511" s="920"/>
      <c r="T511" s="952"/>
      <c r="U511" s="622"/>
      <c r="V511" s="617"/>
      <c r="W511" s="617"/>
    </row>
    <row r="512" spans="1:23" ht="15">
      <c r="A512" s="2517" t="s">
        <v>5339</v>
      </c>
      <c r="B512" s="2518"/>
      <c r="C512" s="2519"/>
      <c r="D512" s="2518"/>
      <c r="E512" s="2518"/>
      <c r="F512" s="2518"/>
      <c r="G512" s="2518"/>
      <c r="H512" s="2518"/>
      <c r="I512" s="2518"/>
      <c r="J512" s="2518"/>
      <c r="K512" s="2520" t="s">
        <v>5391</v>
      </c>
      <c r="L512" s="2521"/>
      <c r="M512" s="2521"/>
      <c r="N512" s="2521"/>
      <c r="O512" s="2521"/>
      <c r="P512" s="2521"/>
      <c r="Q512" s="2521"/>
      <c r="R512" s="2522"/>
      <c r="S512" s="2523"/>
      <c r="T512" s="2524"/>
      <c r="U512" s="621">
        <f>SUM(T513:T514)</f>
        <v>391.07</v>
      </c>
      <c r="V512" s="621"/>
      <c r="W512" s="621"/>
    </row>
    <row r="513" spans="1:23" ht="15">
      <c r="A513" s="949">
        <v>19046300</v>
      </c>
      <c r="B513" s="950" t="s">
        <v>5341</v>
      </c>
      <c r="C513" s="907" t="s">
        <v>5228</v>
      </c>
      <c r="D513" s="950">
        <v>1999</v>
      </c>
      <c r="E513" s="950">
        <v>0</v>
      </c>
      <c r="F513" s="950">
        <v>0</v>
      </c>
      <c r="G513" s="950">
        <v>2000</v>
      </c>
      <c r="H513" s="950">
        <v>7437</v>
      </c>
      <c r="I513" s="950">
        <v>0</v>
      </c>
      <c r="J513" s="950">
        <v>0</v>
      </c>
      <c r="K513" s="950" t="s">
        <v>5238</v>
      </c>
      <c r="L513" s="911">
        <v>12.99</v>
      </c>
      <c r="M513" s="911"/>
      <c r="N513" s="911"/>
      <c r="O513" s="911"/>
      <c r="P513" s="911"/>
      <c r="Q513" s="911"/>
      <c r="R513" s="951"/>
      <c r="S513" s="920">
        <v>1.67</v>
      </c>
      <c r="T513" s="952">
        <f>SUM(L513:S513)</f>
        <v>14.66</v>
      </c>
      <c r="U513" s="622"/>
      <c r="V513" s="621"/>
      <c r="W513" s="617"/>
    </row>
    <row r="514" spans="1:23" ht="15">
      <c r="A514" s="949">
        <v>19546172</v>
      </c>
      <c r="B514" s="950" t="s">
        <v>5342</v>
      </c>
      <c r="C514" s="907" t="s">
        <v>5343</v>
      </c>
      <c r="D514" s="950">
        <v>2013</v>
      </c>
      <c r="E514" s="950">
        <v>110</v>
      </c>
      <c r="F514" s="950">
        <v>0</v>
      </c>
      <c r="G514" s="950">
        <v>0</v>
      </c>
      <c r="H514" s="950">
        <v>24051</v>
      </c>
      <c r="I514" s="950">
        <v>6</v>
      </c>
      <c r="J514" s="950">
        <v>1</v>
      </c>
      <c r="K514" s="950" t="s">
        <v>5241</v>
      </c>
      <c r="L514" s="911">
        <v>325.27999999999997</v>
      </c>
      <c r="M514" s="911"/>
      <c r="N514" s="911"/>
      <c r="O514" s="911"/>
      <c r="P514" s="911">
        <v>8.68</v>
      </c>
      <c r="Q514" s="911"/>
      <c r="R514" s="951"/>
      <c r="S514" s="920">
        <v>42.45</v>
      </c>
      <c r="T514" s="952">
        <f>SUM(L514:S514)</f>
        <v>376.40999999999997</v>
      </c>
      <c r="U514" s="622"/>
      <c r="V514" s="621"/>
      <c r="W514" s="617"/>
    </row>
    <row r="515" spans="1:23" ht="15">
      <c r="A515" s="949"/>
      <c r="B515" s="950"/>
      <c r="C515" s="907"/>
      <c r="D515" s="950"/>
      <c r="E515" s="950"/>
      <c r="F515" s="950"/>
      <c r="G515" s="950"/>
      <c r="H515" s="950"/>
      <c r="I515" s="950"/>
      <c r="J515" s="950"/>
      <c r="K515" s="950"/>
      <c r="L515" s="911"/>
      <c r="M515" s="911"/>
      <c r="N515" s="911"/>
      <c r="O515" s="911"/>
      <c r="P515" s="911"/>
      <c r="Q515" s="911"/>
      <c r="R515" s="951"/>
      <c r="S515" s="920"/>
      <c r="T515" s="952"/>
      <c r="U515" s="622"/>
      <c r="V515" s="617"/>
      <c r="W515" s="617"/>
    </row>
    <row r="516" spans="1:23" ht="15.75" thickBot="1">
      <c r="A516" s="949"/>
      <c r="B516" s="950"/>
      <c r="C516" s="907"/>
      <c r="D516" s="950"/>
      <c r="E516" s="950"/>
      <c r="F516" s="950"/>
      <c r="G516" s="950"/>
      <c r="H516" s="950"/>
      <c r="I516" s="950"/>
      <c r="J516" s="950"/>
      <c r="K516" s="950"/>
      <c r="L516" s="911"/>
      <c r="M516" s="911"/>
      <c r="N516" s="911"/>
      <c r="O516" s="911"/>
      <c r="P516" s="911"/>
      <c r="Q516" s="911"/>
      <c r="R516" s="951"/>
      <c r="S516" s="920"/>
      <c r="T516" s="952"/>
      <c r="U516" s="622"/>
      <c r="V516" s="617"/>
      <c r="W516" s="617"/>
    </row>
    <row r="517" spans="1:23" ht="15.75" thickBot="1">
      <c r="A517" s="957"/>
      <c r="B517" s="957"/>
      <c r="C517" s="958"/>
      <c r="D517" s="957"/>
      <c r="E517" s="957"/>
      <c r="F517" s="957"/>
      <c r="G517" s="957"/>
      <c r="H517" s="957"/>
      <c r="I517" s="957"/>
      <c r="J517" s="957"/>
      <c r="K517" s="957"/>
      <c r="L517" s="2502">
        <f t="shared" ref="L517:U517" si="18">SUM(L435:L516)</f>
        <v>7636.0799999999963</v>
      </c>
      <c r="M517" s="2502">
        <f t="shared" si="18"/>
        <v>1335.0600000000004</v>
      </c>
      <c r="N517" s="2502">
        <f t="shared" si="18"/>
        <v>5030.55</v>
      </c>
      <c r="O517" s="2502">
        <f t="shared" si="18"/>
        <v>872.92999999999984</v>
      </c>
      <c r="P517" s="2502">
        <f t="shared" si="18"/>
        <v>427.74000000000024</v>
      </c>
      <c r="Q517" s="2502">
        <f t="shared" si="18"/>
        <v>1224.5100000000002</v>
      </c>
      <c r="R517" s="2502">
        <f t="shared" si="18"/>
        <v>31.85</v>
      </c>
      <c r="S517" s="2502">
        <f t="shared" si="18"/>
        <v>2384.4499999999998</v>
      </c>
      <c r="T517" s="2502">
        <f t="shared" si="18"/>
        <v>18943.169999999995</v>
      </c>
      <c r="U517" s="3536">
        <f t="shared" si="18"/>
        <v>18943.169999999998</v>
      </c>
      <c r="V517" s="3535">
        <f>V485+V441+V435</f>
        <v>533.65</v>
      </c>
      <c r="W517" s="621"/>
    </row>
    <row r="518" spans="1:23">
      <c r="V518" s="608"/>
    </row>
    <row r="520" spans="1:23">
      <c r="B520" s="610" t="s">
        <v>7546</v>
      </c>
    </row>
    <row r="521" spans="1:23" ht="13.5" thickBot="1"/>
    <row r="522" spans="1:23" ht="15.75" thickBot="1">
      <c r="A522" s="4894" t="s">
        <v>5206</v>
      </c>
      <c r="B522" s="4895"/>
      <c r="C522" s="4895"/>
      <c r="D522" s="4895"/>
      <c r="E522" s="4895"/>
      <c r="F522" s="4895"/>
      <c r="G522" s="4895"/>
      <c r="H522" s="4895"/>
      <c r="I522" s="4895"/>
      <c r="J522" s="4895"/>
      <c r="K522" s="4895"/>
      <c r="L522" s="4896" t="s">
        <v>5207</v>
      </c>
      <c r="M522" s="4897"/>
      <c r="N522" s="4897"/>
      <c r="O522" s="4897"/>
      <c r="P522" s="4897"/>
      <c r="Q522" s="4897"/>
      <c r="R522" s="4898"/>
      <c r="S522" s="617"/>
      <c r="T522" s="941"/>
      <c r="U522" s="622"/>
      <c r="V522" s="610" t="s">
        <v>5377</v>
      </c>
    </row>
    <row r="523" spans="1:23" ht="30">
      <c r="A523" s="2494" t="s">
        <v>5208</v>
      </c>
      <c r="B523" s="2495" t="s">
        <v>5209</v>
      </c>
      <c r="C523" s="2495" t="s">
        <v>5210</v>
      </c>
      <c r="D523" s="2495" t="s">
        <v>634</v>
      </c>
      <c r="E523" s="2495" t="s">
        <v>5211</v>
      </c>
      <c r="F523" s="2495" t="s">
        <v>5212</v>
      </c>
      <c r="G523" s="2495" t="s">
        <v>5213</v>
      </c>
      <c r="H523" s="2496" t="s">
        <v>5214</v>
      </c>
      <c r="I523" s="2495" t="s">
        <v>5215</v>
      </c>
      <c r="J523" s="2495" t="s">
        <v>5216</v>
      </c>
      <c r="K523" s="2495" t="s">
        <v>5217</v>
      </c>
      <c r="L523" s="2497" t="s">
        <v>5218</v>
      </c>
      <c r="M523" s="2497" t="s">
        <v>5219</v>
      </c>
      <c r="N523" s="2497" t="s">
        <v>5220</v>
      </c>
      <c r="O523" s="2497" t="s">
        <v>5221</v>
      </c>
      <c r="P523" s="2498" t="s">
        <v>5222</v>
      </c>
      <c r="Q523" s="2497" t="s">
        <v>5223</v>
      </c>
      <c r="R523" s="2499" t="s">
        <v>5224</v>
      </c>
      <c r="S523" s="2500" t="s">
        <v>5225</v>
      </c>
      <c r="T523" s="2501" t="s">
        <v>8</v>
      </c>
      <c r="U523" s="622"/>
    </row>
    <row r="524" spans="1:23" ht="15">
      <c r="A524" s="942"/>
      <c r="B524" s="944"/>
      <c r="C524" s="943"/>
      <c r="D524" s="944"/>
      <c r="E524" s="944"/>
      <c r="F524" s="944"/>
      <c r="G524" s="944"/>
      <c r="H524" s="945"/>
      <c r="I524" s="944"/>
      <c r="J524" s="944"/>
      <c r="K524" s="944"/>
      <c r="L524" s="946"/>
      <c r="M524" s="946"/>
      <c r="N524" s="946"/>
      <c r="O524" s="946"/>
      <c r="P524" s="946"/>
      <c r="Q524" s="946"/>
      <c r="R524" s="947"/>
      <c r="S524" s="920"/>
      <c r="T524" s="948"/>
      <c r="U524" s="622"/>
      <c r="V524" s="608"/>
    </row>
    <row r="525" spans="1:23" ht="15">
      <c r="A525" s="2516" t="s">
        <v>4743</v>
      </c>
      <c r="B525" s="2525"/>
      <c r="C525" s="2526"/>
      <c r="D525" s="2525"/>
      <c r="E525" s="2525"/>
      <c r="F525" s="2525"/>
      <c r="G525" s="2525"/>
      <c r="H525" s="2527"/>
      <c r="I525" s="2525"/>
      <c r="J525" s="2525"/>
      <c r="K525" s="2526" t="s">
        <v>5378</v>
      </c>
      <c r="L525" s="2528"/>
      <c r="M525" s="2528"/>
      <c r="N525" s="2528"/>
      <c r="O525" s="2528"/>
      <c r="P525" s="2528"/>
      <c r="Q525" s="2528"/>
      <c r="R525" s="2529"/>
      <c r="S525" s="2523"/>
      <c r="T525" s="2530"/>
      <c r="U525" s="621">
        <f>SUM(T526:T527)</f>
        <v>6348.1</v>
      </c>
      <c r="V525" s="615"/>
      <c r="W525" s="615"/>
    </row>
    <row r="526" spans="1:23" ht="15">
      <c r="A526" s="953">
        <v>19957529</v>
      </c>
      <c r="B526" s="3533" t="s">
        <v>7192</v>
      </c>
      <c r="C526" s="3534" t="s">
        <v>7193</v>
      </c>
      <c r="D526" s="954">
        <v>2020</v>
      </c>
      <c r="E526" s="954"/>
      <c r="F526" s="954"/>
      <c r="G526" s="954"/>
      <c r="H526" s="954"/>
      <c r="I526" s="954"/>
      <c r="J526" s="954"/>
      <c r="K526" s="3533" t="s">
        <v>7194</v>
      </c>
      <c r="L526" s="916">
        <v>250.45</v>
      </c>
      <c r="M526" s="916">
        <v>109.42</v>
      </c>
      <c r="N526" s="916">
        <v>462.79</v>
      </c>
      <c r="O526" s="916"/>
      <c r="P526" s="916">
        <v>14.87</v>
      </c>
      <c r="Q526" s="916">
        <v>36.47</v>
      </c>
      <c r="R526" s="951">
        <v>31.85</v>
      </c>
      <c r="S526" s="920">
        <v>154.75</v>
      </c>
      <c r="T526" s="952">
        <f>SUM(L526:S526)</f>
        <v>1060.6000000000001</v>
      </c>
      <c r="U526" s="622"/>
      <c r="V526" s="615"/>
    </row>
    <row r="527" spans="1:23" ht="15">
      <c r="A527" s="953"/>
      <c r="B527" s="954" t="s">
        <v>5233</v>
      </c>
      <c r="C527" s="914"/>
      <c r="D527" s="954"/>
      <c r="E527" s="954"/>
      <c r="F527" s="954"/>
      <c r="G527" s="954"/>
      <c r="H527" s="954"/>
      <c r="I527" s="954"/>
      <c r="J527" s="954"/>
      <c r="K527" s="954" t="s">
        <v>5234</v>
      </c>
      <c r="L527" s="916"/>
      <c r="M527" s="916">
        <v>700</v>
      </c>
      <c r="N527" s="916">
        <v>2400</v>
      </c>
      <c r="O527" s="916">
        <v>700</v>
      </c>
      <c r="P527" s="916"/>
      <c r="Q527" s="916">
        <v>700</v>
      </c>
      <c r="R527" s="951"/>
      <c r="S527" s="920">
        <v>787.5</v>
      </c>
      <c r="T527" s="952">
        <f>SUM(L527:S527)</f>
        <v>5287.5</v>
      </c>
      <c r="U527" s="622"/>
      <c r="V527" s="608"/>
    </row>
    <row r="528" spans="1:23" ht="15">
      <c r="A528" s="953"/>
      <c r="B528" s="954"/>
      <c r="C528" s="914"/>
      <c r="D528" s="954"/>
      <c r="E528" s="954"/>
      <c r="F528" s="954"/>
      <c r="G528" s="954"/>
      <c r="H528" s="954"/>
      <c r="I528" s="954"/>
      <c r="J528" s="954"/>
      <c r="K528" s="954"/>
      <c r="L528" s="916"/>
      <c r="M528" s="916"/>
      <c r="N528" s="916"/>
      <c r="O528" s="916"/>
      <c r="P528" s="916"/>
      <c r="Q528" s="916"/>
      <c r="R528" s="951"/>
      <c r="S528" s="920"/>
      <c r="T528" s="952"/>
      <c r="U528" s="622"/>
      <c r="V528" s="608"/>
    </row>
    <row r="529" spans="1:23" ht="15">
      <c r="A529" s="953"/>
      <c r="B529" s="954"/>
      <c r="C529" s="914"/>
      <c r="D529" s="954"/>
      <c r="E529" s="954"/>
      <c r="F529" s="954"/>
      <c r="G529" s="954"/>
      <c r="H529" s="954"/>
      <c r="I529" s="954"/>
      <c r="J529" s="954"/>
      <c r="K529" s="954"/>
      <c r="L529" s="916"/>
      <c r="M529" s="916"/>
      <c r="N529" s="916"/>
      <c r="O529" s="916"/>
      <c r="P529" s="916"/>
      <c r="Q529" s="916"/>
      <c r="R529" s="951"/>
      <c r="S529" s="920"/>
      <c r="T529" s="952"/>
      <c r="U529" s="622"/>
      <c r="V529" s="608"/>
    </row>
    <row r="530" spans="1:23" ht="15">
      <c r="A530" s="2517" t="s">
        <v>5235</v>
      </c>
      <c r="B530" s="2518"/>
      <c r="C530" s="2519"/>
      <c r="D530" s="2518"/>
      <c r="E530" s="2518"/>
      <c r="F530" s="2518"/>
      <c r="G530" s="2518"/>
      <c r="H530" s="2518"/>
      <c r="I530" s="2518"/>
      <c r="J530" s="2518"/>
      <c r="K530" s="2520" t="s">
        <v>5379</v>
      </c>
      <c r="L530" s="2521"/>
      <c r="M530" s="2521"/>
      <c r="N530" s="2521"/>
      <c r="O530" s="2521"/>
      <c r="P530" s="2521"/>
      <c r="Q530" s="2521"/>
      <c r="R530" s="2522"/>
      <c r="S530" s="2523"/>
      <c r="T530" s="2524"/>
      <c r="U530" s="621">
        <f>SUM(T531:T572)</f>
        <v>7759.6699999999992</v>
      </c>
      <c r="V530" s="615"/>
      <c r="W530" s="615"/>
    </row>
    <row r="531" spans="1:23" ht="15">
      <c r="A531" s="949">
        <v>19938474</v>
      </c>
      <c r="B531" s="960" t="s">
        <v>7190</v>
      </c>
      <c r="C531" s="961" t="s">
        <v>7191</v>
      </c>
      <c r="D531" s="950">
        <v>2020</v>
      </c>
      <c r="E531" s="950">
        <v>0</v>
      </c>
      <c r="F531" s="950">
        <v>0</v>
      </c>
      <c r="G531" s="950">
        <v>0</v>
      </c>
      <c r="H531" s="950">
        <v>0</v>
      </c>
      <c r="I531" s="950">
        <v>0</v>
      </c>
      <c r="J531" s="950">
        <v>0</v>
      </c>
      <c r="K531" s="950" t="s">
        <v>5238</v>
      </c>
      <c r="L531" s="911">
        <v>12.99</v>
      </c>
      <c r="M531" s="911"/>
      <c r="N531" s="911"/>
      <c r="O531" s="911"/>
      <c r="P531" s="911"/>
      <c r="Q531" s="911"/>
      <c r="R531" s="951"/>
      <c r="S531" s="920">
        <v>1.67</v>
      </c>
      <c r="T531" s="952">
        <f t="shared" ref="T531:T554" si="19">SUM(L531:S531)</f>
        <v>14.66</v>
      </c>
      <c r="U531" s="621"/>
      <c r="V531" s="615"/>
    </row>
    <row r="532" spans="1:23" ht="15">
      <c r="A532" s="949">
        <v>19743702</v>
      </c>
      <c r="B532" s="955" t="s">
        <v>5350</v>
      </c>
      <c r="C532" s="927" t="s">
        <v>5351</v>
      </c>
      <c r="D532" s="950"/>
      <c r="E532" s="950"/>
      <c r="F532" s="950"/>
      <c r="G532" s="950"/>
      <c r="H532" s="950"/>
      <c r="I532" s="950"/>
      <c r="J532" s="950"/>
      <c r="K532" s="950" t="s">
        <v>5238</v>
      </c>
      <c r="L532" s="911">
        <v>16.559999999999999</v>
      </c>
      <c r="M532" s="911"/>
      <c r="N532" s="911"/>
      <c r="O532" s="911"/>
      <c r="P532" s="911"/>
      <c r="Q532" s="911"/>
      <c r="R532" s="951"/>
      <c r="S532" s="920">
        <v>2.13</v>
      </c>
      <c r="T532" s="952">
        <f t="shared" si="19"/>
        <v>18.689999999999998</v>
      </c>
      <c r="U532" s="622"/>
      <c r="V532" s="608"/>
    </row>
    <row r="533" spans="1:23" ht="15">
      <c r="A533" s="949">
        <v>2302144</v>
      </c>
      <c r="B533" s="950" t="s">
        <v>5239</v>
      </c>
      <c r="C533" s="907" t="s">
        <v>5240</v>
      </c>
      <c r="D533" s="950">
        <v>1999</v>
      </c>
      <c r="E533" s="950">
        <v>84</v>
      </c>
      <c r="F533" s="950">
        <v>2799</v>
      </c>
      <c r="G533" s="950">
        <v>0</v>
      </c>
      <c r="H533" s="950">
        <v>24789</v>
      </c>
      <c r="I533" s="950">
        <v>2</v>
      </c>
      <c r="J533" s="950">
        <v>0</v>
      </c>
      <c r="K533" s="950" t="s">
        <v>5241</v>
      </c>
      <c r="L533" s="911">
        <v>241.6</v>
      </c>
      <c r="M533" s="911"/>
      <c r="N533" s="911"/>
      <c r="O533" s="911"/>
      <c r="P533" s="911">
        <v>8.68</v>
      </c>
      <c r="Q533" s="911"/>
      <c r="R533" s="951"/>
      <c r="S533" s="920">
        <v>31.7</v>
      </c>
      <c r="T533" s="952">
        <f t="shared" si="19"/>
        <v>281.98</v>
      </c>
      <c r="U533" s="622"/>
      <c r="V533" s="615">
        <v>-219.4</v>
      </c>
    </row>
    <row r="534" spans="1:23" ht="15">
      <c r="A534" s="949">
        <v>19024173</v>
      </c>
      <c r="B534" s="950" t="s">
        <v>5242</v>
      </c>
      <c r="C534" s="907" t="s">
        <v>5243</v>
      </c>
      <c r="D534" s="950">
        <v>1996</v>
      </c>
      <c r="E534" s="950">
        <v>0</v>
      </c>
      <c r="F534" s="950">
        <v>0</v>
      </c>
      <c r="G534" s="950">
        <v>3500</v>
      </c>
      <c r="H534" s="950">
        <v>5850</v>
      </c>
      <c r="I534" s="950">
        <v>0</v>
      </c>
      <c r="J534" s="950">
        <v>0</v>
      </c>
      <c r="K534" s="950" t="s">
        <v>5238</v>
      </c>
      <c r="L534" s="911">
        <v>35.1</v>
      </c>
      <c r="M534" s="911"/>
      <c r="N534" s="911"/>
      <c r="O534" s="911"/>
      <c r="P534" s="911"/>
      <c r="Q534" s="911"/>
      <c r="R534" s="951"/>
      <c r="S534" s="920">
        <v>4.51</v>
      </c>
      <c r="T534" s="952">
        <f t="shared" si="19"/>
        <v>39.61</v>
      </c>
      <c r="U534" s="622"/>
      <c r="V534" s="615"/>
    </row>
    <row r="535" spans="1:23" ht="15">
      <c r="A535" s="949">
        <v>19046774</v>
      </c>
      <c r="B535" s="950" t="s">
        <v>5248</v>
      </c>
      <c r="C535" s="927" t="s">
        <v>5353</v>
      </c>
      <c r="D535" s="950">
        <v>1999</v>
      </c>
      <c r="E535" s="950">
        <v>0</v>
      </c>
      <c r="F535" s="950">
        <v>0</v>
      </c>
      <c r="G535" s="950">
        <v>2000</v>
      </c>
      <c r="H535" s="950">
        <v>6197</v>
      </c>
      <c r="I535" s="950">
        <v>0</v>
      </c>
      <c r="J535" s="950">
        <v>0</v>
      </c>
      <c r="K535" s="950" t="s">
        <v>5238</v>
      </c>
      <c r="L535" s="911">
        <v>12.99</v>
      </c>
      <c r="M535" s="911"/>
      <c r="N535" s="911"/>
      <c r="O535" s="911"/>
      <c r="P535" s="911"/>
      <c r="Q535" s="911"/>
      <c r="R535" s="951"/>
      <c r="S535" s="920">
        <v>1.67</v>
      </c>
      <c r="T535" s="952">
        <f t="shared" si="19"/>
        <v>14.66</v>
      </c>
      <c r="U535" s="622"/>
      <c r="V535" s="615"/>
    </row>
    <row r="536" spans="1:23" s="608" customFormat="1" ht="15">
      <c r="A536" s="949">
        <v>19055120</v>
      </c>
      <c r="B536" s="950" t="s">
        <v>5249</v>
      </c>
      <c r="C536" s="907" t="s">
        <v>5250</v>
      </c>
      <c r="D536" s="950">
        <v>2000</v>
      </c>
      <c r="E536" s="950">
        <v>51</v>
      </c>
      <c r="F536" s="950">
        <v>1868</v>
      </c>
      <c r="G536" s="950">
        <v>0</v>
      </c>
      <c r="H536" s="950">
        <v>10857</v>
      </c>
      <c r="I536" s="950">
        <v>4</v>
      </c>
      <c r="J536" s="950">
        <v>4</v>
      </c>
      <c r="K536" s="950" t="s">
        <v>5251</v>
      </c>
      <c r="L536" s="911">
        <v>142.36000000000001</v>
      </c>
      <c r="M536" s="911"/>
      <c r="N536" s="911"/>
      <c r="O536" s="911"/>
      <c r="P536" s="911">
        <v>14.87</v>
      </c>
      <c r="Q536" s="911"/>
      <c r="R536" s="951"/>
      <c r="S536" s="920">
        <v>26.54</v>
      </c>
      <c r="T536" s="952">
        <f t="shared" si="19"/>
        <v>183.77</v>
      </c>
      <c r="U536" s="622"/>
      <c r="V536" s="615"/>
    </row>
    <row r="537" spans="1:23" s="608" customFormat="1" ht="15">
      <c r="A537" s="949">
        <v>19056155</v>
      </c>
      <c r="B537" s="950" t="s">
        <v>5253</v>
      </c>
      <c r="C537" s="907" t="s">
        <v>5254</v>
      </c>
      <c r="D537" s="950">
        <v>2005</v>
      </c>
      <c r="E537" s="950">
        <v>0</v>
      </c>
      <c r="F537" s="950">
        <v>125</v>
      </c>
      <c r="G537" s="950">
        <v>0</v>
      </c>
      <c r="H537" s="950">
        <v>2434</v>
      </c>
      <c r="I537" s="950">
        <v>1</v>
      </c>
      <c r="J537" s="950">
        <v>0</v>
      </c>
      <c r="K537" s="950" t="s">
        <v>5255</v>
      </c>
      <c r="L537" s="911">
        <v>111.01</v>
      </c>
      <c r="M537" s="911"/>
      <c r="N537" s="911"/>
      <c r="O537" s="911"/>
      <c r="P537" s="911">
        <v>4.96</v>
      </c>
      <c r="Q537" s="911"/>
      <c r="R537" s="951"/>
      <c r="S537" s="920">
        <v>20.190000000000001</v>
      </c>
      <c r="T537" s="952">
        <f t="shared" si="19"/>
        <v>136.16</v>
      </c>
      <c r="U537" s="622"/>
      <c r="V537" s="615"/>
    </row>
    <row r="538" spans="1:23" s="608" customFormat="1" ht="15">
      <c r="A538" s="949">
        <v>19057411</v>
      </c>
      <c r="B538" s="950" t="s">
        <v>5256</v>
      </c>
      <c r="C538" s="907" t="s">
        <v>5257</v>
      </c>
      <c r="D538" s="950">
        <v>2000</v>
      </c>
      <c r="E538" s="950">
        <v>0</v>
      </c>
      <c r="F538" s="950">
        <v>0</v>
      </c>
      <c r="G538" s="950">
        <v>3000</v>
      </c>
      <c r="H538" s="950">
        <v>4462</v>
      </c>
      <c r="I538" s="950">
        <v>0</v>
      </c>
      <c r="J538" s="950">
        <v>0</v>
      </c>
      <c r="K538" s="950" t="s">
        <v>5238</v>
      </c>
      <c r="L538" s="911">
        <v>19.510000000000002</v>
      </c>
      <c r="M538" s="911"/>
      <c r="N538" s="911"/>
      <c r="O538" s="911"/>
      <c r="P538" s="911"/>
      <c r="Q538" s="911"/>
      <c r="R538" s="951"/>
      <c r="S538" s="920">
        <v>2.5099999999999998</v>
      </c>
      <c r="T538" s="952">
        <f t="shared" si="19"/>
        <v>22.020000000000003</v>
      </c>
      <c r="U538" s="622"/>
      <c r="V538" s="615"/>
    </row>
    <row r="539" spans="1:23" s="608" customFormat="1" ht="15">
      <c r="A539" s="949">
        <v>19125110</v>
      </c>
      <c r="B539" s="950" t="s">
        <v>5258</v>
      </c>
      <c r="C539" s="907" t="s">
        <v>5259</v>
      </c>
      <c r="D539" s="950">
        <v>2002</v>
      </c>
      <c r="E539" s="950">
        <v>0</v>
      </c>
      <c r="F539" s="950">
        <v>0</v>
      </c>
      <c r="G539" s="950">
        <v>1300</v>
      </c>
      <c r="H539" s="950">
        <v>12395</v>
      </c>
      <c r="I539" s="950">
        <v>0</v>
      </c>
      <c r="J539" s="950">
        <v>0</v>
      </c>
      <c r="K539" s="950" t="s">
        <v>5260</v>
      </c>
      <c r="L539" s="911">
        <v>12.99</v>
      </c>
      <c r="M539" s="911"/>
      <c r="N539" s="911"/>
      <c r="O539" s="911"/>
      <c r="P539" s="911"/>
      <c r="Q539" s="911"/>
      <c r="R539" s="951"/>
      <c r="S539" s="920">
        <v>1.67</v>
      </c>
      <c r="T539" s="952">
        <f t="shared" si="19"/>
        <v>14.66</v>
      </c>
      <c r="U539" s="622"/>
      <c r="V539" s="615"/>
    </row>
    <row r="540" spans="1:23" s="608" customFormat="1" ht="15">
      <c r="A540" s="949">
        <v>19149679</v>
      </c>
      <c r="B540" s="950" t="s">
        <v>5263</v>
      </c>
      <c r="C540" s="961" t="s">
        <v>7189</v>
      </c>
      <c r="D540" s="950">
        <v>2003</v>
      </c>
      <c r="E540" s="950">
        <v>0</v>
      </c>
      <c r="F540" s="950">
        <v>0</v>
      </c>
      <c r="G540" s="950">
        <v>2000</v>
      </c>
      <c r="H540" s="950">
        <v>0</v>
      </c>
      <c r="I540" s="950">
        <v>0</v>
      </c>
      <c r="J540" s="950">
        <v>0</v>
      </c>
      <c r="K540" s="950" t="s">
        <v>5238</v>
      </c>
      <c r="L540" s="911">
        <v>12.99</v>
      </c>
      <c r="M540" s="911"/>
      <c r="N540" s="911"/>
      <c r="O540" s="911"/>
      <c r="P540" s="911"/>
      <c r="Q540" s="911"/>
      <c r="R540" s="951"/>
      <c r="S540" s="920">
        <v>1.67</v>
      </c>
      <c r="T540" s="952">
        <f t="shared" si="19"/>
        <v>14.66</v>
      </c>
      <c r="U540" s="622"/>
      <c r="V540" s="615"/>
    </row>
    <row r="541" spans="1:23" s="608" customFormat="1" ht="15">
      <c r="A541" s="949">
        <v>19236255</v>
      </c>
      <c r="B541" s="950" t="s">
        <v>5230</v>
      </c>
      <c r="C541" s="907" t="s">
        <v>5266</v>
      </c>
      <c r="D541" s="950">
        <v>2005</v>
      </c>
      <c r="E541" s="950">
        <v>51</v>
      </c>
      <c r="F541" s="950">
        <v>1868</v>
      </c>
      <c r="G541" s="950">
        <v>0</v>
      </c>
      <c r="H541" s="950">
        <v>10767</v>
      </c>
      <c r="I541" s="950">
        <v>2</v>
      </c>
      <c r="J541" s="950">
        <v>0</v>
      </c>
      <c r="K541" s="950" t="s">
        <v>5241</v>
      </c>
      <c r="L541" s="911">
        <v>118.37</v>
      </c>
      <c r="M541" s="911"/>
      <c r="N541" s="911"/>
      <c r="O541" s="911"/>
      <c r="P541" s="911">
        <v>8.68</v>
      </c>
      <c r="Q541" s="911"/>
      <c r="R541" s="951"/>
      <c r="S541" s="920">
        <v>15.86</v>
      </c>
      <c r="T541" s="952">
        <f t="shared" si="19"/>
        <v>142.91000000000003</v>
      </c>
      <c r="U541" s="622"/>
      <c r="V541" s="615"/>
    </row>
    <row r="542" spans="1:23" s="608" customFormat="1" ht="15">
      <c r="A542" s="949">
        <v>19307022</v>
      </c>
      <c r="B542" s="950" t="s">
        <v>5267</v>
      </c>
      <c r="C542" s="907" t="s">
        <v>5268</v>
      </c>
      <c r="D542" s="950">
        <v>2001</v>
      </c>
      <c r="E542" s="950">
        <v>51</v>
      </c>
      <c r="F542" s="950">
        <v>0</v>
      </c>
      <c r="G542" s="950">
        <v>0</v>
      </c>
      <c r="H542" s="950">
        <v>0</v>
      </c>
      <c r="I542" s="950">
        <v>4</v>
      </c>
      <c r="J542" s="950">
        <v>0</v>
      </c>
      <c r="K542" s="950" t="s">
        <v>5269</v>
      </c>
      <c r="L542" s="911">
        <v>142.36000000000001</v>
      </c>
      <c r="M542" s="911"/>
      <c r="N542" s="911"/>
      <c r="O542" s="911"/>
      <c r="P542" s="911">
        <v>14.87</v>
      </c>
      <c r="Q542" s="911"/>
      <c r="R542" s="951"/>
      <c r="S542" s="920">
        <v>26.54</v>
      </c>
      <c r="T542" s="952">
        <f t="shared" si="19"/>
        <v>183.77</v>
      </c>
      <c r="U542" s="622"/>
      <c r="V542" s="615"/>
    </row>
    <row r="543" spans="1:23" s="608" customFormat="1" ht="15">
      <c r="A543" s="949">
        <v>19315939</v>
      </c>
      <c r="B543" s="950" t="s">
        <v>5270</v>
      </c>
      <c r="C543" s="907" t="s">
        <v>5271</v>
      </c>
      <c r="D543" s="950">
        <v>2007</v>
      </c>
      <c r="E543" s="950">
        <v>0</v>
      </c>
      <c r="F543" s="950">
        <v>0</v>
      </c>
      <c r="G543" s="950">
        <v>2700</v>
      </c>
      <c r="H543" s="950">
        <v>4471</v>
      </c>
      <c r="I543" s="950">
        <v>0</v>
      </c>
      <c r="J543" s="950">
        <v>0</v>
      </c>
      <c r="K543" s="950" t="s">
        <v>5238</v>
      </c>
      <c r="L543" s="911">
        <v>25.09</v>
      </c>
      <c r="M543" s="911"/>
      <c r="N543" s="911"/>
      <c r="O543" s="911"/>
      <c r="P543" s="911"/>
      <c r="Q543" s="911"/>
      <c r="R543" s="951"/>
      <c r="S543" s="920">
        <v>3.22</v>
      </c>
      <c r="T543" s="952">
        <f t="shared" si="19"/>
        <v>28.31</v>
      </c>
      <c r="U543" s="622"/>
      <c r="V543" s="615"/>
    </row>
    <row r="544" spans="1:23" s="608" customFormat="1" ht="15">
      <c r="A544" s="949">
        <v>19350146</v>
      </c>
      <c r="B544" s="950" t="s">
        <v>5272</v>
      </c>
      <c r="C544" s="907" t="s">
        <v>5273</v>
      </c>
      <c r="D544" s="950">
        <v>2013</v>
      </c>
      <c r="E544" s="950">
        <v>0</v>
      </c>
      <c r="F544" s="950">
        <v>0</v>
      </c>
      <c r="G544" s="950">
        <v>2000</v>
      </c>
      <c r="H544" s="950">
        <v>0</v>
      </c>
      <c r="I544" s="950">
        <v>0</v>
      </c>
      <c r="J544" s="950">
        <v>0</v>
      </c>
      <c r="K544" s="950" t="s">
        <v>5274</v>
      </c>
      <c r="L544" s="911">
        <v>29.3</v>
      </c>
      <c r="M544" s="911"/>
      <c r="N544" s="911"/>
      <c r="O544" s="911"/>
      <c r="P544" s="911">
        <v>8.68</v>
      </c>
      <c r="Q544" s="911"/>
      <c r="R544" s="951"/>
      <c r="S544" s="920">
        <v>4.42</v>
      </c>
      <c r="T544" s="952">
        <f t="shared" si="19"/>
        <v>42.400000000000006</v>
      </c>
      <c r="U544" s="622"/>
      <c r="V544" s="615"/>
    </row>
    <row r="545" spans="1:22" s="608" customFormat="1" ht="15">
      <c r="A545" s="949">
        <v>19352145</v>
      </c>
      <c r="B545" s="950" t="s">
        <v>5270</v>
      </c>
      <c r="C545" s="961" t="s">
        <v>7562</v>
      </c>
      <c r="D545" s="950">
        <v>2008</v>
      </c>
      <c r="E545" s="950">
        <v>0</v>
      </c>
      <c r="F545" s="950">
        <v>0</v>
      </c>
      <c r="G545" s="950">
        <v>2700</v>
      </c>
      <c r="H545" s="950">
        <v>4713</v>
      </c>
      <c r="I545" s="950">
        <v>0</v>
      </c>
      <c r="J545" s="950">
        <v>0</v>
      </c>
      <c r="K545" s="950" t="s">
        <v>5238</v>
      </c>
      <c r="L545" s="911">
        <v>25.09</v>
      </c>
      <c r="M545" s="911"/>
      <c r="N545" s="911"/>
      <c r="O545" s="911"/>
      <c r="P545" s="911"/>
      <c r="Q545" s="911"/>
      <c r="R545" s="951"/>
      <c r="S545" s="920">
        <v>3.22</v>
      </c>
      <c r="T545" s="952">
        <f t="shared" si="19"/>
        <v>28.31</v>
      </c>
      <c r="U545" s="622"/>
      <c r="V545" s="615"/>
    </row>
    <row r="546" spans="1:22" s="608" customFormat="1" ht="15">
      <c r="A546" s="949">
        <v>19399222</v>
      </c>
      <c r="B546" s="950" t="s">
        <v>5275</v>
      </c>
      <c r="C546" s="907" t="s">
        <v>5276</v>
      </c>
      <c r="D546" s="950">
        <v>2006</v>
      </c>
      <c r="E546" s="950">
        <v>69</v>
      </c>
      <c r="F546" s="950">
        <v>0</v>
      </c>
      <c r="G546" s="950">
        <v>0</v>
      </c>
      <c r="H546" s="950">
        <v>0</v>
      </c>
      <c r="I546" s="950">
        <v>2</v>
      </c>
      <c r="J546" s="950">
        <v>0</v>
      </c>
      <c r="K546" s="950" t="s">
        <v>5241</v>
      </c>
      <c r="L546" s="911">
        <v>151.29</v>
      </c>
      <c r="M546" s="911"/>
      <c r="N546" s="911"/>
      <c r="O546" s="911"/>
      <c r="P546" s="911">
        <v>8.68</v>
      </c>
      <c r="Q546" s="911"/>
      <c r="R546" s="951"/>
      <c r="S546" s="920">
        <v>20.09</v>
      </c>
      <c r="T546" s="952">
        <f t="shared" si="19"/>
        <v>180.06</v>
      </c>
      <c r="U546" s="622"/>
      <c r="V546" s="615"/>
    </row>
    <row r="547" spans="1:22" s="608" customFormat="1" ht="15">
      <c r="A547" s="949">
        <v>19454625</v>
      </c>
      <c r="B547" s="950" t="s">
        <v>5277</v>
      </c>
      <c r="C547" s="907" t="s">
        <v>5278</v>
      </c>
      <c r="D547" s="950">
        <v>2010</v>
      </c>
      <c r="E547" s="950">
        <v>116</v>
      </c>
      <c r="F547" s="950">
        <v>0</v>
      </c>
      <c r="G547" s="950">
        <v>0</v>
      </c>
      <c r="H547" s="950">
        <v>35000</v>
      </c>
      <c r="I547" s="950">
        <v>2</v>
      </c>
      <c r="J547" s="950">
        <v>0</v>
      </c>
      <c r="K547" s="950" t="s">
        <v>5241</v>
      </c>
      <c r="L547" s="911">
        <v>373.4</v>
      </c>
      <c r="M547" s="911"/>
      <c r="N547" s="911"/>
      <c r="O547" s="911"/>
      <c r="P547" s="911">
        <v>8.68</v>
      </c>
      <c r="Q547" s="911"/>
      <c r="R547" s="951"/>
      <c r="S547" s="920">
        <v>48.63</v>
      </c>
      <c r="T547" s="952">
        <f t="shared" si="19"/>
        <v>430.71</v>
      </c>
      <c r="U547" s="622"/>
      <c r="V547" s="615"/>
    </row>
    <row r="548" spans="1:22" s="608" customFormat="1" ht="15">
      <c r="A548" s="949">
        <v>19464059</v>
      </c>
      <c r="B548" s="950" t="s">
        <v>5279</v>
      </c>
      <c r="C548" s="907" t="s">
        <v>5280</v>
      </c>
      <c r="D548" s="950">
        <v>2010</v>
      </c>
      <c r="E548" s="950">
        <v>96</v>
      </c>
      <c r="F548" s="950">
        <v>2488</v>
      </c>
      <c r="G548" s="950">
        <v>0</v>
      </c>
      <c r="H548" s="950">
        <v>72479</v>
      </c>
      <c r="I548" s="950">
        <v>2</v>
      </c>
      <c r="J548" s="950">
        <v>0</v>
      </c>
      <c r="K548" s="950" t="s">
        <v>5241</v>
      </c>
      <c r="L548" s="911">
        <v>211.81</v>
      </c>
      <c r="M548" s="911"/>
      <c r="N548" s="911"/>
      <c r="O548" s="911"/>
      <c r="P548" s="911">
        <v>8.68</v>
      </c>
      <c r="Q548" s="911"/>
      <c r="R548" s="951"/>
      <c r="S548" s="920">
        <v>27.87</v>
      </c>
      <c r="T548" s="952">
        <f t="shared" si="19"/>
        <v>248.36</v>
      </c>
      <c r="U548" s="622"/>
      <c r="V548" s="615"/>
    </row>
    <row r="549" spans="1:22" s="608" customFormat="1" ht="15">
      <c r="A549" s="949">
        <v>19479152</v>
      </c>
      <c r="B549" s="950" t="s">
        <v>5281</v>
      </c>
      <c r="C549" s="907" t="s">
        <v>5228</v>
      </c>
      <c r="D549" s="950">
        <v>2011</v>
      </c>
      <c r="E549" s="950">
        <v>0</v>
      </c>
      <c r="F549" s="950">
        <v>0</v>
      </c>
      <c r="G549" s="950">
        <v>3500</v>
      </c>
      <c r="H549" s="950">
        <v>0</v>
      </c>
      <c r="I549" s="950">
        <v>0</v>
      </c>
      <c r="J549" s="950">
        <v>0</v>
      </c>
      <c r="K549" s="950" t="s">
        <v>5238</v>
      </c>
      <c r="L549" s="911">
        <v>32.33</v>
      </c>
      <c r="M549" s="911"/>
      <c r="N549" s="911"/>
      <c r="O549" s="911"/>
      <c r="P549" s="911"/>
      <c r="Q549" s="911"/>
      <c r="R549" s="951"/>
      <c r="S549" s="920">
        <v>4.1500000000000004</v>
      </c>
      <c r="T549" s="952">
        <f t="shared" si="19"/>
        <v>36.479999999999997</v>
      </c>
      <c r="U549" s="622"/>
      <c r="V549" s="615"/>
    </row>
    <row r="550" spans="1:22" ht="15">
      <c r="A550" s="949">
        <v>19488224</v>
      </c>
      <c r="B550" s="950" t="s">
        <v>5282</v>
      </c>
      <c r="C550" s="907" t="s">
        <v>5283</v>
      </c>
      <c r="D550" s="950">
        <v>2011</v>
      </c>
      <c r="E550" s="950">
        <v>74</v>
      </c>
      <c r="F550" s="950">
        <v>0</v>
      </c>
      <c r="G550" s="950">
        <v>0</v>
      </c>
      <c r="H550" s="950">
        <v>22489</v>
      </c>
      <c r="I550" s="950">
        <v>2</v>
      </c>
      <c r="J550" s="950">
        <v>0</v>
      </c>
      <c r="K550" s="950" t="s">
        <v>5241</v>
      </c>
      <c r="L550" s="911">
        <v>160.43</v>
      </c>
      <c r="M550" s="911"/>
      <c r="N550" s="911"/>
      <c r="O550" s="911"/>
      <c r="P550" s="911">
        <v>8.68</v>
      </c>
      <c r="Q550" s="911"/>
      <c r="R550" s="951"/>
      <c r="S550" s="920">
        <v>21.26</v>
      </c>
      <c r="T550" s="952">
        <f t="shared" si="19"/>
        <v>190.37</v>
      </c>
      <c r="U550" s="622"/>
      <c r="V550" s="615"/>
    </row>
    <row r="551" spans="1:22" ht="15">
      <c r="A551" s="949">
        <v>19974354</v>
      </c>
      <c r="B551" s="950" t="s">
        <v>5282</v>
      </c>
      <c r="C551" s="961" t="s">
        <v>7195</v>
      </c>
      <c r="D551" s="950">
        <v>2020</v>
      </c>
      <c r="E551" s="950"/>
      <c r="F551" s="950"/>
      <c r="G551" s="950"/>
      <c r="H551" s="950"/>
      <c r="I551" s="950"/>
      <c r="J551" s="950"/>
      <c r="K551" s="950" t="s">
        <v>5241</v>
      </c>
      <c r="L551" s="911">
        <v>207.97</v>
      </c>
      <c r="M551" s="911">
        <v>54.46</v>
      </c>
      <c r="N551" s="911">
        <v>297.39999999999998</v>
      </c>
      <c r="O551" s="911"/>
      <c r="P551" s="911">
        <v>8.68</v>
      </c>
      <c r="Q551" s="911">
        <v>54.46</v>
      </c>
      <c r="R551" s="951"/>
      <c r="S551" s="920">
        <v>78.16</v>
      </c>
      <c r="T551" s="952">
        <f t="shared" si="19"/>
        <v>701.12999999999988</v>
      </c>
      <c r="U551" s="622"/>
      <c r="V551" s="615"/>
    </row>
    <row r="552" spans="1:22" ht="15">
      <c r="A552" s="949">
        <v>19616686</v>
      </c>
      <c r="B552" s="950" t="s">
        <v>5289</v>
      </c>
      <c r="C552" s="907" t="s">
        <v>5290</v>
      </c>
      <c r="D552" s="950"/>
      <c r="E552" s="950"/>
      <c r="F552" s="950"/>
      <c r="G552" s="950"/>
      <c r="H552" s="950"/>
      <c r="I552" s="950"/>
      <c r="J552" s="950"/>
      <c r="K552" s="950" t="s">
        <v>5241</v>
      </c>
      <c r="L552" s="911">
        <v>193.34</v>
      </c>
      <c r="M552" s="911">
        <v>22.46</v>
      </c>
      <c r="N552" s="911"/>
      <c r="O552" s="911">
        <v>24.79</v>
      </c>
      <c r="P552" s="911">
        <v>8.68</v>
      </c>
      <c r="Q552" s="911">
        <v>15.72</v>
      </c>
      <c r="R552" s="951"/>
      <c r="S552" s="920">
        <v>33.369999999999997</v>
      </c>
      <c r="T552" s="952">
        <f t="shared" si="19"/>
        <v>298.36</v>
      </c>
      <c r="U552" s="622"/>
      <c r="V552" s="615"/>
    </row>
    <row r="553" spans="1:22" ht="15">
      <c r="A553" s="949">
        <v>19647948</v>
      </c>
      <c r="B553" s="950" t="s">
        <v>5291</v>
      </c>
      <c r="C553" s="907" t="s">
        <v>5292</v>
      </c>
      <c r="D553" s="950"/>
      <c r="E553" s="950"/>
      <c r="F553" s="950"/>
      <c r="G553" s="950"/>
      <c r="H553" s="950"/>
      <c r="I553" s="950"/>
      <c r="J553" s="950"/>
      <c r="K553" s="950" t="s">
        <v>5241</v>
      </c>
      <c r="L553" s="911">
        <v>213.46</v>
      </c>
      <c r="M553" s="911"/>
      <c r="N553" s="911"/>
      <c r="O553" s="911"/>
      <c r="P553" s="911">
        <v>8.68</v>
      </c>
      <c r="Q553" s="911"/>
      <c r="R553" s="951"/>
      <c r="S553" s="920">
        <v>28.08</v>
      </c>
      <c r="T553" s="952">
        <f t="shared" si="19"/>
        <v>250.22000000000003</v>
      </c>
      <c r="U553" s="622"/>
      <c r="V553" s="615"/>
    </row>
    <row r="554" spans="1:22" ht="15">
      <c r="A554" s="949">
        <v>19565323</v>
      </c>
      <c r="B554" s="950" t="s">
        <v>5293</v>
      </c>
      <c r="C554" s="907" t="s">
        <v>5294</v>
      </c>
      <c r="D554" s="950"/>
      <c r="E554" s="950"/>
      <c r="F554" s="950"/>
      <c r="G554" s="950"/>
      <c r="H554" s="950"/>
      <c r="I554" s="950"/>
      <c r="J554" s="950"/>
      <c r="K554" s="950" t="s">
        <v>5295</v>
      </c>
      <c r="L554" s="911">
        <v>118.37</v>
      </c>
      <c r="M554" s="911"/>
      <c r="N554" s="911"/>
      <c r="O554" s="911"/>
      <c r="P554" s="911">
        <v>8.68</v>
      </c>
      <c r="Q554" s="911"/>
      <c r="R554" s="951"/>
      <c r="S554" s="920">
        <v>15.86</v>
      </c>
      <c r="T554" s="952">
        <f t="shared" si="19"/>
        <v>142.91000000000003</v>
      </c>
      <c r="U554" s="622"/>
      <c r="V554" s="615"/>
    </row>
    <row r="555" spans="1:22" ht="15">
      <c r="A555" s="949">
        <v>19568323</v>
      </c>
      <c r="B555" s="950" t="s">
        <v>5289</v>
      </c>
      <c r="C555" s="907" t="s">
        <v>5297</v>
      </c>
      <c r="D555" s="950"/>
      <c r="E555" s="950"/>
      <c r="F555" s="950"/>
      <c r="G555" s="950"/>
      <c r="H555" s="950"/>
      <c r="I555" s="950"/>
      <c r="J555" s="950"/>
      <c r="K555" s="955" t="s">
        <v>5354</v>
      </c>
      <c r="L555" s="911">
        <v>160.43</v>
      </c>
      <c r="M555" s="911"/>
      <c r="N555" s="911"/>
      <c r="O555" s="911"/>
      <c r="P555" s="911">
        <v>8.68</v>
      </c>
      <c r="Q555" s="911"/>
      <c r="R555" s="951"/>
      <c r="S555" s="920">
        <v>21.26</v>
      </c>
      <c r="T555" s="952">
        <f t="shared" ref="T555:T566" si="20">SUM(L555:S555)</f>
        <v>190.37</v>
      </c>
      <c r="U555" s="622"/>
      <c r="V555" s="615"/>
    </row>
    <row r="556" spans="1:22" ht="15">
      <c r="A556" s="949">
        <v>19361432</v>
      </c>
      <c r="B556" s="950" t="s">
        <v>5298</v>
      </c>
      <c r="C556" s="907" t="s">
        <v>5299</v>
      </c>
      <c r="D556" s="950">
        <v>2008</v>
      </c>
      <c r="E556" s="950">
        <v>88</v>
      </c>
      <c r="F556" s="950">
        <v>2464</v>
      </c>
      <c r="G556" s="950">
        <v>3500</v>
      </c>
      <c r="H556" s="950">
        <v>30211</v>
      </c>
      <c r="I556" s="950">
        <v>2</v>
      </c>
      <c r="J556" s="950">
        <v>0</v>
      </c>
      <c r="K556" s="950" t="s">
        <v>5241</v>
      </c>
      <c r="L556" s="911">
        <v>186.03</v>
      </c>
      <c r="M556" s="911"/>
      <c r="N556" s="911"/>
      <c r="O556" s="911"/>
      <c r="P556" s="911">
        <v>8.68</v>
      </c>
      <c r="Q556" s="911"/>
      <c r="R556" s="951"/>
      <c r="S556" s="920">
        <v>24.55</v>
      </c>
      <c r="T556" s="952">
        <f t="shared" si="20"/>
        <v>219.26000000000002</v>
      </c>
      <c r="U556" s="622"/>
      <c r="V556" s="615"/>
    </row>
    <row r="557" spans="1:22" ht="15">
      <c r="A557" s="949">
        <v>19794335</v>
      </c>
      <c r="B557" s="955" t="s">
        <v>5369</v>
      </c>
      <c r="C557" s="927" t="s">
        <v>5370</v>
      </c>
      <c r="D557" s="950"/>
      <c r="E557" s="950"/>
      <c r="F557" s="950"/>
      <c r="G557" s="950"/>
      <c r="H557" s="950"/>
      <c r="I557" s="950"/>
      <c r="J557" s="950"/>
      <c r="K557" s="955" t="s">
        <v>5238</v>
      </c>
      <c r="L557" s="911">
        <v>12.99</v>
      </c>
      <c r="M557" s="911">
        <v>3.62</v>
      </c>
      <c r="N557" s="911">
        <v>12.67</v>
      </c>
      <c r="O557" s="911"/>
      <c r="P557" s="911"/>
      <c r="Q557" s="911">
        <v>3.62</v>
      </c>
      <c r="R557" s="951"/>
      <c r="S557" s="920">
        <v>4.1500000000000004</v>
      </c>
      <c r="T557" s="952">
        <f t="shared" si="20"/>
        <v>37.049999999999997</v>
      </c>
      <c r="U557" s="622"/>
      <c r="V557" s="615"/>
    </row>
    <row r="558" spans="1:22" ht="15">
      <c r="A558" s="959" t="s">
        <v>7550</v>
      </c>
      <c r="B558" s="960" t="s">
        <v>7190</v>
      </c>
      <c r="C558" s="961" t="s">
        <v>7551</v>
      </c>
      <c r="D558" s="950">
        <v>2021</v>
      </c>
      <c r="E558" s="950"/>
      <c r="F558" s="950"/>
      <c r="G558" s="950"/>
      <c r="H558" s="950"/>
      <c r="I558" s="950"/>
      <c r="J558" s="950"/>
      <c r="K558" s="960" t="s">
        <v>5238</v>
      </c>
      <c r="L558" s="911">
        <v>19.510000000000002</v>
      </c>
      <c r="M558" s="911"/>
      <c r="N558" s="911"/>
      <c r="O558" s="911"/>
      <c r="P558" s="911"/>
      <c r="Q558" s="911"/>
      <c r="R558" s="951"/>
      <c r="S558" s="920">
        <v>2.5099999999999998</v>
      </c>
      <c r="T558" s="952">
        <f t="shared" si="20"/>
        <v>22.020000000000003</v>
      </c>
      <c r="U558" s="622"/>
      <c r="V558" s="615"/>
    </row>
    <row r="559" spans="1:22" ht="15">
      <c r="A559" s="959" t="s">
        <v>7547</v>
      </c>
      <c r="B559" s="960" t="s">
        <v>7548</v>
      </c>
      <c r="C559" s="961" t="s">
        <v>7549</v>
      </c>
      <c r="D559" s="950">
        <v>2021</v>
      </c>
      <c r="E559" s="950"/>
      <c r="F559" s="950"/>
      <c r="G559" s="950"/>
      <c r="H559" s="950"/>
      <c r="I559" s="950"/>
      <c r="J559" s="950"/>
      <c r="K559" s="955"/>
      <c r="L559" s="911">
        <v>397.45</v>
      </c>
      <c r="M559" s="911"/>
      <c r="N559" s="911"/>
      <c r="O559" s="911"/>
      <c r="P559" s="911">
        <v>8.68</v>
      </c>
      <c r="Q559" s="911"/>
      <c r="R559" s="951"/>
      <c r="S559" s="920">
        <v>51.72</v>
      </c>
      <c r="T559" s="952">
        <f t="shared" si="20"/>
        <v>457.85</v>
      </c>
      <c r="U559" s="622"/>
      <c r="V559" s="615"/>
    </row>
    <row r="560" spans="1:22" ht="15">
      <c r="A560" s="959" t="s">
        <v>5380</v>
      </c>
      <c r="B560" s="960" t="s">
        <v>5282</v>
      </c>
      <c r="C560" s="961" t="s">
        <v>5381</v>
      </c>
      <c r="D560" s="950">
        <v>2019</v>
      </c>
      <c r="E560" s="950"/>
      <c r="F560" s="950"/>
      <c r="G560" s="950"/>
      <c r="H560" s="950"/>
      <c r="I560" s="950"/>
      <c r="J560" s="950"/>
      <c r="K560" s="955"/>
      <c r="L560" s="911">
        <v>207.97</v>
      </c>
      <c r="M560" s="911">
        <v>35.369999999999997</v>
      </c>
      <c r="N560" s="911"/>
      <c r="O560" s="911"/>
      <c r="P560" s="911">
        <v>8.68</v>
      </c>
      <c r="Q560" s="911">
        <v>35.369999999999997</v>
      </c>
      <c r="R560" s="951"/>
      <c r="S560" s="920">
        <v>36.22</v>
      </c>
      <c r="T560" s="952">
        <f t="shared" si="20"/>
        <v>323.61</v>
      </c>
      <c r="U560" s="622"/>
      <c r="V560" s="615"/>
    </row>
    <row r="561" spans="1:23" ht="15">
      <c r="A561" s="959" t="s">
        <v>5382</v>
      </c>
      <c r="B561" s="960" t="s">
        <v>5383</v>
      </c>
      <c r="C561" s="961" t="s">
        <v>5384</v>
      </c>
      <c r="D561" s="950">
        <v>2019</v>
      </c>
      <c r="E561" s="950"/>
      <c r="F561" s="950"/>
      <c r="G561" s="950"/>
      <c r="H561" s="950"/>
      <c r="I561" s="950"/>
      <c r="J561" s="950"/>
      <c r="K561" s="955"/>
      <c r="L561" s="911">
        <v>207.97</v>
      </c>
      <c r="M561" s="911">
        <v>47.67</v>
      </c>
      <c r="N561" s="911"/>
      <c r="O561" s="911"/>
      <c r="P561" s="911">
        <v>8.68</v>
      </c>
      <c r="Q561" s="911">
        <v>47.67</v>
      </c>
      <c r="R561" s="951"/>
      <c r="S561" s="920">
        <v>39.299999999999997</v>
      </c>
      <c r="T561" s="952">
        <f t="shared" si="20"/>
        <v>351.29</v>
      </c>
      <c r="U561" s="622"/>
      <c r="V561" s="615"/>
    </row>
    <row r="562" spans="1:23" ht="15">
      <c r="A562" s="962" t="s">
        <v>5385</v>
      </c>
      <c r="B562" s="963" t="s">
        <v>5386</v>
      </c>
      <c r="C562" s="964" t="s">
        <v>5387</v>
      </c>
      <c r="D562" s="950">
        <v>2019</v>
      </c>
      <c r="E562" s="950"/>
      <c r="F562" s="950"/>
      <c r="G562" s="950"/>
      <c r="H562" s="950"/>
      <c r="I562" s="950"/>
      <c r="J562" s="950"/>
      <c r="K562" s="955"/>
      <c r="L562" s="911">
        <v>429.48</v>
      </c>
      <c r="M562" s="911">
        <v>132.55000000000001</v>
      </c>
      <c r="N562" s="911"/>
      <c r="O562" s="911">
        <v>24.79</v>
      </c>
      <c r="P562" s="911">
        <v>8.68</v>
      </c>
      <c r="Q562" s="911">
        <v>92.79</v>
      </c>
      <c r="R562" s="951"/>
      <c r="S562" s="920">
        <v>87.1</v>
      </c>
      <c r="T562" s="952">
        <f t="shared" si="20"/>
        <v>775.38999999999987</v>
      </c>
      <c r="U562" s="622"/>
      <c r="V562" s="615"/>
    </row>
    <row r="563" spans="1:23" ht="15">
      <c r="A563" s="962" t="s">
        <v>7552</v>
      </c>
      <c r="B563" s="963" t="s">
        <v>7553</v>
      </c>
      <c r="C563" s="964" t="s">
        <v>7554</v>
      </c>
      <c r="D563" s="950">
        <v>2021</v>
      </c>
      <c r="E563" s="950"/>
      <c r="F563" s="950"/>
      <c r="G563" s="950"/>
      <c r="H563" s="950"/>
      <c r="I563" s="950"/>
      <c r="J563" s="950"/>
      <c r="K563" s="960" t="s">
        <v>5241</v>
      </c>
      <c r="L563" s="911">
        <v>186.03</v>
      </c>
      <c r="M563" s="911">
        <v>27.64</v>
      </c>
      <c r="N563" s="911">
        <v>161.33000000000001</v>
      </c>
      <c r="O563" s="911"/>
      <c r="P563" s="911">
        <v>8.68</v>
      </c>
      <c r="Q563" s="911">
        <v>27.64</v>
      </c>
      <c r="R563" s="951"/>
      <c r="S563" s="920">
        <v>51.62</v>
      </c>
      <c r="T563" s="952">
        <f t="shared" si="20"/>
        <v>462.94</v>
      </c>
      <c r="U563" s="622"/>
      <c r="V563" s="615"/>
    </row>
    <row r="564" spans="1:23" ht="15">
      <c r="A564" s="962" t="s">
        <v>7555</v>
      </c>
      <c r="B564" s="963" t="s">
        <v>7553</v>
      </c>
      <c r="C564" s="964" t="s">
        <v>7556</v>
      </c>
      <c r="D564" s="950">
        <v>2021</v>
      </c>
      <c r="E564" s="950"/>
      <c r="F564" s="950"/>
      <c r="G564" s="950"/>
      <c r="H564" s="950"/>
      <c r="I564" s="950"/>
      <c r="J564" s="950"/>
      <c r="K564" s="960" t="s">
        <v>5241</v>
      </c>
      <c r="L564" s="911">
        <v>186.03</v>
      </c>
      <c r="M564" s="911">
        <v>29.13</v>
      </c>
      <c r="N564" s="911">
        <v>168.84</v>
      </c>
      <c r="O564" s="911"/>
      <c r="P564" s="911">
        <v>8.68</v>
      </c>
      <c r="Q564" s="911">
        <v>29.13</v>
      </c>
      <c r="R564" s="951"/>
      <c r="S564" s="920">
        <v>52.93</v>
      </c>
      <c r="T564" s="952">
        <f t="shared" si="20"/>
        <v>474.74</v>
      </c>
      <c r="U564" s="622"/>
      <c r="V564" s="615"/>
    </row>
    <row r="565" spans="1:23" ht="15">
      <c r="A565" s="962" t="s">
        <v>7557</v>
      </c>
      <c r="B565" s="963" t="s">
        <v>7553</v>
      </c>
      <c r="C565" s="964" t="s">
        <v>7558</v>
      </c>
      <c r="D565" s="950">
        <v>2021</v>
      </c>
      <c r="E565" s="950"/>
      <c r="F565" s="950"/>
      <c r="G565" s="950"/>
      <c r="H565" s="950"/>
      <c r="I565" s="950"/>
      <c r="J565" s="950"/>
      <c r="K565" s="960" t="s">
        <v>5241</v>
      </c>
      <c r="L565" s="911">
        <v>186.03</v>
      </c>
      <c r="M565" s="911">
        <v>29.13</v>
      </c>
      <c r="N565" s="911">
        <v>168.84</v>
      </c>
      <c r="O565" s="911"/>
      <c r="P565" s="911">
        <v>8.68</v>
      </c>
      <c r="Q565" s="911">
        <v>29.13</v>
      </c>
      <c r="R565" s="951"/>
      <c r="S565" s="920">
        <v>52.93</v>
      </c>
      <c r="T565" s="952">
        <f t="shared" si="20"/>
        <v>474.74</v>
      </c>
      <c r="U565" s="622"/>
      <c r="V565" s="615"/>
    </row>
    <row r="566" spans="1:23" ht="15">
      <c r="A566" s="962" t="s">
        <v>7559</v>
      </c>
      <c r="B566" s="963" t="s">
        <v>7560</v>
      </c>
      <c r="C566" s="964" t="s">
        <v>7561</v>
      </c>
      <c r="D566" s="950">
        <v>2021</v>
      </c>
      <c r="E566" s="950"/>
      <c r="F566" s="950"/>
      <c r="G566" s="950"/>
      <c r="H566" s="950"/>
      <c r="I566" s="950"/>
      <c r="J566" s="950"/>
      <c r="K566" s="960" t="s">
        <v>5241</v>
      </c>
      <c r="L566" s="911">
        <v>127.52</v>
      </c>
      <c r="M566" s="911">
        <v>19.36</v>
      </c>
      <c r="N566" s="911">
        <v>119.96</v>
      </c>
      <c r="O566" s="911"/>
      <c r="P566" s="911">
        <v>8.68</v>
      </c>
      <c r="Q566" s="911">
        <v>13.56</v>
      </c>
      <c r="R566" s="951"/>
      <c r="S566" s="920">
        <v>36.159999999999997</v>
      </c>
      <c r="T566" s="952">
        <f t="shared" si="20"/>
        <v>325.24</v>
      </c>
      <c r="U566" s="622"/>
      <c r="V566" s="615"/>
    </row>
    <row r="567" spans="1:23" ht="15">
      <c r="A567" s="962" t="s">
        <v>8134</v>
      </c>
      <c r="B567" s="963" t="s">
        <v>8135</v>
      </c>
      <c r="C567" s="964" t="s">
        <v>8136</v>
      </c>
      <c r="D567" s="950"/>
      <c r="E567" s="950"/>
      <c r="F567" s="950"/>
      <c r="G567" s="950"/>
      <c r="H567" s="950"/>
      <c r="I567" s="950"/>
      <c r="J567" s="950"/>
      <c r="K567" s="960" t="s">
        <v>8137</v>
      </c>
      <c r="L567" s="911"/>
      <c r="M567" s="911"/>
      <c r="N567" s="911"/>
      <c r="O567" s="911"/>
      <c r="P567" s="911"/>
      <c r="Q567" s="911"/>
      <c r="R567" s="951"/>
      <c r="S567" s="920"/>
      <c r="T567" s="952"/>
      <c r="U567" s="622"/>
      <c r="V567" s="615">
        <v>12.82</v>
      </c>
    </row>
    <row r="568" spans="1:23" ht="15">
      <c r="A568" s="962" t="s">
        <v>8138</v>
      </c>
      <c r="B568" s="963" t="s">
        <v>8139</v>
      </c>
      <c r="C568" s="964" t="s">
        <v>8140</v>
      </c>
      <c r="D568" s="950"/>
      <c r="E568" s="950"/>
      <c r="F568" s="950"/>
      <c r="G568" s="950"/>
      <c r="H568" s="950"/>
      <c r="I568" s="950"/>
      <c r="J568" s="950"/>
      <c r="K568" s="960"/>
      <c r="L568" s="911"/>
      <c r="M568" s="911"/>
      <c r="N568" s="911"/>
      <c r="O568" s="911"/>
      <c r="P568" s="911"/>
      <c r="Q568" s="911"/>
      <c r="R568" s="951"/>
      <c r="S568" s="920"/>
      <c r="T568" s="952"/>
      <c r="U568" s="622"/>
      <c r="V568" s="615">
        <v>106.59</v>
      </c>
    </row>
    <row r="569" spans="1:23" ht="15">
      <c r="A569" s="962" t="s">
        <v>8141</v>
      </c>
      <c r="B569" s="963" t="s">
        <v>5267</v>
      </c>
      <c r="C569" s="964" t="s">
        <v>8142</v>
      </c>
      <c r="D569" s="950"/>
      <c r="E569" s="950"/>
      <c r="F569" s="950"/>
      <c r="G569" s="950"/>
      <c r="H569" s="950"/>
      <c r="I569" s="950"/>
      <c r="J569" s="950"/>
      <c r="K569" s="960"/>
      <c r="L569" s="911"/>
      <c r="M569" s="911"/>
      <c r="N569" s="911"/>
      <c r="O569" s="911"/>
      <c r="P569" s="911"/>
      <c r="Q569" s="911"/>
      <c r="R569" s="951"/>
      <c r="S569" s="920"/>
      <c r="T569" s="952"/>
      <c r="U569" s="622"/>
      <c r="V569" s="615">
        <v>65.44</v>
      </c>
    </row>
    <row r="570" spans="1:23" ht="15">
      <c r="A570" s="962" t="s">
        <v>8145</v>
      </c>
      <c r="B570" s="963" t="s">
        <v>5291</v>
      </c>
      <c r="C570" s="964" t="s">
        <v>8146</v>
      </c>
      <c r="D570" s="950"/>
      <c r="E570" s="950"/>
      <c r="F570" s="950"/>
      <c r="G570" s="950"/>
      <c r="H570" s="950"/>
      <c r="I570" s="950"/>
      <c r="J570" s="950"/>
      <c r="K570" s="960"/>
      <c r="L570" s="911"/>
      <c r="M570" s="911"/>
      <c r="N570" s="911"/>
      <c r="O570" s="911"/>
      <c r="P570" s="911"/>
      <c r="Q570" s="911"/>
      <c r="R570" s="951"/>
      <c r="S570" s="920"/>
      <c r="T570" s="952"/>
      <c r="U570" s="622"/>
      <c r="V570" s="615">
        <v>172.04</v>
      </c>
    </row>
    <row r="571" spans="1:23" ht="15">
      <c r="A571" s="962" t="s">
        <v>8150</v>
      </c>
      <c r="B571" s="963" t="s">
        <v>8151</v>
      </c>
      <c r="C571" s="964" t="s">
        <v>8152</v>
      </c>
      <c r="D571" s="950"/>
      <c r="E571" s="950"/>
      <c r="F571" s="950"/>
      <c r="G571" s="950"/>
      <c r="H571" s="950"/>
      <c r="I571" s="950"/>
      <c r="J571" s="950"/>
      <c r="K571" s="960"/>
      <c r="L571" s="911"/>
      <c r="M571" s="911"/>
      <c r="N571" s="911"/>
      <c r="O571" s="911"/>
      <c r="P571" s="911"/>
      <c r="Q571" s="911"/>
      <c r="R571" s="951"/>
      <c r="S571" s="920"/>
      <c r="T571" s="952"/>
      <c r="U571" s="622"/>
      <c r="V571" s="615">
        <f>230.13+168.02</f>
        <v>398.15</v>
      </c>
    </row>
    <row r="572" spans="1:23" ht="15">
      <c r="A572" s="949"/>
      <c r="B572" s="950"/>
      <c r="C572" s="907"/>
      <c r="D572" s="950"/>
      <c r="E572" s="950"/>
      <c r="F572" s="950"/>
      <c r="G572" s="950"/>
      <c r="H572" s="950"/>
      <c r="I572" s="950"/>
      <c r="J572" s="950"/>
      <c r="K572" s="950"/>
      <c r="L572" s="911"/>
      <c r="M572" s="911"/>
      <c r="N572" s="911"/>
      <c r="O572" s="911"/>
      <c r="P572" s="911"/>
      <c r="Q572" s="911"/>
      <c r="R572" s="951"/>
      <c r="S572" s="920"/>
      <c r="T572" s="952"/>
      <c r="U572" s="622"/>
      <c r="V572" s="608"/>
    </row>
    <row r="573" spans="1:23" ht="15">
      <c r="A573" s="2517" t="s">
        <v>5300</v>
      </c>
      <c r="B573" s="2518"/>
      <c r="C573" s="2519"/>
      <c r="D573" s="2518"/>
      <c r="E573" s="2518"/>
      <c r="F573" s="2518"/>
      <c r="G573" s="2518"/>
      <c r="H573" s="2518"/>
      <c r="I573" s="2518"/>
      <c r="J573" s="2518"/>
      <c r="K573" s="2520" t="s">
        <v>5388</v>
      </c>
      <c r="L573" s="2521"/>
      <c r="M573" s="2521"/>
      <c r="N573" s="2521"/>
      <c r="O573" s="2521"/>
      <c r="P573" s="2521"/>
      <c r="Q573" s="2521"/>
      <c r="R573" s="2522"/>
      <c r="S573" s="2523"/>
      <c r="T573" s="2524"/>
      <c r="U573" s="621">
        <f>SUM(T574:T575)</f>
        <v>392.46000000000004</v>
      </c>
      <c r="V573" s="4367">
        <f>SUM(V531:V572)</f>
        <v>535.64</v>
      </c>
      <c r="W573" s="615"/>
    </row>
    <row r="574" spans="1:23" ht="15">
      <c r="A574" s="956">
        <v>19561262</v>
      </c>
      <c r="B574" s="950" t="s">
        <v>5301</v>
      </c>
      <c r="C574" s="907" t="s">
        <v>5302</v>
      </c>
      <c r="D574" s="950">
        <v>1998</v>
      </c>
      <c r="E574" s="950">
        <v>51</v>
      </c>
      <c r="F574" s="950">
        <v>2496</v>
      </c>
      <c r="G574" s="950">
        <v>0</v>
      </c>
      <c r="H574" s="950">
        <v>13758</v>
      </c>
      <c r="I574" s="950">
        <v>8</v>
      </c>
      <c r="J574" s="950">
        <v>0</v>
      </c>
      <c r="K574" s="950" t="s">
        <v>5303</v>
      </c>
      <c r="L574" s="911">
        <v>152.94</v>
      </c>
      <c r="M574" s="911"/>
      <c r="N574" s="911"/>
      <c r="O574" s="911"/>
      <c r="P574" s="911">
        <v>14.87</v>
      </c>
      <c r="Q574" s="911"/>
      <c r="R574" s="951"/>
      <c r="S574" s="920">
        <v>28.42</v>
      </c>
      <c r="T574" s="952">
        <f>SUM(L574:S574)</f>
        <v>196.23000000000002</v>
      </c>
      <c r="U574" s="622"/>
      <c r="V574" s="615"/>
    </row>
    <row r="575" spans="1:23" ht="15">
      <c r="A575" s="949">
        <v>19561263</v>
      </c>
      <c r="B575" s="950" t="s">
        <v>5301</v>
      </c>
      <c r="C575" s="907" t="s">
        <v>5304</v>
      </c>
      <c r="D575" s="950">
        <v>1999</v>
      </c>
      <c r="E575" s="950">
        <v>56</v>
      </c>
      <c r="F575" s="950">
        <v>2500</v>
      </c>
      <c r="G575" s="950">
        <v>0</v>
      </c>
      <c r="H575" s="950">
        <v>0</v>
      </c>
      <c r="I575" s="950">
        <v>8</v>
      </c>
      <c r="J575" s="950">
        <v>0</v>
      </c>
      <c r="K575" s="950" t="s">
        <v>5303</v>
      </c>
      <c r="L575" s="911">
        <v>152.94</v>
      </c>
      <c r="M575" s="911"/>
      <c r="N575" s="911"/>
      <c r="O575" s="911"/>
      <c r="P575" s="911">
        <v>14.87</v>
      </c>
      <c r="Q575" s="911"/>
      <c r="R575" s="951"/>
      <c r="S575" s="920">
        <v>28.42</v>
      </c>
      <c r="T575" s="952">
        <f>SUM(L575:S575)</f>
        <v>196.23000000000002</v>
      </c>
      <c r="U575" s="622"/>
      <c r="V575" s="615"/>
    </row>
    <row r="576" spans="1:23" ht="15">
      <c r="A576" s="949"/>
      <c r="B576" s="950"/>
      <c r="C576" s="907"/>
      <c r="D576" s="950"/>
      <c r="E576" s="950"/>
      <c r="F576" s="950"/>
      <c r="G576" s="950"/>
      <c r="H576" s="950"/>
      <c r="I576" s="950"/>
      <c r="J576" s="950"/>
      <c r="K576" s="950"/>
      <c r="L576" s="911"/>
      <c r="M576" s="911"/>
      <c r="N576" s="911"/>
      <c r="O576" s="911"/>
      <c r="P576" s="911"/>
      <c r="Q576" s="911"/>
      <c r="R576" s="951"/>
      <c r="S576" s="920"/>
      <c r="T576" s="952"/>
      <c r="U576" s="622"/>
      <c r="V576" s="608"/>
    </row>
    <row r="577" spans="1:23" ht="15">
      <c r="A577" s="2517" t="s">
        <v>5305</v>
      </c>
      <c r="B577" s="2518"/>
      <c r="C577" s="2519"/>
      <c r="D577" s="2518"/>
      <c r="E577" s="2518"/>
      <c r="F577" s="2518"/>
      <c r="G577" s="2518"/>
      <c r="H577" s="2518"/>
      <c r="I577" s="2518"/>
      <c r="J577" s="2518"/>
      <c r="K577" s="2520" t="s">
        <v>5389</v>
      </c>
      <c r="L577" s="2521"/>
      <c r="M577" s="2521"/>
      <c r="N577" s="2521"/>
      <c r="O577" s="2521"/>
      <c r="P577" s="2521"/>
      <c r="Q577" s="2521"/>
      <c r="R577" s="2522"/>
      <c r="S577" s="2523"/>
      <c r="T577" s="2524"/>
      <c r="U577" s="621">
        <f>SUM(T578:T597)</f>
        <v>4285.83</v>
      </c>
      <c r="V577" s="615"/>
      <c r="W577" s="615"/>
    </row>
    <row r="578" spans="1:23" ht="15">
      <c r="A578" s="949">
        <v>19757178</v>
      </c>
      <c r="B578" s="955" t="s">
        <v>5355</v>
      </c>
      <c r="C578" s="927" t="s">
        <v>5356</v>
      </c>
      <c r="D578" s="950" t="s">
        <v>5357</v>
      </c>
      <c r="E578" s="950"/>
      <c r="F578" s="950"/>
      <c r="G578" s="950"/>
      <c r="H578" s="950"/>
      <c r="I578" s="950"/>
      <c r="J578" s="950"/>
      <c r="K578" s="950" t="s">
        <v>5309</v>
      </c>
      <c r="L578" s="911">
        <v>27.54</v>
      </c>
      <c r="M578" s="911">
        <v>50.69</v>
      </c>
      <c r="N578" s="911"/>
      <c r="O578" s="911"/>
      <c r="P578" s="911">
        <v>8.68</v>
      </c>
      <c r="Q578" s="911">
        <v>35.5</v>
      </c>
      <c r="R578" s="951"/>
      <c r="S578" s="920">
        <v>14.97</v>
      </c>
      <c r="T578" s="952">
        <f t="shared" ref="T578:T595" si="21">SUM(L578:S578)</f>
        <v>137.38</v>
      </c>
      <c r="U578" s="622"/>
      <c r="V578" s="615"/>
    </row>
    <row r="579" spans="1:23" ht="15">
      <c r="A579" s="949">
        <v>19022624</v>
      </c>
      <c r="B579" s="950" t="s">
        <v>5264</v>
      </c>
      <c r="C579" s="907" t="s">
        <v>5308</v>
      </c>
      <c r="D579" s="950">
        <v>1996</v>
      </c>
      <c r="E579" s="950">
        <v>0</v>
      </c>
      <c r="F579" s="950">
        <v>6600</v>
      </c>
      <c r="G579" s="950">
        <v>4000</v>
      </c>
      <c r="H579" s="950">
        <v>98488</v>
      </c>
      <c r="I579" s="950">
        <v>1</v>
      </c>
      <c r="J579" s="950">
        <v>0</v>
      </c>
      <c r="K579" s="950" t="s">
        <v>5309</v>
      </c>
      <c r="L579" s="911">
        <v>27.54</v>
      </c>
      <c r="M579" s="911"/>
      <c r="N579" s="911"/>
      <c r="O579" s="911"/>
      <c r="P579" s="911">
        <v>8.68</v>
      </c>
      <c r="Q579" s="911">
        <v>75.83</v>
      </c>
      <c r="R579" s="951"/>
      <c r="S579" s="920">
        <v>13.68</v>
      </c>
      <c r="T579" s="952">
        <f t="shared" si="21"/>
        <v>125.72999999999999</v>
      </c>
      <c r="U579" s="622"/>
      <c r="V579" s="615"/>
    </row>
    <row r="580" spans="1:23" ht="15">
      <c r="A580" s="949">
        <v>19241504</v>
      </c>
      <c r="B580" s="950" t="s">
        <v>5239</v>
      </c>
      <c r="C580" s="907" t="s">
        <v>5311</v>
      </c>
      <c r="D580" s="950">
        <v>2005</v>
      </c>
      <c r="E580" s="950">
        <v>84</v>
      </c>
      <c r="F580" s="950">
        <v>2463</v>
      </c>
      <c r="G580" s="950">
        <v>0</v>
      </c>
      <c r="H580" s="950">
        <v>19906</v>
      </c>
      <c r="I580" s="950">
        <v>2</v>
      </c>
      <c r="J580" s="950">
        <v>0</v>
      </c>
      <c r="K580" s="950" t="s">
        <v>5241</v>
      </c>
      <c r="L580" s="911">
        <v>178.72</v>
      </c>
      <c r="M580" s="911"/>
      <c r="N580" s="911"/>
      <c r="O580" s="911"/>
      <c r="P580" s="911">
        <v>8.68</v>
      </c>
      <c r="Q580" s="911"/>
      <c r="R580" s="951"/>
      <c r="S580" s="920">
        <v>23.62</v>
      </c>
      <c r="T580" s="952">
        <f t="shared" si="21"/>
        <v>211.02</v>
      </c>
      <c r="U580" s="622"/>
      <c r="V580" s="615"/>
    </row>
    <row r="581" spans="1:23" ht="15">
      <c r="A581" s="949">
        <v>19295977</v>
      </c>
      <c r="B581" s="950" t="s">
        <v>5298</v>
      </c>
      <c r="C581" s="907" t="s">
        <v>5312</v>
      </c>
      <c r="D581" s="950">
        <v>2007</v>
      </c>
      <c r="E581" s="950">
        <v>88</v>
      </c>
      <c r="F581" s="950">
        <v>0</v>
      </c>
      <c r="G581" s="950">
        <v>0</v>
      </c>
      <c r="H581" s="950">
        <v>20670</v>
      </c>
      <c r="I581" s="950">
        <v>2</v>
      </c>
      <c r="J581" s="950">
        <v>0</v>
      </c>
      <c r="K581" s="950" t="s">
        <v>5241</v>
      </c>
      <c r="L581" s="911">
        <v>186.03</v>
      </c>
      <c r="M581" s="911"/>
      <c r="N581" s="911"/>
      <c r="O581" s="911"/>
      <c r="P581" s="911">
        <v>8.68</v>
      </c>
      <c r="Q581" s="911"/>
      <c r="R581" s="951"/>
      <c r="S581" s="920">
        <v>24.55</v>
      </c>
      <c r="T581" s="952">
        <f t="shared" si="21"/>
        <v>219.26000000000002</v>
      </c>
      <c r="U581" s="622"/>
      <c r="V581" s="615"/>
    </row>
    <row r="582" spans="1:23" ht="15">
      <c r="A582" s="949">
        <v>19327360</v>
      </c>
      <c r="B582" s="950" t="s">
        <v>5313</v>
      </c>
      <c r="C582" s="907" t="s">
        <v>5314</v>
      </c>
      <c r="D582" s="950">
        <v>2007</v>
      </c>
      <c r="E582" s="950">
        <v>55</v>
      </c>
      <c r="F582" s="950">
        <v>0</v>
      </c>
      <c r="G582" s="950">
        <v>0</v>
      </c>
      <c r="H582" s="950">
        <v>12286</v>
      </c>
      <c r="I582" s="950">
        <v>1</v>
      </c>
      <c r="J582" s="950">
        <v>0</v>
      </c>
      <c r="K582" s="950" t="s">
        <v>5241</v>
      </c>
      <c r="L582" s="911">
        <v>125.7</v>
      </c>
      <c r="M582" s="911"/>
      <c r="N582" s="911"/>
      <c r="O582" s="911"/>
      <c r="P582" s="911">
        <v>8.68</v>
      </c>
      <c r="Q582" s="911"/>
      <c r="R582" s="951"/>
      <c r="S582" s="920">
        <v>16.809999999999999</v>
      </c>
      <c r="T582" s="952">
        <f t="shared" si="21"/>
        <v>151.19</v>
      </c>
      <c r="U582" s="622"/>
      <c r="V582" s="615"/>
    </row>
    <row r="583" spans="1:23" ht="15">
      <c r="A583" s="949">
        <v>19358287</v>
      </c>
      <c r="B583" s="950" t="s">
        <v>5315</v>
      </c>
      <c r="C583" s="907" t="s">
        <v>5316</v>
      </c>
      <c r="D583" s="950">
        <v>2008</v>
      </c>
      <c r="E583" s="950">
        <v>0</v>
      </c>
      <c r="F583" s="950">
        <v>778</v>
      </c>
      <c r="G583" s="950">
        <v>0</v>
      </c>
      <c r="H583" s="950">
        <v>5885</v>
      </c>
      <c r="I583" s="950">
        <v>0</v>
      </c>
      <c r="J583" s="950">
        <v>0</v>
      </c>
      <c r="K583" s="950" t="s">
        <v>5317</v>
      </c>
      <c r="L583" s="911">
        <v>14.4</v>
      </c>
      <c r="M583" s="911"/>
      <c r="N583" s="911"/>
      <c r="O583" s="911"/>
      <c r="P583" s="911">
        <v>3.72</v>
      </c>
      <c r="Q583" s="911"/>
      <c r="R583" s="951"/>
      <c r="S583" s="920">
        <v>2.13</v>
      </c>
      <c r="T583" s="952">
        <f t="shared" si="21"/>
        <v>20.25</v>
      </c>
      <c r="U583" s="622"/>
      <c r="V583" s="615"/>
    </row>
    <row r="584" spans="1:23" ht="15">
      <c r="A584" s="949">
        <v>19469313</v>
      </c>
      <c r="B584" s="950" t="s">
        <v>5318</v>
      </c>
      <c r="C584" s="927" t="s">
        <v>5358</v>
      </c>
      <c r="D584" s="950">
        <v>2011</v>
      </c>
      <c r="E584" s="950">
        <v>0</v>
      </c>
      <c r="F584" s="950">
        <v>0</v>
      </c>
      <c r="G584" s="950">
        <v>0</v>
      </c>
      <c r="H584" s="950">
        <v>116997</v>
      </c>
      <c r="I584" s="950">
        <v>1</v>
      </c>
      <c r="J584" s="950">
        <v>0</v>
      </c>
      <c r="K584" s="950" t="s">
        <v>5309</v>
      </c>
      <c r="L584" s="911">
        <v>27.54</v>
      </c>
      <c r="M584" s="911"/>
      <c r="N584" s="911"/>
      <c r="O584" s="911"/>
      <c r="P584" s="911">
        <v>8.68</v>
      </c>
      <c r="Q584" s="911"/>
      <c r="R584" s="951"/>
      <c r="S584" s="920">
        <v>4.2</v>
      </c>
      <c r="T584" s="952">
        <f t="shared" si="21"/>
        <v>40.42</v>
      </c>
      <c r="U584" s="622"/>
      <c r="V584" s="615"/>
    </row>
    <row r="585" spans="1:23" ht="15">
      <c r="A585" s="949">
        <v>19482716</v>
      </c>
      <c r="B585" s="950" t="s">
        <v>5298</v>
      </c>
      <c r="C585" s="907" t="s">
        <v>5320</v>
      </c>
      <c r="D585" s="950">
        <v>2011</v>
      </c>
      <c r="E585" s="950">
        <v>92</v>
      </c>
      <c r="F585" s="950">
        <v>0</v>
      </c>
      <c r="G585" s="950">
        <v>0</v>
      </c>
      <c r="H585" s="950">
        <v>25388</v>
      </c>
      <c r="I585" s="950">
        <v>2</v>
      </c>
      <c r="J585" s="950">
        <v>0</v>
      </c>
      <c r="K585" s="950" t="s">
        <v>5241</v>
      </c>
      <c r="L585" s="911">
        <v>204.08</v>
      </c>
      <c r="M585" s="911"/>
      <c r="N585" s="911"/>
      <c r="O585" s="911"/>
      <c r="P585" s="911">
        <v>8.68</v>
      </c>
      <c r="Q585" s="911"/>
      <c r="R585" s="951"/>
      <c r="S585" s="920">
        <v>26.87</v>
      </c>
      <c r="T585" s="952">
        <f t="shared" si="21"/>
        <v>239.63000000000002</v>
      </c>
      <c r="U585" s="622"/>
      <c r="V585" s="615"/>
    </row>
    <row r="586" spans="1:23" ht="15">
      <c r="A586" s="949">
        <v>19488216</v>
      </c>
      <c r="B586" s="950" t="s">
        <v>5322</v>
      </c>
      <c r="C586" s="907" t="s">
        <v>5323</v>
      </c>
      <c r="D586" s="950">
        <v>2011</v>
      </c>
      <c r="E586" s="950">
        <v>0</v>
      </c>
      <c r="F586" s="950">
        <v>0</v>
      </c>
      <c r="G586" s="950">
        <v>0</v>
      </c>
      <c r="H586" s="950">
        <v>116997</v>
      </c>
      <c r="I586" s="950">
        <v>1</v>
      </c>
      <c r="J586" s="950">
        <v>0</v>
      </c>
      <c r="K586" s="950" t="s">
        <v>5309</v>
      </c>
      <c r="L586" s="911">
        <v>26.15</v>
      </c>
      <c r="M586" s="911">
        <v>102.97</v>
      </c>
      <c r="N586" s="911">
        <v>536.64</v>
      </c>
      <c r="O586" s="911"/>
      <c r="P586" s="911">
        <v>8.68</v>
      </c>
      <c r="Q586" s="911">
        <v>72.09</v>
      </c>
      <c r="R586" s="951"/>
      <c r="S586" s="920">
        <v>92.97</v>
      </c>
      <c r="T586" s="952">
        <f t="shared" si="21"/>
        <v>839.5</v>
      </c>
      <c r="U586" s="622"/>
      <c r="V586" s="615"/>
    </row>
    <row r="587" spans="1:23" ht="15">
      <c r="A587" s="949">
        <v>19057412</v>
      </c>
      <c r="B587" s="950" t="s">
        <v>5330</v>
      </c>
      <c r="C587" s="907" t="s">
        <v>5331</v>
      </c>
      <c r="D587" s="950">
        <v>2000</v>
      </c>
      <c r="E587" s="950">
        <v>0</v>
      </c>
      <c r="F587" s="950">
        <v>0</v>
      </c>
      <c r="G587" s="950">
        <v>0</v>
      </c>
      <c r="H587" s="950">
        <v>24789</v>
      </c>
      <c r="I587" s="950">
        <v>0</v>
      </c>
      <c r="J587" s="950">
        <v>0</v>
      </c>
      <c r="K587" s="950" t="s">
        <v>5332</v>
      </c>
      <c r="L587" s="911">
        <v>61.06</v>
      </c>
      <c r="M587" s="911"/>
      <c r="N587" s="911"/>
      <c r="O587" s="911"/>
      <c r="P587" s="911">
        <v>8.68</v>
      </c>
      <c r="Q587" s="911"/>
      <c r="R587" s="951"/>
      <c r="S587" s="920">
        <v>8.49</v>
      </c>
      <c r="T587" s="952">
        <f t="shared" si="21"/>
        <v>78.23</v>
      </c>
      <c r="U587" s="622"/>
      <c r="V587" s="615"/>
    </row>
    <row r="588" spans="1:23" ht="15">
      <c r="A588" s="949">
        <v>19677178</v>
      </c>
      <c r="B588" s="921" t="s">
        <v>5333</v>
      </c>
      <c r="C588" s="907" t="s">
        <v>5334</v>
      </c>
      <c r="D588" s="950"/>
      <c r="E588" s="950"/>
      <c r="F588" s="950"/>
      <c r="G588" s="950"/>
      <c r="H588" s="950"/>
      <c r="I588" s="950"/>
      <c r="J588" s="950"/>
      <c r="K588" s="950" t="s">
        <v>5335</v>
      </c>
      <c r="L588" s="911">
        <v>27.54</v>
      </c>
      <c r="M588" s="911"/>
      <c r="N588" s="911"/>
      <c r="O588" s="911"/>
      <c r="P588" s="911">
        <v>8.68</v>
      </c>
      <c r="Q588" s="911"/>
      <c r="R588" s="951"/>
      <c r="S588" s="920">
        <v>4.2</v>
      </c>
      <c r="T588" s="952">
        <f t="shared" si="21"/>
        <v>40.42</v>
      </c>
      <c r="U588" s="622"/>
      <c r="V588" s="615"/>
    </row>
    <row r="589" spans="1:23" ht="15">
      <c r="A589" s="949">
        <v>19770680</v>
      </c>
      <c r="B589" s="955" t="s">
        <v>5363</v>
      </c>
      <c r="C589" s="927" t="s">
        <v>5364</v>
      </c>
      <c r="D589" s="950"/>
      <c r="E589" s="950"/>
      <c r="F589" s="950"/>
      <c r="G589" s="950"/>
      <c r="H589" s="950"/>
      <c r="I589" s="950"/>
      <c r="J589" s="950"/>
      <c r="K589" s="955"/>
      <c r="L589" s="911">
        <v>322.62</v>
      </c>
      <c r="M589" s="911">
        <v>20.2</v>
      </c>
      <c r="N589" s="911"/>
      <c r="O589" s="911">
        <v>24.79</v>
      </c>
      <c r="P589" s="911">
        <v>8.68</v>
      </c>
      <c r="Q589" s="911">
        <v>14.13</v>
      </c>
      <c r="R589" s="951"/>
      <c r="S589" s="920">
        <v>49.51</v>
      </c>
      <c r="T589" s="952">
        <f t="shared" si="21"/>
        <v>439.93</v>
      </c>
      <c r="U589" s="622"/>
      <c r="V589" s="615"/>
    </row>
    <row r="590" spans="1:23" ht="15">
      <c r="A590" s="949">
        <v>19776374</v>
      </c>
      <c r="B590" s="955" t="s">
        <v>5282</v>
      </c>
      <c r="C590" s="927" t="s">
        <v>5365</v>
      </c>
      <c r="D590" s="950"/>
      <c r="E590" s="950"/>
      <c r="F590" s="950"/>
      <c r="G590" s="950"/>
      <c r="H590" s="950"/>
      <c r="I590" s="950"/>
      <c r="J590" s="950"/>
      <c r="K590" s="955"/>
      <c r="L590" s="911">
        <v>219.52</v>
      </c>
      <c r="M590" s="911"/>
      <c r="N590" s="911"/>
      <c r="O590" s="911"/>
      <c r="P590" s="911">
        <v>8.68</v>
      </c>
      <c r="Q590" s="911"/>
      <c r="R590" s="951"/>
      <c r="S590" s="920">
        <v>28.86</v>
      </c>
      <c r="T590" s="952">
        <f t="shared" si="21"/>
        <v>257.06</v>
      </c>
      <c r="U590" s="622"/>
      <c r="V590" s="615"/>
    </row>
    <row r="591" spans="1:23" ht="15">
      <c r="A591" s="949">
        <v>19774565</v>
      </c>
      <c r="B591" s="955" t="s">
        <v>5366</v>
      </c>
      <c r="C591" s="927" t="s">
        <v>5367</v>
      </c>
      <c r="D591" s="950"/>
      <c r="E591" s="950"/>
      <c r="F591" s="950"/>
      <c r="G591" s="950"/>
      <c r="H591" s="950"/>
      <c r="I591" s="950"/>
      <c r="J591" s="950"/>
      <c r="K591" s="955"/>
      <c r="L591" s="911">
        <v>208.85</v>
      </c>
      <c r="M591" s="911">
        <v>18.64</v>
      </c>
      <c r="N591" s="911"/>
      <c r="O591" s="911">
        <v>24.79</v>
      </c>
      <c r="P591" s="911">
        <v>8.68</v>
      </c>
      <c r="Q591" s="911">
        <v>14.9</v>
      </c>
      <c r="R591" s="951"/>
      <c r="S591" s="920">
        <v>34.78</v>
      </c>
      <c r="T591" s="952">
        <f t="shared" si="21"/>
        <v>310.64</v>
      </c>
      <c r="U591" s="622"/>
      <c r="V591" s="608"/>
    </row>
    <row r="592" spans="1:23" ht="15">
      <c r="A592" s="949">
        <v>19814661</v>
      </c>
      <c r="B592" s="955" t="s">
        <v>5371</v>
      </c>
      <c r="C592" s="927" t="s">
        <v>5372</v>
      </c>
      <c r="D592" s="950"/>
      <c r="E592" s="950"/>
      <c r="F592" s="950"/>
      <c r="G592" s="950"/>
      <c r="H592" s="950"/>
      <c r="I592" s="950"/>
      <c r="J592" s="950"/>
      <c r="K592" s="955"/>
      <c r="L592" s="911">
        <v>343.11</v>
      </c>
      <c r="M592" s="911"/>
      <c r="N592" s="911"/>
      <c r="O592" s="911"/>
      <c r="P592" s="911">
        <v>8.68</v>
      </c>
      <c r="Q592" s="911"/>
      <c r="R592" s="951"/>
      <c r="S592" s="920">
        <v>44.74</v>
      </c>
      <c r="T592" s="952">
        <f t="shared" si="21"/>
        <v>396.53000000000003</v>
      </c>
      <c r="U592" s="622"/>
      <c r="V592" s="615"/>
    </row>
    <row r="593" spans="1:23" ht="15">
      <c r="A593" s="949">
        <v>19828023</v>
      </c>
      <c r="B593" s="955" t="s">
        <v>5291</v>
      </c>
      <c r="C593" s="927" t="s">
        <v>5373</v>
      </c>
      <c r="D593" s="950"/>
      <c r="E593" s="950"/>
      <c r="F593" s="950"/>
      <c r="G593" s="950"/>
      <c r="H593" s="950"/>
      <c r="I593" s="950"/>
      <c r="J593" s="950"/>
      <c r="K593" s="955"/>
      <c r="L593" s="911">
        <v>173.23</v>
      </c>
      <c r="M593" s="911">
        <v>10.63</v>
      </c>
      <c r="N593" s="911"/>
      <c r="O593" s="911">
        <v>24.19</v>
      </c>
      <c r="P593" s="911">
        <v>8.68</v>
      </c>
      <c r="Q593" s="911">
        <v>7.46</v>
      </c>
      <c r="R593" s="951"/>
      <c r="S593" s="920">
        <v>28.19</v>
      </c>
      <c r="T593" s="952">
        <f t="shared" si="21"/>
        <v>252.38</v>
      </c>
      <c r="U593" s="622"/>
      <c r="V593" s="615"/>
    </row>
    <row r="594" spans="1:23" ht="15">
      <c r="A594" s="949">
        <v>19805234</v>
      </c>
      <c r="B594" s="955" t="s">
        <v>5374</v>
      </c>
      <c r="C594" s="927" t="s">
        <v>5375</v>
      </c>
      <c r="D594" s="950"/>
      <c r="E594" s="950"/>
      <c r="F594" s="950"/>
      <c r="G594" s="950"/>
      <c r="H594" s="950"/>
      <c r="I594" s="950"/>
      <c r="J594" s="950"/>
      <c r="K594" s="955"/>
      <c r="L594" s="911">
        <v>61.06</v>
      </c>
      <c r="M594" s="911"/>
      <c r="N594" s="911"/>
      <c r="O594" s="911"/>
      <c r="P594" s="911">
        <v>8.68</v>
      </c>
      <c r="Q594" s="911"/>
      <c r="R594" s="951"/>
      <c r="S594" s="920">
        <v>8.49</v>
      </c>
      <c r="T594" s="952">
        <f t="shared" si="21"/>
        <v>78.23</v>
      </c>
      <c r="U594" s="622"/>
      <c r="V594" s="608"/>
    </row>
    <row r="595" spans="1:23" ht="15">
      <c r="A595" s="949">
        <v>19602525</v>
      </c>
      <c r="B595" s="950" t="s">
        <v>5345</v>
      </c>
      <c r="C595" s="907" t="s">
        <v>5346</v>
      </c>
      <c r="D595" s="950"/>
      <c r="E595" s="950"/>
      <c r="F595" s="950"/>
      <c r="G595" s="950"/>
      <c r="H595" s="950"/>
      <c r="I595" s="950"/>
      <c r="J595" s="950"/>
      <c r="K595" s="950" t="s">
        <v>5347</v>
      </c>
      <c r="L595" s="911">
        <v>160.61000000000001</v>
      </c>
      <c r="M595" s="911">
        <v>13.19</v>
      </c>
      <c r="N595" s="911"/>
      <c r="O595" s="911">
        <v>24.79</v>
      </c>
      <c r="P595" s="911">
        <v>8.68</v>
      </c>
      <c r="Q595" s="911">
        <v>9.25</v>
      </c>
      <c r="R595" s="951"/>
      <c r="S595" s="920">
        <v>27.19</v>
      </c>
      <c r="T595" s="952">
        <f t="shared" si="21"/>
        <v>243.71</v>
      </c>
      <c r="U595" s="622"/>
      <c r="V595" s="615"/>
    </row>
    <row r="596" spans="1:23" ht="15">
      <c r="A596" s="949">
        <v>19602527</v>
      </c>
      <c r="B596" s="950" t="s">
        <v>5345</v>
      </c>
      <c r="C596" s="907" t="s">
        <v>5348</v>
      </c>
      <c r="D596" s="950"/>
      <c r="E596" s="950"/>
      <c r="F596" s="950"/>
      <c r="G596" s="950"/>
      <c r="H596" s="950"/>
      <c r="I596" s="950"/>
      <c r="J596" s="950"/>
      <c r="K596" s="950" t="s">
        <v>5347</v>
      </c>
      <c r="L596" s="911">
        <v>125.7</v>
      </c>
      <c r="M596" s="911">
        <v>13.19</v>
      </c>
      <c r="N596" s="911"/>
      <c r="O596" s="911">
        <v>24.79</v>
      </c>
      <c r="P596" s="911">
        <v>8.68</v>
      </c>
      <c r="Q596" s="911">
        <v>9.25</v>
      </c>
      <c r="R596" s="951"/>
      <c r="S596" s="920">
        <v>22.71</v>
      </c>
      <c r="T596" s="952">
        <f>SUM(L596:S596)</f>
        <v>204.32000000000002</v>
      </c>
      <c r="U596" s="622"/>
      <c r="V596" s="615"/>
    </row>
    <row r="597" spans="1:23" ht="15">
      <c r="A597" s="949"/>
      <c r="B597" s="950"/>
      <c r="C597" s="907"/>
      <c r="D597" s="950"/>
      <c r="E597" s="950"/>
      <c r="F597" s="950"/>
      <c r="G597" s="950"/>
      <c r="H597" s="950"/>
      <c r="I597" s="950"/>
      <c r="J597" s="950"/>
      <c r="K597" s="950"/>
      <c r="L597" s="911"/>
      <c r="M597" s="911"/>
      <c r="N597" s="911"/>
      <c r="O597" s="911"/>
      <c r="P597" s="911"/>
      <c r="Q597" s="911"/>
      <c r="R597" s="951"/>
      <c r="S597" s="920"/>
      <c r="T597" s="952"/>
      <c r="U597" s="622"/>
      <c r="V597" s="608"/>
    </row>
    <row r="598" spans="1:23" ht="15">
      <c r="A598" s="2517" t="s">
        <v>5339</v>
      </c>
      <c r="B598" s="2518"/>
      <c r="C598" s="2519"/>
      <c r="D598" s="2518"/>
      <c r="E598" s="2518"/>
      <c r="F598" s="2518"/>
      <c r="G598" s="2518"/>
      <c r="H598" s="2518"/>
      <c r="I598" s="2518"/>
      <c r="J598" s="2518"/>
      <c r="K598" s="2520" t="s">
        <v>5391</v>
      </c>
      <c r="L598" s="2521"/>
      <c r="M598" s="2521"/>
      <c r="N598" s="2521"/>
      <c r="O598" s="2521"/>
      <c r="P598" s="2521"/>
      <c r="Q598" s="2521"/>
      <c r="R598" s="2522"/>
      <c r="S598" s="2523"/>
      <c r="T598" s="2524"/>
      <c r="U598" s="621">
        <f>SUM(T599:T600)</f>
        <v>370.96</v>
      </c>
      <c r="V598" s="621"/>
      <c r="W598" s="621"/>
    </row>
    <row r="599" spans="1:23" ht="15">
      <c r="A599" s="949">
        <v>19046300</v>
      </c>
      <c r="B599" s="950" t="s">
        <v>5341</v>
      </c>
      <c r="C599" s="907" t="s">
        <v>5228</v>
      </c>
      <c r="D599" s="950">
        <v>1999</v>
      </c>
      <c r="E599" s="950">
        <v>0</v>
      </c>
      <c r="F599" s="950">
        <v>0</v>
      </c>
      <c r="G599" s="950">
        <v>2000</v>
      </c>
      <c r="H599" s="950">
        <v>7437</v>
      </c>
      <c r="I599" s="950">
        <v>0</v>
      </c>
      <c r="J599" s="950">
        <v>0</v>
      </c>
      <c r="K599" s="950" t="s">
        <v>5238</v>
      </c>
      <c r="L599" s="911">
        <v>12.99</v>
      </c>
      <c r="M599" s="911"/>
      <c r="N599" s="911"/>
      <c r="O599" s="911"/>
      <c r="P599" s="911"/>
      <c r="Q599" s="911"/>
      <c r="R599" s="951"/>
      <c r="S599" s="920">
        <v>1.67</v>
      </c>
      <c r="T599" s="952">
        <f>SUM(L599:S599)</f>
        <v>14.66</v>
      </c>
      <c r="U599" s="622"/>
      <c r="V599" s="621"/>
      <c r="W599" s="617"/>
    </row>
    <row r="600" spans="1:23" ht="15">
      <c r="A600" s="949">
        <v>19546172</v>
      </c>
      <c r="B600" s="950" t="s">
        <v>5342</v>
      </c>
      <c r="C600" s="907" t="s">
        <v>5343</v>
      </c>
      <c r="D600" s="950">
        <v>2013</v>
      </c>
      <c r="E600" s="950">
        <v>110</v>
      </c>
      <c r="F600" s="950">
        <v>0</v>
      </c>
      <c r="G600" s="950">
        <v>0</v>
      </c>
      <c r="H600" s="950">
        <v>24051</v>
      </c>
      <c r="I600" s="950">
        <v>6</v>
      </c>
      <c r="J600" s="950">
        <v>1</v>
      </c>
      <c r="K600" s="950" t="s">
        <v>5241</v>
      </c>
      <c r="L600" s="911">
        <v>307.45999999999998</v>
      </c>
      <c r="M600" s="911"/>
      <c r="N600" s="911"/>
      <c r="O600" s="911"/>
      <c r="P600" s="911">
        <v>8.68</v>
      </c>
      <c r="Q600" s="911"/>
      <c r="R600" s="951"/>
      <c r="S600" s="920">
        <v>40.159999999999997</v>
      </c>
      <c r="T600" s="952">
        <f>SUM(L600:S600)</f>
        <v>356.29999999999995</v>
      </c>
      <c r="U600" s="622"/>
      <c r="V600" s="621"/>
      <c r="W600" s="617"/>
    </row>
    <row r="601" spans="1:23" ht="15">
      <c r="A601" s="949"/>
      <c r="B601" s="950"/>
      <c r="C601" s="907"/>
      <c r="D601" s="950"/>
      <c r="E601" s="950"/>
      <c r="F601" s="950"/>
      <c r="G601" s="950"/>
      <c r="H601" s="950"/>
      <c r="I601" s="950"/>
      <c r="J601" s="950"/>
      <c r="K601" s="950"/>
      <c r="L601" s="911"/>
      <c r="M601" s="911"/>
      <c r="N601" s="911"/>
      <c r="O601" s="911"/>
      <c r="P601" s="911"/>
      <c r="Q601" s="911"/>
      <c r="R601" s="951"/>
      <c r="S601" s="920"/>
      <c r="T601" s="952"/>
      <c r="U601" s="622"/>
      <c r="V601" s="617"/>
      <c r="W601" s="617"/>
    </row>
    <row r="602" spans="1:23" ht="15.75" thickBot="1">
      <c r="A602" s="949"/>
      <c r="B602" s="950"/>
      <c r="C602" s="907"/>
      <c r="D602" s="950"/>
      <c r="E602" s="950"/>
      <c r="F602" s="950"/>
      <c r="G602" s="950"/>
      <c r="H602" s="950"/>
      <c r="I602" s="950"/>
      <c r="J602" s="950"/>
      <c r="K602" s="950"/>
      <c r="L602" s="911"/>
      <c r="M602" s="911"/>
      <c r="N602" s="911"/>
      <c r="O602" s="911"/>
      <c r="P602" s="911"/>
      <c r="Q602" s="911"/>
      <c r="R602" s="951"/>
      <c r="S602" s="920"/>
      <c r="T602" s="952"/>
      <c r="U602" s="622"/>
      <c r="V602" s="617"/>
      <c r="W602" s="617"/>
    </row>
    <row r="603" spans="1:23" ht="15.75" thickBot="1">
      <c r="A603" s="957"/>
      <c r="B603" s="957"/>
      <c r="C603" s="958"/>
      <c r="D603" s="957"/>
      <c r="E603" s="957"/>
      <c r="F603" s="957"/>
      <c r="G603" s="957"/>
      <c r="H603" s="957"/>
      <c r="I603" s="957"/>
      <c r="J603" s="957"/>
      <c r="K603" s="957"/>
      <c r="L603" s="2502">
        <f t="shared" ref="L603:U603" si="22">SUM(L525:L602)</f>
        <v>8325.9299999999967</v>
      </c>
      <c r="M603" s="2502">
        <f t="shared" si="22"/>
        <v>1440.3200000000006</v>
      </c>
      <c r="N603" s="2502">
        <f t="shared" si="22"/>
        <v>4328.47</v>
      </c>
      <c r="O603" s="2502">
        <f t="shared" si="22"/>
        <v>872.92999999999984</v>
      </c>
      <c r="P603" s="2502">
        <f t="shared" si="22"/>
        <v>430.23000000000025</v>
      </c>
      <c r="Q603" s="2502">
        <f t="shared" si="22"/>
        <v>1323.9700000000003</v>
      </c>
      <c r="R603" s="2502">
        <f t="shared" si="22"/>
        <v>31.85</v>
      </c>
      <c r="S603" s="2502">
        <f t="shared" si="22"/>
        <v>2403.3199999999997</v>
      </c>
      <c r="T603" s="2502">
        <f t="shared" si="22"/>
        <v>19157.019999999997</v>
      </c>
      <c r="U603" s="3536">
        <f t="shared" si="22"/>
        <v>19157.019999999997</v>
      </c>
      <c r="V603" s="3535"/>
      <c r="W603" s="621"/>
    </row>
    <row r="604" spans="1:23">
      <c r="V604" s="608"/>
    </row>
    <row r="607" spans="1:23">
      <c r="B607" s="610" t="s">
        <v>8133</v>
      </c>
    </row>
    <row r="608" spans="1:23" ht="13.5" thickBot="1"/>
    <row r="609" spans="1:23" ht="15.75" thickBot="1">
      <c r="A609" s="4894" t="s">
        <v>5206</v>
      </c>
      <c r="B609" s="4895"/>
      <c r="C609" s="4895"/>
      <c r="D609" s="4895"/>
      <c r="E609" s="4895"/>
      <c r="F609" s="4895"/>
      <c r="G609" s="4895"/>
      <c r="H609" s="4895"/>
      <c r="I609" s="4895"/>
      <c r="J609" s="4895"/>
      <c r="K609" s="4895"/>
      <c r="L609" s="4896" t="s">
        <v>5207</v>
      </c>
      <c r="M609" s="4897"/>
      <c r="N609" s="4897"/>
      <c r="O609" s="4897"/>
      <c r="P609" s="4897"/>
      <c r="Q609" s="4897"/>
      <c r="R609" s="4898"/>
      <c r="S609" s="617"/>
      <c r="T609" s="941"/>
      <c r="U609" s="622"/>
      <c r="V609" s="610" t="s">
        <v>5377</v>
      </c>
    </row>
    <row r="610" spans="1:23" ht="30">
      <c r="A610" s="2494" t="s">
        <v>5208</v>
      </c>
      <c r="B610" s="2495" t="s">
        <v>5209</v>
      </c>
      <c r="C610" s="2495" t="s">
        <v>5210</v>
      </c>
      <c r="D610" s="2495" t="s">
        <v>634</v>
      </c>
      <c r="E610" s="2495" t="s">
        <v>5211</v>
      </c>
      <c r="F610" s="2495" t="s">
        <v>5212</v>
      </c>
      <c r="G610" s="2495" t="s">
        <v>5213</v>
      </c>
      <c r="H610" s="2496" t="s">
        <v>5214</v>
      </c>
      <c r="I610" s="2495" t="s">
        <v>5215</v>
      </c>
      <c r="J610" s="2495" t="s">
        <v>5216</v>
      </c>
      <c r="K610" s="2495" t="s">
        <v>5217</v>
      </c>
      <c r="L610" s="2497" t="s">
        <v>5218</v>
      </c>
      <c r="M610" s="2497" t="s">
        <v>5219</v>
      </c>
      <c r="N610" s="2497" t="s">
        <v>5220</v>
      </c>
      <c r="O610" s="2497" t="s">
        <v>5221</v>
      </c>
      <c r="P610" s="2498" t="s">
        <v>5222</v>
      </c>
      <c r="Q610" s="2497" t="s">
        <v>5223</v>
      </c>
      <c r="R610" s="2499" t="s">
        <v>5224</v>
      </c>
      <c r="S610" s="2500" t="s">
        <v>5225</v>
      </c>
      <c r="T610" s="2501" t="s">
        <v>8</v>
      </c>
      <c r="U610" s="622"/>
    </row>
    <row r="611" spans="1:23" ht="15">
      <c r="A611" s="942"/>
      <c r="B611" s="944"/>
      <c r="C611" s="943"/>
      <c r="D611" s="944"/>
      <c r="E611" s="944"/>
      <c r="F611" s="944"/>
      <c r="G611" s="944"/>
      <c r="H611" s="945"/>
      <c r="I611" s="944"/>
      <c r="J611" s="944"/>
      <c r="K611" s="944"/>
      <c r="L611" s="946"/>
      <c r="M611" s="946"/>
      <c r="N611" s="946"/>
      <c r="O611" s="946"/>
      <c r="P611" s="946"/>
      <c r="Q611" s="946"/>
      <c r="R611" s="947"/>
      <c r="S611" s="920"/>
      <c r="T611" s="948"/>
      <c r="U611" s="622"/>
      <c r="V611" s="608"/>
    </row>
    <row r="612" spans="1:23" ht="15">
      <c r="A612" s="2516" t="s">
        <v>4743</v>
      </c>
      <c r="B612" s="2525"/>
      <c r="C612" s="2526"/>
      <c r="D612" s="2525"/>
      <c r="E612" s="2525"/>
      <c r="F612" s="2525"/>
      <c r="G612" s="2525"/>
      <c r="H612" s="2527"/>
      <c r="I612" s="2525"/>
      <c r="J612" s="2525"/>
      <c r="K612" s="2526" t="s">
        <v>5378</v>
      </c>
      <c r="L612" s="2528"/>
      <c r="M612" s="2528"/>
      <c r="N612" s="2528"/>
      <c r="O612" s="2528"/>
      <c r="P612" s="2528"/>
      <c r="Q612" s="2528"/>
      <c r="R612" s="2529"/>
      <c r="S612" s="2523"/>
      <c r="T612" s="2530"/>
      <c r="U612" s="621">
        <f>SUM(T613:T614)</f>
        <v>6332.57</v>
      </c>
      <c r="V612" s="615"/>
      <c r="W612" s="615"/>
    </row>
    <row r="613" spans="1:23" ht="15">
      <c r="A613" s="953">
        <v>19957529</v>
      </c>
      <c r="B613" s="3533" t="s">
        <v>7192</v>
      </c>
      <c r="C613" s="3534" t="s">
        <v>7193</v>
      </c>
      <c r="D613" s="954">
        <v>2020</v>
      </c>
      <c r="E613" s="954"/>
      <c r="F613" s="954"/>
      <c r="G613" s="954"/>
      <c r="H613" s="954"/>
      <c r="I613" s="954"/>
      <c r="J613" s="954"/>
      <c r="K613" s="3533" t="s">
        <v>7194</v>
      </c>
      <c r="L613" s="916">
        <v>237.27</v>
      </c>
      <c r="M613" s="916">
        <v>109.42</v>
      </c>
      <c r="N613" s="916">
        <v>462.79</v>
      </c>
      <c r="O613" s="916"/>
      <c r="P613" s="916">
        <v>14.87</v>
      </c>
      <c r="Q613" s="916">
        <v>36.47</v>
      </c>
      <c r="R613" s="951">
        <v>31.85</v>
      </c>
      <c r="S613" s="920">
        <v>152.4</v>
      </c>
      <c r="T613" s="952">
        <f>SUM(L613:S613)</f>
        <v>1045.0700000000002</v>
      </c>
      <c r="U613" s="622"/>
      <c r="V613" s="615"/>
    </row>
    <row r="614" spans="1:23" ht="15">
      <c r="A614" s="953"/>
      <c r="B614" s="954" t="s">
        <v>5233</v>
      </c>
      <c r="C614" s="914"/>
      <c r="D614" s="954"/>
      <c r="E614" s="954"/>
      <c r="F614" s="954"/>
      <c r="G614" s="954"/>
      <c r="H614" s="954"/>
      <c r="I614" s="954"/>
      <c r="J614" s="954"/>
      <c r="K614" s="954" t="s">
        <v>5234</v>
      </c>
      <c r="L614" s="916"/>
      <c r="M614" s="916">
        <v>700</v>
      </c>
      <c r="N614" s="916">
        <v>2400</v>
      </c>
      <c r="O614" s="916">
        <v>700</v>
      </c>
      <c r="P614" s="916"/>
      <c r="Q614" s="916">
        <v>700</v>
      </c>
      <c r="R614" s="951"/>
      <c r="S614" s="920">
        <v>787.5</v>
      </c>
      <c r="T614" s="952">
        <f>SUM(L614:S614)</f>
        <v>5287.5</v>
      </c>
      <c r="U614" s="622"/>
      <c r="V614" s="608"/>
    </row>
    <row r="615" spans="1:23" ht="15">
      <c r="A615" s="953"/>
      <c r="B615" s="954"/>
      <c r="C615" s="914"/>
      <c r="D615" s="954"/>
      <c r="E615" s="954"/>
      <c r="F615" s="954"/>
      <c r="G615" s="954"/>
      <c r="H615" s="954"/>
      <c r="I615" s="954"/>
      <c r="J615" s="954"/>
      <c r="K615" s="954"/>
      <c r="L615" s="916"/>
      <c r="M615" s="916"/>
      <c r="N615" s="916"/>
      <c r="O615" s="916"/>
      <c r="P615" s="916"/>
      <c r="Q615" s="916"/>
      <c r="R615" s="951"/>
      <c r="S615" s="920"/>
      <c r="T615" s="952"/>
      <c r="U615" s="622"/>
      <c r="V615" s="608"/>
    </row>
    <row r="616" spans="1:23" ht="15">
      <c r="A616" s="953"/>
      <c r="B616" s="954"/>
      <c r="C616" s="914"/>
      <c r="D616" s="954"/>
      <c r="E616" s="954"/>
      <c r="F616" s="954"/>
      <c r="G616" s="954"/>
      <c r="H616" s="954"/>
      <c r="I616" s="954"/>
      <c r="J616" s="954"/>
      <c r="K616" s="954"/>
      <c r="L616" s="916"/>
      <c r="M616" s="916"/>
      <c r="N616" s="916"/>
      <c r="O616" s="916"/>
      <c r="P616" s="916"/>
      <c r="Q616" s="916"/>
      <c r="R616" s="951"/>
      <c r="S616" s="920"/>
      <c r="T616" s="952"/>
      <c r="U616" s="622"/>
      <c r="V616" s="608"/>
    </row>
    <row r="617" spans="1:23" ht="15">
      <c r="A617" s="2517" t="s">
        <v>5235</v>
      </c>
      <c r="B617" s="2518"/>
      <c r="C617" s="2519"/>
      <c r="D617" s="2518"/>
      <c r="E617" s="2518"/>
      <c r="F617" s="2518"/>
      <c r="G617" s="2518"/>
      <c r="H617" s="2518"/>
      <c r="I617" s="2518"/>
      <c r="J617" s="2518"/>
      <c r="K617" s="2520" t="s">
        <v>5379</v>
      </c>
      <c r="L617" s="2521"/>
      <c r="M617" s="2521"/>
      <c r="N617" s="2521"/>
      <c r="O617" s="2521"/>
      <c r="P617" s="2521"/>
      <c r="Q617" s="2521"/>
      <c r="R617" s="2522"/>
      <c r="S617" s="2523"/>
      <c r="T617" s="2524"/>
      <c r="U617" s="621">
        <f>SUM(T618:T659)</f>
        <v>8011.7199999999993</v>
      </c>
      <c r="V617" s="615"/>
      <c r="W617" s="615"/>
    </row>
    <row r="618" spans="1:23" ht="15">
      <c r="A618" s="949">
        <v>19938474</v>
      </c>
      <c r="B618" s="960" t="s">
        <v>7190</v>
      </c>
      <c r="C618" s="961" t="s">
        <v>7191</v>
      </c>
      <c r="D618" s="950">
        <v>2020</v>
      </c>
      <c r="E618" s="950">
        <v>0</v>
      </c>
      <c r="F618" s="950">
        <v>0</v>
      </c>
      <c r="G618" s="950">
        <v>0</v>
      </c>
      <c r="H618" s="950">
        <v>0</v>
      </c>
      <c r="I618" s="950">
        <v>0</v>
      </c>
      <c r="J618" s="950">
        <v>0</v>
      </c>
      <c r="K618" s="950" t="s">
        <v>5238</v>
      </c>
      <c r="L618" s="911">
        <v>12.99</v>
      </c>
      <c r="M618" s="911"/>
      <c r="N618" s="911"/>
      <c r="O618" s="911"/>
      <c r="P618" s="911"/>
      <c r="Q618" s="911"/>
      <c r="R618" s="951"/>
      <c r="S618" s="920">
        <v>1.67</v>
      </c>
      <c r="T618" s="952">
        <f t="shared" ref="T618:T658" si="23">SUM(L618:S618)</f>
        <v>14.66</v>
      </c>
      <c r="U618" s="621"/>
      <c r="V618" s="615"/>
    </row>
    <row r="619" spans="1:23" ht="15">
      <c r="A619" s="949">
        <v>19743702</v>
      </c>
      <c r="B619" s="955" t="s">
        <v>5350</v>
      </c>
      <c r="C619" s="927" t="s">
        <v>5351</v>
      </c>
      <c r="D619" s="950"/>
      <c r="E619" s="950"/>
      <c r="F619" s="950"/>
      <c r="G619" s="950"/>
      <c r="H619" s="950"/>
      <c r="I619" s="950"/>
      <c r="J619" s="950"/>
      <c r="K619" s="950" t="s">
        <v>5238</v>
      </c>
      <c r="L619" s="911">
        <v>16.559999999999999</v>
      </c>
      <c r="M619" s="911"/>
      <c r="N619" s="911"/>
      <c r="O619" s="911"/>
      <c r="P619" s="911"/>
      <c r="Q619" s="911"/>
      <c r="R619" s="951"/>
      <c r="S619" s="920">
        <v>2.13</v>
      </c>
      <c r="T619" s="952">
        <f t="shared" si="23"/>
        <v>18.689999999999998</v>
      </c>
      <c r="U619" s="622"/>
      <c r="V619" s="608"/>
    </row>
    <row r="620" spans="1:23" ht="15">
      <c r="A620" s="949">
        <v>2302144</v>
      </c>
      <c r="B620" s="950" t="s">
        <v>5239</v>
      </c>
      <c r="C620" s="3531" t="s">
        <v>5240</v>
      </c>
      <c r="D620" s="950">
        <v>1999</v>
      </c>
      <c r="E620" s="950">
        <v>84</v>
      </c>
      <c r="F620" s="950">
        <v>2799</v>
      </c>
      <c r="G620" s="950">
        <v>0</v>
      </c>
      <c r="H620" s="950">
        <v>24789</v>
      </c>
      <c r="I620" s="950">
        <v>2</v>
      </c>
      <c r="J620" s="950">
        <v>0</v>
      </c>
      <c r="K620" s="950" t="s">
        <v>5241</v>
      </c>
      <c r="L620" s="911"/>
      <c r="M620" s="911"/>
      <c r="N620" s="911"/>
      <c r="O620" s="911"/>
      <c r="P620" s="911"/>
      <c r="Q620" s="911"/>
      <c r="R620" s="951"/>
      <c r="S620" s="920"/>
      <c r="T620" s="952">
        <f t="shared" si="23"/>
        <v>0</v>
      </c>
      <c r="U620" s="622"/>
      <c r="V620" s="615"/>
    </row>
    <row r="621" spans="1:23" ht="15">
      <c r="A621" s="949">
        <v>19024173</v>
      </c>
      <c r="B621" s="950" t="s">
        <v>5242</v>
      </c>
      <c r="C621" s="907" t="s">
        <v>5243</v>
      </c>
      <c r="D621" s="950">
        <v>1996</v>
      </c>
      <c r="E621" s="950">
        <v>0</v>
      </c>
      <c r="F621" s="950">
        <v>0</v>
      </c>
      <c r="G621" s="950">
        <v>3500</v>
      </c>
      <c r="H621" s="950">
        <v>5850</v>
      </c>
      <c r="I621" s="950">
        <v>0</v>
      </c>
      <c r="J621" s="950">
        <v>0</v>
      </c>
      <c r="K621" s="950" t="s">
        <v>5238</v>
      </c>
      <c r="L621" s="911">
        <v>35.1</v>
      </c>
      <c r="M621" s="911"/>
      <c r="N621" s="911"/>
      <c r="O621" s="911"/>
      <c r="P621" s="911"/>
      <c r="Q621" s="911"/>
      <c r="R621" s="951"/>
      <c r="S621" s="920">
        <v>4.51</v>
      </c>
      <c r="T621" s="952">
        <f t="shared" si="23"/>
        <v>39.61</v>
      </c>
      <c r="U621" s="622"/>
      <c r="V621" s="615"/>
    </row>
    <row r="622" spans="1:23" ht="15">
      <c r="A622" s="949">
        <v>19046774</v>
      </c>
      <c r="B622" s="950" t="s">
        <v>5248</v>
      </c>
      <c r="C622" s="927" t="s">
        <v>5353</v>
      </c>
      <c r="D622" s="950">
        <v>1999</v>
      </c>
      <c r="E622" s="950">
        <v>0</v>
      </c>
      <c r="F622" s="950">
        <v>0</v>
      </c>
      <c r="G622" s="950">
        <v>2000</v>
      </c>
      <c r="H622" s="950">
        <v>6197</v>
      </c>
      <c r="I622" s="950">
        <v>0</v>
      </c>
      <c r="J622" s="950">
        <v>0</v>
      </c>
      <c r="K622" s="950" t="s">
        <v>5238</v>
      </c>
      <c r="L622" s="911">
        <v>12.99</v>
      </c>
      <c r="M622" s="911"/>
      <c r="N622" s="911"/>
      <c r="O622" s="911"/>
      <c r="P622" s="911"/>
      <c r="Q622" s="911"/>
      <c r="R622" s="951"/>
      <c r="S622" s="920">
        <v>1.67</v>
      </c>
      <c r="T622" s="952">
        <f t="shared" si="23"/>
        <v>14.66</v>
      </c>
      <c r="U622" s="622"/>
      <c r="V622" s="615"/>
    </row>
    <row r="623" spans="1:23" s="608" customFormat="1" ht="15">
      <c r="A623" s="949">
        <v>19055120</v>
      </c>
      <c r="B623" s="950" t="s">
        <v>5249</v>
      </c>
      <c r="C623" s="907" t="s">
        <v>5250</v>
      </c>
      <c r="D623" s="950">
        <v>2000</v>
      </c>
      <c r="E623" s="950">
        <v>51</v>
      </c>
      <c r="F623" s="950">
        <v>1868</v>
      </c>
      <c r="G623" s="950">
        <v>0</v>
      </c>
      <c r="H623" s="950">
        <v>10857</v>
      </c>
      <c r="I623" s="950">
        <v>4</v>
      </c>
      <c r="J623" s="950">
        <v>4</v>
      </c>
      <c r="K623" s="950" t="s">
        <v>5251</v>
      </c>
      <c r="L623" s="911">
        <v>142.36000000000001</v>
      </c>
      <c r="M623" s="911"/>
      <c r="N623" s="911"/>
      <c r="O623" s="911"/>
      <c r="P623" s="911">
        <v>14.87</v>
      </c>
      <c r="Q623" s="911"/>
      <c r="R623" s="951"/>
      <c r="S623" s="920">
        <v>26.54</v>
      </c>
      <c r="T623" s="952">
        <f t="shared" si="23"/>
        <v>183.77</v>
      </c>
      <c r="U623" s="622"/>
      <c r="V623" s="615"/>
    </row>
    <row r="624" spans="1:23" s="608" customFormat="1" ht="15">
      <c r="A624" s="949">
        <v>19056155</v>
      </c>
      <c r="B624" s="950" t="s">
        <v>5253</v>
      </c>
      <c r="C624" s="907" t="s">
        <v>5254</v>
      </c>
      <c r="D624" s="950">
        <v>2005</v>
      </c>
      <c r="E624" s="950">
        <v>0</v>
      </c>
      <c r="F624" s="950">
        <v>125</v>
      </c>
      <c r="G624" s="950">
        <v>0</v>
      </c>
      <c r="H624" s="950">
        <v>2434</v>
      </c>
      <c r="I624" s="950">
        <v>1</v>
      </c>
      <c r="J624" s="950">
        <v>0</v>
      </c>
      <c r="K624" s="950" t="s">
        <v>5255</v>
      </c>
      <c r="L624" s="911">
        <v>111.01</v>
      </c>
      <c r="M624" s="911"/>
      <c r="N624" s="911"/>
      <c r="O624" s="911"/>
      <c r="P624" s="911">
        <v>4.96</v>
      </c>
      <c r="Q624" s="911"/>
      <c r="R624" s="951"/>
      <c r="S624" s="920">
        <v>20.190000000000001</v>
      </c>
      <c r="T624" s="952">
        <f t="shared" si="23"/>
        <v>136.16</v>
      </c>
      <c r="U624" s="622"/>
      <c r="V624" s="615"/>
    </row>
    <row r="625" spans="1:22" s="608" customFormat="1" ht="15">
      <c r="A625" s="949">
        <v>19057411</v>
      </c>
      <c r="B625" s="950" t="s">
        <v>5256</v>
      </c>
      <c r="C625" s="907" t="s">
        <v>5257</v>
      </c>
      <c r="D625" s="950">
        <v>2000</v>
      </c>
      <c r="E625" s="950">
        <v>0</v>
      </c>
      <c r="F625" s="950">
        <v>0</v>
      </c>
      <c r="G625" s="950">
        <v>3000</v>
      </c>
      <c r="H625" s="950">
        <v>4462</v>
      </c>
      <c r="I625" s="950">
        <v>0</v>
      </c>
      <c r="J625" s="950">
        <v>0</v>
      </c>
      <c r="K625" s="950" t="s">
        <v>5238</v>
      </c>
      <c r="L625" s="911">
        <v>19.510000000000002</v>
      </c>
      <c r="M625" s="911"/>
      <c r="N625" s="911"/>
      <c r="O625" s="911"/>
      <c r="P625" s="911"/>
      <c r="Q625" s="911"/>
      <c r="R625" s="951"/>
      <c r="S625" s="920">
        <v>2.5099999999999998</v>
      </c>
      <c r="T625" s="952">
        <f t="shared" si="23"/>
        <v>22.020000000000003</v>
      </c>
      <c r="U625" s="622"/>
      <c r="V625" s="615"/>
    </row>
    <row r="626" spans="1:22" s="608" customFormat="1" ht="15">
      <c r="A626" s="949">
        <v>19125110</v>
      </c>
      <c r="B626" s="950" t="s">
        <v>5258</v>
      </c>
      <c r="C626" s="907" t="s">
        <v>5259</v>
      </c>
      <c r="D626" s="950">
        <v>2002</v>
      </c>
      <c r="E626" s="950">
        <v>0</v>
      </c>
      <c r="F626" s="950">
        <v>0</v>
      </c>
      <c r="G626" s="950">
        <v>1300</v>
      </c>
      <c r="H626" s="950">
        <v>12395</v>
      </c>
      <c r="I626" s="950">
        <v>0</v>
      </c>
      <c r="J626" s="950">
        <v>0</v>
      </c>
      <c r="K626" s="950" t="s">
        <v>5260</v>
      </c>
      <c r="L626" s="911">
        <v>12.99</v>
      </c>
      <c r="M626" s="911"/>
      <c r="N626" s="911"/>
      <c r="O626" s="911"/>
      <c r="P626" s="911"/>
      <c r="Q626" s="911"/>
      <c r="R626" s="951"/>
      <c r="S626" s="920">
        <v>1.67</v>
      </c>
      <c r="T626" s="952">
        <f t="shared" si="23"/>
        <v>14.66</v>
      </c>
      <c r="U626" s="622"/>
      <c r="V626" s="615"/>
    </row>
    <row r="627" spans="1:22" s="608" customFormat="1" ht="15">
      <c r="A627" s="949">
        <v>19149679</v>
      </c>
      <c r="B627" s="950" t="s">
        <v>5263</v>
      </c>
      <c r="C627" s="961" t="s">
        <v>7189</v>
      </c>
      <c r="D627" s="950">
        <v>2003</v>
      </c>
      <c r="E627" s="950">
        <v>0</v>
      </c>
      <c r="F627" s="950">
        <v>0</v>
      </c>
      <c r="G627" s="950">
        <v>2000</v>
      </c>
      <c r="H627" s="950">
        <v>0</v>
      </c>
      <c r="I627" s="950">
        <v>0</v>
      </c>
      <c r="J627" s="950">
        <v>0</v>
      </c>
      <c r="K627" s="950" t="s">
        <v>5238</v>
      </c>
      <c r="L627" s="911">
        <v>12.99</v>
      </c>
      <c r="M627" s="911"/>
      <c r="N627" s="911"/>
      <c r="O627" s="911"/>
      <c r="P627" s="911"/>
      <c r="Q627" s="911"/>
      <c r="R627" s="951"/>
      <c r="S627" s="920">
        <v>1.67</v>
      </c>
      <c r="T627" s="952">
        <f t="shared" si="23"/>
        <v>14.66</v>
      </c>
      <c r="U627" s="622"/>
      <c r="V627" s="615"/>
    </row>
    <row r="628" spans="1:22" s="608" customFormat="1" ht="15">
      <c r="A628" s="949">
        <v>19236255</v>
      </c>
      <c r="B628" s="950" t="s">
        <v>5230</v>
      </c>
      <c r="C628" s="3531" t="s">
        <v>5266</v>
      </c>
      <c r="D628" s="950">
        <v>2005</v>
      </c>
      <c r="E628" s="950">
        <v>51</v>
      </c>
      <c r="F628" s="950">
        <v>1868</v>
      </c>
      <c r="G628" s="950">
        <v>0</v>
      </c>
      <c r="H628" s="950">
        <v>10767</v>
      </c>
      <c r="I628" s="950">
        <v>2</v>
      </c>
      <c r="J628" s="950">
        <v>0</v>
      </c>
      <c r="K628" s="950" t="s">
        <v>5241</v>
      </c>
      <c r="L628" s="911"/>
      <c r="M628" s="911"/>
      <c r="N628" s="911"/>
      <c r="O628" s="911"/>
      <c r="P628" s="911"/>
      <c r="Q628" s="911"/>
      <c r="R628" s="951"/>
      <c r="S628" s="920"/>
      <c r="T628" s="952">
        <f t="shared" si="23"/>
        <v>0</v>
      </c>
      <c r="U628" s="622"/>
      <c r="V628" s="615"/>
    </row>
    <row r="629" spans="1:22" s="608" customFormat="1" ht="15">
      <c r="A629" s="949">
        <v>19307022</v>
      </c>
      <c r="B629" s="950" t="s">
        <v>5267</v>
      </c>
      <c r="C629" s="907" t="s">
        <v>5268</v>
      </c>
      <c r="D629" s="950">
        <v>2001</v>
      </c>
      <c r="E629" s="950">
        <v>51</v>
      </c>
      <c r="F629" s="950">
        <v>0</v>
      </c>
      <c r="G629" s="950">
        <v>0</v>
      </c>
      <c r="H629" s="950">
        <v>0</v>
      </c>
      <c r="I629" s="950">
        <v>4</v>
      </c>
      <c r="J629" s="950">
        <v>0</v>
      </c>
      <c r="K629" s="950" t="s">
        <v>5269</v>
      </c>
      <c r="L629" s="911">
        <v>142.36000000000001</v>
      </c>
      <c r="M629" s="911"/>
      <c r="N629" s="911"/>
      <c r="O629" s="911"/>
      <c r="P629" s="911">
        <v>14.87</v>
      </c>
      <c r="Q629" s="911"/>
      <c r="R629" s="951"/>
      <c r="S629" s="920">
        <v>26.54</v>
      </c>
      <c r="T629" s="952">
        <f t="shared" si="23"/>
        <v>183.77</v>
      </c>
      <c r="U629" s="622"/>
      <c r="V629" s="615"/>
    </row>
    <row r="630" spans="1:22" s="608" customFormat="1" ht="15">
      <c r="A630" s="949">
        <v>19315939</v>
      </c>
      <c r="B630" s="950" t="s">
        <v>5270</v>
      </c>
      <c r="C630" s="907" t="s">
        <v>5271</v>
      </c>
      <c r="D630" s="950">
        <v>2007</v>
      </c>
      <c r="E630" s="950">
        <v>0</v>
      </c>
      <c r="F630" s="950">
        <v>0</v>
      </c>
      <c r="G630" s="950">
        <v>2700</v>
      </c>
      <c r="H630" s="950">
        <v>4471</v>
      </c>
      <c r="I630" s="950">
        <v>0</v>
      </c>
      <c r="J630" s="950">
        <v>0</v>
      </c>
      <c r="K630" s="950" t="s">
        <v>5238</v>
      </c>
      <c r="L630" s="911">
        <v>25.09</v>
      </c>
      <c r="M630" s="911"/>
      <c r="N630" s="911"/>
      <c r="O630" s="911"/>
      <c r="P630" s="911"/>
      <c r="Q630" s="911"/>
      <c r="R630" s="951"/>
      <c r="S630" s="920">
        <v>3.22</v>
      </c>
      <c r="T630" s="952">
        <f t="shared" si="23"/>
        <v>28.31</v>
      </c>
      <c r="U630" s="622"/>
      <c r="V630" s="615"/>
    </row>
    <row r="631" spans="1:22" s="608" customFormat="1" ht="15">
      <c r="A631" s="949">
        <v>19350146</v>
      </c>
      <c r="B631" s="950" t="s">
        <v>5272</v>
      </c>
      <c r="C631" s="907" t="s">
        <v>5273</v>
      </c>
      <c r="D631" s="950">
        <v>2013</v>
      </c>
      <c r="E631" s="950">
        <v>0</v>
      </c>
      <c r="F631" s="950">
        <v>0</v>
      </c>
      <c r="G631" s="950">
        <v>2000</v>
      </c>
      <c r="H631" s="950">
        <v>0</v>
      </c>
      <c r="I631" s="950">
        <v>0</v>
      </c>
      <c r="J631" s="950">
        <v>0</v>
      </c>
      <c r="K631" s="950" t="s">
        <v>5274</v>
      </c>
      <c r="L631" s="911">
        <v>29.3</v>
      </c>
      <c r="M631" s="911"/>
      <c r="N631" s="911"/>
      <c r="O631" s="911"/>
      <c r="P631" s="911">
        <v>8.68</v>
      </c>
      <c r="Q631" s="911"/>
      <c r="R631" s="951"/>
      <c r="S631" s="920">
        <v>4.42</v>
      </c>
      <c r="T631" s="952">
        <f t="shared" si="23"/>
        <v>42.400000000000006</v>
      </c>
      <c r="U631" s="622"/>
      <c r="V631" s="615"/>
    </row>
    <row r="632" spans="1:22" s="608" customFormat="1" ht="15">
      <c r="A632" s="949">
        <v>19352145</v>
      </c>
      <c r="B632" s="950" t="s">
        <v>5270</v>
      </c>
      <c r="C632" s="961" t="s">
        <v>7562</v>
      </c>
      <c r="D632" s="950">
        <v>2008</v>
      </c>
      <c r="E632" s="950">
        <v>0</v>
      </c>
      <c r="F632" s="950">
        <v>0</v>
      </c>
      <c r="G632" s="950">
        <v>2700</v>
      </c>
      <c r="H632" s="950">
        <v>4713</v>
      </c>
      <c r="I632" s="950">
        <v>0</v>
      </c>
      <c r="J632" s="950">
        <v>0</v>
      </c>
      <c r="K632" s="950" t="s">
        <v>5238</v>
      </c>
      <c r="L632" s="911">
        <v>25.09</v>
      </c>
      <c r="M632" s="911"/>
      <c r="N632" s="911"/>
      <c r="O632" s="911"/>
      <c r="P632" s="911"/>
      <c r="Q632" s="911"/>
      <c r="R632" s="951"/>
      <c r="S632" s="920">
        <v>3.22</v>
      </c>
      <c r="T632" s="952">
        <f t="shared" si="23"/>
        <v>28.31</v>
      </c>
      <c r="U632" s="622"/>
      <c r="V632" s="615"/>
    </row>
    <row r="633" spans="1:22" s="608" customFormat="1" ht="15">
      <c r="A633" s="949">
        <v>19399222</v>
      </c>
      <c r="B633" s="950" t="s">
        <v>5275</v>
      </c>
      <c r="C633" s="907" t="s">
        <v>5276</v>
      </c>
      <c r="D633" s="950">
        <v>2006</v>
      </c>
      <c r="E633" s="950">
        <v>69</v>
      </c>
      <c r="F633" s="950">
        <v>0</v>
      </c>
      <c r="G633" s="950">
        <v>0</v>
      </c>
      <c r="H633" s="950">
        <v>0</v>
      </c>
      <c r="I633" s="950">
        <v>2</v>
      </c>
      <c r="J633" s="950">
        <v>0</v>
      </c>
      <c r="K633" s="950" t="s">
        <v>5241</v>
      </c>
      <c r="L633" s="911">
        <v>151.29</v>
      </c>
      <c r="M633" s="911"/>
      <c r="N633" s="911"/>
      <c r="O633" s="911"/>
      <c r="P633" s="911">
        <v>8.68</v>
      </c>
      <c r="Q633" s="911"/>
      <c r="R633" s="951"/>
      <c r="S633" s="920">
        <v>20.09</v>
      </c>
      <c r="T633" s="952">
        <f t="shared" si="23"/>
        <v>180.06</v>
      </c>
      <c r="U633" s="622"/>
      <c r="V633" s="615"/>
    </row>
    <row r="634" spans="1:22" s="608" customFormat="1" ht="15">
      <c r="A634" s="949">
        <v>19454625</v>
      </c>
      <c r="B634" s="950" t="s">
        <v>5277</v>
      </c>
      <c r="C634" s="907" t="s">
        <v>5278</v>
      </c>
      <c r="D634" s="950">
        <v>2010</v>
      </c>
      <c r="E634" s="950">
        <v>116</v>
      </c>
      <c r="F634" s="950">
        <v>0</v>
      </c>
      <c r="G634" s="950">
        <v>0</v>
      </c>
      <c r="H634" s="950">
        <v>35000</v>
      </c>
      <c r="I634" s="950">
        <v>2</v>
      </c>
      <c r="J634" s="950">
        <v>0</v>
      </c>
      <c r="K634" s="950" t="s">
        <v>5241</v>
      </c>
      <c r="L634" s="911">
        <v>355.82</v>
      </c>
      <c r="M634" s="911"/>
      <c r="N634" s="911"/>
      <c r="O634" s="911"/>
      <c r="P634" s="911">
        <v>8.68</v>
      </c>
      <c r="Q634" s="911"/>
      <c r="R634" s="951"/>
      <c r="S634" s="920">
        <v>46.38</v>
      </c>
      <c r="T634" s="952">
        <f t="shared" si="23"/>
        <v>410.88</v>
      </c>
      <c r="U634" s="622"/>
      <c r="V634" s="615"/>
    </row>
    <row r="635" spans="1:22" s="608" customFormat="1" ht="15">
      <c r="A635" s="949">
        <v>19464059</v>
      </c>
      <c r="B635" s="950" t="s">
        <v>5279</v>
      </c>
      <c r="C635" s="907" t="s">
        <v>5280</v>
      </c>
      <c r="D635" s="950">
        <v>2010</v>
      </c>
      <c r="E635" s="950">
        <v>96</v>
      </c>
      <c r="F635" s="950">
        <v>2488</v>
      </c>
      <c r="G635" s="950">
        <v>0</v>
      </c>
      <c r="H635" s="950">
        <v>72479</v>
      </c>
      <c r="I635" s="950">
        <v>2</v>
      </c>
      <c r="J635" s="950">
        <v>0</v>
      </c>
      <c r="K635" s="950" t="s">
        <v>5241</v>
      </c>
      <c r="L635" s="911">
        <v>200.66</v>
      </c>
      <c r="M635" s="911"/>
      <c r="N635" s="911"/>
      <c r="O635" s="911"/>
      <c r="P635" s="911">
        <v>8.68</v>
      </c>
      <c r="Q635" s="911"/>
      <c r="R635" s="951"/>
      <c r="S635" s="920">
        <v>26.43</v>
      </c>
      <c r="T635" s="952">
        <f t="shared" si="23"/>
        <v>235.77</v>
      </c>
      <c r="U635" s="622"/>
      <c r="V635" s="615"/>
    </row>
    <row r="636" spans="1:22" s="608" customFormat="1" ht="15">
      <c r="A636" s="949">
        <v>19479152</v>
      </c>
      <c r="B636" s="950" t="s">
        <v>5281</v>
      </c>
      <c r="C636" s="907" t="s">
        <v>5228</v>
      </c>
      <c r="D636" s="950">
        <v>2011</v>
      </c>
      <c r="E636" s="950">
        <v>0</v>
      </c>
      <c r="F636" s="950">
        <v>0</v>
      </c>
      <c r="G636" s="950">
        <v>3500</v>
      </c>
      <c r="H636" s="950">
        <v>0</v>
      </c>
      <c r="I636" s="950">
        <v>0</v>
      </c>
      <c r="J636" s="950">
        <v>0</v>
      </c>
      <c r="K636" s="950" t="s">
        <v>5238</v>
      </c>
      <c r="L636" s="911">
        <v>32.33</v>
      </c>
      <c r="M636" s="911"/>
      <c r="N636" s="911"/>
      <c r="O636" s="911"/>
      <c r="P636" s="911"/>
      <c r="Q636" s="911"/>
      <c r="R636" s="951"/>
      <c r="S636" s="920">
        <v>4.1500000000000004</v>
      </c>
      <c r="T636" s="952">
        <f t="shared" si="23"/>
        <v>36.479999999999997</v>
      </c>
      <c r="U636" s="622"/>
      <c r="V636" s="615"/>
    </row>
    <row r="637" spans="1:22" ht="15">
      <c r="A637" s="949">
        <v>19488224</v>
      </c>
      <c r="B637" s="950" t="s">
        <v>5282</v>
      </c>
      <c r="C637" s="907" t="s">
        <v>5283</v>
      </c>
      <c r="D637" s="950">
        <v>2011</v>
      </c>
      <c r="E637" s="950">
        <v>74</v>
      </c>
      <c r="F637" s="950">
        <v>0</v>
      </c>
      <c r="G637" s="950">
        <v>0</v>
      </c>
      <c r="H637" s="950">
        <v>22489</v>
      </c>
      <c r="I637" s="950">
        <v>2</v>
      </c>
      <c r="J637" s="950">
        <v>0</v>
      </c>
      <c r="K637" s="950" t="s">
        <v>5241</v>
      </c>
      <c r="L637" s="911">
        <v>160.43</v>
      </c>
      <c r="M637" s="911"/>
      <c r="N637" s="911"/>
      <c r="O637" s="911"/>
      <c r="P637" s="911">
        <v>8.68</v>
      </c>
      <c r="Q637" s="911"/>
      <c r="R637" s="951"/>
      <c r="S637" s="920">
        <v>21.26</v>
      </c>
      <c r="T637" s="952">
        <f t="shared" si="23"/>
        <v>190.37</v>
      </c>
      <c r="U637" s="622"/>
      <c r="V637" s="615"/>
    </row>
    <row r="638" spans="1:22" ht="15">
      <c r="A638" s="949">
        <v>19974354</v>
      </c>
      <c r="B638" s="950" t="s">
        <v>5282</v>
      </c>
      <c r="C638" s="961" t="s">
        <v>7195</v>
      </c>
      <c r="D638" s="950">
        <v>2020</v>
      </c>
      <c r="E638" s="950"/>
      <c r="F638" s="950"/>
      <c r="G638" s="950"/>
      <c r="H638" s="950"/>
      <c r="I638" s="950"/>
      <c r="J638" s="950"/>
      <c r="K638" s="950" t="s">
        <v>5241</v>
      </c>
      <c r="L638" s="911">
        <v>207.97</v>
      </c>
      <c r="M638" s="911"/>
      <c r="N638" s="911"/>
      <c r="O638" s="911"/>
      <c r="P638" s="911">
        <v>8.68</v>
      </c>
      <c r="Q638" s="911"/>
      <c r="R638" s="951"/>
      <c r="S638" s="920">
        <v>27.38</v>
      </c>
      <c r="T638" s="952">
        <f t="shared" si="23"/>
        <v>244.03</v>
      </c>
      <c r="U638" s="622"/>
      <c r="V638" s="615"/>
    </row>
    <row r="639" spans="1:22" ht="15">
      <c r="A639" s="949">
        <v>19616686</v>
      </c>
      <c r="B639" s="950" t="s">
        <v>5289</v>
      </c>
      <c r="C639" s="907" t="s">
        <v>5290</v>
      </c>
      <c r="D639" s="950"/>
      <c r="E639" s="950"/>
      <c r="F639" s="950"/>
      <c r="G639" s="950"/>
      <c r="H639" s="950"/>
      <c r="I639" s="950"/>
      <c r="J639" s="950"/>
      <c r="K639" s="950" t="s">
        <v>5241</v>
      </c>
      <c r="L639" s="911">
        <v>193.34</v>
      </c>
      <c r="M639" s="911">
        <v>22.46</v>
      </c>
      <c r="N639" s="911"/>
      <c r="O639" s="911">
        <v>24.79</v>
      </c>
      <c r="P639" s="911">
        <v>8.68</v>
      </c>
      <c r="Q639" s="911">
        <v>15.72</v>
      </c>
      <c r="R639" s="951"/>
      <c r="S639" s="920">
        <v>33.369999999999997</v>
      </c>
      <c r="T639" s="952">
        <f t="shared" si="23"/>
        <v>298.36</v>
      </c>
      <c r="U639" s="622"/>
      <c r="V639" s="615"/>
    </row>
    <row r="640" spans="1:22" ht="15">
      <c r="A640" s="949">
        <v>19647948</v>
      </c>
      <c r="B640" s="950" t="s">
        <v>5291</v>
      </c>
      <c r="C640" s="907" t="s">
        <v>5292</v>
      </c>
      <c r="D640" s="950"/>
      <c r="E640" s="950"/>
      <c r="F640" s="950"/>
      <c r="G640" s="950"/>
      <c r="H640" s="950"/>
      <c r="I640" s="950"/>
      <c r="J640" s="950"/>
      <c r="K640" s="950" t="s">
        <v>5241</v>
      </c>
      <c r="L640" s="911">
        <v>213.46</v>
      </c>
      <c r="M640" s="911"/>
      <c r="N640" s="911"/>
      <c r="O640" s="911"/>
      <c r="P640" s="911">
        <v>8.68</v>
      </c>
      <c r="Q640" s="911"/>
      <c r="R640" s="951"/>
      <c r="S640" s="920">
        <v>28.08</v>
      </c>
      <c r="T640" s="952">
        <f t="shared" si="23"/>
        <v>250.22000000000003</v>
      </c>
      <c r="U640" s="622"/>
      <c r="V640" s="615"/>
    </row>
    <row r="641" spans="1:22" ht="15">
      <c r="A641" s="949">
        <v>19565323</v>
      </c>
      <c r="B641" s="950" t="s">
        <v>5293</v>
      </c>
      <c r="C641" s="907" t="s">
        <v>5294</v>
      </c>
      <c r="D641" s="950"/>
      <c r="E641" s="950"/>
      <c r="F641" s="950"/>
      <c r="G641" s="950"/>
      <c r="H641" s="950"/>
      <c r="I641" s="950"/>
      <c r="J641" s="950"/>
      <c r="K641" s="950" t="s">
        <v>5295</v>
      </c>
      <c r="L641" s="911">
        <v>118.37</v>
      </c>
      <c r="M641" s="911"/>
      <c r="N641" s="911"/>
      <c r="O641" s="911"/>
      <c r="P641" s="911">
        <v>8.68</v>
      </c>
      <c r="Q641" s="911"/>
      <c r="R641" s="951"/>
      <c r="S641" s="920">
        <v>15.86</v>
      </c>
      <c r="T641" s="952">
        <f t="shared" si="23"/>
        <v>142.91000000000003</v>
      </c>
      <c r="U641" s="622"/>
      <c r="V641" s="615"/>
    </row>
    <row r="642" spans="1:22" ht="15">
      <c r="A642" s="949">
        <v>19568323</v>
      </c>
      <c r="B642" s="950" t="s">
        <v>5289</v>
      </c>
      <c r="C642" s="907" t="s">
        <v>5297</v>
      </c>
      <c r="D642" s="950"/>
      <c r="E642" s="950"/>
      <c r="F642" s="950"/>
      <c r="G642" s="950"/>
      <c r="H642" s="950"/>
      <c r="I642" s="950"/>
      <c r="J642" s="950"/>
      <c r="K642" s="955" t="s">
        <v>5354</v>
      </c>
      <c r="L642" s="911">
        <v>160.43</v>
      </c>
      <c r="M642" s="911"/>
      <c r="N642" s="911"/>
      <c r="O642" s="911"/>
      <c r="P642" s="911">
        <v>8.68</v>
      </c>
      <c r="Q642" s="911"/>
      <c r="R642" s="951"/>
      <c r="S642" s="920">
        <v>21.26</v>
      </c>
      <c r="T642" s="952">
        <f t="shared" si="23"/>
        <v>190.37</v>
      </c>
      <c r="U642" s="622"/>
      <c r="V642" s="615"/>
    </row>
    <row r="643" spans="1:22" ht="15">
      <c r="A643" s="949">
        <v>19361432</v>
      </c>
      <c r="B643" s="950" t="s">
        <v>5298</v>
      </c>
      <c r="C643" s="907" t="s">
        <v>5299</v>
      </c>
      <c r="D643" s="950">
        <v>2008</v>
      </c>
      <c r="E643" s="950">
        <v>88</v>
      </c>
      <c r="F643" s="950">
        <v>2464</v>
      </c>
      <c r="G643" s="950">
        <v>3500</v>
      </c>
      <c r="H643" s="950">
        <v>30211</v>
      </c>
      <c r="I643" s="950">
        <v>2</v>
      </c>
      <c r="J643" s="950">
        <v>0</v>
      </c>
      <c r="K643" s="950" t="s">
        <v>5241</v>
      </c>
      <c r="L643" s="911">
        <v>206.7</v>
      </c>
      <c r="M643" s="911"/>
      <c r="N643" s="911"/>
      <c r="O643" s="911"/>
      <c r="P643" s="911">
        <v>8.68</v>
      </c>
      <c r="Q643" s="911"/>
      <c r="R643" s="951"/>
      <c r="S643" s="920">
        <v>27.21</v>
      </c>
      <c r="T643" s="952">
        <f t="shared" si="23"/>
        <v>242.59</v>
      </c>
      <c r="U643" s="622"/>
      <c r="V643" s="615"/>
    </row>
    <row r="644" spans="1:22" ht="15">
      <c r="A644" s="949">
        <v>19794335</v>
      </c>
      <c r="B644" s="955" t="s">
        <v>5369</v>
      </c>
      <c r="C644" s="927" t="s">
        <v>5370</v>
      </c>
      <c r="D644" s="950"/>
      <c r="E644" s="950"/>
      <c r="F644" s="950"/>
      <c r="G644" s="950"/>
      <c r="H644" s="950"/>
      <c r="I644" s="950"/>
      <c r="J644" s="950"/>
      <c r="K644" s="955" t="s">
        <v>5238</v>
      </c>
      <c r="L644" s="911">
        <v>12.99</v>
      </c>
      <c r="M644" s="911">
        <v>3.62</v>
      </c>
      <c r="N644" s="911">
        <v>12.67</v>
      </c>
      <c r="O644" s="911"/>
      <c r="P644" s="911"/>
      <c r="Q644" s="911">
        <v>3.62</v>
      </c>
      <c r="R644" s="951"/>
      <c r="S644" s="920">
        <v>4.1500000000000004</v>
      </c>
      <c r="T644" s="952">
        <f t="shared" si="23"/>
        <v>37.049999999999997</v>
      </c>
      <c r="U644" s="622"/>
      <c r="V644" s="615"/>
    </row>
    <row r="645" spans="1:22" ht="15">
      <c r="A645" s="959" t="s">
        <v>7550</v>
      </c>
      <c r="B645" s="960" t="s">
        <v>7190</v>
      </c>
      <c r="C645" s="961" t="s">
        <v>7551</v>
      </c>
      <c r="D645" s="950">
        <v>2021</v>
      </c>
      <c r="E645" s="950"/>
      <c r="F645" s="950"/>
      <c r="G645" s="950"/>
      <c r="H645" s="950"/>
      <c r="I645" s="950"/>
      <c r="J645" s="950"/>
      <c r="K645" s="960" t="s">
        <v>5238</v>
      </c>
      <c r="L645" s="911">
        <v>19.510000000000002</v>
      </c>
      <c r="M645" s="911"/>
      <c r="N645" s="911"/>
      <c r="O645" s="911"/>
      <c r="P645" s="911"/>
      <c r="Q645" s="911"/>
      <c r="R645" s="951"/>
      <c r="S645" s="920">
        <v>2.5099999999999998</v>
      </c>
      <c r="T645" s="952">
        <f t="shared" si="23"/>
        <v>22.020000000000003</v>
      </c>
      <c r="U645" s="622"/>
      <c r="V645" s="615"/>
    </row>
    <row r="646" spans="1:22" ht="15">
      <c r="A646" s="959" t="s">
        <v>7547</v>
      </c>
      <c r="B646" s="960" t="s">
        <v>7548</v>
      </c>
      <c r="C646" s="961" t="s">
        <v>7549</v>
      </c>
      <c r="D646" s="950">
        <v>2021</v>
      </c>
      <c r="E646" s="950"/>
      <c r="F646" s="950"/>
      <c r="G646" s="950"/>
      <c r="H646" s="950"/>
      <c r="I646" s="950"/>
      <c r="J646" s="950"/>
      <c r="K646" s="955"/>
      <c r="L646" s="911">
        <v>397.45</v>
      </c>
      <c r="M646" s="911"/>
      <c r="N646" s="911"/>
      <c r="O646" s="911"/>
      <c r="P646" s="911">
        <v>8.68</v>
      </c>
      <c r="Q646" s="911"/>
      <c r="R646" s="951"/>
      <c r="S646" s="920">
        <v>51.72</v>
      </c>
      <c r="T646" s="952">
        <f t="shared" si="23"/>
        <v>457.85</v>
      </c>
      <c r="U646" s="622"/>
      <c r="V646" s="615"/>
    </row>
    <row r="647" spans="1:22" ht="15">
      <c r="A647" s="959" t="s">
        <v>5380</v>
      </c>
      <c r="B647" s="960" t="s">
        <v>5282</v>
      </c>
      <c r="C647" s="961" t="s">
        <v>5381</v>
      </c>
      <c r="D647" s="950">
        <v>2019</v>
      </c>
      <c r="E647" s="950"/>
      <c r="F647" s="950"/>
      <c r="G647" s="950"/>
      <c r="H647" s="950"/>
      <c r="I647" s="950"/>
      <c r="J647" s="950"/>
      <c r="K647" s="955"/>
      <c r="L647" s="911">
        <v>207.97</v>
      </c>
      <c r="M647" s="911">
        <v>35.369999999999997</v>
      </c>
      <c r="N647" s="911"/>
      <c r="O647" s="911"/>
      <c r="P647" s="911">
        <v>8.68</v>
      </c>
      <c r="Q647" s="911">
        <v>35.369999999999997</v>
      </c>
      <c r="R647" s="951"/>
      <c r="S647" s="920">
        <v>36.22</v>
      </c>
      <c r="T647" s="952">
        <f t="shared" si="23"/>
        <v>323.61</v>
      </c>
      <c r="U647" s="622"/>
      <c r="V647" s="615"/>
    </row>
    <row r="648" spans="1:22" ht="15">
      <c r="A648" s="959" t="s">
        <v>5382</v>
      </c>
      <c r="B648" s="960" t="s">
        <v>5383</v>
      </c>
      <c r="C648" s="961" t="s">
        <v>5384</v>
      </c>
      <c r="D648" s="950">
        <v>2019</v>
      </c>
      <c r="E648" s="950"/>
      <c r="F648" s="950"/>
      <c r="G648" s="950"/>
      <c r="H648" s="950"/>
      <c r="I648" s="950"/>
      <c r="J648" s="950"/>
      <c r="K648" s="955"/>
      <c r="L648" s="911">
        <v>207.97</v>
      </c>
      <c r="M648" s="911">
        <v>47.67</v>
      </c>
      <c r="N648" s="911"/>
      <c r="O648" s="911"/>
      <c r="P648" s="911">
        <v>8.68</v>
      </c>
      <c r="Q648" s="911">
        <v>47.67</v>
      </c>
      <c r="R648" s="951"/>
      <c r="S648" s="920">
        <v>39.299999999999997</v>
      </c>
      <c r="T648" s="952">
        <f t="shared" si="23"/>
        <v>351.29</v>
      </c>
      <c r="U648" s="622"/>
      <c r="V648" s="615"/>
    </row>
    <row r="649" spans="1:22" ht="15">
      <c r="A649" s="962" t="s">
        <v>5385</v>
      </c>
      <c r="B649" s="963" t="s">
        <v>5386</v>
      </c>
      <c r="C649" s="964" t="s">
        <v>5387</v>
      </c>
      <c r="D649" s="950">
        <v>2019</v>
      </c>
      <c r="E649" s="950"/>
      <c r="F649" s="950"/>
      <c r="G649" s="950"/>
      <c r="H649" s="950"/>
      <c r="I649" s="950"/>
      <c r="J649" s="950"/>
      <c r="K649" s="955"/>
      <c r="L649" s="911">
        <v>429.48</v>
      </c>
      <c r="M649" s="911">
        <v>132.55000000000001</v>
      </c>
      <c r="N649" s="911"/>
      <c r="O649" s="911">
        <v>24.79</v>
      </c>
      <c r="P649" s="911">
        <v>8.68</v>
      </c>
      <c r="Q649" s="911">
        <v>92.79</v>
      </c>
      <c r="R649" s="951"/>
      <c r="S649" s="920">
        <v>87.1</v>
      </c>
      <c r="T649" s="952">
        <f t="shared" si="23"/>
        <v>775.38999999999987</v>
      </c>
      <c r="U649" s="622"/>
      <c r="V649" s="615"/>
    </row>
    <row r="650" spans="1:22" ht="15">
      <c r="A650" s="962" t="s">
        <v>7552</v>
      </c>
      <c r="B650" s="963" t="s">
        <v>7553</v>
      </c>
      <c r="C650" s="964" t="s">
        <v>7554</v>
      </c>
      <c r="D650" s="950">
        <v>2021</v>
      </c>
      <c r="E650" s="950"/>
      <c r="F650" s="950"/>
      <c r="G650" s="950"/>
      <c r="H650" s="950"/>
      <c r="I650" s="950"/>
      <c r="J650" s="950"/>
      <c r="K650" s="960" t="s">
        <v>5241</v>
      </c>
      <c r="L650" s="911">
        <v>186.03</v>
      </c>
      <c r="M650" s="911">
        <v>27.64</v>
      </c>
      <c r="N650" s="911">
        <v>161.33000000000001</v>
      </c>
      <c r="O650" s="911"/>
      <c r="P650" s="911">
        <v>8.68</v>
      </c>
      <c r="Q650" s="911">
        <v>27.64</v>
      </c>
      <c r="R650" s="951"/>
      <c r="S650" s="920">
        <v>51.62</v>
      </c>
      <c r="T650" s="952">
        <f t="shared" si="23"/>
        <v>462.94</v>
      </c>
      <c r="U650" s="622"/>
      <c r="V650" s="615"/>
    </row>
    <row r="651" spans="1:22" ht="15">
      <c r="A651" s="962" t="s">
        <v>7555</v>
      </c>
      <c r="B651" s="963" t="s">
        <v>7553</v>
      </c>
      <c r="C651" s="964" t="s">
        <v>7556</v>
      </c>
      <c r="D651" s="950">
        <v>2021</v>
      </c>
      <c r="E651" s="950"/>
      <c r="F651" s="950"/>
      <c r="G651" s="950"/>
      <c r="H651" s="950"/>
      <c r="I651" s="950"/>
      <c r="J651" s="950"/>
      <c r="K651" s="960" t="s">
        <v>5241</v>
      </c>
      <c r="L651" s="911">
        <v>186.03</v>
      </c>
      <c r="M651" s="911">
        <v>29.13</v>
      </c>
      <c r="N651" s="911">
        <v>168.84</v>
      </c>
      <c r="O651" s="911"/>
      <c r="P651" s="911">
        <v>8.68</v>
      </c>
      <c r="Q651" s="911">
        <v>29.13</v>
      </c>
      <c r="R651" s="951"/>
      <c r="S651" s="920">
        <v>52.93</v>
      </c>
      <c r="T651" s="952">
        <f t="shared" si="23"/>
        <v>474.74</v>
      </c>
      <c r="U651" s="622"/>
      <c r="V651" s="615"/>
    </row>
    <row r="652" spans="1:22" ht="15">
      <c r="A652" s="962" t="s">
        <v>7557</v>
      </c>
      <c r="B652" s="963" t="s">
        <v>7553</v>
      </c>
      <c r="C652" s="964" t="s">
        <v>7558</v>
      </c>
      <c r="D652" s="950">
        <v>2021</v>
      </c>
      <c r="E652" s="950"/>
      <c r="F652" s="950"/>
      <c r="G652" s="950"/>
      <c r="H652" s="950"/>
      <c r="I652" s="950"/>
      <c r="J652" s="950"/>
      <c r="K652" s="960" t="s">
        <v>5241</v>
      </c>
      <c r="L652" s="911">
        <v>186.03</v>
      </c>
      <c r="M652" s="911">
        <v>29.13</v>
      </c>
      <c r="N652" s="911">
        <v>168.84</v>
      </c>
      <c r="O652" s="911"/>
      <c r="P652" s="911">
        <v>8.68</v>
      </c>
      <c r="Q652" s="911">
        <v>29.13</v>
      </c>
      <c r="R652" s="951"/>
      <c r="S652" s="920">
        <v>52.93</v>
      </c>
      <c r="T652" s="952">
        <f t="shared" si="23"/>
        <v>474.74</v>
      </c>
      <c r="U652" s="622"/>
      <c r="V652" s="615"/>
    </row>
    <row r="653" spans="1:22" ht="15">
      <c r="A653" s="962" t="s">
        <v>7559</v>
      </c>
      <c r="B653" s="963" t="s">
        <v>7560</v>
      </c>
      <c r="C653" s="964" t="s">
        <v>7561</v>
      </c>
      <c r="D653" s="950">
        <v>2021</v>
      </c>
      <c r="E653" s="950"/>
      <c r="F653" s="950"/>
      <c r="G653" s="950"/>
      <c r="H653" s="950"/>
      <c r="I653" s="950"/>
      <c r="J653" s="950"/>
      <c r="K653" s="960" t="s">
        <v>5241</v>
      </c>
      <c r="L653" s="911">
        <v>127.52</v>
      </c>
      <c r="M653" s="911">
        <v>19.36</v>
      </c>
      <c r="N653" s="911">
        <v>119.96</v>
      </c>
      <c r="O653" s="911"/>
      <c r="P653" s="911">
        <v>8.68</v>
      </c>
      <c r="Q653" s="911">
        <v>13.56</v>
      </c>
      <c r="R653" s="951"/>
      <c r="S653" s="920">
        <v>36.159999999999997</v>
      </c>
      <c r="T653" s="952">
        <f t="shared" si="23"/>
        <v>325.24</v>
      </c>
      <c r="U653" s="622"/>
      <c r="V653" s="615"/>
    </row>
    <row r="654" spans="1:22" ht="15">
      <c r="A654" s="962" t="s">
        <v>8134</v>
      </c>
      <c r="B654" s="963" t="s">
        <v>8135</v>
      </c>
      <c r="C654" s="964" t="s">
        <v>8136</v>
      </c>
      <c r="D654" s="950"/>
      <c r="E654" s="950"/>
      <c r="F654" s="950"/>
      <c r="G654" s="950"/>
      <c r="H654" s="950"/>
      <c r="I654" s="950"/>
      <c r="J654" s="950"/>
      <c r="K654" s="960" t="s">
        <v>8137</v>
      </c>
      <c r="L654" s="911">
        <v>30.71</v>
      </c>
      <c r="M654" s="911"/>
      <c r="N654" s="911"/>
      <c r="O654" s="911"/>
      <c r="P654" s="911"/>
      <c r="Q654" s="911"/>
      <c r="R654" s="951"/>
      <c r="S654" s="920">
        <v>3.95</v>
      </c>
      <c r="T654" s="952">
        <f t="shared" si="23"/>
        <v>34.660000000000004</v>
      </c>
      <c r="U654" s="622"/>
      <c r="V654" s="615"/>
    </row>
    <row r="655" spans="1:22" ht="15">
      <c r="A655" s="962" t="s">
        <v>8138</v>
      </c>
      <c r="B655" s="963" t="s">
        <v>8139</v>
      </c>
      <c r="C655" s="964" t="s">
        <v>8140</v>
      </c>
      <c r="D655" s="950"/>
      <c r="E655" s="950"/>
      <c r="F655" s="950"/>
      <c r="G655" s="950"/>
      <c r="H655" s="950"/>
      <c r="I655" s="950"/>
      <c r="J655" s="950"/>
      <c r="K655" s="960"/>
      <c r="L655" s="911">
        <v>193.34</v>
      </c>
      <c r="M655" s="911"/>
      <c r="N655" s="911"/>
      <c r="O655" s="911"/>
      <c r="P655" s="911">
        <v>8.68</v>
      </c>
      <c r="Q655" s="911"/>
      <c r="R655" s="951"/>
      <c r="S655" s="920">
        <v>25.5</v>
      </c>
      <c r="T655" s="952">
        <f t="shared" si="23"/>
        <v>227.52</v>
      </c>
      <c r="U655" s="622"/>
      <c r="V655" s="615"/>
    </row>
    <row r="656" spans="1:22" ht="15">
      <c r="A656" s="962" t="s">
        <v>8141</v>
      </c>
      <c r="B656" s="963" t="s">
        <v>5267</v>
      </c>
      <c r="C656" s="964" t="s">
        <v>8142</v>
      </c>
      <c r="D656" s="950"/>
      <c r="E656" s="950"/>
      <c r="F656" s="950"/>
      <c r="G656" s="950"/>
      <c r="H656" s="950"/>
      <c r="I656" s="950"/>
      <c r="J656" s="950"/>
      <c r="K656" s="960"/>
      <c r="L656" s="911">
        <v>125.7</v>
      </c>
      <c r="M656" s="911"/>
      <c r="N656" s="911"/>
      <c r="O656" s="911"/>
      <c r="P656" s="911">
        <v>8.68</v>
      </c>
      <c r="Q656" s="911"/>
      <c r="R656" s="951"/>
      <c r="S656" s="920">
        <v>16.809999999999999</v>
      </c>
      <c r="T656" s="952">
        <f t="shared" si="23"/>
        <v>151.19</v>
      </c>
      <c r="U656" s="622"/>
      <c r="V656" s="615"/>
    </row>
    <row r="657" spans="1:23" ht="15">
      <c r="A657" s="962" t="s">
        <v>8144</v>
      </c>
      <c r="B657" s="963" t="s">
        <v>5267</v>
      </c>
      <c r="C657" s="964" t="s">
        <v>8143</v>
      </c>
      <c r="D657" s="950"/>
      <c r="E657" s="950"/>
      <c r="F657" s="950"/>
      <c r="G657" s="950"/>
      <c r="H657" s="950"/>
      <c r="I657" s="950"/>
      <c r="J657" s="950"/>
      <c r="K657" s="960"/>
      <c r="L657" s="911">
        <v>118.37</v>
      </c>
      <c r="M657" s="911"/>
      <c r="N657" s="911"/>
      <c r="O657" s="911"/>
      <c r="P657" s="911">
        <v>8.68</v>
      </c>
      <c r="Q657" s="911"/>
      <c r="R657" s="951"/>
      <c r="S657" s="920">
        <v>15.86</v>
      </c>
      <c r="T657" s="952">
        <f t="shared" si="23"/>
        <v>142.91000000000003</v>
      </c>
      <c r="U657" s="622"/>
      <c r="V657" s="615"/>
    </row>
    <row r="658" spans="1:23" ht="15">
      <c r="A658" s="962" t="s">
        <v>8145</v>
      </c>
      <c r="B658" s="963" t="s">
        <v>5291</v>
      </c>
      <c r="C658" s="964" t="s">
        <v>8146</v>
      </c>
      <c r="D658" s="950"/>
      <c r="E658" s="950"/>
      <c r="F658" s="950"/>
      <c r="G658" s="950"/>
      <c r="H658" s="950"/>
      <c r="I658" s="950"/>
      <c r="J658" s="950"/>
      <c r="K658" s="960"/>
      <c r="L658" s="911">
        <v>244.53</v>
      </c>
      <c r="M658" s="911">
        <v>36.54</v>
      </c>
      <c r="N658" s="911">
        <v>205.93</v>
      </c>
      <c r="O658" s="911"/>
      <c r="P658" s="911">
        <v>8.68</v>
      </c>
      <c r="Q658" s="911">
        <v>25.58</v>
      </c>
      <c r="R658" s="951"/>
      <c r="S658" s="920">
        <v>65.59</v>
      </c>
      <c r="T658" s="952">
        <f t="shared" si="23"/>
        <v>586.85</v>
      </c>
      <c r="U658" s="622"/>
      <c r="V658" s="615"/>
    </row>
    <row r="659" spans="1:23" ht="15">
      <c r="A659" s="949"/>
      <c r="B659" s="950"/>
      <c r="C659" s="907"/>
      <c r="D659" s="950"/>
      <c r="E659" s="950"/>
      <c r="F659" s="950"/>
      <c r="G659" s="950"/>
      <c r="H659" s="950"/>
      <c r="I659" s="950"/>
      <c r="J659" s="950"/>
      <c r="K659" s="950"/>
      <c r="L659" s="911"/>
      <c r="M659" s="911"/>
      <c r="N659" s="911"/>
      <c r="O659" s="911"/>
      <c r="P659" s="911"/>
      <c r="Q659" s="911"/>
      <c r="R659" s="951"/>
      <c r="S659" s="920"/>
      <c r="T659" s="952"/>
      <c r="U659" s="622"/>
      <c r="V659" s="608"/>
    </row>
    <row r="660" spans="1:23" ht="15">
      <c r="A660" s="2517" t="s">
        <v>5300</v>
      </c>
      <c r="B660" s="2518"/>
      <c r="C660" s="2519"/>
      <c r="D660" s="2518"/>
      <c r="E660" s="2518"/>
      <c r="F660" s="2518"/>
      <c r="G660" s="2518"/>
      <c r="H660" s="2518"/>
      <c r="I660" s="2518"/>
      <c r="J660" s="2518"/>
      <c r="K660" s="2520" t="s">
        <v>5388</v>
      </c>
      <c r="L660" s="2521"/>
      <c r="M660" s="2521"/>
      <c r="N660" s="2521"/>
      <c r="O660" s="2521"/>
      <c r="P660" s="2521"/>
      <c r="Q660" s="2521"/>
      <c r="R660" s="2522"/>
      <c r="S660" s="2523"/>
      <c r="T660" s="2524"/>
      <c r="U660" s="621">
        <f>SUM(T661:T662)</f>
        <v>392.46000000000004</v>
      </c>
      <c r="V660" s="615"/>
      <c r="W660" s="615"/>
    </row>
    <row r="661" spans="1:23" ht="15">
      <c r="A661" s="956">
        <v>19561262</v>
      </c>
      <c r="B661" s="950" t="s">
        <v>5301</v>
      </c>
      <c r="C661" s="907" t="s">
        <v>5302</v>
      </c>
      <c r="D661" s="950">
        <v>1998</v>
      </c>
      <c r="E661" s="950">
        <v>51</v>
      </c>
      <c r="F661" s="950">
        <v>2496</v>
      </c>
      <c r="G661" s="950">
        <v>0</v>
      </c>
      <c r="H661" s="950">
        <v>13758</v>
      </c>
      <c r="I661" s="950">
        <v>8</v>
      </c>
      <c r="J661" s="950">
        <v>0</v>
      </c>
      <c r="K661" s="950" t="s">
        <v>5303</v>
      </c>
      <c r="L661" s="911">
        <v>152.94</v>
      </c>
      <c r="M661" s="911"/>
      <c r="N661" s="911"/>
      <c r="O661" s="911"/>
      <c r="P661" s="911">
        <v>14.87</v>
      </c>
      <c r="Q661" s="911"/>
      <c r="R661" s="951"/>
      <c r="S661" s="920">
        <v>28.42</v>
      </c>
      <c r="T661" s="952">
        <f>SUM(L661:S661)</f>
        <v>196.23000000000002</v>
      </c>
      <c r="U661" s="622"/>
      <c r="V661" s="615"/>
    </row>
    <row r="662" spans="1:23" ht="15">
      <c r="A662" s="949">
        <v>19561263</v>
      </c>
      <c r="B662" s="950" t="s">
        <v>5301</v>
      </c>
      <c r="C662" s="907" t="s">
        <v>5304</v>
      </c>
      <c r="D662" s="950">
        <v>1999</v>
      </c>
      <c r="E662" s="950">
        <v>56</v>
      </c>
      <c r="F662" s="950">
        <v>2500</v>
      </c>
      <c r="G662" s="950">
        <v>0</v>
      </c>
      <c r="H662" s="950">
        <v>0</v>
      </c>
      <c r="I662" s="950">
        <v>8</v>
      </c>
      <c r="J662" s="950">
        <v>0</v>
      </c>
      <c r="K662" s="950" t="s">
        <v>5303</v>
      </c>
      <c r="L662" s="911">
        <v>152.94</v>
      </c>
      <c r="M662" s="911"/>
      <c r="N662" s="911"/>
      <c r="O662" s="911"/>
      <c r="P662" s="911">
        <v>14.87</v>
      </c>
      <c r="Q662" s="911"/>
      <c r="R662" s="951"/>
      <c r="S662" s="920">
        <v>28.42</v>
      </c>
      <c r="T662" s="952">
        <f>SUM(L662:S662)</f>
        <v>196.23000000000002</v>
      </c>
      <c r="U662" s="622"/>
      <c r="V662" s="615"/>
    </row>
    <row r="663" spans="1:23" ht="15">
      <c r="A663" s="949"/>
      <c r="B663" s="950"/>
      <c r="C663" s="907"/>
      <c r="D663" s="950"/>
      <c r="E663" s="950"/>
      <c r="F663" s="950"/>
      <c r="G663" s="950"/>
      <c r="H663" s="950"/>
      <c r="I663" s="950"/>
      <c r="J663" s="950"/>
      <c r="K663" s="950"/>
      <c r="L663" s="911"/>
      <c r="M663" s="911"/>
      <c r="N663" s="911"/>
      <c r="O663" s="911"/>
      <c r="P663" s="911"/>
      <c r="Q663" s="911"/>
      <c r="R663" s="951"/>
      <c r="S663" s="920"/>
      <c r="T663" s="952"/>
      <c r="U663" s="622"/>
      <c r="V663" s="608"/>
    </row>
    <row r="664" spans="1:23" ht="15">
      <c r="A664" s="2517" t="s">
        <v>5305</v>
      </c>
      <c r="B664" s="2518"/>
      <c r="C664" s="2519"/>
      <c r="D664" s="2518"/>
      <c r="E664" s="2518"/>
      <c r="F664" s="2518"/>
      <c r="G664" s="2518"/>
      <c r="H664" s="2518"/>
      <c r="I664" s="2518"/>
      <c r="J664" s="2518"/>
      <c r="K664" s="2520" t="s">
        <v>5389</v>
      </c>
      <c r="L664" s="2521"/>
      <c r="M664" s="2521"/>
      <c r="N664" s="2521"/>
      <c r="O664" s="2521"/>
      <c r="P664" s="2521"/>
      <c r="Q664" s="2521"/>
      <c r="R664" s="2522"/>
      <c r="S664" s="2523"/>
      <c r="T664" s="2524"/>
      <c r="U664" s="621">
        <f>SUM(T665:T684)</f>
        <v>4136.93</v>
      </c>
      <c r="V664" s="615"/>
      <c r="W664" s="615"/>
    </row>
    <row r="665" spans="1:23" ht="15">
      <c r="A665" s="949">
        <v>19757178</v>
      </c>
      <c r="B665" s="955" t="s">
        <v>5355</v>
      </c>
      <c r="C665" s="927" t="s">
        <v>5356</v>
      </c>
      <c r="D665" s="950" t="s">
        <v>5357</v>
      </c>
      <c r="E665" s="950"/>
      <c r="F665" s="950"/>
      <c r="G665" s="950"/>
      <c r="H665" s="950"/>
      <c r="I665" s="950"/>
      <c r="J665" s="950"/>
      <c r="K665" s="950" t="s">
        <v>5309</v>
      </c>
      <c r="L665" s="911">
        <v>27.54</v>
      </c>
      <c r="M665" s="911"/>
      <c r="N665" s="911"/>
      <c r="O665" s="911"/>
      <c r="P665" s="911">
        <v>8.68</v>
      </c>
      <c r="Q665" s="911"/>
      <c r="R665" s="951"/>
      <c r="S665" s="920">
        <v>4.2</v>
      </c>
      <c r="T665" s="952">
        <f t="shared" ref="T665:T682" si="24">SUM(L665:S665)</f>
        <v>40.42</v>
      </c>
      <c r="U665" s="622"/>
      <c r="V665" s="615"/>
    </row>
    <row r="666" spans="1:23" ht="15">
      <c r="A666" s="949">
        <v>19022624</v>
      </c>
      <c r="B666" s="950" t="s">
        <v>5264</v>
      </c>
      <c r="C666" s="907" t="s">
        <v>5308</v>
      </c>
      <c r="D666" s="950">
        <v>1996</v>
      </c>
      <c r="E666" s="950">
        <v>0</v>
      </c>
      <c r="F666" s="950">
        <v>6600</v>
      </c>
      <c r="G666" s="950">
        <v>4000</v>
      </c>
      <c r="H666" s="950">
        <v>98488</v>
      </c>
      <c r="I666" s="950">
        <v>1</v>
      </c>
      <c r="J666" s="950">
        <v>0</v>
      </c>
      <c r="K666" s="950" t="s">
        <v>5309</v>
      </c>
      <c r="L666" s="911">
        <v>27.54</v>
      </c>
      <c r="M666" s="911"/>
      <c r="N666" s="911"/>
      <c r="O666" s="911"/>
      <c r="P666" s="911">
        <v>8.68</v>
      </c>
      <c r="Q666" s="911">
        <v>75.83</v>
      </c>
      <c r="R666" s="951"/>
      <c r="S666" s="920">
        <v>13.68</v>
      </c>
      <c r="T666" s="952">
        <f t="shared" si="24"/>
        <v>125.72999999999999</v>
      </c>
      <c r="U666" s="622"/>
      <c r="V666" s="615"/>
    </row>
    <row r="667" spans="1:23" ht="15">
      <c r="A667" s="949">
        <v>19241504</v>
      </c>
      <c r="B667" s="950" t="s">
        <v>5239</v>
      </c>
      <c r="C667" s="907" t="s">
        <v>5311</v>
      </c>
      <c r="D667" s="950">
        <v>2005</v>
      </c>
      <c r="E667" s="950">
        <v>84</v>
      </c>
      <c r="F667" s="950">
        <v>2463</v>
      </c>
      <c r="G667" s="950">
        <v>0</v>
      </c>
      <c r="H667" s="950">
        <v>19906</v>
      </c>
      <c r="I667" s="950">
        <v>2</v>
      </c>
      <c r="J667" s="950">
        <v>0</v>
      </c>
      <c r="K667" s="950" t="s">
        <v>5241</v>
      </c>
      <c r="L667" s="911">
        <v>178.72</v>
      </c>
      <c r="M667" s="911"/>
      <c r="N667" s="911"/>
      <c r="O667" s="911"/>
      <c r="P667" s="911">
        <v>8.68</v>
      </c>
      <c r="Q667" s="911"/>
      <c r="R667" s="951"/>
      <c r="S667" s="920">
        <v>23.62</v>
      </c>
      <c r="T667" s="952">
        <f t="shared" si="24"/>
        <v>211.02</v>
      </c>
      <c r="U667" s="622"/>
      <c r="V667" s="615"/>
    </row>
    <row r="668" spans="1:23" ht="15">
      <c r="A668" s="949">
        <v>19295977</v>
      </c>
      <c r="B668" s="950" t="s">
        <v>5298</v>
      </c>
      <c r="C668" s="907" t="s">
        <v>5312</v>
      </c>
      <c r="D668" s="950">
        <v>2007</v>
      </c>
      <c r="E668" s="950">
        <v>88</v>
      </c>
      <c r="F668" s="950">
        <v>0</v>
      </c>
      <c r="G668" s="950">
        <v>0</v>
      </c>
      <c r="H668" s="950">
        <v>20670</v>
      </c>
      <c r="I668" s="950">
        <v>2</v>
      </c>
      <c r="J668" s="950">
        <v>0</v>
      </c>
      <c r="K668" s="950" t="s">
        <v>5241</v>
      </c>
      <c r="L668" s="911">
        <v>186.03</v>
      </c>
      <c r="M668" s="911"/>
      <c r="N668" s="911"/>
      <c r="O668" s="911"/>
      <c r="P668" s="911">
        <v>8.68</v>
      </c>
      <c r="Q668" s="911"/>
      <c r="R668" s="951"/>
      <c r="S668" s="920">
        <v>24.55</v>
      </c>
      <c r="T668" s="952">
        <f t="shared" si="24"/>
        <v>219.26000000000002</v>
      </c>
      <c r="U668" s="622"/>
      <c r="V668" s="615"/>
    </row>
    <row r="669" spans="1:23" ht="15">
      <c r="A669" s="949">
        <v>19327360</v>
      </c>
      <c r="B669" s="950" t="s">
        <v>5313</v>
      </c>
      <c r="C669" s="907" t="s">
        <v>5314</v>
      </c>
      <c r="D669" s="950">
        <v>2007</v>
      </c>
      <c r="E669" s="950">
        <v>55</v>
      </c>
      <c r="F669" s="950">
        <v>0</v>
      </c>
      <c r="G669" s="950">
        <v>0</v>
      </c>
      <c r="H669" s="950">
        <v>12286</v>
      </c>
      <c r="I669" s="950">
        <v>1</v>
      </c>
      <c r="J669" s="950">
        <v>0</v>
      </c>
      <c r="K669" s="950" t="s">
        <v>5241</v>
      </c>
      <c r="L669" s="911">
        <v>125.7</v>
      </c>
      <c r="M669" s="911"/>
      <c r="N669" s="911"/>
      <c r="O669" s="911"/>
      <c r="P669" s="911">
        <v>8.68</v>
      </c>
      <c r="Q669" s="911"/>
      <c r="R669" s="951"/>
      <c r="S669" s="920">
        <v>16.809999999999999</v>
      </c>
      <c r="T669" s="952">
        <f t="shared" si="24"/>
        <v>151.19</v>
      </c>
      <c r="U669" s="622"/>
      <c r="V669" s="615"/>
    </row>
    <row r="670" spans="1:23" ht="15">
      <c r="A670" s="949">
        <v>19358287</v>
      </c>
      <c r="B670" s="950" t="s">
        <v>5315</v>
      </c>
      <c r="C670" s="907" t="s">
        <v>5316</v>
      </c>
      <c r="D670" s="950">
        <v>2008</v>
      </c>
      <c r="E670" s="950">
        <v>0</v>
      </c>
      <c r="F670" s="950">
        <v>778</v>
      </c>
      <c r="G670" s="950">
        <v>0</v>
      </c>
      <c r="H670" s="950">
        <v>5885</v>
      </c>
      <c r="I670" s="950">
        <v>0</v>
      </c>
      <c r="J670" s="950">
        <v>0</v>
      </c>
      <c r="K670" s="950" t="s">
        <v>5317</v>
      </c>
      <c r="L670" s="911">
        <v>14.4</v>
      </c>
      <c r="M670" s="911"/>
      <c r="N670" s="911"/>
      <c r="O670" s="911"/>
      <c r="P670" s="911">
        <v>3.72</v>
      </c>
      <c r="Q670" s="911"/>
      <c r="R670" s="951"/>
      <c r="S670" s="920">
        <v>2.13</v>
      </c>
      <c r="T670" s="952">
        <f t="shared" si="24"/>
        <v>20.25</v>
      </c>
      <c r="U670" s="622"/>
      <c r="V670" s="615"/>
    </row>
    <row r="671" spans="1:23" ht="15">
      <c r="A671" s="949">
        <v>19469313</v>
      </c>
      <c r="B671" s="950" t="s">
        <v>5318</v>
      </c>
      <c r="C671" s="927" t="s">
        <v>5358</v>
      </c>
      <c r="D671" s="950">
        <v>2011</v>
      </c>
      <c r="E671" s="950">
        <v>0</v>
      </c>
      <c r="F671" s="950">
        <v>0</v>
      </c>
      <c r="G671" s="950">
        <v>0</v>
      </c>
      <c r="H671" s="950">
        <v>116997</v>
      </c>
      <c r="I671" s="950">
        <v>1</v>
      </c>
      <c r="J671" s="950">
        <v>0</v>
      </c>
      <c r="K671" s="950" t="s">
        <v>5309</v>
      </c>
      <c r="L671" s="911">
        <v>27.54</v>
      </c>
      <c r="M671" s="911"/>
      <c r="N671" s="911"/>
      <c r="O671" s="911"/>
      <c r="P671" s="911">
        <v>8.68</v>
      </c>
      <c r="Q671" s="911"/>
      <c r="R671" s="951"/>
      <c r="S671" s="920">
        <v>4.2</v>
      </c>
      <c r="T671" s="952">
        <f t="shared" si="24"/>
        <v>40.42</v>
      </c>
      <c r="U671" s="622"/>
      <c r="V671" s="615"/>
    </row>
    <row r="672" spans="1:23" ht="15">
      <c r="A672" s="949">
        <v>19482716</v>
      </c>
      <c r="B672" s="950" t="s">
        <v>5298</v>
      </c>
      <c r="C672" s="907" t="s">
        <v>5320</v>
      </c>
      <c r="D672" s="950">
        <v>2011</v>
      </c>
      <c r="E672" s="950">
        <v>92</v>
      </c>
      <c r="F672" s="950">
        <v>0</v>
      </c>
      <c r="G672" s="950">
        <v>0</v>
      </c>
      <c r="H672" s="950">
        <v>25388</v>
      </c>
      <c r="I672" s="950">
        <v>2</v>
      </c>
      <c r="J672" s="950">
        <v>0</v>
      </c>
      <c r="K672" s="950" t="s">
        <v>5241</v>
      </c>
      <c r="L672" s="911">
        <v>193.34</v>
      </c>
      <c r="M672" s="911"/>
      <c r="N672" s="911"/>
      <c r="O672" s="911"/>
      <c r="P672" s="911">
        <v>8.68</v>
      </c>
      <c r="Q672" s="911"/>
      <c r="R672" s="951"/>
      <c r="S672" s="920">
        <v>25.5</v>
      </c>
      <c r="T672" s="952">
        <f t="shared" si="24"/>
        <v>227.52</v>
      </c>
      <c r="U672" s="622"/>
      <c r="V672" s="615"/>
    </row>
    <row r="673" spans="1:23" ht="15">
      <c r="A673" s="949">
        <v>19488216</v>
      </c>
      <c r="B673" s="950" t="s">
        <v>5322</v>
      </c>
      <c r="C673" s="907" t="s">
        <v>5323</v>
      </c>
      <c r="D673" s="950">
        <v>2011</v>
      </c>
      <c r="E673" s="950">
        <v>0</v>
      </c>
      <c r="F673" s="950">
        <v>0</v>
      </c>
      <c r="G673" s="950">
        <v>0</v>
      </c>
      <c r="H673" s="950">
        <v>116997</v>
      </c>
      <c r="I673" s="950">
        <v>1</v>
      </c>
      <c r="J673" s="950">
        <v>0</v>
      </c>
      <c r="K673" s="950" t="s">
        <v>5309</v>
      </c>
      <c r="L673" s="911">
        <v>26.15</v>
      </c>
      <c r="M673" s="911">
        <v>102.97</v>
      </c>
      <c r="N673" s="911">
        <v>536.64</v>
      </c>
      <c r="O673" s="911"/>
      <c r="P673" s="911">
        <v>8.68</v>
      </c>
      <c r="Q673" s="911">
        <v>72.09</v>
      </c>
      <c r="R673" s="951"/>
      <c r="S673" s="920">
        <v>92.97</v>
      </c>
      <c r="T673" s="952">
        <f t="shared" si="24"/>
        <v>839.5</v>
      </c>
      <c r="U673" s="622"/>
      <c r="V673" s="615"/>
    </row>
    <row r="674" spans="1:23" ht="15">
      <c r="A674" s="949">
        <v>19057412</v>
      </c>
      <c r="B674" s="950" t="s">
        <v>5330</v>
      </c>
      <c r="C674" s="907" t="s">
        <v>5331</v>
      </c>
      <c r="D674" s="950">
        <v>2000</v>
      </c>
      <c r="E674" s="950">
        <v>0</v>
      </c>
      <c r="F674" s="950">
        <v>0</v>
      </c>
      <c r="G674" s="950">
        <v>0</v>
      </c>
      <c r="H674" s="950">
        <v>24789</v>
      </c>
      <c r="I674" s="950">
        <v>0</v>
      </c>
      <c r="J674" s="950">
        <v>0</v>
      </c>
      <c r="K674" s="950" t="s">
        <v>5332</v>
      </c>
      <c r="L674" s="911">
        <v>61.06</v>
      </c>
      <c r="M674" s="911"/>
      <c r="N674" s="911"/>
      <c r="O674" s="911"/>
      <c r="P674" s="911">
        <v>8.68</v>
      </c>
      <c r="Q674" s="911"/>
      <c r="R674" s="951"/>
      <c r="S674" s="920">
        <v>8.49</v>
      </c>
      <c r="T674" s="952">
        <f t="shared" si="24"/>
        <v>78.23</v>
      </c>
      <c r="U674" s="622"/>
      <c r="V674" s="615"/>
    </row>
    <row r="675" spans="1:23" ht="15">
      <c r="A675" s="949">
        <v>19677178</v>
      </c>
      <c r="B675" s="921" t="s">
        <v>5333</v>
      </c>
      <c r="C675" s="907" t="s">
        <v>5334</v>
      </c>
      <c r="D675" s="950"/>
      <c r="E675" s="950"/>
      <c r="F675" s="950"/>
      <c r="G675" s="950"/>
      <c r="H675" s="950"/>
      <c r="I675" s="950"/>
      <c r="J675" s="950"/>
      <c r="K675" s="950" t="s">
        <v>5335</v>
      </c>
      <c r="L675" s="911">
        <v>27.54</v>
      </c>
      <c r="M675" s="911"/>
      <c r="N675" s="911"/>
      <c r="O675" s="911"/>
      <c r="P675" s="911">
        <v>8.68</v>
      </c>
      <c r="Q675" s="911"/>
      <c r="R675" s="951"/>
      <c r="S675" s="920">
        <v>4.2</v>
      </c>
      <c r="T675" s="952">
        <f t="shared" si="24"/>
        <v>40.42</v>
      </c>
      <c r="U675" s="622"/>
      <c r="V675" s="615"/>
    </row>
    <row r="676" spans="1:23" ht="15">
      <c r="A676" s="949">
        <v>19770680</v>
      </c>
      <c r="B676" s="955" t="s">
        <v>5363</v>
      </c>
      <c r="C676" s="927" t="s">
        <v>5364</v>
      </c>
      <c r="D676" s="950"/>
      <c r="E676" s="950"/>
      <c r="F676" s="950"/>
      <c r="G676" s="950"/>
      <c r="H676" s="950"/>
      <c r="I676" s="950"/>
      <c r="J676" s="950"/>
      <c r="K676" s="955"/>
      <c r="L676" s="911">
        <v>305.86</v>
      </c>
      <c r="M676" s="911">
        <v>20.2</v>
      </c>
      <c r="N676" s="911"/>
      <c r="O676" s="911">
        <v>24.79</v>
      </c>
      <c r="P676" s="911">
        <v>8.68</v>
      </c>
      <c r="Q676" s="911">
        <v>14.13</v>
      </c>
      <c r="R676" s="951"/>
      <c r="S676" s="920">
        <v>47.35</v>
      </c>
      <c r="T676" s="952">
        <f t="shared" si="24"/>
        <v>421.01000000000005</v>
      </c>
      <c r="U676" s="622"/>
      <c r="V676" s="615"/>
    </row>
    <row r="677" spans="1:23" ht="15">
      <c r="A677" s="949">
        <v>19776374</v>
      </c>
      <c r="B677" s="955" t="s">
        <v>5282</v>
      </c>
      <c r="C677" s="927" t="s">
        <v>5365</v>
      </c>
      <c r="D677" s="950"/>
      <c r="E677" s="950"/>
      <c r="F677" s="950"/>
      <c r="G677" s="950"/>
      <c r="H677" s="950"/>
      <c r="I677" s="950"/>
      <c r="J677" s="950"/>
      <c r="K677" s="955"/>
      <c r="L677" s="911">
        <v>207.97</v>
      </c>
      <c r="M677" s="911"/>
      <c r="N677" s="911"/>
      <c r="O677" s="911"/>
      <c r="P677" s="911">
        <v>8.68</v>
      </c>
      <c r="Q677" s="911"/>
      <c r="R677" s="951"/>
      <c r="S677" s="920">
        <v>27.38</v>
      </c>
      <c r="T677" s="952">
        <f t="shared" si="24"/>
        <v>244.03</v>
      </c>
      <c r="U677" s="622"/>
      <c r="V677" s="615"/>
    </row>
    <row r="678" spans="1:23" ht="15">
      <c r="A678" s="949">
        <v>19774565</v>
      </c>
      <c r="B678" s="955" t="s">
        <v>5366</v>
      </c>
      <c r="C678" s="927" t="s">
        <v>5367</v>
      </c>
      <c r="D678" s="950"/>
      <c r="E678" s="950"/>
      <c r="F678" s="950"/>
      <c r="G678" s="950"/>
      <c r="H678" s="950"/>
      <c r="I678" s="950"/>
      <c r="J678" s="950"/>
      <c r="K678" s="955"/>
      <c r="L678" s="911">
        <v>208.85</v>
      </c>
      <c r="M678" s="911">
        <v>18.64</v>
      </c>
      <c r="N678" s="911"/>
      <c r="O678" s="911">
        <v>24.79</v>
      </c>
      <c r="P678" s="911">
        <v>8.68</v>
      </c>
      <c r="Q678" s="911">
        <v>14.9</v>
      </c>
      <c r="R678" s="951"/>
      <c r="S678" s="920">
        <v>34.78</v>
      </c>
      <c r="T678" s="952">
        <f t="shared" si="24"/>
        <v>310.64</v>
      </c>
      <c r="U678" s="622"/>
      <c r="V678" s="608"/>
    </row>
    <row r="679" spans="1:23" ht="15">
      <c r="A679" s="949">
        <v>19814661</v>
      </c>
      <c r="B679" s="955" t="s">
        <v>5371</v>
      </c>
      <c r="C679" s="927" t="s">
        <v>5372</v>
      </c>
      <c r="D679" s="950"/>
      <c r="E679" s="950"/>
      <c r="F679" s="950"/>
      <c r="G679" s="950"/>
      <c r="H679" s="950"/>
      <c r="I679" s="950"/>
      <c r="J679" s="950"/>
      <c r="K679" s="955"/>
      <c r="L679" s="911">
        <v>343.11</v>
      </c>
      <c r="M679" s="911"/>
      <c r="N679" s="911"/>
      <c r="O679" s="911"/>
      <c r="P679" s="911">
        <v>8.68</v>
      </c>
      <c r="Q679" s="911"/>
      <c r="R679" s="951"/>
      <c r="S679" s="920">
        <v>44.74</v>
      </c>
      <c r="T679" s="952">
        <f t="shared" si="24"/>
        <v>396.53000000000003</v>
      </c>
      <c r="U679" s="622"/>
      <c r="V679" s="615"/>
    </row>
    <row r="680" spans="1:23" ht="15">
      <c r="A680" s="949">
        <v>19828023</v>
      </c>
      <c r="B680" s="955" t="s">
        <v>5291</v>
      </c>
      <c r="C680" s="927" t="s">
        <v>5373</v>
      </c>
      <c r="D680" s="950"/>
      <c r="E680" s="950"/>
      <c r="F680" s="950"/>
      <c r="G680" s="950"/>
      <c r="H680" s="950"/>
      <c r="I680" s="950"/>
      <c r="J680" s="950"/>
      <c r="K680" s="955"/>
      <c r="L680" s="911">
        <v>173.23</v>
      </c>
      <c r="M680" s="911">
        <v>10.63</v>
      </c>
      <c r="N680" s="911"/>
      <c r="O680" s="911">
        <v>24.19</v>
      </c>
      <c r="P680" s="911">
        <v>8.68</v>
      </c>
      <c r="Q680" s="911">
        <v>7.46</v>
      </c>
      <c r="R680" s="951"/>
      <c r="S680" s="920">
        <v>28.19</v>
      </c>
      <c r="T680" s="952">
        <f t="shared" si="24"/>
        <v>252.38</v>
      </c>
      <c r="U680" s="622"/>
      <c r="V680" s="615"/>
    </row>
    <row r="681" spans="1:23" ht="15">
      <c r="A681" s="949">
        <v>19805234</v>
      </c>
      <c r="B681" s="955" t="s">
        <v>5374</v>
      </c>
      <c r="C681" s="927" t="s">
        <v>5375</v>
      </c>
      <c r="D681" s="950"/>
      <c r="E681" s="950"/>
      <c r="F681" s="950"/>
      <c r="G681" s="950"/>
      <c r="H681" s="950"/>
      <c r="I681" s="950"/>
      <c r="J681" s="950"/>
      <c r="K681" s="955"/>
      <c r="L681" s="911">
        <v>61.06</v>
      </c>
      <c r="M681" s="911"/>
      <c r="N681" s="911"/>
      <c r="O681" s="911"/>
      <c r="P681" s="911">
        <v>8.68</v>
      </c>
      <c r="Q681" s="911"/>
      <c r="R681" s="951"/>
      <c r="S681" s="920">
        <v>8.49</v>
      </c>
      <c r="T681" s="952">
        <f t="shared" si="24"/>
        <v>78.23</v>
      </c>
      <c r="U681" s="622"/>
      <c r="V681" s="608"/>
    </row>
    <row r="682" spans="1:23" ht="15">
      <c r="A682" s="949">
        <v>19602525</v>
      </c>
      <c r="B682" s="950" t="s">
        <v>5345</v>
      </c>
      <c r="C682" s="907" t="s">
        <v>5346</v>
      </c>
      <c r="D682" s="950"/>
      <c r="E682" s="950"/>
      <c r="F682" s="950"/>
      <c r="G682" s="950"/>
      <c r="H682" s="950"/>
      <c r="I682" s="950"/>
      <c r="J682" s="950"/>
      <c r="K682" s="950" t="s">
        <v>5347</v>
      </c>
      <c r="L682" s="911">
        <v>153.63</v>
      </c>
      <c r="M682" s="911">
        <v>13.19</v>
      </c>
      <c r="N682" s="911"/>
      <c r="O682" s="911">
        <v>24.79</v>
      </c>
      <c r="P682" s="911">
        <v>8.68</v>
      </c>
      <c r="Q682" s="911">
        <v>9.25</v>
      </c>
      <c r="R682" s="951"/>
      <c r="S682" s="920">
        <v>26.29</v>
      </c>
      <c r="T682" s="952">
        <f t="shared" si="24"/>
        <v>235.82999999999998</v>
      </c>
      <c r="U682" s="622"/>
      <c r="V682" s="615"/>
    </row>
    <row r="683" spans="1:23" ht="15">
      <c r="A683" s="949">
        <v>19602527</v>
      </c>
      <c r="B683" s="950" t="s">
        <v>5345</v>
      </c>
      <c r="C683" s="907" t="s">
        <v>5348</v>
      </c>
      <c r="D683" s="950"/>
      <c r="E683" s="950"/>
      <c r="F683" s="950"/>
      <c r="G683" s="950"/>
      <c r="H683" s="950"/>
      <c r="I683" s="950"/>
      <c r="J683" s="950"/>
      <c r="K683" s="950" t="s">
        <v>5347</v>
      </c>
      <c r="L683" s="911">
        <v>125.7</v>
      </c>
      <c r="M683" s="911">
        <v>13.19</v>
      </c>
      <c r="N683" s="911"/>
      <c r="O683" s="911">
        <v>24.79</v>
      </c>
      <c r="P683" s="911">
        <v>8.68</v>
      </c>
      <c r="Q683" s="911">
        <v>9.25</v>
      </c>
      <c r="R683" s="951"/>
      <c r="S683" s="920">
        <v>22.71</v>
      </c>
      <c r="T683" s="952">
        <f>SUM(L683:S683)</f>
        <v>204.32000000000002</v>
      </c>
      <c r="U683" s="622"/>
      <c r="V683" s="615"/>
    </row>
    <row r="684" spans="1:23" ht="15">
      <c r="A684" s="949"/>
      <c r="B684" s="950"/>
      <c r="C684" s="907"/>
      <c r="D684" s="950"/>
      <c r="E684" s="950"/>
      <c r="F684" s="950"/>
      <c r="G684" s="950"/>
      <c r="H684" s="950"/>
      <c r="I684" s="950"/>
      <c r="J684" s="950"/>
      <c r="K684" s="950"/>
      <c r="L684" s="911"/>
      <c r="M684" s="911"/>
      <c r="N684" s="911"/>
      <c r="O684" s="911"/>
      <c r="P684" s="911"/>
      <c r="Q684" s="911"/>
      <c r="R684" s="951"/>
      <c r="S684" s="920"/>
      <c r="T684" s="952"/>
      <c r="U684" s="622"/>
      <c r="V684" s="608"/>
    </row>
    <row r="685" spans="1:23" ht="15">
      <c r="A685" s="2517" t="s">
        <v>5339</v>
      </c>
      <c r="B685" s="2518"/>
      <c r="C685" s="2519"/>
      <c r="D685" s="2518"/>
      <c r="E685" s="2518"/>
      <c r="F685" s="2518"/>
      <c r="G685" s="2518"/>
      <c r="H685" s="2518"/>
      <c r="I685" s="2518"/>
      <c r="J685" s="2518"/>
      <c r="K685" s="2520" t="s">
        <v>5391</v>
      </c>
      <c r="L685" s="2521"/>
      <c r="M685" s="2521"/>
      <c r="N685" s="2521"/>
      <c r="O685" s="2521"/>
      <c r="P685" s="2521"/>
      <c r="Q685" s="2521"/>
      <c r="R685" s="2522"/>
      <c r="S685" s="2523"/>
      <c r="T685" s="2524"/>
      <c r="U685" s="621">
        <f>SUM(T686:T687)</f>
        <v>355.87</v>
      </c>
      <c r="V685" s="621"/>
      <c r="W685" s="621"/>
    </row>
    <row r="686" spans="1:23" ht="15">
      <c r="A686" s="949">
        <v>19046300</v>
      </c>
      <c r="B686" s="950" t="s">
        <v>5341</v>
      </c>
      <c r="C686" s="907" t="s">
        <v>5228</v>
      </c>
      <c r="D686" s="950">
        <v>1999</v>
      </c>
      <c r="E686" s="950">
        <v>0</v>
      </c>
      <c r="F686" s="950">
        <v>0</v>
      </c>
      <c r="G686" s="950">
        <v>2000</v>
      </c>
      <c r="H686" s="950">
        <v>7437</v>
      </c>
      <c r="I686" s="950">
        <v>0</v>
      </c>
      <c r="J686" s="950">
        <v>0</v>
      </c>
      <c r="K686" s="950" t="s">
        <v>5238</v>
      </c>
      <c r="L686" s="911">
        <v>12.99</v>
      </c>
      <c r="M686" s="911"/>
      <c r="N686" s="911"/>
      <c r="O686" s="911"/>
      <c r="P686" s="911"/>
      <c r="Q686" s="911"/>
      <c r="R686" s="951"/>
      <c r="S686" s="920">
        <v>1.67</v>
      </c>
      <c r="T686" s="952">
        <f>SUM(L686:S686)</f>
        <v>14.66</v>
      </c>
      <c r="U686" s="622"/>
      <c r="V686" s="621"/>
      <c r="W686" s="617"/>
    </row>
    <row r="687" spans="1:23" ht="15">
      <c r="A687" s="949">
        <v>19546172</v>
      </c>
      <c r="B687" s="950" t="s">
        <v>5342</v>
      </c>
      <c r="C687" s="907" t="s">
        <v>5343</v>
      </c>
      <c r="D687" s="950">
        <v>2013</v>
      </c>
      <c r="E687" s="950">
        <v>110</v>
      </c>
      <c r="F687" s="950">
        <v>0</v>
      </c>
      <c r="G687" s="950">
        <v>0</v>
      </c>
      <c r="H687" s="950">
        <v>24051</v>
      </c>
      <c r="I687" s="950">
        <v>6</v>
      </c>
      <c r="J687" s="950">
        <v>1</v>
      </c>
      <c r="K687" s="950" t="s">
        <v>5241</v>
      </c>
      <c r="L687" s="911">
        <v>294.08999999999997</v>
      </c>
      <c r="M687" s="911"/>
      <c r="N687" s="911"/>
      <c r="O687" s="911"/>
      <c r="P687" s="911">
        <v>8.68</v>
      </c>
      <c r="Q687" s="911"/>
      <c r="R687" s="951"/>
      <c r="S687" s="920">
        <v>38.44</v>
      </c>
      <c r="T687" s="952">
        <f>SUM(L687:S687)</f>
        <v>341.21</v>
      </c>
      <c r="U687" s="622"/>
      <c r="V687" s="621"/>
      <c r="W687" s="617"/>
    </row>
    <row r="688" spans="1:23" ht="15">
      <c r="A688" s="949"/>
      <c r="B688" s="950"/>
      <c r="C688" s="907"/>
      <c r="D688" s="950"/>
      <c r="E688" s="950"/>
      <c r="F688" s="950"/>
      <c r="G688" s="950"/>
      <c r="H688" s="950"/>
      <c r="I688" s="950"/>
      <c r="J688" s="950"/>
      <c r="K688" s="950"/>
      <c r="L688" s="911"/>
      <c r="M688" s="911"/>
      <c r="N688" s="911"/>
      <c r="O688" s="911"/>
      <c r="P688" s="911"/>
      <c r="Q688" s="911"/>
      <c r="R688" s="951"/>
      <c r="S688" s="920"/>
      <c r="T688" s="952"/>
      <c r="U688" s="622"/>
      <c r="V688" s="617"/>
      <c r="W688" s="617"/>
    </row>
    <row r="689" spans="1:23" ht="15.75" thickBot="1">
      <c r="A689" s="949"/>
      <c r="B689" s="950"/>
      <c r="C689" s="907"/>
      <c r="D689" s="950"/>
      <c r="E689" s="950"/>
      <c r="F689" s="950"/>
      <c r="G689" s="950"/>
      <c r="H689" s="950"/>
      <c r="I689" s="950"/>
      <c r="J689" s="950"/>
      <c r="K689" s="950"/>
      <c r="L689" s="911"/>
      <c r="M689" s="911"/>
      <c r="N689" s="911"/>
      <c r="O689" s="911"/>
      <c r="P689" s="911"/>
      <c r="Q689" s="911"/>
      <c r="R689" s="951"/>
      <c r="S689" s="920"/>
      <c r="T689" s="952"/>
      <c r="U689" s="622"/>
      <c r="V689" s="617"/>
      <c r="W689" s="617"/>
    </row>
    <row r="690" spans="1:23" ht="15.75" thickBot="1">
      <c r="A690" s="957"/>
      <c r="B690" s="957"/>
      <c r="C690" s="958"/>
      <c r="D690" s="957"/>
      <c r="E690" s="957"/>
      <c r="F690" s="957"/>
      <c r="G690" s="957"/>
      <c r="H690" s="957"/>
      <c r="I690" s="957"/>
      <c r="J690" s="957"/>
      <c r="K690" s="957"/>
      <c r="L690" s="2502">
        <f t="shared" ref="L690:U690" si="25">SUM(L612:L689)</f>
        <v>8597.9699999999975</v>
      </c>
      <c r="M690" s="2502">
        <f t="shared" si="25"/>
        <v>1371.7100000000005</v>
      </c>
      <c r="N690" s="2502">
        <f t="shared" si="25"/>
        <v>4237</v>
      </c>
      <c r="O690" s="2502">
        <f t="shared" si="25"/>
        <v>872.92999999999984</v>
      </c>
      <c r="P690" s="2502">
        <f t="shared" si="25"/>
        <v>447.59000000000026</v>
      </c>
      <c r="Q690" s="2502">
        <f t="shared" si="25"/>
        <v>1259.5899999999999</v>
      </c>
      <c r="R690" s="2502">
        <f t="shared" si="25"/>
        <v>31.85</v>
      </c>
      <c r="S690" s="2502">
        <f t="shared" si="25"/>
        <v>2410.9099999999994</v>
      </c>
      <c r="T690" s="2502">
        <f t="shared" si="25"/>
        <v>19229.55</v>
      </c>
      <c r="U690" s="3536">
        <f t="shared" si="25"/>
        <v>19229.55</v>
      </c>
      <c r="V690" s="3535"/>
      <c r="W690" s="621"/>
    </row>
    <row r="691" spans="1:23">
      <c r="V691" s="608"/>
    </row>
  </sheetData>
  <mergeCells count="17">
    <mergeCell ref="A609:K609"/>
    <mergeCell ref="L609:R609"/>
    <mergeCell ref="A522:K522"/>
    <mergeCell ref="L522:R522"/>
    <mergeCell ref="A432:K432"/>
    <mergeCell ref="L432:R432"/>
    <mergeCell ref="A5:K5"/>
    <mergeCell ref="L5:R5"/>
    <mergeCell ref="A88:K88"/>
    <mergeCell ref="L88:R88"/>
    <mergeCell ref="A179:K179"/>
    <mergeCell ref="L179:R179"/>
    <mergeCell ref="A261:K261"/>
    <mergeCell ref="L261:R261"/>
    <mergeCell ref="A346:K346"/>
    <mergeCell ref="L346:R346"/>
    <mergeCell ref="A175:N175"/>
  </mergeCells>
  <hyperlinks>
    <hyperlink ref="A1" r:id="rId1" location="GLOBAAL!A1" display="boordtabellen%20financiën.xls#GLOBAAL!A1" xr:uid="{00000000-0004-0000-4600-000000000000}"/>
    <hyperlink ref="B1" location="GLOBAAL!A1" display="#GLOBAAL!A1" xr:uid="{00000000-0004-0000-4600-000001000000}"/>
    <hyperlink ref="A175:M175" location="FINANCIËN!A1" display="Verzekeringen voertuigen" xr:uid="{00000000-0004-0000-4600-000002000000}"/>
  </hyperlinks>
  <pageMargins left="0.35433070866141736" right="0.35433070866141736" top="0.59055118110236227" bottom="0.59055118110236227" header="0.51181102362204722" footer="0.51181102362204722"/>
  <pageSetup paperSize="9" orientation="landscape" copies="2"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sheetPr>
  <dimension ref="A1:I28"/>
  <sheetViews>
    <sheetView workbookViewId="0">
      <selection activeCell="C14" sqref="C14"/>
    </sheetView>
  </sheetViews>
  <sheetFormatPr defaultColWidth="9.140625" defaultRowHeight="15"/>
  <cols>
    <col min="1" max="1" width="11.5703125" style="4033" customWidth="1"/>
    <col min="2" max="2" width="0.85546875" style="4033" customWidth="1"/>
    <col min="3" max="3" width="26.42578125" style="4033" customWidth="1"/>
    <col min="4" max="4" width="14" style="4033" customWidth="1"/>
    <col min="5" max="5" width="26.28515625" style="4033" customWidth="1"/>
    <col min="6" max="6" width="11" style="4033" customWidth="1"/>
    <col min="7" max="7" width="28.5703125" style="4033" customWidth="1"/>
    <col min="8" max="8" width="8.5703125" style="4033" customWidth="1"/>
    <col min="9" max="9" width="19.5703125" style="4033" customWidth="1"/>
    <col min="10" max="16384" width="9.140625" style="4033"/>
  </cols>
  <sheetData>
    <row r="1" spans="1:9">
      <c r="A1" s="4034"/>
    </row>
    <row r="2" spans="1:9" ht="36">
      <c r="C2" s="4035" t="s">
        <v>107</v>
      </c>
      <c r="E2" s="4036"/>
      <c r="F2" s="4036"/>
      <c r="G2" s="4036"/>
      <c r="H2" s="4036"/>
      <c r="I2" s="4036"/>
    </row>
    <row r="3" spans="1:9">
      <c r="D3" s="4747"/>
      <c r="E3" s="4747"/>
      <c r="F3" s="4747"/>
    </row>
    <row r="4" spans="1:9" ht="24.75" customHeight="1">
      <c r="A4" s="4037"/>
      <c r="B4" s="4037"/>
      <c r="C4" s="4536" t="s">
        <v>84</v>
      </c>
      <c r="D4" s="4037"/>
      <c r="E4" s="4754" t="s">
        <v>633</v>
      </c>
      <c r="F4" s="4037"/>
      <c r="G4" s="4527" t="s">
        <v>5490</v>
      </c>
    </row>
    <row r="5" spans="1:9" ht="15" customHeight="1">
      <c r="A5" s="4037"/>
      <c r="B5" s="4037"/>
      <c r="C5" s="4536" t="s">
        <v>7063</v>
      </c>
      <c r="D5" s="4037"/>
      <c r="E5" s="4755"/>
      <c r="F5" s="4037"/>
      <c r="G5" s="4528" t="s">
        <v>7064</v>
      </c>
    </row>
    <row r="6" spans="1:9" ht="15" customHeight="1">
      <c r="A6" s="4037"/>
      <c r="B6" s="4037"/>
      <c r="C6" s="4538"/>
      <c r="D6" s="4037"/>
      <c r="E6" s="4037"/>
      <c r="F6" s="4037"/>
      <c r="G6" s="4528" t="s">
        <v>2466</v>
      </c>
    </row>
    <row r="7" spans="1:9" ht="21" customHeight="1">
      <c r="A7" s="4037"/>
      <c r="B7" s="4037"/>
      <c r="C7" s="4536" t="s">
        <v>86</v>
      </c>
      <c r="D7" s="4037"/>
      <c r="E7" s="4751" t="s">
        <v>90</v>
      </c>
      <c r="F7" s="4037"/>
      <c r="G7" s="4528" t="s">
        <v>2462</v>
      </c>
    </row>
    <row r="8" spans="1:9">
      <c r="A8" s="4037"/>
      <c r="B8" s="4037"/>
      <c r="C8" s="4537" t="s">
        <v>7062</v>
      </c>
      <c r="D8" s="4037"/>
      <c r="E8" s="4752"/>
      <c r="F8" s="4037"/>
      <c r="G8" s="4528" t="s">
        <v>2463</v>
      </c>
    </row>
    <row r="9" spans="1:9">
      <c r="A9" s="4037"/>
      <c r="B9" s="4037"/>
      <c r="C9" s="4038"/>
      <c r="D9" s="4037"/>
      <c r="E9" s="4037"/>
      <c r="F9" s="4037"/>
      <c r="G9" s="4528" t="s">
        <v>997</v>
      </c>
    </row>
    <row r="10" spans="1:9" ht="27" customHeight="1">
      <c r="A10" s="4037"/>
      <c r="B10" s="4037"/>
      <c r="C10" s="4527" t="s">
        <v>112</v>
      </c>
      <c r="D10" s="4037"/>
      <c r="E10" s="4041" t="s">
        <v>93</v>
      </c>
      <c r="F10" s="4037"/>
      <c r="G10" s="4528" t="s">
        <v>1759</v>
      </c>
      <c r="H10" s="4034"/>
    </row>
    <row r="11" spans="1:9">
      <c r="A11" s="4037"/>
      <c r="B11" s="4037"/>
      <c r="C11" s="4037"/>
      <c r="D11" s="4037"/>
      <c r="E11" s="4037"/>
      <c r="F11" s="4037"/>
      <c r="G11" s="4528" t="s">
        <v>1513</v>
      </c>
    </row>
    <row r="12" spans="1:9" ht="27" customHeight="1">
      <c r="A12" s="4037"/>
      <c r="B12" s="4037"/>
      <c r="C12" s="4527" t="s">
        <v>91</v>
      </c>
      <c r="D12" s="4037"/>
      <c r="E12" s="4041" t="s">
        <v>92</v>
      </c>
      <c r="F12" s="4037"/>
      <c r="G12" s="4528" t="s">
        <v>2468</v>
      </c>
    </row>
    <row r="13" spans="1:9">
      <c r="A13" s="4037"/>
      <c r="B13" s="4037"/>
      <c r="C13" s="4527" t="s">
        <v>8000</v>
      </c>
      <c r="D13" s="4037"/>
      <c r="E13" s="4037"/>
      <c r="F13" s="4037"/>
      <c r="G13" s="4528" t="s">
        <v>2467</v>
      </c>
    </row>
    <row r="14" spans="1:9" ht="27" customHeight="1">
      <c r="A14" s="4037"/>
      <c r="B14" s="4037"/>
      <c r="C14" s="4534" t="s">
        <v>8296</v>
      </c>
      <c r="D14" s="4037"/>
      <c r="E14" s="4041" t="s">
        <v>978</v>
      </c>
      <c r="F14" s="4037"/>
      <c r="G14" s="4528" t="s">
        <v>1636</v>
      </c>
    </row>
    <row r="15" spans="1:9" ht="16.5" customHeight="1">
      <c r="A15" s="4037"/>
      <c r="B15" s="4037"/>
      <c r="C15" s="4037"/>
      <c r="D15" s="4037"/>
      <c r="E15" s="4037"/>
      <c r="F15" s="4037"/>
      <c r="G15" s="4037"/>
    </row>
    <row r="16" spans="1:9" ht="16.5" customHeight="1">
      <c r="A16" s="4037"/>
      <c r="B16" s="4037"/>
      <c r="C16" s="4534" t="s">
        <v>5487</v>
      </c>
      <c r="D16" s="4037"/>
      <c r="E16" s="4527" t="s">
        <v>7047</v>
      </c>
      <c r="F16" s="4037"/>
      <c r="G16" s="4529" t="s">
        <v>7136</v>
      </c>
    </row>
    <row r="17" spans="1:7">
      <c r="A17" s="4037"/>
      <c r="B17" s="4037"/>
      <c r="C17" s="4535" t="s">
        <v>5491</v>
      </c>
      <c r="D17" s="4037"/>
      <c r="E17" s="4530" t="s">
        <v>5223</v>
      </c>
      <c r="F17" s="4037"/>
      <c r="G17" s="4529" t="s">
        <v>57</v>
      </c>
    </row>
    <row r="18" spans="1:7" ht="15.75" customHeight="1">
      <c r="A18" s="4037"/>
      <c r="B18" s="4037"/>
      <c r="C18" s="4037"/>
      <c r="D18" s="4037"/>
      <c r="E18" s="4530" t="s">
        <v>5488</v>
      </c>
      <c r="F18" s="4037"/>
      <c r="G18" s="4529" t="s">
        <v>43</v>
      </c>
    </row>
    <row r="19" spans="1:7" ht="16.5" customHeight="1">
      <c r="A19" s="4037"/>
      <c r="B19" s="4037"/>
      <c r="C19" s="4531" t="s">
        <v>5486</v>
      </c>
      <c r="D19" s="4037"/>
      <c r="E19" s="4530" t="s">
        <v>7137</v>
      </c>
      <c r="F19" s="4037"/>
      <c r="G19" s="4529" t="s">
        <v>5489</v>
      </c>
    </row>
    <row r="20" spans="1:7" ht="15.75" customHeight="1">
      <c r="A20" s="4037"/>
      <c r="B20" s="4037"/>
      <c r="C20" s="4532" t="s">
        <v>39</v>
      </c>
      <c r="D20" s="4037"/>
      <c r="E20" s="4037"/>
      <c r="F20" s="4037"/>
      <c r="G20" s="4529" t="s">
        <v>7048</v>
      </c>
    </row>
    <row r="21" spans="1:7" ht="24" customHeight="1">
      <c r="A21" s="4037"/>
      <c r="B21" s="4037"/>
      <c r="C21" s="4753" t="s">
        <v>7121</v>
      </c>
      <c r="D21" s="4037"/>
      <c r="E21" s="4527" t="s">
        <v>5495</v>
      </c>
      <c r="F21" s="4037"/>
      <c r="G21" s="4529" t="s">
        <v>7052</v>
      </c>
    </row>
    <row r="22" spans="1:7" ht="16.5" customHeight="1">
      <c r="A22" s="4037"/>
      <c r="B22" s="4037"/>
      <c r="C22" s="4753"/>
      <c r="D22" s="4037"/>
      <c r="E22" s="4527" t="s">
        <v>5496</v>
      </c>
      <c r="F22" s="4037"/>
      <c r="G22" s="4529" t="s">
        <v>7053</v>
      </c>
    </row>
    <row r="23" spans="1:7" ht="16.5" customHeight="1">
      <c r="A23" s="4037"/>
      <c r="B23" s="4037"/>
      <c r="C23" s="4533" t="s">
        <v>6049</v>
      </c>
      <c r="D23" s="4037"/>
      <c r="E23" s="4527" t="s">
        <v>5498</v>
      </c>
      <c r="F23" s="4037"/>
      <c r="G23" s="4529" t="s">
        <v>7054</v>
      </c>
    </row>
    <row r="24" spans="1:7" ht="16.5" customHeight="1"/>
    <row r="25" spans="1:7" s="4039" customFormat="1" ht="18.75">
      <c r="E25" s="4527" t="s">
        <v>8328</v>
      </c>
      <c r="G25" s="4529" t="s">
        <v>7135</v>
      </c>
    </row>
    <row r="26" spans="1:7" ht="18.75">
      <c r="A26" s="4748" t="s">
        <v>7145</v>
      </c>
      <c r="B26" s="4748"/>
      <c r="C26" s="4748"/>
      <c r="E26" s="4527" t="s">
        <v>8332</v>
      </c>
      <c r="G26" s="4529" t="s">
        <v>7139</v>
      </c>
    </row>
    <row r="27" spans="1:7" s="4039" customFormat="1" ht="15.75" customHeight="1">
      <c r="B27" s="4040"/>
      <c r="E27" s="4527" t="s">
        <v>8383</v>
      </c>
      <c r="G27" s="4529" t="s">
        <v>7142</v>
      </c>
    </row>
    <row r="28" spans="1:7" ht="18.75">
      <c r="A28" s="4748" t="s">
        <v>7147</v>
      </c>
      <c r="B28" s="4748"/>
      <c r="C28" s="4748"/>
    </row>
  </sheetData>
  <mergeCells count="6">
    <mergeCell ref="A28:C28"/>
    <mergeCell ref="E7:E8"/>
    <mergeCell ref="C21:C22"/>
    <mergeCell ref="D3:F3"/>
    <mergeCell ref="E4:E5"/>
    <mergeCell ref="A26:C26"/>
  </mergeCells>
  <hyperlinks>
    <hyperlink ref="A27:B27" location="INDELING!A1" display="&gt; &gt; Terug naar indeling" xr:uid="{00000000-0004-0000-0500-000000000000}"/>
    <hyperlink ref="C4" location="'F-Belast.'!A1" display="BELASTINGEN" xr:uid="{00000000-0004-0000-0500-000001000000}"/>
    <hyperlink ref="C5" location="'F-Bel. regl.'!A1" display="BELASTINGREGLEMENTEN" xr:uid="{00000000-0004-0000-0500-000002000000}"/>
    <hyperlink ref="E4" location="'F-Beleggingen en dividenden'!A1" display="BELEGGINGEN" xr:uid="{00000000-0004-0000-0500-000003000000}"/>
    <hyperlink ref="E7" location="'F-Fisc.'!A1" display="FISCALITEIT" xr:uid="{00000000-0004-0000-0500-000004000000}"/>
    <hyperlink ref="C10" location="'F-GSV'!A1" display="GEMEENTELIJKE SANERINGSVERGOEDING" xr:uid="{00000000-0004-0000-0500-000005000000}"/>
    <hyperlink ref="C7" location="'F-Fonds'!A1" display="FONDSEN" xr:uid="{00000000-0004-0000-0500-000006000000}"/>
    <hyperlink ref="E4:E5" location="'F-Beleg. div.'!A1" display="BELEGGINGEN                    DIVIDENDEN" xr:uid="{00000000-0004-0000-0500-000007000000}"/>
    <hyperlink ref="E10" location="'F-KI'!A1" display="KADASTRAAL INKOMEN" xr:uid="{00000000-0004-0000-0500-000008000000}"/>
    <hyperlink ref="E12" location="'F-Kohier'!A1" display="KOHIEREN" xr:uid="{00000000-0004-0000-0500-000009000000}"/>
    <hyperlink ref="C12" location="'F-KF'!A1" display="KERKFABRIEKEN" xr:uid="{00000000-0004-0000-0500-00000A000000}"/>
    <hyperlink ref="C14" location="'F.retr bz'!A1" display="RETRIBUTIE BLAUWE ZONE" xr:uid="{00000000-0004-0000-0500-00000B000000}"/>
    <hyperlink ref="E14" location="F.dotatie!A1" display="DOTATIES" xr:uid="{00000000-0004-0000-0500-00000C000000}"/>
    <hyperlink ref="G6" location="'F- BIB'!A1" display="BIB" xr:uid="{00000000-0004-0000-0500-00000D000000}"/>
    <hyperlink ref="G7" location="'F-BKO'!A1" display="BKO" xr:uid="{00000000-0004-0000-0500-00000E000000}"/>
    <hyperlink ref="G8" location="'F-Cult &amp; Arch'!A1" display="Cult &amp; archief" xr:uid="{00000000-0004-0000-0500-00000F000000}"/>
    <hyperlink ref="G9" location="'F-Dorpshuizen'!A1" display="Dorpshuizen" xr:uid="{00000000-0004-0000-0500-000010000000}"/>
    <hyperlink ref="G10" location="'F-Groendienst'!A1" display="Groendienst" xr:uid="{00000000-0004-0000-0500-000011000000}"/>
    <hyperlink ref="G11" location="'F-SAMWD'!A1" display="SAMWD" xr:uid="{00000000-0004-0000-0500-000012000000}"/>
    <hyperlink ref="G12" location="'F-School'!A1" display="School" xr:uid="{00000000-0004-0000-0500-000013000000}"/>
    <hyperlink ref="G13" location="'F-Sport'!A1" display="Sport" xr:uid="{00000000-0004-0000-0500-000014000000}"/>
    <hyperlink ref="G14" location="'F-Toerisme'!A1" display="Toerisme" xr:uid="{00000000-0004-0000-0500-000015000000}"/>
    <hyperlink ref="C8" location="'F-Gem fonds ber'!A1" display="Berekening gemeentefonds" xr:uid="{00000000-0004-0000-0500-000016000000}"/>
    <hyperlink ref="E17" location="'F-verz brand'!A1" display="Uitsplitsing patrim.polis" xr:uid="{00000000-0004-0000-0500-000017000000}"/>
    <hyperlink ref="E18" location="'F-verz voertuigen'!A1" display="Voertuigen" xr:uid="{00000000-0004-0000-0500-000018000000}"/>
    <hyperlink ref="E19" location="'F- verz alle risico'!A1" display="Diversen" xr:uid="{00000000-0004-0000-0500-000019000000}"/>
    <hyperlink ref="G5" location="'F-Afval'!A1" display="Afval" xr:uid="{00000000-0004-0000-0500-00001A000000}"/>
    <hyperlink ref="G16" location="'F-eco groepen'!A1" display="Economische groepen" xr:uid="{00000000-0004-0000-0500-00001B000000}"/>
    <hyperlink ref="G17" location="'F-energie'!A1" display="Energiekosten" xr:uid="{00000000-0004-0000-0500-00001C000000}"/>
    <hyperlink ref="E21" location="'F-evolutie schuld stad &amp; ag'!A1" display="SCHULD &amp; EVOLUTIE T4" xr:uid="{00000000-0004-0000-0500-00001D000000}"/>
    <hyperlink ref="E22" location="'F-schuld stad oud'!A1" display="SCHULD OUD" xr:uid="{00000000-0004-0000-0500-00001E000000}"/>
    <hyperlink ref="G18" location="'F-fact ontv'!A1" display="Fact. Ontvangsten" xr:uid="{00000000-0004-0000-0500-00001F000000}"/>
    <hyperlink ref="G19" location="'F- ontv vs uitg'!A1" display="Ontvangsten vs uitgaven" xr:uid="{00000000-0004-0000-0500-000020000000}"/>
    <hyperlink ref="G20" location="'F-matrix ontv'!A1" display="interne controle matrix ontv." xr:uid="{00000000-0004-0000-0500-000021000000}"/>
    <hyperlink ref="G22" location="'F-AFM'!A1" display="Saldo eigen dienstjaar / AFM" xr:uid="{00000000-0004-0000-0500-000022000000}"/>
    <hyperlink ref="G21" location="'F- fin. overb.'!A1" display="Financiering via overboeking" xr:uid="{00000000-0004-0000-0500-000023000000}"/>
    <hyperlink ref="G23" location="'F-eigen aandeel inv'!A1" display="Investeringen" xr:uid="{00000000-0004-0000-0500-000024000000}"/>
    <hyperlink ref="E23" location="'F-leningen'!A1" display="INVENTARIS LENINGEN" xr:uid="{00000000-0004-0000-0500-000025000000}"/>
    <hyperlink ref="A26:B26" location="BOORDTABELLEN!A1" display="Terug naar overzicht" xr:uid="{00000000-0004-0000-0500-000026000000}"/>
    <hyperlink ref="C23" location="'F-subsidies'!A1" display="SUBSIDIES VRIJE TIJD" xr:uid="{00000000-0004-0000-0500-000027000000}"/>
    <hyperlink ref="C16" location="'F-Werkingskr'!A1" display="WERKINGSKREDIETEN" xr:uid="{00000000-0004-0000-0500-000028000000}"/>
    <hyperlink ref="C17" location="'F-Werkingskr evolutie'!A1" display="EVOLUTIE" xr:uid="{00000000-0004-0000-0500-000029000000}"/>
    <hyperlink ref="C21:C22" location="'F-Pers&amp;Werk sub'!A1" display="Personeels-en werkingsubsidies" xr:uid="{00000000-0004-0000-0500-00002A000000}"/>
    <hyperlink ref="G25" location="'F-DEXIA'!A1" display="Extra: Dexia" xr:uid="{00000000-0004-0000-0500-00002B000000}"/>
    <hyperlink ref="G26" location="'F-RIZIVBEWONERS'!A1" display="Extra: RIZIV Bewoners" xr:uid="{00000000-0004-0000-0500-00002C000000}"/>
    <hyperlink ref="G27" location="'F-processen fin'!A1" display="Extra: processen fin" xr:uid="{00000000-0004-0000-0500-00002D000000}"/>
    <hyperlink ref="C2" location="BOORDTABELLEN!A1" display="BOORDTABELLEN FINANCIËN" xr:uid="{00000000-0004-0000-0500-00002E000000}"/>
    <hyperlink ref="C20" location="'F-projectsubsidies'!A1" display="Projectsubsidies" xr:uid="{00000000-0004-0000-0500-00002F000000}"/>
    <hyperlink ref="C13" location="'F-KF Vermogen'!A1" display="KF VERMOGEN" xr:uid="{00000000-0004-0000-0500-000030000000}"/>
    <hyperlink ref="A28:C28" location="INDELING!A1" display="&gt; &gt; Terug naar overzichtspagina " xr:uid="{6CB1D480-A94F-4BB2-8121-B8A2F7F6920C}"/>
    <hyperlink ref="E26" location="'F-Staat O en K'!A1" display="Staat van opbr. &amp; kosten" xr:uid="{D4A2FE45-FED9-475F-8C8E-FCF3FC281C34}"/>
    <hyperlink ref="E27" location="'F-Financieel evenw'!A1" display="Financieel evenwicht" xr:uid="{CDCB14DB-DDD8-46C0-8274-B5730EFBE252}"/>
    <hyperlink ref="E25" location="'F-Taartjes'!A1" display="JAARREKENING - Taartjes" xr:uid="{20F60C6C-777F-47F7-A0FF-D60BAF289898}"/>
  </hyperlinks>
  <pageMargins left="0.7" right="0.7" top="0.75" bottom="0.75" header="0.3" footer="0.3"/>
  <pageSetup paperSize="9" orientation="landscape"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EBD531"/>
  </sheetPr>
  <dimension ref="A1:D18"/>
  <sheetViews>
    <sheetView workbookViewId="0">
      <selection sqref="A1:D1"/>
    </sheetView>
  </sheetViews>
  <sheetFormatPr defaultColWidth="9.140625" defaultRowHeight="12.75"/>
  <cols>
    <col min="1" max="1" width="11.140625" style="520" bestFit="1" customWidth="1"/>
    <col min="2" max="2" width="40.42578125" style="520" bestFit="1" customWidth="1"/>
    <col min="3" max="3" width="22.85546875" style="598" bestFit="1" customWidth="1"/>
    <col min="4" max="16384" width="9.140625" style="520"/>
  </cols>
  <sheetData>
    <row r="1" spans="1:4" ht="18.75">
      <c r="A1" s="4771" t="s">
        <v>5186</v>
      </c>
      <c r="B1" s="4772"/>
      <c r="C1" s="4772"/>
      <c r="D1" s="4772"/>
    </row>
    <row r="3" spans="1:4">
      <c r="A3" s="878" t="s">
        <v>5187</v>
      </c>
      <c r="B3" s="878"/>
      <c r="C3" s="879" t="s">
        <v>5188</v>
      </c>
    </row>
    <row r="4" spans="1:4">
      <c r="A4" s="627">
        <v>45048991</v>
      </c>
      <c r="B4" s="520" t="s">
        <v>5189</v>
      </c>
      <c r="C4" s="675">
        <v>1250890</v>
      </c>
    </row>
    <row r="5" spans="1:4">
      <c r="A5" s="627">
        <v>45044729</v>
      </c>
      <c r="B5" s="520" t="s">
        <v>5190</v>
      </c>
      <c r="C5" s="675">
        <v>274393</v>
      </c>
    </row>
    <row r="6" spans="1:4">
      <c r="A6" s="627">
        <v>45043321</v>
      </c>
      <c r="B6" s="520" t="s">
        <v>5191</v>
      </c>
      <c r="C6" s="675">
        <v>47140</v>
      </c>
    </row>
    <row r="7" spans="1:4">
      <c r="A7" s="627">
        <v>45023369</v>
      </c>
      <c r="B7" s="520" t="s">
        <v>5192</v>
      </c>
      <c r="C7" s="675"/>
    </row>
    <row r="8" spans="1:4">
      <c r="A8" s="627">
        <v>45155527</v>
      </c>
      <c r="B8" s="520" t="s">
        <v>5193</v>
      </c>
      <c r="C8" s="675"/>
    </row>
    <row r="9" spans="1:4">
      <c r="A9" s="627">
        <v>45155831</v>
      </c>
      <c r="B9" s="520" t="s">
        <v>5194</v>
      </c>
      <c r="C9" s="675"/>
    </row>
    <row r="10" spans="1:4">
      <c r="A10" s="627">
        <v>45059503</v>
      </c>
      <c r="B10" s="520" t="s">
        <v>5195</v>
      </c>
      <c r="C10" s="675"/>
    </row>
    <row r="11" spans="1:4">
      <c r="A11" s="627">
        <v>45035733</v>
      </c>
      <c r="B11" s="520" t="s">
        <v>5196</v>
      </c>
      <c r="C11" s="675"/>
    </row>
    <row r="12" spans="1:4">
      <c r="A12" s="627">
        <v>45035731</v>
      </c>
      <c r="B12" s="520" t="s">
        <v>5197</v>
      </c>
      <c r="C12" s="675"/>
    </row>
    <row r="13" spans="1:4">
      <c r="A13" s="627">
        <v>45054926</v>
      </c>
      <c r="B13" s="520" t="s">
        <v>5198</v>
      </c>
      <c r="C13" s="675"/>
    </row>
    <row r="14" spans="1:4">
      <c r="A14" s="627">
        <v>45205275</v>
      </c>
      <c r="B14" s="520" t="s">
        <v>5199</v>
      </c>
      <c r="C14" s="675"/>
    </row>
    <row r="15" spans="1:4">
      <c r="A15" s="627">
        <v>45010383</v>
      </c>
      <c r="B15" s="520" t="s">
        <v>5200</v>
      </c>
      <c r="C15" s="675"/>
    </row>
    <row r="16" spans="1:4">
      <c r="A16" s="627">
        <v>45228351</v>
      </c>
      <c r="B16" s="520" t="s">
        <v>5201</v>
      </c>
      <c r="C16" s="675"/>
    </row>
    <row r="17" spans="1:3">
      <c r="A17" s="520">
        <v>2725384</v>
      </c>
      <c r="B17" s="520" t="s">
        <v>5202</v>
      </c>
      <c r="C17" s="675"/>
    </row>
    <row r="18" spans="1:3">
      <c r="A18" s="520">
        <v>19007694</v>
      </c>
      <c r="B18" s="520" t="s">
        <v>5203</v>
      </c>
      <c r="C18" s="675"/>
    </row>
  </sheetData>
  <mergeCells count="1">
    <mergeCell ref="A1:D1"/>
  </mergeCells>
  <hyperlinks>
    <hyperlink ref="A1:C1" location="FINANCIËN!A1" display="OVERZICHT DIVERSE POLISSEN" xr:uid="{00000000-0004-0000-4700-000000000000}"/>
  </hyperlinks>
  <pageMargins left="0.75" right="0.75" top="1" bottom="1" header="0.5" footer="0.5"/>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rgb="FFEBD531"/>
    <pageSetUpPr fitToPage="1"/>
  </sheetPr>
  <dimension ref="A1:W115"/>
  <sheetViews>
    <sheetView workbookViewId="0">
      <pane ySplit="4" topLeftCell="A70" activePane="bottomLeft" state="frozen"/>
      <selection activeCell="E37" sqref="E37"/>
      <selection pane="bottomLeft" sqref="A1:E1"/>
    </sheetView>
  </sheetViews>
  <sheetFormatPr defaultColWidth="9.140625" defaultRowHeight="12.75"/>
  <cols>
    <col min="1" max="1" width="2.85546875" style="1633" customWidth="1"/>
    <col min="2" max="2" width="53.85546875" style="1003" bestFit="1" customWidth="1"/>
    <col min="3" max="3" width="13.28515625" style="395" bestFit="1" customWidth="1"/>
    <col min="4" max="4" width="12.42578125" style="395" bestFit="1" customWidth="1"/>
    <col min="5" max="5" width="12.28515625" style="395" bestFit="1" customWidth="1"/>
    <col min="6" max="6" width="12.42578125" style="380" bestFit="1" customWidth="1"/>
    <col min="7" max="8" width="0.140625" style="380" customWidth="1"/>
    <col min="9" max="9" width="0.7109375" style="2531" hidden="1" customWidth="1"/>
    <col min="10" max="10" width="11.140625" style="2532" hidden="1" customWidth="1"/>
    <col min="11" max="11" width="9.85546875" style="1973" hidden="1" customWidth="1"/>
    <col min="12" max="12" width="9.28515625" style="2535" hidden="1" customWidth="1"/>
    <col min="13" max="13" width="9.28515625" style="1549" hidden="1" customWidth="1"/>
    <col min="14" max="14" width="9.28515625" style="1973" hidden="1" customWidth="1"/>
    <col min="15" max="16" width="9.28515625" style="395" hidden="1" customWidth="1"/>
    <col min="17" max="17" width="0.28515625" style="395" customWidth="1"/>
    <col min="18" max="18" width="21" style="395" hidden="1" customWidth="1"/>
    <col min="19" max="19" width="14.140625" style="395" bestFit="1" customWidth="1"/>
    <col min="20" max="22" width="9.28515625" style="395" bestFit="1" customWidth="1"/>
    <col min="23" max="16384" width="9.140625" style="395"/>
  </cols>
  <sheetData>
    <row r="1" spans="1:23" ht="21">
      <c r="A1" s="4758" t="s">
        <v>5066</v>
      </c>
      <c r="B1" s="4758"/>
      <c r="C1" s="4758"/>
      <c r="D1" s="4758"/>
      <c r="E1" s="4758"/>
      <c r="K1" s="2533" t="s">
        <v>5067</v>
      </c>
      <c r="L1" s="2534">
        <v>739</v>
      </c>
      <c r="M1" s="2534">
        <v>745</v>
      </c>
      <c r="N1" s="2534">
        <v>744</v>
      </c>
      <c r="O1" s="2534">
        <v>754</v>
      </c>
      <c r="P1" s="2534">
        <v>775</v>
      </c>
      <c r="U1" s="380">
        <v>858</v>
      </c>
    </row>
    <row r="2" spans="1:23" ht="21">
      <c r="A2" s="1537"/>
      <c r="B2" s="1537"/>
      <c r="C2" s="1537"/>
      <c r="D2" s="1537"/>
      <c r="K2" s="2533"/>
      <c r="L2" s="2534"/>
      <c r="M2" s="2534"/>
      <c r="N2" s="2534"/>
      <c r="O2" s="2534"/>
      <c r="P2" s="2534"/>
      <c r="Q2" s="2534">
        <v>809</v>
      </c>
    </row>
    <row r="3" spans="1:23">
      <c r="J3" s="2537" t="s">
        <v>5068</v>
      </c>
      <c r="L3" s="2538">
        <v>2014</v>
      </c>
      <c r="M3" s="2538">
        <v>2015</v>
      </c>
      <c r="N3" s="2538" t="s">
        <v>5069</v>
      </c>
      <c r="O3" s="2538">
        <v>2017</v>
      </c>
      <c r="P3" s="2538">
        <v>2018</v>
      </c>
      <c r="Q3" s="4905">
        <v>2019</v>
      </c>
      <c r="R3" s="4906"/>
      <c r="S3" s="2561"/>
      <c r="T3" s="2562">
        <v>2020</v>
      </c>
      <c r="U3" s="2562" t="s">
        <v>7218</v>
      </c>
      <c r="V3" s="2562" t="s">
        <v>7766</v>
      </c>
      <c r="W3" s="2562" t="s">
        <v>8155</v>
      </c>
    </row>
    <row r="4" spans="1:23" s="397" customFormat="1" ht="15">
      <c r="A4" s="1922"/>
      <c r="B4" s="2563" t="s">
        <v>5070</v>
      </c>
      <c r="C4" s="2589" t="s">
        <v>5071</v>
      </c>
      <c r="D4" s="2564" t="s">
        <v>5072</v>
      </c>
      <c r="E4" s="2590" t="s">
        <v>5073</v>
      </c>
      <c r="F4" s="1924" t="s">
        <v>5074</v>
      </c>
      <c r="G4" s="1924"/>
      <c r="H4" s="1924" t="s">
        <v>5075</v>
      </c>
      <c r="I4" s="2565" t="s">
        <v>5076</v>
      </c>
      <c r="J4" s="4904"/>
      <c r="K4" s="4904"/>
      <c r="L4" s="4904"/>
      <c r="M4" s="4904"/>
      <c r="N4" s="4904"/>
      <c r="O4" s="1923"/>
      <c r="P4" s="1923"/>
      <c r="Q4" s="2566"/>
      <c r="R4" s="1976" t="s">
        <v>5077</v>
      </c>
      <c r="S4" s="1923"/>
      <c r="T4" s="1976"/>
      <c r="U4" s="1976"/>
      <c r="V4" s="1976"/>
      <c r="W4" s="1976"/>
    </row>
    <row r="5" spans="1:23" s="397" customFormat="1">
      <c r="A5" s="2030">
        <v>1</v>
      </c>
      <c r="B5" s="2587" t="s">
        <v>5078</v>
      </c>
      <c r="C5" s="2213">
        <v>1387831.01</v>
      </c>
      <c r="D5" s="1486"/>
      <c r="E5" s="2205">
        <f>((C5+D5)*0.45/1000)+((C5+D5)*0.45/1000)*6.5/100</f>
        <v>665.11801154249997</v>
      </c>
      <c r="F5" s="387" t="s">
        <v>5079</v>
      </c>
      <c r="G5" s="387" t="s">
        <v>5080</v>
      </c>
      <c r="H5" s="2597" t="s">
        <v>5081</v>
      </c>
      <c r="I5" s="2539">
        <v>634.52</v>
      </c>
      <c r="J5" s="397">
        <v>1021.21</v>
      </c>
      <c r="K5" s="2540">
        <f>I5-J5</f>
        <v>-386.69000000000005</v>
      </c>
      <c r="L5" s="2531">
        <v>665.12</v>
      </c>
      <c r="M5" s="2541">
        <f>L5*($M$1/$L$1)</f>
        <v>670.52016238159683</v>
      </c>
      <c r="N5" s="2542">
        <v>668.07</v>
      </c>
      <c r="O5" s="2542">
        <v>546.61</v>
      </c>
      <c r="P5" s="2543">
        <v>558.02</v>
      </c>
      <c r="Q5" s="2605">
        <v>582.5</v>
      </c>
      <c r="R5" s="2583">
        <f>Q5-(Q5*$Q$80)</f>
        <v>465.99969472169892</v>
      </c>
      <c r="S5" s="2543"/>
      <c r="T5" s="2543">
        <v>479.82</v>
      </c>
      <c r="U5" s="2543">
        <v>494.22</v>
      </c>
      <c r="V5" s="2543">
        <v>521.87</v>
      </c>
      <c r="W5" s="1487">
        <v>578.32000000000005</v>
      </c>
    </row>
    <row r="6" spans="1:23" s="397" customFormat="1">
      <c r="A6" s="2031">
        <v>2</v>
      </c>
      <c r="B6" s="1083" t="s">
        <v>5082</v>
      </c>
      <c r="C6" s="2213">
        <v>6714431.2699999996</v>
      </c>
      <c r="D6" s="1486">
        <v>209369.26</v>
      </c>
      <c r="E6" s="2205">
        <f>((C6+D6)*0.45/1000)+((C6+D6)*0.45/1000)*6.5/100</f>
        <v>3318.2314040024999</v>
      </c>
      <c r="F6" s="387" t="s">
        <v>2493</v>
      </c>
      <c r="G6" s="387" t="s">
        <v>2478</v>
      </c>
      <c r="H6" s="2598" t="s">
        <v>5083</v>
      </c>
      <c r="I6" s="2539">
        <v>3165.57</v>
      </c>
      <c r="J6" s="1027">
        <v>5395.28</v>
      </c>
      <c r="K6" s="2540">
        <f t="shared" ref="K6:K70" si="0">I6-J6</f>
        <v>-2229.7099999999996</v>
      </c>
      <c r="L6" s="2531">
        <v>3318.23</v>
      </c>
      <c r="M6" s="2541">
        <f t="shared" ref="M6:M70" si="1">L6*($M$1/$L$1)</f>
        <v>3345.170974289581</v>
      </c>
      <c r="N6" s="2542">
        <v>3332.92</v>
      </c>
      <c r="O6" s="2542">
        <v>2726.99</v>
      </c>
      <c r="P6" s="2543">
        <v>2783.9</v>
      </c>
      <c r="Q6" s="2606">
        <v>2906.03</v>
      </c>
      <c r="R6" s="2584">
        <f t="shared" ref="R6:R14" si="2">Q6-(Q6*$Q$80)</f>
        <v>2324.8224769993112</v>
      </c>
      <c r="S6" s="2543"/>
      <c r="T6" s="2543">
        <v>2393.8000000000002</v>
      </c>
      <c r="U6" s="2543">
        <v>2465.64</v>
      </c>
      <c r="V6" s="2543">
        <v>2603.58</v>
      </c>
      <c r="W6" s="1487">
        <v>2885.2</v>
      </c>
    </row>
    <row r="7" spans="1:23" s="397" customFormat="1">
      <c r="A7" s="2031">
        <v>3</v>
      </c>
      <c r="B7" s="1083" t="s">
        <v>5084</v>
      </c>
      <c r="C7" s="2213">
        <v>815161.04</v>
      </c>
      <c r="D7" s="1486">
        <v>29750.39</v>
      </c>
      <c r="E7" s="2205">
        <f t="shared" ref="E7:E71" si="3">((C7+D7)*0.45/1000)+((C7+D7)*0.45/1000)*6.5/100</f>
        <v>404.92380282750003</v>
      </c>
      <c r="F7" s="387" t="s">
        <v>2493</v>
      </c>
      <c r="G7" s="387" t="s">
        <v>2392</v>
      </c>
      <c r="H7" s="2598" t="s">
        <v>5085</v>
      </c>
      <c r="I7" s="2542">
        <v>386.29</v>
      </c>
      <c r="J7" s="1027">
        <v>498.57</v>
      </c>
      <c r="K7" s="2540">
        <f t="shared" si="0"/>
        <v>-112.27999999999997</v>
      </c>
      <c r="L7" s="2531">
        <v>404.92</v>
      </c>
      <c r="M7" s="2541">
        <f t="shared" si="1"/>
        <v>408.20757780784851</v>
      </c>
      <c r="N7" s="2542">
        <v>406.72</v>
      </c>
      <c r="O7" s="2542">
        <v>332.77</v>
      </c>
      <c r="P7" s="2543">
        <v>339.72</v>
      </c>
      <c r="Q7" s="2606">
        <v>354.62</v>
      </c>
      <c r="R7" s="2584">
        <f t="shared" si="2"/>
        <v>283.69581414971481</v>
      </c>
      <c r="S7" s="2543"/>
      <c r="T7" s="2543">
        <v>292.11</v>
      </c>
      <c r="U7" s="2543">
        <v>300.88</v>
      </c>
      <c r="V7" s="2543">
        <v>317.70999999999998</v>
      </c>
      <c r="W7" s="2042">
        <v>352.08</v>
      </c>
    </row>
    <row r="8" spans="1:23" s="397" customFormat="1">
      <c r="A8" s="2031">
        <v>4</v>
      </c>
      <c r="B8" s="1083" t="s">
        <v>5086</v>
      </c>
      <c r="C8" s="2213">
        <v>575973</v>
      </c>
      <c r="D8" s="1486"/>
      <c r="E8" s="2205">
        <f t="shared" si="3"/>
        <v>276.03506025000002</v>
      </c>
      <c r="F8" s="387" t="s">
        <v>5079</v>
      </c>
      <c r="G8" s="387" t="s">
        <v>5080</v>
      </c>
      <c r="H8" s="2599" t="s">
        <v>177</v>
      </c>
      <c r="I8" s="2542">
        <v>263.33999999999997</v>
      </c>
      <c r="J8" s="1027">
        <v>380.89</v>
      </c>
      <c r="K8" s="2540">
        <f t="shared" si="0"/>
        <v>-117.55000000000001</v>
      </c>
      <c r="L8" s="2531">
        <v>276.04000000000002</v>
      </c>
      <c r="M8" s="2541">
        <f t="shared" si="1"/>
        <v>278.28119079837626</v>
      </c>
      <c r="N8" s="2542">
        <v>277.26</v>
      </c>
      <c r="O8" s="2542">
        <v>0</v>
      </c>
      <c r="P8" s="2543">
        <v>0</v>
      </c>
      <c r="Q8" s="2606">
        <v>0</v>
      </c>
      <c r="R8" s="2584">
        <f t="shared" si="2"/>
        <v>0</v>
      </c>
      <c r="S8" s="2543"/>
      <c r="T8" s="2543">
        <v>0</v>
      </c>
      <c r="U8" s="2543">
        <v>0</v>
      </c>
      <c r="V8" s="2543"/>
      <c r="W8" s="1487"/>
    </row>
    <row r="9" spans="1:23" s="397" customFormat="1">
      <c r="A9" s="2031">
        <v>5</v>
      </c>
      <c r="B9" s="1083" t="s">
        <v>5087</v>
      </c>
      <c r="C9" s="2213">
        <v>284971.75</v>
      </c>
      <c r="D9" s="1486">
        <v>19655.939999999999</v>
      </c>
      <c r="E9" s="2205">
        <f t="shared" si="3"/>
        <v>145.99282043250003</v>
      </c>
      <c r="F9" s="387" t="s">
        <v>2493</v>
      </c>
      <c r="G9" s="387" t="s">
        <v>2478</v>
      </c>
      <c r="H9" s="2598" t="s">
        <v>5083</v>
      </c>
      <c r="I9" s="2542">
        <v>139.28</v>
      </c>
      <c r="J9" s="1027">
        <v>200.56</v>
      </c>
      <c r="K9" s="2540">
        <f t="shared" si="0"/>
        <v>-61.28</v>
      </c>
      <c r="L9" s="2531">
        <v>145.99</v>
      </c>
      <c r="M9" s="2541">
        <f t="shared" si="1"/>
        <v>147.17530446549392</v>
      </c>
      <c r="N9" s="2542">
        <v>146.63999999999999</v>
      </c>
      <c r="O9" s="2542">
        <v>119.98</v>
      </c>
      <c r="P9" s="2543">
        <v>122.48</v>
      </c>
      <c r="Q9" s="2606">
        <v>127.86</v>
      </c>
      <c r="R9" s="2584">
        <f t="shared" si="2"/>
        <v>102.28793299075781</v>
      </c>
      <c r="S9" s="2543"/>
      <c r="T9" s="2543">
        <v>105.32</v>
      </c>
      <c r="U9" s="2543">
        <v>108.48</v>
      </c>
      <c r="V9" s="2543">
        <v>114.55</v>
      </c>
      <c r="W9" s="1487">
        <v>126.94</v>
      </c>
    </row>
    <row r="10" spans="1:23" s="397" customFormat="1">
      <c r="A10" s="2031">
        <v>6</v>
      </c>
      <c r="B10" s="1083" t="s">
        <v>5088</v>
      </c>
      <c r="C10" s="2591">
        <v>3013058.28</v>
      </c>
      <c r="D10" s="2544">
        <v>202849.26</v>
      </c>
      <c r="E10" s="2205">
        <f t="shared" si="3"/>
        <v>1541.2236885450002</v>
      </c>
      <c r="F10" s="387" t="s">
        <v>5089</v>
      </c>
      <c r="G10" s="387" t="s">
        <v>1567</v>
      </c>
      <c r="H10" s="2598" t="s">
        <v>5090</v>
      </c>
      <c r="I10" s="2542">
        <v>1470.31</v>
      </c>
      <c r="J10" s="1018">
        <v>2258.69</v>
      </c>
      <c r="K10" s="2540">
        <f t="shared" si="0"/>
        <v>-788.38000000000011</v>
      </c>
      <c r="L10" s="2531">
        <v>1541.22</v>
      </c>
      <c r="M10" s="2541">
        <f t="shared" si="1"/>
        <v>1553.7332882273345</v>
      </c>
      <c r="N10" s="2542">
        <v>1548.04</v>
      </c>
      <c r="O10" s="2542">
        <v>1266.6099999999999</v>
      </c>
      <c r="P10" s="2543">
        <v>1293.04</v>
      </c>
      <c r="Q10" s="2606">
        <v>1349.77</v>
      </c>
      <c r="R10" s="2584">
        <f t="shared" si="2"/>
        <v>1079.8152926085966</v>
      </c>
      <c r="S10" s="2543"/>
      <c r="T10" s="2543">
        <v>1111.8499999999999</v>
      </c>
      <c r="U10" s="2543">
        <v>1145.22</v>
      </c>
      <c r="V10" s="2543">
        <v>1209.29</v>
      </c>
      <c r="W10" s="2042">
        <v>1340.09</v>
      </c>
    </row>
    <row r="11" spans="1:23" s="397" customFormat="1">
      <c r="A11" s="2031">
        <v>7</v>
      </c>
      <c r="B11" s="1083" t="s">
        <v>5091</v>
      </c>
      <c r="C11" s="2213">
        <v>2428680.64</v>
      </c>
      <c r="D11" s="1486"/>
      <c r="E11" s="2205">
        <f t="shared" si="3"/>
        <v>1163.9451967200002</v>
      </c>
      <c r="F11" s="387" t="s">
        <v>5079</v>
      </c>
      <c r="G11" s="387" t="s">
        <v>5080</v>
      </c>
      <c r="H11" s="2598" t="s">
        <v>5081</v>
      </c>
      <c r="I11" s="2542">
        <v>1110.3900000000001</v>
      </c>
      <c r="J11" s="1027">
        <v>1618.08</v>
      </c>
      <c r="K11" s="2540">
        <f t="shared" si="0"/>
        <v>-507.68999999999983</v>
      </c>
      <c r="L11" s="2531">
        <v>1163.95</v>
      </c>
      <c r="M11" s="2541">
        <f t="shared" si="1"/>
        <v>1173.4002029769961</v>
      </c>
      <c r="N11" s="2542">
        <v>1169.0999999999999</v>
      </c>
      <c r="O11" s="2542">
        <v>956.55</v>
      </c>
      <c r="P11" s="2543">
        <v>976.52</v>
      </c>
      <c r="Q11" s="2606">
        <v>1019.36</v>
      </c>
      <c r="R11" s="2584">
        <f t="shared" si="2"/>
        <v>815.48746577083432</v>
      </c>
      <c r="S11" s="2543"/>
      <c r="T11" s="2543">
        <v>839.68</v>
      </c>
      <c r="U11" s="2543">
        <v>864.88</v>
      </c>
      <c r="V11" s="2543">
        <v>913.26</v>
      </c>
      <c r="W11" s="1487">
        <v>1012.05</v>
      </c>
    </row>
    <row r="12" spans="1:23" s="397" customFormat="1">
      <c r="A12" s="2031">
        <v>8</v>
      </c>
      <c r="B12" s="1083" t="s">
        <v>5092</v>
      </c>
      <c r="C12" s="2591">
        <v>1026388.89</v>
      </c>
      <c r="D12" s="2544">
        <v>30187.91</v>
      </c>
      <c r="E12" s="2205">
        <f t="shared" si="3"/>
        <v>506.36443140000006</v>
      </c>
      <c r="F12" s="387" t="s">
        <v>2493</v>
      </c>
      <c r="G12" s="387" t="s">
        <v>2478</v>
      </c>
      <c r="H12" s="2598" t="s">
        <v>5083</v>
      </c>
      <c r="I12" s="2542">
        <v>483.07</v>
      </c>
      <c r="J12" s="1027">
        <v>655.29999999999995</v>
      </c>
      <c r="K12" s="2540">
        <f t="shared" si="0"/>
        <v>-172.22999999999996</v>
      </c>
      <c r="L12" s="2531">
        <v>506.36</v>
      </c>
      <c r="M12" s="2541">
        <f t="shared" si="1"/>
        <v>510.47117726657655</v>
      </c>
      <c r="N12" s="2542">
        <v>508.6</v>
      </c>
      <c r="O12" s="2542">
        <v>416.14</v>
      </c>
      <c r="P12" s="2543">
        <v>424.83</v>
      </c>
      <c r="Q12" s="2606">
        <v>443.46</v>
      </c>
      <c r="R12" s="2584">
        <f t="shared" si="2"/>
        <v>354.7677675901881</v>
      </c>
      <c r="S12" s="2543"/>
      <c r="T12" s="2543">
        <v>365.3</v>
      </c>
      <c r="U12" s="2543">
        <v>376.26</v>
      </c>
      <c r="V12" s="2543">
        <v>397.31</v>
      </c>
      <c r="W12" s="1487">
        <v>440.28</v>
      </c>
    </row>
    <row r="13" spans="1:23" s="397" customFormat="1">
      <c r="A13" s="2031">
        <v>9</v>
      </c>
      <c r="B13" s="1083" t="s">
        <v>5093</v>
      </c>
      <c r="C13" s="2591">
        <v>303689.49</v>
      </c>
      <c r="D13" s="2544">
        <v>266979.78000000003</v>
      </c>
      <c r="E13" s="2205">
        <f t="shared" si="3"/>
        <v>273.49324764750003</v>
      </c>
      <c r="F13" s="2545" t="s">
        <v>5094</v>
      </c>
      <c r="G13" s="2545"/>
      <c r="H13" s="2600"/>
      <c r="I13" s="2542">
        <v>260.91000000000003</v>
      </c>
      <c r="J13" s="1027">
        <v>290.97000000000003</v>
      </c>
      <c r="K13" s="2540">
        <f t="shared" si="0"/>
        <v>-30.060000000000002</v>
      </c>
      <c r="L13" s="2531">
        <v>273.49</v>
      </c>
      <c r="M13" s="2541">
        <f t="shared" si="1"/>
        <v>275.71048714479031</v>
      </c>
      <c r="N13" s="2542">
        <v>274.7</v>
      </c>
      <c r="O13" s="2542">
        <v>224.76</v>
      </c>
      <c r="P13" s="2543">
        <v>229.45</v>
      </c>
      <c r="Q13" s="2606">
        <v>127.46</v>
      </c>
      <c r="R13" s="2584">
        <f t="shared" si="2"/>
        <v>101.96793320039097</v>
      </c>
      <c r="S13" s="2543"/>
      <c r="T13" s="2543">
        <v>105</v>
      </c>
      <c r="U13" s="2543">
        <v>0</v>
      </c>
      <c r="V13" s="2543"/>
      <c r="W13" s="1487"/>
    </row>
    <row r="14" spans="1:23" s="397" customFormat="1">
      <c r="A14" s="2031">
        <v>10</v>
      </c>
      <c r="B14" s="1083" t="s">
        <v>5097</v>
      </c>
      <c r="C14" s="2591">
        <v>2775709.22</v>
      </c>
      <c r="D14" s="2544"/>
      <c r="E14" s="2205">
        <f t="shared" si="3"/>
        <v>1330.2586436850002</v>
      </c>
      <c r="F14" s="2545" t="s">
        <v>5079</v>
      </c>
      <c r="G14" s="387" t="s">
        <v>5080</v>
      </c>
      <c r="H14" s="2598" t="s">
        <v>5081</v>
      </c>
      <c r="I14" s="2542">
        <v>1269.06</v>
      </c>
      <c r="J14" s="1027">
        <v>2098.66</v>
      </c>
      <c r="K14" s="2540">
        <f t="shared" si="0"/>
        <v>-829.59999999999991</v>
      </c>
      <c r="L14" s="2531">
        <v>1330.26</v>
      </c>
      <c r="M14" s="2541">
        <f t="shared" si="1"/>
        <v>1341.0604871447904</v>
      </c>
      <c r="N14" s="2542">
        <v>1336.15</v>
      </c>
      <c r="O14" s="2542">
        <v>1093.24</v>
      </c>
      <c r="P14" s="2543">
        <v>1116.05</v>
      </c>
      <c r="Q14" s="2606">
        <v>1165.01</v>
      </c>
      <c r="R14" s="2584">
        <f t="shared" si="2"/>
        <v>932.00738943815691</v>
      </c>
      <c r="S14" s="2543"/>
      <c r="T14" s="2543">
        <v>959.66</v>
      </c>
      <c r="U14" s="2543">
        <v>988.46</v>
      </c>
      <c r="V14" s="2543">
        <v>1043.76</v>
      </c>
      <c r="W14" s="1487">
        <v>1156.6600000000001</v>
      </c>
    </row>
    <row r="15" spans="1:23" s="397" customFormat="1">
      <c r="A15" s="2573"/>
      <c r="B15" s="2552" t="s">
        <v>5098</v>
      </c>
      <c r="C15" s="2592"/>
      <c r="D15" s="2553"/>
      <c r="E15" s="2593"/>
      <c r="F15" s="2554"/>
      <c r="G15" s="2554"/>
      <c r="H15" s="2601"/>
      <c r="I15" s="2555"/>
      <c r="J15" s="2556"/>
      <c r="K15" s="2557">
        <f>SUM(K5:K14)</f>
        <v>-5235.4699999999993</v>
      </c>
      <c r="L15" s="2558"/>
      <c r="M15" s="2559"/>
      <c r="N15" s="2560"/>
      <c r="O15" s="2555"/>
      <c r="P15" s="2551"/>
      <c r="Q15" s="2572"/>
      <c r="R15" s="2607"/>
      <c r="S15" s="2555"/>
      <c r="T15" s="2551"/>
      <c r="U15" s="2551"/>
      <c r="V15" s="2551"/>
      <c r="W15" s="4370"/>
    </row>
    <row r="16" spans="1:23" s="397" customFormat="1">
      <c r="A16" s="2031">
        <v>11</v>
      </c>
      <c r="B16" s="2546" t="s">
        <v>5099</v>
      </c>
      <c r="C16" s="2213">
        <v>89390.84</v>
      </c>
      <c r="D16" s="1486"/>
      <c r="E16" s="2205">
        <f t="shared" si="3"/>
        <v>42.840560069999995</v>
      </c>
      <c r="F16" s="387" t="s">
        <v>2131</v>
      </c>
      <c r="G16" s="387" t="s">
        <v>2150</v>
      </c>
      <c r="H16" s="2598" t="s">
        <v>5100</v>
      </c>
      <c r="I16" s="2542">
        <f>SUM(E16:E24)</f>
        <v>1204.1362183725</v>
      </c>
      <c r="J16" s="1027">
        <v>1389.08</v>
      </c>
      <c r="K16" s="2540">
        <f t="shared" si="0"/>
        <v>-184.9437816274999</v>
      </c>
      <c r="L16" s="2531">
        <f>E16+E17+E18+E19+E20+E21+E22+E23+E24+0.02</f>
        <v>1204.1562183725</v>
      </c>
      <c r="M16" s="2541">
        <f t="shared" si="1"/>
        <v>1213.9328588464311</v>
      </c>
      <c r="N16" s="2542">
        <v>1209.49</v>
      </c>
      <c r="O16" s="2542">
        <v>991.55</v>
      </c>
      <c r="P16" s="2543">
        <f>35.94+17.96+17.96+321.66+119.3+145.78+67.89+164.37+121.38</f>
        <v>1012.24</v>
      </c>
      <c r="Q16" s="2606">
        <f>37.52+18.75+18.75+335.77+124.53+152.18+70.87+171.58+126.7</f>
        <v>1056.6500000000001</v>
      </c>
      <c r="R16" s="2584">
        <f>Q16-(Q16*$Q$80)</f>
        <v>845.31944622778224</v>
      </c>
      <c r="S16" s="2543"/>
      <c r="T16" s="2543">
        <f>30.91+15.45+15.45+276.59+102.58+125.35</f>
        <v>566.32999999999993</v>
      </c>
      <c r="U16" s="2543">
        <v>31.83</v>
      </c>
      <c r="V16" s="2543">
        <v>33.61</v>
      </c>
      <c r="W16" s="1487">
        <v>37.25</v>
      </c>
    </row>
    <row r="17" spans="1:23" s="397" customFormat="1">
      <c r="A17" s="2031">
        <v>12</v>
      </c>
      <c r="B17" s="2546" t="s">
        <v>5101</v>
      </c>
      <c r="C17" s="2591">
        <v>44676.73</v>
      </c>
      <c r="D17" s="2544"/>
      <c r="E17" s="2205">
        <f t="shared" si="3"/>
        <v>21.4113228525</v>
      </c>
      <c r="F17" s="387"/>
      <c r="G17" s="387"/>
      <c r="H17" s="2598" t="s">
        <v>5100</v>
      </c>
      <c r="I17" s="2542"/>
      <c r="J17" s="1027"/>
      <c r="K17" s="2540"/>
      <c r="L17" s="2531"/>
      <c r="M17" s="2541"/>
      <c r="N17" s="2040"/>
      <c r="O17" s="2542"/>
      <c r="Q17" s="2148"/>
      <c r="R17" s="2584"/>
      <c r="S17" s="2543"/>
      <c r="T17" s="2543"/>
      <c r="U17" s="2543">
        <v>15.91</v>
      </c>
      <c r="V17" s="2543">
        <v>16.8</v>
      </c>
      <c r="W17" s="1487">
        <v>18.62</v>
      </c>
    </row>
    <row r="18" spans="1:23" s="397" customFormat="1">
      <c r="A18" s="2031">
        <v>13</v>
      </c>
      <c r="B18" s="2546" t="s">
        <v>5102</v>
      </c>
      <c r="C18" s="2591">
        <v>44676.73</v>
      </c>
      <c r="D18" s="2544"/>
      <c r="E18" s="2205">
        <f t="shared" si="3"/>
        <v>21.4113228525</v>
      </c>
      <c r="F18" s="387"/>
      <c r="G18" s="387"/>
      <c r="H18" s="2598" t="s">
        <v>5100</v>
      </c>
      <c r="I18" s="2542"/>
      <c r="J18" s="1027"/>
      <c r="K18" s="2540"/>
      <c r="L18" s="2531"/>
      <c r="M18" s="2541"/>
      <c r="N18" s="2040"/>
      <c r="O18" s="2542"/>
      <c r="Q18" s="2148"/>
      <c r="R18" s="2584"/>
      <c r="S18" s="2543"/>
      <c r="T18" s="2543"/>
      <c r="U18" s="2543">
        <v>15.91</v>
      </c>
      <c r="V18" s="2543">
        <v>16.8</v>
      </c>
      <c r="W18" s="1487">
        <v>18.62</v>
      </c>
    </row>
    <row r="19" spans="1:23" s="397" customFormat="1">
      <c r="A19" s="2031">
        <v>14</v>
      </c>
      <c r="B19" s="2546" t="s">
        <v>5103</v>
      </c>
      <c r="C19" s="2591">
        <v>799993.98</v>
      </c>
      <c r="D19" s="2544"/>
      <c r="E19" s="2205">
        <f t="shared" si="3"/>
        <v>383.39711491500003</v>
      </c>
      <c r="F19" s="387"/>
      <c r="G19" s="387"/>
      <c r="H19" s="2598" t="s">
        <v>5100</v>
      </c>
      <c r="I19" s="2542"/>
      <c r="J19" s="1027"/>
      <c r="K19" s="2540"/>
      <c r="L19" s="2531"/>
      <c r="M19" s="2541"/>
      <c r="N19" s="2040"/>
      <c r="O19" s="2542"/>
      <c r="Q19" s="2148"/>
      <c r="R19" s="2584"/>
      <c r="S19" s="2543"/>
      <c r="T19" s="2543"/>
      <c r="U19" s="2543">
        <v>284.89</v>
      </c>
      <c r="V19" s="2543">
        <v>300.82</v>
      </c>
      <c r="W19" s="1487">
        <v>333.36</v>
      </c>
    </row>
    <row r="20" spans="1:23" s="397" customFormat="1">
      <c r="A20" s="2031">
        <v>15</v>
      </c>
      <c r="B20" s="2546" t="s">
        <v>5104</v>
      </c>
      <c r="C20" s="2591">
        <v>215644.71</v>
      </c>
      <c r="D20" s="2544">
        <v>81060.33</v>
      </c>
      <c r="E20" s="2205">
        <f t="shared" si="3"/>
        <v>142.19589041999998</v>
      </c>
      <c r="F20" s="387"/>
      <c r="G20" s="387"/>
      <c r="H20" s="2598" t="s">
        <v>5100</v>
      </c>
      <c r="I20" s="2542"/>
      <c r="J20" s="1027"/>
      <c r="K20" s="2540"/>
      <c r="L20" s="2531"/>
      <c r="M20" s="2541"/>
      <c r="N20" s="2040"/>
      <c r="O20" s="2542"/>
      <c r="Q20" s="2148"/>
      <c r="R20" s="2584"/>
      <c r="S20" s="2543"/>
      <c r="T20" s="2543"/>
      <c r="U20" s="2543">
        <v>105.66</v>
      </c>
      <c r="V20" s="2543">
        <v>111.57</v>
      </c>
      <c r="W20" s="1487">
        <v>123.64</v>
      </c>
    </row>
    <row r="21" spans="1:23" s="397" customFormat="1">
      <c r="A21" s="2031">
        <v>16</v>
      </c>
      <c r="B21" s="2546" t="s">
        <v>5105</v>
      </c>
      <c r="C21" s="2591">
        <v>362573.23</v>
      </c>
      <c r="D21" s="2544"/>
      <c r="E21" s="2205">
        <f t="shared" si="3"/>
        <v>173.7632204775</v>
      </c>
      <c r="F21" s="387"/>
      <c r="G21" s="387"/>
      <c r="H21" s="2598" t="s">
        <v>5100</v>
      </c>
      <c r="I21" s="2542"/>
      <c r="J21" s="1027"/>
      <c r="K21" s="2540"/>
      <c r="L21" s="2531"/>
      <c r="M21" s="2541"/>
      <c r="N21" s="2040"/>
      <c r="O21" s="2542"/>
      <c r="Q21" s="2148"/>
      <c r="R21" s="2584"/>
      <c r="S21" s="2543"/>
      <c r="T21" s="2543"/>
      <c r="U21" s="2543">
        <v>129.12</v>
      </c>
      <c r="V21" s="2543">
        <v>136.34</v>
      </c>
      <c r="W21" s="1487">
        <v>151.09</v>
      </c>
    </row>
    <row r="22" spans="1:23" s="397" customFormat="1">
      <c r="A22" s="2031">
        <v>17</v>
      </c>
      <c r="B22" s="2546" t="s">
        <v>5106</v>
      </c>
      <c r="C22" s="2591">
        <v>156462.03</v>
      </c>
      <c r="D22" s="2544">
        <v>37386.39</v>
      </c>
      <c r="E22" s="2205">
        <f t="shared" si="3"/>
        <v>92.901855284999996</v>
      </c>
      <c r="F22" s="387"/>
      <c r="G22" s="387" t="s">
        <v>5107</v>
      </c>
      <c r="H22" s="2598" t="s">
        <v>5108</v>
      </c>
      <c r="I22" s="2542"/>
      <c r="J22" s="1027"/>
      <c r="K22" s="2540"/>
      <c r="L22" s="2531"/>
      <c r="M22" s="2541"/>
      <c r="N22" s="2040"/>
      <c r="O22" s="2542"/>
      <c r="Q22" s="2148"/>
      <c r="R22" s="2584"/>
      <c r="S22" s="2543"/>
      <c r="T22" s="2543">
        <f>58.38+141.34+104.37</f>
        <v>304.09000000000003</v>
      </c>
      <c r="U22" s="2543">
        <v>60.13</v>
      </c>
      <c r="V22" s="2543">
        <v>63.49</v>
      </c>
      <c r="W22" s="1487">
        <v>70.36</v>
      </c>
    </row>
    <row r="23" spans="1:23" s="397" customFormat="1">
      <c r="A23" s="2031">
        <v>18</v>
      </c>
      <c r="B23" s="2546" t="s">
        <v>5109</v>
      </c>
      <c r="C23" s="2213">
        <v>360105.72</v>
      </c>
      <c r="D23" s="1486">
        <v>18693.2</v>
      </c>
      <c r="E23" s="2205">
        <f t="shared" si="3"/>
        <v>181.53938240999997</v>
      </c>
      <c r="F23" s="387"/>
      <c r="G23" s="387"/>
      <c r="H23" s="2598" t="s">
        <v>5108</v>
      </c>
      <c r="I23" s="2542"/>
      <c r="J23" s="1027"/>
      <c r="K23" s="2540"/>
      <c r="L23" s="2531"/>
      <c r="M23" s="2541"/>
      <c r="N23" s="2040"/>
      <c r="O23" s="2542"/>
      <c r="Q23" s="2148"/>
      <c r="R23" s="2584"/>
      <c r="S23" s="2543"/>
      <c r="T23" s="2543"/>
      <c r="U23" s="2543">
        <v>145.58000000000001</v>
      </c>
      <c r="V23" s="2543">
        <v>153.72</v>
      </c>
      <c r="W23" s="1487">
        <v>170.35</v>
      </c>
    </row>
    <row r="24" spans="1:23" s="397" customFormat="1">
      <c r="A24" s="2031">
        <v>19</v>
      </c>
      <c r="B24" s="2546" t="s">
        <v>5110</v>
      </c>
      <c r="C24" s="2213">
        <v>301879.08</v>
      </c>
      <c r="D24" s="1486"/>
      <c r="E24" s="2205">
        <f t="shared" si="3"/>
        <v>144.67554909</v>
      </c>
      <c r="F24" s="387"/>
      <c r="G24" s="387"/>
      <c r="H24" s="2598" t="s">
        <v>5108</v>
      </c>
      <c r="I24" s="2542"/>
      <c r="J24" s="1027"/>
      <c r="K24" s="2540"/>
      <c r="L24" s="2531"/>
      <c r="M24" s="2541"/>
      <c r="N24" s="2040"/>
      <c r="O24" s="2542"/>
      <c r="Q24" s="2148"/>
      <c r="R24" s="2584"/>
      <c r="S24" s="2543"/>
      <c r="T24" s="2543"/>
      <c r="U24" s="2543">
        <v>107.5</v>
      </c>
      <c r="V24" s="2543">
        <v>113.52</v>
      </c>
      <c r="W24" s="1487">
        <v>125.8</v>
      </c>
    </row>
    <row r="25" spans="1:23" s="397" customFormat="1">
      <c r="A25" s="2031">
        <v>20</v>
      </c>
      <c r="B25" s="1083" t="s">
        <v>5111</v>
      </c>
      <c r="C25" s="2213">
        <v>473685.8</v>
      </c>
      <c r="D25" s="1486">
        <v>49486.61</v>
      </c>
      <c r="E25" s="2205">
        <f t="shared" si="3"/>
        <v>250.7303774925</v>
      </c>
      <c r="F25" s="387" t="s">
        <v>5112</v>
      </c>
      <c r="G25" s="387" t="s">
        <v>2392</v>
      </c>
      <c r="H25" s="2598" t="s">
        <v>5085</v>
      </c>
      <c r="I25" s="2542">
        <v>239.19</v>
      </c>
      <c r="J25" s="1027">
        <v>253.17</v>
      </c>
      <c r="K25" s="2540">
        <f t="shared" si="0"/>
        <v>-13.97999999999999</v>
      </c>
      <c r="L25" s="2531">
        <v>250.73</v>
      </c>
      <c r="M25" s="2541">
        <f t="shared" si="1"/>
        <v>252.76569688768609</v>
      </c>
      <c r="N25" s="2542">
        <v>251.84</v>
      </c>
      <c r="O25" s="2542">
        <v>206.06</v>
      </c>
      <c r="P25" s="2543">
        <v>210.36</v>
      </c>
      <c r="Q25" s="2606">
        <v>219.58</v>
      </c>
      <c r="R25" s="2584">
        <f>Q25-(Q25*$Q$80)</f>
        <v>175.66388492187235</v>
      </c>
      <c r="S25" s="2543"/>
      <c r="T25" s="2543">
        <v>180.88</v>
      </c>
      <c r="U25" s="2543">
        <v>186.31</v>
      </c>
      <c r="V25" s="2543">
        <v>196.73</v>
      </c>
      <c r="W25" s="2042">
        <v>218.01</v>
      </c>
    </row>
    <row r="26" spans="1:23" s="397" customFormat="1">
      <c r="A26" s="2031">
        <v>21</v>
      </c>
      <c r="B26" s="1083" t="s">
        <v>5113</v>
      </c>
      <c r="C26" s="2213">
        <v>111703.25</v>
      </c>
      <c r="D26" s="1486"/>
      <c r="E26" s="2205">
        <f t="shared" si="3"/>
        <v>53.533782562500001</v>
      </c>
      <c r="F26" s="387" t="s">
        <v>2493</v>
      </c>
      <c r="G26" s="387" t="s">
        <v>2478</v>
      </c>
      <c r="H26" s="2598" t="s">
        <v>5083</v>
      </c>
      <c r="I26" s="2542">
        <v>51.07</v>
      </c>
      <c r="J26" s="1027">
        <v>160.52000000000001</v>
      </c>
      <c r="K26" s="2540">
        <f t="shared" si="0"/>
        <v>-109.45000000000002</v>
      </c>
      <c r="L26" s="2531">
        <v>53.53</v>
      </c>
      <c r="M26" s="2541">
        <f t="shared" si="1"/>
        <v>53.964614343707723</v>
      </c>
      <c r="N26" s="2542">
        <v>53.78</v>
      </c>
      <c r="O26" s="2542">
        <v>43.99</v>
      </c>
      <c r="P26" s="2543">
        <v>44.91</v>
      </c>
      <c r="Q26" s="2606">
        <v>46.88</v>
      </c>
      <c r="R26" s="2584">
        <f>Q26-(Q26*$Q$80)</f>
        <v>37.503975430992696</v>
      </c>
      <c r="S26" s="2543"/>
      <c r="T26" s="2543">
        <v>38.619999999999997</v>
      </c>
      <c r="U26" s="2543">
        <v>39.78</v>
      </c>
      <c r="V26" s="2543">
        <v>42</v>
      </c>
      <c r="W26" s="1487">
        <v>46.55</v>
      </c>
    </row>
    <row r="27" spans="1:23" s="397" customFormat="1">
      <c r="A27" s="2573"/>
      <c r="B27" s="2552" t="s">
        <v>5114</v>
      </c>
      <c r="C27" s="2592"/>
      <c r="D27" s="2553"/>
      <c r="E27" s="2593"/>
      <c r="F27" s="2554"/>
      <c r="G27" s="2554"/>
      <c r="H27" s="2601"/>
      <c r="I27" s="2555"/>
      <c r="J27" s="2556"/>
      <c r="K27" s="2557"/>
      <c r="L27" s="2558"/>
      <c r="M27" s="2559"/>
      <c r="N27" s="2560"/>
      <c r="O27" s="2555"/>
      <c r="P27" s="2551"/>
      <c r="Q27" s="2572"/>
      <c r="R27" s="2607"/>
      <c r="S27" s="2555"/>
      <c r="T27" s="2551"/>
      <c r="U27" s="2551"/>
      <c r="V27" s="2551"/>
      <c r="W27" s="4370"/>
    </row>
    <row r="28" spans="1:23" s="397" customFormat="1">
      <c r="A28" s="2031">
        <v>22</v>
      </c>
      <c r="B28" s="2546" t="s">
        <v>5115</v>
      </c>
      <c r="C28" s="2213">
        <v>753264.06</v>
      </c>
      <c r="D28" s="1486"/>
      <c r="E28" s="2205">
        <f t="shared" si="3"/>
        <v>361.00180075500003</v>
      </c>
      <c r="F28" s="387" t="s">
        <v>5116</v>
      </c>
      <c r="G28" s="387" t="s">
        <v>1464</v>
      </c>
      <c r="H28" s="2598" t="s">
        <v>5083</v>
      </c>
      <c r="I28" s="2542">
        <f>SUM(E28:E32)</f>
        <v>880.41336770249984</v>
      </c>
      <c r="J28" s="1027">
        <v>969.07</v>
      </c>
      <c r="K28" s="2540">
        <f t="shared" si="0"/>
        <v>-88.656632297500209</v>
      </c>
      <c r="L28" s="2531">
        <f>E28+E29+E30+E31+E32</f>
        <v>880.41336770249984</v>
      </c>
      <c r="M28" s="2541">
        <f t="shared" si="1"/>
        <v>887.56151412498298</v>
      </c>
      <c r="N28" s="2542">
        <v>884.31</v>
      </c>
      <c r="O28" s="2542">
        <v>723.55</v>
      </c>
      <c r="P28" s="2543">
        <f>302.87+317.49+39.38+16.99+61.9</f>
        <v>738.63</v>
      </c>
      <c r="Q28" s="2606">
        <f>316.16+331.42+41.11+17.74+64.62</f>
        <v>771.05000000000007</v>
      </c>
      <c r="R28" s="2584">
        <f>Q28-(Q28*$Q$80)</f>
        <v>616.83959590586437</v>
      </c>
      <c r="S28" s="2543"/>
      <c r="T28" s="2543">
        <f>260.43+273+14.61+48.01</f>
        <v>596.05000000000007</v>
      </c>
      <c r="U28" s="2543">
        <v>268.25</v>
      </c>
      <c r="V28" s="2543">
        <v>283.25</v>
      </c>
      <c r="W28" s="1487">
        <v>313.89</v>
      </c>
    </row>
    <row r="29" spans="1:23" s="397" customFormat="1">
      <c r="A29" s="2031">
        <v>23</v>
      </c>
      <c r="B29" s="2546" t="s">
        <v>5117</v>
      </c>
      <c r="C29" s="2213">
        <v>789626.35</v>
      </c>
      <c r="D29" s="1486"/>
      <c r="E29" s="2205">
        <f t="shared" si="3"/>
        <v>378.42842823749993</v>
      </c>
      <c r="F29" s="387"/>
      <c r="G29" s="387"/>
      <c r="H29" s="2598" t="s">
        <v>5083</v>
      </c>
      <c r="I29" s="2542"/>
      <c r="J29" s="1027"/>
      <c r="K29" s="2540"/>
      <c r="L29" s="2531"/>
      <c r="M29" s="2541"/>
      <c r="N29" s="2040"/>
      <c r="O29" s="2542"/>
      <c r="Q29" s="2148"/>
      <c r="R29" s="2584"/>
      <c r="S29" s="2543"/>
      <c r="T29" s="2543"/>
      <c r="U29" s="2543">
        <v>281.19</v>
      </c>
      <c r="V29" s="2543">
        <v>296.93</v>
      </c>
      <c r="W29" s="1487">
        <v>329.04</v>
      </c>
    </row>
    <row r="30" spans="1:23" s="397" customFormat="1">
      <c r="A30" s="2031">
        <v>24</v>
      </c>
      <c r="B30" s="2546" t="s">
        <v>5118</v>
      </c>
      <c r="C30" s="2213"/>
      <c r="D30" s="1486">
        <v>97953.14</v>
      </c>
      <c r="E30" s="2205">
        <f t="shared" si="3"/>
        <v>46.944042345</v>
      </c>
      <c r="F30" s="387"/>
      <c r="G30" s="387"/>
      <c r="H30" s="2598"/>
      <c r="I30" s="2542"/>
      <c r="J30" s="1027"/>
      <c r="K30" s="2540"/>
      <c r="L30" s="2531"/>
      <c r="M30" s="2541"/>
      <c r="N30" s="2040"/>
      <c r="O30" s="2542"/>
      <c r="Q30" s="2148"/>
      <c r="R30" s="2584"/>
      <c r="S30" s="2543"/>
      <c r="T30" s="2543"/>
      <c r="U30" s="2543"/>
      <c r="V30" s="2543"/>
      <c r="W30" s="1487"/>
    </row>
    <row r="31" spans="1:23" s="397" customFormat="1">
      <c r="A31" s="2031">
        <v>25</v>
      </c>
      <c r="B31" s="2546" t="s">
        <v>5119</v>
      </c>
      <c r="C31" s="2213">
        <v>42263.06</v>
      </c>
      <c r="D31" s="1486"/>
      <c r="E31" s="2205">
        <f t="shared" si="3"/>
        <v>20.254571505000001</v>
      </c>
      <c r="F31" s="387"/>
      <c r="G31" s="387"/>
      <c r="H31" s="2598" t="s">
        <v>5083</v>
      </c>
      <c r="I31" s="2542"/>
      <c r="J31" s="1027"/>
      <c r="K31" s="2540"/>
      <c r="L31" s="2531"/>
      <c r="M31" s="2541"/>
      <c r="N31" s="2040"/>
      <c r="O31" s="2542"/>
      <c r="P31" s="1780"/>
      <c r="Q31" s="2148"/>
      <c r="R31" s="2584"/>
      <c r="S31" s="2543"/>
      <c r="T31" s="2543"/>
      <c r="U31" s="2543">
        <v>15.05</v>
      </c>
      <c r="V31" s="2543">
        <v>15.89</v>
      </c>
      <c r="W31" s="1487">
        <v>17.61</v>
      </c>
    </row>
    <row r="32" spans="1:23" s="397" customFormat="1">
      <c r="A32" s="2031">
        <v>26</v>
      </c>
      <c r="B32" s="2546" t="s">
        <v>198</v>
      </c>
      <c r="C32" s="2213">
        <v>138864.37</v>
      </c>
      <c r="D32" s="1486">
        <v>15093.95</v>
      </c>
      <c r="E32" s="2205">
        <f t="shared" si="3"/>
        <v>73.784524860000005</v>
      </c>
      <c r="F32" s="387"/>
      <c r="G32" s="387"/>
      <c r="H32" s="2598" t="s">
        <v>5083</v>
      </c>
      <c r="I32" s="2542"/>
      <c r="J32" s="1027"/>
      <c r="K32" s="2540"/>
      <c r="L32" s="2531"/>
      <c r="M32" s="2541"/>
      <c r="N32" s="2040"/>
      <c r="O32" s="2542"/>
      <c r="P32" s="1780"/>
      <c r="Q32" s="2148"/>
      <c r="R32" s="2584"/>
      <c r="S32" s="2543"/>
      <c r="T32" s="2543"/>
      <c r="U32" s="2543">
        <v>49.45</v>
      </c>
      <c r="V32" s="2543">
        <v>52.22</v>
      </c>
      <c r="W32" s="1487">
        <v>57.87</v>
      </c>
    </row>
    <row r="33" spans="1:23" s="397" customFormat="1">
      <c r="A33" s="2031">
        <v>27</v>
      </c>
      <c r="B33" s="1083" t="s">
        <v>5120</v>
      </c>
      <c r="C33" s="2213">
        <v>692994.14</v>
      </c>
      <c r="D33" s="2544"/>
      <c r="E33" s="2205">
        <f t="shared" si="3"/>
        <v>332.11744159500006</v>
      </c>
      <c r="F33" s="2545" t="s">
        <v>5079</v>
      </c>
      <c r="G33" s="387" t="s">
        <v>5080</v>
      </c>
      <c r="H33" s="2598" t="s">
        <v>5081</v>
      </c>
      <c r="I33" s="2542">
        <v>316.83999999999997</v>
      </c>
      <c r="J33" s="1027">
        <v>478.91</v>
      </c>
      <c r="K33" s="2540">
        <f t="shared" si="0"/>
        <v>-162.07000000000005</v>
      </c>
      <c r="L33" s="2531">
        <v>332.12</v>
      </c>
      <c r="M33" s="2541">
        <f t="shared" si="1"/>
        <v>334.81650879566985</v>
      </c>
      <c r="N33" s="2542">
        <v>333.59</v>
      </c>
      <c r="O33" s="2542">
        <v>272.94</v>
      </c>
      <c r="P33" s="2543">
        <v>278.64</v>
      </c>
      <c r="Q33" s="2606">
        <v>290.86</v>
      </c>
      <c r="R33" s="2584">
        <f>Q33-(Q33*$Q$80)</f>
        <v>232.68784756524178</v>
      </c>
      <c r="S33" s="2543"/>
      <c r="T33" s="2543">
        <v>239.59</v>
      </c>
      <c r="U33" s="2543">
        <v>246.78</v>
      </c>
      <c r="V33" s="2543">
        <v>260.58999999999997</v>
      </c>
      <c r="W33" s="1487">
        <v>288.77999999999997</v>
      </c>
    </row>
    <row r="34" spans="1:23" s="397" customFormat="1">
      <c r="A34" s="2573"/>
      <c r="B34" s="2552" t="s">
        <v>5121</v>
      </c>
      <c r="C34" s="2592"/>
      <c r="D34" s="2553"/>
      <c r="E34" s="2593"/>
      <c r="F34" s="2567"/>
      <c r="G34" s="2567"/>
      <c r="H34" s="2602"/>
      <c r="I34" s="2555"/>
      <c r="J34" s="2556"/>
      <c r="K34" s="2557"/>
      <c r="L34" s="2558"/>
      <c r="M34" s="2559"/>
      <c r="N34" s="2560"/>
      <c r="O34" s="2555"/>
      <c r="P34" s="2551"/>
      <c r="Q34" s="2572"/>
      <c r="R34" s="2607"/>
      <c r="S34" s="2555"/>
      <c r="T34" s="2551"/>
      <c r="U34" s="2551"/>
      <c r="V34" s="2551"/>
      <c r="W34" s="4370"/>
    </row>
    <row r="35" spans="1:23" s="397" customFormat="1">
      <c r="A35" s="2031">
        <v>28</v>
      </c>
      <c r="B35" s="2546" t="s">
        <v>5122</v>
      </c>
      <c r="C35" s="2591">
        <v>399732.35</v>
      </c>
      <c r="D35" s="2544"/>
      <c r="E35" s="2205">
        <f t="shared" si="3"/>
        <v>191.5717287375</v>
      </c>
      <c r="F35" s="2545" t="s">
        <v>5123</v>
      </c>
      <c r="G35" s="2545" t="s">
        <v>5124</v>
      </c>
      <c r="H35" s="2600" t="s">
        <v>5125</v>
      </c>
      <c r="I35" s="2542">
        <f>SUM(E35:E39)</f>
        <v>715.35107474999995</v>
      </c>
      <c r="J35" s="1027">
        <v>3047.52</v>
      </c>
      <c r="K35" s="2540">
        <f t="shared" si="0"/>
        <v>-2332.16892525</v>
      </c>
      <c r="L35" s="2531">
        <f>E35+E36+E37+E38+E39</f>
        <v>715.35107474999995</v>
      </c>
      <c r="M35" s="2541">
        <f t="shared" si="1"/>
        <v>721.15906723782143</v>
      </c>
      <c r="N35" s="2542">
        <v>718.52</v>
      </c>
      <c r="O35" s="2542">
        <v>587.9</v>
      </c>
      <c r="P35" s="2543">
        <f>160.72+18.92+244.47+15.22+160.83+44.49</f>
        <v>644.65000000000009</v>
      </c>
      <c r="Q35" s="2606">
        <f>167.77+19.75+255.2+15.89+167.89+46.44</f>
        <v>672.94</v>
      </c>
      <c r="R35" s="2584">
        <f>Q35-(Q35*$Q$80)</f>
        <v>538.35164732363955</v>
      </c>
      <c r="S35" s="2543"/>
      <c r="T35" s="2543">
        <f>138.2+16.27+210.21+13.09+138.29+38.25</f>
        <v>554.30999999999995</v>
      </c>
      <c r="U35" s="2543">
        <v>142.35</v>
      </c>
      <c r="V35" s="2543">
        <v>150.31</v>
      </c>
      <c r="W35" s="1487">
        <v>166.57</v>
      </c>
    </row>
    <row r="36" spans="1:23" s="397" customFormat="1">
      <c r="A36" s="2031">
        <v>29</v>
      </c>
      <c r="B36" s="2546" t="s">
        <v>5126</v>
      </c>
      <c r="C36" s="2591">
        <v>47047.38</v>
      </c>
      <c r="D36" s="1486"/>
      <c r="E36" s="2205">
        <f t="shared" si="3"/>
        <v>22.547456864999997</v>
      </c>
      <c r="F36" s="2545"/>
      <c r="G36" s="2545"/>
      <c r="H36" s="2600" t="s">
        <v>5125</v>
      </c>
      <c r="I36" s="2542"/>
      <c r="J36" s="1027"/>
      <c r="K36" s="2540"/>
      <c r="L36" s="2531"/>
      <c r="M36" s="2541"/>
      <c r="N36" s="2040"/>
      <c r="O36" s="2542"/>
      <c r="Q36" s="2148"/>
      <c r="R36" s="2584"/>
      <c r="S36" s="2543"/>
      <c r="T36" s="2543"/>
      <c r="U36" s="2543">
        <v>16.75</v>
      </c>
      <c r="V36" s="2543">
        <v>17.690000000000001</v>
      </c>
      <c r="W36" s="1487">
        <v>19.600000000000001</v>
      </c>
    </row>
    <row r="37" spans="1:23" s="397" customFormat="1">
      <c r="A37" s="2031">
        <v>30</v>
      </c>
      <c r="B37" s="2546" t="s">
        <v>5127</v>
      </c>
      <c r="C37" s="2213"/>
      <c r="D37" s="1486">
        <v>608020.12</v>
      </c>
      <c r="E37" s="2205">
        <f t="shared" si="3"/>
        <v>291.39364251000001</v>
      </c>
      <c r="F37" s="2545"/>
      <c r="G37" s="2545"/>
      <c r="H37" s="2600" t="s">
        <v>5125</v>
      </c>
      <c r="I37" s="2542"/>
      <c r="J37" s="1027"/>
      <c r="K37" s="2540"/>
      <c r="L37" s="2531"/>
      <c r="M37" s="2541"/>
      <c r="N37" s="2040"/>
      <c r="O37" s="2542"/>
      <c r="Q37" s="2148"/>
      <c r="R37" s="2584"/>
      <c r="S37" s="2543"/>
      <c r="T37" s="2543"/>
      <c r="U37" s="2543">
        <v>216.52</v>
      </c>
      <c r="V37" s="2543">
        <v>228.64</v>
      </c>
      <c r="W37" s="1487">
        <v>253.37</v>
      </c>
    </row>
    <row r="38" spans="1:23" s="397" customFormat="1">
      <c r="A38" s="2031">
        <v>31</v>
      </c>
      <c r="B38" s="2546" t="s">
        <v>5128</v>
      </c>
      <c r="C38" s="2213"/>
      <c r="D38" s="1486">
        <v>37849.85</v>
      </c>
      <c r="E38" s="2205">
        <f t="shared" si="3"/>
        <v>18.139540612499999</v>
      </c>
      <c r="F38" s="2545"/>
      <c r="G38" s="2545"/>
      <c r="H38" s="2600" t="s">
        <v>5125</v>
      </c>
      <c r="I38" s="2542"/>
      <c r="J38" s="1027"/>
      <c r="K38" s="2540"/>
      <c r="L38" s="2531"/>
      <c r="M38" s="2541"/>
      <c r="N38" s="2040"/>
      <c r="O38" s="2542"/>
      <c r="Q38" s="2148"/>
      <c r="R38" s="2584"/>
      <c r="S38" s="2543"/>
      <c r="T38" s="2543"/>
      <c r="U38" s="2543">
        <v>13.48</v>
      </c>
      <c r="V38" s="2543">
        <v>14.23</v>
      </c>
      <c r="W38" s="1487">
        <v>15.77</v>
      </c>
    </row>
    <row r="39" spans="1:23" s="397" customFormat="1">
      <c r="A39" s="2031">
        <v>32</v>
      </c>
      <c r="B39" s="2546" t="s">
        <v>5129</v>
      </c>
      <c r="C39" s="2591">
        <v>399997.3</v>
      </c>
      <c r="D39" s="1486"/>
      <c r="E39" s="2205">
        <f t="shared" si="3"/>
        <v>191.69870602500001</v>
      </c>
      <c r="F39" s="2545"/>
      <c r="G39" s="2545"/>
      <c r="H39" s="2600" t="s">
        <v>5125</v>
      </c>
      <c r="I39" s="2542"/>
      <c r="J39" s="1027"/>
      <c r="K39" s="2540"/>
      <c r="L39" s="2531"/>
      <c r="M39" s="2541"/>
      <c r="N39" s="2040"/>
      <c r="O39" s="2542"/>
      <c r="Q39" s="2148"/>
      <c r="R39" s="2584"/>
      <c r="S39" s="2543"/>
      <c r="T39" s="2543"/>
      <c r="U39" s="2543">
        <v>142.44</v>
      </c>
      <c r="V39" s="2543">
        <v>150.41</v>
      </c>
      <c r="W39" s="1487">
        <v>166.68</v>
      </c>
    </row>
    <row r="40" spans="1:23" s="397" customFormat="1">
      <c r="A40" s="2031">
        <v>33</v>
      </c>
      <c r="B40" s="2546" t="s">
        <v>5130</v>
      </c>
      <c r="C40" s="2591">
        <v>124721.04</v>
      </c>
      <c r="D40" s="1486"/>
      <c r="E40" s="2205">
        <f t="shared" si="3"/>
        <v>59.772558420000003</v>
      </c>
      <c r="F40" s="2545"/>
      <c r="G40" s="2545"/>
      <c r="H40" s="2600" t="s">
        <v>5125</v>
      </c>
      <c r="I40" s="2542"/>
      <c r="J40" s="1027"/>
      <c r="K40" s="2540"/>
      <c r="L40" s="2531"/>
      <c r="M40" s="2541"/>
      <c r="N40" s="2040"/>
      <c r="O40" s="2542"/>
      <c r="Q40" s="2148"/>
      <c r="R40" s="2584"/>
      <c r="S40" s="2543"/>
      <c r="T40" s="2543"/>
      <c r="U40" s="2543">
        <v>39.4</v>
      </c>
      <c r="V40" s="2543">
        <v>41.61</v>
      </c>
      <c r="W40" s="1487">
        <v>46.11</v>
      </c>
    </row>
    <row r="41" spans="1:23" s="397" customFormat="1">
      <c r="A41" s="2573"/>
      <c r="B41" s="2552" t="s">
        <v>5131</v>
      </c>
      <c r="C41" s="2592"/>
      <c r="D41" s="2553"/>
      <c r="E41" s="2593"/>
      <c r="F41" s="2567"/>
      <c r="G41" s="2567"/>
      <c r="H41" s="2602"/>
      <c r="I41" s="2555"/>
      <c r="J41" s="2556"/>
      <c r="K41" s="2557"/>
      <c r="L41" s="2558"/>
      <c r="M41" s="2559"/>
      <c r="N41" s="2560"/>
      <c r="O41" s="2555"/>
      <c r="P41" s="2551"/>
      <c r="Q41" s="2572"/>
      <c r="R41" s="2607"/>
      <c r="S41" s="2555"/>
      <c r="T41" s="2551"/>
      <c r="U41" s="2551"/>
      <c r="V41" s="2551"/>
      <c r="W41" s="4370"/>
    </row>
    <row r="42" spans="1:23" s="397" customFormat="1">
      <c r="A42" s="2031">
        <v>34</v>
      </c>
      <c r="B42" s="2546" t="s">
        <v>5132</v>
      </c>
      <c r="C42" s="2591">
        <v>13683.41</v>
      </c>
      <c r="D42" s="1486"/>
      <c r="E42" s="2205">
        <f t="shared" si="3"/>
        <v>6.5577742424999999</v>
      </c>
      <c r="F42" s="2545" t="s">
        <v>1913</v>
      </c>
      <c r="G42" s="2545" t="s">
        <v>1839</v>
      </c>
      <c r="H42" s="2600" t="s">
        <v>5133</v>
      </c>
      <c r="I42" s="2542">
        <f>SUM(E42:E44)</f>
        <v>79.678791855</v>
      </c>
      <c r="J42" s="1027">
        <v>69.819999999999993</v>
      </c>
      <c r="K42" s="2540">
        <f t="shared" si="0"/>
        <v>9.8587918550000069</v>
      </c>
      <c r="L42" s="2531">
        <f>E42+E43+E44</f>
        <v>79.678791855</v>
      </c>
      <c r="M42" s="2541">
        <f t="shared" si="1"/>
        <v>80.325710327435729</v>
      </c>
      <c r="N42" s="2542">
        <v>80.040000000000006</v>
      </c>
      <c r="O42" s="2542">
        <v>65.48</v>
      </c>
      <c r="P42" s="2543">
        <f>5.5+60.75+0.6</f>
        <v>66.849999999999994</v>
      </c>
      <c r="Q42" s="2606">
        <f>5.74+63.41+0.63</f>
        <v>69.779999999999987</v>
      </c>
      <c r="R42" s="2584">
        <f>Q42-(Q42*$Q$80)</f>
        <v>55.823963429493809</v>
      </c>
      <c r="S42" s="2543"/>
      <c r="T42" s="2543">
        <f>4.73+52.23+0.52</f>
        <v>57.48</v>
      </c>
      <c r="U42" s="2543">
        <v>4.87</v>
      </c>
      <c r="V42" s="2543">
        <v>5.15</v>
      </c>
      <c r="W42" s="1487">
        <v>5.7</v>
      </c>
    </row>
    <row r="43" spans="1:23" s="397" customFormat="1">
      <c r="A43" s="2031">
        <v>35</v>
      </c>
      <c r="B43" s="2546" t="s">
        <v>5134</v>
      </c>
      <c r="C43" s="2591">
        <v>149545.57</v>
      </c>
      <c r="D43" s="2544">
        <v>1532.84</v>
      </c>
      <c r="E43" s="2205">
        <f t="shared" si="3"/>
        <v>72.404327992500001</v>
      </c>
      <c r="F43" s="2545"/>
      <c r="G43" s="2545"/>
      <c r="H43" s="2600" t="s">
        <v>5133</v>
      </c>
      <c r="I43" s="2542"/>
      <c r="J43" s="1027"/>
      <c r="K43" s="2540"/>
      <c r="L43" s="2531"/>
      <c r="M43" s="2541"/>
      <c r="N43" s="2040"/>
      <c r="O43" s="2542"/>
      <c r="Q43" s="2148"/>
      <c r="R43" s="2584"/>
      <c r="S43" s="2543"/>
      <c r="U43" s="2543">
        <v>53.8</v>
      </c>
      <c r="V43" s="2543">
        <v>56.81</v>
      </c>
      <c r="W43" s="1487">
        <v>62.96</v>
      </c>
    </row>
    <row r="44" spans="1:23">
      <c r="A44" s="2031">
        <v>36</v>
      </c>
      <c r="B44" s="2546" t="s">
        <v>5135</v>
      </c>
      <c r="C44" s="2591"/>
      <c r="D44" s="2544">
        <v>1495.44</v>
      </c>
      <c r="E44" s="2205">
        <f t="shared" si="3"/>
        <v>0.71668962000000014</v>
      </c>
      <c r="F44" s="2545"/>
      <c r="G44" s="2545"/>
      <c r="H44" s="2600" t="s">
        <v>5133</v>
      </c>
      <c r="K44" s="2540"/>
      <c r="L44" s="2531"/>
      <c r="M44" s="2541"/>
      <c r="N44" s="1975"/>
      <c r="O44" s="2542"/>
      <c r="Q44" s="2148"/>
      <c r="R44" s="2584"/>
      <c r="S44" s="2543"/>
      <c r="U44" s="2543">
        <v>0.53</v>
      </c>
      <c r="V44" s="2543">
        <v>0.56000000000000005</v>
      </c>
      <c r="W44" s="1965">
        <v>0.62</v>
      </c>
    </row>
    <row r="45" spans="1:23">
      <c r="A45" s="2573"/>
      <c r="B45" s="2552" t="s">
        <v>5136</v>
      </c>
      <c r="C45" s="2592"/>
      <c r="D45" s="2553"/>
      <c r="E45" s="2593"/>
      <c r="F45" s="2569"/>
      <c r="G45" s="2569"/>
      <c r="H45" s="2602"/>
      <c r="I45" s="2558"/>
      <c r="J45" s="2570"/>
      <c r="K45" s="2557"/>
      <c r="L45" s="2558"/>
      <c r="M45" s="2559"/>
      <c r="N45" s="2571"/>
      <c r="O45" s="2555"/>
      <c r="P45" s="2568"/>
      <c r="Q45" s="2572"/>
      <c r="R45" s="2607"/>
      <c r="S45" s="2555"/>
      <c r="T45" s="2568"/>
      <c r="U45" s="2568"/>
      <c r="V45" s="2568"/>
      <c r="W45" s="4371"/>
    </row>
    <row r="46" spans="1:23">
      <c r="A46" s="2031">
        <v>37</v>
      </c>
      <c r="B46" s="2546" t="s">
        <v>5137</v>
      </c>
      <c r="C46" s="2591">
        <v>4289439.72</v>
      </c>
      <c r="D46" s="2544">
        <v>171986.22</v>
      </c>
      <c r="E46" s="2205">
        <f t="shared" si="3"/>
        <v>2138.1383817449996</v>
      </c>
      <c r="F46" s="2547" t="s">
        <v>5094</v>
      </c>
      <c r="G46" s="2545" t="s">
        <v>5095</v>
      </c>
      <c r="H46" s="2600" t="s">
        <v>5096</v>
      </c>
      <c r="I46" s="2531">
        <f>SUM(E46:E47)</f>
        <v>2153.1454053749994</v>
      </c>
      <c r="J46" s="2532">
        <v>2155.4299999999998</v>
      </c>
      <c r="K46" s="2540">
        <f t="shared" si="0"/>
        <v>-2.284594625000409</v>
      </c>
      <c r="L46" s="2531">
        <f>E46+E47</f>
        <v>2153.1454053749994</v>
      </c>
      <c r="M46" s="2541">
        <f t="shared" si="1"/>
        <v>2170.6269648232405</v>
      </c>
      <c r="N46" s="2531">
        <v>2162.6799999999998</v>
      </c>
      <c r="O46" s="2542">
        <v>1769.5</v>
      </c>
      <c r="P46" s="2543">
        <f>1793.84+12.59</f>
        <v>1806.4299999999998</v>
      </c>
      <c r="Q46" s="2606">
        <f>112.06+1872.53+13.14</f>
        <v>1997.73</v>
      </c>
      <c r="R46" s="2584">
        <f>Q46-(Q46*$Q$80)</f>
        <v>1598.1829530238276</v>
      </c>
      <c r="S46" s="2543"/>
      <c r="T46" s="2543">
        <f>1542.47+10.83+92.3</f>
        <v>1645.6</v>
      </c>
      <c r="U46" s="2543">
        <f>1588.76+95.07</f>
        <v>1683.83</v>
      </c>
      <c r="V46" s="2543">
        <f>100.39+1677.64</f>
        <v>1778.0300000000002</v>
      </c>
      <c r="W46" s="1965">
        <v>1970.36</v>
      </c>
    </row>
    <row r="47" spans="1:23">
      <c r="A47" s="2031">
        <v>38</v>
      </c>
      <c r="B47" s="2546" t="s">
        <v>5119</v>
      </c>
      <c r="C47" s="2591">
        <v>31313.56</v>
      </c>
      <c r="D47" s="2544"/>
      <c r="E47" s="2205">
        <f t="shared" si="3"/>
        <v>15.007023630000001</v>
      </c>
      <c r="F47" s="2547"/>
      <c r="G47" s="2547"/>
      <c r="H47" s="2600" t="s">
        <v>5096</v>
      </c>
      <c r="K47" s="2540"/>
      <c r="L47" s="2531"/>
      <c r="M47" s="2541"/>
      <c r="N47" s="1975"/>
      <c r="O47" s="2542"/>
      <c r="Q47" s="2148"/>
      <c r="R47" s="2584"/>
      <c r="S47" s="2543"/>
      <c r="T47" s="2543"/>
      <c r="U47" s="2543">
        <v>11.15</v>
      </c>
      <c r="V47" s="2543">
        <v>11.77</v>
      </c>
      <c r="W47" s="1965">
        <v>13.05</v>
      </c>
    </row>
    <row r="48" spans="1:23">
      <c r="A48" s="2031">
        <v>39</v>
      </c>
      <c r="B48" s="1083" t="s">
        <v>5138</v>
      </c>
      <c r="C48" s="2591">
        <v>1807808.39</v>
      </c>
      <c r="D48" s="2544"/>
      <c r="E48" s="2205">
        <f>((C48+D48)*0.45/1000)+((C48+D48)*0.45/1000)*6.5/100</f>
        <v>866.39217090749992</v>
      </c>
      <c r="F48" s="2547" t="s">
        <v>5139</v>
      </c>
      <c r="G48" s="2547" t="s">
        <v>5140</v>
      </c>
      <c r="H48" s="2600" t="s">
        <v>5141</v>
      </c>
      <c r="I48" s="2531">
        <v>826.53</v>
      </c>
      <c r="J48" s="2532">
        <v>862.88</v>
      </c>
      <c r="K48" s="2540">
        <f t="shared" si="0"/>
        <v>-36.350000000000023</v>
      </c>
      <c r="L48" s="2531">
        <v>866.39</v>
      </c>
      <c r="M48" s="2541">
        <f t="shared" si="1"/>
        <v>873.42428958051426</v>
      </c>
      <c r="N48" s="2531">
        <v>870.22</v>
      </c>
      <c r="O48" s="2542">
        <v>712.02</v>
      </c>
      <c r="P48" s="2543">
        <v>726.88</v>
      </c>
      <c r="Q48" s="2606">
        <v>758.77</v>
      </c>
      <c r="R48" s="2584">
        <f t="shared" ref="R48:R75" si="4">Q48-(Q48*$Q$80)</f>
        <v>607.01560234160252</v>
      </c>
      <c r="S48" s="2543"/>
      <c r="T48" s="2543">
        <v>625.02</v>
      </c>
      <c r="U48" s="2543">
        <v>643.78</v>
      </c>
      <c r="V48" s="2543">
        <v>679.8</v>
      </c>
      <c r="W48" s="1965">
        <v>753.33</v>
      </c>
    </row>
    <row r="49" spans="1:23">
      <c r="A49" s="2031">
        <v>40</v>
      </c>
      <c r="B49" s="1083" t="s">
        <v>5142</v>
      </c>
      <c r="C49" s="2591">
        <v>24236202.530000001</v>
      </c>
      <c r="D49" s="2544">
        <v>441429.67</v>
      </c>
      <c r="E49" s="2205">
        <f t="shared" si="3"/>
        <v>11826.755231850002</v>
      </c>
      <c r="F49" s="2547" t="s">
        <v>5094</v>
      </c>
      <c r="G49" s="2545" t="s">
        <v>5095</v>
      </c>
      <c r="H49" s="2600" t="s">
        <v>5096</v>
      </c>
      <c r="I49" s="2531">
        <v>11282.63</v>
      </c>
      <c r="J49" s="2532">
        <v>14948.8</v>
      </c>
      <c r="K49" s="2540">
        <f t="shared" si="0"/>
        <v>-3666.17</v>
      </c>
      <c r="L49" s="2531">
        <v>11826.76</v>
      </c>
      <c r="M49" s="2541">
        <f t="shared" si="1"/>
        <v>11922.782408660354</v>
      </c>
      <c r="N49" s="2531">
        <v>11879.13</v>
      </c>
      <c r="O49" s="2542">
        <v>9719.48</v>
      </c>
      <c r="P49" s="2543">
        <v>9922.31</v>
      </c>
      <c r="Q49" s="2606">
        <v>10357.61</v>
      </c>
      <c r="R49" s="2584">
        <f t="shared" si="4"/>
        <v>8286.0825717535045</v>
      </c>
      <c r="S49" s="2543"/>
      <c r="T49" s="2543">
        <v>8531.91</v>
      </c>
      <c r="U49" s="2543">
        <v>8787.9699999999993</v>
      </c>
      <c r="V49" s="2543">
        <v>9279.6</v>
      </c>
      <c r="W49" s="1965">
        <v>10283.36</v>
      </c>
    </row>
    <row r="50" spans="1:23">
      <c r="A50" s="2031">
        <v>41</v>
      </c>
      <c r="B50" s="1083" t="s">
        <v>5143</v>
      </c>
      <c r="C50" s="2591">
        <v>1295610.6200000001</v>
      </c>
      <c r="D50" s="2544"/>
      <c r="E50" s="2205">
        <f t="shared" si="3"/>
        <v>620.92138963500008</v>
      </c>
      <c r="F50" s="2547" t="s">
        <v>5079</v>
      </c>
      <c r="G50" s="387" t="s">
        <v>5080</v>
      </c>
      <c r="H50" s="2598" t="s">
        <v>5081</v>
      </c>
      <c r="I50" s="2531">
        <v>592.35</v>
      </c>
      <c r="J50" s="2532">
        <v>837.43</v>
      </c>
      <c r="K50" s="2540">
        <f t="shared" si="0"/>
        <v>-245.07999999999993</v>
      </c>
      <c r="L50" s="2531">
        <v>620.91999999999996</v>
      </c>
      <c r="M50" s="2541">
        <f t="shared" si="1"/>
        <v>625.96129905277405</v>
      </c>
      <c r="N50" s="2531">
        <v>623.66999999999996</v>
      </c>
      <c r="O50" s="2542">
        <v>510.28</v>
      </c>
      <c r="P50" s="2543">
        <v>520.94000000000005</v>
      </c>
      <c r="Q50" s="2606">
        <v>543.79</v>
      </c>
      <c r="R50" s="2584">
        <f t="shared" si="4"/>
        <v>435.03171500894871</v>
      </c>
      <c r="S50" s="2543"/>
      <c r="T50" s="2543">
        <v>447.94</v>
      </c>
      <c r="U50" s="2543">
        <v>461.38</v>
      </c>
      <c r="V50" s="2543">
        <v>487.19</v>
      </c>
      <c r="W50" s="1965">
        <v>539.89</v>
      </c>
    </row>
    <row r="51" spans="1:23">
      <c r="A51" s="2031">
        <v>42</v>
      </c>
      <c r="B51" s="1083" t="s">
        <v>5144</v>
      </c>
      <c r="C51" s="2591">
        <v>482087.67999999999</v>
      </c>
      <c r="D51" s="2544"/>
      <c r="E51" s="2205">
        <f t="shared" si="3"/>
        <v>231.04052064000001</v>
      </c>
      <c r="F51" s="2547" t="s">
        <v>5079</v>
      </c>
      <c r="G51" s="387" t="s">
        <v>5080</v>
      </c>
      <c r="H51" s="2598" t="s">
        <v>5081</v>
      </c>
      <c r="I51" s="2531">
        <v>220.41</v>
      </c>
      <c r="J51" s="2532">
        <v>311.60000000000002</v>
      </c>
      <c r="K51" s="2540">
        <f t="shared" si="0"/>
        <v>-91.190000000000026</v>
      </c>
      <c r="L51" s="2531">
        <v>231.04</v>
      </c>
      <c r="M51" s="2541">
        <f t="shared" si="1"/>
        <v>232.91583220568336</v>
      </c>
      <c r="N51" s="2531">
        <v>232.07</v>
      </c>
      <c r="O51" s="2542">
        <v>189.88</v>
      </c>
      <c r="P51" s="2543">
        <v>193.84</v>
      </c>
      <c r="Q51" s="2606">
        <v>202.34</v>
      </c>
      <c r="R51" s="2584">
        <f t="shared" si="4"/>
        <v>161.8718939570619</v>
      </c>
      <c r="S51" s="2543"/>
      <c r="T51" s="2543">
        <v>166.67</v>
      </c>
      <c r="U51" s="2543">
        <v>171.68</v>
      </c>
      <c r="V51" s="2543">
        <v>181.28</v>
      </c>
      <c r="W51" s="1965">
        <v>200.89</v>
      </c>
    </row>
    <row r="52" spans="1:23">
      <c r="A52" s="2031">
        <v>43</v>
      </c>
      <c r="B52" s="1083" t="s">
        <v>5145</v>
      </c>
      <c r="C52" s="2591">
        <v>6026156.9900000002</v>
      </c>
      <c r="D52" s="2544">
        <v>21114.53</v>
      </c>
      <c r="E52" s="2205">
        <f t="shared" si="3"/>
        <v>2898.1548759600005</v>
      </c>
      <c r="F52" s="2547" t="s">
        <v>2075</v>
      </c>
      <c r="G52" s="2547" t="s">
        <v>2033</v>
      </c>
      <c r="H52" s="2600" t="s">
        <v>5146</v>
      </c>
      <c r="I52" s="2531">
        <v>2764.82</v>
      </c>
      <c r="J52" s="2532">
        <v>2943.48</v>
      </c>
      <c r="K52" s="2540">
        <f t="shared" si="0"/>
        <v>-178.65999999999985</v>
      </c>
      <c r="L52" s="2531">
        <v>2898.15</v>
      </c>
      <c r="M52" s="2541">
        <f t="shared" si="1"/>
        <v>2921.6803112313942</v>
      </c>
      <c r="N52" s="2531">
        <v>2911.18</v>
      </c>
      <c r="O52" s="2542">
        <v>2381.77</v>
      </c>
      <c r="P52" s="2543">
        <v>2431.4699999999998</v>
      </c>
      <c r="Q52" s="2606">
        <v>2538.14</v>
      </c>
      <c r="R52" s="2584">
        <f t="shared" si="4"/>
        <v>2030.5106698041764</v>
      </c>
      <c r="S52" s="2543"/>
      <c r="T52" s="2543">
        <v>2090.75</v>
      </c>
      <c r="U52" s="2543">
        <v>2153.5</v>
      </c>
      <c r="V52" s="2543">
        <v>2273.9699999999998</v>
      </c>
      <c r="W52" s="1965">
        <v>2519.94</v>
      </c>
    </row>
    <row r="53" spans="1:23">
      <c r="A53" s="2031">
        <v>44</v>
      </c>
      <c r="B53" s="1083" t="s">
        <v>5147</v>
      </c>
      <c r="C53" s="2591">
        <v>1868100.07</v>
      </c>
      <c r="D53" s="1486">
        <v>10482.27</v>
      </c>
      <c r="E53" s="2205">
        <f t="shared" si="3"/>
        <v>900.31058644500001</v>
      </c>
      <c r="F53" s="2547" t="s">
        <v>5148</v>
      </c>
      <c r="G53" s="2547" t="s">
        <v>5149</v>
      </c>
      <c r="H53" s="2600" t="s">
        <v>5150</v>
      </c>
      <c r="I53" s="2531">
        <v>858.89</v>
      </c>
      <c r="J53" s="2532">
        <v>916.18</v>
      </c>
      <c r="K53" s="2540">
        <f t="shared" si="0"/>
        <v>-57.289999999999964</v>
      </c>
      <c r="L53" s="2531">
        <v>900.31</v>
      </c>
      <c r="M53" s="2541">
        <f t="shared" si="1"/>
        <v>907.61968876860624</v>
      </c>
      <c r="N53" s="2531">
        <v>904.3</v>
      </c>
      <c r="O53" s="2542">
        <v>739.89</v>
      </c>
      <c r="P53" s="2543">
        <v>755.33</v>
      </c>
      <c r="Q53" s="2606">
        <v>788.47</v>
      </c>
      <c r="R53" s="2584">
        <f t="shared" si="4"/>
        <v>630.77558677633988</v>
      </c>
      <c r="S53" s="2543"/>
      <c r="T53" s="2543">
        <v>649.49</v>
      </c>
      <c r="U53" s="2543">
        <v>668.98</v>
      </c>
      <c r="V53" s="2543">
        <v>706.41</v>
      </c>
      <c r="W53" s="3041">
        <v>782.82</v>
      </c>
    </row>
    <row r="54" spans="1:23">
      <c r="A54" s="2031">
        <v>45</v>
      </c>
      <c r="B54" s="1083" t="s">
        <v>5151</v>
      </c>
      <c r="C54" s="2591">
        <v>2109121.16</v>
      </c>
      <c r="D54" s="1486">
        <v>39311.85</v>
      </c>
      <c r="E54" s="2205">
        <f t="shared" si="3"/>
        <v>1029.6365200425003</v>
      </c>
      <c r="F54" s="2547" t="s">
        <v>2493</v>
      </c>
      <c r="G54" s="387" t="s">
        <v>2478</v>
      </c>
      <c r="H54" s="2598" t="s">
        <v>5083</v>
      </c>
      <c r="I54" s="2531">
        <v>982.26</v>
      </c>
      <c r="J54" s="2532">
        <v>1086.5999999999999</v>
      </c>
      <c r="K54" s="2540">
        <f t="shared" si="0"/>
        <v>-104.33999999999992</v>
      </c>
      <c r="L54" s="2531">
        <v>1029.6400000000001</v>
      </c>
      <c r="M54" s="2541">
        <f t="shared" si="1"/>
        <v>1037.9997293640056</v>
      </c>
      <c r="N54" s="2531">
        <v>1034.2</v>
      </c>
      <c r="O54" s="2542">
        <v>846.18</v>
      </c>
      <c r="P54" s="2543">
        <v>863.84</v>
      </c>
      <c r="Q54" s="2606">
        <v>901.73</v>
      </c>
      <c r="R54" s="2584">
        <f t="shared" si="4"/>
        <v>721.38352741870824</v>
      </c>
      <c r="S54" s="2543"/>
      <c r="T54" s="2543">
        <v>742.79</v>
      </c>
      <c r="U54" s="2543">
        <v>765.08</v>
      </c>
      <c r="V54" s="2543">
        <v>807.88</v>
      </c>
      <c r="W54" s="1965">
        <v>895.27</v>
      </c>
    </row>
    <row r="55" spans="1:23">
      <c r="A55" s="2031">
        <v>46</v>
      </c>
      <c r="B55" s="1083" t="s">
        <v>5152</v>
      </c>
      <c r="C55" s="2213">
        <v>199128.09</v>
      </c>
      <c r="D55" s="1486">
        <v>60332.67</v>
      </c>
      <c r="E55" s="2205">
        <f t="shared" si="3"/>
        <v>124.34656923000001</v>
      </c>
      <c r="F55" s="380" t="s">
        <v>1936</v>
      </c>
      <c r="G55" s="380" t="s">
        <v>1883</v>
      </c>
      <c r="H55" s="2598" t="s">
        <v>5153</v>
      </c>
      <c r="I55" s="2531">
        <v>118.63</v>
      </c>
      <c r="J55" s="2532">
        <v>128</v>
      </c>
      <c r="K55" s="2540">
        <f t="shared" si="0"/>
        <v>-9.3700000000000045</v>
      </c>
      <c r="L55" s="2531">
        <v>124.35</v>
      </c>
      <c r="M55" s="2541">
        <f t="shared" si="1"/>
        <v>125.35960757780785</v>
      </c>
      <c r="N55" s="2531">
        <v>124.9</v>
      </c>
      <c r="O55" s="2542">
        <v>102.19</v>
      </c>
      <c r="P55" s="2543">
        <v>104.32</v>
      </c>
      <c r="Q55" s="2606">
        <v>108.9</v>
      </c>
      <c r="R55" s="2584">
        <f t="shared" si="4"/>
        <v>87.119942927369976</v>
      </c>
      <c r="S55" s="2543"/>
      <c r="T55" s="2543">
        <v>89.7</v>
      </c>
      <c r="U55" s="2543">
        <v>92.4</v>
      </c>
      <c r="V55" s="2543">
        <v>97.57</v>
      </c>
      <c r="W55" s="3041">
        <v>108.12</v>
      </c>
    </row>
    <row r="56" spans="1:23">
      <c r="A56" s="2031">
        <v>47</v>
      </c>
      <c r="B56" s="1083" t="s">
        <v>5154</v>
      </c>
      <c r="C56" s="2213">
        <v>2711747.08</v>
      </c>
      <c r="D56" s="1486">
        <v>149545.57</v>
      </c>
      <c r="E56" s="2205">
        <f t="shared" si="3"/>
        <v>1371.2745025125</v>
      </c>
      <c r="F56" s="380" t="s">
        <v>5155</v>
      </c>
      <c r="H56" s="2598"/>
      <c r="I56" s="2531">
        <v>1308.18</v>
      </c>
      <c r="J56" s="2532">
        <v>1091.58</v>
      </c>
      <c r="K56" s="2540">
        <f t="shared" si="0"/>
        <v>216.60000000000014</v>
      </c>
      <c r="L56" s="2531">
        <v>1371.27</v>
      </c>
      <c r="M56" s="2541">
        <f t="shared" si="1"/>
        <v>1382.4034506089311</v>
      </c>
      <c r="N56" s="2531">
        <v>1377.34</v>
      </c>
      <c r="O56" s="2542">
        <v>1068.04</v>
      </c>
      <c r="P56" s="2543">
        <v>1090.33</v>
      </c>
      <c r="Q56" s="2606">
        <v>1138.17</v>
      </c>
      <c r="R56" s="2584">
        <f t="shared" si="4"/>
        <v>910.53540350454261</v>
      </c>
      <c r="S56" s="2543"/>
      <c r="T56" s="2543">
        <v>937.54</v>
      </c>
      <c r="U56" s="2543">
        <v>0</v>
      </c>
      <c r="V56" s="2543"/>
      <c r="W56" s="1965"/>
    </row>
    <row r="57" spans="1:23">
      <c r="A57" s="2031">
        <v>48</v>
      </c>
      <c r="B57" s="1083" t="s">
        <v>5158</v>
      </c>
      <c r="C57" s="2213">
        <v>1770615.31</v>
      </c>
      <c r="D57" s="1486">
        <v>27547.63</v>
      </c>
      <c r="E57" s="2205">
        <f t="shared" si="3"/>
        <v>861.76958899499994</v>
      </c>
      <c r="F57" s="380" t="s">
        <v>2131</v>
      </c>
      <c r="G57" s="380" t="s">
        <v>2150</v>
      </c>
      <c r="H57" s="2599" t="s">
        <v>177</v>
      </c>
      <c r="I57" s="2531">
        <v>822.13</v>
      </c>
      <c r="J57" s="2532">
        <v>596.09</v>
      </c>
      <c r="K57" s="2540">
        <f t="shared" si="0"/>
        <v>226.03999999999996</v>
      </c>
      <c r="L57" s="2531">
        <v>861.78</v>
      </c>
      <c r="M57" s="2541">
        <f t="shared" si="1"/>
        <v>868.77686062246289</v>
      </c>
      <c r="N57" s="2531">
        <v>865.6</v>
      </c>
      <c r="O57" s="2542">
        <v>708.23</v>
      </c>
      <c r="P57" s="2543">
        <v>723.01</v>
      </c>
      <c r="Q57" s="2606">
        <v>0</v>
      </c>
      <c r="R57" s="2584">
        <f t="shared" si="4"/>
        <v>0</v>
      </c>
      <c r="S57" s="2543"/>
      <c r="T57" s="2543">
        <v>0</v>
      </c>
      <c r="U57" s="2543">
        <v>0</v>
      </c>
      <c r="V57" s="2543"/>
      <c r="W57" s="1965"/>
    </row>
    <row r="58" spans="1:23">
      <c r="A58" s="2031">
        <v>49</v>
      </c>
      <c r="B58" s="1083" t="s">
        <v>5159</v>
      </c>
      <c r="C58" s="2213">
        <v>183193.31</v>
      </c>
      <c r="D58" s="1486"/>
      <c r="E58" s="2205">
        <f t="shared" si="3"/>
        <v>87.795393817499999</v>
      </c>
      <c r="F58" s="2547" t="s">
        <v>5160</v>
      </c>
      <c r="G58" s="2547" t="s">
        <v>1839</v>
      </c>
      <c r="H58" s="2600" t="s">
        <v>5133</v>
      </c>
      <c r="I58" s="2531">
        <v>83.76</v>
      </c>
      <c r="J58" s="2532">
        <v>81.97</v>
      </c>
      <c r="K58" s="2540">
        <f t="shared" si="0"/>
        <v>1.7900000000000063</v>
      </c>
      <c r="L58" s="2531">
        <v>87.8</v>
      </c>
      <c r="M58" s="2541">
        <f t="shared" si="1"/>
        <v>88.512855209742895</v>
      </c>
      <c r="N58" s="2531">
        <v>88.19</v>
      </c>
      <c r="O58" s="2542">
        <v>72.150000000000006</v>
      </c>
      <c r="P58" s="2543">
        <v>73.66</v>
      </c>
      <c r="Q58" s="2606">
        <v>76.89</v>
      </c>
      <c r="R58" s="2584">
        <f t="shared" si="4"/>
        <v>61.511959703264253</v>
      </c>
      <c r="S58" s="2543"/>
      <c r="T58" s="2543">
        <v>63.34</v>
      </c>
      <c r="U58" s="2543">
        <v>65.239999999999995</v>
      </c>
      <c r="V58" s="2543">
        <v>68.89</v>
      </c>
      <c r="W58" s="1965">
        <v>76.34</v>
      </c>
    </row>
    <row r="59" spans="1:23">
      <c r="A59" s="2031">
        <v>50</v>
      </c>
      <c r="B59" s="1083" t="s">
        <v>5161</v>
      </c>
      <c r="C59" s="2213">
        <v>106862.78</v>
      </c>
      <c r="D59" s="1486">
        <v>19082.64</v>
      </c>
      <c r="E59" s="2205">
        <f t="shared" si="3"/>
        <v>60.359342534999996</v>
      </c>
      <c r="F59" s="2547" t="s">
        <v>5112</v>
      </c>
      <c r="G59" s="387" t="s">
        <v>2392</v>
      </c>
      <c r="H59" s="2599" t="s">
        <v>177</v>
      </c>
      <c r="I59" s="2531">
        <v>57.58</v>
      </c>
      <c r="J59" s="2532">
        <v>126.62</v>
      </c>
      <c r="K59" s="2540">
        <f t="shared" si="0"/>
        <v>-69.040000000000006</v>
      </c>
      <c r="L59" s="2531">
        <v>60.36</v>
      </c>
      <c r="M59" s="2541">
        <f t="shared" si="1"/>
        <v>60.850067658998654</v>
      </c>
      <c r="N59" s="2531">
        <v>60.63</v>
      </c>
      <c r="O59" s="2542">
        <v>0</v>
      </c>
      <c r="P59" s="2543">
        <v>0</v>
      </c>
      <c r="Q59" s="2606">
        <v>0</v>
      </c>
      <c r="R59" s="2584">
        <f t="shared" si="4"/>
        <v>0</v>
      </c>
      <c r="S59" s="2543"/>
      <c r="T59" s="2543">
        <v>0</v>
      </c>
      <c r="U59" s="2543">
        <v>0</v>
      </c>
      <c r="V59" s="2543"/>
      <c r="W59" s="1965"/>
    </row>
    <row r="60" spans="1:23">
      <c r="A60" s="2031">
        <v>51</v>
      </c>
      <c r="B60" s="1083" t="s">
        <v>5162</v>
      </c>
      <c r="C60" s="2213">
        <v>978608.09</v>
      </c>
      <c r="D60" s="1486"/>
      <c r="E60" s="2205">
        <f t="shared" si="3"/>
        <v>468.99792713249997</v>
      </c>
      <c r="F60" s="2547" t="s">
        <v>5089</v>
      </c>
      <c r="G60" s="2545" t="s">
        <v>1567</v>
      </c>
      <c r="H60" s="2599" t="s">
        <v>177</v>
      </c>
      <c r="I60" s="2531">
        <v>447.42</v>
      </c>
      <c r="J60" s="2532">
        <v>467.09</v>
      </c>
      <c r="K60" s="2540">
        <f t="shared" si="0"/>
        <v>-19.669999999999959</v>
      </c>
      <c r="L60" s="2531">
        <v>469</v>
      </c>
      <c r="M60" s="2541">
        <f t="shared" si="1"/>
        <v>472.80784844384306</v>
      </c>
      <c r="N60" s="2531">
        <v>471.08</v>
      </c>
      <c r="O60" s="2542">
        <v>385.43</v>
      </c>
      <c r="P60" s="2543">
        <v>0</v>
      </c>
      <c r="Q60" s="2606">
        <v>0</v>
      </c>
      <c r="R60" s="2584">
        <f t="shared" si="4"/>
        <v>0</v>
      </c>
      <c r="S60" s="2543"/>
      <c r="T60" s="2543">
        <v>0</v>
      </c>
      <c r="U60" s="2543">
        <v>0</v>
      </c>
      <c r="V60" s="2543"/>
      <c r="W60" s="1965"/>
    </row>
    <row r="61" spans="1:23">
      <c r="A61" s="2031">
        <v>52</v>
      </c>
      <c r="B61" s="1083" t="s">
        <v>5163</v>
      </c>
      <c r="C61" s="2213">
        <v>64304.59</v>
      </c>
      <c r="D61" s="1486"/>
      <c r="E61" s="2205">
        <f t="shared" si="3"/>
        <v>30.8179747575</v>
      </c>
      <c r="F61" s="2547" t="s">
        <v>5123</v>
      </c>
      <c r="G61" s="2547" t="s">
        <v>5124</v>
      </c>
      <c r="H61" s="2600" t="s">
        <v>5125</v>
      </c>
      <c r="I61" s="2531">
        <v>29.4</v>
      </c>
      <c r="J61" s="2532">
        <v>30.7</v>
      </c>
      <c r="K61" s="2540">
        <f t="shared" si="0"/>
        <v>-1.3000000000000007</v>
      </c>
      <c r="L61" s="2531">
        <v>30.82</v>
      </c>
      <c r="M61" s="2541">
        <f t="shared" si="1"/>
        <v>31.070230040595401</v>
      </c>
      <c r="N61" s="2531">
        <v>30.96</v>
      </c>
      <c r="O61" s="2542">
        <v>25.32</v>
      </c>
      <c r="P61" s="2543">
        <v>25.86</v>
      </c>
      <c r="Q61" s="2606">
        <v>26.99</v>
      </c>
      <c r="R61" s="2584">
        <f t="shared" si="4"/>
        <v>21.59198585500198</v>
      </c>
      <c r="S61" s="2543"/>
      <c r="T61" s="2543">
        <v>22.23</v>
      </c>
      <c r="U61" s="2543">
        <v>22.9</v>
      </c>
      <c r="V61" s="2543">
        <v>24.18</v>
      </c>
      <c r="W61" s="1965">
        <v>26.8</v>
      </c>
    </row>
    <row r="62" spans="1:23">
      <c r="A62" s="2031">
        <v>53</v>
      </c>
      <c r="B62" s="1083" t="s">
        <v>5164</v>
      </c>
      <c r="C62" s="2213">
        <v>202073.45</v>
      </c>
      <c r="D62" s="1486">
        <v>47170.21</v>
      </c>
      <c r="E62" s="2205">
        <f t="shared" si="3"/>
        <v>119.45002405499999</v>
      </c>
      <c r="F62" s="2547" t="s">
        <v>5089</v>
      </c>
      <c r="G62" s="387" t="s">
        <v>1567</v>
      </c>
      <c r="H62" s="2598" t="s">
        <v>5090</v>
      </c>
      <c r="I62" s="2531">
        <v>113.95</v>
      </c>
      <c r="J62" s="2532">
        <v>66.31</v>
      </c>
      <c r="K62" s="2540">
        <f t="shared" si="0"/>
        <v>47.64</v>
      </c>
      <c r="L62" s="2531">
        <v>119.45</v>
      </c>
      <c r="M62" s="2541">
        <f t="shared" si="1"/>
        <v>120.41982408660353</v>
      </c>
      <c r="N62" s="2531">
        <v>119.98</v>
      </c>
      <c r="O62" s="2542">
        <v>98.17</v>
      </c>
      <c r="P62" s="2543">
        <v>100.22</v>
      </c>
      <c r="Q62" s="2606">
        <v>104.61</v>
      </c>
      <c r="R62" s="2584">
        <f t="shared" si="4"/>
        <v>83.687945175685698</v>
      </c>
      <c r="S62" s="2543"/>
      <c r="T62" s="2543">
        <v>86.17</v>
      </c>
      <c r="U62" s="2543">
        <v>88.76</v>
      </c>
      <c r="V62" s="2543">
        <v>93.72</v>
      </c>
      <c r="W62" s="3041">
        <v>103.86</v>
      </c>
    </row>
    <row r="63" spans="1:23">
      <c r="A63" s="2031">
        <v>54</v>
      </c>
      <c r="B63" s="1083" t="s">
        <v>5165</v>
      </c>
      <c r="C63" s="2213">
        <v>466049.53</v>
      </c>
      <c r="D63" s="1486"/>
      <c r="E63" s="2205">
        <f t="shared" si="3"/>
        <v>223.35423725250001</v>
      </c>
      <c r="F63" s="2547" t="s">
        <v>5166</v>
      </c>
      <c r="G63" s="2547" t="s">
        <v>1677</v>
      </c>
      <c r="H63" s="2600" t="s">
        <v>5167</v>
      </c>
      <c r="I63" s="2531">
        <v>213.08</v>
      </c>
      <c r="J63" s="2532">
        <v>222.44</v>
      </c>
      <c r="K63" s="2540">
        <f t="shared" si="0"/>
        <v>-9.3599999999999852</v>
      </c>
      <c r="L63" s="2531">
        <v>223.35</v>
      </c>
      <c r="M63" s="2541">
        <f t="shared" si="1"/>
        <v>225.16339648173209</v>
      </c>
      <c r="N63" s="2531">
        <v>224.34</v>
      </c>
      <c r="O63" s="2542">
        <v>183.56</v>
      </c>
      <c r="P63" s="2543">
        <v>187.39</v>
      </c>
      <c r="Q63" s="2606">
        <v>195.61</v>
      </c>
      <c r="R63" s="2584">
        <f t="shared" si="4"/>
        <v>156.48789748413998</v>
      </c>
      <c r="S63" s="2543"/>
      <c r="T63" s="2543">
        <v>161.13</v>
      </c>
      <c r="U63" s="2543">
        <v>165.97</v>
      </c>
      <c r="V63" s="2543">
        <v>175.25</v>
      </c>
      <c r="W63" s="1965">
        <v>194.21</v>
      </c>
    </row>
    <row r="64" spans="1:23">
      <c r="A64" s="2031">
        <v>55</v>
      </c>
      <c r="B64" s="1083" t="s">
        <v>5168</v>
      </c>
      <c r="C64" s="2213">
        <v>960474.01</v>
      </c>
      <c r="D64" s="1486">
        <v>73375.89</v>
      </c>
      <c r="E64" s="2594">
        <f t="shared" si="3"/>
        <v>495.47256457500004</v>
      </c>
      <c r="F64" s="380" t="s">
        <v>2131</v>
      </c>
      <c r="G64" s="380" t="s">
        <v>2162</v>
      </c>
      <c r="H64" s="2598" t="s">
        <v>5169</v>
      </c>
      <c r="I64" s="2531">
        <v>472.68</v>
      </c>
      <c r="J64" s="2532">
        <v>649.45000000000005</v>
      </c>
      <c r="K64" s="2540">
        <f t="shared" si="0"/>
        <v>-176.77000000000004</v>
      </c>
      <c r="L64" s="2531">
        <v>495.47</v>
      </c>
      <c r="M64" s="2541">
        <f t="shared" si="1"/>
        <v>499.49276048714489</v>
      </c>
      <c r="N64" s="2531">
        <v>497.66</v>
      </c>
      <c r="O64" s="2542">
        <v>407.19</v>
      </c>
      <c r="P64" s="2543">
        <v>415.69</v>
      </c>
      <c r="Q64" s="2606">
        <v>433.92</v>
      </c>
      <c r="R64" s="2584">
        <f t="shared" si="4"/>
        <v>347.13577258993922</v>
      </c>
      <c r="S64" s="2543"/>
      <c r="T64" s="2543">
        <v>357.44</v>
      </c>
      <c r="U64" s="2543">
        <v>368.16</v>
      </c>
      <c r="V64" s="2543">
        <v>388.76</v>
      </c>
      <c r="W64" s="1965">
        <v>430.81</v>
      </c>
    </row>
    <row r="65" spans="1:23">
      <c r="A65" s="2031">
        <v>56</v>
      </c>
      <c r="B65" s="1083" t="s">
        <v>5170</v>
      </c>
      <c r="C65" s="2213">
        <v>813705.96</v>
      </c>
      <c r="D65" s="1486">
        <v>31446.81</v>
      </c>
      <c r="E65" s="2594">
        <f t="shared" si="3"/>
        <v>405.03946502250005</v>
      </c>
      <c r="F65" s="380" t="s">
        <v>2493</v>
      </c>
      <c r="G65" s="387" t="s">
        <v>2478</v>
      </c>
      <c r="H65" s="2598" t="s">
        <v>5083</v>
      </c>
      <c r="I65" s="2531">
        <v>386.4</v>
      </c>
      <c r="J65" s="2532">
        <v>538.08000000000004</v>
      </c>
      <c r="K65" s="2540">
        <f t="shared" si="0"/>
        <v>-151.68000000000006</v>
      </c>
      <c r="L65" s="2531">
        <v>405.04</v>
      </c>
      <c r="M65" s="2541">
        <f t="shared" si="1"/>
        <v>408.328552097429</v>
      </c>
      <c r="N65" s="2531">
        <v>406.84</v>
      </c>
      <c r="O65" s="2542">
        <v>332.87</v>
      </c>
      <c r="P65" s="2543">
        <v>339.82</v>
      </c>
      <c r="Q65" s="2606">
        <v>354.72</v>
      </c>
      <c r="R65" s="2584">
        <f t="shared" si="4"/>
        <v>283.77581409730652</v>
      </c>
      <c r="S65" s="2543"/>
      <c r="T65" s="2543">
        <v>292.2</v>
      </c>
      <c r="U65" s="2543">
        <v>300.97000000000003</v>
      </c>
      <c r="V65" s="2543">
        <v>317.81</v>
      </c>
      <c r="W65" s="1965">
        <v>352.18</v>
      </c>
    </row>
    <row r="66" spans="1:23">
      <c r="A66" s="2031">
        <v>57</v>
      </c>
      <c r="B66" s="1083" t="s">
        <v>5171</v>
      </c>
      <c r="C66" s="2213">
        <v>3750000</v>
      </c>
      <c r="D66" s="1486">
        <v>60000</v>
      </c>
      <c r="E66" s="2594">
        <f t="shared" si="3"/>
        <v>1825.9425000000001</v>
      </c>
      <c r="F66" s="380" t="s">
        <v>2493</v>
      </c>
      <c r="G66" s="387" t="s">
        <v>5156</v>
      </c>
      <c r="H66" s="2598" t="s">
        <v>5157</v>
      </c>
      <c r="I66" s="2531">
        <v>537.69000000000005</v>
      </c>
      <c r="J66" s="2532">
        <v>678.28</v>
      </c>
      <c r="K66" s="2540">
        <f t="shared" si="0"/>
        <v>-140.58999999999992</v>
      </c>
      <c r="L66" s="2548">
        <f>1825.94</f>
        <v>1825.94</v>
      </c>
      <c r="M66" s="2541">
        <f t="shared" si="1"/>
        <v>1840.7649526387013</v>
      </c>
      <c r="N66" s="2531">
        <v>1834.02</v>
      </c>
      <c r="O66" s="2542">
        <v>1500.6</v>
      </c>
      <c r="P66" s="2543">
        <v>1531.91</v>
      </c>
      <c r="Q66" s="2606">
        <v>1599.12</v>
      </c>
      <c r="R66" s="2584">
        <f t="shared" si="4"/>
        <v>1279.2951619285204</v>
      </c>
      <c r="S66" s="2543"/>
      <c r="T66" s="2543">
        <v>1317.25</v>
      </c>
      <c r="U66" s="2543">
        <v>1356.78</v>
      </c>
      <c r="V66" s="2543">
        <v>1432.69</v>
      </c>
      <c r="W66" s="1965">
        <v>1587.66</v>
      </c>
    </row>
    <row r="67" spans="1:23">
      <c r="A67" s="2031">
        <v>58</v>
      </c>
      <c r="B67" s="1083" t="s">
        <v>5172</v>
      </c>
      <c r="C67" s="2213">
        <v>1639029.39</v>
      </c>
      <c r="D67" s="1486"/>
      <c r="E67" s="2594">
        <f t="shared" si="3"/>
        <v>785.50483515749988</v>
      </c>
      <c r="F67" s="380" t="s">
        <v>2493</v>
      </c>
      <c r="G67" s="387" t="s">
        <v>2478</v>
      </c>
      <c r="H67" s="2598" t="s">
        <v>5083</v>
      </c>
      <c r="I67" s="2531">
        <v>749.37</v>
      </c>
      <c r="J67" s="2532">
        <v>488.95</v>
      </c>
      <c r="K67" s="2540">
        <f t="shared" si="0"/>
        <v>260.42</v>
      </c>
      <c r="L67" s="2531">
        <v>785.5</v>
      </c>
      <c r="M67" s="2541">
        <f t="shared" si="1"/>
        <v>791.87753721244928</v>
      </c>
      <c r="N67" s="2531">
        <v>788.98</v>
      </c>
      <c r="O67" s="2542">
        <v>645.54999999999995</v>
      </c>
      <c r="P67" s="2543">
        <v>659.02</v>
      </c>
      <c r="Q67" s="2606">
        <v>687.93</v>
      </c>
      <c r="R67" s="2584">
        <f t="shared" si="4"/>
        <v>550.34363946763654</v>
      </c>
      <c r="S67" s="2543"/>
      <c r="T67" s="2543">
        <v>566.66999999999996</v>
      </c>
      <c r="U67" s="2543">
        <v>583.67999999999995</v>
      </c>
      <c r="V67" s="2543">
        <v>616.33000000000004</v>
      </c>
      <c r="W67" s="1965">
        <v>683</v>
      </c>
    </row>
    <row r="68" spans="1:23">
      <c r="A68" s="2031">
        <v>59</v>
      </c>
      <c r="B68" s="1083" t="s">
        <v>5173</v>
      </c>
      <c r="C68" s="2213">
        <v>0</v>
      </c>
      <c r="D68" s="1486">
        <v>0</v>
      </c>
      <c r="E68" s="2594">
        <f t="shared" si="3"/>
        <v>0</v>
      </c>
      <c r="F68" s="380" t="s">
        <v>5174</v>
      </c>
      <c r="G68" s="387" t="s">
        <v>2478</v>
      </c>
      <c r="H68" s="2599" t="s">
        <v>177</v>
      </c>
      <c r="I68" s="2531">
        <v>231.72</v>
      </c>
      <c r="J68" s="2532">
        <v>226.91</v>
      </c>
      <c r="K68" s="2540">
        <f t="shared" si="0"/>
        <v>4.8100000000000023</v>
      </c>
      <c r="L68" s="2531">
        <v>0</v>
      </c>
      <c r="M68" s="2541">
        <v>0</v>
      </c>
      <c r="N68" s="2531">
        <v>0</v>
      </c>
      <c r="O68" s="2542">
        <v>0</v>
      </c>
      <c r="P68" s="2543">
        <v>0</v>
      </c>
      <c r="Q68" s="2606">
        <v>0</v>
      </c>
      <c r="R68" s="2584">
        <f t="shared" si="4"/>
        <v>0</v>
      </c>
      <c r="S68" s="2543"/>
      <c r="T68" s="2543">
        <v>0</v>
      </c>
      <c r="U68" s="2543">
        <v>0</v>
      </c>
      <c r="V68" s="2543"/>
      <c r="W68" s="1965"/>
    </row>
    <row r="69" spans="1:23">
      <c r="A69" s="2031">
        <v>60</v>
      </c>
      <c r="B69" s="1083" t="s">
        <v>5175</v>
      </c>
      <c r="C69" s="2213">
        <v>52437.01</v>
      </c>
      <c r="D69" s="1486"/>
      <c r="E69" s="2594">
        <f t="shared" si="3"/>
        <v>25.130437042499999</v>
      </c>
      <c r="F69" s="380" t="s">
        <v>2131</v>
      </c>
      <c r="G69" s="380" t="s">
        <v>2033</v>
      </c>
      <c r="H69" s="2599" t="s">
        <v>177</v>
      </c>
      <c r="I69" s="2531">
        <v>23.97</v>
      </c>
      <c r="J69" s="2532">
        <v>71.290000000000006</v>
      </c>
      <c r="K69" s="2540">
        <f t="shared" si="0"/>
        <v>-47.320000000000007</v>
      </c>
      <c r="L69" s="2549">
        <v>25.11</v>
      </c>
      <c r="M69" s="2541">
        <f t="shared" si="1"/>
        <v>25.313870094722599</v>
      </c>
      <c r="N69" s="2531">
        <v>25.01</v>
      </c>
      <c r="O69" s="2542">
        <v>0</v>
      </c>
      <c r="P69" s="2543">
        <v>0</v>
      </c>
      <c r="Q69" s="2606">
        <v>0</v>
      </c>
      <c r="R69" s="2584">
        <f t="shared" si="4"/>
        <v>0</v>
      </c>
      <c r="S69" s="2543"/>
      <c r="T69" s="2543">
        <v>0</v>
      </c>
      <c r="U69" s="2543">
        <v>0</v>
      </c>
      <c r="V69" s="2543"/>
      <c r="W69" s="1965"/>
    </row>
    <row r="70" spans="1:23">
      <c r="A70" s="2031">
        <v>61</v>
      </c>
      <c r="B70" s="1083" t="s">
        <v>5176</v>
      </c>
      <c r="C70" s="2213">
        <v>102415.77</v>
      </c>
      <c r="D70" s="1486"/>
      <c r="E70" s="2594">
        <f t="shared" si="3"/>
        <v>49.082757772500003</v>
      </c>
      <c r="F70" s="380" t="s">
        <v>5123</v>
      </c>
      <c r="G70" s="380" t="s">
        <v>5124</v>
      </c>
      <c r="H70" s="2603" t="s">
        <v>177</v>
      </c>
      <c r="I70" s="2531">
        <v>46.82</v>
      </c>
      <c r="J70" s="2532">
        <v>51.93</v>
      </c>
      <c r="K70" s="2540">
        <f t="shared" si="0"/>
        <v>-5.1099999999999994</v>
      </c>
      <c r="L70" s="2550">
        <v>49.08</v>
      </c>
      <c r="M70" s="2541">
        <f t="shared" si="1"/>
        <v>49.478484438430314</v>
      </c>
      <c r="N70" s="2531">
        <v>49.3</v>
      </c>
      <c r="O70" s="2542">
        <v>0</v>
      </c>
      <c r="P70" s="2543">
        <v>0</v>
      </c>
      <c r="Q70" s="2606">
        <v>0</v>
      </c>
      <c r="R70" s="2584">
        <f t="shared" si="4"/>
        <v>0</v>
      </c>
      <c r="S70" s="2543"/>
      <c r="T70" s="2543">
        <v>0</v>
      </c>
      <c r="U70" s="2543">
        <v>0</v>
      </c>
      <c r="V70" s="2543"/>
      <c r="W70" s="1965"/>
    </row>
    <row r="71" spans="1:23">
      <c r="A71" s="2031">
        <v>62</v>
      </c>
      <c r="B71" s="1083" t="s">
        <v>5177</v>
      </c>
      <c r="C71" s="2213">
        <v>208140.51</v>
      </c>
      <c r="D71" s="1486">
        <v>5068.59</v>
      </c>
      <c r="E71" s="2594">
        <f t="shared" si="3"/>
        <v>102.180461175</v>
      </c>
      <c r="F71" s="380" t="s">
        <v>2131</v>
      </c>
      <c r="G71" s="380" t="s">
        <v>2150</v>
      </c>
      <c r="H71" s="2598" t="s">
        <v>5100</v>
      </c>
      <c r="K71" s="2540"/>
      <c r="L71" s="2531">
        <v>102.18</v>
      </c>
      <c r="M71" s="2541">
        <v>103.07</v>
      </c>
      <c r="N71" s="2531">
        <v>102.69</v>
      </c>
      <c r="O71" s="2542">
        <v>83.97</v>
      </c>
      <c r="P71" s="2543">
        <v>85.73</v>
      </c>
      <c r="Q71" s="2606">
        <v>89.49</v>
      </c>
      <c r="R71" s="2584">
        <f t="shared" si="4"/>
        <v>71.591953099819449</v>
      </c>
      <c r="S71" s="2543"/>
      <c r="T71" s="2543">
        <v>73.709999999999994</v>
      </c>
      <c r="U71" s="2543">
        <v>75.930000000000007</v>
      </c>
      <c r="V71" s="2543">
        <v>80.17</v>
      </c>
      <c r="W71" s="1965">
        <v>88.85</v>
      </c>
    </row>
    <row r="72" spans="1:23">
      <c r="A72" s="2031">
        <v>63</v>
      </c>
      <c r="B72" s="1083" t="s">
        <v>5178</v>
      </c>
      <c r="C72" s="2213"/>
      <c r="D72" s="1486"/>
      <c r="E72" s="2594"/>
      <c r="G72" s="380" t="s">
        <v>5179</v>
      </c>
      <c r="H72" s="2598" t="s">
        <v>5083</v>
      </c>
      <c r="K72" s="2540"/>
      <c r="L72" s="2531"/>
      <c r="M72" s="2541"/>
      <c r="N72" s="2531"/>
      <c r="O72" s="2542">
        <v>124.86</v>
      </c>
      <c r="P72" s="2543">
        <v>127.46</v>
      </c>
      <c r="Q72" s="2606">
        <v>133.05000000000001</v>
      </c>
      <c r="R72" s="2584">
        <f t="shared" si="4"/>
        <v>106.43993027076746</v>
      </c>
      <c r="S72" s="2543"/>
      <c r="T72" s="2543">
        <v>109.6</v>
      </c>
      <c r="U72" s="2543">
        <v>112.89</v>
      </c>
      <c r="V72" s="2543">
        <v>119.21</v>
      </c>
      <c r="W72" s="1965">
        <v>132.1</v>
      </c>
    </row>
    <row r="73" spans="1:23">
      <c r="A73" s="2031">
        <v>64</v>
      </c>
      <c r="B73" s="1083" t="s">
        <v>5180</v>
      </c>
      <c r="C73" s="2213"/>
      <c r="D73" s="1486"/>
      <c r="E73" s="2594"/>
      <c r="G73" s="380" t="s">
        <v>5095</v>
      </c>
      <c r="H73" s="2600" t="s">
        <v>5133</v>
      </c>
      <c r="K73" s="2540"/>
      <c r="L73" s="2531"/>
      <c r="M73" s="2541"/>
      <c r="N73" s="2531"/>
      <c r="O73" s="2542"/>
      <c r="P73" s="2543">
        <v>6.35</v>
      </c>
      <c r="Q73" s="2606">
        <v>6.63</v>
      </c>
      <c r="R73" s="2584">
        <f t="shared" si="4"/>
        <v>5.3039965253302377</v>
      </c>
      <c r="S73" s="2543"/>
      <c r="T73" s="2543">
        <v>5.46</v>
      </c>
      <c r="U73" s="2543">
        <v>5.63</v>
      </c>
      <c r="V73" s="2543">
        <v>5.94</v>
      </c>
      <c r="W73" s="1965">
        <v>6.58</v>
      </c>
    </row>
    <row r="74" spans="1:23">
      <c r="A74" s="2031">
        <v>65</v>
      </c>
      <c r="B74" s="1083" t="s">
        <v>5181</v>
      </c>
      <c r="C74" s="2213"/>
      <c r="D74" s="1486"/>
      <c r="E74" s="2594"/>
      <c r="G74" s="380" t="s">
        <v>2392</v>
      </c>
      <c r="H74" s="2598" t="s">
        <v>5085</v>
      </c>
      <c r="K74" s="2540"/>
      <c r="L74" s="2531"/>
      <c r="M74" s="2541"/>
      <c r="N74" s="2531"/>
      <c r="O74" s="2542"/>
      <c r="P74" s="2543"/>
      <c r="Q74" s="2606">
        <f>19.81+19.81</f>
        <v>39.619999999999997</v>
      </c>
      <c r="R74" s="2584">
        <f t="shared" si="4"/>
        <v>31.695979235834692</v>
      </c>
      <c r="S74" s="2543"/>
      <c r="T74" s="2543">
        <v>16.32</v>
      </c>
      <c r="U74" s="2543">
        <v>16.809999999999999</v>
      </c>
      <c r="V74" s="2543">
        <v>17.75</v>
      </c>
      <c r="W74" s="3041">
        <v>19.670000000000002</v>
      </c>
    </row>
    <row r="75" spans="1:23">
      <c r="A75" s="2031">
        <v>66</v>
      </c>
      <c r="B75" s="1083" t="s">
        <v>5182</v>
      </c>
      <c r="C75" s="2213"/>
      <c r="D75" s="1486"/>
      <c r="E75" s="2594"/>
      <c r="G75" s="380" t="s">
        <v>5140</v>
      </c>
      <c r="H75" s="2600" t="s">
        <v>5141</v>
      </c>
      <c r="K75" s="2540"/>
      <c r="L75" s="2531"/>
      <c r="M75" s="2541"/>
      <c r="N75" s="2531"/>
      <c r="O75" s="2542"/>
      <c r="P75" s="2543"/>
      <c r="Q75" s="2606">
        <v>57.67</v>
      </c>
      <c r="R75" s="2584">
        <f t="shared" si="4"/>
        <v>46.135969776137983</v>
      </c>
      <c r="S75" s="2543"/>
      <c r="T75" s="2543">
        <v>47.5</v>
      </c>
      <c r="U75" s="2543">
        <v>0</v>
      </c>
      <c r="V75" s="2543"/>
      <c r="W75" s="1965"/>
    </row>
    <row r="76" spans="1:23">
      <c r="A76" s="2032"/>
      <c r="B76" s="1083" t="s">
        <v>5183</v>
      </c>
      <c r="C76" s="2213"/>
      <c r="D76" s="1486"/>
      <c r="E76" s="2594"/>
      <c r="H76" s="2600" t="s">
        <v>5096</v>
      </c>
      <c r="K76" s="2540"/>
      <c r="L76" s="2531"/>
      <c r="M76" s="2541"/>
      <c r="N76" s="2531"/>
      <c r="O76" s="2542"/>
      <c r="P76" s="2543"/>
      <c r="Q76" s="2606"/>
      <c r="R76" s="2584"/>
      <c r="S76" s="2543"/>
      <c r="T76" s="2543">
        <v>55.33</v>
      </c>
      <c r="U76" s="2543">
        <v>0</v>
      </c>
      <c r="V76" s="2543"/>
      <c r="W76" s="1965"/>
    </row>
    <row r="77" spans="1:23">
      <c r="A77" s="2021"/>
      <c r="B77" s="2588"/>
      <c r="C77" s="2595">
        <f>SUM(C5:C71)</f>
        <v>82193051.320000023</v>
      </c>
      <c r="D77" s="2574">
        <f>SUM(D5:D71)</f>
        <v>2865258.9599999995</v>
      </c>
      <c r="E77" s="2596">
        <f>((C77+D77)*0.45/1000)+((C77+D77)*0.45/1000)*6.5/100</f>
        <v>40764.19520169001</v>
      </c>
      <c r="F77" s="2081"/>
      <c r="G77" s="2081"/>
      <c r="H77" s="2604"/>
      <c r="I77" s="2575">
        <f t="shared" ref="I77:R77" si="5">SUM(I5:I76)</f>
        <v>37993.234858055002</v>
      </c>
      <c r="J77" s="2575">
        <f t="shared" si="5"/>
        <v>50364.39</v>
      </c>
      <c r="K77" s="2575">
        <f t="shared" si="5"/>
        <v>-17606.625141944998</v>
      </c>
      <c r="L77" s="2575">
        <f t="shared" si="5"/>
        <v>40704.414858055003</v>
      </c>
      <c r="M77" s="2575">
        <f t="shared" si="5"/>
        <v>41034.957644453309</v>
      </c>
      <c r="N77" s="2575">
        <f t="shared" si="5"/>
        <v>40884.740000000005</v>
      </c>
      <c r="O77" s="2575">
        <f t="shared" si="5"/>
        <v>33182.25</v>
      </c>
      <c r="P77" s="2575">
        <f t="shared" si="5"/>
        <v>33532.099999999991</v>
      </c>
      <c r="Q77" s="2608">
        <f t="shared" si="5"/>
        <v>34345.710000000006</v>
      </c>
      <c r="R77" s="2576">
        <f t="shared" si="5"/>
        <v>27476.55</v>
      </c>
      <c r="S77" s="2575"/>
      <c r="T77" s="2576">
        <f>SUM(T5:T76)</f>
        <v>28291.649999999994</v>
      </c>
      <c r="U77" s="2576">
        <f>SUM(U5:U76)</f>
        <v>27960.990000000009</v>
      </c>
      <c r="V77" s="2576">
        <f>SUM(V5:V76)</f>
        <v>29525.219999999998</v>
      </c>
      <c r="W77" s="2576">
        <f>SUM(W5:W76)</f>
        <v>32718.929999999997</v>
      </c>
    </row>
    <row r="78" spans="1:23">
      <c r="A78" s="583"/>
      <c r="C78" s="1549"/>
      <c r="D78" s="1549"/>
      <c r="E78" s="2544"/>
      <c r="J78" s="2531"/>
      <c r="K78" s="2531"/>
      <c r="L78" s="2531"/>
      <c r="M78" s="2531"/>
      <c r="N78" s="2531"/>
      <c r="O78" s="2531"/>
      <c r="P78" s="2531"/>
      <c r="Q78" s="2531"/>
      <c r="R78" s="2531"/>
      <c r="S78" s="2531"/>
    </row>
    <row r="79" spans="1:23">
      <c r="A79" s="583"/>
      <c r="C79" s="1549"/>
      <c r="D79" s="1549"/>
      <c r="E79" s="2544"/>
      <c r="G79" s="380" t="s">
        <v>5184</v>
      </c>
      <c r="J79" s="2531"/>
      <c r="K79" s="2531"/>
      <c r="L79" s="2531"/>
      <c r="M79" s="2531"/>
      <c r="N79" s="2531"/>
      <c r="O79" s="2531"/>
      <c r="P79" s="2531"/>
      <c r="Q79" s="2531">
        <v>6869.16</v>
      </c>
      <c r="R79" s="2531"/>
      <c r="S79" s="2531"/>
    </row>
    <row r="80" spans="1:23">
      <c r="D80" s="1549"/>
      <c r="Q80" s="395">
        <f>Q79/Q77</f>
        <v>0.20000052408292035</v>
      </c>
    </row>
    <row r="81" spans="5:23">
      <c r="I81" s="2531">
        <v>39582.83</v>
      </c>
      <c r="L81" s="2531"/>
    </row>
    <row r="83" spans="5:23">
      <c r="E83" s="2239"/>
      <c r="F83" s="2060"/>
      <c r="G83" s="2060" t="s">
        <v>5140</v>
      </c>
      <c r="H83" s="2061"/>
      <c r="I83" s="2579">
        <f>I77*1.0482273</f>
        <v>39825.54599352488</v>
      </c>
      <c r="J83" s="2580"/>
      <c r="K83" s="2581"/>
      <c r="L83" s="2582">
        <f>L48+L66+L56</f>
        <v>4063.6</v>
      </c>
      <c r="M83" s="2582">
        <f>M48+M66+M56</f>
        <v>4096.592692828146</v>
      </c>
      <c r="N83" s="2582">
        <f>N48+N66+N56</f>
        <v>4081.58</v>
      </c>
      <c r="O83" s="2582">
        <f>O48+O66+O56</f>
        <v>3280.66</v>
      </c>
      <c r="P83" s="2582">
        <f>P48+P66+P56</f>
        <v>3349.12</v>
      </c>
      <c r="Q83" s="2582">
        <f>Q75+Q48</f>
        <v>816.43999999999994</v>
      </c>
      <c r="R83" s="2582">
        <f>R75+R48</f>
        <v>653.15157211774044</v>
      </c>
      <c r="S83" s="2585" t="s">
        <v>5141</v>
      </c>
      <c r="T83" s="2583">
        <f>T75+T48</f>
        <v>672.52</v>
      </c>
      <c r="U83" s="2583">
        <f>U48</f>
        <v>643.78</v>
      </c>
      <c r="V83" s="2583">
        <f>V48</f>
        <v>679.8</v>
      </c>
      <c r="W83" s="2583">
        <f>W48</f>
        <v>753.33</v>
      </c>
    </row>
    <row r="84" spans="5:23">
      <c r="E84" s="2148"/>
      <c r="F84" s="387"/>
      <c r="G84" s="387" t="s">
        <v>5156</v>
      </c>
      <c r="H84" s="2177"/>
      <c r="I84" s="2542"/>
      <c r="J84" s="1027"/>
      <c r="K84" s="2039"/>
      <c r="L84" s="2543"/>
      <c r="M84" s="2543"/>
      <c r="N84" s="2543"/>
      <c r="O84" s="2543"/>
      <c r="P84" s="2543"/>
      <c r="Q84" s="2543">
        <f>Q56+Q66</f>
        <v>2737.29</v>
      </c>
      <c r="R84" s="2543">
        <f>R56+R66</f>
        <v>2189.8305654330629</v>
      </c>
      <c r="S84" s="2485" t="s">
        <v>5096</v>
      </c>
      <c r="T84" s="2584">
        <f>T13+T46+T49+T76</f>
        <v>10337.84</v>
      </c>
      <c r="U84" s="2584">
        <f>U46+U47+U49</f>
        <v>10482.949999999999</v>
      </c>
      <c r="V84" s="2584">
        <f>V46+V47+V49</f>
        <v>11069.400000000001</v>
      </c>
      <c r="W84" s="2584">
        <f>W46+W47+W49</f>
        <v>12266.77</v>
      </c>
    </row>
    <row r="85" spans="5:23">
      <c r="E85" s="2148"/>
      <c r="F85" s="387"/>
      <c r="G85" s="387" t="s">
        <v>5095</v>
      </c>
      <c r="H85" s="2177"/>
      <c r="I85" s="2542"/>
      <c r="J85" s="1027"/>
      <c r="K85" s="2039"/>
      <c r="L85" s="2543">
        <f t="shared" ref="L85:R85" si="6">L73+L49+L46+L13</f>
        <v>14253.395405375</v>
      </c>
      <c r="M85" s="2543">
        <f t="shared" si="6"/>
        <v>14369.119860628385</v>
      </c>
      <c r="N85" s="2543">
        <f t="shared" si="6"/>
        <v>14316.51</v>
      </c>
      <c r="O85" s="2543">
        <f t="shared" si="6"/>
        <v>11713.74</v>
      </c>
      <c r="P85" s="2543">
        <f t="shared" si="6"/>
        <v>11964.54</v>
      </c>
      <c r="Q85" s="2543">
        <f t="shared" si="6"/>
        <v>12489.429999999998</v>
      </c>
      <c r="R85" s="2543">
        <f t="shared" si="6"/>
        <v>9991.5374545030536</v>
      </c>
      <c r="S85" s="2485" t="s">
        <v>5125</v>
      </c>
      <c r="T85" s="2584">
        <f>T35+T61</f>
        <v>576.54</v>
      </c>
      <c r="U85" s="2584">
        <f>U35+U37+U36+U38+U39+U40+U61</f>
        <v>593.83999999999992</v>
      </c>
      <c r="V85" s="2584">
        <f>V35+V37+V36+V38+V39+V40+V61</f>
        <v>627.06999999999994</v>
      </c>
      <c r="W85" s="2584">
        <f>W35+W37+W36+W38+W39+W40+W61</f>
        <v>694.9</v>
      </c>
    </row>
    <row r="86" spans="5:23">
      <c r="E86" s="2148"/>
      <c r="F86" s="387"/>
      <c r="G86" s="387" t="s">
        <v>5124</v>
      </c>
      <c r="H86" s="2177"/>
      <c r="I86" s="2542"/>
      <c r="J86" s="1027"/>
      <c r="K86" s="2039"/>
      <c r="L86" s="2543">
        <f t="shared" ref="L86:R86" si="7">L70+L61+L35</f>
        <v>795.25107474999993</v>
      </c>
      <c r="M86" s="2543">
        <f t="shared" si="7"/>
        <v>801.70778171684719</v>
      </c>
      <c r="N86" s="2543">
        <f t="shared" si="7"/>
        <v>798.78</v>
      </c>
      <c r="O86" s="2543">
        <f t="shared" si="7"/>
        <v>613.22</v>
      </c>
      <c r="P86" s="2543">
        <f t="shared" si="7"/>
        <v>670.5100000000001</v>
      </c>
      <c r="Q86" s="2543">
        <f t="shared" si="7"/>
        <v>699.93000000000006</v>
      </c>
      <c r="R86" s="2543">
        <f t="shared" si="7"/>
        <v>559.94363317864156</v>
      </c>
      <c r="S86" s="2485" t="s">
        <v>5157</v>
      </c>
      <c r="T86" s="2584">
        <f>T56+T66</f>
        <v>2254.79</v>
      </c>
      <c r="U86" s="2584">
        <f>U66</f>
        <v>1356.78</v>
      </c>
      <c r="V86" s="2584">
        <f>V66</f>
        <v>1432.69</v>
      </c>
      <c r="W86" s="2584">
        <f>W66</f>
        <v>1587.66</v>
      </c>
    </row>
    <row r="87" spans="5:23">
      <c r="E87" s="2148"/>
      <c r="F87" s="387"/>
      <c r="G87" s="387" t="s">
        <v>1677</v>
      </c>
      <c r="H87" s="2177"/>
      <c r="I87" s="2542"/>
      <c r="J87" s="1027"/>
      <c r="K87" s="2039"/>
      <c r="L87" s="2543">
        <f t="shared" ref="L87:R87" si="8">L63</f>
        <v>223.35</v>
      </c>
      <c r="M87" s="2543">
        <f t="shared" si="8"/>
        <v>225.16339648173209</v>
      </c>
      <c r="N87" s="2543">
        <f t="shared" si="8"/>
        <v>224.34</v>
      </c>
      <c r="O87" s="2543">
        <f t="shared" si="8"/>
        <v>183.56</v>
      </c>
      <c r="P87" s="2543">
        <f t="shared" si="8"/>
        <v>187.39</v>
      </c>
      <c r="Q87" s="2543">
        <f t="shared" si="8"/>
        <v>195.61</v>
      </c>
      <c r="R87" s="2543">
        <f t="shared" si="8"/>
        <v>156.48789748413998</v>
      </c>
      <c r="S87" s="2485" t="s">
        <v>5167</v>
      </c>
      <c r="T87" s="2584">
        <f>T63</f>
        <v>161.13</v>
      </c>
      <c r="U87" s="2584">
        <f>U63</f>
        <v>165.97</v>
      </c>
      <c r="V87" s="2584">
        <f>V63</f>
        <v>175.25</v>
      </c>
      <c r="W87" s="2584">
        <f>W63</f>
        <v>194.21</v>
      </c>
    </row>
    <row r="88" spans="5:23">
      <c r="E88" s="2148"/>
      <c r="F88" s="387"/>
      <c r="G88" s="387" t="s">
        <v>1839</v>
      </c>
      <c r="H88" s="2177"/>
      <c r="I88" s="2542"/>
      <c r="J88" s="1027"/>
      <c r="K88" s="2039"/>
      <c r="L88" s="2543">
        <f t="shared" ref="L88:R88" si="9">L58+L42</f>
        <v>167.478791855</v>
      </c>
      <c r="M88" s="2543">
        <f t="shared" si="9"/>
        <v>168.83856553717862</v>
      </c>
      <c r="N88" s="2543">
        <f t="shared" si="9"/>
        <v>168.23000000000002</v>
      </c>
      <c r="O88" s="2543">
        <f t="shared" si="9"/>
        <v>137.63</v>
      </c>
      <c r="P88" s="2543">
        <f t="shared" si="9"/>
        <v>140.51</v>
      </c>
      <c r="Q88" s="2543">
        <f t="shared" si="9"/>
        <v>146.66999999999999</v>
      </c>
      <c r="R88" s="2543">
        <f t="shared" si="9"/>
        <v>117.33592313275807</v>
      </c>
      <c r="S88" s="2485" t="s">
        <v>5133</v>
      </c>
      <c r="T88" s="2584">
        <f>T42+T73+T58</f>
        <v>126.28</v>
      </c>
      <c r="U88" s="2584">
        <f>U42+U43+U44+U58+U73</f>
        <v>130.07</v>
      </c>
      <c r="V88" s="2584">
        <f>V42+V43+V44+V58+V73</f>
        <v>137.35</v>
      </c>
      <c r="W88" s="2584">
        <f>W42+W43+W44+W58+W73</f>
        <v>152.20000000000002</v>
      </c>
    </row>
    <row r="89" spans="5:23">
      <c r="E89" s="2148"/>
      <c r="F89" s="387"/>
      <c r="G89" s="387" t="s">
        <v>2478</v>
      </c>
      <c r="H89" s="2177"/>
      <c r="I89" s="2542"/>
      <c r="J89" s="1027"/>
      <c r="K89" s="2039"/>
      <c r="L89" s="2543">
        <f t="shared" ref="L89:R89" si="10">L72+L68+L67+L65+L54+L26+L12+L9+L6</f>
        <v>6244.2900000000009</v>
      </c>
      <c r="M89" s="2543">
        <f t="shared" si="10"/>
        <v>6294.9878890392429</v>
      </c>
      <c r="N89" s="2543">
        <f t="shared" si="10"/>
        <v>6271.96</v>
      </c>
      <c r="O89" s="2543">
        <f t="shared" si="10"/>
        <v>5256.5599999999995</v>
      </c>
      <c r="P89" s="2543">
        <f t="shared" si="10"/>
        <v>5366.26</v>
      </c>
      <c r="Q89" s="2543">
        <f t="shared" si="10"/>
        <v>5601.6600000000008</v>
      </c>
      <c r="R89" s="2543">
        <f t="shared" si="10"/>
        <v>4481.3250642656694</v>
      </c>
      <c r="S89" s="2485" t="s">
        <v>5083</v>
      </c>
      <c r="T89" s="2584">
        <f>T6+T9+T12+T26+T28+T54+T65+T67+T72</f>
        <v>5210.3500000000013</v>
      </c>
      <c r="U89" s="2584">
        <f>U6+U9+U12+U26+U28+U29+U31+U32+U54+U65+U72+U67</f>
        <v>5366.7200000000012</v>
      </c>
      <c r="V89" s="2584">
        <f>V6+V9+V12+V26+V28+V29+V31+V32+V54+V65+V72+V67</f>
        <v>5666.96</v>
      </c>
      <c r="W89" s="2584">
        <f>W6+W9+W12+W26+W28+W29+W31+W32+W54+W65+W72+W67</f>
        <v>6279.93</v>
      </c>
    </row>
    <row r="90" spans="5:23">
      <c r="E90" s="2148"/>
      <c r="F90" s="387"/>
      <c r="G90" s="387" t="s">
        <v>2033</v>
      </c>
      <c r="H90" s="2177"/>
      <c r="I90" s="2542"/>
      <c r="J90" s="1027"/>
      <c r="K90" s="2039"/>
      <c r="L90" s="2543">
        <f t="shared" ref="L90:R90" si="11">L52+L69</f>
        <v>2923.26</v>
      </c>
      <c r="M90" s="2543">
        <f t="shared" si="11"/>
        <v>2946.9941813261166</v>
      </c>
      <c r="N90" s="2543">
        <f t="shared" si="11"/>
        <v>2936.19</v>
      </c>
      <c r="O90" s="2543">
        <f t="shared" si="11"/>
        <v>2381.77</v>
      </c>
      <c r="P90" s="2543">
        <f t="shared" si="11"/>
        <v>2431.4699999999998</v>
      </c>
      <c r="Q90" s="2543">
        <f t="shared" si="11"/>
        <v>2538.14</v>
      </c>
      <c r="R90" s="2543">
        <f t="shared" si="11"/>
        <v>2030.5106698041764</v>
      </c>
      <c r="S90" s="2485" t="s">
        <v>5146</v>
      </c>
      <c r="T90" s="2584">
        <f>T52</f>
        <v>2090.75</v>
      </c>
      <c r="U90" s="2584">
        <f>U52</f>
        <v>2153.5</v>
      </c>
      <c r="V90" s="2584">
        <f>V52</f>
        <v>2273.9699999999998</v>
      </c>
      <c r="W90" s="2584">
        <f>W52</f>
        <v>2519.94</v>
      </c>
    </row>
    <row r="91" spans="5:23">
      <c r="E91" s="2148"/>
      <c r="F91" s="387"/>
      <c r="G91" s="387" t="s">
        <v>2150</v>
      </c>
      <c r="H91" s="2177"/>
      <c r="I91" s="2542"/>
      <c r="J91" s="1027"/>
      <c r="K91" s="2039"/>
      <c r="L91" s="2543">
        <f t="shared" ref="L91:R91" si="12">L71+L57+L16</f>
        <v>2168.1162183725</v>
      </c>
      <c r="M91" s="2543">
        <f t="shared" si="12"/>
        <v>2185.7797194688937</v>
      </c>
      <c r="N91" s="2543">
        <f t="shared" si="12"/>
        <v>2177.7799999999997</v>
      </c>
      <c r="O91" s="2543">
        <f t="shared" si="12"/>
        <v>1783.75</v>
      </c>
      <c r="P91" s="2543">
        <f t="shared" si="12"/>
        <v>1820.98</v>
      </c>
      <c r="Q91" s="2543">
        <f t="shared" si="12"/>
        <v>1146.1400000000001</v>
      </c>
      <c r="R91" s="2543">
        <f t="shared" si="12"/>
        <v>916.91139932760166</v>
      </c>
      <c r="S91" s="2485" t="s">
        <v>5100</v>
      </c>
      <c r="T91" s="2584">
        <f>T16+T71</f>
        <v>640.04</v>
      </c>
      <c r="U91" s="2584">
        <f>U71+U16+U17+U18+U19+U20+U21</f>
        <v>659.25</v>
      </c>
      <c r="V91" s="2584">
        <f>V71+V16+V17+V18+V19+V20+V21</f>
        <v>696.11</v>
      </c>
      <c r="W91" s="2584">
        <f>W71+W16+W17+W18+W19+W20+W21</f>
        <v>771.43000000000006</v>
      </c>
    </row>
    <row r="92" spans="5:23">
      <c r="E92" s="2148"/>
      <c r="F92" s="387"/>
      <c r="G92" s="387" t="s">
        <v>2162</v>
      </c>
      <c r="H92" s="2177"/>
      <c r="I92" s="2542"/>
      <c r="J92" s="1027"/>
      <c r="K92" s="2039"/>
      <c r="L92" s="2543">
        <f t="shared" ref="L92:R92" si="13">L64</f>
        <v>495.47</v>
      </c>
      <c r="M92" s="2543">
        <f t="shared" si="13"/>
        <v>499.49276048714489</v>
      </c>
      <c r="N92" s="2543">
        <f t="shared" si="13"/>
        <v>497.66</v>
      </c>
      <c r="O92" s="2543">
        <f t="shared" si="13"/>
        <v>407.19</v>
      </c>
      <c r="P92" s="2543">
        <f t="shared" si="13"/>
        <v>415.69</v>
      </c>
      <c r="Q92" s="2543">
        <f t="shared" si="13"/>
        <v>433.92</v>
      </c>
      <c r="R92" s="2543">
        <f t="shared" si="13"/>
        <v>347.13577258993922</v>
      </c>
      <c r="S92" s="2485" t="s">
        <v>5169</v>
      </c>
      <c r="T92" s="2584">
        <f>T64</f>
        <v>357.44</v>
      </c>
      <c r="U92" s="2584">
        <f>U64</f>
        <v>368.16</v>
      </c>
      <c r="V92" s="2584">
        <f>V64</f>
        <v>388.76</v>
      </c>
      <c r="W92" s="2584">
        <f>W64</f>
        <v>430.81</v>
      </c>
    </row>
    <row r="93" spans="5:23">
      <c r="E93" s="2148"/>
      <c r="F93" s="387"/>
      <c r="G93" s="387" t="s">
        <v>5080</v>
      </c>
      <c r="H93" s="2177"/>
      <c r="I93" s="2542"/>
      <c r="J93" s="1027"/>
      <c r="K93" s="2039"/>
      <c r="L93" s="2543">
        <f t="shared" ref="L93:R93" si="14">L51+L50+L33+L14+L11+L8+L5</f>
        <v>4619.45</v>
      </c>
      <c r="M93" s="2543">
        <f t="shared" si="14"/>
        <v>4656.9556833558872</v>
      </c>
      <c r="N93" s="2543">
        <f t="shared" si="14"/>
        <v>4639.91</v>
      </c>
      <c r="O93" s="2543">
        <f t="shared" si="14"/>
        <v>3569.5000000000005</v>
      </c>
      <c r="P93" s="2543">
        <f t="shared" si="14"/>
        <v>3644.01</v>
      </c>
      <c r="Q93" s="2543">
        <f t="shared" si="14"/>
        <v>3803.86</v>
      </c>
      <c r="R93" s="2543">
        <f t="shared" si="14"/>
        <v>3043.0860064619428</v>
      </c>
      <c r="S93" s="2485" t="s">
        <v>5108</v>
      </c>
      <c r="T93" s="2584">
        <f>T22</f>
        <v>304.09000000000003</v>
      </c>
      <c r="U93" s="2584">
        <f>U22+U23+U24</f>
        <v>313.21000000000004</v>
      </c>
      <c r="V93" s="2584">
        <f>V22+V23+V24</f>
        <v>330.73</v>
      </c>
      <c r="W93" s="2584">
        <f>W22+W23+W24</f>
        <v>366.51</v>
      </c>
    </row>
    <row r="94" spans="5:23">
      <c r="E94" s="2148"/>
      <c r="F94" s="387"/>
      <c r="G94" s="387" t="s">
        <v>1464</v>
      </c>
      <c r="H94" s="2177"/>
      <c r="I94" s="2542"/>
      <c r="J94" s="1027"/>
      <c r="K94" s="2039"/>
      <c r="L94" s="2543">
        <f t="shared" ref="L94:R94" si="15">L28</f>
        <v>880.41336770249984</v>
      </c>
      <c r="M94" s="2543">
        <f t="shared" si="15"/>
        <v>887.56151412498298</v>
      </c>
      <c r="N94" s="2543">
        <f t="shared" si="15"/>
        <v>884.31</v>
      </c>
      <c r="O94" s="2543">
        <f t="shared" si="15"/>
        <v>723.55</v>
      </c>
      <c r="P94" s="2543">
        <f t="shared" si="15"/>
        <v>738.63</v>
      </c>
      <c r="Q94" s="2543">
        <f t="shared" si="15"/>
        <v>771.05000000000007</v>
      </c>
      <c r="R94" s="2543">
        <f t="shared" si="15"/>
        <v>616.83959590586437</v>
      </c>
      <c r="S94" s="2485" t="s">
        <v>5081</v>
      </c>
      <c r="T94" s="2584">
        <f>T5+T11+T14+T33+T50+T51</f>
        <v>3133.36</v>
      </c>
      <c r="U94" s="2584">
        <f>U51+U50+U33+U14+U11+U5</f>
        <v>3227.3999999999996</v>
      </c>
      <c r="V94" s="2584">
        <f>V51+V50+V33+V14+V11+V5</f>
        <v>3407.95</v>
      </c>
      <c r="W94" s="2584">
        <f>W51+W50+W33+W14+W11+W5</f>
        <v>3776.5900000000006</v>
      </c>
    </row>
    <row r="95" spans="5:23">
      <c r="E95" s="2148"/>
      <c r="F95" s="387"/>
      <c r="G95" s="387" t="s">
        <v>1567</v>
      </c>
      <c r="H95" s="2177"/>
      <c r="I95" s="2542"/>
      <c r="J95" s="1027"/>
      <c r="K95" s="2039"/>
      <c r="L95" s="2543">
        <f t="shared" ref="L95:R95" si="16">L62+L60+L10</f>
        <v>2129.67</v>
      </c>
      <c r="M95" s="2543">
        <f t="shared" si="16"/>
        <v>2146.9609607577813</v>
      </c>
      <c r="N95" s="2543">
        <f t="shared" si="16"/>
        <v>2139.1</v>
      </c>
      <c r="O95" s="2543">
        <f t="shared" si="16"/>
        <v>1750.21</v>
      </c>
      <c r="P95" s="2543">
        <f t="shared" si="16"/>
        <v>1393.26</v>
      </c>
      <c r="Q95" s="2543">
        <f t="shared" si="16"/>
        <v>1454.3799999999999</v>
      </c>
      <c r="R95" s="2543">
        <f t="shared" si="16"/>
        <v>1163.5032377842822</v>
      </c>
      <c r="S95" s="2485" t="s">
        <v>5090</v>
      </c>
      <c r="T95" s="2584">
        <f>T10+T62</f>
        <v>1198.02</v>
      </c>
      <c r="U95" s="2584">
        <f>U62+U10</f>
        <v>1233.98</v>
      </c>
      <c r="V95" s="2584">
        <f>V62+V10</f>
        <v>1303.01</v>
      </c>
      <c r="W95" s="2584">
        <f>W62+W10</f>
        <v>1443.9499999999998</v>
      </c>
    </row>
    <row r="96" spans="5:23">
      <c r="E96" s="2148"/>
      <c r="F96" s="387"/>
      <c r="G96" s="387" t="s">
        <v>5185</v>
      </c>
      <c r="H96" s="2177"/>
      <c r="I96" s="2542"/>
      <c r="J96" s="1027"/>
      <c r="K96" s="2039"/>
      <c r="L96" s="2543">
        <f t="shared" ref="L96:R96" si="17">L53</f>
        <v>900.31</v>
      </c>
      <c r="M96" s="2543">
        <f t="shared" si="17"/>
        <v>907.61968876860624</v>
      </c>
      <c r="N96" s="2543">
        <f t="shared" si="17"/>
        <v>904.3</v>
      </c>
      <c r="O96" s="2543">
        <f t="shared" si="17"/>
        <v>739.89</v>
      </c>
      <c r="P96" s="2543">
        <f t="shared" si="17"/>
        <v>755.33</v>
      </c>
      <c r="Q96" s="2543">
        <f t="shared" si="17"/>
        <v>788.47</v>
      </c>
      <c r="R96" s="2543">
        <f t="shared" si="17"/>
        <v>630.77558677633988</v>
      </c>
      <c r="S96" s="2485" t="s">
        <v>5150</v>
      </c>
      <c r="T96" s="2584">
        <f>T53</f>
        <v>649.49</v>
      </c>
      <c r="U96" s="2584">
        <f>U53</f>
        <v>668.98</v>
      </c>
      <c r="V96" s="2584">
        <f>V53</f>
        <v>706.41</v>
      </c>
      <c r="W96" s="2584">
        <f>W53</f>
        <v>782.82</v>
      </c>
    </row>
    <row r="97" spans="5:23">
      <c r="E97" s="2148"/>
      <c r="F97" s="387"/>
      <c r="G97" s="387" t="s">
        <v>2392</v>
      </c>
      <c r="H97" s="2177"/>
      <c r="I97" s="2542"/>
      <c r="J97" s="1027"/>
      <c r="K97" s="2039"/>
      <c r="L97" s="2543">
        <f>L59+L25+L7</f>
        <v>716.01</v>
      </c>
      <c r="M97" s="2543">
        <f>M59+M25+M7</f>
        <v>721.82334235453322</v>
      </c>
      <c r="N97" s="2543">
        <f>N59+N25+N7</f>
        <v>719.19</v>
      </c>
      <c r="O97" s="2543">
        <f>O59+O25+O7</f>
        <v>538.82999999999993</v>
      </c>
      <c r="P97" s="2543">
        <f>P59+P25+P7</f>
        <v>550.08000000000004</v>
      </c>
      <c r="Q97" s="2543">
        <f>Q59+Q25+Q7+Q74</f>
        <v>613.82000000000005</v>
      </c>
      <c r="R97" s="2543">
        <f>R59+R25+R7+R74</f>
        <v>491.05567830742183</v>
      </c>
      <c r="S97" s="2485" t="s">
        <v>5085</v>
      </c>
      <c r="T97" s="2584">
        <f>T7+T25+T74</f>
        <v>489.31</v>
      </c>
      <c r="U97" s="2584">
        <f>U74+U259+U7+U25</f>
        <v>504</v>
      </c>
      <c r="V97" s="2584">
        <f>V74+V259+V7+V25</f>
        <v>532.18999999999994</v>
      </c>
      <c r="W97" s="2584">
        <f>W74+W7+W25</f>
        <v>589.76</v>
      </c>
    </row>
    <row r="98" spans="5:23">
      <c r="E98" s="2148"/>
      <c r="F98" s="387"/>
      <c r="G98" s="387" t="s">
        <v>1883</v>
      </c>
      <c r="H98" s="2177"/>
      <c r="I98" s="2542"/>
      <c r="J98" s="1027"/>
      <c r="K98" s="2039"/>
      <c r="L98" s="2543">
        <f t="shared" ref="L98:R98" si="18">L55</f>
        <v>124.35</v>
      </c>
      <c r="M98" s="2543">
        <f t="shared" si="18"/>
        <v>125.35960757780785</v>
      </c>
      <c r="N98" s="2543">
        <f t="shared" si="18"/>
        <v>124.9</v>
      </c>
      <c r="O98" s="2543">
        <f t="shared" si="18"/>
        <v>102.19</v>
      </c>
      <c r="P98" s="2543">
        <f t="shared" si="18"/>
        <v>104.32</v>
      </c>
      <c r="Q98" s="2543">
        <f t="shared" si="18"/>
        <v>108.9</v>
      </c>
      <c r="R98" s="2543">
        <f t="shared" si="18"/>
        <v>87.119942927369976</v>
      </c>
      <c r="S98" s="2485" t="s">
        <v>5153</v>
      </c>
      <c r="T98" s="2584">
        <f>T55</f>
        <v>89.7</v>
      </c>
      <c r="U98" s="2584">
        <f>U55</f>
        <v>92.4</v>
      </c>
      <c r="V98" s="2584">
        <f>V55</f>
        <v>97.57</v>
      </c>
      <c r="W98" s="2584">
        <f>W55</f>
        <v>108.12</v>
      </c>
    </row>
    <row r="99" spans="5:23">
      <c r="E99" s="2257"/>
      <c r="F99" s="2081"/>
      <c r="G99" s="2081"/>
      <c r="H99" s="2295"/>
      <c r="I99" s="2575"/>
      <c r="J99" s="2577"/>
      <c r="K99" s="2578"/>
      <c r="L99" s="2575">
        <f t="shared" ref="L99:R99" si="19">SUM(L83:L98)</f>
        <v>40704.414858054995</v>
      </c>
      <c r="M99" s="2575">
        <f t="shared" si="19"/>
        <v>41034.957644453287</v>
      </c>
      <c r="N99" s="2575">
        <f t="shared" si="19"/>
        <v>40884.74</v>
      </c>
      <c r="O99" s="2575">
        <f t="shared" si="19"/>
        <v>33182.249999999993</v>
      </c>
      <c r="P99" s="2575">
        <f t="shared" si="19"/>
        <v>33532.100000000006</v>
      </c>
      <c r="Q99" s="2575">
        <f t="shared" si="19"/>
        <v>34345.709999999992</v>
      </c>
      <c r="R99" s="2575">
        <f t="shared" si="19"/>
        <v>27476.550000000003</v>
      </c>
      <c r="S99" s="2586"/>
      <c r="T99" s="2576">
        <f>SUM(T83:T98)</f>
        <v>28291.650000000009</v>
      </c>
      <c r="U99" s="2576">
        <f>SUM(U83:U98)</f>
        <v>27960.989999999998</v>
      </c>
      <c r="V99" s="2576">
        <f>SUM(V83:V98)</f>
        <v>29525.219999999998</v>
      </c>
      <c r="W99" s="2576">
        <f>SUM(W83:W98)</f>
        <v>32718.929999999997</v>
      </c>
    </row>
    <row r="100" spans="5:23">
      <c r="T100" s="2543"/>
      <c r="U100" s="2543"/>
    </row>
    <row r="101" spans="5:23">
      <c r="S101" s="1570"/>
    </row>
    <row r="102" spans="5:23">
      <c r="S102" s="1570"/>
    </row>
    <row r="103" spans="5:23">
      <c r="S103" s="1570"/>
    </row>
    <row r="104" spans="5:23">
      <c r="S104" s="1570"/>
    </row>
    <row r="105" spans="5:23">
      <c r="S105" s="1570"/>
      <c r="T105" s="2536"/>
      <c r="U105" s="2536"/>
    </row>
    <row r="106" spans="5:23">
      <c r="S106" s="1570"/>
    </row>
    <row r="107" spans="5:23">
      <c r="S107" s="1570"/>
    </row>
    <row r="108" spans="5:23">
      <c r="S108" s="1570"/>
    </row>
    <row r="109" spans="5:23">
      <c r="S109" s="1570"/>
    </row>
    <row r="110" spans="5:23">
      <c r="S110" s="1570"/>
    </row>
    <row r="111" spans="5:23">
      <c r="S111" s="1570"/>
    </row>
    <row r="112" spans="5:23">
      <c r="S112" s="1570"/>
    </row>
    <row r="113" spans="19:19">
      <c r="S113" s="1570"/>
    </row>
    <row r="114" spans="19:19">
      <c r="S114" s="1570"/>
    </row>
    <row r="115" spans="19:19">
      <c r="S115" s="1570"/>
    </row>
  </sheetData>
  <autoFilter ref="A4:T4" xr:uid="{00000000-0009-0000-0000-000048000000}">
    <filterColumn colId="9" showButton="0"/>
    <filterColumn colId="10" showButton="0"/>
    <filterColumn colId="11" showButton="0"/>
    <filterColumn colId="12" showButton="0"/>
  </autoFilter>
  <mergeCells count="3">
    <mergeCell ref="J4:N4"/>
    <mergeCell ref="A1:E1"/>
    <mergeCell ref="Q3:R3"/>
  </mergeCells>
  <hyperlinks>
    <hyperlink ref="A1" location="GLOBAAL!A1" display="Uitsplitsing patrimoniumpolis : 38.102.199" xr:uid="{00000000-0004-0000-4800-000000000000}"/>
    <hyperlink ref="A1:D1" location="FINANCIËN!A1" display="Uitsplitsing patrimoniumpolis : 38.102.199" xr:uid="{00000000-0004-0000-4800-000001000000}"/>
  </hyperlinks>
  <pageMargins left="0.75" right="0.75" top="1" bottom="1" header="0.5" footer="0.5"/>
  <pageSetup paperSize="9" scale="81" fitToHeight="0" orientation="landscape" r:id="rId1"/>
  <headerFooter alignWithMargins="0"/>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EBD531"/>
    <pageSetUpPr fitToPage="1"/>
  </sheetPr>
  <dimension ref="A1:O210"/>
  <sheetViews>
    <sheetView topLeftCell="A28" zoomScaleNormal="100" workbookViewId="0">
      <selection activeCell="B60" sqref="B60:K75"/>
    </sheetView>
  </sheetViews>
  <sheetFormatPr defaultColWidth="9.140625" defaultRowHeight="12.75"/>
  <cols>
    <col min="1" max="1" width="66" style="395" bestFit="1" customWidth="1"/>
    <col min="2" max="2" width="10.42578125" style="395" customWidth="1"/>
    <col min="3" max="3" width="12.28515625" style="395" customWidth="1"/>
    <col min="4" max="4" width="10.7109375" style="395" customWidth="1"/>
    <col min="5" max="5" width="10.42578125" style="395" customWidth="1"/>
    <col min="6" max="9" width="11.28515625" style="395" bestFit="1" customWidth="1"/>
    <col min="10" max="10" width="12.28515625" style="395" bestFit="1" customWidth="1"/>
    <col min="11" max="13" width="10.85546875" style="395" bestFit="1" customWidth="1"/>
    <col min="14" max="14" width="12.28515625" style="395" bestFit="1" customWidth="1"/>
    <col min="15" max="15" width="10.85546875" style="395" bestFit="1" customWidth="1"/>
    <col min="16" max="16384" width="9.140625" style="395"/>
  </cols>
  <sheetData>
    <row r="1" spans="1:10" ht="21">
      <c r="A1" s="4757" t="s">
        <v>4967</v>
      </c>
      <c r="B1" s="4758"/>
      <c r="C1" s="4758"/>
      <c r="D1" s="4758"/>
      <c r="E1" s="4758"/>
      <c r="F1" s="4758"/>
      <c r="G1" s="4758"/>
      <c r="H1" s="4758"/>
      <c r="I1" s="4758"/>
      <c r="J1" s="4758"/>
    </row>
    <row r="3" spans="1:10" ht="13.5" thickBot="1"/>
    <row r="4" spans="1:10" ht="21" thickBot="1">
      <c r="A4" s="859"/>
      <c r="C4" s="1625" t="s">
        <v>634</v>
      </c>
      <c r="D4" s="1625" t="s">
        <v>4968</v>
      </c>
      <c r="E4" s="1889" t="s">
        <v>4969</v>
      </c>
      <c r="F4" s="1890" t="s">
        <v>8</v>
      </c>
    </row>
    <row r="5" spans="1:10" ht="20.25">
      <c r="A5" s="859"/>
      <c r="C5" s="860">
        <v>1995</v>
      </c>
      <c r="D5" s="858">
        <v>10859217</v>
      </c>
      <c r="E5" s="861">
        <v>621481</v>
      </c>
      <c r="F5" s="862">
        <f t="shared" ref="F5:F33" si="0">SUM(D5:E5)</f>
        <v>11480698</v>
      </c>
    </row>
    <row r="6" spans="1:10" ht="20.25">
      <c r="A6" s="859"/>
      <c r="C6" s="531">
        <v>1996</v>
      </c>
      <c r="D6" s="855">
        <v>10302772</v>
      </c>
      <c r="E6" s="533">
        <v>1021271</v>
      </c>
      <c r="F6" s="863">
        <f t="shared" si="0"/>
        <v>11324043</v>
      </c>
    </row>
    <row r="7" spans="1:10">
      <c r="A7" s="619"/>
      <c r="C7" s="531">
        <v>1997</v>
      </c>
      <c r="D7" s="855">
        <v>9023724</v>
      </c>
      <c r="E7" s="533">
        <v>979124</v>
      </c>
      <c r="F7" s="863">
        <f t="shared" si="0"/>
        <v>10002848</v>
      </c>
    </row>
    <row r="8" spans="1:10">
      <c r="A8" s="619"/>
      <c r="C8" s="531">
        <v>1998</v>
      </c>
      <c r="D8" s="855">
        <v>10956618</v>
      </c>
      <c r="E8" s="533">
        <v>801351</v>
      </c>
      <c r="F8" s="863">
        <f t="shared" si="0"/>
        <v>11757969</v>
      </c>
    </row>
    <row r="9" spans="1:10">
      <c r="A9" s="619"/>
      <c r="C9" s="531">
        <v>1999</v>
      </c>
      <c r="D9" s="855">
        <v>12116804</v>
      </c>
      <c r="E9" s="533">
        <v>1013661</v>
      </c>
      <c r="F9" s="863">
        <f t="shared" si="0"/>
        <v>13130465</v>
      </c>
    </row>
    <row r="10" spans="1:10">
      <c r="A10" s="619"/>
      <c r="C10" s="531">
        <v>2000</v>
      </c>
      <c r="D10" s="855">
        <v>14945701</v>
      </c>
      <c r="E10" s="533">
        <v>964533</v>
      </c>
      <c r="F10" s="863">
        <f t="shared" si="0"/>
        <v>15910234</v>
      </c>
    </row>
    <row r="11" spans="1:10">
      <c r="A11" s="619"/>
      <c r="C11" s="531">
        <v>2001</v>
      </c>
      <c r="D11" s="855">
        <v>14921814</v>
      </c>
      <c r="E11" s="533">
        <v>854619</v>
      </c>
      <c r="F11" s="863">
        <f t="shared" si="0"/>
        <v>15776433</v>
      </c>
    </row>
    <row r="12" spans="1:10">
      <c r="A12" s="619"/>
      <c r="C12" s="531">
        <v>2002</v>
      </c>
      <c r="D12" s="855">
        <v>14605992</v>
      </c>
      <c r="E12" s="533">
        <v>849080</v>
      </c>
      <c r="F12" s="863">
        <f t="shared" si="0"/>
        <v>15455072</v>
      </c>
    </row>
    <row r="13" spans="1:10">
      <c r="A13" s="619"/>
      <c r="C13" s="531">
        <v>2003</v>
      </c>
      <c r="D13" s="855">
        <v>13227393.9</v>
      </c>
      <c r="E13" s="533">
        <v>864001.29</v>
      </c>
      <c r="F13" s="863">
        <f t="shared" si="0"/>
        <v>14091395.190000001</v>
      </c>
    </row>
    <row r="14" spans="1:10">
      <c r="A14" s="619"/>
      <c r="C14" s="531">
        <v>2004</v>
      </c>
      <c r="D14" s="855">
        <v>11835355</v>
      </c>
      <c r="E14" s="533">
        <v>864342</v>
      </c>
      <c r="F14" s="863">
        <f t="shared" si="0"/>
        <v>12699697</v>
      </c>
    </row>
    <row r="15" spans="1:10">
      <c r="A15" s="619"/>
      <c r="C15" s="531">
        <v>2005</v>
      </c>
      <c r="D15" s="855">
        <v>11393327.720000001</v>
      </c>
      <c r="E15" s="533">
        <v>731690.59</v>
      </c>
      <c r="F15" s="863">
        <f t="shared" si="0"/>
        <v>12125018.310000001</v>
      </c>
    </row>
    <row r="16" spans="1:10">
      <c r="A16" s="619"/>
      <c r="C16" s="531">
        <v>2006</v>
      </c>
      <c r="D16" s="855">
        <v>11827192.810000001</v>
      </c>
      <c r="E16" s="533">
        <v>601198.9</v>
      </c>
      <c r="F16" s="863">
        <f t="shared" si="0"/>
        <v>12428391.710000001</v>
      </c>
    </row>
    <row r="17" spans="1:6">
      <c r="A17" s="619"/>
      <c r="C17" s="531">
        <v>2007</v>
      </c>
      <c r="D17" s="855">
        <v>14269608.539999999</v>
      </c>
      <c r="E17" s="533">
        <v>488169.83</v>
      </c>
      <c r="F17" s="863">
        <f t="shared" si="0"/>
        <v>14757778.369999999</v>
      </c>
    </row>
    <row r="18" spans="1:6">
      <c r="A18" s="619"/>
      <c r="C18" s="531">
        <v>2008</v>
      </c>
      <c r="D18" s="855">
        <v>11955099.99</v>
      </c>
      <c r="E18" s="533">
        <v>383105.33</v>
      </c>
      <c r="F18" s="863">
        <f t="shared" si="0"/>
        <v>12338205.32</v>
      </c>
    </row>
    <row r="19" spans="1:6">
      <c r="A19" s="619"/>
      <c r="C19" s="531">
        <v>2009</v>
      </c>
      <c r="D19" s="855">
        <f>25117405-9431998</f>
        <v>15685407</v>
      </c>
      <c r="E19" s="533">
        <f>1472228-945415</f>
        <v>526813</v>
      </c>
      <c r="F19" s="863">
        <f t="shared" si="0"/>
        <v>16212220</v>
      </c>
    </row>
    <row r="20" spans="1:6">
      <c r="A20" s="619"/>
      <c r="C20" s="531">
        <v>2010</v>
      </c>
      <c r="D20" s="855">
        <v>14999785.67</v>
      </c>
      <c r="E20" s="533">
        <v>409003</v>
      </c>
      <c r="F20" s="863">
        <f t="shared" si="0"/>
        <v>15408788.67</v>
      </c>
    </row>
    <row r="21" spans="1:6">
      <c r="A21" s="619"/>
      <c r="C21" s="531">
        <v>2011</v>
      </c>
      <c r="D21" s="855">
        <v>14109956.789999999</v>
      </c>
      <c r="E21" s="533">
        <v>335480</v>
      </c>
      <c r="F21" s="863">
        <f t="shared" si="0"/>
        <v>14445436.789999999</v>
      </c>
    </row>
    <row r="22" spans="1:6">
      <c r="A22" s="619"/>
      <c r="C22" s="531">
        <v>2012</v>
      </c>
      <c r="D22" s="856">
        <v>13907617</v>
      </c>
      <c r="E22" s="830">
        <v>4277848.55</v>
      </c>
      <c r="F22" s="863">
        <f t="shared" si="0"/>
        <v>18185465.550000001</v>
      </c>
    </row>
    <row r="23" spans="1:6">
      <c r="A23" s="619"/>
      <c r="C23" s="531">
        <v>2013</v>
      </c>
      <c r="D23" s="855">
        <v>13907617.170000002</v>
      </c>
      <c r="E23" s="533">
        <v>4498327.59</v>
      </c>
      <c r="F23" s="863">
        <f t="shared" si="0"/>
        <v>18405944.760000002</v>
      </c>
    </row>
    <row r="24" spans="1:6">
      <c r="A24" s="619"/>
      <c r="C24" s="531">
        <v>2014</v>
      </c>
      <c r="D24" s="524">
        <v>13776108.390000002</v>
      </c>
      <c r="E24" s="533">
        <v>4256403.18</v>
      </c>
      <c r="F24" s="863">
        <f t="shared" si="0"/>
        <v>18032511.57</v>
      </c>
    </row>
    <row r="25" spans="1:6">
      <c r="A25" s="619"/>
      <c r="C25" s="531">
        <v>2015</v>
      </c>
      <c r="D25" s="524">
        <v>15646237.730000002</v>
      </c>
      <c r="E25" s="533">
        <v>4034248.11</v>
      </c>
      <c r="F25" s="863">
        <f t="shared" si="0"/>
        <v>19680485.840000004</v>
      </c>
    </row>
    <row r="26" spans="1:6">
      <c r="A26" s="619"/>
      <c r="C26" s="531">
        <v>2016</v>
      </c>
      <c r="D26" s="524">
        <v>14378507.640000002</v>
      </c>
      <c r="E26" s="533">
        <v>3824623.11</v>
      </c>
      <c r="F26" s="863">
        <f t="shared" si="0"/>
        <v>18203130.750000004</v>
      </c>
    </row>
    <row r="27" spans="1:6">
      <c r="A27" s="619"/>
      <c r="C27" s="531">
        <v>2017</v>
      </c>
      <c r="D27" s="524">
        <v>13123328.690000001</v>
      </c>
      <c r="E27" s="533">
        <v>3615206.11</v>
      </c>
      <c r="F27" s="863">
        <f t="shared" si="0"/>
        <v>16738534.800000001</v>
      </c>
    </row>
    <row r="28" spans="1:6">
      <c r="A28" s="619"/>
      <c r="C28" s="531">
        <v>2018</v>
      </c>
      <c r="D28" s="524">
        <v>22740829.530000001</v>
      </c>
      <c r="E28" s="533">
        <v>3398672.11</v>
      </c>
      <c r="F28" s="863">
        <f t="shared" si="0"/>
        <v>26139501.640000001</v>
      </c>
    </row>
    <row r="29" spans="1:6">
      <c r="A29" s="619"/>
      <c r="C29" s="531">
        <v>2019</v>
      </c>
      <c r="D29" s="524">
        <v>27164290.600000001</v>
      </c>
      <c r="E29" s="533">
        <v>3188399.11</v>
      </c>
      <c r="F29" s="863">
        <f t="shared" si="0"/>
        <v>30352689.710000001</v>
      </c>
    </row>
    <row r="30" spans="1:6">
      <c r="A30" s="619"/>
      <c r="C30" s="531">
        <v>2020</v>
      </c>
      <c r="D30" s="524">
        <v>26806917.510000002</v>
      </c>
      <c r="E30" s="533">
        <v>2984732.11</v>
      </c>
      <c r="F30" s="863">
        <f t="shared" si="0"/>
        <v>29791649.620000001</v>
      </c>
    </row>
    <row r="31" spans="1:6">
      <c r="A31" s="619"/>
      <c r="C31" s="531">
        <v>2021</v>
      </c>
      <c r="D31" s="524">
        <v>25685675.640000001</v>
      </c>
      <c r="E31" s="533">
        <v>2774008.69</v>
      </c>
      <c r="F31" s="863">
        <f t="shared" si="0"/>
        <v>28459684.330000002</v>
      </c>
    </row>
    <row r="32" spans="1:6">
      <c r="A32" s="619"/>
      <c r="C32" s="531">
        <v>2022</v>
      </c>
      <c r="D32" s="524">
        <v>24528058.530000001</v>
      </c>
      <c r="E32" s="533">
        <v>2555984.75</v>
      </c>
      <c r="F32" s="863">
        <f t="shared" si="0"/>
        <v>27084043.280000001</v>
      </c>
    </row>
    <row r="33" spans="1:11" ht="13.5" thickBot="1">
      <c r="A33" s="619"/>
      <c r="C33" s="530">
        <v>2023</v>
      </c>
      <c r="D33" s="832">
        <v>22784891.400000002</v>
      </c>
      <c r="E33" s="857">
        <v>2330407.75</v>
      </c>
      <c r="F33" s="864">
        <f t="shared" si="0"/>
        <v>25115299.150000002</v>
      </c>
    </row>
    <row r="39" spans="1:11" ht="21">
      <c r="A39" s="4757" t="s">
        <v>5494</v>
      </c>
      <c r="B39" s="4758"/>
      <c r="C39" s="4758"/>
      <c r="D39" s="4758"/>
      <c r="E39" s="4758"/>
      <c r="F39" s="4758"/>
      <c r="G39" s="4758"/>
      <c r="H39" s="4758"/>
      <c r="I39" s="4758"/>
      <c r="J39" s="4758"/>
    </row>
    <row r="41" spans="1:11" ht="16.5" thickBot="1">
      <c r="A41" s="1903" t="s">
        <v>5493</v>
      </c>
    </row>
    <row r="42" spans="1:11" ht="13.5" thickBot="1"/>
    <row r="43" spans="1:11" ht="13.5" thickBot="1">
      <c r="A43" s="1886" t="s">
        <v>4928</v>
      </c>
      <c r="B43" s="3026">
        <v>2019</v>
      </c>
      <c r="C43" s="1887">
        <v>2020</v>
      </c>
      <c r="D43" s="1887">
        <v>2021</v>
      </c>
      <c r="E43" s="1887">
        <v>2022</v>
      </c>
      <c r="F43" s="1887">
        <v>2023</v>
      </c>
      <c r="G43" s="1887">
        <v>2024</v>
      </c>
      <c r="H43" s="1888">
        <v>2025</v>
      </c>
      <c r="I43" s="3524">
        <v>2026</v>
      </c>
      <c r="J43" s="3524">
        <v>2027</v>
      </c>
      <c r="K43" s="1905">
        <v>2028</v>
      </c>
    </row>
    <row r="44" spans="1:11">
      <c r="A44" s="1144" t="s">
        <v>4929</v>
      </c>
      <c r="B44" s="3770">
        <f>SUM(B45:B49)</f>
        <v>0</v>
      </c>
      <c r="C44" s="3514">
        <f>SUM(C45:C49)</f>
        <v>2779210.1999999997</v>
      </c>
      <c r="D44" s="3514">
        <f>SUM(D45:D49)</f>
        <v>3618815.1999999997</v>
      </c>
      <c r="E44" s="3514">
        <f t="shared" ref="E44:K44" si="1">SUM(E45:E49)</f>
        <v>3858420.1999999997</v>
      </c>
      <c r="F44" s="3514">
        <f t="shared" si="1"/>
        <v>3798025.1999999997</v>
      </c>
      <c r="G44" s="3514">
        <f t="shared" si="1"/>
        <v>3737630.1999999997</v>
      </c>
      <c r="H44" s="3515">
        <f t="shared" si="1"/>
        <v>3677235.1999999997</v>
      </c>
      <c r="I44" s="3515">
        <f t="shared" si="1"/>
        <v>3616840.1999999997</v>
      </c>
      <c r="J44" s="3515">
        <f t="shared" si="1"/>
        <v>3556445.1999999997</v>
      </c>
      <c r="K44" s="3515">
        <f t="shared" si="1"/>
        <v>3496050.1999999997</v>
      </c>
    </row>
    <row r="45" spans="1:11">
      <c r="A45" s="3771" t="s">
        <v>4930</v>
      </c>
      <c r="B45" s="3516"/>
      <c r="C45" s="1083">
        <v>2508552.59</v>
      </c>
      <c r="D45" s="1083">
        <f>C44</f>
        <v>2779210.1999999997</v>
      </c>
      <c r="E45" s="1083">
        <f>D44</f>
        <v>3618815.1999999997</v>
      </c>
      <c r="F45" s="1083">
        <f>E44</f>
        <v>3858420.1999999997</v>
      </c>
      <c r="G45" s="1083">
        <f t="shared" ref="G45:K45" si="2">F44</f>
        <v>3798025.1999999997</v>
      </c>
      <c r="H45" s="3513">
        <f t="shared" si="2"/>
        <v>3737630.1999999997</v>
      </c>
      <c r="I45" s="3513">
        <f t="shared" si="2"/>
        <v>3677235.1999999997</v>
      </c>
      <c r="J45" s="3513">
        <f t="shared" si="2"/>
        <v>3616840.1999999997</v>
      </c>
      <c r="K45" s="3513">
        <f t="shared" si="2"/>
        <v>3556445.1999999997</v>
      </c>
    </row>
    <row r="46" spans="1:11">
      <c r="A46" s="1205" t="s">
        <v>4931</v>
      </c>
      <c r="B46" s="3516"/>
      <c r="C46" s="1083">
        <f>270657.61+60395</f>
        <v>331052.61</v>
      </c>
      <c r="D46" s="1083">
        <v>900000</v>
      </c>
      <c r="E46" s="1083">
        <v>300000</v>
      </c>
      <c r="F46" s="1083">
        <v>0</v>
      </c>
      <c r="G46" s="1083">
        <v>0</v>
      </c>
      <c r="H46" s="3513">
        <v>0</v>
      </c>
      <c r="I46" s="3513">
        <v>0</v>
      </c>
      <c r="J46" s="3513">
        <v>0</v>
      </c>
      <c r="K46" s="3513">
        <v>0</v>
      </c>
    </row>
    <row r="47" spans="1:11">
      <c r="A47" s="1205" t="s">
        <v>4932</v>
      </c>
      <c r="B47" s="3516"/>
      <c r="C47" s="1083">
        <v>-60395</v>
      </c>
      <c r="D47" s="1083">
        <f>C47</f>
        <v>-60395</v>
      </c>
      <c r="E47" s="1083">
        <f>D47</f>
        <v>-60395</v>
      </c>
      <c r="F47" s="1083">
        <f>E47</f>
        <v>-60395</v>
      </c>
      <c r="G47" s="1083">
        <f>F47</f>
        <v>-60395</v>
      </c>
      <c r="H47" s="3513">
        <f>G47</f>
        <v>-60395</v>
      </c>
      <c r="I47" s="3513">
        <f t="shared" ref="I47:K47" si="3">H47</f>
        <v>-60395</v>
      </c>
      <c r="J47" s="3513">
        <f t="shared" si="3"/>
        <v>-60395</v>
      </c>
      <c r="K47" s="3513">
        <f t="shared" si="3"/>
        <v>-60395</v>
      </c>
    </row>
    <row r="48" spans="1:11">
      <c r="A48" s="1205" t="s">
        <v>4933</v>
      </c>
      <c r="B48" s="3517"/>
      <c r="C48" s="398"/>
      <c r="D48" s="398"/>
      <c r="E48" s="398"/>
      <c r="F48" s="398"/>
      <c r="G48" s="398"/>
      <c r="H48" s="1024"/>
      <c r="I48" s="1024"/>
      <c r="J48" s="1024"/>
      <c r="K48" s="1024"/>
    </row>
    <row r="49" spans="1:15" s="1148" customFormat="1">
      <c r="A49" s="3771" t="s">
        <v>4934</v>
      </c>
      <c r="B49" s="3516"/>
      <c r="C49" s="1083"/>
      <c r="D49" s="1083"/>
      <c r="E49" s="1083"/>
      <c r="F49" s="1083"/>
      <c r="G49" s="1083"/>
      <c r="H49" s="3513"/>
      <c r="I49" s="3513"/>
      <c r="J49" s="3513"/>
      <c r="K49" s="3513"/>
    </row>
    <row r="50" spans="1:15">
      <c r="A50" s="1144" t="s">
        <v>4935</v>
      </c>
      <c r="B50" s="3772">
        <f>SUM(B51:B54)</f>
        <v>0</v>
      </c>
      <c r="C50" s="1207">
        <f>SUM(C51:C54)</f>
        <v>0</v>
      </c>
      <c r="D50" s="1207">
        <f t="shared" ref="D50:H50" si="4">SUM(D51:D54)</f>
        <v>0</v>
      </c>
      <c r="E50" s="1207">
        <f t="shared" si="4"/>
        <v>0</v>
      </c>
      <c r="F50" s="1207">
        <f t="shared" si="4"/>
        <v>0</v>
      </c>
      <c r="G50" s="1207">
        <f t="shared" si="4"/>
        <v>0</v>
      </c>
      <c r="H50" s="1208">
        <f t="shared" si="4"/>
        <v>0</v>
      </c>
      <c r="I50" s="1208">
        <v>0</v>
      </c>
      <c r="J50" s="1208">
        <v>0</v>
      </c>
      <c r="K50" s="1208">
        <v>0</v>
      </c>
      <c r="O50" s="1549"/>
    </row>
    <row r="51" spans="1:15" ht="14.25" customHeight="1">
      <c r="A51" s="1205" t="s">
        <v>4930</v>
      </c>
      <c r="B51" s="3517">
        <v>0</v>
      </c>
      <c r="C51" s="398">
        <v>0</v>
      </c>
      <c r="D51" s="398">
        <v>0</v>
      </c>
      <c r="E51" s="398">
        <v>0</v>
      </c>
      <c r="F51" s="398">
        <v>0</v>
      </c>
      <c r="G51" s="398">
        <v>0</v>
      </c>
      <c r="H51" s="1024">
        <v>0</v>
      </c>
      <c r="I51" s="1024">
        <v>0</v>
      </c>
      <c r="J51" s="1024">
        <v>0</v>
      </c>
      <c r="K51" s="1024">
        <v>0</v>
      </c>
    </row>
    <row r="52" spans="1:15" s="1148" customFormat="1">
      <c r="A52" s="3771" t="s">
        <v>4936</v>
      </c>
      <c r="B52" s="3516"/>
      <c r="C52" s="1083"/>
      <c r="D52" s="1083"/>
      <c r="E52" s="1083"/>
      <c r="F52" s="1083"/>
      <c r="G52" s="1083"/>
      <c r="H52" s="3513"/>
      <c r="I52" s="3513"/>
      <c r="J52" s="3513"/>
      <c r="K52" s="3513"/>
    </row>
    <row r="53" spans="1:15" s="1148" customFormat="1">
      <c r="A53" s="3771" t="s">
        <v>7322</v>
      </c>
      <c r="B53" s="3516"/>
      <c r="C53" s="1083"/>
      <c r="D53" s="1083"/>
      <c r="E53" s="1083"/>
      <c r="F53" s="1083"/>
      <c r="G53" s="1083"/>
      <c r="H53" s="3513"/>
      <c r="I53" s="3513"/>
      <c r="J53" s="3513"/>
      <c r="K53" s="3513"/>
    </row>
    <row r="54" spans="1:15">
      <c r="A54" s="1205" t="s">
        <v>4938</v>
      </c>
      <c r="B54" s="3517"/>
      <c r="C54" s="398"/>
      <c r="D54" s="398"/>
      <c r="E54" s="398"/>
      <c r="F54" s="398"/>
      <c r="G54" s="398"/>
      <c r="H54" s="1024"/>
      <c r="I54" s="1024"/>
      <c r="J54" s="1024"/>
      <c r="K54" s="1024"/>
    </row>
    <row r="55" spans="1:15" ht="13.5" thickBot="1">
      <c r="A55" s="1209" t="s">
        <v>4939</v>
      </c>
      <c r="B55" s="3518"/>
      <c r="C55" s="3519"/>
      <c r="D55" s="3519"/>
      <c r="E55" s="3519"/>
      <c r="F55" s="3519"/>
      <c r="G55" s="3519"/>
      <c r="H55" s="3520"/>
      <c r="I55" s="3520"/>
      <c r="J55" s="3520"/>
      <c r="K55" s="3520"/>
    </row>
    <row r="56" spans="1:15" ht="13.5" thickBot="1">
      <c r="A56" s="1891" t="s">
        <v>4940</v>
      </c>
      <c r="B56" s="3773">
        <f>B55+B50+B44</f>
        <v>0</v>
      </c>
      <c r="C56" s="1892">
        <f>C55+C50+C44</f>
        <v>2779210.1999999997</v>
      </c>
      <c r="D56" s="1892">
        <f>D55+D50+D44</f>
        <v>3618815.1999999997</v>
      </c>
      <c r="E56" s="1892">
        <f t="shared" ref="E56:K56" si="5">E55+E50+E44</f>
        <v>3858420.1999999997</v>
      </c>
      <c r="F56" s="1892">
        <f t="shared" si="5"/>
        <v>3798025.1999999997</v>
      </c>
      <c r="G56" s="1892">
        <f t="shared" si="5"/>
        <v>3737630.1999999997</v>
      </c>
      <c r="H56" s="1893">
        <f t="shared" si="5"/>
        <v>3677235.1999999997</v>
      </c>
      <c r="I56" s="1893">
        <f t="shared" si="5"/>
        <v>3616840.1999999997</v>
      </c>
      <c r="J56" s="1893">
        <f t="shared" si="5"/>
        <v>3556445.1999999997</v>
      </c>
      <c r="K56" s="1893">
        <f t="shared" si="5"/>
        <v>3496050.1999999997</v>
      </c>
    </row>
    <row r="57" spans="1:15">
      <c r="C57" s="1003"/>
      <c r="D57" s="1003"/>
    </row>
    <row r="58" spans="1:15" ht="15.75">
      <c r="A58" s="1903" t="s">
        <v>7055</v>
      </c>
    </row>
    <row r="59" spans="1:15" ht="13.5" thickBot="1">
      <c r="A59" s="1148"/>
      <c r="B59" s="1148"/>
      <c r="C59" s="1148"/>
      <c r="D59" s="1148"/>
      <c r="E59" s="1148"/>
      <c r="F59" s="1148"/>
      <c r="G59" s="1148"/>
      <c r="H59" s="1148"/>
      <c r="I59" s="1148"/>
      <c r="J59" s="1148"/>
    </row>
    <row r="60" spans="1:15" ht="13.5" thickBot="1">
      <c r="A60" s="1899" t="s">
        <v>4928</v>
      </c>
      <c r="B60" s="1900">
        <v>2019</v>
      </c>
      <c r="C60" s="1900">
        <v>2020</v>
      </c>
      <c r="D60" s="1900">
        <v>2021</v>
      </c>
      <c r="E60" s="1900">
        <v>2022</v>
      </c>
      <c r="F60" s="1900">
        <v>2023</v>
      </c>
      <c r="G60" s="1900">
        <v>2024</v>
      </c>
      <c r="H60" s="1900">
        <v>2025</v>
      </c>
      <c r="I60" s="3524">
        <v>2026</v>
      </c>
      <c r="J60" s="3524">
        <v>2027</v>
      </c>
      <c r="K60" s="1905">
        <v>2028</v>
      </c>
    </row>
    <row r="61" spans="1:15">
      <c r="A61" s="1144" t="s">
        <v>4929</v>
      </c>
      <c r="B61" s="1145">
        <f>SUM(B62:B66)</f>
        <v>-1999734.5899999999</v>
      </c>
      <c r="C61" s="1145">
        <f>SUM(C62:C66)</f>
        <v>18153590.43</v>
      </c>
      <c r="D61" s="1145">
        <f>SUM(D62:D66)</f>
        <v>27604779.550000001</v>
      </c>
      <c r="E61" s="1145">
        <f>SUM(E62:E66)</f>
        <v>24695516.490000002</v>
      </c>
      <c r="F61" s="1145">
        <f>SUM(F62:F66)</f>
        <v>26959786.510000002</v>
      </c>
      <c r="G61" s="1145">
        <f t="shared" ref="G61:K61" si="6">SUM(G62:G66)</f>
        <v>28379448.370000001</v>
      </c>
      <c r="H61" s="1145">
        <f t="shared" si="6"/>
        <v>29334466.07</v>
      </c>
      <c r="I61" s="1145">
        <f t="shared" si="6"/>
        <v>29334466.07</v>
      </c>
      <c r="J61" s="1145">
        <f t="shared" si="6"/>
        <v>29334466.07</v>
      </c>
      <c r="K61" s="1145">
        <f t="shared" si="6"/>
        <v>29334466.07</v>
      </c>
      <c r="L61" s="1780"/>
      <c r="M61" s="1780"/>
    </row>
    <row r="62" spans="1:15">
      <c r="A62" s="1146" t="s">
        <v>4930</v>
      </c>
      <c r="B62" s="1147"/>
      <c r="C62" s="3523">
        <f>1530017.68+12958127.4+2764255.54+2230.43+2710907.16</f>
        <v>19965538.210000001</v>
      </c>
      <c r="D62" s="1147">
        <f>C61</f>
        <v>18153590.43</v>
      </c>
      <c r="E62" s="1147">
        <f t="shared" ref="E62:K62" si="7">D61</f>
        <v>27604779.550000001</v>
      </c>
      <c r="F62" s="1147">
        <f t="shared" si="7"/>
        <v>24695516.490000002</v>
      </c>
      <c r="G62" s="1147">
        <f t="shared" si="7"/>
        <v>26959786.510000002</v>
      </c>
      <c r="H62" s="1147">
        <f t="shared" si="7"/>
        <v>28379448.370000001</v>
      </c>
      <c r="I62" s="1147">
        <f t="shared" si="7"/>
        <v>29334466.07</v>
      </c>
      <c r="J62" s="1147">
        <f t="shared" si="7"/>
        <v>29334466.07</v>
      </c>
      <c r="K62" s="1147">
        <f t="shared" si="7"/>
        <v>29334466.07</v>
      </c>
      <c r="L62" s="1161"/>
      <c r="M62" s="1780"/>
    </row>
    <row r="63" spans="1:15">
      <c r="A63" s="1146" t="s">
        <v>4931</v>
      </c>
      <c r="B63" s="1147">
        <f>B81+B99+B118+B138</f>
        <v>0</v>
      </c>
      <c r="C63" s="1147">
        <f>C81+C99+C118+C138+C157+C176</f>
        <v>912909</v>
      </c>
      <c r="D63" s="1147">
        <f>D81+D99+D118+D138+D157</f>
        <v>12200000</v>
      </c>
      <c r="E63" s="1147">
        <f>E81+E99+E118+E138+E157</f>
        <v>0</v>
      </c>
      <c r="F63" s="1147">
        <f>F81+F99+F118+F138+F157</f>
        <v>5500000</v>
      </c>
      <c r="G63" s="1147">
        <f>G81+G99+G118+G138+G157</f>
        <v>5000000</v>
      </c>
      <c r="H63" s="1147">
        <f>H81+H99+H118+H138+H157</f>
        <v>4500000</v>
      </c>
      <c r="I63" s="1147"/>
      <c r="J63" s="1147"/>
      <c r="K63" s="1147"/>
      <c r="L63" s="1780"/>
      <c r="M63" s="1780"/>
    </row>
    <row r="64" spans="1:15">
      <c r="A64" s="1146" t="s">
        <v>4932</v>
      </c>
      <c r="B64" s="1147">
        <f>B82+B100+B119+B139</f>
        <v>0</v>
      </c>
      <c r="C64" s="1147">
        <f t="shared" ref="C64:K64" si="8">C82+C100+C119+C139</f>
        <v>0</v>
      </c>
      <c r="D64" s="1147">
        <f t="shared" si="8"/>
        <v>0</v>
      </c>
      <c r="E64" s="1147">
        <f t="shared" si="8"/>
        <v>0</v>
      </c>
      <c r="F64" s="1147">
        <f t="shared" si="8"/>
        <v>0</v>
      </c>
      <c r="G64" s="1147">
        <f t="shared" si="8"/>
        <v>0</v>
      </c>
      <c r="H64" s="1147">
        <f t="shared" si="8"/>
        <v>0</v>
      </c>
      <c r="I64" s="1147">
        <f t="shared" si="8"/>
        <v>0</v>
      </c>
      <c r="J64" s="1147">
        <f t="shared" si="8"/>
        <v>0</v>
      </c>
      <c r="K64" s="1147">
        <f t="shared" si="8"/>
        <v>0</v>
      </c>
      <c r="L64" s="1780"/>
      <c r="M64" s="1780"/>
    </row>
    <row r="65" spans="1:11">
      <c r="A65" s="1146" t="s">
        <v>4933</v>
      </c>
      <c r="B65" s="1147">
        <f>B83+B101+B120+B140+B178</f>
        <v>-1999734.5899999999</v>
      </c>
      <c r="C65" s="1147">
        <f>C83+C101+C120+C140+C159+C178-2981</f>
        <v>-2724856.78</v>
      </c>
      <c r="D65" s="1147">
        <f t="shared" ref="D65:K66" si="9">D83+D101+D120+D140+D159+D178</f>
        <v>-2748810.88</v>
      </c>
      <c r="E65" s="1147">
        <f t="shared" si="9"/>
        <v>-2909263.0599999996</v>
      </c>
      <c r="F65" s="1147">
        <f t="shared" si="9"/>
        <v>-3235729.98</v>
      </c>
      <c r="G65" s="1147">
        <f t="shared" si="9"/>
        <v>-3580338.14</v>
      </c>
      <c r="H65" s="1147">
        <f t="shared" si="9"/>
        <v>-3544982.3000000003</v>
      </c>
      <c r="I65" s="1147">
        <f t="shared" si="9"/>
        <v>0</v>
      </c>
      <c r="J65" s="1147">
        <f t="shared" si="9"/>
        <v>0</v>
      </c>
      <c r="K65" s="1147">
        <f t="shared" si="9"/>
        <v>0</v>
      </c>
    </row>
    <row r="66" spans="1:11">
      <c r="A66" s="1146" t="s">
        <v>4934</v>
      </c>
      <c r="B66" s="1147">
        <f>B84+B102+B121+B141</f>
        <v>0</v>
      </c>
      <c r="C66" s="1147">
        <f>C84+C102+C121+C141+C160+C179</f>
        <v>0</v>
      </c>
      <c r="D66" s="1147">
        <f t="shared" si="9"/>
        <v>0</v>
      </c>
      <c r="E66" s="1147">
        <f t="shared" si="9"/>
        <v>0</v>
      </c>
      <c r="F66" s="1147">
        <f t="shared" si="9"/>
        <v>0</v>
      </c>
      <c r="G66" s="1147">
        <f t="shared" si="9"/>
        <v>0</v>
      </c>
      <c r="H66" s="1147">
        <f t="shared" si="9"/>
        <v>0</v>
      </c>
      <c r="I66" s="1147">
        <f t="shared" si="9"/>
        <v>0</v>
      </c>
      <c r="J66" s="1147">
        <f t="shared" si="9"/>
        <v>0</v>
      </c>
      <c r="K66" s="1147">
        <f t="shared" si="9"/>
        <v>0</v>
      </c>
    </row>
    <row r="67" spans="1:11">
      <c r="A67" s="1144" t="s">
        <v>4935</v>
      </c>
      <c r="B67" s="1145">
        <f>SUM(B68:B71)</f>
        <v>1939339.5899999999</v>
      </c>
      <c r="C67" s="1145">
        <f>SUM(C68:C71)</f>
        <v>2724856.78</v>
      </c>
      <c r="D67" s="1145">
        <f>SUM(D68:D71)</f>
        <v>2748810.88</v>
      </c>
      <c r="E67" s="1145">
        <f t="shared" ref="E67:K67" si="10">SUM(E68:E71)</f>
        <v>2909263.0599999996</v>
      </c>
      <c r="F67" s="1145">
        <f t="shared" si="10"/>
        <v>3235729.98</v>
      </c>
      <c r="G67" s="1145">
        <f t="shared" si="10"/>
        <v>3580338.14</v>
      </c>
      <c r="H67" s="1145">
        <f t="shared" si="10"/>
        <v>3544982.3000000003</v>
      </c>
      <c r="I67" s="1145">
        <f t="shared" si="10"/>
        <v>-1745100</v>
      </c>
      <c r="J67" s="1145">
        <f t="shared" si="10"/>
        <v>0</v>
      </c>
      <c r="K67" s="1145">
        <f t="shared" si="10"/>
        <v>0</v>
      </c>
    </row>
    <row r="68" spans="1:11">
      <c r="A68" s="1146" t="s">
        <v>4930</v>
      </c>
      <c r="B68" s="1147">
        <f>B86+B104+B123+B143</f>
        <v>1959999.5000000002</v>
      </c>
      <c r="C68" s="3523">
        <f>60395.43+1341503.39+203667.39+3298.77+394168.81</f>
        <v>2003033.79</v>
      </c>
      <c r="D68" s="1147">
        <f>D86+D104+D123+D143+D162+D181+2981</f>
        <v>2724856.78</v>
      </c>
      <c r="E68" s="1147">
        <f t="shared" ref="E68:K70" si="11">E86+E104+E123+E143+E162+E181</f>
        <v>2748810.88</v>
      </c>
      <c r="F68" s="1147">
        <f t="shared" si="11"/>
        <v>2909263.0599999996</v>
      </c>
      <c r="G68" s="1147">
        <f t="shared" si="11"/>
        <v>3235729.98</v>
      </c>
      <c r="H68" s="1147">
        <f t="shared" si="11"/>
        <v>3580338.14</v>
      </c>
      <c r="I68" s="1147">
        <f t="shared" si="11"/>
        <v>0</v>
      </c>
      <c r="J68" s="1147">
        <f t="shared" si="11"/>
        <v>0</v>
      </c>
      <c r="K68" s="1147">
        <f t="shared" si="11"/>
        <v>0</v>
      </c>
    </row>
    <row r="69" spans="1:11">
      <c r="A69" s="1146" t="s">
        <v>4936</v>
      </c>
      <c r="B69" s="1147">
        <f>B87+B105+B124+B144</f>
        <v>-1959999.5000000002</v>
      </c>
      <c r="C69" s="1147">
        <f>-C68</f>
        <v>-2003033.79</v>
      </c>
      <c r="D69" s="1147">
        <f>D87+D105+D124+D144+D163+D182-2981</f>
        <v>-2724856.78</v>
      </c>
      <c r="E69" s="1147">
        <f t="shared" si="11"/>
        <v>-2748810.88</v>
      </c>
      <c r="F69" s="1147">
        <f t="shared" si="11"/>
        <v>-2909263.0599999996</v>
      </c>
      <c r="G69" s="1147">
        <f t="shared" si="11"/>
        <v>-3235729.98</v>
      </c>
      <c r="H69" s="1147">
        <f t="shared" si="11"/>
        <v>-3580338.14</v>
      </c>
      <c r="I69" s="1147">
        <f t="shared" si="11"/>
        <v>-1745100</v>
      </c>
      <c r="J69" s="1147">
        <f t="shared" si="11"/>
        <v>0</v>
      </c>
      <c r="K69" s="1147">
        <f t="shared" si="11"/>
        <v>0</v>
      </c>
    </row>
    <row r="70" spans="1:11">
      <c r="A70" s="1146" t="s">
        <v>4937</v>
      </c>
      <c r="B70" s="1147">
        <f>B88+B106+B125+B145</f>
        <v>1939339.5899999999</v>
      </c>
      <c r="C70" s="1147">
        <f>C88+C106+C125+C145+C164+C183+2981</f>
        <v>2724856.78</v>
      </c>
      <c r="D70" s="1147">
        <f>D88+D106+D125+D145+D164+D183</f>
        <v>2748810.88</v>
      </c>
      <c r="E70" s="1147">
        <f t="shared" si="11"/>
        <v>2909263.0599999996</v>
      </c>
      <c r="F70" s="1147">
        <f t="shared" si="11"/>
        <v>3235729.98</v>
      </c>
      <c r="G70" s="1147">
        <f t="shared" si="11"/>
        <v>3580338.14</v>
      </c>
      <c r="H70" s="1147">
        <f t="shared" si="11"/>
        <v>3544982.3000000003</v>
      </c>
      <c r="I70" s="1147">
        <f t="shared" si="11"/>
        <v>0</v>
      </c>
      <c r="J70" s="1147">
        <f t="shared" si="11"/>
        <v>0</v>
      </c>
      <c r="K70" s="1147">
        <f t="shared" si="11"/>
        <v>0</v>
      </c>
    </row>
    <row r="71" spans="1:11">
      <c r="A71" s="1146" t="s">
        <v>4938</v>
      </c>
      <c r="B71" s="1147">
        <f>B89+B107+B126+B146</f>
        <v>0</v>
      </c>
      <c r="C71" s="1147">
        <f t="shared" ref="C71:K72" si="12">C89+C107+C126+C146+C165</f>
        <v>0</v>
      </c>
      <c r="D71" s="1147">
        <f t="shared" si="12"/>
        <v>0</v>
      </c>
      <c r="E71" s="1147">
        <f t="shared" si="12"/>
        <v>0</v>
      </c>
      <c r="F71" s="1147">
        <f t="shared" si="12"/>
        <v>0</v>
      </c>
      <c r="G71" s="1147">
        <f t="shared" si="12"/>
        <v>0</v>
      </c>
      <c r="H71" s="1147">
        <f t="shared" si="12"/>
        <v>0</v>
      </c>
      <c r="I71" s="1147">
        <f t="shared" si="12"/>
        <v>0</v>
      </c>
      <c r="J71" s="1147">
        <f t="shared" si="12"/>
        <v>0</v>
      </c>
      <c r="K71" s="1147">
        <f t="shared" si="12"/>
        <v>0</v>
      </c>
    </row>
    <row r="72" spans="1:11" ht="13.5" thickBot="1">
      <c r="A72" s="1144" t="s">
        <v>4939</v>
      </c>
      <c r="B72" s="1147">
        <f>B90+B108+B127+B147</f>
        <v>0</v>
      </c>
      <c r="C72" s="1147">
        <f t="shared" si="12"/>
        <v>0</v>
      </c>
      <c r="D72" s="1147">
        <f t="shared" si="12"/>
        <v>0</v>
      </c>
      <c r="E72" s="1147">
        <f t="shared" si="12"/>
        <v>0</v>
      </c>
      <c r="F72" s="1147">
        <f t="shared" si="12"/>
        <v>0</v>
      </c>
      <c r="G72" s="1147">
        <f t="shared" si="12"/>
        <v>0</v>
      </c>
      <c r="H72" s="1147">
        <f t="shared" si="12"/>
        <v>0</v>
      </c>
      <c r="I72" s="1147">
        <f t="shared" si="12"/>
        <v>0</v>
      </c>
      <c r="J72" s="1147">
        <f t="shared" si="12"/>
        <v>0</v>
      </c>
      <c r="K72" s="1147">
        <f t="shared" si="12"/>
        <v>0</v>
      </c>
    </row>
    <row r="73" spans="1:11" ht="13.5" thickBot="1">
      <c r="A73" s="1901" t="s">
        <v>4940</v>
      </c>
      <c r="B73" s="1902">
        <f>B61+B67+B72</f>
        <v>-60395</v>
      </c>
      <c r="C73" s="1902">
        <f>C61+C67+C72</f>
        <v>20878447.210000001</v>
      </c>
      <c r="D73" s="1902">
        <f>D61+D67+D72</f>
        <v>30353590.43</v>
      </c>
      <c r="E73" s="1902">
        <f t="shared" ref="E73:K73" si="13">E61+E67+E72</f>
        <v>27604779.550000001</v>
      </c>
      <c r="F73" s="1902">
        <f t="shared" si="13"/>
        <v>30195516.490000002</v>
      </c>
      <c r="G73" s="1902">
        <f t="shared" si="13"/>
        <v>31959786.510000002</v>
      </c>
      <c r="H73" s="1902">
        <f t="shared" si="13"/>
        <v>32879448.370000001</v>
      </c>
      <c r="I73" s="1902">
        <f t="shared" si="13"/>
        <v>27589366.07</v>
      </c>
      <c r="J73" s="1902">
        <f t="shared" si="13"/>
        <v>29334466.07</v>
      </c>
      <c r="K73" s="1902">
        <f t="shared" si="13"/>
        <v>29334466.07</v>
      </c>
    </row>
    <row r="74" spans="1:11">
      <c r="A74" s="395" t="s">
        <v>7183</v>
      </c>
      <c r="C74" s="1003">
        <f t="shared" ref="C74:K74" si="14">C69+60395</f>
        <v>-1942638.79</v>
      </c>
      <c r="D74" s="1003">
        <f t="shared" si="14"/>
        <v>-2664461.7799999998</v>
      </c>
      <c r="E74" s="1003">
        <f t="shared" si="14"/>
        <v>-2688415.88</v>
      </c>
      <c r="F74" s="1003">
        <f t="shared" si="14"/>
        <v>-2848868.0599999996</v>
      </c>
      <c r="G74" s="1003">
        <f t="shared" si="14"/>
        <v>-3175334.98</v>
      </c>
      <c r="H74" s="1003">
        <f t="shared" si="14"/>
        <v>-3519943.14</v>
      </c>
      <c r="I74" s="1003">
        <f t="shared" si="14"/>
        <v>-1684705</v>
      </c>
      <c r="J74" s="1003">
        <f t="shared" si="14"/>
        <v>60395</v>
      </c>
      <c r="K74" s="1003">
        <f t="shared" si="14"/>
        <v>60395</v>
      </c>
    </row>
    <row r="75" spans="1:11" s="380" customFormat="1">
      <c r="A75" s="380" t="s">
        <v>4941</v>
      </c>
      <c r="B75" s="1073">
        <f>SUM(B93+B111+B130+B131+B150)</f>
        <v>385015.37</v>
      </c>
      <c r="C75" s="1073">
        <f>SUM(C93+C111+C130+C131+C150+C169)</f>
        <v>362246.48</v>
      </c>
      <c r="D75" s="1073">
        <f>SUM(D93+D111+D130+D131+D150+C169)</f>
        <v>327520.16000000003</v>
      </c>
      <c r="E75" s="1073">
        <f>SUM(E93+E111+E130+E131+E150+E169)</f>
        <v>451522.06</v>
      </c>
      <c r="F75" s="1073">
        <f>SUM(F93+F111+F130+F131+F150+F169)</f>
        <v>444844.12</v>
      </c>
      <c r="G75" s="1073">
        <f>SUM(G93+G111+G130+G131+G150+G169)</f>
        <v>470830.95999999996</v>
      </c>
      <c r="H75" s="1073">
        <f>SUM(H93+H111+H130+H131+H150+H169)</f>
        <v>485379.45</v>
      </c>
      <c r="I75" s="1073">
        <f t="shared" ref="I75:K75" si="15">SUM(I93+I111+I130+I131+I150+I169)</f>
        <v>0</v>
      </c>
      <c r="J75" s="1073">
        <f t="shared" si="15"/>
        <v>0</v>
      </c>
      <c r="K75" s="1073">
        <f t="shared" si="15"/>
        <v>0</v>
      </c>
    </row>
    <row r="76" spans="1:11" ht="15.75" hidden="1">
      <c r="A76" s="1909" t="s">
        <v>7056</v>
      </c>
      <c r="B76" s="1148"/>
    </row>
    <row r="77" spans="1:11" ht="13.5" hidden="1" thickBot="1"/>
    <row r="78" spans="1:11" ht="13.5" hidden="1" thickBot="1">
      <c r="A78" s="1731" t="s">
        <v>4928</v>
      </c>
      <c r="B78" s="1904">
        <v>2019</v>
      </c>
      <c r="C78" s="1904">
        <v>2020</v>
      </c>
      <c r="D78" s="1904">
        <v>2021</v>
      </c>
      <c r="E78" s="1904">
        <v>2022</v>
      </c>
      <c r="F78" s="1904">
        <v>2023</v>
      </c>
      <c r="G78" s="1904">
        <v>2024</v>
      </c>
      <c r="H78" s="1905">
        <v>2025</v>
      </c>
    </row>
    <row r="79" spans="1:11" hidden="1">
      <c r="A79" s="1149" t="s">
        <v>4929</v>
      </c>
      <c r="B79" s="1150">
        <f t="shared" ref="B79:H79" si="16">SUM(B80:B84)</f>
        <v>0</v>
      </c>
      <c r="C79" s="1150">
        <f t="shared" si="16"/>
        <v>0</v>
      </c>
      <c r="D79" s="1150">
        <f t="shared" si="16"/>
        <v>0</v>
      </c>
      <c r="E79" s="1150">
        <f t="shared" si="16"/>
        <v>0</v>
      </c>
      <c r="F79" s="1150">
        <f t="shared" si="16"/>
        <v>0</v>
      </c>
      <c r="G79" s="1150">
        <f t="shared" si="16"/>
        <v>0</v>
      </c>
      <c r="H79" s="1151">
        <f t="shared" si="16"/>
        <v>0</v>
      </c>
    </row>
    <row r="80" spans="1:11" hidden="1">
      <c r="A80" s="1152" t="s">
        <v>4930</v>
      </c>
      <c r="B80" s="1153"/>
      <c r="C80" s="1153"/>
      <c r="D80" s="1153"/>
      <c r="E80" s="1153"/>
      <c r="F80" s="1153"/>
      <c r="G80" s="1153"/>
      <c r="H80" s="1154"/>
    </row>
    <row r="81" spans="1:8" hidden="1">
      <c r="A81" s="1152" t="s">
        <v>4931</v>
      </c>
      <c r="B81" s="1153"/>
      <c r="C81" s="1153">
        <v>0</v>
      </c>
      <c r="D81" s="1153">
        <v>0</v>
      </c>
      <c r="E81" s="1153">
        <v>0</v>
      </c>
      <c r="F81" s="1153">
        <v>0</v>
      </c>
      <c r="G81" s="1153">
        <v>0</v>
      </c>
      <c r="H81" s="1154">
        <v>0</v>
      </c>
    </row>
    <row r="82" spans="1:8" hidden="1">
      <c r="A82" s="1152" t="s">
        <v>4932</v>
      </c>
      <c r="B82" s="1153"/>
      <c r="C82" s="1153"/>
      <c r="D82" s="1153"/>
      <c r="E82" s="1153"/>
      <c r="F82" s="1153"/>
      <c r="G82" s="1153"/>
      <c r="H82" s="1154"/>
    </row>
    <row r="83" spans="1:8" hidden="1">
      <c r="A83" s="1152" t="s">
        <v>4933</v>
      </c>
      <c r="B83" s="1153"/>
      <c r="C83" s="1153"/>
      <c r="D83" s="1153"/>
      <c r="E83" s="1153"/>
      <c r="F83" s="1153"/>
      <c r="G83" s="1153"/>
      <c r="H83" s="1154"/>
    </row>
    <row r="84" spans="1:8" hidden="1">
      <c r="A84" s="1152" t="s">
        <v>4934</v>
      </c>
      <c r="B84" s="1153"/>
      <c r="C84" s="1153"/>
      <c r="D84" s="1153"/>
      <c r="E84" s="1153"/>
      <c r="F84" s="1153"/>
      <c r="G84" s="1153"/>
      <c r="H84" s="1154"/>
    </row>
    <row r="85" spans="1:8" hidden="1">
      <c r="A85" s="1149" t="s">
        <v>4935</v>
      </c>
      <c r="B85" s="1150">
        <f t="shared" ref="B85:H85" si="17">SUM(B86:B89)</f>
        <v>0</v>
      </c>
      <c r="C85" s="1150">
        <f t="shared" si="17"/>
        <v>0</v>
      </c>
      <c r="D85" s="1150">
        <f t="shared" si="17"/>
        <v>0</v>
      </c>
      <c r="E85" s="1150">
        <f t="shared" si="17"/>
        <v>0</v>
      </c>
      <c r="F85" s="1150">
        <f t="shared" si="17"/>
        <v>0</v>
      </c>
      <c r="G85" s="1150">
        <f t="shared" si="17"/>
        <v>0</v>
      </c>
      <c r="H85" s="1151">
        <f t="shared" si="17"/>
        <v>0</v>
      </c>
    </row>
    <row r="86" spans="1:8" hidden="1">
      <c r="A86" s="1152" t="s">
        <v>4930</v>
      </c>
      <c r="B86" s="1153"/>
      <c r="C86" s="1153"/>
      <c r="D86" s="1153"/>
      <c r="E86" s="1153"/>
      <c r="F86" s="1153"/>
      <c r="G86" s="1153"/>
      <c r="H86" s="1154"/>
    </row>
    <row r="87" spans="1:8" hidden="1">
      <c r="A87" s="1152" t="s">
        <v>4936</v>
      </c>
      <c r="B87" s="1153"/>
      <c r="C87" s="1153"/>
      <c r="D87" s="1153"/>
      <c r="E87" s="1153"/>
      <c r="F87" s="1153"/>
      <c r="G87" s="1153"/>
      <c r="H87" s="1154"/>
    </row>
    <row r="88" spans="1:8" hidden="1">
      <c r="A88" s="1152" t="s">
        <v>4937</v>
      </c>
      <c r="B88" s="1153"/>
      <c r="C88" s="1153"/>
      <c r="D88" s="1153"/>
      <c r="E88" s="1153"/>
      <c r="F88" s="1153"/>
      <c r="G88" s="1153"/>
      <c r="H88" s="1154"/>
    </row>
    <row r="89" spans="1:8" hidden="1">
      <c r="A89" s="1152" t="s">
        <v>4938</v>
      </c>
      <c r="B89" s="1153"/>
      <c r="C89" s="1153"/>
      <c r="D89" s="1153"/>
      <c r="E89" s="1153"/>
      <c r="F89" s="1153"/>
      <c r="G89" s="1153"/>
      <c r="H89" s="1154"/>
    </row>
    <row r="90" spans="1:8" ht="13.5" hidden="1" thickBot="1">
      <c r="A90" s="1149" t="s">
        <v>4939</v>
      </c>
      <c r="B90" s="1150"/>
      <c r="C90" s="1150"/>
      <c r="D90" s="1150"/>
      <c r="E90" s="1150"/>
      <c r="F90" s="1150"/>
      <c r="G90" s="1150"/>
      <c r="H90" s="1151"/>
    </row>
    <row r="91" spans="1:8" ht="13.5" hidden="1" thickBot="1">
      <c r="A91" s="1906" t="s">
        <v>4940</v>
      </c>
      <c r="B91" s="1907">
        <f>B79-B85</f>
        <v>0</v>
      </c>
      <c r="C91" s="1907">
        <f t="shared" ref="C91:H91" si="18">C79-C85+C90</f>
        <v>0</v>
      </c>
      <c r="D91" s="1907">
        <f t="shared" si="18"/>
        <v>0</v>
      </c>
      <c r="E91" s="1907">
        <f t="shared" si="18"/>
        <v>0</v>
      </c>
      <c r="F91" s="1907">
        <f t="shared" si="18"/>
        <v>0</v>
      </c>
      <c r="G91" s="1907">
        <f t="shared" si="18"/>
        <v>0</v>
      </c>
      <c r="H91" s="1908">
        <f t="shared" si="18"/>
        <v>0</v>
      </c>
    </row>
    <row r="92" spans="1:8" hidden="1">
      <c r="A92" s="1155"/>
      <c r="B92" s="1191"/>
      <c r="C92" s="1191"/>
      <c r="D92" s="1191"/>
      <c r="E92" s="1191"/>
      <c r="F92" s="1191"/>
      <c r="G92" s="1191"/>
      <c r="H92" s="1191"/>
    </row>
    <row r="93" spans="1:8" hidden="1">
      <c r="A93" s="395" t="s">
        <v>4941</v>
      </c>
      <c r="B93" s="1002"/>
      <c r="C93" s="1002"/>
      <c r="D93" s="1002"/>
      <c r="E93" s="1002"/>
      <c r="F93" s="1002"/>
      <c r="G93" s="1002"/>
      <c r="H93" s="1002"/>
    </row>
    <row r="94" spans="1:8" ht="15.75">
      <c r="A94" s="1841" t="s">
        <v>7057</v>
      </c>
      <c r="B94" s="1148"/>
    </row>
    <row r="95" spans="1:8" ht="13.5" thickBot="1"/>
    <row r="96" spans="1:8" ht="13.5" thickBot="1">
      <c r="A96" s="1731" t="s">
        <v>4928</v>
      </c>
      <c r="B96" s="3524">
        <v>2019</v>
      </c>
      <c r="C96" s="3524">
        <v>2020</v>
      </c>
      <c r="D96" s="3524">
        <v>2021</v>
      </c>
      <c r="E96" s="3524">
        <v>2022</v>
      </c>
      <c r="F96" s="3524">
        <v>2023</v>
      </c>
      <c r="G96" s="3524">
        <v>2024</v>
      </c>
      <c r="H96" s="1905">
        <v>2025</v>
      </c>
    </row>
    <row r="97" spans="1:8">
      <c r="A97" s="3507" t="s">
        <v>4929</v>
      </c>
      <c r="B97" s="3526">
        <f>SUM(B98:B102)</f>
        <v>5312787.6099999994</v>
      </c>
      <c r="C97" s="3526">
        <f>SUM(C98:C102)</f>
        <v>4867637.57</v>
      </c>
      <c r="D97" s="3526">
        <v>4783673</v>
      </c>
      <c r="E97" s="3526">
        <v>4338981</v>
      </c>
      <c r="F97" s="3526">
        <v>3946523</v>
      </c>
      <c r="G97" s="3526">
        <v>3545764</v>
      </c>
      <c r="H97" s="1159">
        <v>3136493</v>
      </c>
    </row>
    <row r="98" spans="1:8">
      <c r="A98" s="1152" t="s">
        <v>4930</v>
      </c>
      <c r="B98" s="1153">
        <f>5306724.13+540264.29</f>
        <v>5846988.4199999999</v>
      </c>
      <c r="C98" s="1153">
        <v>5312259</v>
      </c>
      <c r="D98" s="1153">
        <f>4333436.79+444621.43</f>
        <v>4778058.22</v>
      </c>
      <c r="E98" s="1153">
        <f>3940978.99+392457.8</f>
        <v>4333436.79</v>
      </c>
      <c r="F98" s="1153">
        <f>3540149.32+400829.67</f>
        <v>3940978.9899999998</v>
      </c>
      <c r="G98" s="1153">
        <f>3130738.65+409410.67</f>
        <v>3540149.32</v>
      </c>
      <c r="H98" s="1162">
        <f>2725419.77+405318.88</f>
        <v>3130738.65</v>
      </c>
    </row>
    <row r="99" spans="1:8">
      <c r="A99" s="1152" t="s">
        <v>4931</v>
      </c>
      <c r="B99" s="1153"/>
      <c r="C99" s="1153"/>
      <c r="D99" s="1153"/>
      <c r="E99" s="1153"/>
      <c r="F99" s="1153"/>
      <c r="G99" s="1153"/>
      <c r="H99" s="1162"/>
    </row>
    <row r="100" spans="1:8">
      <c r="A100" s="1152" t="s">
        <v>4932</v>
      </c>
      <c r="B100" s="2072"/>
      <c r="C100" s="2072"/>
      <c r="D100" s="2072"/>
      <c r="E100" s="2072"/>
      <c r="F100" s="2072"/>
      <c r="G100" s="2072"/>
    </row>
    <row r="101" spans="1:8">
      <c r="A101" s="1152" t="s">
        <v>4933</v>
      </c>
      <c r="B101" s="1153">
        <f t="shared" ref="B101:G101" si="19">C105</f>
        <v>-534200.81000000006</v>
      </c>
      <c r="C101" s="1153">
        <f t="shared" si="19"/>
        <v>-444621.43</v>
      </c>
      <c r="D101" s="1153">
        <f t="shared" si="19"/>
        <v>-392457.8</v>
      </c>
      <c r="E101" s="1153">
        <f t="shared" si="19"/>
        <v>-400829.67</v>
      </c>
      <c r="F101" s="1153">
        <f t="shared" si="19"/>
        <v>-409410.67</v>
      </c>
      <c r="G101" s="1153">
        <f t="shared" si="19"/>
        <v>-405318.88</v>
      </c>
      <c r="H101" s="1162">
        <v>-339389</v>
      </c>
    </row>
    <row r="102" spans="1:8">
      <c r="A102" s="1152" t="s">
        <v>4934</v>
      </c>
      <c r="B102" s="1153"/>
      <c r="C102" s="1153"/>
      <c r="D102" s="1153"/>
      <c r="E102" s="1153"/>
      <c r="F102" s="1153"/>
      <c r="G102" s="1153"/>
      <c r="H102" s="1162"/>
    </row>
    <row r="103" spans="1:8">
      <c r="A103" s="1149" t="s">
        <v>4935</v>
      </c>
      <c r="B103" s="1150">
        <f t="shared" ref="B103:H103" si="20">SUM(B104:B107)</f>
        <v>534200.81000000006</v>
      </c>
      <c r="C103" s="1150">
        <f t="shared" si="20"/>
        <v>444621.43</v>
      </c>
      <c r="D103" s="1150">
        <f t="shared" si="20"/>
        <v>392457.8</v>
      </c>
      <c r="E103" s="1150">
        <f t="shared" si="20"/>
        <v>400829.67</v>
      </c>
      <c r="F103" s="1150">
        <f t="shared" si="20"/>
        <v>409410.67</v>
      </c>
      <c r="G103" s="1150">
        <f t="shared" si="20"/>
        <v>405318.88</v>
      </c>
      <c r="H103" s="1164">
        <f t="shared" si="20"/>
        <v>339389</v>
      </c>
    </row>
    <row r="104" spans="1:8">
      <c r="A104" s="1152" t="s">
        <v>4930</v>
      </c>
      <c r="B104" s="1153">
        <f t="shared" ref="B104:H104" si="21">-B105</f>
        <v>540264.29</v>
      </c>
      <c r="C104" s="1153">
        <f t="shared" si="21"/>
        <v>534200.81000000006</v>
      </c>
      <c r="D104" s="1153">
        <f t="shared" si="21"/>
        <v>444621.43</v>
      </c>
      <c r="E104" s="1153">
        <f t="shared" si="21"/>
        <v>392457.8</v>
      </c>
      <c r="F104" s="1153">
        <f t="shared" si="21"/>
        <v>400829.67</v>
      </c>
      <c r="G104" s="1153">
        <f t="shared" si="21"/>
        <v>409410.67</v>
      </c>
      <c r="H104" s="1162">
        <f t="shared" si="21"/>
        <v>405318.88</v>
      </c>
    </row>
    <row r="105" spans="1:8">
      <c r="A105" s="1152" t="s">
        <v>4936</v>
      </c>
      <c r="B105" s="1153">
        <v>-540264.29</v>
      </c>
      <c r="C105" s="1153">
        <v>-534200.81000000006</v>
      </c>
      <c r="D105" s="1153">
        <v>-444621.43</v>
      </c>
      <c r="E105" s="1153">
        <v>-392457.8</v>
      </c>
      <c r="F105" s="1153">
        <v>-400829.67</v>
      </c>
      <c r="G105" s="1153">
        <v>-409410.67</v>
      </c>
      <c r="H105" s="1162">
        <v>-405318.88</v>
      </c>
    </row>
    <row r="106" spans="1:8">
      <c r="A106" s="1152" t="s">
        <v>4937</v>
      </c>
      <c r="B106" s="1153">
        <f t="shared" ref="B106:H106" si="22">-B101</f>
        <v>534200.81000000006</v>
      </c>
      <c r="C106" s="1153">
        <f>-C101</f>
        <v>444621.43</v>
      </c>
      <c r="D106" s="1153">
        <f t="shared" si="22"/>
        <v>392457.8</v>
      </c>
      <c r="E106" s="1153">
        <f t="shared" si="22"/>
        <v>400829.67</v>
      </c>
      <c r="F106" s="1153">
        <f t="shared" si="22"/>
        <v>409410.67</v>
      </c>
      <c r="G106" s="1153">
        <f t="shared" si="22"/>
        <v>405318.88</v>
      </c>
      <c r="H106" s="1162">
        <f t="shared" si="22"/>
        <v>339389</v>
      </c>
    </row>
    <row r="107" spans="1:8">
      <c r="A107" s="1152" t="s">
        <v>4938</v>
      </c>
      <c r="B107" s="1153"/>
      <c r="C107" s="1153"/>
      <c r="D107" s="1153"/>
      <c r="E107" s="1153"/>
      <c r="F107" s="1153"/>
      <c r="G107" s="1153"/>
      <c r="H107" s="1162"/>
    </row>
    <row r="108" spans="1:8" ht="13.5" thickBot="1">
      <c r="A108" s="3510" t="s">
        <v>4939</v>
      </c>
      <c r="B108" s="3527"/>
      <c r="C108" s="3527"/>
      <c r="D108" s="3527"/>
      <c r="E108" s="3527"/>
      <c r="F108" s="3527"/>
      <c r="G108" s="3527"/>
      <c r="H108" s="1167"/>
    </row>
    <row r="109" spans="1:8" ht="13.5" thickBot="1">
      <c r="A109" s="1906" t="s">
        <v>4940</v>
      </c>
      <c r="B109" s="3525">
        <f>B97+B103+B108</f>
        <v>5846988.4199999999</v>
      </c>
      <c r="C109" s="3525">
        <f t="shared" ref="C109:H109" si="23">C97+C103+C108</f>
        <v>5312259</v>
      </c>
      <c r="D109" s="3525">
        <f t="shared" si="23"/>
        <v>5176130.8</v>
      </c>
      <c r="E109" s="3525">
        <f t="shared" si="23"/>
        <v>4739810.67</v>
      </c>
      <c r="F109" s="3525">
        <f t="shared" si="23"/>
        <v>4355933.67</v>
      </c>
      <c r="G109" s="3525">
        <f t="shared" si="23"/>
        <v>3951082.88</v>
      </c>
      <c r="H109" s="1908">
        <f t="shared" si="23"/>
        <v>3475882</v>
      </c>
    </row>
    <row r="111" spans="1:8">
      <c r="A111" s="395" t="s">
        <v>4941</v>
      </c>
      <c r="B111" s="1002">
        <v>127253.19</v>
      </c>
      <c r="C111" s="1002">
        <v>111171.17</v>
      </c>
      <c r="D111" s="1002">
        <v>97058.91</v>
      </c>
      <c r="E111" s="1002">
        <v>87376.09</v>
      </c>
      <c r="F111" s="1002">
        <v>79004.23</v>
      </c>
      <c r="G111" s="1002">
        <v>70423.23</v>
      </c>
      <c r="H111" s="1002">
        <v>61568.97</v>
      </c>
    </row>
    <row r="113" spans="1:8" ht="15.75">
      <c r="A113" s="1841" t="s">
        <v>7058</v>
      </c>
      <c r="B113" s="1148"/>
    </row>
    <row r="114" spans="1:8" ht="13.5" thickBot="1"/>
    <row r="115" spans="1:8" ht="13.5" thickBot="1">
      <c r="A115" s="1731" t="s">
        <v>4928</v>
      </c>
      <c r="B115" s="1904">
        <v>2019</v>
      </c>
      <c r="C115" s="1904">
        <v>2020</v>
      </c>
      <c r="D115" s="1904">
        <v>2021</v>
      </c>
      <c r="E115" s="1904">
        <v>2022</v>
      </c>
      <c r="F115" s="1904">
        <v>2023</v>
      </c>
      <c r="G115" s="1904">
        <v>2024</v>
      </c>
      <c r="H115" s="1905">
        <v>2025</v>
      </c>
    </row>
    <row r="116" spans="1:8">
      <c r="A116" s="3507" t="s">
        <v>4929</v>
      </c>
      <c r="B116" s="3508">
        <f t="shared" ref="B116:H116" si="24">SUM(B117:B121)</f>
        <v>13070919.32</v>
      </c>
      <c r="C116" s="3508">
        <f t="shared" si="24"/>
        <v>13103881.76</v>
      </c>
      <c r="D116" s="3508">
        <f t="shared" si="24"/>
        <v>13097234.98</v>
      </c>
      <c r="E116" s="3508">
        <f t="shared" si="24"/>
        <v>13122519.4</v>
      </c>
      <c r="F116" s="3508">
        <f t="shared" si="24"/>
        <v>13135949.949999999</v>
      </c>
      <c r="G116" s="3508">
        <f t="shared" si="24"/>
        <v>13107161.359999999</v>
      </c>
      <c r="H116" s="3509">
        <f t="shared" si="24"/>
        <v>13077574.049999999</v>
      </c>
    </row>
    <row r="117" spans="1:8">
      <c r="A117" s="1152" t="s">
        <v>4930</v>
      </c>
      <c r="B117" s="1153">
        <f>11119317.98+3178195.51</f>
        <v>14297513.49</v>
      </c>
      <c r="C117" s="1153">
        <f t="shared" ref="C117:H117" si="25">B128</f>
        <v>14297513.49</v>
      </c>
      <c r="D117" s="1153">
        <f t="shared" si="25"/>
        <v>14297513.49</v>
      </c>
      <c r="E117" s="1153">
        <f t="shared" si="25"/>
        <v>14297513.49</v>
      </c>
      <c r="F117" s="1153">
        <f t="shared" si="25"/>
        <v>14297513.49</v>
      </c>
      <c r="G117" s="1153">
        <f t="shared" si="25"/>
        <v>14297513.489999998</v>
      </c>
      <c r="H117" s="1154">
        <f t="shared" si="25"/>
        <v>14297513.489999998</v>
      </c>
    </row>
    <row r="118" spans="1:8">
      <c r="A118" s="1152" t="s">
        <v>4931</v>
      </c>
      <c r="B118" s="1153"/>
      <c r="C118" s="1153"/>
      <c r="D118" s="1153"/>
      <c r="E118" s="1153"/>
      <c r="F118" s="1153"/>
      <c r="G118" s="1153"/>
      <c r="H118" s="1154"/>
    </row>
    <row r="119" spans="1:8">
      <c r="A119" s="1152" t="s">
        <v>4932</v>
      </c>
      <c r="B119" s="1153"/>
      <c r="C119" s="1153"/>
      <c r="D119" s="1153"/>
      <c r="E119" s="1153"/>
      <c r="F119" s="1153"/>
      <c r="G119" s="1153"/>
      <c r="H119" s="1154"/>
    </row>
    <row r="120" spans="1:8">
      <c r="A120" s="1152" t="s">
        <v>4933</v>
      </c>
      <c r="B120" s="1153">
        <f t="shared" ref="B120:G120" si="26">C124</f>
        <v>-1226594.17</v>
      </c>
      <c r="C120" s="1153">
        <f t="shared" si="26"/>
        <v>-1193631.73</v>
      </c>
      <c r="D120" s="1153">
        <f t="shared" si="26"/>
        <v>-1200278.51</v>
      </c>
      <c r="E120" s="1153">
        <f t="shared" si="26"/>
        <v>-1174994.0899999999</v>
      </c>
      <c r="F120" s="1153">
        <f t="shared" si="26"/>
        <v>-1161563.54</v>
      </c>
      <c r="G120" s="1153">
        <f t="shared" si="26"/>
        <v>-1190352.1299999999</v>
      </c>
      <c r="H120" s="1154">
        <f>-(970095.04+249844.4)</f>
        <v>-1219939.44</v>
      </c>
    </row>
    <row r="121" spans="1:8">
      <c r="A121" s="1152" t="s">
        <v>4934</v>
      </c>
      <c r="B121" s="1153"/>
      <c r="C121" s="1153"/>
      <c r="D121" s="1153"/>
      <c r="E121" s="1153"/>
      <c r="F121" s="1153"/>
      <c r="G121" s="1153"/>
      <c r="H121" s="1154"/>
    </row>
    <row r="122" spans="1:8">
      <c r="A122" s="1149" t="s">
        <v>4935</v>
      </c>
      <c r="B122" s="1150">
        <f t="shared" ref="B122:H122" si="27">SUM(B123:B126)</f>
        <v>1226594.17</v>
      </c>
      <c r="C122" s="1150">
        <f t="shared" si="27"/>
        <v>1193631.73</v>
      </c>
      <c r="D122" s="1150">
        <f t="shared" si="27"/>
        <v>1200278.51</v>
      </c>
      <c r="E122" s="1150">
        <f t="shared" si="27"/>
        <v>1174994.0899999999</v>
      </c>
      <c r="F122" s="1150">
        <f t="shared" si="27"/>
        <v>1161563.54</v>
      </c>
      <c r="G122" s="1150">
        <f t="shared" si="27"/>
        <v>1190352.1299999999</v>
      </c>
      <c r="H122" s="1151">
        <f t="shared" si="27"/>
        <v>1219939.44</v>
      </c>
    </row>
    <row r="123" spans="1:8">
      <c r="A123" s="1152" t="s">
        <v>4930</v>
      </c>
      <c r="B123" s="1153">
        <f>-B124</f>
        <v>1241473.1200000001</v>
      </c>
      <c r="C123" s="1153">
        <f t="shared" ref="C123:H123" si="28">-C124</f>
        <v>1226594.17</v>
      </c>
      <c r="D123" s="1153">
        <f t="shared" si="28"/>
        <v>1193631.73</v>
      </c>
      <c r="E123" s="1153">
        <f t="shared" si="28"/>
        <v>1200278.51</v>
      </c>
      <c r="F123" s="1153">
        <f t="shared" si="28"/>
        <v>1174994.0899999999</v>
      </c>
      <c r="G123" s="1153">
        <f t="shared" si="28"/>
        <v>1161563.54</v>
      </c>
      <c r="H123" s="1154">
        <f t="shared" si="28"/>
        <v>1190352.1299999999</v>
      </c>
    </row>
    <row r="124" spans="1:8">
      <c r="A124" s="1152" t="s">
        <v>4936</v>
      </c>
      <c r="B124" s="1153">
        <f>-(1031200.42+210272.7)</f>
        <v>-1241473.1200000001</v>
      </c>
      <c r="C124" s="1153">
        <f>-(1022926.78+203667.39)</f>
        <v>-1226594.17</v>
      </c>
      <c r="D124" s="1153">
        <f>-(982908.31+210723.42)</f>
        <v>-1193631.73</v>
      </c>
      <c r="E124" s="1153">
        <f>-(982254.57+218023.94)</f>
        <v>-1200278.51</v>
      </c>
      <c r="F124" s="1153">
        <f>-(949416.71+225577.38)</f>
        <v>-1174994.0899999999</v>
      </c>
      <c r="G124" s="1153">
        <f>-(928171.04+233392.5)</f>
        <v>-1161563.54</v>
      </c>
      <c r="H124" s="1154">
        <f>-(948873.76+241478.37)</f>
        <v>-1190352.1299999999</v>
      </c>
    </row>
    <row r="125" spans="1:8">
      <c r="A125" s="1152" t="s">
        <v>4937</v>
      </c>
      <c r="B125" s="1153">
        <f>-B120</f>
        <v>1226594.17</v>
      </c>
      <c r="C125" s="1153">
        <f t="shared" ref="C125:H125" si="29">-C120</f>
        <v>1193631.73</v>
      </c>
      <c r="D125" s="1153">
        <f t="shared" si="29"/>
        <v>1200278.51</v>
      </c>
      <c r="E125" s="1153">
        <f t="shared" si="29"/>
        <v>1174994.0899999999</v>
      </c>
      <c r="F125" s="1153">
        <f t="shared" si="29"/>
        <v>1161563.54</v>
      </c>
      <c r="G125" s="1153">
        <f t="shared" si="29"/>
        <v>1190352.1299999999</v>
      </c>
      <c r="H125" s="1154">
        <f t="shared" si="29"/>
        <v>1219939.44</v>
      </c>
    </row>
    <row r="126" spans="1:8">
      <c r="A126" s="1152" t="s">
        <v>4938</v>
      </c>
      <c r="B126" s="1153"/>
      <c r="C126" s="1153"/>
      <c r="D126" s="1153"/>
      <c r="E126" s="1153"/>
      <c r="F126" s="1153"/>
      <c r="G126" s="1153"/>
      <c r="H126" s="1154"/>
    </row>
    <row r="127" spans="1:8" ht="13.5" thickBot="1">
      <c r="A127" s="3510" t="s">
        <v>4939</v>
      </c>
      <c r="B127" s="3511"/>
      <c r="C127" s="3511"/>
      <c r="D127" s="3511"/>
      <c r="E127" s="3511"/>
      <c r="F127" s="3511"/>
      <c r="G127" s="3511"/>
      <c r="H127" s="3512"/>
    </row>
    <row r="128" spans="1:8" ht="13.5" thickBot="1">
      <c r="A128" s="1906" t="s">
        <v>4940</v>
      </c>
      <c r="B128" s="1907">
        <f>B116+B122+B127</f>
        <v>14297513.49</v>
      </c>
      <c r="C128" s="1907">
        <f t="shared" ref="C128:H128" si="30">C116+C122+C127</f>
        <v>14297513.49</v>
      </c>
      <c r="D128" s="1907">
        <f t="shared" si="30"/>
        <v>14297513.49</v>
      </c>
      <c r="E128" s="1907">
        <f t="shared" si="30"/>
        <v>14297513.49</v>
      </c>
      <c r="F128" s="1907">
        <f t="shared" si="30"/>
        <v>14297513.489999998</v>
      </c>
      <c r="G128" s="1907">
        <f t="shared" si="30"/>
        <v>14297513.489999998</v>
      </c>
      <c r="H128" s="1908">
        <f t="shared" si="30"/>
        <v>14297513.489999998</v>
      </c>
    </row>
    <row r="130" spans="1:8">
      <c r="A130" s="395" t="s">
        <v>4941</v>
      </c>
      <c r="B130" s="1002">
        <v>146924</v>
      </c>
      <c r="C130" s="1002">
        <v>133532</v>
      </c>
      <c r="D130" s="1002">
        <v>120257</v>
      </c>
      <c r="E130" s="1002">
        <v>98192</v>
      </c>
      <c r="F130" s="1002">
        <v>82233</v>
      </c>
      <c r="G130" s="1002">
        <v>72003</v>
      </c>
      <c r="H130" s="1002">
        <v>61596</v>
      </c>
    </row>
    <row r="131" spans="1:8">
      <c r="B131" s="1002">
        <v>107298.39</v>
      </c>
      <c r="C131" s="1002">
        <v>100214.04</v>
      </c>
      <c r="D131" s="1002">
        <v>93157.99</v>
      </c>
      <c r="E131" s="1002">
        <v>85857.48</v>
      </c>
      <c r="F131" s="1002">
        <v>78304.05</v>
      </c>
      <c r="G131" s="1002">
        <v>70488.929999999993</v>
      </c>
      <c r="H131" s="1002">
        <v>62403.040000000001</v>
      </c>
    </row>
    <row r="133" spans="1:8" ht="15.75">
      <c r="A133" s="1841" t="s">
        <v>7059</v>
      </c>
      <c r="B133" s="1148"/>
    </row>
    <row r="134" spans="1:8" ht="13.5" thickBot="1"/>
    <row r="135" spans="1:8" ht="13.5" thickBot="1">
      <c r="A135" s="1731" t="s">
        <v>4928</v>
      </c>
      <c r="B135" s="1904">
        <v>2019</v>
      </c>
      <c r="C135" s="1904">
        <v>2020</v>
      </c>
      <c r="D135" s="1904">
        <v>2021</v>
      </c>
      <c r="E135" s="1904">
        <v>2022</v>
      </c>
      <c r="F135" s="1904">
        <v>2023</v>
      </c>
      <c r="G135" s="1904">
        <v>2024</v>
      </c>
      <c r="H135" s="1905">
        <v>2025</v>
      </c>
    </row>
    <row r="136" spans="1:8">
      <c r="A136" s="3507" t="s">
        <v>4929</v>
      </c>
      <c r="B136" s="3508">
        <f t="shared" ref="B136:H136" si="31">SUM(B137:B141)</f>
        <v>2009582.5500000003</v>
      </c>
      <c r="C136" s="3508">
        <f t="shared" si="31"/>
        <v>2009299.54</v>
      </c>
      <c r="D136" s="3508">
        <f t="shared" si="31"/>
        <v>2010937.59</v>
      </c>
      <c r="E136" s="3508">
        <f t="shared" si="31"/>
        <v>2010912.86</v>
      </c>
      <c r="F136" s="3508">
        <f t="shared" si="31"/>
        <v>2009936.82</v>
      </c>
      <c r="G136" s="3508">
        <f t="shared" si="31"/>
        <v>2008955.4600000002</v>
      </c>
      <c r="H136" s="3509">
        <f t="shared" si="31"/>
        <v>2007968.7300000002</v>
      </c>
    </row>
    <row r="137" spans="1:8">
      <c r="A137" s="1152" t="s">
        <v>4930</v>
      </c>
      <c r="B137" s="1153">
        <f>2009865.07+178262.09</f>
        <v>2188127.16</v>
      </c>
      <c r="C137" s="1153">
        <f t="shared" ref="C137:H137" si="32">B148</f>
        <v>2188127.16</v>
      </c>
      <c r="D137" s="1153">
        <f t="shared" si="32"/>
        <v>2188127.16</v>
      </c>
      <c r="E137" s="1153">
        <f t="shared" si="32"/>
        <v>2188127.16</v>
      </c>
      <c r="F137" s="1153">
        <f t="shared" si="32"/>
        <v>2188127.16</v>
      </c>
      <c r="G137" s="1153">
        <f t="shared" si="32"/>
        <v>2188127.16</v>
      </c>
      <c r="H137" s="1154">
        <f t="shared" si="32"/>
        <v>2188127.16</v>
      </c>
    </row>
    <row r="138" spans="1:8">
      <c r="A138" s="1152" t="s">
        <v>4931</v>
      </c>
      <c r="B138" s="1153"/>
      <c r="C138" s="1153"/>
      <c r="D138" s="1153"/>
      <c r="E138" s="1153"/>
      <c r="F138" s="1153"/>
      <c r="G138" s="1153"/>
      <c r="H138" s="1154"/>
    </row>
    <row r="139" spans="1:8">
      <c r="A139" s="1152" t="s">
        <v>4932</v>
      </c>
      <c r="B139" s="1153"/>
      <c r="C139" s="1153"/>
      <c r="D139" s="1153"/>
      <c r="E139" s="1153"/>
      <c r="F139" s="1153"/>
      <c r="G139" s="1153"/>
      <c r="H139" s="1154"/>
    </row>
    <row r="140" spans="1:8">
      <c r="A140" s="1152" t="s">
        <v>4933</v>
      </c>
      <c r="B140" s="1153">
        <f t="shared" ref="B140:G140" si="33">C144</f>
        <v>-178544.61</v>
      </c>
      <c r="C140" s="1153">
        <f t="shared" si="33"/>
        <v>-178827.62</v>
      </c>
      <c r="D140" s="1153">
        <f t="shared" si="33"/>
        <v>-177189.57</v>
      </c>
      <c r="E140" s="1153">
        <f t="shared" si="33"/>
        <v>-177214.3</v>
      </c>
      <c r="F140" s="1153">
        <f t="shared" si="33"/>
        <v>-178190.34</v>
      </c>
      <c r="G140" s="1153">
        <f t="shared" si="33"/>
        <v>-179171.7</v>
      </c>
      <c r="H140" s="1154">
        <f>-180158.43</f>
        <v>-180158.43</v>
      </c>
    </row>
    <row r="141" spans="1:8">
      <c r="A141" s="1152" t="s">
        <v>4934</v>
      </c>
      <c r="B141" s="1153"/>
      <c r="C141" s="1153"/>
      <c r="D141" s="1153"/>
      <c r="E141" s="1153"/>
      <c r="F141" s="1153"/>
      <c r="G141" s="1153"/>
      <c r="H141" s="1154"/>
    </row>
    <row r="142" spans="1:8">
      <c r="A142" s="1149" t="s">
        <v>4935</v>
      </c>
      <c r="B142" s="1150">
        <f t="shared" ref="B142:H142" si="34">SUM(B143:B146)</f>
        <v>178544.61</v>
      </c>
      <c r="C142" s="1150">
        <f t="shared" si="34"/>
        <v>178827.62</v>
      </c>
      <c r="D142" s="1150">
        <f t="shared" si="34"/>
        <v>177189.57</v>
      </c>
      <c r="E142" s="1150">
        <f t="shared" si="34"/>
        <v>177214.3</v>
      </c>
      <c r="F142" s="1150">
        <f t="shared" si="34"/>
        <v>178190.34</v>
      </c>
      <c r="G142" s="1150">
        <f t="shared" si="34"/>
        <v>179171.7</v>
      </c>
      <c r="H142" s="1151">
        <f t="shared" si="34"/>
        <v>180158.43</v>
      </c>
    </row>
    <row r="143" spans="1:8">
      <c r="A143" s="1152" t="s">
        <v>4930</v>
      </c>
      <c r="B143" s="1153">
        <f>-B144</f>
        <v>178262.09</v>
      </c>
      <c r="C143" s="1153">
        <f t="shared" ref="C143:H143" si="35">-C144</f>
        <v>178544.61</v>
      </c>
      <c r="D143" s="1153">
        <f t="shared" si="35"/>
        <v>178827.62</v>
      </c>
      <c r="E143" s="1153">
        <f t="shared" si="35"/>
        <v>177189.57</v>
      </c>
      <c r="F143" s="1153">
        <f t="shared" si="35"/>
        <v>177214.3</v>
      </c>
      <c r="G143" s="1153">
        <f t="shared" si="35"/>
        <v>178190.34</v>
      </c>
      <c r="H143" s="1154">
        <f t="shared" si="35"/>
        <v>179171.7</v>
      </c>
    </row>
    <row r="144" spans="1:8">
      <c r="A144" s="1152" t="s">
        <v>4936</v>
      </c>
      <c r="B144" s="1153">
        <v>-178262.09</v>
      </c>
      <c r="C144" s="1153">
        <v>-178544.61</v>
      </c>
      <c r="D144" s="1153">
        <v>-178827.62</v>
      </c>
      <c r="E144" s="1153">
        <v>-177189.57</v>
      </c>
      <c r="F144" s="1153">
        <v>-177214.3</v>
      </c>
      <c r="G144" s="1153">
        <v>-178190.34</v>
      </c>
      <c r="H144" s="1154">
        <v>-179171.7</v>
      </c>
    </row>
    <row r="145" spans="1:8">
      <c r="A145" s="1152" t="s">
        <v>4937</v>
      </c>
      <c r="B145" s="1153">
        <f>-B140</f>
        <v>178544.61</v>
      </c>
      <c r="C145" s="1153">
        <f t="shared" ref="C145:H145" si="36">-C140</f>
        <v>178827.62</v>
      </c>
      <c r="D145" s="1153">
        <f t="shared" si="36"/>
        <v>177189.57</v>
      </c>
      <c r="E145" s="1153">
        <f t="shared" si="36"/>
        <v>177214.3</v>
      </c>
      <c r="F145" s="1153">
        <f t="shared" si="36"/>
        <v>178190.34</v>
      </c>
      <c r="G145" s="1153">
        <f t="shared" si="36"/>
        <v>179171.7</v>
      </c>
      <c r="H145" s="1154">
        <f t="shared" si="36"/>
        <v>180158.43</v>
      </c>
    </row>
    <row r="146" spans="1:8">
      <c r="A146" s="1152" t="s">
        <v>4938</v>
      </c>
      <c r="B146" s="1153"/>
      <c r="C146" s="1153"/>
      <c r="D146" s="1153"/>
      <c r="E146" s="1153"/>
      <c r="F146" s="1153"/>
      <c r="G146" s="1153"/>
      <c r="H146" s="1154"/>
    </row>
    <row r="147" spans="1:8" ht="13.5" thickBot="1">
      <c r="A147" s="3510" t="s">
        <v>4939</v>
      </c>
      <c r="B147" s="3511"/>
      <c r="C147" s="3511"/>
      <c r="D147" s="3511"/>
      <c r="E147" s="3511"/>
      <c r="F147" s="3511"/>
      <c r="G147" s="3511"/>
      <c r="H147" s="3512"/>
    </row>
    <row r="148" spans="1:8" ht="13.5" thickBot="1">
      <c r="A148" s="1906" t="s">
        <v>4940</v>
      </c>
      <c r="B148" s="1907">
        <f>B136+B142+B147</f>
        <v>2188127.16</v>
      </c>
      <c r="C148" s="1907">
        <f t="shared" ref="C148:H148" si="37">C136+C142+C147</f>
        <v>2188127.16</v>
      </c>
      <c r="D148" s="1907">
        <f t="shared" si="37"/>
        <v>2188127.16</v>
      </c>
      <c r="E148" s="1907">
        <f t="shared" si="37"/>
        <v>2188127.16</v>
      </c>
      <c r="F148" s="1907">
        <f t="shared" si="37"/>
        <v>2188127.16</v>
      </c>
      <c r="G148" s="1907">
        <f t="shared" si="37"/>
        <v>2188127.16</v>
      </c>
      <c r="H148" s="1907">
        <f t="shared" si="37"/>
        <v>2188127.16</v>
      </c>
    </row>
    <row r="150" spans="1:8">
      <c r="A150" s="395" t="s">
        <v>4941</v>
      </c>
      <c r="B150" s="1002">
        <v>3539.79</v>
      </c>
      <c r="C150" s="1002">
        <v>3257.27</v>
      </c>
      <c r="D150" s="1002">
        <v>2974.26</v>
      </c>
      <c r="E150" s="1002">
        <v>6290.49</v>
      </c>
      <c r="F150" s="1002">
        <v>7870.84</v>
      </c>
      <c r="G150" s="1002">
        <v>6894.8</v>
      </c>
      <c r="H150" s="1002">
        <v>5913.44</v>
      </c>
    </row>
    <row r="152" spans="1:8" ht="15.75">
      <c r="A152" s="1841" t="s">
        <v>7060</v>
      </c>
      <c r="B152" s="1148"/>
    </row>
    <row r="153" spans="1:8" ht="13.5" thickBot="1"/>
    <row r="154" spans="1:8" ht="13.5" thickBot="1">
      <c r="A154" s="1731" t="s">
        <v>4928</v>
      </c>
      <c r="B154" s="1904">
        <v>2019</v>
      </c>
      <c r="C154" s="1904">
        <v>2020</v>
      </c>
      <c r="D154" s="1904">
        <v>2021</v>
      </c>
      <c r="E154" s="1904">
        <v>2022</v>
      </c>
      <c r="F154" s="1904">
        <v>2023</v>
      </c>
      <c r="G154" s="1904">
        <v>2024</v>
      </c>
      <c r="H154" s="1905">
        <v>2025</v>
      </c>
    </row>
    <row r="155" spans="1:8">
      <c r="A155" s="3507" t="s">
        <v>4929</v>
      </c>
      <c r="B155" s="3508">
        <v>0</v>
      </c>
      <c r="C155" s="3508">
        <f>SUM(C156:C160)</f>
        <v>68509</v>
      </c>
      <c r="D155" s="3508">
        <f>SUM(D156:D160)</f>
        <v>12194419</v>
      </c>
      <c r="E155" s="3508">
        <f>SUM(E156:E160)</f>
        <v>12017079</v>
      </c>
      <c r="F155" s="3508">
        <f>SUM(F156:F160)</f>
        <v>17186739</v>
      </c>
      <c r="G155" s="3508">
        <f>SUM(G156:G160)</f>
        <v>21867809</v>
      </c>
      <c r="H155" s="3509">
        <f>SUM(H156:H159)</f>
        <v>26367809</v>
      </c>
    </row>
    <row r="156" spans="1:8">
      <c r="A156" s="1152" t="s">
        <v>4930</v>
      </c>
      <c r="B156" s="1153"/>
      <c r="C156" s="1153"/>
      <c r="D156" s="1153">
        <f>C167</f>
        <v>912909</v>
      </c>
      <c r="E156" s="1153">
        <f>D167</f>
        <v>13112909</v>
      </c>
      <c r="F156" s="1153">
        <f>E167</f>
        <v>13112909</v>
      </c>
      <c r="G156" s="1153">
        <f>F167</f>
        <v>18612909</v>
      </c>
      <c r="H156" s="1154">
        <f>G167</f>
        <v>23612909</v>
      </c>
    </row>
    <row r="157" spans="1:8">
      <c r="A157" s="1152" t="s">
        <v>4931</v>
      </c>
      <c r="B157" s="1153"/>
      <c r="C157" s="3521">
        <v>912909</v>
      </c>
      <c r="D157" s="3521">
        <v>12200000</v>
      </c>
      <c r="E157" s="3521"/>
      <c r="F157" s="3521">
        <v>5500000</v>
      </c>
      <c r="G157" s="3521">
        <v>5000000</v>
      </c>
      <c r="H157" s="3522">
        <v>4500000</v>
      </c>
    </row>
    <row r="158" spans="1:8">
      <c r="A158" s="1152" t="s">
        <v>4932</v>
      </c>
      <c r="B158" s="1153"/>
      <c r="C158" s="1153"/>
      <c r="D158" s="1153"/>
      <c r="E158" s="1153"/>
      <c r="F158" s="1153"/>
      <c r="G158" s="1153"/>
      <c r="H158" s="1154"/>
    </row>
    <row r="159" spans="1:8">
      <c r="A159" s="1152" t="s">
        <v>4933</v>
      </c>
      <c r="B159" s="1153"/>
      <c r="C159" s="1153">
        <f t="shared" ref="C159:H159" si="38">D163</f>
        <v>-844400</v>
      </c>
      <c r="D159" s="1153">
        <f t="shared" si="38"/>
        <v>-918490</v>
      </c>
      <c r="E159" s="1153">
        <f t="shared" si="38"/>
        <v>-1095830</v>
      </c>
      <c r="F159" s="1153">
        <f t="shared" si="38"/>
        <v>-1426170</v>
      </c>
      <c r="G159" s="1153">
        <f t="shared" si="38"/>
        <v>-1745100</v>
      </c>
      <c r="H159" s="1154">
        <f t="shared" si="38"/>
        <v>-1745100</v>
      </c>
    </row>
    <row r="160" spans="1:8">
      <c r="A160" s="1152" t="s">
        <v>4934</v>
      </c>
      <c r="B160" s="1153"/>
      <c r="C160" s="1153"/>
      <c r="D160" s="1153"/>
      <c r="E160" s="1153"/>
      <c r="F160" s="1153"/>
      <c r="G160" s="1153"/>
      <c r="H160" s="1154"/>
    </row>
    <row r="161" spans="1:14">
      <c r="A161" s="1149" t="s">
        <v>4935</v>
      </c>
      <c r="B161" s="1150">
        <f t="shared" ref="B161:H161" si="39">SUM(B162:B165)</f>
        <v>0</v>
      </c>
      <c r="C161" s="1150">
        <f t="shared" si="39"/>
        <v>844400</v>
      </c>
      <c r="D161" s="1150">
        <f t="shared" si="39"/>
        <v>918490</v>
      </c>
      <c r="E161" s="1150">
        <f t="shared" si="39"/>
        <v>1095830</v>
      </c>
      <c r="F161" s="1150">
        <f t="shared" si="39"/>
        <v>1426170</v>
      </c>
      <c r="G161" s="1150">
        <f t="shared" si="39"/>
        <v>1745100</v>
      </c>
      <c r="H161" s="1151">
        <f t="shared" si="39"/>
        <v>1745100</v>
      </c>
    </row>
    <row r="162" spans="1:14">
      <c r="A162" s="1152" t="s">
        <v>4930</v>
      </c>
      <c r="B162" s="1153"/>
      <c r="C162" s="1153">
        <f t="shared" ref="C162:H162" si="40">-C163</f>
        <v>772310</v>
      </c>
      <c r="D162" s="1153">
        <f t="shared" si="40"/>
        <v>844400</v>
      </c>
      <c r="E162" s="1153">
        <f t="shared" si="40"/>
        <v>918490</v>
      </c>
      <c r="F162" s="1153">
        <f t="shared" si="40"/>
        <v>1095830</v>
      </c>
      <c r="G162" s="1153">
        <f t="shared" si="40"/>
        <v>1426170</v>
      </c>
      <c r="H162" s="1154">
        <f t="shared" si="40"/>
        <v>1745100</v>
      </c>
    </row>
    <row r="163" spans="1:14">
      <c r="A163" s="1152" t="s">
        <v>4936</v>
      </c>
      <c r="B163" s="1153"/>
      <c r="C163" s="3529">
        <v>-772310</v>
      </c>
      <c r="D163" s="3521">
        <v>-844400</v>
      </c>
      <c r="E163" s="3521">
        <v>-918490</v>
      </c>
      <c r="F163" s="3521">
        <v>-1095830</v>
      </c>
      <c r="G163" s="3521">
        <v>-1426170</v>
      </c>
      <c r="H163" s="3522">
        <v>-1745100</v>
      </c>
      <c r="I163" s="395">
        <v>-1745100</v>
      </c>
    </row>
    <row r="164" spans="1:14">
      <c r="A164" s="1152" t="s">
        <v>4937</v>
      </c>
      <c r="B164" s="1153"/>
      <c r="C164" s="1153">
        <f t="shared" ref="C164:H164" si="41">-C159</f>
        <v>844400</v>
      </c>
      <c r="D164" s="1153">
        <f t="shared" si="41"/>
        <v>918490</v>
      </c>
      <c r="E164" s="1153">
        <f t="shared" si="41"/>
        <v>1095830</v>
      </c>
      <c r="F164" s="1153">
        <f t="shared" si="41"/>
        <v>1426170</v>
      </c>
      <c r="G164" s="1153">
        <f t="shared" si="41"/>
        <v>1745100</v>
      </c>
      <c r="H164" s="1154">
        <f t="shared" si="41"/>
        <v>1745100</v>
      </c>
    </row>
    <row r="165" spans="1:14">
      <c r="A165" s="1152" t="s">
        <v>4938</v>
      </c>
      <c r="B165" s="1153"/>
      <c r="C165" s="1153"/>
      <c r="D165" s="1153"/>
      <c r="E165" s="1153"/>
      <c r="F165" s="1153"/>
      <c r="G165" s="1153"/>
      <c r="H165" s="1154"/>
    </row>
    <row r="166" spans="1:14" ht="13.5" thickBot="1">
      <c r="A166" s="3510" t="s">
        <v>4939</v>
      </c>
      <c r="B166" s="3511"/>
      <c r="C166" s="3511"/>
      <c r="D166" s="3511"/>
      <c r="E166" s="3511"/>
      <c r="F166" s="3511"/>
      <c r="G166" s="3511"/>
      <c r="H166" s="3512"/>
    </row>
    <row r="167" spans="1:14" ht="13.5" thickBot="1">
      <c r="A167" s="1906" t="s">
        <v>4940</v>
      </c>
      <c r="B167" s="1907">
        <f t="shared" ref="B167:H167" si="42">B155+B161+B166</f>
        <v>0</v>
      </c>
      <c r="C167" s="1907">
        <f t="shared" si="42"/>
        <v>912909</v>
      </c>
      <c r="D167" s="1907">
        <f t="shared" si="42"/>
        <v>13112909</v>
      </c>
      <c r="E167" s="1907">
        <f t="shared" si="42"/>
        <v>13112909</v>
      </c>
      <c r="F167" s="1907">
        <f t="shared" si="42"/>
        <v>18612909</v>
      </c>
      <c r="G167" s="1907">
        <f t="shared" si="42"/>
        <v>23612909</v>
      </c>
      <c r="H167" s="1907">
        <f t="shared" si="42"/>
        <v>28112909</v>
      </c>
    </row>
    <row r="169" spans="1:14">
      <c r="A169" s="395" t="s">
        <v>4941</v>
      </c>
      <c r="B169" s="1002"/>
      <c r="C169" s="3528">
        <v>14072</v>
      </c>
      <c r="D169" s="3528">
        <v>171798</v>
      </c>
      <c r="E169" s="3528">
        <v>173806</v>
      </c>
      <c r="F169" s="3528">
        <v>197432</v>
      </c>
      <c r="G169" s="3528">
        <v>251021</v>
      </c>
      <c r="H169" s="3528">
        <v>293898</v>
      </c>
    </row>
    <row r="170" spans="1:14">
      <c r="B170" s="1002"/>
      <c r="C170" s="1002"/>
      <c r="D170" s="1002"/>
      <c r="E170" s="1002"/>
      <c r="F170" s="1002"/>
      <c r="G170" s="1002"/>
      <c r="H170" s="1002"/>
      <c r="I170" s="1002"/>
      <c r="J170" s="1002"/>
    </row>
    <row r="171" spans="1:14" ht="15.75">
      <c r="A171" s="1841" t="s">
        <v>7061</v>
      </c>
      <c r="B171" s="1148"/>
    </row>
    <row r="172" spans="1:14" ht="13.5" thickBot="1"/>
    <row r="173" spans="1:14" ht="13.5" thickBot="1">
      <c r="A173" s="1910" t="s">
        <v>4928</v>
      </c>
      <c r="B173" s="1900">
        <v>2019</v>
      </c>
      <c r="C173" s="1900">
        <v>2020</v>
      </c>
      <c r="D173" s="1911">
        <v>2021</v>
      </c>
      <c r="E173" s="1900">
        <v>2022</v>
      </c>
      <c r="F173" s="1900">
        <v>2023</v>
      </c>
      <c r="G173" s="1900">
        <v>2024</v>
      </c>
      <c r="H173" s="1912">
        <v>2025</v>
      </c>
    </row>
    <row r="174" spans="1:14">
      <c r="A174" s="1156" t="s">
        <v>4929</v>
      </c>
      <c r="B174" s="1157">
        <f t="shared" ref="B174:H174" si="43">SUM(B175:B179)</f>
        <v>-60395</v>
      </c>
      <c r="C174" s="1157">
        <f t="shared" si="43"/>
        <v>1650808.9699999997</v>
      </c>
      <c r="D174" s="1158">
        <f t="shared" si="43"/>
        <v>1590413.9699999997</v>
      </c>
      <c r="E174" s="1157">
        <f t="shared" si="43"/>
        <v>1530018.9699999997</v>
      </c>
      <c r="F174" s="1157">
        <f t="shared" si="43"/>
        <v>1469623.5399999998</v>
      </c>
      <c r="G174" s="1157">
        <f t="shared" si="43"/>
        <v>1409228.1099999999</v>
      </c>
      <c r="H174" s="1159">
        <f t="shared" si="43"/>
        <v>1348832.68</v>
      </c>
      <c r="N174" s="1549"/>
    </row>
    <row r="175" spans="1:14">
      <c r="A175" s="1160" t="s">
        <v>4930</v>
      </c>
      <c r="B175" s="1147"/>
      <c r="C175" s="3523">
        <f>3609896.82-1959088.28+60395.43</f>
        <v>1711203.9699999997</v>
      </c>
      <c r="D175" s="1161">
        <f>C174</f>
        <v>1650808.9699999997</v>
      </c>
      <c r="E175" s="1147">
        <f>D174</f>
        <v>1590413.9699999997</v>
      </c>
      <c r="F175" s="1147">
        <f>E174</f>
        <v>1530018.9699999997</v>
      </c>
      <c r="G175" s="1147">
        <f>F174</f>
        <v>1469623.5399999998</v>
      </c>
      <c r="H175" s="1162">
        <f>G174</f>
        <v>1409228.1099999999</v>
      </c>
    </row>
    <row r="176" spans="1:14">
      <c r="A176" s="1160" t="s">
        <v>4931</v>
      </c>
      <c r="B176" s="1147"/>
      <c r="C176" s="1147"/>
      <c r="D176" s="1161"/>
      <c r="E176" s="1147"/>
      <c r="F176" s="1147"/>
      <c r="G176" s="1147"/>
      <c r="H176" s="1162"/>
    </row>
    <row r="177" spans="1:15">
      <c r="A177" s="1160" t="s">
        <v>4932</v>
      </c>
      <c r="B177" s="1147"/>
      <c r="C177" s="1147"/>
      <c r="D177" s="1161"/>
      <c r="E177" s="1147"/>
      <c r="F177" s="1147"/>
      <c r="G177" s="1147"/>
      <c r="H177" s="1162"/>
    </row>
    <row r="178" spans="1:15">
      <c r="A178" s="1160" t="s">
        <v>4933</v>
      </c>
      <c r="B178" s="1147">
        <f t="shared" ref="B178:G178" si="44">C182</f>
        <v>-60395</v>
      </c>
      <c r="C178" s="1147">
        <f t="shared" si="44"/>
        <v>-60395</v>
      </c>
      <c r="D178" s="1147">
        <f t="shared" si="44"/>
        <v>-60395</v>
      </c>
      <c r="E178" s="1147">
        <f t="shared" si="44"/>
        <v>-60395</v>
      </c>
      <c r="F178" s="1147">
        <f t="shared" si="44"/>
        <v>-60395.43</v>
      </c>
      <c r="G178" s="1147">
        <f t="shared" si="44"/>
        <v>-60395.43</v>
      </c>
      <c r="H178" s="1147">
        <v>-60395.43</v>
      </c>
    </row>
    <row r="179" spans="1:15">
      <c r="A179" s="1160" t="s">
        <v>4934</v>
      </c>
      <c r="B179" s="1147"/>
      <c r="C179" s="1147"/>
      <c r="D179" s="1161"/>
      <c r="E179" s="1147"/>
      <c r="F179" s="1147"/>
      <c r="G179" s="1147"/>
      <c r="H179" s="1162"/>
    </row>
    <row r="180" spans="1:15">
      <c r="A180" s="1156" t="s">
        <v>4935</v>
      </c>
      <c r="B180" s="1145">
        <f t="shared" ref="B180:H180" si="45">SUM(B181:B184)</f>
        <v>60395</v>
      </c>
      <c r="C180" s="1145">
        <f t="shared" si="45"/>
        <v>60395</v>
      </c>
      <c r="D180" s="1163">
        <f t="shared" si="45"/>
        <v>60395</v>
      </c>
      <c r="E180" s="1145">
        <f t="shared" si="45"/>
        <v>60395</v>
      </c>
      <c r="F180" s="1145">
        <f t="shared" si="45"/>
        <v>60395.43</v>
      </c>
      <c r="G180" s="1145">
        <f t="shared" si="45"/>
        <v>60395.43</v>
      </c>
      <c r="H180" s="1164">
        <f t="shared" si="45"/>
        <v>60395.43</v>
      </c>
    </row>
    <row r="181" spans="1:15">
      <c r="A181" s="1160" t="s">
        <v>4930</v>
      </c>
      <c r="B181" s="1147">
        <f t="shared" ref="B181:H181" si="46">-B182</f>
        <v>1898692.85</v>
      </c>
      <c r="C181" s="1147">
        <f t="shared" si="46"/>
        <v>60395</v>
      </c>
      <c r="D181" s="1147">
        <f t="shared" si="46"/>
        <v>60395</v>
      </c>
      <c r="E181" s="1147">
        <f t="shared" si="46"/>
        <v>60395</v>
      </c>
      <c r="F181" s="1147">
        <f t="shared" si="46"/>
        <v>60395</v>
      </c>
      <c r="G181" s="1147">
        <f t="shared" si="46"/>
        <v>60395.43</v>
      </c>
      <c r="H181" s="1147">
        <f t="shared" si="46"/>
        <v>60395.43</v>
      </c>
    </row>
    <row r="182" spans="1:15">
      <c r="A182" s="1160" t="s">
        <v>4936</v>
      </c>
      <c r="B182" s="1147">
        <f>-1959088.28+60395.43</f>
        <v>-1898692.85</v>
      </c>
      <c r="C182" s="1147">
        <v>-60395</v>
      </c>
      <c r="D182" s="1161">
        <v>-60395</v>
      </c>
      <c r="E182" s="1147">
        <v>-60395</v>
      </c>
      <c r="F182" s="1147">
        <v>-60395</v>
      </c>
      <c r="G182" s="1147">
        <v>-60395.43</v>
      </c>
      <c r="H182" s="1162">
        <v>-60395.43</v>
      </c>
    </row>
    <row r="183" spans="1:15">
      <c r="A183" s="1160" t="s">
        <v>4937</v>
      </c>
      <c r="B183" s="1147">
        <f>-B178</f>
        <v>60395</v>
      </c>
      <c r="C183" s="1147">
        <f t="shared" ref="C183:H183" si="47">-C178</f>
        <v>60395</v>
      </c>
      <c r="D183" s="1147">
        <f t="shared" si="47"/>
        <v>60395</v>
      </c>
      <c r="E183" s="1147">
        <f t="shared" si="47"/>
        <v>60395</v>
      </c>
      <c r="F183" s="1147">
        <f t="shared" si="47"/>
        <v>60395.43</v>
      </c>
      <c r="G183" s="1147">
        <f t="shared" si="47"/>
        <v>60395.43</v>
      </c>
      <c r="H183" s="1147">
        <f t="shared" si="47"/>
        <v>60395.43</v>
      </c>
    </row>
    <row r="184" spans="1:15">
      <c r="A184" s="1160" t="s">
        <v>4938</v>
      </c>
      <c r="B184" s="1147"/>
      <c r="C184" s="1147"/>
      <c r="D184" s="1161"/>
      <c r="E184" s="1147"/>
      <c r="F184" s="1147"/>
      <c r="G184" s="1147"/>
      <c r="H184" s="1162"/>
    </row>
    <row r="185" spans="1:15" ht="13.5" thickBot="1">
      <c r="A185" s="1156" t="s">
        <v>4939</v>
      </c>
      <c r="B185" s="1165"/>
      <c r="C185" s="1165"/>
      <c r="D185" s="1166"/>
      <c r="E185" s="1165"/>
      <c r="F185" s="1165"/>
      <c r="G185" s="1165"/>
      <c r="H185" s="1167"/>
    </row>
    <row r="186" spans="1:15" ht="13.5" thickBot="1">
      <c r="A186" s="1921" t="s">
        <v>4940</v>
      </c>
      <c r="B186" s="1902">
        <f t="shared" ref="B186:H186" si="48">B174+B180+B185</f>
        <v>0</v>
      </c>
      <c r="C186" s="1902">
        <f t="shared" si="48"/>
        <v>1711203.9699999997</v>
      </c>
      <c r="D186" s="1902">
        <f t="shared" si="48"/>
        <v>1650808.9699999997</v>
      </c>
      <c r="E186" s="1902">
        <f t="shared" si="48"/>
        <v>1590413.9699999997</v>
      </c>
      <c r="F186" s="1902">
        <f t="shared" si="48"/>
        <v>1530018.9699999997</v>
      </c>
      <c r="G186" s="1902">
        <f t="shared" si="48"/>
        <v>1469623.5399999998</v>
      </c>
      <c r="H186" s="1902">
        <f t="shared" si="48"/>
        <v>1409228.1099999999</v>
      </c>
    </row>
    <row r="189" spans="1:15">
      <c r="A189" s="1192" t="s">
        <v>4942</v>
      </c>
      <c r="B189" s="1192"/>
      <c r="C189" s="1192"/>
      <c r="D189" s="1192"/>
      <c r="E189" s="1192"/>
      <c r="F189" s="1192"/>
      <c r="G189" s="1192"/>
      <c r="H189" s="1193"/>
      <c r="I189" s="1193"/>
      <c r="J189" s="1193"/>
      <c r="K189" s="1184"/>
      <c r="L189" s="1184"/>
      <c r="M189" s="1184"/>
      <c r="N189" s="1184"/>
      <c r="O189" s="1184"/>
    </row>
    <row r="190" spans="1:15">
      <c r="A190" s="1184"/>
      <c r="B190" s="1194"/>
      <c r="C190" s="1184"/>
      <c r="D190" s="1184"/>
      <c r="E190" s="1184"/>
      <c r="F190" s="1184"/>
      <c r="G190" s="1184"/>
      <c r="H190" s="1184"/>
      <c r="I190" s="1184"/>
      <c r="J190" s="1184"/>
      <c r="K190" s="1184"/>
      <c r="L190" s="1184"/>
      <c r="M190" s="1184"/>
      <c r="N190" s="1184"/>
      <c r="O190" s="1184"/>
    </row>
    <row r="191" spans="1:15">
      <c r="A191" s="1182"/>
      <c r="B191" s="1195"/>
      <c r="C191" s="1184"/>
      <c r="D191" s="1184"/>
      <c r="E191" s="1184"/>
      <c r="F191" s="1184"/>
      <c r="G191" s="1184"/>
      <c r="H191" s="1184"/>
      <c r="I191" s="1184"/>
      <c r="J191" s="1184"/>
      <c r="K191" s="1184"/>
      <c r="L191" s="1184"/>
      <c r="M191" s="1184"/>
      <c r="N191" s="1184"/>
      <c r="O191" s="1184"/>
    </row>
    <row r="192" spans="1:15" ht="13.5" thickBot="1">
      <c r="A192" s="1182"/>
      <c r="B192" s="1195"/>
      <c r="C192" s="1184"/>
      <c r="D192" s="1184"/>
      <c r="E192" s="1184"/>
      <c r="F192" s="1184"/>
      <c r="G192" s="1184"/>
      <c r="H192" s="1184"/>
      <c r="I192" s="1184"/>
      <c r="J192" s="1196"/>
      <c r="K192" s="1184"/>
      <c r="L192" s="1184"/>
      <c r="M192" s="1184"/>
      <c r="N192" s="1184"/>
      <c r="O192" s="1184"/>
    </row>
    <row r="193" spans="1:15" ht="64.5" thickBot="1">
      <c r="A193" s="1913" t="s">
        <v>4943</v>
      </c>
      <c r="B193" s="1914"/>
      <c r="C193" s="1915" t="s">
        <v>4944</v>
      </c>
      <c r="D193" s="1916"/>
      <c r="E193" s="1916"/>
      <c r="F193" s="1917">
        <v>2020</v>
      </c>
      <c r="G193" s="1917">
        <v>2021</v>
      </c>
      <c r="H193" s="1917">
        <v>2022</v>
      </c>
      <c r="I193" s="1917">
        <v>2023</v>
      </c>
      <c r="J193" s="1917">
        <v>2024</v>
      </c>
      <c r="K193" s="1918">
        <v>2025</v>
      </c>
    </row>
    <row r="194" spans="1:15">
      <c r="A194" s="1168" t="s">
        <v>4945</v>
      </c>
      <c r="B194" s="1199" t="s">
        <v>4946</v>
      </c>
      <c r="C194" s="1169"/>
      <c r="D194" s="1894"/>
      <c r="E194" s="1894"/>
      <c r="F194" s="1170">
        <f t="shared" ref="F194:K194" si="49">F195-F196</f>
        <v>3826707</v>
      </c>
      <c r="G194" s="1170">
        <f t="shared" si="49"/>
        <v>3953398</v>
      </c>
      <c r="H194" s="1170">
        <f t="shared" si="49"/>
        <v>4194087</v>
      </c>
      <c r="I194" s="1170">
        <f t="shared" si="49"/>
        <v>4150265</v>
      </c>
      <c r="J194" s="1170">
        <f t="shared" si="49"/>
        <v>3940939</v>
      </c>
      <c r="K194" s="1170">
        <f t="shared" si="49"/>
        <v>3776812</v>
      </c>
    </row>
    <row r="195" spans="1:15">
      <c r="A195" s="1200" t="s">
        <v>4947</v>
      </c>
      <c r="B195" s="1199"/>
      <c r="C195" s="4909" t="s">
        <v>4948</v>
      </c>
      <c r="D195" s="4910"/>
      <c r="E195" s="4911"/>
      <c r="F195" s="1172">
        <v>37214874</v>
      </c>
      <c r="G195" s="1172">
        <v>38188254</v>
      </c>
      <c r="H195" s="1172">
        <v>38967144</v>
      </c>
      <c r="I195" s="1172">
        <v>40035251</v>
      </c>
      <c r="J195" s="1172">
        <v>41039704</v>
      </c>
      <c r="K195" s="1173">
        <v>41917014</v>
      </c>
    </row>
    <row r="196" spans="1:15">
      <c r="A196" s="1200" t="s">
        <v>4949</v>
      </c>
      <c r="B196" s="1199"/>
      <c r="C196" s="4909" t="s">
        <v>4950</v>
      </c>
      <c r="D196" s="4910"/>
      <c r="E196" s="4911"/>
      <c r="F196" s="1172">
        <v>33388167</v>
      </c>
      <c r="G196" s="1172">
        <v>34234856</v>
      </c>
      <c r="H196" s="1172">
        <v>34773057</v>
      </c>
      <c r="I196" s="1172">
        <v>35884986</v>
      </c>
      <c r="J196" s="1172">
        <v>37098765</v>
      </c>
      <c r="K196" s="1173">
        <v>38140202</v>
      </c>
    </row>
    <row r="197" spans="1:15">
      <c r="A197" s="1174" t="s">
        <v>4951</v>
      </c>
      <c r="B197" s="1199" t="s">
        <v>4946</v>
      </c>
      <c r="C197" s="1175"/>
      <c r="D197" s="1896"/>
      <c r="E197" s="1896"/>
      <c r="F197" s="1176">
        <f t="shared" ref="F197:K197" si="50">F198-F199</f>
        <v>-2340577.79</v>
      </c>
      <c r="G197" s="1176">
        <f t="shared" si="50"/>
        <v>-2724856.78</v>
      </c>
      <c r="H197" s="1176">
        <f t="shared" si="50"/>
        <v>-2748810.88</v>
      </c>
      <c r="I197" s="1176">
        <f t="shared" si="50"/>
        <v>-2909263.0599999996</v>
      </c>
      <c r="J197" s="1176">
        <f t="shared" si="50"/>
        <v>-3235729.98</v>
      </c>
      <c r="K197" s="1177">
        <f t="shared" si="50"/>
        <v>-3580338.14</v>
      </c>
    </row>
    <row r="198" spans="1:15" ht="38.25" customHeight="1">
      <c r="A198" s="1200" t="s">
        <v>4952</v>
      </c>
      <c r="B198" s="1199"/>
      <c r="C198" s="4909" t="s">
        <v>4953</v>
      </c>
      <c r="D198" s="4910"/>
      <c r="E198" s="4911"/>
      <c r="F198" s="1172">
        <f t="shared" ref="F198:K198" si="51">C69+C71</f>
        <v>-2003033.79</v>
      </c>
      <c r="G198" s="1172">
        <f t="shared" si="51"/>
        <v>-2724856.78</v>
      </c>
      <c r="H198" s="1172">
        <f t="shared" si="51"/>
        <v>-2748810.88</v>
      </c>
      <c r="I198" s="1172">
        <f t="shared" si="51"/>
        <v>-2909263.0599999996</v>
      </c>
      <c r="J198" s="1172">
        <f t="shared" si="51"/>
        <v>-3235729.98</v>
      </c>
      <c r="K198" s="1172">
        <f t="shared" si="51"/>
        <v>-3580338.14</v>
      </c>
    </row>
    <row r="199" spans="1:15" ht="35.25" customHeight="1" thickBot="1">
      <c r="A199" s="1200" t="s">
        <v>4954</v>
      </c>
      <c r="B199" s="1199"/>
      <c r="C199" s="4912" t="s">
        <v>4955</v>
      </c>
      <c r="D199" s="4913"/>
      <c r="E199" s="4914"/>
      <c r="F199" s="1201">
        <v>337544</v>
      </c>
      <c r="G199" s="1201"/>
      <c r="H199" s="1201"/>
      <c r="I199" s="1201"/>
      <c r="J199" s="1201"/>
      <c r="K199" s="1202"/>
    </row>
    <row r="200" spans="1:15" ht="13.5" thickBot="1">
      <c r="A200" s="1178" t="s">
        <v>4956</v>
      </c>
      <c r="B200" s="1203" t="s">
        <v>4957</v>
      </c>
      <c r="C200" s="1179">
        <f>C194-C197</f>
        <v>0</v>
      </c>
      <c r="D200" s="1897"/>
      <c r="E200" s="1897"/>
      <c r="F200" s="1180">
        <f t="shared" ref="F200:K200" si="52">F194-F197</f>
        <v>6167284.79</v>
      </c>
      <c r="G200" s="1180">
        <f t="shared" si="52"/>
        <v>6678254.7799999993</v>
      </c>
      <c r="H200" s="1180">
        <f t="shared" si="52"/>
        <v>6942897.8799999999</v>
      </c>
      <c r="I200" s="1180">
        <f t="shared" si="52"/>
        <v>7059528.0599999996</v>
      </c>
      <c r="J200" s="1180">
        <f t="shared" si="52"/>
        <v>7176668.9800000004</v>
      </c>
      <c r="K200" s="1181">
        <f t="shared" si="52"/>
        <v>7357150.1400000006</v>
      </c>
    </row>
    <row r="201" spans="1:15">
      <c r="A201" s="1182"/>
      <c r="B201" s="1195"/>
      <c r="C201" s="1183"/>
      <c r="D201" s="1183"/>
      <c r="E201" s="1183"/>
      <c r="F201" s="1184"/>
      <c r="G201" s="1184"/>
      <c r="H201" s="1184"/>
      <c r="I201" s="1184"/>
      <c r="J201" s="1184"/>
      <c r="K201" s="1184"/>
      <c r="L201" s="1184"/>
      <c r="M201" s="1184"/>
      <c r="N201" s="1184"/>
      <c r="O201" s="1184"/>
    </row>
    <row r="202" spans="1:15" ht="13.5" thickBot="1">
      <c r="A202" s="1182"/>
      <c r="B202" s="1195"/>
      <c r="C202" s="1183"/>
      <c r="D202" s="1183"/>
      <c r="E202" s="1183"/>
      <c r="F202" s="1184"/>
      <c r="G202" s="1184"/>
      <c r="H202" s="1184"/>
      <c r="I202" s="1184"/>
      <c r="J202" s="1196"/>
      <c r="K202" s="1184"/>
      <c r="L202" s="1184"/>
      <c r="M202" s="1184"/>
      <c r="N202" s="1184"/>
      <c r="O202" s="1184"/>
    </row>
    <row r="203" spans="1:15" ht="13.5" thickBot="1">
      <c r="A203" s="1197" t="s">
        <v>4958</v>
      </c>
      <c r="B203" s="1198"/>
      <c r="C203" s="1204"/>
      <c r="D203" s="1898"/>
      <c r="E203" s="1898"/>
      <c r="F203" s="1185">
        <v>2020</v>
      </c>
      <c r="G203" s="1185">
        <v>2021</v>
      </c>
      <c r="H203" s="1185">
        <v>2022</v>
      </c>
      <c r="I203" s="1185">
        <v>2023</v>
      </c>
      <c r="J203" s="1185">
        <v>2024</v>
      </c>
      <c r="K203" s="1186">
        <v>2025</v>
      </c>
    </row>
    <row r="204" spans="1:15">
      <c r="A204" s="1187" t="s">
        <v>4959</v>
      </c>
      <c r="B204" s="1199"/>
      <c r="C204" s="4915" t="s">
        <v>4960</v>
      </c>
      <c r="D204" s="4916"/>
      <c r="E204" s="4917"/>
      <c r="F204" s="1188">
        <f t="shared" ref="F204:K204" si="53">F200</f>
        <v>6167284.79</v>
      </c>
      <c r="G204" s="1188">
        <f t="shared" si="53"/>
        <v>6678254.7799999993</v>
      </c>
      <c r="H204" s="1188">
        <f t="shared" si="53"/>
        <v>6942897.8799999999</v>
      </c>
      <c r="I204" s="1188">
        <f t="shared" si="53"/>
        <v>7059528.0599999996</v>
      </c>
      <c r="J204" s="1188">
        <f t="shared" si="53"/>
        <v>7176668.9800000004</v>
      </c>
      <c r="K204" s="1188">
        <f t="shared" si="53"/>
        <v>7357150.1400000006</v>
      </c>
    </row>
    <row r="205" spans="1:15">
      <c r="A205" s="1187" t="s">
        <v>4961</v>
      </c>
      <c r="B205" s="1199" t="s">
        <v>4946</v>
      </c>
      <c r="C205" s="1171"/>
      <c r="D205" s="1895"/>
      <c r="E205" s="1920"/>
      <c r="F205" s="1188">
        <f t="shared" ref="F205:K205" si="54">F206-F207</f>
        <v>-1998202.19</v>
      </c>
      <c r="G205" s="1188">
        <f t="shared" si="54"/>
        <v>-4395132.5568000004</v>
      </c>
      <c r="H205" s="1188">
        <f t="shared" si="54"/>
        <v>-5177098.1143999994</v>
      </c>
      <c r="I205" s="1188">
        <f t="shared" si="54"/>
        <v>-5117645.4239999996</v>
      </c>
      <c r="J205" s="1188">
        <f t="shared" si="54"/>
        <v>-5651371.2992000002</v>
      </c>
      <c r="K205" s="1188">
        <f t="shared" si="54"/>
        <v>-6137121.0608000001</v>
      </c>
    </row>
    <row r="206" spans="1:15">
      <c r="A206" s="1200" t="s">
        <v>4952</v>
      </c>
      <c r="B206" s="1199"/>
      <c r="C206" s="4909" t="s">
        <v>4962</v>
      </c>
      <c r="D206" s="4910"/>
      <c r="E206" s="4918"/>
      <c r="F206" s="1189">
        <f t="shared" ref="F206:K206" si="55">F198</f>
        <v>-2003033.79</v>
      </c>
      <c r="G206" s="1189">
        <f t="shared" si="55"/>
        <v>-2724856.78</v>
      </c>
      <c r="H206" s="1189">
        <f t="shared" si="55"/>
        <v>-2748810.88</v>
      </c>
      <c r="I206" s="1189">
        <f t="shared" si="55"/>
        <v>-2909263.0599999996</v>
      </c>
      <c r="J206" s="1189">
        <f t="shared" si="55"/>
        <v>-3235729.98</v>
      </c>
      <c r="K206" s="1189">
        <f t="shared" si="55"/>
        <v>-3580338.14</v>
      </c>
    </row>
    <row r="207" spans="1:15" ht="24.75" customHeight="1">
      <c r="A207" s="1200" t="s">
        <v>4963</v>
      </c>
      <c r="B207" s="1199"/>
      <c r="C207" s="4919" t="s">
        <v>4964</v>
      </c>
      <c r="D207" s="4920"/>
      <c r="E207" s="4921"/>
      <c r="F207" s="1919">
        <f t="shared" ref="F207:K207" si="56">B73*8%</f>
        <v>-4831.6000000000004</v>
      </c>
      <c r="G207" s="1919">
        <f t="shared" si="56"/>
        <v>1670275.7768000001</v>
      </c>
      <c r="H207" s="1919">
        <f t="shared" si="56"/>
        <v>2428287.2344</v>
      </c>
      <c r="I207" s="1919">
        <f t="shared" si="56"/>
        <v>2208382.3640000001</v>
      </c>
      <c r="J207" s="1919">
        <f t="shared" si="56"/>
        <v>2415641.3192000003</v>
      </c>
      <c r="K207" s="1919">
        <f t="shared" si="56"/>
        <v>2556782.9208</v>
      </c>
    </row>
    <row r="208" spans="1:15" ht="13.5" thickBot="1">
      <c r="A208" s="1178" t="s">
        <v>4965</v>
      </c>
      <c r="B208" s="1203" t="s">
        <v>4966</v>
      </c>
      <c r="C208" s="1179"/>
      <c r="D208" s="1179"/>
      <c r="E208" s="1179"/>
      <c r="F208" s="1190">
        <f t="shared" ref="F208:K208" si="57">F204+F205</f>
        <v>4169082.6</v>
      </c>
      <c r="G208" s="1190">
        <f t="shared" si="57"/>
        <v>2283122.223199999</v>
      </c>
      <c r="H208" s="1190">
        <f t="shared" si="57"/>
        <v>1765799.7656000005</v>
      </c>
      <c r="I208" s="1190">
        <f t="shared" si="57"/>
        <v>1941882.6359999999</v>
      </c>
      <c r="J208" s="1190">
        <f t="shared" si="57"/>
        <v>1525297.6808000002</v>
      </c>
      <c r="K208" s="1190">
        <f t="shared" si="57"/>
        <v>1220029.0792000005</v>
      </c>
    </row>
    <row r="209" spans="1:15">
      <c r="A209" s="1182"/>
      <c r="B209" s="1195"/>
      <c r="C209" s="1184"/>
      <c r="D209" s="1184"/>
      <c r="E209" s="1184"/>
      <c r="F209" s="1184"/>
      <c r="G209" s="1184"/>
      <c r="H209" s="1184"/>
      <c r="I209" s="1184"/>
      <c r="J209" s="1184"/>
      <c r="K209" s="1184"/>
      <c r="L209" s="1184"/>
      <c r="M209" s="1184"/>
      <c r="N209" s="1184"/>
      <c r="O209" s="1184"/>
    </row>
    <row r="210" spans="1:15">
      <c r="A210" s="4907" t="s">
        <v>5485</v>
      </c>
      <c r="B210" s="4908"/>
      <c r="C210" s="4908"/>
      <c r="D210" s="4908"/>
      <c r="E210" s="4908"/>
      <c r="F210" s="4908"/>
      <c r="G210" s="4908"/>
      <c r="H210" s="4908"/>
      <c r="I210" s="4908"/>
      <c r="J210" s="4908"/>
      <c r="K210" s="1184"/>
      <c r="L210" s="1184"/>
      <c r="M210" s="1184"/>
      <c r="N210" s="1184"/>
      <c r="O210" s="1184"/>
    </row>
  </sheetData>
  <mergeCells count="10">
    <mergeCell ref="A210:J210"/>
    <mergeCell ref="A39:J39"/>
    <mergeCell ref="A1:J1"/>
    <mergeCell ref="C195:E195"/>
    <mergeCell ref="C196:E196"/>
    <mergeCell ref="C198:E198"/>
    <mergeCell ref="C199:E199"/>
    <mergeCell ref="C204:E204"/>
    <mergeCell ref="C206:E206"/>
    <mergeCell ref="C207:E207"/>
  </mergeCells>
  <hyperlinks>
    <hyperlink ref="A1:J1" location="FINANCIËN!A1" display="SCHULD" xr:uid="{00000000-0004-0000-4900-000000000000}"/>
  </hyperlinks>
  <pageMargins left="0.7" right="0.7" top="0.75" bottom="0.75" header="0.3" footer="0.3"/>
  <pageSetup paperSize="9" scale="73" fitToHeight="0" orientation="landscape" r:id="rId1"/>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EBD531"/>
    <pageSetUpPr fitToPage="1"/>
  </sheetPr>
  <dimension ref="A1:O210"/>
  <sheetViews>
    <sheetView zoomScaleNormal="100" workbookViewId="0">
      <selection sqref="A1:J1"/>
    </sheetView>
  </sheetViews>
  <sheetFormatPr defaultColWidth="9.140625" defaultRowHeight="12.75"/>
  <cols>
    <col min="1" max="1" width="66" style="395" bestFit="1" customWidth="1"/>
    <col min="2" max="2" width="10.42578125" style="395" customWidth="1"/>
    <col min="3" max="3" width="12.28515625" style="395" customWidth="1"/>
    <col min="4" max="4" width="10.7109375" style="395" customWidth="1"/>
    <col min="5" max="5" width="10.42578125" style="395" customWidth="1"/>
    <col min="6" max="9" width="11.28515625" style="395" bestFit="1" customWidth="1"/>
    <col min="10" max="10" width="12.28515625" style="395" bestFit="1" customWidth="1"/>
    <col min="11" max="13" width="10.85546875" style="395" bestFit="1" customWidth="1"/>
    <col min="14" max="14" width="12.28515625" style="395" bestFit="1" customWidth="1"/>
    <col min="15" max="15" width="10.85546875" style="395" bestFit="1" customWidth="1"/>
    <col min="16" max="16384" width="9.140625" style="395"/>
  </cols>
  <sheetData>
    <row r="1" spans="1:10" ht="21">
      <c r="A1" s="4757" t="s">
        <v>4967</v>
      </c>
      <c r="B1" s="4758"/>
      <c r="C1" s="4758"/>
      <c r="D1" s="4758"/>
      <c r="E1" s="4758"/>
      <c r="F1" s="4758"/>
      <c r="G1" s="4758"/>
      <c r="H1" s="4758"/>
      <c r="I1" s="4758"/>
      <c r="J1" s="4758"/>
    </row>
    <row r="3" spans="1:10" ht="13.5" thickBot="1"/>
    <row r="4" spans="1:10" ht="21" thickBot="1">
      <c r="A4" s="859"/>
      <c r="C4" s="1625" t="s">
        <v>634</v>
      </c>
      <c r="D4" s="1625" t="s">
        <v>4968</v>
      </c>
      <c r="E4" s="1889" t="s">
        <v>4969</v>
      </c>
      <c r="F4" s="1890" t="s">
        <v>8</v>
      </c>
    </row>
    <row r="5" spans="1:10" ht="20.25">
      <c r="A5" s="859"/>
      <c r="C5" s="860">
        <v>1995</v>
      </c>
      <c r="D5" s="858">
        <v>10859217</v>
      </c>
      <c r="E5" s="861">
        <v>621481</v>
      </c>
      <c r="F5" s="862">
        <f t="shared" ref="F5:F33" si="0">SUM(D5:E5)</f>
        <v>11480698</v>
      </c>
    </row>
    <row r="6" spans="1:10" ht="20.25">
      <c r="A6" s="859"/>
      <c r="C6" s="531">
        <v>1996</v>
      </c>
      <c r="D6" s="855">
        <v>10302772</v>
      </c>
      <c r="E6" s="533">
        <v>1021271</v>
      </c>
      <c r="F6" s="863">
        <f t="shared" si="0"/>
        <v>11324043</v>
      </c>
    </row>
    <row r="7" spans="1:10">
      <c r="A7" s="619"/>
      <c r="C7" s="531">
        <v>1997</v>
      </c>
      <c r="D7" s="855">
        <v>9023724</v>
      </c>
      <c r="E7" s="533">
        <v>979124</v>
      </c>
      <c r="F7" s="863">
        <f t="shared" si="0"/>
        <v>10002848</v>
      </c>
    </row>
    <row r="8" spans="1:10">
      <c r="A8" s="619"/>
      <c r="C8" s="531">
        <v>1998</v>
      </c>
      <c r="D8" s="855">
        <v>10956618</v>
      </c>
      <c r="E8" s="533">
        <v>801351</v>
      </c>
      <c r="F8" s="863">
        <f t="shared" si="0"/>
        <v>11757969</v>
      </c>
    </row>
    <row r="9" spans="1:10">
      <c r="A9" s="619"/>
      <c r="C9" s="531">
        <v>1999</v>
      </c>
      <c r="D9" s="855">
        <v>12116804</v>
      </c>
      <c r="E9" s="533">
        <v>1013661</v>
      </c>
      <c r="F9" s="863">
        <f t="shared" si="0"/>
        <v>13130465</v>
      </c>
    </row>
    <row r="10" spans="1:10">
      <c r="A10" s="619"/>
      <c r="C10" s="531">
        <v>2000</v>
      </c>
      <c r="D10" s="855">
        <v>14945701</v>
      </c>
      <c r="E10" s="533">
        <v>964533</v>
      </c>
      <c r="F10" s="863">
        <f t="shared" si="0"/>
        <v>15910234</v>
      </c>
    </row>
    <row r="11" spans="1:10">
      <c r="A11" s="619"/>
      <c r="C11" s="531">
        <v>2001</v>
      </c>
      <c r="D11" s="855">
        <v>14921814</v>
      </c>
      <c r="E11" s="533">
        <v>854619</v>
      </c>
      <c r="F11" s="863">
        <f t="shared" si="0"/>
        <v>15776433</v>
      </c>
    </row>
    <row r="12" spans="1:10">
      <c r="A12" s="619"/>
      <c r="C12" s="531">
        <v>2002</v>
      </c>
      <c r="D12" s="855">
        <v>14605992</v>
      </c>
      <c r="E12" s="533">
        <v>849080</v>
      </c>
      <c r="F12" s="863">
        <f t="shared" si="0"/>
        <v>15455072</v>
      </c>
    </row>
    <row r="13" spans="1:10">
      <c r="A13" s="619"/>
      <c r="C13" s="531">
        <v>2003</v>
      </c>
      <c r="D13" s="855">
        <v>13227393.9</v>
      </c>
      <c r="E13" s="533">
        <v>864001.29</v>
      </c>
      <c r="F13" s="863">
        <f t="shared" si="0"/>
        <v>14091395.190000001</v>
      </c>
    </row>
    <row r="14" spans="1:10">
      <c r="A14" s="619"/>
      <c r="C14" s="531">
        <v>2004</v>
      </c>
      <c r="D14" s="855">
        <v>11835355</v>
      </c>
      <c r="E14" s="533">
        <v>864342</v>
      </c>
      <c r="F14" s="863">
        <f t="shared" si="0"/>
        <v>12699697</v>
      </c>
    </row>
    <row r="15" spans="1:10">
      <c r="A15" s="619"/>
      <c r="C15" s="531">
        <v>2005</v>
      </c>
      <c r="D15" s="855">
        <v>11393327.720000001</v>
      </c>
      <c r="E15" s="533">
        <v>731690.59</v>
      </c>
      <c r="F15" s="863">
        <f t="shared" si="0"/>
        <v>12125018.310000001</v>
      </c>
    </row>
    <row r="16" spans="1:10">
      <c r="A16" s="619"/>
      <c r="C16" s="531">
        <v>2006</v>
      </c>
      <c r="D16" s="855">
        <v>11827192.810000001</v>
      </c>
      <c r="E16" s="533">
        <v>601198.9</v>
      </c>
      <c r="F16" s="863">
        <f t="shared" si="0"/>
        <v>12428391.710000001</v>
      </c>
    </row>
    <row r="17" spans="1:6">
      <c r="A17" s="619"/>
      <c r="C17" s="531">
        <v>2007</v>
      </c>
      <c r="D17" s="855">
        <v>14269608.539999999</v>
      </c>
      <c r="E17" s="533">
        <v>488169.83</v>
      </c>
      <c r="F17" s="863">
        <f t="shared" si="0"/>
        <v>14757778.369999999</v>
      </c>
    </row>
    <row r="18" spans="1:6">
      <c r="A18" s="619"/>
      <c r="C18" s="531">
        <v>2008</v>
      </c>
      <c r="D18" s="855">
        <v>11955099.99</v>
      </c>
      <c r="E18" s="533">
        <v>383105.33</v>
      </c>
      <c r="F18" s="863">
        <f t="shared" si="0"/>
        <v>12338205.32</v>
      </c>
    </row>
    <row r="19" spans="1:6">
      <c r="A19" s="619"/>
      <c r="C19" s="531">
        <v>2009</v>
      </c>
      <c r="D19" s="855">
        <f>25117405-9431998</f>
        <v>15685407</v>
      </c>
      <c r="E19" s="533">
        <f>1472228-945415</f>
        <v>526813</v>
      </c>
      <c r="F19" s="863">
        <f t="shared" si="0"/>
        <v>16212220</v>
      </c>
    </row>
    <row r="20" spans="1:6">
      <c r="A20" s="619"/>
      <c r="C20" s="531">
        <v>2010</v>
      </c>
      <c r="D20" s="855">
        <v>14999785.67</v>
      </c>
      <c r="E20" s="533">
        <v>409003</v>
      </c>
      <c r="F20" s="863">
        <f t="shared" si="0"/>
        <v>15408788.67</v>
      </c>
    </row>
    <row r="21" spans="1:6">
      <c r="A21" s="619"/>
      <c r="C21" s="531">
        <v>2011</v>
      </c>
      <c r="D21" s="855">
        <v>14109956.789999999</v>
      </c>
      <c r="E21" s="533">
        <v>335480</v>
      </c>
      <c r="F21" s="863">
        <f t="shared" si="0"/>
        <v>14445436.789999999</v>
      </c>
    </row>
    <row r="22" spans="1:6">
      <c r="A22" s="619"/>
      <c r="C22" s="531">
        <v>2012</v>
      </c>
      <c r="D22" s="856">
        <v>13907617</v>
      </c>
      <c r="E22" s="830">
        <v>4277848.55</v>
      </c>
      <c r="F22" s="863">
        <f t="shared" si="0"/>
        <v>18185465.550000001</v>
      </c>
    </row>
    <row r="23" spans="1:6">
      <c r="A23" s="619"/>
      <c r="C23" s="531">
        <v>2013</v>
      </c>
      <c r="D23" s="855">
        <v>13907617.170000002</v>
      </c>
      <c r="E23" s="533">
        <v>4498327.59</v>
      </c>
      <c r="F23" s="863">
        <f t="shared" si="0"/>
        <v>18405944.760000002</v>
      </c>
    </row>
    <row r="24" spans="1:6">
      <c r="A24" s="619"/>
      <c r="C24" s="531">
        <v>2014</v>
      </c>
      <c r="D24" s="524">
        <v>13776108.390000002</v>
      </c>
      <c r="E24" s="533">
        <v>4256403.18</v>
      </c>
      <c r="F24" s="863">
        <f t="shared" si="0"/>
        <v>18032511.57</v>
      </c>
    </row>
    <row r="25" spans="1:6">
      <c r="A25" s="619"/>
      <c r="C25" s="531">
        <v>2015</v>
      </c>
      <c r="D25" s="524">
        <v>15646237.730000002</v>
      </c>
      <c r="E25" s="533">
        <v>4034248.11</v>
      </c>
      <c r="F25" s="863">
        <f t="shared" si="0"/>
        <v>19680485.840000004</v>
      </c>
    </row>
    <row r="26" spans="1:6">
      <c r="A26" s="619"/>
      <c r="C26" s="531">
        <v>2016</v>
      </c>
      <c r="D26" s="524">
        <v>14378507.640000002</v>
      </c>
      <c r="E26" s="533">
        <v>3824623.11</v>
      </c>
      <c r="F26" s="863">
        <f t="shared" si="0"/>
        <v>18203130.750000004</v>
      </c>
    </row>
    <row r="27" spans="1:6">
      <c r="A27" s="619"/>
      <c r="C27" s="531">
        <v>2017</v>
      </c>
      <c r="D27" s="524">
        <v>13123328.690000001</v>
      </c>
      <c r="E27" s="533">
        <v>3615206.11</v>
      </c>
      <c r="F27" s="863">
        <f t="shared" si="0"/>
        <v>16738534.800000001</v>
      </c>
    </row>
    <row r="28" spans="1:6">
      <c r="A28" s="619"/>
      <c r="C28" s="531">
        <v>2018</v>
      </c>
      <c r="D28" s="524">
        <v>22740829.530000001</v>
      </c>
      <c r="E28" s="533">
        <v>3398672.11</v>
      </c>
      <c r="F28" s="863">
        <f t="shared" si="0"/>
        <v>26139501.640000001</v>
      </c>
    </row>
    <row r="29" spans="1:6">
      <c r="A29" s="619"/>
      <c r="C29" s="531">
        <v>2019</v>
      </c>
      <c r="D29" s="524">
        <v>27164290.600000001</v>
      </c>
      <c r="E29" s="533">
        <v>3188399.11</v>
      </c>
      <c r="F29" s="863">
        <f t="shared" si="0"/>
        <v>30352689.710000001</v>
      </c>
    </row>
    <row r="30" spans="1:6">
      <c r="A30" s="619"/>
      <c r="C30" s="531">
        <v>2020</v>
      </c>
      <c r="D30" s="524">
        <v>26806917.510000002</v>
      </c>
      <c r="E30" s="533">
        <v>2984732.11</v>
      </c>
      <c r="F30" s="863">
        <f t="shared" si="0"/>
        <v>29791649.620000001</v>
      </c>
    </row>
    <row r="31" spans="1:6">
      <c r="A31" s="619"/>
      <c r="C31" s="531">
        <v>2021</v>
      </c>
      <c r="D31" s="524">
        <v>25685675.640000001</v>
      </c>
      <c r="E31" s="533">
        <v>2774008.69</v>
      </c>
      <c r="F31" s="863">
        <f t="shared" si="0"/>
        <v>28459684.330000002</v>
      </c>
    </row>
    <row r="32" spans="1:6">
      <c r="A32" s="619"/>
      <c r="C32" s="531">
        <v>2022</v>
      </c>
      <c r="D32" s="524">
        <v>24528058.530000001</v>
      </c>
      <c r="E32" s="533">
        <v>2555984.75</v>
      </c>
      <c r="F32" s="863">
        <f t="shared" si="0"/>
        <v>27084043.280000001</v>
      </c>
    </row>
    <row r="33" spans="1:13" ht="13.5" thickBot="1">
      <c r="A33" s="619"/>
      <c r="C33" s="530">
        <v>2023</v>
      </c>
      <c r="D33" s="832">
        <v>22784891.400000002</v>
      </c>
      <c r="E33" s="857">
        <v>2330407.75</v>
      </c>
      <c r="F33" s="864">
        <f t="shared" si="0"/>
        <v>25115299.150000002</v>
      </c>
    </row>
    <row r="39" spans="1:13" ht="21">
      <c r="A39" s="4757" t="s">
        <v>5494</v>
      </c>
      <c r="B39" s="4758"/>
      <c r="C39" s="4758"/>
      <c r="D39" s="4758"/>
      <c r="E39" s="4758"/>
      <c r="F39" s="4758"/>
      <c r="G39" s="4758"/>
      <c r="H39" s="4758"/>
      <c r="I39" s="4758"/>
      <c r="J39" s="4758"/>
    </row>
    <row r="41" spans="1:13" ht="15.75">
      <c r="A41" s="1903" t="s">
        <v>5493</v>
      </c>
    </row>
    <row r="42" spans="1:13" ht="13.5" thickBot="1"/>
    <row r="43" spans="1:13" ht="13.5" thickBot="1">
      <c r="A43" s="1886" t="s">
        <v>4928</v>
      </c>
      <c r="B43" s="3026">
        <v>2019</v>
      </c>
      <c r="C43" s="1887">
        <v>2020</v>
      </c>
      <c r="D43" s="1887">
        <v>2021</v>
      </c>
      <c r="E43" s="1887">
        <v>2022</v>
      </c>
      <c r="F43" s="1887">
        <v>2023</v>
      </c>
      <c r="G43" s="1887">
        <v>2024</v>
      </c>
      <c r="H43" s="1888">
        <v>2025</v>
      </c>
      <c r="I43" s="3524">
        <v>2026</v>
      </c>
      <c r="J43" s="3524">
        <v>2027</v>
      </c>
      <c r="K43" s="1905">
        <v>2028</v>
      </c>
    </row>
    <row r="44" spans="1:13">
      <c r="A44" s="1144" t="s">
        <v>4929</v>
      </c>
      <c r="B44" s="3770">
        <f t="shared" ref="B44:K44" si="1">SUM(B45:B49)</f>
        <v>0</v>
      </c>
      <c r="C44" s="3514">
        <f t="shared" si="1"/>
        <v>2779210.1999999997</v>
      </c>
      <c r="D44" s="3514">
        <f t="shared" si="1"/>
        <v>3618815.1999999997</v>
      </c>
      <c r="E44" s="3514">
        <f t="shared" si="1"/>
        <v>3858420.1999999997</v>
      </c>
      <c r="F44" s="3514">
        <f t="shared" si="1"/>
        <v>3798025.1999999997</v>
      </c>
      <c r="G44" s="3514">
        <f>SUM(G45:G49)</f>
        <v>3737630.1999999997</v>
      </c>
      <c r="H44" s="3515">
        <f t="shared" si="1"/>
        <v>3677235.1999999997</v>
      </c>
      <c r="I44" s="3515">
        <f t="shared" si="1"/>
        <v>3616840.1999999997</v>
      </c>
      <c r="J44" s="3515">
        <f t="shared" si="1"/>
        <v>3556445.1999999997</v>
      </c>
      <c r="K44" s="3515">
        <f t="shared" si="1"/>
        <v>3496050.1999999997</v>
      </c>
    </row>
    <row r="45" spans="1:13">
      <c r="A45" s="3771" t="s">
        <v>4930</v>
      </c>
      <c r="B45" s="3516"/>
      <c r="C45" s="1083">
        <v>2508552.59</v>
      </c>
      <c r="D45" s="1083">
        <f t="shared" ref="D45:K45" si="2">C44</f>
        <v>2779210.1999999997</v>
      </c>
      <c r="E45" s="1083">
        <f t="shared" si="2"/>
        <v>3618815.1999999997</v>
      </c>
      <c r="F45" s="1083">
        <f t="shared" si="2"/>
        <v>3858420.1999999997</v>
      </c>
      <c r="G45" s="1083">
        <f t="shared" si="2"/>
        <v>3798025.1999999997</v>
      </c>
      <c r="H45" s="3513">
        <f t="shared" si="2"/>
        <v>3737630.1999999997</v>
      </c>
      <c r="I45" s="3513">
        <f t="shared" si="2"/>
        <v>3677235.1999999997</v>
      </c>
      <c r="J45" s="3513">
        <f t="shared" si="2"/>
        <v>3616840.1999999997</v>
      </c>
      <c r="K45" s="3513">
        <f t="shared" si="2"/>
        <v>3556445.1999999997</v>
      </c>
      <c r="M45" s="1549"/>
    </row>
    <row r="46" spans="1:13">
      <c r="A46" s="1205" t="s">
        <v>4931</v>
      </c>
      <c r="B46" s="3516"/>
      <c r="C46" s="1083">
        <f>270657.61+60395</f>
        <v>331052.61</v>
      </c>
      <c r="D46" s="1083">
        <v>900000</v>
      </c>
      <c r="E46" s="1083">
        <v>300000</v>
      </c>
      <c r="F46" s="1083">
        <v>0</v>
      </c>
      <c r="G46" s="1083">
        <v>0</v>
      </c>
      <c r="H46" s="3513">
        <v>0</v>
      </c>
      <c r="I46" s="3513">
        <v>0</v>
      </c>
      <c r="J46" s="3513">
        <v>0</v>
      </c>
      <c r="K46" s="3513">
        <v>0</v>
      </c>
    </row>
    <row r="47" spans="1:13">
      <c r="A47" s="1205" t="s">
        <v>4932</v>
      </c>
      <c r="B47" s="3516"/>
      <c r="C47" s="1083">
        <v>-60395</v>
      </c>
      <c r="D47" s="1083">
        <f t="shared" ref="D47:K47" si="3">C47</f>
        <v>-60395</v>
      </c>
      <c r="E47" s="1083">
        <f t="shared" si="3"/>
        <v>-60395</v>
      </c>
      <c r="F47" s="1083">
        <f t="shared" si="3"/>
        <v>-60395</v>
      </c>
      <c r="G47" s="1083">
        <f t="shared" si="3"/>
        <v>-60395</v>
      </c>
      <c r="H47" s="3513">
        <f t="shared" si="3"/>
        <v>-60395</v>
      </c>
      <c r="I47" s="3513">
        <f t="shared" si="3"/>
        <v>-60395</v>
      </c>
      <c r="J47" s="3513">
        <f t="shared" si="3"/>
        <v>-60395</v>
      </c>
      <c r="K47" s="3513">
        <f t="shared" si="3"/>
        <v>-60395</v>
      </c>
      <c r="M47" s="1549"/>
    </row>
    <row r="48" spans="1:13">
      <c r="A48" s="1205" t="s">
        <v>4933</v>
      </c>
      <c r="B48" s="3517"/>
      <c r="C48" s="398"/>
      <c r="D48" s="398"/>
      <c r="E48" s="398"/>
      <c r="F48" s="398"/>
      <c r="G48" s="398"/>
      <c r="H48" s="1024"/>
      <c r="I48" s="1024"/>
      <c r="J48" s="1024"/>
      <c r="K48" s="1024"/>
    </row>
    <row r="49" spans="1:15" s="1148" customFormat="1">
      <c r="A49" s="3771" t="s">
        <v>4934</v>
      </c>
      <c r="B49" s="3516"/>
      <c r="C49" s="1083"/>
      <c r="D49" s="1083"/>
      <c r="E49" s="1083"/>
      <c r="F49" s="1083"/>
      <c r="G49" s="1083"/>
      <c r="H49" s="3513"/>
      <c r="I49" s="3513"/>
      <c r="J49" s="3513"/>
      <c r="K49" s="3513"/>
    </row>
    <row r="50" spans="1:15">
      <c r="A50" s="1144" t="s">
        <v>4935</v>
      </c>
      <c r="B50" s="3772">
        <f t="shared" ref="B50:H50" si="4">SUM(B51:B54)</f>
        <v>0</v>
      </c>
      <c r="C50" s="1207">
        <f t="shared" si="4"/>
        <v>0</v>
      </c>
      <c r="D50" s="1207">
        <f t="shared" si="4"/>
        <v>0</v>
      </c>
      <c r="E50" s="1207">
        <f t="shared" si="4"/>
        <v>0</v>
      </c>
      <c r="F50" s="1207">
        <f t="shared" si="4"/>
        <v>0</v>
      </c>
      <c r="G50" s="1207">
        <f t="shared" si="4"/>
        <v>0</v>
      </c>
      <c r="H50" s="1208">
        <f t="shared" si="4"/>
        <v>0</v>
      </c>
      <c r="I50" s="1208">
        <v>0</v>
      </c>
      <c r="J50" s="1208">
        <v>0</v>
      </c>
      <c r="K50" s="1208">
        <v>0</v>
      </c>
      <c r="O50" s="1549"/>
    </row>
    <row r="51" spans="1:15" ht="14.25" customHeight="1">
      <c r="A51" s="1205" t="s">
        <v>4930</v>
      </c>
      <c r="B51" s="3517">
        <v>0</v>
      </c>
      <c r="C51" s="398">
        <v>0</v>
      </c>
      <c r="D51" s="398">
        <v>0</v>
      </c>
      <c r="E51" s="398">
        <v>0</v>
      </c>
      <c r="F51" s="398">
        <v>0</v>
      </c>
      <c r="G51" s="398">
        <v>0</v>
      </c>
      <c r="H51" s="1024">
        <v>0</v>
      </c>
      <c r="I51" s="1024">
        <v>0</v>
      </c>
      <c r="J51" s="1024">
        <v>0</v>
      </c>
      <c r="K51" s="1024">
        <v>0</v>
      </c>
    </row>
    <row r="52" spans="1:15" s="1148" customFormat="1">
      <c r="A52" s="3771" t="s">
        <v>4936</v>
      </c>
      <c r="B52" s="3516"/>
      <c r="C52" s="1083"/>
      <c r="D52" s="1083"/>
      <c r="E52" s="1083"/>
      <c r="F52" s="1083"/>
      <c r="G52" s="1083"/>
      <c r="H52" s="3513"/>
      <c r="I52" s="3513"/>
      <c r="J52" s="3513"/>
      <c r="K52" s="3513"/>
    </row>
    <row r="53" spans="1:15" s="1148" customFormat="1">
      <c r="A53" s="3771" t="s">
        <v>7322</v>
      </c>
      <c r="B53" s="3516"/>
      <c r="C53" s="1083"/>
      <c r="D53" s="1083"/>
      <c r="E53" s="1083"/>
      <c r="F53" s="1083"/>
      <c r="G53" s="1083"/>
      <c r="H53" s="3513"/>
      <c r="I53" s="3513"/>
      <c r="J53" s="3513"/>
      <c r="K53" s="3513"/>
    </row>
    <row r="54" spans="1:15">
      <c r="A54" s="1205" t="s">
        <v>4938</v>
      </c>
      <c r="B54" s="3517"/>
      <c r="C54" s="398"/>
      <c r="D54" s="398"/>
      <c r="E54" s="398"/>
      <c r="F54" s="398"/>
      <c r="G54" s="398"/>
      <c r="H54" s="1024"/>
      <c r="I54" s="1024"/>
      <c r="J54" s="1024"/>
      <c r="K54" s="1024"/>
    </row>
    <row r="55" spans="1:15" ht="13.5" thickBot="1">
      <c r="A55" s="1209" t="s">
        <v>4939</v>
      </c>
      <c r="B55" s="3518"/>
      <c r="C55" s="3519"/>
      <c r="D55" s="3519"/>
      <c r="E55" s="3519"/>
      <c r="F55" s="3519"/>
      <c r="G55" s="3519"/>
      <c r="H55" s="3520"/>
      <c r="I55" s="3520"/>
      <c r="J55" s="3520"/>
      <c r="K55" s="3520"/>
    </row>
    <row r="56" spans="1:15" ht="13.5" thickBot="1">
      <c r="A56" s="1891" t="s">
        <v>4940</v>
      </c>
      <c r="B56" s="3773">
        <f t="shared" ref="B56:K56" si="5">B55+B50+B44</f>
        <v>0</v>
      </c>
      <c r="C56" s="1892">
        <f t="shared" si="5"/>
        <v>2779210.1999999997</v>
      </c>
      <c r="D56" s="1892">
        <f t="shared" si="5"/>
        <v>3618815.1999999997</v>
      </c>
      <c r="E56" s="1892">
        <f t="shared" si="5"/>
        <v>3858420.1999999997</v>
      </c>
      <c r="F56" s="1892">
        <f t="shared" si="5"/>
        <v>3798025.1999999997</v>
      </c>
      <c r="G56" s="1892">
        <f t="shared" si="5"/>
        <v>3737630.1999999997</v>
      </c>
      <c r="H56" s="1893">
        <f t="shared" si="5"/>
        <v>3677235.1999999997</v>
      </c>
      <c r="I56" s="1893">
        <f t="shared" si="5"/>
        <v>3616840.1999999997</v>
      </c>
      <c r="J56" s="1893">
        <f t="shared" si="5"/>
        <v>3556445.1999999997</v>
      </c>
      <c r="K56" s="1893">
        <f t="shared" si="5"/>
        <v>3496050.1999999997</v>
      </c>
    </row>
    <row r="57" spans="1:15">
      <c r="C57" s="1003"/>
      <c r="D57" s="1003"/>
    </row>
    <row r="58" spans="1:15" ht="15.75">
      <c r="A58" s="1903" t="s">
        <v>7055</v>
      </c>
    </row>
    <row r="59" spans="1:15" ht="13.5" thickBot="1">
      <c r="A59" s="1148"/>
      <c r="B59" s="1148"/>
      <c r="C59" s="1148"/>
      <c r="D59" s="1148"/>
      <c r="E59" s="1148"/>
      <c r="F59" s="1148"/>
      <c r="G59" s="1148"/>
      <c r="H59" s="1148"/>
      <c r="I59" s="1148"/>
      <c r="J59" s="1148"/>
    </row>
    <row r="60" spans="1:15" ht="13.5" thickBot="1">
      <c r="A60" s="1899" t="s">
        <v>4928</v>
      </c>
      <c r="B60" s="1900">
        <v>2019</v>
      </c>
      <c r="C60" s="1900">
        <v>2020</v>
      </c>
      <c r="D60" s="1900">
        <v>2021</v>
      </c>
      <c r="E60" s="1900">
        <v>2022</v>
      </c>
      <c r="F60" s="1900">
        <v>2023</v>
      </c>
      <c r="G60" s="1900">
        <v>2024</v>
      </c>
      <c r="H60" s="1900">
        <v>2025</v>
      </c>
      <c r="I60" s="3524">
        <v>2026</v>
      </c>
      <c r="J60" s="3524">
        <v>2027</v>
      </c>
      <c r="K60" s="1905">
        <v>2028</v>
      </c>
    </row>
    <row r="61" spans="1:15">
      <c r="A61" s="1144" t="s">
        <v>4929</v>
      </c>
      <c r="B61" s="1145">
        <f t="shared" ref="B61:K61" si="6">SUM(B62:B66)</f>
        <v>-1994119.7399999998</v>
      </c>
      <c r="C61" s="1145">
        <f t="shared" si="6"/>
        <v>18090995.880000003</v>
      </c>
      <c r="D61" s="1145">
        <f>SUM(D62:D66)</f>
        <v>16236343.160000002</v>
      </c>
      <c r="E61" s="1145">
        <f>SUM(E62:E66)</f>
        <v>14389242.000000002</v>
      </c>
      <c r="F61" s="1145">
        <f t="shared" si="6"/>
        <v>19330403.030000001</v>
      </c>
      <c r="G61" s="1145">
        <f>SUM(G62:G66)</f>
        <v>25026318.66</v>
      </c>
      <c r="H61" s="1145">
        <f t="shared" si="6"/>
        <v>29086086.109999999</v>
      </c>
      <c r="I61" s="1145">
        <f t="shared" si="6"/>
        <v>30390618.93</v>
      </c>
      <c r="J61" s="1145">
        <f t="shared" si="6"/>
        <v>31416882.84</v>
      </c>
      <c r="K61" s="1145">
        <f t="shared" si="6"/>
        <v>34188244.290000007</v>
      </c>
      <c r="L61" s="1780"/>
      <c r="M61" s="1780"/>
    </row>
    <row r="62" spans="1:15">
      <c r="A62" s="1146" t="s">
        <v>4930</v>
      </c>
      <c r="B62" s="1147"/>
      <c r="C62" s="3523">
        <f>1530017.68+12958127.4+2764255.54+2230.43+2710907.16</f>
        <v>19965538.210000001</v>
      </c>
      <c r="D62" s="1147">
        <f t="shared" ref="D62:K62" si="7">C61</f>
        <v>18090995.880000003</v>
      </c>
      <c r="E62" s="1147">
        <f t="shared" si="7"/>
        <v>16236343.160000002</v>
      </c>
      <c r="F62" s="1147">
        <f t="shared" si="7"/>
        <v>14389242.000000002</v>
      </c>
      <c r="G62" s="1147">
        <f t="shared" si="7"/>
        <v>19330403.030000001</v>
      </c>
      <c r="H62" s="1147">
        <f t="shared" si="7"/>
        <v>25026318.66</v>
      </c>
      <c r="I62" s="1147">
        <f t="shared" si="7"/>
        <v>29086086.109999999</v>
      </c>
      <c r="J62" s="1147">
        <f t="shared" si="7"/>
        <v>30390618.93</v>
      </c>
      <c r="K62" s="1147">
        <f t="shared" si="7"/>
        <v>31416882.84</v>
      </c>
      <c r="L62" s="1161"/>
      <c r="M62" s="1780"/>
    </row>
    <row r="63" spans="1:15">
      <c r="A63" s="1146" t="s">
        <v>4931</v>
      </c>
      <c r="B63" s="1147">
        <f>B81+B99+B118+B138</f>
        <v>0</v>
      </c>
      <c r="C63" s="1147">
        <f>C81+C99+C118+C138+C157+C176</f>
        <v>0</v>
      </c>
      <c r="D63" s="1147">
        <f>D81+D99+D118+D138+D157</f>
        <v>0</v>
      </c>
      <c r="E63" s="1147">
        <f>E81+E99+E118+E138+E157</f>
        <v>0</v>
      </c>
      <c r="F63" s="1147">
        <f>F81+F99+F118+F138+F157</f>
        <v>6800000</v>
      </c>
      <c r="G63" s="1147">
        <f>G81+G99+G118+G138+G157</f>
        <v>8750000</v>
      </c>
      <c r="H63" s="1147">
        <f>H81+H99+H118+H138+H157</f>
        <v>7250000</v>
      </c>
      <c r="I63" s="1147">
        <f t="shared" ref="I63:K63" si="8">I81+I99+I118+I138+I157</f>
        <v>4500000</v>
      </c>
      <c r="J63" s="1147">
        <f t="shared" si="8"/>
        <v>4500000</v>
      </c>
      <c r="K63" s="1147">
        <f t="shared" si="8"/>
        <v>4500000</v>
      </c>
      <c r="L63" s="1780"/>
      <c r="M63" s="1780"/>
    </row>
    <row r="64" spans="1:15">
      <c r="A64" s="1146" t="s">
        <v>4932</v>
      </c>
      <c r="B64" s="1147">
        <f>B82+B100+B119+B139</f>
        <v>0</v>
      </c>
      <c r="C64" s="1147">
        <f t="shared" ref="C64:K64" si="9">C82+C100+C119+C139</f>
        <v>0</v>
      </c>
      <c r="D64" s="1147">
        <f>D82+D100+D119+D139</f>
        <v>0</v>
      </c>
      <c r="E64" s="1147">
        <f t="shared" si="9"/>
        <v>0</v>
      </c>
      <c r="F64" s="1147">
        <f t="shared" si="9"/>
        <v>0</v>
      </c>
      <c r="G64" s="1147">
        <f t="shared" si="9"/>
        <v>0</v>
      </c>
      <c r="H64" s="1147">
        <f t="shared" si="9"/>
        <v>0</v>
      </c>
      <c r="I64" s="1147">
        <f t="shared" si="9"/>
        <v>0</v>
      </c>
      <c r="J64" s="1147">
        <f t="shared" si="9"/>
        <v>0</v>
      </c>
      <c r="K64" s="1147">
        <f t="shared" si="9"/>
        <v>0</v>
      </c>
      <c r="L64" s="1780"/>
      <c r="M64" s="1780"/>
    </row>
    <row r="65" spans="1:12">
      <c r="A65" s="1146" t="s">
        <v>4933</v>
      </c>
      <c r="B65" s="1147">
        <f>B83+B101+B120+B140+B178</f>
        <v>-1994119.7399999998</v>
      </c>
      <c r="C65" s="1147">
        <f>C83+C101+C120+C140+C159+C178-2981</f>
        <v>-1874542.33</v>
      </c>
      <c r="D65" s="1147">
        <f>D83+D101+D120+D140+D159+D178</f>
        <v>-1854652.72</v>
      </c>
      <c r="E65" s="1147">
        <f>E83+E101+E120+E140+E159+E178</f>
        <v>-1847101.16</v>
      </c>
      <c r="F65" s="1147">
        <f t="shared" ref="D65:K66" si="10">F83+F101+F120+F140+F159+F178</f>
        <v>-1858838.97</v>
      </c>
      <c r="G65" s="1147">
        <f>G83+G101+G120+G140+G159+G178</f>
        <v>-3054084.37</v>
      </c>
      <c r="H65" s="1147">
        <f t="shared" si="10"/>
        <v>-3190232.5500000003</v>
      </c>
      <c r="I65" s="1147">
        <f t="shared" si="10"/>
        <v>-3195467.18</v>
      </c>
      <c r="J65" s="1147">
        <f t="shared" si="10"/>
        <v>-3473736.0900000003</v>
      </c>
      <c r="K65" s="1147">
        <f t="shared" si="10"/>
        <v>-1728638.55</v>
      </c>
    </row>
    <row r="66" spans="1:12">
      <c r="A66" s="1146" t="s">
        <v>4934</v>
      </c>
      <c r="B66" s="1147">
        <f>B84+B102+B121+B141</f>
        <v>0</v>
      </c>
      <c r="C66" s="1147">
        <f>C84+C102+C121+C141+C160+C179</f>
        <v>0</v>
      </c>
      <c r="D66" s="1147">
        <f t="shared" si="10"/>
        <v>0</v>
      </c>
      <c r="E66" s="1147">
        <f t="shared" si="10"/>
        <v>0</v>
      </c>
      <c r="F66" s="1147">
        <f t="shared" si="10"/>
        <v>0</v>
      </c>
      <c r="G66" s="1147">
        <f t="shared" si="10"/>
        <v>0</v>
      </c>
      <c r="H66" s="1147">
        <f t="shared" si="10"/>
        <v>0</v>
      </c>
      <c r="I66" s="1147">
        <f t="shared" si="10"/>
        <v>0</v>
      </c>
      <c r="J66" s="1147">
        <f t="shared" si="10"/>
        <v>0</v>
      </c>
      <c r="K66" s="1147">
        <f t="shared" si="10"/>
        <v>0</v>
      </c>
    </row>
    <row r="67" spans="1:12">
      <c r="A67" s="1144" t="s">
        <v>4935</v>
      </c>
      <c r="B67" s="1145">
        <f t="shared" ref="B67:K67" si="11">SUM(B68:B71)</f>
        <v>1933724.7399999998</v>
      </c>
      <c r="C67" s="1145">
        <f t="shared" si="11"/>
        <v>1874542.33</v>
      </c>
      <c r="D67" s="1145">
        <f>SUM(D68:D71)</f>
        <v>1854652.72</v>
      </c>
      <c r="E67" s="1145">
        <f t="shared" si="11"/>
        <v>1847101.16</v>
      </c>
      <c r="F67" s="1145">
        <f t="shared" si="11"/>
        <v>1858838.97</v>
      </c>
      <c r="G67" s="1145">
        <f t="shared" si="11"/>
        <v>3054084.37</v>
      </c>
      <c r="H67" s="1145">
        <f>SUM(H68:H71)</f>
        <v>3190232.5500000003</v>
      </c>
      <c r="I67" s="1145">
        <f t="shared" si="11"/>
        <v>3195467.18</v>
      </c>
      <c r="J67" s="1145">
        <f t="shared" si="11"/>
        <v>3473736.0900000003</v>
      </c>
      <c r="K67" s="1145">
        <f t="shared" si="11"/>
        <v>1728638.55</v>
      </c>
    </row>
    <row r="68" spans="1:12">
      <c r="A68" s="1146" t="s">
        <v>4930</v>
      </c>
      <c r="B68" s="1147">
        <f>B86+B104+B123+B143</f>
        <v>1959999.5000000002</v>
      </c>
      <c r="C68" s="3523">
        <f>60395.43+1341503.39+203667.39+3298.77+394168.81</f>
        <v>2003033.79</v>
      </c>
      <c r="D68" s="1147">
        <f>D86+D104+D123+D143+D162+D181+2981</f>
        <v>1874542.33</v>
      </c>
      <c r="E68" s="1147">
        <f t="shared" ref="E68:K70" si="12">E86+E104+E123+E143+E162+E181</f>
        <v>1854652.72</v>
      </c>
      <c r="F68" s="1147">
        <f t="shared" si="12"/>
        <v>2047701.16</v>
      </c>
      <c r="G68" s="1147">
        <f t="shared" si="12"/>
        <v>2524963.9700000002</v>
      </c>
      <c r="H68" s="1147">
        <f>H86+H104+H123+H143+H162+H181</f>
        <v>3054084.37</v>
      </c>
      <c r="I68" s="1147">
        <f t="shared" si="12"/>
        <v>3264415.12</v>
      </c>
      <c r="J68" s="1147">
        <f t="shared" si="12"/>
        <v>3269356.52</v>
      </c>
      <c r="K68" s="1147">
        <f t="shared" si="12"/>
        <v>3545889.4400000004</v>
      </c>
    </row>
    <row r="69" spans="1:12">
      <c r="A69" s="1146" t="s">
        <v>4936</v>
      </c>
      <c r="B69" s="1147">
        <f>B87+B105+B124+B144</f>
        <v>-1959999.5000000002</v>
      </c>
      <c r="C69" s="1147">
        <f>-C68</f>
        <v>-2003033.79</v>
      </c>
      <c r="D69" s="1147">
        <f>D87+D105+D124+D144+D163+D182-2981</f>
        <v>-1874542.33</v>
      </c>
      <c r="E69" s="1147">
        <f t="shared" ref="E69:G70" si="13">E87+E105+E124+E144+E163+E182</f>
        <v>-1854652.72</v>
      </c>
      <c r="F69" s="1147">
        <f t="shared" si="13"/>
        <v>-2047701.16</v>
      </c>
      <c r="G69" s="1147">
        <f>G87+G105+G124+G144+G163+G182</f>
        <v>-2524963.9700000002</v>
      </c>
      <c r="H69" s="1147">
        <f t="shared" si="12"/>
        <v>-3054084.37</v>
      </c>
      <c r="I69" s="1147">
        <f t="shared" si="12"/>
        <v>-3264415.12</v>
      </c>
      <c r="J69" s="1147">
        <f t="shared" si="12"/>
        <v>-3269356.52</v>
      </c>
      <c r="K69" s="1147">
        <f t="shared" si="12"/>
        <v>-3545889.4400000004</v>
      </c>
      <c r="L69" s="395" t="s">
        <v>7184</v>
      </c>
    </row>
    <row r="70" spans="1:12">
      <c r="A70" s="1146" t="s">
        <v>4937</v>
      </c>
      <c r="B70" s="1147">
        <f>B88+B106+B125+B145</f>
        <v>1933724.7399999998</v>
      </c>
      <c r="C70" s="1147">
        <f>C88+C106+C125+C145+C164+C183+2981</f>
        <v>1874542.33</v>
      </c>
      <c r="D70" s="1147">
        <f>D88+D106+D125+D145+D164+D183</f>
        <v>1854652.72</v>
      </c>
      <c r="E70" s="1147">
        <f t="shared" si="13"/>
        <v>1847101.16</v>
      </c>
      <c r="F70" s="1147">
        <f t="shared" si="13"/>
        <v>1858838.97</v>
      </c>
      <c r="G70" s="1147">
        <f t="shared" si="13"/>
        <v>3054084.37</v>
      </c>
      <c r="H70" s="1147">
        <f>H88+H106+H125+H145+H164+H183</f>
        <v>3190232.5500000003</v>
      </c>
      <c r="I70" s="1147">
        <f>I88+I106+I125+I145+I164+I183</f>
        <v>3195467.18</v>
      </c>
      <c r="J70" s="1147">
        <f t="shared" si="12"/>
        <v>3473736.0900000003</v>
      </c>
      <c r="K70" s="1147">
        <f t="shared" si="12"/>
        <v>1728638.55</v>
      </c>
    </row>
    <row r="71" spans="1:12">
      <c r="A71" s="1146" t="s">
        <v>4938</v>
      </c>
      <c r="B71" s="1147">
        <f>B89+B107+B126+B146</f>
        <v>0</v>
      </c>
      <c r="C71" s="1147">
        <f t="shared" ref="C71:K71" si="14">C89+C107+C126+C146+C165</f>
        <v>0</v>
      </c>
      <c r="D71" s="1147">
        <f>D89+D107+D126+D146+D165</f>
        <v>0</v>
      </c>
      <c r="E71" s="1147">
        <f t="shared" si="14"/>
        <v>0</v>
      </c>
      <c r="F71" s="1147">
        <f t="shared" si="14"/>
        <v>0</v>
      </c>
      <c r="G71" s="1147">
        <f t="shared" si="14"/>
        <v>0</v>
      </c>
      <c r="H71" s="1147">
        <f t="shared" si="14"/>
        <v>0</v>
      </c>
      <c r="I71" s="1147">
        <f t="shared" si="14"/>
        <v>0</v>
      </c>
      <c r="J71" s="1147">
        <f t="shared" si="14"/>
        <v>0</v>
      </c>
      <c r="K71" s="1147">
        <f t="shared" si="14"/>
        <v>0</v>
      </c>
    </row>
    <row r="72" spans="1:12" ht="13.5" thickBot="1">
      <c r="A72" s="1144" t="s">
        <v>4939</v>
      </c>
      <c r="B72" s="1147">
        <f>B90+B108+B127+B147</f>
        <v>0</v>
      </c>
      <c r="C72" s="1147">
        <f t="shared" ref="C72:K72" si="15">C90+C108+C127+C147+C166</f>
        <v>0</v>
      </c>
      <c r="D72" s="1147">
        <f t="shared" si="15"/>
        <v>0</v>
      </c>
      <c r="E72" s="1147">
        <f t="shared" si="15"/>
        <v>0</v>
      </c>
      <c r="F72" s="1147">
        <f t="shared" si="15"/>
        <v>0</v>
      </c>
      <c r="G72" s="1147">
        <f t="shared" si="15"/>
        <v>0</v>
      </c>
      <c r="H72" s="1147">
        <f t="shared" si="15"/>
        <v>0</v>
      </c>
      <c r="I72" s="1147">
        <f t="shared" si="15"/>
        <v>0</v>
      </c>
      <c r="J72" s="1147">
        <f t="shared" si="15"/>
        <v>0</v>
      </c>
      <c r="K72" s="1147">
        <f t="shared" si="15"/>
        <v>0</v>
      </c>
    </row>
    <row r="73" spans="1:12" ht="13.5" thickBot="1">
      <c r="A73" s="1901" t="s">
        <v>4940</v>
      </c>
      <c r="B73" s="1902">
        <f t="shared" ref="B73:K73" si="16">B61+B67+B72</f>
        <v>-60395</v>
      </c>
      <c r="C73" s="1902">
        <f t="shared" si="16"/>
        <v>19965538.210000001</v>
      </c>
      <c r="D73" s="1902">
        <f>D61+D67+D72</f>
        <v>18090995.880000003</v>
      </c>
      <c r="E73" s="1902">
        <f>E61+E67+E72</f>
        <v>16236343.160000002</v>
      </c>
      <c r="F73" s="1902">
        <f t="shared" si="16"/>
        <v>21189242</v>
      </c>
      <c r="G73" s="1902">
        <f t="shared" si="16"/>
        <v>28080403.030000001</v>
      </c>
      <c r="H73" s="1902">
        <f t="shared" si="16"/>
        <v>32276318.66</v>
      </c>
      <c r="I73" s="1902">
        <f t="shared" si="16"/>
        <v>33586086.109999999</v>
      </c>
      <c r="J73" s="1902">
        <f t="shared" si="16"/>
        <v>34890618.93</v>
      </c>
      <c r="K73" s="1902">
        <f t="shared" si="16"/>
        <v>35916882.840000004</v>
      </c>
    </row>
    <row r="74" spans="1:12" ht="18.75" customHeight="1">
      <c r="A74" s="395" t="s">
        <v>7183</v>
      </c>
      <c r="C74" s="1003">
        <f t="shared" ref="C74:K74" si="17">C69+60395</f>
        <v>-1942638.79</v>
      </c>
      <c r="D74" s="1003">
        <f>D69+60395</f>
        <v>-1814147.33</v>
      </c>
      <c r="E74" s="1003">
        <f>E69+94959</f>
        <v>-1759693.72</v>
      </c>
      <c r="F74" s="1003">
        <f>F69+108592</f>
        <v>-1939109.16</v>
      </c>
      <c r="G74" s="1003">
        <f>G69+122679</f>
        <v>-2402284.9700000002</v>
      </c>
      <c r="H74" s="1003">
        <f t="shared" si="17"/>
        <v>-2993689.37</v>
      </c>
      <c r="I74" s="1003">
        <f t="shared" si="17"/>
        <v>-3204020.12</v>
      </c>
      <c r="J74" s="1003">
        <f t="shared" si="17"/>
        <v>-3208961.52</v>
      </c>
      <c r="K74" s="1003">
        <f t="shared" si="17"/>
        <v>-3485494.4400000004</v>
      </c>
    </row>
    <row r="75" spans="1:12" s="380" customFormat="1">
      <c r="A75" s="380" t="s">
        <v>4941</v>
      </c>
      <c r="B75" s="1073">
        <f>SUM(B93+B111+B130+B131+B150)</f>
        <v>385015.37</v>
      </c>
      <c r="C75" s="1073">
        <f>SUM(C93+C111+C130+C131+C150+C169)</f>
        <v>346320.92</v>
      </c>
      <c r="D75" s="1073">
        <f>SUM(D93+D111+D130+D131+D150+C169)</f>
        <v>312097.19</v>
      </c>
      <c r="E75" s="1073">
        <f>SUM(E93+E111+E130+E131+E150+E169)</f>
        <v>295174.09999999998</v>
      </c>
      <c r="F75" s="1073">
        <f>SUM(F93+F111+F130+F131+F150+F169)</f>
        <v>415139.86</v>
      </c>
      <c r="G75" s="1073">
        <f>SUM(G93+G111+G130+G131+G150+G169)</f>
        <v>631292.57000000007</v>
      </c>
      <c r="H75" s="1073">
        <f t="shared" ref="H75:K75" si="18">SUM(H93+H111+H130+H131+H150+H169)</f>
        <v>851443.05</v>
      </c>
      <c r="I75" s="1073">
        <f>SUM(I93+I111+I130+I131+I150+I169)</f>
        <v>894083.44</v>
      </c>
      <c r="J75" s="1073">
        <f t="shared" si="18"/>
        <v>817853.17999999993</v>
      </c>
      <c r="K75" s="1073">
        <f t="shared" si="18"/>
        <v>139774</v>
      </c>
    </row>
    <row r="76" spans="1:12" ht="1.5" customHeight="1">
      <c r="A76" s="1909" t="s">
        <v>7056</v>
      </c>
      <c r="B76" s="1148"/>
    </row>
    <row r="77" spans="1:12" hidden="1"/>
    <row r="78" spans="1:12" ht="13.5" hidden="1" thickBot="1">
      <c r="A78" s="1731" t="s">
        <v>4928</v>
      </c>
      <c r="B78" s="1904">
        <v>2019</v>
      </c>
      <c r="C78" s="1904">
        <v>2020</v>
      </c>
      <c r="D78" s="1904">
        <v>2021</v>
      </c>
      <c r="E78" s="1904">
        <v>2022</v>
      </c>
      <c r="F78" s="1904">
        <v>2023</v>
      </c>
      <c r="G78" s="1904">
        <v>2024</v>
      </c>
      <c r="H78" s="1905">
        <v>2025</v>
      </c>
    </row>
    <row r="79" spans="1:12" hidden="1">
      <c r="A79" s="1149" t="s">
        <v>4929</v>
      </c>
      <c r="B79" s="1150">
        <f t="shared" ref="B79:H79" si="19">SUM(B80:B84)</f>
        <v>0</v>
      </c>
      <c r="C79" s="1150">
        <f t="shared" si="19"/>
        <v>0</v>
      </c>
      <c r="D79" s="1150">
        <f t="shared" si="19"/>
        <v>0</v>
      </c>
      <c r="E79" s="1150">
        <f t="shared" si="19"/>
        <v>0</v>
      </c>
      <c r="F79" s="1150">
        <f t="shared" si="19"/>
        <v>0</v>
      </c>
      <c r="G79" s="1150">
        <f t="shared" si="19"/>
        <v>0</v>
      </c>
      <c r="H79" s="1151">
        <f t="shared" si="19"/>
        <v>0</v>
      </c>
    </row>
    <row r="80" spans="1:12" hidden="1">
      <c r="A80" s="1152" t="s">
        <v>4930</v>
      </c>
      <c r="B80" s="1153"/>
      <c r="C80" s="1153"/>
      <c r="D80" s="1153"/>
      <c r="E80" s="1153"/>
      <c r="F80" s="1153"/>
      <c r="G80" s="1153"/>
      <c r="H80" s="1154"/>
    </row>
    <row r="81" spans="1:11" hidden="1">
      <c r="A81" s="1152" t="s">
        <v>4931</v>
      </c>
      <c r="B81" s="1153"/>
      <c r="C81" s="1153">
        <v>0</v>
      </c>
      <c r="D81" s="1153">
        <v>0</v>
      </c>
      <c r="E81" s="1153">
        <v>0</v>
      </c>
      <c r="F81" s="1153">
        <v>0</v>
      </c>
      <c r="G81" s="1153">
        <v>0</v>
      </c>
      <c r="H81" s="1154">
        <v>0</v>
      </c>
    </row>
    <row r="82" spans="1:11" hidden="1">
      <c r="A82" s="1152" t="s">
        <v>4932</v>
      </c>
      <c r="B82" s="1153"/>
      <c r="C82" s="1153"/>
      <c r="D82" s="1153"/>
      <c r="E82" s="1153"/>
      <c r="F82" s="1153"/>
      <c r="G82" s="1153"/>
      <c r="H82" s="1154"/>
    </row>
    <row r="83" spans="1:11" hidden="1">
      <c r="A83" s="1152" t="s">
        <v>4933</v>
      </c>
      <c r="B83" s="1153"/>
      <c r="C83" s="1153"/>
      <c r="D83" s="1153"/>
      <c r="E83" s="1153"/>
      <c r="F83" s="1153"/>
      <c r="G83" s="1153"/>
      <c r="H83" s="1154"/>
    </row>
    <row r="84" spans="1:11" hidden="1">
      <c r="A84" s="1152" t="s">
        <v>4934</v>
      </c>
      <c r="B84" s="1153"/>
      <c r="C84" s="1153"/>
      <c r="D84" s="1153"/>
      <c r="E84" s="1153"/>
      <c r="F84" s="1153"/>
      <c r="G84" s="1153"/>
      <c r="H84" s="1154"/>
    </row>
    <row r="85" spans="1:11" hidden="1">
      <c r="A85" s="1149" t="s">
        <v>4935</v>
      </c>
      <c r="B85" s="1150">
        <f t="shared" ref="B85:H85" si="20">SUM(B86:B89)</f>
        <v>0</v>
      </c>
      <c r="C85" s="1150">
        <f t="shared" si="20"/>
        <v>0</v>
      </c>
      <c r="D85" s="1150">
        <f t="shared" si="20"/>
        <v>0</v>
      </c>
      <c r="E85" s="1150">
        <f t="shared" si="20"/>
        <v>0</v>
      </c>
      <c r="F85" s="1150">
        <f t="shared" si="20"/>
        <v>0</v>
      </c>
      <c r="G85" s="1150">
        <f t="shared" si="20"/>
        <v>0</v>
      </c>
      <c r="H85" s="1151">
        <f t="shared" si="20"/>
        <v>0</v>
      </c>
    </row>
    <row r="86" spans="1:11" hidden="1">
      <c r="A86" s="1152" t="s">
        <v>4930</v>
      </c>
      <c r="B86" s="1153"/>
      <c r="C86" s="1153"/>
      <c r="D86" s="1153"/>
      <c r="E86" s="1153"/>
      <c r="F86" s="1153"/>
      <c r="G86" s="1153"/>
      <c r="H86" s="1154"/>
    </row>
    <row r="87" spans="1:11" hidden="1">
      <c r="A87" s="1152" t="s">
        <v>4936</v>
      </c>
      <c r="B87" s="1153"/>
      <c r="C87" s="1153"/>
      <c r="D87" s="1153"/>
      <c r="E87" s="1153"/>
      <c r="F87" s="1153"/>
      <c r="G87" s="1153"/>
      <c r="H87" s="1154"/>
    </row>
    <row r="88" spans="1:11" hidden="1">
      <c r="A88" s="1152" t="s">
        <v>4937</v>
      </c>
      <c r="B88" s="1153"/>
      <c r="C88" s="1153"/>
      <c r="D88" s="1153"/>
      <c r="E88" s="1153"/>
      <c r="F88" s="1153"/>
      <c r="G88" s="1153"/>
      <c r="H88" s="1154"/>
    </row>
    <row r="89" spans="1:11" hidden="1">
      <c r="A89" s="1152" t="s">
        <v>4938</v>
      </c>
      <c r="B89" s="1153"/>
      <c r="C89" s="1153"/>
      <c r="D89" s="1153"/>
      <c r="E89" s="1153"/>
      <c r="F89" s="1153"/>
      <c r="G89" s="1153"/>
      <c r="H89" s="1154"/>
    </row>
    <row r="90" spans="1:11" hidden="1">
      <c r="A90" s="1149" t="s">
        <v>4939</v>
      </c>
      <c r="B90" s="1150"/>
      <c r="C90" s="1150"/>
      <c r="D90" s="1150"/>
      <c r="E90" s="1150"/>
      <c r="F90" s="1150"/>
      <c r="G90" s="1150"/>
      <c r="H90" s="1151"/>
    </row>
    <row r="91" spans="1:11" ht="13.5" hidden="1" thickBot="1">
      <c r="A91" s="1906" t="s">
        <v>4940</v>
      </c>
      <c r="B91" s="1907">
        <f>B79-B85</f>
        <v>0</v>
      </c>
      <c r="C91" s="1907">
        <f t="shared" ref="C91:H91" si="21">C79-C85+C90</f>
        <v>0</v>
      </c>
      <c r="D91" s="1907">
        <f t="shared" si="21"/>
        <v>0</v>
      </c>
      <c r="E91" s="1907">
        <f t="shared" si="21"/>
        <v>0</v>
      </c>
      <c r="F91" s="1907">
        <f t="shared" si="21"/>
        <v>0</v>
      </c>
      <c r="G91" s="1907">
        <f t="shared" si="21"/>
        <v>0</v>
      </c>
      <c r="H91" s="1908">
        <f t="shared" si="21"/>
        <v>0</v>
      </c>
    </row>
    <row r="92" spans="1:11" hidden="1">
      <c r="A92" s="1155"/>
      <c r="B92" s="1191"/>
      <c r="C92" s="1191"/>
      <c r="D92" s="1191"/>
      <c r="E92" s="1191"/>
      <c r="F92" s="1191"/>
      <c r="G92" s="1191"/>
      <c r="H92" s="1191"/>
    </row>
    <row r="93" spans="1:11" hidden="1">
      <c r="A93" s="395" t="s">
        <v>4941</v>
      </c>
      <c r="B93" s="1002"/>
      <c r="C93" s="1002"/>
      <c r="D93" s="1002"/>
      <c r="E93" s="1002"/>
      <c r="F93" s="1002"/>
      <c r="G93" s="1002"/>
      <c r="H93" s="1002"/>
    </row>
    <row r="94" spans="1:11" ht="15.75">
      <c r="A94" s="1841" t="s">
        <v>7057</v>
      </c>
      <c r="B94" s="1148"/>
    </row>
    <row r="95" spans="1:11" ht="13.5" thickBot="1"/>
    <row r="96" spans="1:11" ht="13.5" thickBot="1">
      <c r="A96" s="1731" t="s">
        <v>4928</v>
      </c>
      <c r="B96" s="3524">
        <v>2019</v>
      </c>
      <c r="C96" s="3524">
        <v>2020</v>
      </c>
      <c r="D96" s="3524">
        <v>2021</v>
      </c>
      <c r="E96" s="3524">
        <v>2022</v>
      </c>
      <c r="F96" s="3524">
        <v>2023</v>
      </c>
      <c r="G96" s="3946">
        <v>2024</v>
      </c>
      <c r="H96" s="1900">
        <v>2025</v>
      </c>
      <c r="I96" s="3524">
        <v>2026</v>
      </c>
      <c r="J96" s="3524">
        <v>2027</v>
      </c>
      <c r="K96" s="1905">
        <v>2028</v>
      </c>
    </row>
    <row r="97" spans="1:13">
      <c r="A97" s="3507" t="s">
        <v>4929</v>
      </c>
      <c r="B97" s="3526">
        <f>SUM(B98:B102)</f>
        <v>5318402.46</v>
      </c>
      <c r="C97" s="3526">
        <f>SUM(C98:C102)</f>
        <v>4873552.0199999996</v>
      </c>
      <c r="D97" s="3526">
        <v>4783673</v>
      </c>
      <c r="E97" s="3526">
        <v>4338981</v>
      </c>
      <c r="F97" s="3526">
        <v>3946523</v>
      </c>
      <c r="G97" s="3945">
        <v>3545764</v>
      </c>
      <c r="H97" s="1157">
        <v>3136493</v>
      </c>
      <c r="I97" s="1157">
        <v>3136494</v>
      </c>
      <c r="J97" s="1157">
        <v>3136495</v>
      </c>
      <c r="K97" s="1157">
        <v>3136496</v>
      </c>
    </row>
    <row r="98" spans="1:13">
      <c r="A98" s="1152" t="s">
        <v>4930</v>
      </c>
      <c r="B98" s="1153">
        <f>5306724.13+540264.29</f>
        <v>5846988.4199999999</v>
      </c>
      <c r="C98" s="1153">
        <v>5312259</v>
      </c>
      <c r="D98" s="1153">
        <f>4333436.79+444621.43</f>
        <v>4778058.22</v>
      </c>
      <c r="E98" s="1153">
        <f>3940978.99+392457.8</f>
        <v>4333436.79</v>
      </c>
      <c r="F98" s="1153">
        <f>3540149.32+400829.67</f>
        <v>3940978.9899999998</v>
      </c>
      <c r="G98" s="3943">
        <f>3130738.65+409410.67</f>
        <v>3540149.32</v>
      </c>
      <c r="H98" s="1147">
        <f>2725419.77+405318.88</f>
        <v>3130738.65</v>
      </c>
      <c r="I98" s="1147">
        <f>2725419.77+405318.88</f>
        <v>3130738.65</v>
      </c>
      <c r="J98" s="1147">
        <f>2725419.77+405318.88</f>
        <v>3130738.65</v>
      </c>
      <c r="K98" s="1147">
        <f>2725419.77+405318.88</f>
        <v>3130738.65</v>
      </c>
    </row>
    <row r="99" spans="1:13">
      <c r="A99" s="1152" t="s">
        <v>4931</v>
      </c>
      <c r="B99" s="1153"/>
      <c r="C99" s="1153"/>
      <c r="D99" s="1153"/>
      <c r="E99" s="1153"/>
      <c r="F99" s="1153"/>
      <c r="G99" s="3943"/>
      <c r="H99" s="1147"/>
      <c r="I99" s="1147"/>
      <c r="J99" s="1147"/>
      <c r="K99" s="1147"/>
    </row>
    <row r="100" spans="1:13">
      <c r="A100" s="1152" t="s">
        <v>4932</v>
      </c>
      <c r="B100" s="2072"/>
      <c r="C100" s="2072"/>
      <c r="D100" s="2072"/>
      <c r="E100" s="2072"/>
      <c r="F100" s="2072"/>
      <c r="G100" s="2148"/>
      <c r="H100" s="1205"/>
      <c r="I100" s="1205"/>
      <c r="J100" s="1205"/>
      <c r="K100" s="1205"/>
    </row>
    <row r="101" spans="1:13">
      <c r="A101" s="1152" t="s">
        <v>4933</v>
      </c>
      <c r="B101" s="1153">
        <f t="shared" ref="B101:J101" si="22">C105</f>
        <v>-528585.96</v>
      </c>
      <c r="C101" s="1153">
        <f t="shared" si="22"/>
        <v>-438706.98</v>
      </c>
      <c r="D101" s="1153">
        <f t="shared" si="22"/>
        <v>-386235.21</v>
      </c>
      <c r="E101" s="1153">
        <f t="shared" si="22"/>
        <v>-394289.07</v>
      </c>
      <c r="F101" s="1153">
        <f t="shared" si="22"/>
        <v>-402542</v>
      </c>
      <c r="G101" s="1153">
        <f t="shared" si="22"/>
        <v>-398322.81</v>
      </c>
      <c r="H101" s="1153">
        <f t="shared" si="22"/>
        <v>-339389.25</v>
      </c>
      <c r="I101" s="1153">
        <f t="shared" si="22"/>
        <v>-320530.7</v>
      </c>
      <c r="J101" s="1153">
        <f t="shared" si="22"/>
        <v>-326098.53999999998</v>
      </c>
      <c r="K101" s="1147">
        <v>-326099</v>
      </c>
    </row>
    <row r="102" spans="1:13">
      <c r="A102" s="1152" t="s">
        <v>4934</v>
      </c>
      <c r="B102" s="1153"/>
      <c r="C102" s="1153"/>
      <c r="D102" s="1153"/>
      <c r="E102" s="1153"/>
      <c r="F102" s="1153"/>
      <c r="G102" s="3943"/>
      <c r="H102" s="1147"/>
      <c r="I102" s="1147"/>
      <c r="J102" s="1147"/>
      <c r="K102" s="1147"/>
    </row>
    <row r="103" spans="1:13">
      <c r="A103" s="1149" t="s">
        <v>4935</v>
      </c>
      <c r="B103" s="1150">
        <f t="shared" ref="B103:K103" si="23">SUM(B104:B107)</f>
        <v>528585.96</v>
      </c>
      <c r="C103" s="1150">
        <f t="shared" si="23"/>
        <v>438706.98</v>
      </c>
      <c r="D103" s="1150">
        <f t="shared" si="23"/>
        <v>386235.21</v>
      </c>
      <c r="E103" s="1150">
        <f t="shared" si="23"/>
        <v>394289.07</v>
      </c>
      <c r="F103" s="1150">
        <f t="shared" si="23"/>
        <v>402542</v>
      </c>
      <c r="G103" s="3944">
        <f t="shared" si="23"/>
        <v>398322.81</v>
      </c>
      <c r="H103" s="1145">
        <f t="shared" si="23"/>
        <v>339389.25</v>
      </c>
      <c r="I103" s="1145">
        <f t="shared" si="23"/>
        <v>320530.7</v>
      </c>
      <c r="J103" s="1145">
        <f t="shared" si="23"/>
        <v>326098.53999999998</v>
      </c>
      <c r="K103" s="1145">
        <f t="shared" si="23"/>
        <v>326099</v>
      </c>
    </row>
    <row r="104" spans="1:13">
      <c r="A104" s="1152" t="s">
        <v>4930</v>
      </c>
      <c r="B104" s="1153">
        <f t="shared" ref="B104:K104" si="24">-B105</f>
        <v>540264.29</v>
      </c>
      <c r="C104" s="1153">
        <f t="shared" si="24"/>
        <v>528585.96</v>
      </c>
      <c r="D104" s="1153">
        <f t="shared" si="24"/>
        <v>438706.98</v>
      </c>
      <c r="E104" s="1153">
        <f t="shared" si="24"/>
        <v>386235.21</v>
      </c>
      <c r="F104" s="1153">
        <f t="shared" si="24"/>
        <v>394289.07</v>
      </c>
      <c r="G104" s="3943">
        <f t="shared" si="24"/>
        <v>402542</v>
      </c>
      <c r="H104" s="1147">
        <f t="shared" si="24"/>
        <v>398322.81</v>
      </c>
      <c r="I104" s="1147">
        <f t="shared" si="24"/>
        <v>339389.25</v>
      </c>
      <c r="J104" s="1147">
        <f t="shared" si="24"/>
        <v>320530.7</v>
      </c>
      <c r="K104" s="1147">
        <f t="shared" si="24"/>
        <v>326098.53999999998</v>
      </c>
    </row>
    <row r="105" spans="1:13">
      <c r="A105" s="1152" t="s">
        <v>4936</v>
      </c>
      <c r="B105" s="1153">
        <v>-540264.29</v>
      </c>
      <c r="C105" s="1153">
        <v>-528585.96</v>
      </c>
      <c r="D105" s="1153">
        <v>-438706.98</v>
      </c>
      <c r="E105" s="1153">
        <v>-386235.21</v>
      </c>
      <c r="F105" s="1153">
        <v>-394289.07</v>
      </c>
      <c r="G105" s="3943">
        <v>-402542</v>
      </c>
      <c r="H105" s="1147">
        <v>-398322.81</v>
      </c>
      <c r="I105" s="1147">
        <v>-339389.25</v>
      </c>
      <c r="J105" s="1147">
        <v>-320530.7</v>
      </c>
      <c r="K105" s="1147">
        <v>-326098.53999999998</v>
      </c>
      <c r="M105" s="395" t="s">
        <v>7636</v>
      </c>
    </row>
    <row r="106" spans="1:13">
      <c r="A106" s="1152" t="s">
        <v>4937</v>
      </c>
      <c r="B106" s="1153">
        <f t="shared" ref="B106:K106" si="25">-B101</f>
        <v>528585.96</v>
      </c>
      <c r="C106" s="1153">
        <f t="shared" si="25"/>
        <v>438706.98</v>
      </c>
      <c r="D106" s="1153">
        <f t="shared" si="25"/>
        <v>386235.21</v>
      </c>
      <c r="E106" s="1153">
        <f t="shared" si="25"/>
        <v>394289.07</v>
      </c>
      <c r="F106" s="1153">
        <f t="shared" si="25"/>
        <v>402542</v>
      </c>
      <c r="G106" s="3943">
        <f t="shared" si="25"/>
        <v>398322.81</v>
      </c>
      <c r="H106" s="1147">
        <f t="shared" si="25"/>
        <v>339389.25</v>
      </c>
      <c r="I106" s="1147">
        <f t="shared" si="25"/>
        <v>320530.7</v>
      </c>
      <c r="J106" s="1147">
        <f t="shared" si="25"/>
        <v>326098.53999999998</v>
      </c>
      <c r="K106" s="1147">
        <f t="shared" si="25"/>
        <v>326099</v>
      </c>
    </row>
    <row r="107" spans="1:13">
      <c r="A107" s="1152" t="s">
        <v>4938</v>
      </c>
      <c r="B107" s="1153"/>
      <c r="C107" s="1153"/>
      <c r="D107" s="1153"/>
      <c r="E107" s="1153"/>
      <c r="F107" s="1153"/>
      <c r="G107" s="3943"/>
      <c r="H107" s="1147"/>
      <c r="I107" s="1147"/>
      <c r="J107" s="1147"/>
      <c r="K107" s="1147"/>
    </row>
    <row r="108" spans="1:13" ht="13.5" thickBot="1">
      <c r="A108" s="3510" t="s">
        <v>4939</v>
      </c>
      <c r="B108" s="3527"/>
      <c r="C108" s="3527"/>
      <c r="D108" s="3527"/>
      <c r="E108" s="3527"/>
      <c r="F108" s="3527"/>
      <c r="G108" s="3942"/>
      <c r="H108" s="1165"/>
      <c r="I108" s="1165"/>
      <c r="J108" s="1165"/>
      <c r="K108" s="1165"/>
    </row>
    <row r="109" spans="1:13" ht="13.5" thickBot="1">
      <c r="A109" s="1906" t="s">
        <v>4940</v>
      </c>
      <c r="B109" s="3525">
        <f t="shared" ref="B109:K109" si="26">B97+B103+B108</f>
        <v>5846988.4199999999</v>
      </c>
      <c r="C109" s="3525">
        <f t="shared" si="26"/>
        <v>5312259</v>
      </c>
      <c r="D109" s="3525">
        <f t="shared" si="26"/>
        <v>5169908.21</v>
      </c>
      <c r="E109" s="3525">
        <f t="shared" si="26"/>
        <v>4733270.07</v>
      </c>
      <c r="F109" s="3525">
        <f t="shared" si="26"/>
        <v>4349065</v>
      </c>
      <c r="G109" s="3941">
        <f t="shared" si="26"/>
        <v>3944086.81</v>
      </c>
      <c r="H109" s="1902">
        <f t="shared" si="26"/>
        <v>3475882.25</v>
      </c>
      <c r="I109" s="1908">
        <f t="shared" si="26"/>
        <v>3457024.7</v>
      </c>
      <c r="J109" s="1908">
        <f t="shared" si="26"/>
        <v>3462593.54</v>
      </c>
      <c r="K109" s="1908">
        <f t="shared" si="26"/>
        <v>3462595</v>
      </c>
    </row>
    <row r="111" spans="1:13">
      <c r="A111" s="395" t="s">
        <v>4941</v>
      </c>
      <c r="B111" s="1002">
        <v>127253.19</v>
      </c>
      <c r="C111" s="1002">
        <v>109317.61</v>
      </c>
      <c r="D111" s="1002">
        <v>95504.94</v>
      </c>
      <c r="E111" s="1002">
        <v>86130.27</v>
      </c>
      <c r="F111" s="1002">
        <v>78076.42</v>
      </c>
      <c r="G111" s="1002">
        <v>69823.490000000005</v>
      </c>
      <c r="H111" s="1002">
        <v>61290.39</v>
      </c>
      <c r="I111" s="1002">
        <v>52951.3</v>
      </c>
      <c r="J111" s="1002">
        <v>47062.54</v>
      </c>
      <c r="K111" s="1002">
        <v>41494.699999999997</v>
      </c>
    </row>
    <row r="113" spans="1:13" ht="15.75">
      <c r="A113" s="1841" t="s">
        <v>7058</v>
      </c>
      <c r="B113" s="1148"/>
    </row>
    <row r="114" spans="1:13" ht="13.5" thickBot="1"/>
    <row r="115" spans="1:13" ht="13.5" thickBot="1">
      <c r="A115" s="1731" t="s">
        <v>4928</v>
      </c>
      <c r="B115" s="1904">
        <v>2019</v>
      </c>
      <c r="C115" s="1904">
        <v>2020</v>
      </c>
      <c r="D115" s="1904">
        <v>2021</v>
      </c>
      <c r="E115" s="1904">
        <v>2022</v>
      </c>
      <c r="F115" s="1904">
        <v>2023</v>
      </c>
      <c r="G115" s="1904">
        <v>2024</v>
      </c>
      <c r="H115" s="1905">
        <v>2025</v>
      </c>
      <c r="I115" s="3524">
        <v>2026</v>
      </c>
      <c r="J115" s="3524">
        <v>2027</v>
      </c>
      <c r="K115" s="1905">
        <v>2028</v>
      </c>
    </row>
    <row r="116" spans="1:13">
      <c r="A116" s="3507" t="s">
        <v>4929</v>
      </c>
      <c r="B116" s="3508">
        <f t="shared" ref="B116:K116" si="27">SUM(B117:B121)</f>
        <v>13070919.32</v>
      </c>
      <c r="C116" s="3508">
        <f t="shared" si="27"/>
        <v>13103881.76</v>
      </c>
      <c r="D116" s="3508">
        <f t="shared" si="27"/>
        <v>13097234.98</v>
      </c>
      <c r="E116" s="3508">
        <f t="shared" si="27"/>
        <v>13122519.4</v>
      </c>
      <c r="F116" s="3508">
        <f t="shared" si="27"/>
        <v>13135949.949999999</v>
      </c>
      <c r="G116" s="3508">
        <f t="shared" si="27"/>
        <v>13107161.359999999</v>
      </c>
      <c r="H116" s="3509">
        <f t="shared" si="27"/>
        <v>13077574.049999999</v>
      </c>
      <c r="I116" s="3509">
        <f t="shared" si="27"/>
        <v>13047164.099999998</v>
      </c>
      <c r="J116" s="3509">
        <f t="shared" si="27"/>
        <v>13015906.639999999</v>
      </c>
      <c r="K116" s="3509">
        <f t="shared" si="27"/>
        <v>13015906.639999999</v>
      </c>
    </row>
    <row r="117" spans="1:13">
      <c r="A117" s="1152" t="s">
        <v>4930</v>
      </c>
      <c r="B117" s="1153">
        <f>11119317.98+3178195.51</f>
        <v>14297513.49</v>
      </c>
      <c r="C117" s="1153">
        <f t="shared" ref="C117:K117" si="28">B128</f>
        <v>14297513.49</v>
      </c>
      <c r="D117" s="1153">
        <f t="shared" si="28"/>
        <v>14297513.49</v>
      </c>
      <c r="E117" s="1153">
        <f t="shared" si="28"/>
        <v>14297513.49</v>
      </c>
      <c r="F117" s="1153">
        <f t="shared" si="28"/>
        <v>14297513.49</v>
      </c>
      <c r="G117" s="1153">
        <f t="shared" si="28"/>
        <v>14297513.489999998</v>
      </c>
      <c r="H117" s="1154">
        <f t="shared" si="28"/>
        <v>14297513.489999998</v>
      </c>
      <c r="I117" s="1154">
        <f t="shared" si="28"/>
        <v>14297513.489999998</v>
      </c>
      <c r="J117" s="1154">
        <f t="shared" si="28"/>
        <v>14297513.489999998</v>
      </c>
      <c r="K117" s="1154">
        <f t="shared" si="28"/>
        <v>14297513.489999998</v>
      </c>
    </row>
    <row r="118" spans="1:13">
      <c r="A118" s="1152" t="s">
        <v>4931</v>
      </c>
      <c r="B118" s="1153"/>
      <c r="C118" s="1153"/>
      <c r="D118" s="1153"/>
      <c r="E118" s="1153"/>
      <c r="F118" s="1153"/>
      <c r="G118" s="1153"/>
      <c r="H118" s="1154"/>
      <c r="I118" s="1154"/>
      <c r="J118" s="1154"/>
      <c r="K118" s="1154"/>
    </row>
    <row r="119" spans="1:13">
      <c r="A119" s="1152" t="s">
        <v>4932</v>
      </c>
      <c r="B119" s="1153"/>
      <c r="C119" s="1153"/>
      <c r="D119" s="1153"/>
      <c r="E119" s="1153"/>
      <c r="F119" s="1153"/>
      <c r="G119" s="1153"/>
      <c r="H119" s="1154"/>
      <c r="I119" s="1154"/>
      <c r="J119" s="1154"/>
      <c r="K119" s="1154"/>
    </row>
    <row r="120" spans="1:13">
      <c r="A120" s="1152" t="s">
        <v>4933</v>
      </c>
      <c r="B120" s="1153">
        <f t="shared" ref="B120:J120" si="29">C124</f>
        <v>-1226594.17</v>
      </c>
      <c r="C120" s="1153">
        <f t="shared" si="29"/>
        <v>-1193631.73</v>
      </c>
      <c r="D120" s="1153">
        <f t="shared" si="29"/>
        <v>-1200278.51</v>
      </c>
      <c r="E120" s="1153">
        <f t="shared" si="29"/>
        <v>-1174994.0899999999</v>
      </c>
      <c r="F120" s="1153">
        <f t="shared" si="29"/>
        <v>-1161563.54</v>
      </c>
      <c r="G120" s="1153">
        <f t="shared" si="29"/>
        <v>-1190352.1299999999</v>
      </c>
      <c r="H120" s="1153">
        <f t="shared" si="29"/>
        <v>-1219939.44</v>
      </c>
      <c r="I120" s="1153">
        <f t="shared" si="29"/>
        <v>-1250349.3900000001</v>
      </c>
      <c r="J120" s="1153">
        <f t="shared" si="29"/>
        <v>-1281606.8500000001</v>
      </c>
      <c r="K120" s="1154">
        <f>-(1014150.87+267455.98)</f>
        <v>-1281606.8500000001</v>
      </c>
    </row>
    <row r="121" spans="1:13">
      <c r="A121" s="1152" t="s">
        <v>4934</v>
      </c>
      <c r="B121" s="1153"/>
      <c r="C121" s="1153"/>
      <c r="D121" s="1153"/>
      <c r="E121" s="1153"/>
      <c r="F121" s="1153"/>
      <c r="G121" s="1153"/>
      <c r="H121" s="1154"/>
      <c r="I121" s="1154"/>
      <c r="J121" s="1154"/>
      <c r="K121" s="1154"/>
    </row>
    <row r="122" spans="1:13">
      <c r="A122" s="1149" t="s">
        <v>4935</v>
      </c>
      <c r="B122" s="1150">
        <f t="shared" ref="B122:K122" si="30">SUM(B123:B126)</f>
        <v>1226594.17</v>
      </c>
      <c r="C122" s="1150">
        <f t="shared" si="30"/>
        <v>1193631.73</v>
      </c>
      <c r="D122" s="1150">
        <f t="shared" si="30"/>
        <v>1200278.51</v>
      </c>
      <c r="E122" s="1150">
        <f t="shared" si="30"/>
        <v>1174994.0899999999</v>
      </c>
      <c r="F122" s="1150">
        <f t="shared" si="30"/>
        <v>1161563.54</v>
      </c>
      <c r="G122" s="1150">
        <f t="shared" si="30"/>
        <v>1190352.1299999999</v>
      </c>
      <c r="H122" s="1151">
        <f t="shared" si="30"/>
        <v>1219939.44</v>
      </c>
      <c r="I122" s="1151">
        <f t="shared" si="30"/>
        <v>1250349.3900000001</v>
      </c>
      <c r="J122" s="1151">
        <f t="shared" si="30"/>
        <v>1281606.8500000001</v>
      </c>
      <c r="K122" s="1151">
        <f t="shared" si="30"/>
        <v>1281606.8500000001</v>
      </c>
    </row>
    <row r="123" spans="1:13">
      <c r="A123" s="1152" t="s">
        <v>4930</v>
      </c>
      <c r="B123" s="1153">
        <f t="shared" ref="B123:K123" si="31">-B124</f>
        <v>1241473.1200000001</v>
      </c>
      <c r="C123" s="1153">
        <f t="shared" si="31"/>
        <v>1226594.17</v>
      </c>
      <c r="D123" s="1153">
        <f t="shared" si="31"/>
        <v>1193631.73</v>
      </c>
      <c r="E123" s="1153">
        <f t="shared" si="31"/>
        <v>1200278.51</v>
      </c>
      <c r="F123" s="1153">
        <f t="shared" si="31"/>
        <v>1174994.0899999999</v>
      </c>
      <c r="G123" s="1153">
        <f t="shared" si="31"/>
        <v>1161563.54</v>
      </c>
      <c r="H123" s="1154">
        <f t="shared" si="31"/>
        <v>1190352.1299999999</v>
      </c>
      <c r="I123" s="1154">
        <f t="shared" si="31"/>
        <v>1219939.44</v>
      </c>
      <c r="J123" s="1154">
        <f t="shared" si="31"/>
        <v>1250349.3900000001</v>
      </c>
      <c r="K123" s="1154">
        <f t="shared" si="31"/>
        <v>1281606.8500000001</v>
      </c>
    </row>
    <row r="124" spans="1:13">
      <c r="A124" s="1152" t="s">
        <v>4936</v>
      </c>
      <c r="B124" s="1153">
        <f>-(1031200.42+210272.7)</f>
        <v>-1241473.1200000001</v>
      </c>
      <c r="C124" s="1153">
        <f>-(1022926.78+203667.39)</f>
        <v>-1226594.17</v>
      </c>
      <c r="D124" s="1153">
        <f>-(982908.31+210723.42)</f>
        <v>-1193631.73</v>
      </c>
      <c r="E124" s="1153">
        <f>-(982254.57+218023.94)</f>
        <v>-1200278.51</v>
      </c>
      <c r="F124" s="1153">
        <f>-(949416.71+225577.38)</f>
        <v>-1174994.0899999999</v>
      </c>
      <c r="G124" s="1153">
        <f>-(928171.04+233392.5)</f>
        <v>-1161563.54</v>
      </c>
      <c r="H124" s="1154">
        <f>-(948873.76+241478.37)</f>
        <v>-1190352.1299999999</v>
      </c>
      <c r="I124" s="1154">
        <f>-(970095.04+249844.4)</f>
        <v>-1219939.44</v>
      </c>
      <c r="J124" s="1154">
        <f>-(991849.15+258500.24)</f>
        <v>-1250349.3900000001</v>
      </c>
      <c r="K124" s="1154">
        <f>-(1014150.87+267455.98)</f>
        <v>-1281606.8500000001</v>
      </c>
      <c r="M124" s="395" t="s">
        <v>7636</v>
      </c>
    </row>
    <row r="125" spans="1:13">
      <c r="A125" s="1152" t="s">
        <v>4937</v>
      </c>
      <c r="B125" s="1153">
        <f t="shared" ref="B125:K125" si="32">-B120</f>
        <v>1226594.17</v>
      </c>
      <c r="C125" s="1153">
        <f t="shared" si="32"/>
        <v>1193631.73</v>
      </c>
      <c r="D125" s="1153">
        <f t="shared" si="32"/>
        <v>1200278.51</v>
      </c>
      <c r="E125" s="1153">
        <f t="shared" si="32"/>
        <v>1174994.0899999999</v>
      </c>
      <c r="F125" s="1153">
        <f t="shared" si="32"/>
        <v>1161563.54</v>
      </c>
      <c r="G125" s="1153">
        <f t="shared" si="32"/>
        <v>1190352.1299999999</v>
      </c>
      <c r="H125" s="1154">
        <f t="shared" si="32"/>
        <v>1219939.44</v>
      </c>
      <c r="I125" s="1154">
        <f t="shared" si="32"/>
        <v>1250349.3900000001</v>
      </c>
      <c r="J125" s="1154">
        <f t="shared" si="32"/>
        <v>1281606.8500000001</v>
      </c>
      <c r="K125" s="1154">
        <f t="shared" si="32"/>
        <v>1281606.8500000001</v>
      </c>
    </row>
    <row r="126" spans="1:13">
      <c r="A126" s="1152" t="s">
        <v>4938</v>
      </c>
      <c r="B126" s="1153"/>
      <c r="C126" s="1153"/>
      <c r="D126" s="1153"/>
      <c r="E126" s="1153"/>
      <c r="F126" s="1153"/>
      <c r="G126" s="1153"/>
      <c r="H126" s="1154"/>
      <c r="I126" s="1154"/>
      <c r="J126" s="1154"/>
      <c r="K126" s="1154"/>
    </row>
    <row r="127" spans="1:13">
      <c r="A127" s="4318" t="s">
        <v>4939</v>
      </c>
      <c r="B127" s="3527"/>
      <c r="C127" s="3527"/>
      <c r="D127" s="3527"/>
      <c r="E127" s="3527"/>
      <c r="F127" s="3527"/>
      <c r="G127" s="3527"/>
      <c r="H127" s="4319"/>
      <c r="I127" s="4319"/>
      <c r="J127" s="4319"/>
      <c r="K127" s="4319"/>
    </row>
    <row r="128" spans="1:13" ht="13.5" thickBot="1">
      <c r="A128" s="4316" t="s">
        <v>4940</v>
      </c>
      <c r="B128" s="3525">
        <f t="shared" ref="B128:K128" si="33">B116+B122+B127</f>
        <v>14297513.49</v>
      </c>
      <c r="C128" s="3525">
        <f t="shared" si="33"/>
        <v>14297513.49</v>
      </c>
      <c r="D128" s="3525">
        <f t="shared" si="33"/>
        <v>14297513.49</v>
      </c>
      <c r="E128" s="3525">
        <f t="shared" si="33"/>
        <v>14297513.49</v>
      </c>
      <c r="F128" s="3525">
        <f t="shared" si="33"/>
        <v>14297513.489999998</v>
      </c>
      <c r="G128" s="3525">
        <f t="shared" si="33"/>
        <v>14297513.489999998</v>
      </c>
      <c r="H128" s="4317">
        <f t="shared" si="33"/>
        <v>14297513.489999998</v>
      </c>
      <c r="I128" s="4317">
        <f t="shared" si="33"/>
        <v>14297513.489999998</v>
      </c>
      <c r="J128" s="4317">
        <f t="shared" si="33"/>
        <v>14297513.489999998</v>
      </c>
      <c r="K128" s="4317">
        <f t="shared" si="33"/>
        <v>14297513.489999998</v>
      </c>
    </row>
    <row r="130" spans="1:13">
      <c r="A130" s="395" t="s">
        <v>4941</v>
      </c>
      <c r="B130" s="1002">
        <v>146924</v>
      </c>
      <c r="C130" s="1002">
        <v>133532</v>
      </c>
      <c r="D130" s="1002">
        <v>120460</v>
      </c>
      <c r="E130" s="1002">
        <v>107098</v>
      </c>
      <c r="F130" s="1002">
        <v>118774</v>
      </c>
      <c r="G130" s="1002">
        <v>103868</v>
      </c>
      <c r="H130" s="1002">
        <v>101534</v>
      </c>
      <c r="I130" s="1002">
        <v>82329</v>
      </c>
      <c r="J130" s="1002">
        <v>62675</v>
      </c>
      <c r="K130" s="1002">
        <v>42617</v>
      </c>
    </row>
    <row r="131" spans="1:13">
      <c r="B131" s="1002">
        <v>107298.39</v>
      </c>
      <c r="C131" s="1002">
        <v>100214.04</v>
      </c>
      <c r="D131" s="1002">
        <v>93157.99</v>
      </c>
      <c r="E131" s="1002">
        <v>85857.48</v>
      </c>
      <c r="F131" s="1002">
        <v>78304.05</v>
      </c>
      <c r="G131" s="1002">
        <v>70488.929999999993</v>
      </c>
      <c r="H131" s="1002">
        <v>62403.040000000001</v>
      </c>
      <c r="I131" s="1002">
        <v>54037.03</v>
      </c>
      <c r="J131" s="1002">
        <v>45381.18</v>
      </c>
      <c r="K131" s="1002">
        <v>36425.440000000002</v>
      </c>
    </row>
    <row r="133" spans="1:13" ht="15.75">
      <c r="A133" s="1841" t="s">
        <v>7059</v>
      </c>
      <c r="B133" s="1148"/>
    </row>
    <row r="134" spans="1:13" ht="13.5" thickBot="1"/>
    <row r="135" spans="1:13" ht="13.5" thickBot="1">
      <c r="A135" s="1731" t="s">
        <v>4928</v>
      </c>
      <c r="B135" s="1904">
        <v>2019</v>
      </c>
      <c r="C135" s="1904">
        <v>2020</v>
      </c>
      <c r="D135" s="1904">
        <v>2021</v>
      </c>
      <c r="E135" s="1904">
        <v>2022</v>
      </c>
      <c r="F135" s="1904">
        <v>2023</v>
      </c>
      <c r="G135" s="1904">
        <v>2024</v>
      </c>
      <c r="H135" s="1905">
        <v>2025</v>
      </c>
      <c r="I135" s="3524">
        <v>2026</v>
      </c>
      <c r="J135" s="3524">
        <v>2027</v>
      </c>
      <c r="K135" s="1905">
        <v>2028</v>
      </c>
    </row>
    <row r="136" spans="1:13">
      <c r="A136" s="3507" t="s">
        <v>4929</v>
      </c>
      <c r="B136" s="3508">
        <f t="shared" ref="B136:K136" si="34">SUM(B137:B141)</f>
        <v>2009582.5500000003</v>
      </c>
      <c r="C136" s="3508">
        <f t="shared" si="34"/>
        <v>2009299.54</v>
      </c>
      <c r="D136" s="3508">
        <f t="shared" si="34"/>
        <v>2014947.1600000001</v>
      </c>
      <c r="E136" s="3508">
        <f>SUM(E137:E141)</f>
        <v>2018901.1600000001</v>
      </c>
      <c r="F136" s="3508">
        <f>SUM(F137:F141)</f>
        <v>2016073.1600000001</v>
      </c>
      <c r="G136" s="3508">
        <f t="shared" si="34"/>
        <v>2013158.1600000001</v>
      </c>
      <c r="H136" s="3509">
        <f t="shared" si="34"/>
        <v>2007968.7300000002</v>
      </c>
      <c r="I136" s="3509">
        <f t="shared" si="34"/>
        <v>2037084.5000000002</v>
      </c>
      <c r="J136" s="3509">
        <f t="shared" si="34"/>
        <v>2127586.89</v>
      </c>
      <c r="K136" s="3509">
        <f t="shared" si="34"/>
        <v>2127586.89</v>
      </c>
    </row>
    <row r="137" spans="1:13">
      <c r="A137" s="1152" t="s">
        <v>4930</v>
      </c>
      <c r="B137" s="1153">
        <f>2009865.07+178262.09</f>
        <v>2188127.16</v>
      </c>
      <c r="C137" s="1153">
        <f t="shared" ref="C137:K137" si="35">B148</f>
        <v>2188127.16</v>
      </c>
      <c r="D137" s="1153">
        <f t="shared" si="35"/>
        <v>2188127.16</v>
      </c>
      <c r="E137" s="1153">
        <f t="shared" si="35"/>
        <v>2188127.16</v>
      </c>
      <c r="F137" s="1153">
        <f t="shared" si="35"/>
        <v>2188127.16</v>
      </c>
      <c r="G137" s="1153">
        <f t="shared" si="35"/>
        <v>2188127.16</v>
      </c>
      <c r="H137" s="1154">
        <f t="shared" si="35"/>
        <v>2188127.16</v>
      </c>
      <c r="I137" s="1154">
        <f t="shared" si="35"/>
        <v>2188127.16</v>
      </c>
      <c r="J137" s="1154">
        <f t="shared" si="35"/>
        <v>2188127.16</v>
      </c>
      <c r="K137" s="1154">
        <f t="shared" si="35"/>
        <v>2188127.16</v>
      </c>
    </row>
    <row r="138" spans="1:13">
      <c r="A138" s="1152" t="s">
        <v>4931</v>
      </c>
      <c r="B138" s="1153"/>
      <c r="C138" s="1153"/>
      <c r="D138" s="1153"/>
      <c r="E138" s="1153"/>
      <c r="F138" s="1153"/>
      <c r="G138" s="1153"/>
      <c r="H138" s="1154"/>
      <c r="I138" s="1154"/>
      <c r="J138" s="1154"/>
      <c r="K138" s="1154"/>
    </row>
    <row r="139" spans="1:13">
      <c r="A139" s="1152" t="s">
        <v>4932</v>
      </c>
      <c r="B139" s="1153"/>
      <c r="C139" s="1153"/>
      <c r="D139" s="1153"/>
      <c r="E139" s="1153"/>
      <c r="F139" s="1153"/>
      <c r="G139" s="1153"/>
      <c r="H139" s="1154"/>
      <c r="I139" s="1154"/>
      <c r="J139" s="1154"/>
      <c r="K139" s="1154"/>
    </row>
    <row r="140" spans="1:13">
      <c r="A140" s="1152" t="s">
        <v>4933</v>
      </c>
      <c r="B140" s="1153">
        <f t="shared" ref="B140:G140" si="36">C144</f>
        <v>-178544.61</v>
      </c>
      <c r="C140" s="1153">
        <f t="shared" si="36"/>
        <v>-178827.62</v>
      </c>
      <c r="D140" s="1153">
        <f t="shared" si="36"/>
        <v>-173180</v>
      </c>
      <c r="E140" s="1153">
        <f>F144</f>
        <v>-169226</v>
      </c>
      <c r="F140" s="1153">
        <f t="shared" si="36"/>
        <v>-172054</v>
      </c>
      <c r="G140" s="1153">
        <f t="shared" si="36"/>
        <v>-174969</v>
      </c>
      <c r="H140" s="1154">
        <f>-180158.43</f>
        <v>-180158.43</v>
      </c>
      <c r="I140" s="1154">
        <v>-151042.66</v>
      </c>
      <c r="J140" s="1154">
        <v>-60540.27</v>
      </c>
      <c r="K140" s="1154">
        <v>-60540.27</v>
      </c>
    </row>
    <row r="141" spans="1:13">
      <c r="A141" s="1152" t="s">
        <v>4934</v>
      </c>
      <c r="B141" s="1153"/>
      <c r="C141" s="1153"/>
      <c r="D141" s="1153"/>
      <c r="E141" s="1153"/>
      <c r="F141" s="1153"/>
      <c r="G141" s="1153"/>
      <c r="H141" s="1154"/>
      <c r="I141" s="1154"/>
      <c r="J141" s="1154"/>
      <c r="K141" s="1154"/>
    </row>
    <row r="142" spans="1:13">
      <c r="A142" s="1149" t="s">
        <v>4935</v>
      </c>
      <c r="B142" s="1150">
        <f t="shared" ref="B142:K142" si="37">SUM(B143:B146)</f>
        <v>178544.61</v>
      </c>
      <c r="C142" s="1150">
        <f t="shared" si="37"/>
        <v>178827.62</v>
      </c>
      <c r="D142" s="1150">
        <f t="shared" si="37"/>
        <v>173180</v>
      </c>
      <c r="E142" s="1150">
        <f>SUM(E143:E146)</f>
        <v>169226</v>
      </c>
      <c r="F142" s="1150">
        <f>SUM(F143:F146)</f>
        <v>172054</v>
      </c>
      <c r="G142" s="1150">
        <f t="shared" si="37"/>
        <v>174969</v>
      </c>
      <c r="H142" s="1151">
        <f t="shared" si="37"/>
        <v>180158.43</v>
      </c>
      <c r="I142" s="1151">
        <f t="shared" si="37"/>
        <v>151042.66</v>
      </c>
      <c r="J142" s="1151">
        <f t="shared" si="37"/>
        <v>60540.27</v>
      </c>
      <c r="K142" s="1151">
        <f t="shared" si="37"/>
        <v>60540.27</v>
      </c>
    </row>
    <row r="143" spans="1:13">
      <c r="A143" s="1152" t="s">
        <v>4930</v>
      </c>
      <c r="B143" s="1153">
        <f t="shared" ref="B143:K143" si="38">-B144</f>
        <v>178262.09</v>
      </c>
      <c r="C143" s="1153">
        <f t="shared" si="38"/>
        <v>178544.61</v>
      </c>
      <c r="D143" s="1153">
        <f t="shared" si="38"/>
        <v>178827.62</v>
      </c>
      <c r="E143" s="1153">
        <f>-E144</f>
        <v>173180</v>
      </c>
      <c r="F143" s="1153">
        <f t="shared" si="38"/>
        <v>169226</v>
      </c>
      <c r="G143" s="1153">
        <f t="shared" si="38"/>
        <v>172054</v>
      </c>
      <c r="H143" s="1154">
        <f t="shared" si="38"/>
        <v>174969</v>
      </c>
      <c r="I143" s="1154">
        <f t="shared" si="38"/>
        <v>177972</v>
      </c>
      <c r="J143" s="1154">
        <f t="shared" si="38"/>
        <v>148563</v>
      </c>
      <c r="K143" s="1154">
        <f t="shared" si="38"/>
        <v>56324.62</v>
      </c>
    </row>
    <row r="144" spans="1:13">
      <c r="A144" s="1152" t="s">
        <v>4936</v>
      </c>
      <c r="B144" s="1153">
        <v>-178262.09</v>
      </c>
      <c r="C144" s="1153">
        <v>-178544.61</v>
      </c>
      <c r="D144" s="1153">
        <v>-178827.62</v>
      </c>
      <c r="E144" s="1153">
        <v>-173180</v>
      </c>
      <c r="F144" s="1153">
        <v>-169226</v>
      </c>
      <c r="G144" s="1153">
        <v>-172054</v>
      </c>
      <c r="H144" s="1154">
        <v>-174969</v>
      </c>
      <c r="I144" s="1154">
        <v>-177972</v>
      </c>
      <c r="J144" s="1154">
        <v>-148563</v>
      </c>
      <c r="K144" s="1154">
        <v>-56324.62</v>
      </c>
      <c r="M144" s="395" t="s">
        <v>7636</v>
      </c>
    </row>
    <row r="145" spans="1:11">
      <c r="A145" s="1152" t="s">
        <v>4937</v>
      </c>
      <c r="B145" s="1153">
        <f>-B140</f>
        <v>178544.61</v>
      </c>
      <c r="C145" s="1153">
        <f t="shared" ref="C145:K145" si="39">-C140</f>
        <v>178827.62</v>
      </c>
      <c r="D145" s="1153">
        <f t="shared" si="39"/>
        <v>173180</v>
      </c>
      <c r="E145" s="1153">
        <f>-E140</f>
        <v>169226</v>
      </c>
      <c r="F145" s="1153">
        <f t="shared" si="39"/>
        <v>172054</v>
      </c>
      <c r="G145" s="1153">
        <f t="shared" si="39"/>
        <v>174969</v>
      </c>
      <c r="H145" s="1154">
        <f t="shared" si="39"/>
        <v>180158.43</v>
      </c>
      <c r="I145" s="1154">
        <f t="shared" si="39"/>
        <v>151042.66</v>
      </c>
      <c r="J145" s="1154">
        <f t="shared" si="39"/>
        <v>60540.27</v>
      </c>
      <c r="K145" s="1154">
        <f t="shared" si="39"/>
        <v>60540.27</v>
      </c>
    </row>
    <row r="146" spans="1:11">
      <c r="A146" s="1152" t="s">
        <v>4938</v>
      </c>
      <c r="B146" s="1153"/>
      <c r="C146" s="1153"/>
      <c r="D146" s="1153"/>
      <c r="E146" s="1153"/>
      <c r="F146" s="1153"/>
      <c r="G146" s="1153"/>
      <c r="H146" s="1154"/>
      <c r="I146" s="1154"/>
      <c r="J146" s="1154"/>
      <c r="K146" s="1154"/>
    </row>
    <row r="147" spans="1:11" ht="13.5" thickBot="1">
      <c r="A147" s="3510" t="s">
        <v>4939</v>
      </c>
      <c r="B147" s="3511"/>
      <c r="C147" s="3511"/>
      <c r="D147" s="3511"/>
      <c r="E147" s="3511"/>
      <c r="F147" s="3511"/>
      <c r="G147" s="3511"/>
      <c r="H147" s="3512"/>
      <c r="I147" s="3512"/>
      <c r="J147" s="3512"/>
      <c r="K147" s="3512"/>
    </row>
    <row r="148" spans="1:11" ht="13.5" thickBot="1">
      <c r="A148" s="1906" t="s">
        <v>4940</v>
      </c>
      <c r="B148" s="1907">
        <f t="shared" ref="B148:K148" si="40">B136+B142+B147</f>
        <v>2188127.16</v>
      </c>
      <c r="C148" s="1907">
        <f t="shared" si="40"/>
        <v>2188127.16</v>
      </c>
      <c r="D148" s="1907">
        <f t="shared" si="40"/>
        <v>2188127.16</v>
      </c>
      <c r="E148" s="1907">
        <f t="shared" si="40"/>
        <v>2188127.16</v>
      </c>
      <c r="F148" s="1907">
        <f>F136+F142+F147</f>
        <v>2188127.16</v>
      </c>
      <c r="G148" s="1907">
        <f t="shared" si="40"/>
        <v>2188127.16</v>
      </c>
      <c r="H148" s="1907">
        <f t="shared" si="40"/>
        <v>2188127.16</v>
      </c>
      <c r="I148" s="1907">
        <f t="shared" si="40"/>
        <v>2188127.16</v>
      </c>
      <c r="J148" s="1907">
        <f t="shared" si="40"/>
        <v>2188127.16</v>
      </c>
      <c r="K148" s="1907">
        <f t="shared" si="40"/>
        <v>2188127.16</v>
      </c>
    </row>
    <row r="150" spans="1:11">
      <c r="A150" s="395" t="s">
        <v>4941</v>
      </c>
      <c r="B150" s="1002">
        <v>3539.79</v>
      </c>
      <c r="C150" s="1002">
        <v>3257.27</v>
      </c>
      <c r="D150" s="1002">
        <v>2974.26</v>
      </c>
      <c r="E150" s="1002">
        <v>16088.35</v>
      </c>
      <c r="F150" s="1002">
        <v>27785.39</v>
      </c>
      <c r="G150" s="1002">
        <v>24957.15</v>
      </c>
      <c r="H150" s="1002">
        <v>22042.62</v>
      </c>
      <c r="I150" s="1002">
        <v>19039.11</v>
      </c>
      <c r="J150" s="1002">
        <v>22889.46</v>
      </c>
      <c r="K150" s="1002">
        <v>19236.86</v>
      </c>
    </row>
    <row r="151" spans="1:11">
      <c r="I151" s="1633"/>
      <c r="J151" s="1633"/>
      <c r="K151" s="1633"/>
    </row>
    <row r="152" spans="1:11" ht="15.75">
      <c r="A152" s="1841" t="s">
        <v>7060</v>
      </c>
      <c r="B152" s="1148"/>
    </row>
    <row r="153" spans="1:11" ht="13.5" thickBot="1"/>
    <row r="154" spans="1:11" ht="13.5" thickBot="1">
      <c r="A154" s="1731" t="s">
        <v>4928</v>
      </c>
      <c r="B154" s="1904">
        <v>2019</v>
      </c>
      <c r="C154" s="1904">
        <v>2020</v>
      </c>
      <c r="D154" s="1904">
        <v>2021</v>
      </c>
      <c r="E154" s="1904">
        <v>2022</v>
      </c>
      <c r="F154" s="1904">
        <v>2023</v>
      </c>
      <c r="G154" s="1904">
        <v>2024</v>
      </c>
      <c r="H154" s="1905">
        <v>2025</v>
      </c>
      <c r="I154" s="3524">
        <v>2026</v>
      </c>
      <c r="J154" s="3524">
        <v>2027</v>
      </c>
      <c r="K154" s="1905">
        <v>2028</v>
      </c>
    </row>
    <row r="155" spans="1:11">
      <c r="A155" s="3507" t="s">
        <v>4929</v>
      </c>
      <c r="B155" s="3508">
        <v>0</v>
      </c>
      <c r="C155" s="3508">
        <f>SUM(C156:C160)</f>
        <v>0</v>
      </c>
      <c r="D155" s="3508">
        <f>SUM(D156:D160)</f>
        <v>0</v>
      </c>
      <c r="E155" s="3508">
        <f>SUM(E156:E160)</f>
        <v>0</v>
      </c>
      <c r="F155" s="3508">
        <f>SUM(F156:F160)</f>
        <v>6800000</v>
      </c>
      <c r="G155" s="3508">
        <f>SUM(G156:G160)</f>
        <v>14396325</v>
      </c>
      <c r="H155" s="3509">
        <f>SUM(H156:H159)</f>
        <v>21409650</v>
      </c>
      <c r="I155" s="3509">
        <f>SUM(I156:I159)</f>
        <v>25886850</v>
      </c>
      <c r="J155" s="3509">
        <f>SUM(J156:J159)</f>
        <v>30054903</v>
      </c>
      <c r="K155" s="3509">
        <f>SUM(K156:K159)</f>
        <v>36300000</v>
      </c>
    </row>
    <row r="156" spans="1:11">
      <c r="A156" s="1152" t="s">
        <v>4930</v>
      </c>
      <c r="B156" s="1153"/>
      <c r="C156" s="1153"/>
      <c r="D156" s="1153">
        <f t="shared" ref="D156:K156" si="41">C167</f>
        <v>0</v>
      </c>
      <c r="E156" s="1153">
        <f>D167</f>
        <v>0</v>
      </c>
      <c r="F156" s="1153">
        <f>E167</f>
        <v>0</v>
      </c>
      <c r="G156" s="1153">
        <f t="shared" si="41"/>
        <v>6800000</v>
      </c>
      <c r="H156" s="1154">
        <f t="shared" si="41"/>
        <v>15550000</v>
      </c>
      <c r="I156" s="1154">
        <f t="shared" si="41"/>
        <v>22800000</v>
      </c>
      <c r="J156" s="1154">
        <f t="shared" si="41"/>
        <v>27300000</v>
      </c>
      <c r="K156" s="1154">
        <f t="shared" si="41"/>
        <v>31800000</v>
      </c>
    </row>
    <row r="157" spans="1:11">
      <c r="A157" s="1152" t="s">
        <v>4931</v>
      </c>
      <c r="B157" s="1153"/>
      <c r="C157" s="3521"/>
      <c r="D157" s="3521"/>
      <c r="E157" s="3521"/>
      <c r="F157" s="3521">
        <v>6800000</v>
      </c>
      <c r="G157" s="3521">
        <v>8750000</v>
      </c>
      <c r="H157" s="3522">
        <v>7250000</v>
      </c>
      <c r="I157" s="3522">
        <v>4500000</v>
      </c>
      <c r="J157" s="3522">
        <v>4500000</v>
      </c>
      <c r="K157" s="3522">
        <v>4500000</v>
      </c>
    </row>
    <row r="158" spans="1:11">
      <c r="A158" s="1152" t="s">
        <v>4932</v>
      </c>
      <c r="B158" s="1153"/>
      <c r="C158" s="1153"/>
      <c r="D158" s="1153"/>
      <c r="E158" s="1153"/>
      <c r="F158" s="1153"/>
      <c r="G158" s="1153"/>
      <c r="H158" s="1154"/>
      <c r="I158" s="1154"/>
      <c r="J158" s="1154"/>
      <c r="K158" s="1154"/>
    </row>
    <row r="159" spans="1:11">
      <c r="A159" s="1152" t="s">
        <v>4933</v>
      </c>
      <c r="B159" s="1153"/>
      <c r="C159" s="1153"/>
      <c r="D159" s="1153">
        <f>E163</f>
        <v>0</v>
      </c>
      <c r="E159" s="1153"/>
      <c r="F159" s="1153"/>
      <c r="G159" s="1153">
        <f>H163</f>
        <v>-1153675</v>
      </c>
      <c r="H159" s="1154">
        <f>I163</f>
        <v>-1390350</v>
      </c>
      <c r="I159" s="1154">
        <f>J163</f>
        <v>-1413150</v>
      </c>
      <c r="J159" s="1154">
        <f>K163</f>
        <v>-1745097</v>
      </c>
      <c r="K159" s="1154">
        <f>P163</f>
        <v>0</v>
      </c>
    </row>
    <row r="160" spans="1:11">
      <c r="A160" s="1152" t="s">
        <v>4934</v>
      </c>
      <c r="B160" s="1153"/>
      <c r="C160" s="1153"/>
      <c r="D160" s="1153"/>
      <c r="E160" s="1153"/>
      <c r="F160" s="1153"/>
      <c r="G160" s="1153"/>
      <c r="H160" s="1154"/>
      <c r="I160" s="1154"/>
      <c r="J160" s="1154"/>
      <c r="K160" s="1154"/>
    </row>
    <row r="161" spans="1:14">
      <c r="A161" s="1149" t="s">
        <v>4935</v>
      </c>
      <c r="B161" s="1150">
        <f t="shared" ref="B161:K161" si="42">SUM(B162:B165)</f>
        <v>0</v>
      </c>
      <c r="C161" s="1150"/>
      <c r="D161" s="1150">
        <f t="shared" si="42"/>
        <v>0</v>
      </c>
      <c r="E161" s="1150">
        <f>SUM(E162:E165)</f>
        <v>0</v>
      </c>
      <c r="F161" s="1150">
        <f t="shared" si="42"/>
        <v>0</v>
      </c>
      <c r="G161" s="1150">
        <f>SUM(G162:G165)</f>
        <v>1153675</v>
      </c>
      <c r="H161" s="1151">
        <f t="shared" si="42"/>
        <v>1390350</v>
      </c>
      <c r="I161" s="1151">
        <f t="shared" si="42"/>
        <v>1413150</v>
      </c>
      <c r="J161" s="1151">
        <f t="shared" si="42"/>
        <v>1745097</v>
      </c>
      <c r="K161" s="1151">
        <f t="shared" si="42"/>
        <v>0</v>
      </c>
    </row>
    <row r="162" spans="1:14">
      <c r="A162" s="1152" t="s">
        <v>4930</v>
      </c>
      <c r="B162" s="1153"/>
      <c r="C162" s="1153"/>
      <c r="D162" s="1153">
        <f t="shared" ref="D162:K162" si="43">-D163</f>
        <v>0</v>
      </c>
      <c r="E162" s="1153">
        <f t="shared" si="43"/>
        <v>0</v>
      </c>
      <c r="F162" s="1153">
        <f>-F163</f>
        <v>200600</v>
      </c>
      <c r="G162" s="1153">
        <f>-G163</f>
        <v>666125</v>
      </c>
      <c r="H162" s="1154">
        <f t="shared" si="43"/>
        <v>1153675</v>
      </c>
      <c r="I162" s="1154">
        <f t="shared" si="43"/>
        <v>1390350</v>
      </c>
      <c r="J162" s="1154">
        <f t="shared" si="43"/>
        <v>1413150</v>
      </c>
      <c r="K162" s="1154">
        <f t="shared" si="43"/>
        <v>1745097</v>
      </c>
    </row>
    <row r="163" spans="1:14">
      <c r="A163" s="1152" t="s">
        <v>4936</v>
      </c>
      <c r="B163" s="1153"/>
      <c r="C163" s="3529"/>
      <c r="D163" s="3521"/>
      <c r="E163" s="3521"/>
      <c r="F163" s="3521">
        <v>-200600</v>
      </c>
      <c r="G163" s="3521">
        <v>-666125</v>
      </c>
      <c r="H163" s="3522">
        <v>-1153675</v>
      </c>
      <c r="I163" s="3522">
        <v>-1390350</v>
      </c>
      <c r="J163" s="3522">
        <v>-1413150</v>
      </c>
      <c r="K163" s="3522">
        <v>-1745097</v>
      </c>
      <c r="M163" s="395">
        <v>-1745100</v>
      </c>
    </row>
    <row r="164" spans="1:14">
      <c r="A164" s="1152" t="s">
        <v>4937</v>
      </c>
      <c r="B164" s="1153"/>
      <c r="C164" s="1153">
        <f t="shared" ref="C164:K164" si="44">-C159</f>
        <v>0</v>
      </c>
      <c r="D164" s="1153">
        <f t="shared" si="44"/>
        <v>0</v>
      </c>
      <c r="E164" s="1153">
        <f>-E159</f>
        <v>0</v>
      </c>
      <c r="F164" s="1153">
        <f>-F159</f>
        <v>0</v>
      </c>
      <c r="G164" s="1153">
        <f>-G159</f>
        <v>1153675</v>
      </c>
      <c r="H164" s="1154">
        <f>-H159</f>
        <v>1390350</v>
      </c>
      <c r="I164" s="1154">
        <f t="shared" si="44"/>
        <v>1413150</v>
      </c>
      <c r="J164" s="1154">
        <f t="shared" si="44"/>
        <v>1745097</v>
      </c>
      <c r="K164" s="1154">
        <f t="shared" si="44"/>
        <v>0</v>
      </c>
    </row>
    <row r="165" spans="1:14">
      <c r="A165" s="1152" t="s">
        <v>4938</v>
      </c>
      <c r="B165" s="1153"/>
      <c r="C165" s="1153"/>
      <c r="D165" s="1153"/>
      <c r="E165" s="1153"/>
      <c r="F165" s="1153"/>
      <c r="G165" s="1153"/>
      <c r="H165" s="1154"/>
      <c r="I165" s="1154"/>
      <c r="J165" s="1154"/>
      <c r="K165" s="1154"/>
    </row>
    <row r="166" spans="1:14" ht="13.5" thickBot="1">
      <c r="A166" s="3510" t="s">
        <v>4939</v>
      </c>
      <c r="B166" s="3511"/>
      <c r="C166" s="3511"/>
      <c r="D166" s="3511"/>
      <c r="E166" s="3511"/>
      <c r="F166" s="3511"/>
      <c r="G166" s="3511"/>
      <c r="H166" s="3512"/>
      <c r="I166" s="3512"/>
      <c r="J166" s="3512"/>
      <c r="K166" s="3512"/>
    </row>
    <row r="167" spans="1:14" ht="13.5" thickBot="1">
      <c r="A167" s="1906" t="s">
        <v>4940</v>
      </c>
      <c r="B167" s="1907">
        <f t="shared" ref="B167:K167" si="45">B155+B161+B166</f>
        <v>0</v>
      </c>
      <c r="C167" s="1907">
        <f t="shared" si="45"/>
        <v>0</v>
      </c>
      <c r="D167" s="1907">
        <f t="shared" si="45"/>
        <v>0</v>
      </c>
      <c r="E167" s="1907">
        <f>E155+E161+E166</f>
        <v>0</v>
      </c>
      <c r="F167" s="1907">
        <f t="shared" si="45"/>
        <v>6800000</v>
      </c>
      <c r="G167" s="1907">
        <f t="shared" si="45"/>
        <v>15550000</v>
      </c>
      <c r="H167" s="1907">
        <f t="shared" si="45"/>
        <v>22800000</v>
      </c>
      <c r="I167" s="1907">
        <f t="shared" si="45"/>
        <v>27300000</v>
      </c>
      <c r="J167" s="1907">
        <f t="shared" si="45"/>
        <v>31800000</v>
      </c>
      <c r="K167" s="1907">
        <f t="shared" si="45"/>
        <v>36300000</v>
      </c>
    </row>
    <row r="169" spans="1:14">
      <c r="A169" s="395" t="s">
        <v>4941</v>
      </c>
      <c r="B169" s="1002"/>
      <c r="C169" s="3528"/>
      <c r="D169" s="3528"/>
      <c r="E169" s="3528"/>
      <c r="F169" s="3528">
        <v>112200</v>
      </c>
      <c r="G169" s="3528">
        <v>362155</v>
      </c>
      <c r="H169" s="3528">
        <v>604173</v>
      </c>
      <c r="I169" s="3528">
        <v>685727</v>
      </c>
      <c r="J169" s="3528">
        <v>639845</v>
      </c>
      <c r="K169" s="3528"/>
    </row>
    <row r="170" spans="1:14">
      <c r="B170" s="1002"/>
      <c r="C170" s="1002"/>
      <c r="D170" s="1002"/>
      <c r="E170" s="1002"/>
      <c r="F170" s="1002"/>
      <c r="G170" s="1002"/>
      <c r="H170" s="1002"/>
      <c r="I170" s="1002"/>
      <c r="J170" s="1002"/>
    </row>
    <row r="171" spans="1:14" ht="15.75">
      <c r="A171" s="1841" t="s">
        <v>8124</v>
      </c>
      <c r="B171" s="1148"/>
    </row>
    <row r="172" spans="1:14" ht="13.5" thickBot="1"/>
    <row r="173" spans="1:14" ht="13.5" thickBot="1">
      <c r="A173" s="1910" t="s">
        <v>4928</v>
      </c>
      <c r="B173" s="1900">
        <v>2019</v>
      </c>
      <c r="C173" s="1900">
        <v>2020</v>
      </c>
      <c r="D173" s="1911">
        <v>2021</v>
      </c>
      <c r="E173" s="1900">
        <v>2022</v>
      </c>
      <c r="F173" s="1900">
        <v>2023</v>
      </c>
      <c r="G173" s="1900">
        <v>2024</v>
      </c>
      <c r="H173" s="1912">
        <v>2025</v>
      </c>
      <c r="I173" s="3524">
        <v>2026</v>
      </c>
      <c r="J173" s="3524">
        <v>2027</v>
      </c>
      <c r="K173" s="1905">
        <v>2028</v>
      </c>
    </row>
    <row r="174" spans="1:14">
      <c r="A174" s="1156" t="s">
        <v>4929</v>
      </c>
      <c r="B174" s="1157">
        <f t="shared" ref="B174:K174" si="46">SUM(B175:B179)</f>
        <v>-60395</v>
      </c>
      <c r="C174" s="1157">
        <f t="shared" si="46"/>
        <v>1650808.9699999997</v>
      </c>
      <c r="D174" s="1158">
        <f t="shared" si="46"/>
        <v>1555849.9699999997</v>
      </c>
      <c r="E174" s="1157">
        <f t="shared" si="46"/>
        <v>1447257.9699999997</v>
      </c>
      <c r="F174" s="1157">
        <f t="shared" si="46"/>
        <v>1324578.5399999998</v>
      </c>
      <c r="G174" s="1157">
        <f t="shared" si="46"/>
        <v>1187813.1099999999</v>
      </c>
      <c r="H174" s="1159">
        <f t="shared" si="46"/>
        <v>1127417.68</v>
      </c>
      <c r="I174" s="1159">
        <f t="shared" si="46"/>
        <v>1067023.25</v>
      </c>
      <c r="J174" s="1159">
        <f t="shared" si="46"/>
        <v>1006629.82</v>
      </c>
      <c r="K174" s="1159">
        <f t="shared" si="46"/>
        <v>946237.3899999999</v>
      </c>
      <c r="N174" s="1549"/>
    </row>
    <row r="175" spans="1:14">
      <c r="A175" s="1160" t="s">
        <v>4930</v>
      </c>
      <c r="B175" s="1147"/>
      <c r="C175" s="3523">
        <f>3609896.82-1959088.28+60395.43</f>
        <v>1711203.9699999997</v>
      </c>
      <c r="D175" s="1161">
        <f t="shared" ref="D175:K175" si="47">C174</f>
        <v>1650808.9699999997</v>
      </c>
      <c r="E175" s="1147">
        <f t="shared" si="47"/>
        <v>1555849.9699999997</v>
      </c>
      <c r="F175" s="1147">
        <f t="shared" si="47"/>
        <v>1447257.9699999997</v>
      </c>
      <c r="G175" s="1147">
        <f t="shared" si="47"/>
        <v>1324578.5399999998</v>
      </c>
      <c r="H175" s="1162">
        <f t="shared" si="47"/>
        <v>1187813.1099999999</v>
      </c>
      <c r="I175" s="1162">
        <f t="shared" si="47"/>
        <v>1127417.68</v>
      </c>
      <c r="J175" s="1162">
        <f t="shared" si="47"/>
        <v>1067023.25</v>
      </c>
      <c r="K175" s="1162">
        <f t="shared" si="47"/>
        <v>1006629.82</v>
      </c>
    </row>
    <row r="176" spans="1:14">
      <c r="A176" s="1160" t="s">
        <v>4931</v>
      </c>
      <c r="B176" s="1147"/>
      <c r="C176" s="1147"/>
      <c r="D176" s="1161"/>
      <c r="E176" s="1147"/>
      <c r="F176" s="1147"/>
      <c r="G176" s="1147"/>
      <c r="H176" s="1162"/>
      <c r="I176" s="1162"/>
      <c r="J176" s="1162"/>
      <c r="K176" s="1162"/>
    </row>
    <row r="177" spans="1:15">
      <c r="A177" s="1160" t="s">
        <v>4932</v>
      </c>
      <c r="B177" s="1147"/>
      <c r="C177" s="1147"/>
      <c r="D177" s="1161"/>
      <c r="E177" s="1147"/>
      <c r="F177" s="1147"/>
      <c r="G177" s="1147"/>
      <c r="H177" s="1162"/>
      <c r="I177" s="1162"/>
      <c r="J177" s="1162"/>
      <c r="K177" s="1162"/>
    </row>
    <row r="178" spans="1:15">
      <c r="A178" s="1160" t="s">
        <v>4933</v>
      </c>
      <c r="B178" s="1147">
        <f t="shared" ref="B178:G178" si="48">C182</f>
        <v>-60395</v>
      </c>
      <c r="C178" s="1147">
        <f t="shared" si="48"/>
        <v>-60395</v>
      </c>
      <c r="D178" s="1147">
        <f t="shared" si="48"/>
        <v>-94959</v>
      </c>
      <c r="E178" s="1147">
        <f t="shared" si="48"/>
        <v>-108592</v>
      </c>
      <c r="F178" s="1147">
        <f t="shared" si="48"/>
        <v>-122679.43</v>
      </c>
      <c r="G178" s="1147">
        <f t="shared" si="48"/>
        <v>-136765.43</v>
      </c>
      <c r="H178" s="1147">
        <v>-60395.43</v>
      </c>
      <c r="I178" s="1147">
        <v>-60394.43</v>
      </c>
      <c r="J178" s="1147">
        <v>-60393.43</v>
      </c>
      <c r="K178" s="1147">
        <v>-60392.43</v>
      </c>
    </row>
    <row r="179" spans="1:15">
      <c r="A179" s="1160" t="s">
        <v>4934</v>
      </c>
      <c r="B179" s="1147"/>
      <c r="C179" s="1147"/>
      <c r="D179" s="1161"/>
      <c r="E179" s="1147"/>
      <c r="F179" s="1147"/>
      <c r="G179" s="1147"/>
      <c r="H179" s="1162"/>
      <c r="I179" s="1162"/>
      <c r="J179" s="1162"/>
      <c r="K179" s="1162"/>
    </row>
    <row r="180" spans="1:15">
      <c r="A180" s="1156" t="s">
        <v>4935</v>
      </c>
      <c r="B180" s="1145">
        <f t="shared" ref="B180:K180" si="49">SUM(B181:B184)</f>
        <v>60395</v>
      </c>
      <c r="C180" s="1145">
        <f t="shared" si="49"/>
        <v>60395</v>
      </c>
      <c r="D180" s="1163">
        <f t="shared" si="49"/>
        <v>94959</v>
      </c>
      <c r="E180" s="1145">
        <f t="shared" si="49"/>
        <v>108592</v>
      </c>
      <c r="F180" s="1145">
        <f t="shared" si="49"/>
        <v>122679.43</v>
      </c>
      <c r="G180" s="1145">
        <f t="shared" si="49"/>
        <v>136765.43</v>
      </c>
      <c r="H180" s="1164">
        <f t="shared" si="49"/>
        <v>60395.43</v>
      </c>
      <c r="I180" s="1164">
        <f t="shared" si="49"/>
        <v>60394.43</v>
      </c>
      <c r="J180" s="1164">
        <f t="shared" si="49"/>
        <v>60393.43</v>
      </c>
      <c r="K180" s="1164">
        <f t="shared" si="49"/>
        <v>60392.43</v>
      </c>
    </row>
    <row r="181" spans="1:15">
      <c r="A181" s="1160" t="s">
        <v>4930</v>
      </c>
      <c r="B181" s="1147">
        <f t="shared" ref="B181:K181" si="50">-B182</f>
        <v>1898692.85</v>
      </c>
      <c r="C181" s="1147">
        <f t="shared" si="50"/>
        <v>60395</v>
      </c>
      <c r="D181" s="1147">
        <f t="shared" si="50"/>
        <v>60395</v>
      </c>
      <c r="E181" s="1147">
        <f t="shared" si="50"/>
        <v>94959</v>
      </c>
      <c r="F181" s="1147">
        <f t="shared" si="50"/>
        <v>108592</v>
      </c>
      <c r="G181" s="1147">
        <f t="shared" si="50"/>
        <v>122679.43</v>
      </c>
      <c r="H181" s="1147">
        <f t="shared" si="50"/>
        <v>136765.43</v>
      </c>
      <c r="I181" s="1147">
        <f t="shared" si="50"/>
        <v>136764.43</v>
      </c>
      <c r="J181" s="1147">
        <f t="shared" si="50"/>
        <v>136763.43</v>
      </c>
      <c r="K181" s="1147">
        <f t="shared" si="50"/>
        <v>136762.43</v>
      </c>
    </row>
    <row r="182" spans="1:15">
      <c r="A182" s="1160" t="s">
        <v>4936</v>
      </c>
      <c r="B182" s="1147">
        <f>-1959088.28+60395.43</f>
        <v>-1898692.85</v>
      </c>
      <c r="C182" s="1147">
        <v>-60395</v>
      </c>
      <c r="D182" s="1161">
        <v>-60395</v>
      </c>
      <c r="E182" s="1147">
        <f>-60395-34564</f>
        <v>-94959</v>
      </c>
      <c r="F182" s="1147">
        <f>-60395-48197</f>
        <v>-108592</v>
      </c>
      <c r="G182" s="1147">
        <f>-60395.43-62284</f>
        <v>-122679.43</v>
      </c>
      <c r="H182" s="1162">
        <f>-60395.43-76370</f>
        <v>-136765.43</v>
      </c>
      <c r="I182" s="1162">
        <f>-60394.43-76370</f>
        <v>-136764.43</v>
      </c>
      <c r="J182" s="1162">
        <f>-60393.43-76370</f>
        <v>-136763.43</v>
      </c>
      <c r="K182" s="1162">
        <f>-60392.43-76370</f>
        <v>-136762.43</v>
      </c>
    </row>
    <row r="183" spans="1:15">
      <c r="A183" s="1160" t="s">
        <v>4937</v>
      </c>
      <c r="B183" s="1147">
        <f t="shared" ref="B183:K183" si="51">-B178</f>
        <v>60395</v>
      </c>
      <c r="C183" s="1147">
        <f t="shared" si="51"/>
        <v>60395</v>
      </c>
      <c r="D183" s="1147">
        <f t="shared" si="51"/>
        <v>94959</v>
      </c>
      <c r="E183" s="1147">
        <f t="shared" si="51"/>
        <v>108592</v>
      </c>
      <c r="F183" s="1147">
        <f t="shared" si="51"/>
        <v>122679.43</v>
      </c>
      <c r="G183" s="1147">
        <f t="shared" si="51"/>
        <v>136765.43</v>
      </c>
      <c r="H183" s="1147">
        <f t="shared" si="51"/>
        <v>60395.43</v>
      </c>
      <c r="I183" s="1147">
        <f t="shared" si="51"/>
        <v>60394.43</v>
      </c>
      <c r="J183" s="1147">
        <f t="shared" si="51"/>
        <v>60393.43</v>
      </c>
      <c r="K183" s="1147">
        <f t="shared" si="51"/>
        <v>60392.43</v>
      </c>
    </row>
    <row r="184" spans="1:15">
      <c r="A184" s="1160" t="s">
        <v>4938</v>
      </c>
      <c r="B184" s="1147"/>
      <c r="C184" s="1147"/>
      <c r="D184" s="1161"/>
      <c r="E184" s="1147"/>
      <c r="F184" s="1147"/>
      <c r="G184" s="1147"/>
      <c r="H184" s="1162"/>
      <c r="I184" s="1162"/>
      <c r="J184" s="1162"/>
      <c r="K184" s="1162"/>
    </row>
    <row r="185" spans="1:15" ht="13.5" thickBot="1">
      <c r="A185" s="1156" t="s">
        <v>4939</v>
      </c>
      <c r="B185" s="1165"/>
      <c r="C185" s="1165"/>
      <c r="D185" s="1166"/>
      <c r="E185" s="1165"/>
      <c r="F185" s="1165"/>
      <c r="G185" s="1165"/>
      <c r="H185" s="1167"/>
      <c r="I185" s="1167"/>
      <c r="J185" s="1167"/>
      <c r="K185" s="1167"/>
    </row>
    <row r="186" spans="1:15" ht="13.5" thickBot="1">
      <c r="A186" s="1921" t="s">
        <v>4940</v>
      </c>
      <c r="B186" s="1902">
        <f t="shared" ref="B186:K186" si="52">B174+B180+B185</f>
        <v>0</v>
      </c>
      <c r="C186" s="1902">
        <f t="shared" si="52"/>
        <v>1711203.9699999997</v>
      </c>
      <c r="D186" s="1902">
        <f t="shared" si="52"/>
        <v>1650808.9699999997</v>
      </c>
      <c r="E186" s="1902">
        <f t="shared" si="52"/>
        <v>1555849.9699999997</v>
      </c>
      <c r="F186" s="1902">
        <f t="shared" si="52"/>
        <v>1447257.9699999997</v>
      </c>
      <c r="G186" s="1902">
        <f t="shared" si="52"/>
        <v>1324578.5399999998</v>
      </c>
      <c r="H186" s="1902">
        <f t="shared" si="52"/>
        <v>1187813.1099999999</v>
      </c>
      <c r="I186" s="1902">
        <f t="shared" si="52"/>
        <v>1127417.68</v>
      </c>
      <c r="J186" s="1902">
        <f t="shared" si="52"/>
        <v>1067023.25</v>
      </c>
      <c r="K186" s="1902">
        <f t="shared" si="52"/>
        <v>1006629.82</v>
      </c>
    </row>
    <row r="189" spans="1:15">
      <c r="A189" s="1192" t="s">
        <v>4942</v>
      </c>
      <c r="B189" s="1192"/>
      <c r="C189" s="1192"/>
      <c r="D189" s="1192"/>
      <c r="E189" s="1192"/>
      <c r="F189" s="1192"/>
      <c r="G189" s="1192"/>
      <c r="H189" s="1193"/>
      <c r="I189" s="1193"/>
      <c r="J189" s="1193"/>
      <c r="K189" s="1184"/>
      <c r="L189" s="1184"/>
      <c r="M189" s="1184"/>
      <c r="N189" s="1184"/>
      <c r="O189" s="1184"/>
    </row>
    <row r="190" spans="1:15">
      <c r="A190" s="1184"/>
      <c r="B190" s="1194"/>
      <c r="C190" s="1184"/>
      <c r="D190" s="1184"/>
      <c r="E190" s="1184"/>
      <c r="F190" s="1184"/>
      <c r="G190" s="1184"/>
      <c r="H190" s="1184"/>
      <c r="I190" s="1184"/>
      <c r="J190" s="1184"/>
      <c r="K190" s="1184"/>
      <c r="L190" s="1184"/>
      <c r="M190" s="1184"/>
      <c r="N190" s="1184"/>
      <c r="O190" s="1184"/>
    </row>
    <row r="191" spans="1:15">
      <c r="A191" s="1182"/>
      <c r="B191" s="1195"/>
      <c r="C191" s="1184"/>
      <c r="D191" s="1184"/>
      <c r="E191" s="1184"/>
      <c r="F191" s="1184"/>
      <c r="G191" s="1184"/>
      <c r="H191" s="1184"/>
      <c r="I191" s="1184"/>
      <c r="J191" s="1184"/>
      <c r="K191" s="1184"/>
      <c r="L191" s="1184"/>
      <c r="M191" s="1184"/>
      <c r="N191" s="1184"/>
      <c r="O191" s="1184"/>
    </row>
    <row r="192" spans="1:15" ht="13.5" thickBot="1">
      <c r="A192" s="1182"/>
      <c r="B192" s="1195"/>
      <c r="C192" s="1184"/>
      <c r="D192" s="1184"/>
      <c r="E192" s="1184"/>
      <c r="F192" s="1184"/>
      <c r="G192" s="1184"/>
      <c r="H192" s="1184"/>
      <c r="I192" s="1184"/>
      <c r="J192" s="1196"/>
      <c r="K192" s="1184"/>
      <c r="L192" s="1184"/>
      <c r="M192" s="1184"/>
      <c r="N192" s="1184"/>
      <c r="O192" s="1184"/>
    </row>
    <row r="193" spans="1:15" ht="64.5" thickBot="1">
      <c r="A193" s="1913" t="s">
        <v>4943</v>
      </c>
      <c r="B193" s="1914"/>
      <c r="C193" s="1915" t="s">
        <v>4944</v>
      </c>
      <c r="D193" s="1916"/>
      <c r="E193" s="1916"/>
      <c r="F193" s="1917">
        <v>2020</v>
      </c>
      <c r="G193" s="1917">
        <v>2021</v>
      </c>
      <c r="H193" s="1917">
        <v>2022</v>
      </c>
      <c r="I193" s="1917">
        <v>2023</v>
      </c>
      <c r="J193" s="1917">
        <v>2024</v>
      </c>
      <c r="K193" s="1918">
        <v>2025</v>
      </c>
      <c r="L193" s="3524">
        <v>2026</v>
      </c>
      <c r="M193" s="3524">
        <v>2027</v>
      </c>
      <c r="N193" s="1905">
        <v>2028</v>
      </c>
    </row>
    <row r="194" spans="1:15">
      <c r="A194" s="1168" t="s">
        <v>4945</v>
      </c>
      <c r="B194" s="1199" t="s">
        <v>4946</v>
      </c>
      <c r="C194" s="1169"/>
      <c r="D194" s="1894"/>
      <c r="E194" s="1894"/>
      <c r="F194" s="1170">
        <f t="shared" ref="F194:N194" si="53">F195-F196</f>
        <v>3826707</v>
      </c>
      <c r="G194" s="1170">
        <f t="shared" si="53"/>
        <v>3953398</v>
      </c>
      <c r="H194" s="1170">
        <f t="shared" si="53"/>
        <v>4194087</v>
      </c>
      <c r="I194" s="1170">
        <f t="shared" si="53"/>
        <v>4150265</v>
      </c>
      <c r="J194" s="1170">
        <f t="shared" si="53"/>
        <v>3940939</v>
      </c>
      <c r="K194" s="1170">
        <f t="shared" si="53"/>
        <v>3776812</v>
      </c>
      <c r="L194" s="1170">
        <f t="shared" si="53"/>
        <v>3776812</v>
      </c>
      <c r="M194" s="1170">
        <f t="shared" si="53"/>
        <v>3776812</v>
      </c>
      <c r="N194" s="1170">
        <f t="shared" si="53"/>
        <v>3776812</v>
      </c>
    </row>
    <row r="195" spans="1:15">
      <c r="A195" s="1200" t="s">
        <v>4947</v>
      </c>
      <c r="B195" s="1199"/>
      <c r="C195" s="4909" t="s">
        <v>4948</v>
      </c>
      <c r="D195" s="4910"/>
      <c r="E195" s="4911"/>
      <c r="F195" s="1172">
        <v>37214874</v>
      </c>
      <c r="G195" s="1172">
        <v>38188254</v>
      </c>
      <c r="H195" s="1172">
        <v>38967144</v>
      </c>
      <c r="I195" s="1172">
        <v>40035251</v>
      </c>
      <c r="J195" s="1172">
        <v>41039704</v>
      </c>
      <c r="K195" s="1173">
        <v>41917014</v>
      </c>
      <c r="L195" s="1173">
        <v>41917014</v>
      </c>
      <c r="M195" s="1173">
        <v>41917014</v>
      </c>
      <c r="N195" s="1173">
        <v>41917014</v>
      </c>
    </row>
    <row r="196" spans="1:15">
      <c r="A196" s="1200" t="s">
        <v>4949</v>
      </c>
      <c r="B196" s="1199"/>
      <c r="C196" s="4909" t="s">
        <v>4950</v>
      </c>
      <c r="D196" s="4910"/>
      <c r="E196" s="4911"/>
      <c r="F196" s="1172">
        <v>33388167</v>
      </c>
      <c r="G196" s="1172">
        <v>34234856</v>
      </c>
      <c r="H196" s="1172">
        <v>34773057</v>
      </c>
      <c r="I196" s="1172">
        <v>35884986</v>
      </c>
      <c r="J196" s="1172">
        <v>37098765</v>
      </c>
      <c r="K196" s="1173">
        <v>38140202</v>
      </c>
      <c r="L196" s="1173">
        <v>38140202</v>
      </c>
      <c r="M196" s="1173">
        <v>38140202</v>
      </c>
      <c r="N196" s="1173">
        <v>38140202</v>
      </c>
    </row>
    <row r="197" spans="1:15">
      <c r="A197" s="1174" t="s">
        <v>4951</v>
      </c>
      <c r="B197" s="1199" t="s">
        <v>4946</v>
      </c>
      <c r="C197" s="1175"/>
      <c r="D197" s="1896"/>
      <c r="E197" s="1896"/>
      <c r="F197" s="1176">
        <f t="shared" ref="F197:N197" si="54">F198-F199</f>
        <v>-2340577.79</v>
      </c>
      <c r="G197" s="1176">
        <f t="shared" si="54"/>
        <v>-1874542.33</v>
      </c>
      <c r="H197" s="1176">
        <f t="shared" si="54"/>
        <v>-1854652.72</v>
      </c>
      <c r="I197" s="1176">
        <f t="shared" si="54"/>
        <v>-2047701.16</v>
      </c>
      <c r="J197" s="1176">
        <f t="shared" si="54"/>
        <v>-2524963.9700000002</v>
      </c>
      <c r="K197" s="1177">
        <f t="shared" si="54"/>
        <v>-3054084.37</v>
      </c>
      <c r="L197" s="1177" t="e">
        <f t="shared" si="54"/>
        <v>#VALUE!</v>
      </c>
      <c r="M197" s="1177">
        <f t="shared" si="54"/>
        <v>-3269356.52</v>
      </c>
      <c r="N197" s="1177">
        <f t="shared" si="54"/>
        <v>-3545889.4400000004</v>
      </c>
    </row>
    <row r="198" spans="1:15" ht="38.25" customHeight="1">
      <c r="A198" s="1200" t="s">
        <v>4952</v>
      </c>
      <c r="B198" s="1199"/>
      <c r="C198" s="4909" t="s">
        <v>4953</v>
      </c>
      <c r="D198" s="4910"/>
      <c r="E198" s="4911"/>
      <c r="F198" s="1172">
        <f t="shared" ref="F198:K198" si="55">C69+C71</f>
        <v>-2003033.79</v>
      </c>
      <c r="G198" s="1172">
        <f t="shared" si="55"/>
        <v>-1874542.33</v>
      </c>
      <c r="H198" s="1172">
        <f t="shared" si="55"/>
        <v>-1854652.72</v>
      </c>
      <c r="I198" s="1172">
        <f t="shared" si="55"/>
        <v>-2047701.16</v>
      </c>
      <c r="J198" s="1172">
        <f t="shared" si="55"/>
        <v>-2524963.9700000002</v>
      </c>
      <c r="K198" s="1172">
        <f t="shared" si="55"/>
        <v>-3054084.37</v>
      </c>
      <c r="L198" s="1172" t="e">
        <f>L69+I71</f>
        <v>#VALUE!</v>
      </c>
      <c r="M198" s="1172">
        <f>J69+J71</f>
        <v>-3269356.52</v>
      </c>
      <c r="N198" s="1172">
        <f>K69+K71</f>
        <v>-3545889.4400000004</v>
      </c>
    </row>
    <row r="199" spans="1:15" ht="35.25" customHeight="1" thickBot="1">
      <c r="A199" s="1200" t="s">
        <v>4954</v>
      </c>
      <c r="B199" s="1199"/>
      <c r="C199" s="4912" t="s">
        <v>4955</v>
      </c>
      <c r="D199" s="4913"/>
      <c r="E199" s="4914"/>
      <c r="F199" s="1201">
        <v>337544</v>
      </c>
      <c r="G199" s="1201"/>
      <c r="H199" s="1201"/>
      <c r="I199" s="1201"/>
      <c r="J199" s="1201"/>
      <c r="K199" s="1202"/>
      <c r="L199" s="1202"/>
      <c r="M199" s="1202"/>
      <c r="N199" s="1202"/>
    </row>
    <row r="200" spans="1:15" ht="13.5" thickBot="1">
      <c r="A200" s="1178" t="s">
        <v>4956</v>
      </c>
      <c r="B200" s="1203" t="s">
        <v>4957</v>
      </c>
      <c r="C200" s="1179">
        <f>C194-C197</f>
        <v>0</v>
      </c>
      <c r="D200" s="1897"/>
      <c r="E200" s="1897"/>
      <c r="F200" s="1180">
        <f t="shared" ref="F200:N200" si="56">F194-F197</f>
        <v>6167284.79</v>
      </c>
      <c r="G200" s="1180">
        <f t="shared" si="56"/>
        <v>5827940.3300000001</v>
      </c>
      <c r="H200" s="1180">
        <f t="shared" si="56"/>
        <v>6048739.7199999997</v>
      </c>
      <c r="I200" s="1180">
        <f t="shared" si="56"/>
        <v>6197966.1600000001</v>
      </c>
      <c r="J200" s="1180">
        <f t="shared" si="56"/>
        <v>6465902.9700000007</v>
      </c>
      <c r="K200" s="1181">
        <f t="shared" si="56"/>
        <v>6830896.3700000001</v>
      </c>
      <c r="L200" s="1181" t="e">
        <f t="shared" si="56"/>
        <v>#VALUE!</v>
      </c>
      <c r="M200" s="1181">
        <f t="shared" si="56"/>
        <v>7046168.5199999996</v>
      </c>
      <c r="N200" s="1181">
        <f t="shared" si="56"/>
        <v>7322701.4400000004</v>
      </c>
    </row>
    <row r="201" spans="1:15">
      <c r="A201" s="1182"/>
      <c r="B201" s="1195"/>
      <c r="C201" s="1183"/>
      <c r="D201" s="1183"/>
      <c r="E201" s="1183"/>
      <c r="F201" s="1184"/>
      <c r="G201" s="1184"/>
      <c r="H201" s="1184"/>
      <c r="I201" s="1184"/>
      <c r="J201" s="1184"/>
      <c r="K201" s="1184"/>
      <c r="L201" s="1184"/>
      <c r="M201" s="1184"/>
      <c r="N201" s="1184"/>
      <c r="O201" s="1184"/>
    </row>
    <row r="202" spans="1:15" ht="13.5" thickBot="1">
      <c r="A202" s="1182"/>
      <c r="B202" s="1195"/>
      <c r="C202" s="1183"/>
      <c r="D202" s="1183"/>
      <c r="E202" s="1183"/>
      <c r="F202" s="1184"/>
      <c r="G202" s="1184"/>
      <c r="H202" s="1184"/>
      <c r="I202" s="1184"/>
      <c r="J202" s="1196"/>
      <c r="K202" s="1184"/>
      <c r="L202" s="1184"/>
      <c r="M202" s="1184"/>
      <c r="N202" s="1184"/>
      <c r="O202" s="1184"/>
    </row>
    <row r="203" spans="1:15" ht="13.5" thickBot="1">
      <c r="A203" s="1197" t="s">
        <v>4958</v>
      </c>
      <c r="B203" s="1198"/>
      <c r="C203" s="1204"/>
      <c r="D203" s="1898"/>
      <c r="E203" s="1898"/>
      <c r="F203" s="1185">
        <v>2020</v>
      </c>
      <c r="G203" s="1185">
        <v>2021</v>
      </c>
      <c r="H203" s="1185">
        <v>2022</v>
      </c>
      <c r="I203" s="1185">
        <v>2023</v>
      </c>
      <c r="J203" s="1185">
        <v>2024</v>
      </c>
      <c r="K203" s="1186">
        <v>2025</v>
      </c>
      <c r="L203" s="1185">
        <v>2026</v>
      </c>
      <c r="M203" s="1185">
        <v>2027</v>
      </c>
      <c r="N203" s="1186">
        <v>2028</v>
      </c>
    </row>
    <row r="204" spans="1:15">
      <c r="A204" s="1187" t="s">
        <v>4959</v>
      </c>
      <c r="B204" s="1199"/>
      <c r="C204" s="4915" t="s">
        <v>4960</v>
      </c>
      <c r="D204" s="4916"/>
      <c r="E204" s="4917"/>
      <c r="F204" s="1188">
        <f t="shared" ref="F204:N204" si="57">F200</f>
        <v>6167284.79</v>
      </c>
      <c r="G204" s="1188">
        <f t="shared" si="57"/>
        <v>5827940.3300000001</v>
      </c>
      <c r="H204" s="1188">
        <f t="shared" si="57"/>
        <v>6048739.7199999997</v>
      </c>
      <c r="I204" s="1188">
        <f t="shared" si="57"/>
        <v>6197966.1600000001</v>
      </c>
      <c r="J204" s="1188">
        <f t="shared" si="57"/>
        <v>6465902.9700000007</v>
      </c>
      <c r="K204" s="1188">
        <f t="shared" si="57"/>
        <v>6830896.3700000001</v>
      </c>
      <c r="L204" s="1188" t="e">
        <f t="shared" si="57"/>
        <v>#VALUE!</v>
      </c>
      <c r="M204" s="1188">
        <f t="shared" si="57"/>
        <v>7046168.5199999996</v>
      </c>
      <c r="N204" s="1188">
        <f t="shared" si="57"/>
        <v>7322701.4400000004</v>
      </c>
    </row>
    <row r="205" spans="1:15">
      <c r="A205" s="1187" t="s">
        <v>4961</v>
      </c>
      <c r="B205" s="1199" t="s">
        <v>4946</v>
      </c>
      <c r="C205" s="3896"/>
      <c r="D205" s="3897"/>
      <c r="E205" s="3898"/>
      <c r="F205" s="1188">
        <f t="shared" ref="F205:N205" si="58">F206-F207</f>
        <v>-1998202.19</v>
      </c>
      <c r="G205" s="1188">
        <f t="shared" si="58"/>
        <v>-3471785.3868000004</v>
      </c>
      <c r="H205" s="1188">
        <f t="shared" si="58"/>
        <v>-3301932.3903999999</v>
      </c>
      <c r="I205" s="1188">
        <f t="shared" si="58"/>
        <v>-3346608.6128000002</v>
      </c>
      <c r="J205" s="1188">
        <f t="shared" si="58"/>
        <v>-4220103.33</v>
      </c>
      <c r="K205" s="1188">
        <f t="shared" si="58"/>
        <v>-5300516.6124000009</v>
      </c>
      <c r="L205" s="1188" t="e">
        <f t="shared" si="58"/>
        <v>#VALUE!</v>
      </c>
      <c r="M205" s="1188">
        <f t="shared" si="58"/>
        <v>-5956243.4088000003</v>
      </c>
      <c r="N205" s="1188">
        <f t="shared" si="58"/>
        <v>-6337138.9544000011</v>
      </c>
    </row>
    <row r="206" spans="1:15">
      <c r="A206" s="1200" t="s">
        <v>4952</v>
      </c>
      <c r="B206" s="1199"/>
      <c r="C206" s="4909" t="s">
        <v>4962</v>
      </c>
      <c r="D206" s="4910"/>
      <c r="E206" s="4918"/>
      <c r="F206" s="1189">
        <f t="shared" ref="F206:N206" si="59">F198</f>
        <v>-2003033.79</v>
      </c>
      <c r="G206" s="1189">
        <f t="shared" si="59"/>
        <v>-1874542.33</v>
      </c>
      <c r="H206" s="1189">
        <f t="shared" si="59"/>
        <v>-1854652.72</v>
      </c>
      <c r="I206" s="1189">
        <f t="shared" si="59"/>
        <v>-2047701.16</v>
      </c>
      <c r="J206" s="1189">
        <f t="shared" si="59"/>
        <v>-2524963.9700000002</v>
      </c>
      <c r="K206" s="1189">
        <f t="shared" si="59"/>
        <v>-3054084.37</v>
      </c>
      <c r="L206" s="1189" t="e">
        <f t="shared" si="59"/>
        <v>#VALUE!</v>
      </c>
      <c r="M206" s="1189">
        <f t="shared" si="59"/>
        <v>-3269356.52</v>
      </c>
      <c r="N206" s="1189">
        <f t="shared" si="59"/>
        <v>-3545889.4400000004</v>
      </c>
    </row>
    <row r="207" spans="1:15" ht="24.75" customHeight="1">
      <c r="A207" s="1200" t="s">
        <v>4963</v>
      </c>
      <c r="B207" s="1199"/>
      <c r="C207" s="4919" t="s">
        <v>4964</v>
      </c>
      <c r="D207" s="4920"/>
      <c r="E207" s="4921"/>
      <c r="F207" s="1919">
        <f t="shared" ref="F207:N207" si="60">B73*8%</f>
        <v>-4831.6000000000004</v>
      </c>
      <c r="G207" s="1919">
        <f t="shared" si="60"/>
        <v>1597243.0568000001</v>
      </c>
      <c r="H207" s="1919">
        <f t="shared" si="60"/>
        <v>1447279.6704000002</v>
      </c>
      <c r="I207" s="1919">
        <f t="shared" si="60"/>
        <v>1298907.4528000001</v>
      </c>
      <c r="J207" s="1919">
        <f t="shared" si="60"/>
        <v>1695139.36</v>
      </c>
      <c r="K207" s="1919">
        <f t="shared" si="60"/>
        <v>2246432.2424000003</v>
      </c>
      <c r="L207" s="1919">
        <f t="shared" si="60"/>
        <v>2582105.4928000001</v>
      </c>
      <c r="M207" s="1919">
        <f t="shared" si="60"/>
        <v>2686886.8887999998</v>
      </c>
      <c r="N207" s="1919">
        <f t="shared" si="60"/>
        <v>2791249.5144000002</v>
      </c>
    </row>
    <row r="208" spans="1:15" ht="13.5" thickBot="1">
      <c r="A208" s="1178" t="s">
        <v>4965</v>
      </c>
      <c r="B208" s="1203" t="s">
        <v>4966</v>
      </c>
      <c r="C208" s="1179"/>
      <c r="D208" s="1179"/>
      <c r="E208" s="1179"/>
      <c r="F208" s="1190">
        <f t="shared" ref="F208:N208" si="61">F204+F205</f>
        <v>4169082.6</v>
      </c>
      <c r="G208" s="1190">
        <f t="shared" si="61"/>
        <v>2356154.9431999996</v>
      </c>
      <c r="H208" s="1190">
        <f t="shared" si="61"/>
        <v>2746807.3295999998</v>
      </c>
      <c r="I208" s="1190">
        <f t="shared" si="61"/>
        <v>2851357.5471999999</v>
      </c>
      <c r="J208" s="1190">
        <f t="shared" si="61"/>
        <v>2245799.6400000006</v>
      </c>
      <c r="K208" s="1190">
        <f t="shared" si="61"/>
        <v>1530379.7575999992</v>
      </c>
      <c r="L208" s="1190" t="e">
        <f t="shared" si="61"/>
        <v>#VALUE!</v>
      </c>
      <c r="M208" s="1190">
        <f t="shared" si="61"/>
        <v>1089925.1111999992</v>
      </c>
      <c r="N208" s="1190">
        <f t="shared" si="61"/>
        <v>985562.48559999932</v>
      </c>
    </row>
    <row r="209" spans="1:15">
      <c r="A209" s="1182"/>
      <c r="B209" s="1195"/>
      <c r="C209" s="1184"/>
      <c r="D209" s="1184"/>
      <c r="E209" s="1184"/>
      <c r="F209" s="1184"/>
      <c r="G209" s="1184"/>
      <c r="H209" s="1184"/>
      <c r="I209" s="1184"/>
      <c r="J209" s="1184"/>
      <c r="K209" s="1184"/>
      <c r="L209" s="1184"/>
      <c r="M209" s="1184"/>
      <c r="N209" s="1184"/>
      <c r="O209" s="1184"/>
    </row>
    <row r="210" spans="1:15">
      <c r="A210" s="4907" t="s">
        <v>5485</v>
      </c>
      <c r="B210" s="4908"/>
      <c r="C210" s="4908"/>
      <c r="D210" s="4908"/>
      <c r="E210" s="4908"/>
      <c r="F210" s="4908"/>
      <c r="G210" s="4908"/>
      <c r="H210" s="4908"/>
      <c r="I210" s="4908"/>
      <c r="J210" s="4908"/>
      <c r="K210" s="1184"/>
      <c r="L210" s="1184"/>
      <c r="M210" s="1184"/>
      <c r="N210" s="1184"/>
      <c r="O210" s="1184"/>
    </row>
  </sheetData>
  <mergeCells count="10">
    <mergeCell ref="C204:E204"/>
    <mergeCell ref="C206:E206"/>
    <mergeCell ref="C207:E207"/>
    <mergeCell ref="A210:J210"/>
    <mergeCell ref="A1:J1"/>
    <mergeCell ref="A39:J39"/>
    <mergeCell ref="C195:E195"/>
    <mergeCell ref="C196:E196"/>
    <mergeCell ref="C198:E198"/>
    <mergeCell ref="C199:E199"/>
  </mergeCells>
  <hyperlinks>
    <hyperlink ref="A1:J1" location="FINANCIËN!A1" display="SCHULD" xr:uid="{00000000-0004-0000-4A00-000000000000}"/>
  </hyperlinks>
  <pageMargins left="0.7" right="0.7" top="0.75" bottom="0.75" header="0.3" footer="0.3"/>
  <pageSetup paperSize="9" scale="61" fitToHeight="0" orientation="landscape" r:id="rId1"/>
  <drawing r:id="rId2"/>
  <legacy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EBD531"/>
    <pageSetUpPr fitToPage="1"/>
  </sheetPr>
  <dimension ref="A1:Y191"/>
  <sheetViews>
    <sheetView topLeftCell="A139" workbookViewId="0">
      <selection activeCell="M20" sqref="M20"/>
    </sheetView>
  </sheetViews>
  <sheetFormatPr defaultColWidth="9.140625" defaultRowHeight="12.75"/>
  <cols>
    <col min="1" max="1" width="39.140625" style="1041" customWidth="1"/>
    <col min="2" max="2" width="5.5703125" style="1003" hidden="1" customWidth="1"/>
    <col min="3" max="3" width="12.7109375" style="1002" hidden="1" customWidth="1"/>
    <col min="4" max="4" width="11.7109375" style="1002" hidden="1" customWidth="1"/>
    <col min="5" max="5" width="11.7109375" style="287" hidden="1" customWidth="1"/>
    <col min="6" max="6" width="12.7109375" style="287" hidden="1" customWidth="1"/>
    <col min="7" max="7" width="12.7109375" style="575" hidden="1" customWidth="1"/>
    <col min="8" max="8" width="12.7109375" style="1002" hidden="1" customWidth="1"/>
    <col min="9" max="9" width="12.7109375" style="287" hidden="1" customWidth="1"/>
    <col min="10" max="10" width="42.140625" style="1002" hidden="1" customWidth="1"/>
    <col min="11" max="11" width="12.85546875" style="287" hidden="1" customWidth="1"/>
    <col min="12" max="12" width="12.7109375" style="231" hidden="1" customWidth="1"/>
    <col min="13" max="13" width="13.7109375" style="231" customWidth="1"/>
    <col min="14" max="14" width="12.7109375" style="1002" bestFit="1" customWidth="1"/>
    <col min="15" max="15" width="12.7109375" style="1002" customWidth="1"/>
    <col min="16" max="16" width="13.5703125" style="1002" customWidth="1"/>
    <col min="17" max="17" width="14.140625" style="1003" customWidth="1"/>
    <col min="18" max="20" width="12.7109375" style="1003" bestFit="1" customWidth="1"/>
    <col min="21" max="21" width="12.7109375" style="1003" customWidth="1"/>
    <col min="22" max="22" width="12.7109375" style="1003" bestFit="1" customWidth="1"/>
    <col min="23" max="23" width="12.7109375" style="1003" customWidth="1"/>
    <col min="24" max="16384" width="9.140625" style="1003"/>
  </cols>
  <sheetData>
    <row r="1" spans="1:23" ht="21">
      <c r="A1" s="4757" t="s">
        <v>4893</v>
      </c>
      <c r="B1" s="4758"/>
      <c r="C1" s="4758"/>
      <c r="D1" s="4758"/>
      <c r="E1" s="4758"/>
      <c r="F1" s="4758"/>
      <c r="G1" s="4758"/>
      <c r="H1" s="4758"/>
      <c r="I1" s="4758"/>
      <c r="J1" s="4758"/>
      <c r="K1" s="4758"/>
      <c r="L1" s="4758"/>
      <c r="M1" s="4758"/>
      <c r="N1" s="4758"/>
      <c r="O1" s="4758"/>
      <c r="P1" s="4758"/>
      <c r="Q1" s="4758"/>
      <c r="R1" s="4758"/>
      <c r="S1" s="4758"/>
      <c r="T1" s="4758"/>
      <c r="U1" s="4758"/>
    </row>
    <row r="2" spans="1:23" ht="13.5" thickBot="1">
      <c r="A2" s="1004" t="s">
        <v>4894</v>
      </c>
      <c r="B2" s="395"/>
      <c r="C2" s="395"/>
      <c r="D2" s="395"/>
      <c r="E2" s="395"/>
      <c r="F2" s="395"/>
      <c r="G2" s="395"/>
    </row>
    <row r="3" spans="1:23" ht="13.5" thickBot="1">
      <c r="A3" s="1731" t="s">
        <v>4895</v>
      </c>
      <c r="B3" s="1732"/>
      <c r="C3" s="1733"/>
      <c r="D3" s="1733"/>
      <c r="E3" s="1733"/>
      <c r="F3" s="1733"/>
      <c r="G3" s="1734"/>
      <c r="H3" s="1733"/>
      <c r="I3" s="1733"/>
      <c r="J3" s="1733"/>
      <c r="K3" s="1733"/>
      <c r="L3" s="1735">
        <v>2012</v>
      </c>
      <c r="M3" s="1735">
        <v>2013</v>
      </c>
      <c r="N3" s="1735">
        <v>2014</v>
      </c>
      <c r="O3" s="1735">
        <v>2015</v>
      </c>
      <c r="P3" s="1735">
        <v>2016</v>
      </c>
      <c r="Q3" s="1735">
        <v>2017</v>
      </c>
      <c r="R3" s="1735">
        <v>2018</v>
      </c>
      <c r="S3" s="1735">
        <v>2019</v>
      </c>
      <c r="T3" s="1735">
        <v>2020</v>
      </c>
      <c r="U3" s="1735">
        <v>2021</v>
      </c>
      <c r="V3" s="1736">
        <v>2022</v>
      </c>
      <c r="W3" s="1737">
        <v>2023</v>
      </c>
    </row>
    <row r="4" spans="1:23">
      <c r="A4" s="1091" t="s">
        <v>4896</v>
      </c>
      <c r="L4" s="1092">
        <f>L143</f>
        <v>15361866.550000001</v>
      </c>
      <c r="M4" s="1092">
        <f t="shared" ref="M4:W4" si="0">L8</f>
        <v>15136838.020000001</v>
      </c>
      <c r="N4" s="1092">
        <f t="shared" si="0"/>
        <v>13907617.170000002</v>
      </c>
      <c r="O4" s="1092">
        <f t="shared" si="0"/>
        <v>13776108.390000002</v>
      </c>
      <c r="P4" s="1092">
        <f t="shared" si="0"/>
        <v>15646237.730000002</v>
      </c>
      <c r="Q4" s="1092">
        <f t="shared" si="0"/>
        <v>14378507.640000002</v>
      </c>
      <c r="R4" s="1092">
        <f t="shared" si="0"/>
        <v>13123328.690000001</v>
      </c>
      <c r="S4" s="1092">
        <f t="shared" si="0"/>
        <v>22740829.530000001</v>
      </c>
      <c r="T4" s="1092">
        <f t="shared" si="0"/>
        <v>27164290.600000001</v>
      </c>
      <c r="U4" s="1092">
        <f t="shared" si="0"/>
        <v>26806917.510000002</v>
      </c>
      <c r="V4" s="1093">
        <f t="shared" si="0"/>
        <v>25685675.640000001</v>
      </c>
      <c r="W4" s="1094">
        <f t="shared" si="0"/>
        <v>24528058.530000001</v>
      </c>
    </row>
    <row r="5" spans="1:23">
      <c r="A5" s="1091" t="s">
        <v>4897</v>
      </c>
      <c r="L5" s="1095">
        <f>L144</f>
        <v>1050000</v>
      </c>
      <c r="M5" s="1095">
        <f t="shared" ref="M5:W6" si="1">M144</f>
        <v>0</v>
      </c>
      <c r="N5" s="1095">
        <f t="shared" si="1"/>
        <v>1000000</v>
      </c>
      <c r="O5" s="1095">
        <f t="shared" si="1"/>
        <v>3000000</v>
      </c>
      <c r="P5" s="1095">
        <f t="shared" si="1"/>
        <v>0</v>
      </c>
      <c r="Q5" s="1095">
        <f>Q144</f>
        <v>0</v>
      </c>
      <c r="R5" s="1095">
        <f t="shared" si="1"/>
        <v>11000000</v>
      </c>
      <c r="S5" s="1095">
        <f t="shared" si="1"/>
        <v>6250000</v>
      </c>
      <c r="T5" s="1095">
        <f t="shared" si="1"/>
        <v>1750000</v>
      </c>
      <c r="U5" s="1095">
        <f t="shared" si="1"/>
        <v>1000000</v>
      </c>
      <c r="V5" s="1096">
        <f t="shared" si="1"/>
        <v>1000000</v>
      </c>
      <c r="W5" s="1097">
        <f t="shared" si="1"/>
        <v>500000</v>
      </c>
    </row>
    <row r="6" spans="1:23">
      <c r="A6" s="1098" t="s">
        <v>4898</v>
      </c>
      <c r="L6" s="1099">
        <f>L145</f>
        <v>1275028.5299999998</v>
      </c>
      <c r="M6" s="1099">
        <f t="shared" si="1"/>
        <v>1229220.8499999999</v>
      </c>
      <c r="N6" s="1099">
        <f t="shared" si="1"/>
        <v>1131508.7799999998</v>
      </c>
      <c r="O6" s="1099">
        <f t="shared" si="1"/>
        <v>1129870.6599999999</v>
      </c>
      <c r="P6" s="1099">
        <f t="shared" si="1"/>
        <v>1267730.0899999999</v>
      </c>
      <c r="Q6" s="1099">
        <f t="shared" si="1"/>
        <v>1255178.9500000002</v>
      </c>
      <c r="R6" s="1099">
        <f t="shared" si="1"/>
        <v>1382499.1600000001</v>
      </c>
      <c r="S6" s="1099">
        <f t="shared" si="1"/>
        <v>1826538.93</v>
      </c>
      <c r="T6" s="1099">
        <f t="shared" si="1"/>
        <v>2107373.09</v>
      </c>
      <c r="U6" s="1099">
        <f t="shared" si="1"/>
        <v>2121241.87</v>
      </c>
      <c r="V6" s="214">
        <f t="shared" si="1"/>
        <v>2157617.11</v>
      </c>
      <c r="W6" s="1100">
        <f t="shared" si="1"/>
        <v>2243167.13</v>
      </c>
    </row>
    <row r="7" spans="1:23">
      <c r="A7" s="1098" t="s">
        <v>4899</v>
      </c>
      <c r="L7" s="1099"/>
      <c r="M7" s="1099"/>
      <c r="N7" s="1099"/>
      <c r="O7" s="1099"/>
      <c r="P7" s="1099"/>
      <c r="Q7" s="1099"/>
      <c r="R7" s="1099"/>
      <c r="S7" s="1099"/>
      <c r="T7" s="1099"/>
      <c r="U7" s="1099"/>
      <c r="V7" s="214"/>
      <c r="W7" s="1100"/>
    </row>
    <row r="8" spans="1:23" ht="13.5" thickBot="1">
      <c r="A8" s="1101" t="s">
        <v>4900</v>
      </c>
      <c r="L8" s="1102">
        <f t="shared" ref="L8:W8" si="2">L4+L5-L6-L7</f>
        <v>15136838.020000001</v>
      </c>
      <c r="M8" s="1102">
        <f t="shared" si="2"/>
        <v>13907617.170000002</v>
      </c>
      <c r="N8" s="1102">
        <f t="shared" si="2"/>
        <v>13776108.390000002</v>
      </c>
      <c r="O8" s="1102">
        <f t="shared" si="2"/>
        <v>15646237.730000002</v>
      </c>
      <c r="P8" s="1102">
        <f t="shared" si="2"/>
        <v>14378507.640000002</v>
      </c>
      <c r="Q8" s="1102">
        <f t="shared" si="2"/>
        <v>13123328.690000001</v>
      </c>
      <c r="R8" s="1102">
        <f t="shared" si="2"/>
        <v>22740829.530000001</v>
      </c>
      <c r="S8" s="1102">
        <f>S4+S5-S6-S7</f>
        <v>27164290.600000001</v>
      </c>
      <c r="T8" s="1102">
        <f t="shared" si="2"/>
        <v>26806917.510000002</v>
      </c>
      <c r="U8" s="1102">
        <f t="shared" si="2"/>
        <v>25685675.640000001</v>
      </c>
      <c r="V8" s="1103">
        <f t="shared" si="2"/>
        <v>24528058.530000001</v>
      </c>
      <c r="W8" s="1104">
        <f t="shared" si="2"/>
        <v>22784891.400000002</v>
      </c>
    </row>
    <row r="9" spans="1:23" ht="13.5" thickTop="1">
      <c r="A9" s="1105" t="s">
        <v>4901</v>
      </c>
      <c r="L9" s="1106">
        <f>L147</f>
        <v>576477.91</v>
      </c>
      <c r="M9" s="1106">
        <f t="shared" ref="M9:R9" si="3">M147</f>
        <v>512029.82999999996</v>
      </c>
      <c r="N9" s="1106">
        <f t="shared" si="3"/>
        <v>469666</v>
      </c>
      <c r="O9" s="1106">
        <f t="shared" si="3"/>
        <v>437819.92</v>
      </c>
      <c r="P9" s="1106">
        <f t="shared" si="3"/>
        <v>360113.83</v>
      </c>
      <c r="Q9" s="1106">
        <f>Q147</f>
        <v>284997.10000000003</v>
      </c>
      <c r="R9" s="1106">
        <f t="shared" si="3"/>
        <v>271380.96000000002</v>
      </c>
      <c r="S9" s="1106">
        <f>S147</f>
        <v>340241.97</v>
      </c>
      <c r="T9" s="1106">
        <f>T147</f>
        <v>426996.50250000006</v>
      </c>
      <c r="U9" s="1106">
        <f>U147</f>
        <v>413932.04000000004</v>
      </c>
      <c r="V9" s="1107">
        <f>V147</f>
        <v>402016.38</v>
      </c>
      <c r="W9" s="1108">
        <f>W147</f>
        <v>382714.71500000003</v>
      </c>
    </row>
    <row r="10" spans="1:23" ht="13.5" thickBot="1">
      <c r="A10" s="1739" t="s">
        <v>4902</v>
      </c>
      <c r="B10" s="1740"/>
      <c r="C10" s="1741"/>
      <c r="D10" s="1741"/>
      <c r="E10" s="1741"/>
      <c r="F10" s="1741"/>
      <c r="G10" s="255"/>
      <c r="H10" s="1741"/>
      <c r="I10" s="1741"/>
      <c r="J10" s="1741"/>
      <c r="K10" s="1741"/>
      <c r="L10" s="1742">
        <f t="shared" ref="L10:W10" si="4">L6+L9</f>
        <v>1851506.44</v>
      </c>
      <c r="M10" s="1742">
        <f t="shared" si="4"/>
        <v>1741250.6799999997</v>
      </c>
      <c r="N10" s="1742">
        <f t="shared" si="4"/>
        <v>1601174.7799999998</v>
      </c>
      <c r="O10" s="1742">
        <f t="shared" si="4"/>
        <v>1567690.5799999998</v>
      </c>
      <c r="P10" s="1742">
        <f t="shared" si="4"/>
        <v>1627843.92</v>
      </c>
      <c r="Q10" s="1742">
        <f t="shared" si="4"/>
        <v>1540176.0500000003</v>
      </c>
      <c r="R10" s="1742">
        <f t="shared" si="4"/>
        <v>1653880.12</v>
      </c>
      <c r="S10" s="1742">
        <f t="shared" si="4"/>
        <v>2166780.9</v>
      </c>
      <c r="T10" s="1742">
        <f t="shared" si="4"/>
        <v>2534369.5924999998</v>
      </c>
      <c r="U10" s="1742">
        <f t="shared" si="4"/>
        <v>2535173.91</v>
      </c>
      <c r="V10" s="1743">
        <f t="shared" si="4"/>
        <v>2559633.4899999998</v>
      </c>
      <c r="W10" s="1744">
        <f t="shared" si="4"/>
        <v>2625881.8449999997</v>
      </c>
    </row>
    <row r="11" spans="1:23">
      <c r="A11" s="395"/>
      <c r="L11" s="1003"/>
      <c r="M11" s="1003"/>
      <c r="N11" s="1003"/>
      <c r="O11" s="1003"/>
      <c r="P11" s="1003"/>
    </row>
    <row r="12" spans="1:23" ht="13.5" thickBot="1">
      <c r="A12" s="395"/>
      <c r="L12" s="1003"/>
      <c r="M12" s="1003"/>
      <c r="N12" s="1003"/>
      <c r="O12" s="1003"/>
      <c r="P12" s="1003"/>
    </row>
    <row r="13" spans="1:23" ht="13.5" thickBot="1">
      <c r="A13" s="1731" t="s">
        <v>4903</v>
      </c>
      <c r="B13" s="1732"/>
      <c r="C13" s="1733"/>
      <c r="D13" s="1733"/>
      <c r="E13" s="1733"/>
      <c r="F13" s="1733"/>
      <c r="G13" s="1734"/>
      <c r="H13" s="1733"/>
      <c r="I13" s="1733"/>
      <c r="J13" s="1733"/>
      <c r="K13" s="1733"/>
      <c r="L13" s="1735">
        <v>2012</v>
      </c>
      <c r="M13" s="1735">
        <v>2013</v>
      </c>
      <c r="N13" s="1735">
        <v>2014</v>
      </c>
      <c r="O13" s="1735">
        <v>2015</v>
      </c>
      <c r="P13" s="1735">
        <v>2016</v>
      </c>
      <c r="Q13" s="1735">
        <v>2017</v>
      </c>
      <c r="R13" s="1735">
        <v>2018</v>
      </c>
      <c r="S13" s="1735">
        <v>2019</v>
      </c>
      <c r="T13" s="1735">
        <v>2020</v>
      </c>
      <c r="U13" s="1735">
        <v>2021</v>
      </c>
      <c r="V13" s="1736">
        <v>2022</v>
      </c>
      <c r="W13" s="1738">
        <v>2023</v>
      </c>
    </row>
    <row r="14" spans="1:23">
      <c r="A14" s="1091" t="s">
        <v>4896</v>
      </c>
      <c r="L14" s="1092">
        <f>L169</f>
        <v>469199.54000000004</v>
      </c>
      <c r="M14" s="1092">
        <f t="shared" ref="M14:W14" si="5">L18</f>
        <v>4550388.34</v>
      </c>
      <c r="N14" s="1092">
        <f t="shared" si="5"/>
        <v>4498327.59</v>
      </c>
      <c r="O14" s="1092">
        <f t="shared" si="5"/>
        <v>4256403.18</v>
      </c>
      <c r="P14" s="1092">
        <f t="shared" si="5"/>
        <v>4034248.11</v>
      </c>
      <c r="Q14" s="1092">
        <f t="shared" si="5"/>
        <v>3824623.11</v>
      </c>
      <c r="R14" s="1092">
        <f t="shared" si="5"/>
        <v>3615206.11</v>
      </c>
      <c r="S14" s="1092">
        <f t="shared" si="5"/>
        <v>3398672.11</v>
      </c>
      <c r="T14" s="1092">
        <f t="shared" si="5"/>
        <v>3188399.11</v>
      </c>
      <c r="U14" s="1092">
        <f t="shared" si="5"/>
        <v>2984732.11</v>
      </c>
      <c r="V14" s="1093">
        <f t="shared" si="5"/>
        <v>2774008.69</v>
      </c>
      <c r="W14" s="1109">
        <f t="shared" si="5"/>
        <v>2555984.75</v>
      </c>
    </row>
    <row r="15" spans="1:23">
      <c r="A15" s="1091" t="s">
        <v>4897</v>
      </c>
      <c r="L15" s="1095">
        <f>L170</f>
        <v>4370000</v>
      </c>
      <c r="M15" s="1095">
        <f t="shared" ref="M15:W16" si="6">M170</f>
        <v>0</v>
      </c>
      <c r="N15" s="1095">
        <f t="shared" si="6"/>
        <v>0</v>
      </c>
      <c r="O15" s="1095">
        <f t="shared" si="6"/>
        <v>0</v>
      </c>
      <c r="P15" s="1095">
        <f t="shared" si="6"/>
        <v>0</v>
      </c>
      <c r="Q15" s="1095">
        <f t="shared" si="6"/>
        <v>0</v>
      </c>
      <c r="R15" s="1095">
        <f t="shared" si="6"/>
        <v>0</v>
      </c>
      <c r="S15" s="1095">
        <f t="shared" si="6"/>
        <v>0</v>
      </c>
      <c r="T15" s="1095">
        <f t="shared" si="6"/>
        <v>0</v>
      </c>
      <c r="U15" s="1095">
        <f t="shared" si="6"/>
        <v>0</v>
      </c>
      <c r="V15" s="1096">
        <f t="shared" si="6"/>
        <v>0</v>
      </c>
      <c r="W15" s="1097">
        <f t="shared" si="6"/>
        <v>0</v>
      </c>
    </row>
    <row r="16" spans="1:23">
      <c r="A16" s="1098" t="s">
        <v>4898</v>
      </c>
      <c r="L16" s="1099">
        <f>L171</f>
        <v>288811.2</v>
      </c>
      <c r="M16" s="1099">
        <f t="shared" si="6"/>
        <v>52060.75</v>
      </c>
      <c r="N16" s="1099">
        <f t="shared" si="6"/>
        <v>241924.41</v>
      </c>
      <c r="O16" s="1099">
        <f t="shared" si="6"/>
        <v>222155.07</v>
      </c>
      <c r="P16" s="1099">
        <f t="shared" si="6"/>
        <v>209625</v>
      </c>
      <c r="Q16" s="1099">
        <f t="shared" si="6"/>
        <v>209417</v>
      </c>
      <c r="R16" s="1099">
        <f t="shared" si="6"/>
        <v>216534</v>
      </c>
      <c r="S16" s="1099">
        <f t="shared" si="6"/>
        <v>210273</v>
      </c>
      <c r="T16" s="1099">
        <f t="shared" si="6"/>
        <v>203667</v>
      </c>
      <c r="U16" s="1099">
        <f t="shared" si="6"/>
        <v>210723.42</v>
      </c>
      <c r="V16" s="214">
        <f t="shared" si="6"/>
        <v>218023.94</v>
      </c>
      <c r="W16" s="1100">
        <f t="shared" si="6"/>
        <v>225577</v>
      </c>
    </row>
    <row r="17" spans="1:23">
      <c r="A17" s="1098" t="s">
        <v>4899</v>
      </c>
      <c r="L17" s="1099"/>
      <c r="M17" s="1099"/>
      <c r="N17" s="1099"/>
      <c r="O17" s="1099"/>
      <c r="P17" s="1099"/>
      <c r="Q17" s="1099"/>
      <c r="R17" s="1099"/>
      <c r="S17" s="1099"/>
      <c r="T17" s="1099"/>
      <c r="U17" s="1099"/>
      <c r="V17" s="214"/>
      <c r="W17" s="1100"/>
    </row>
    <row r="18" spans="1:23" ht="13.5" thickBot="1">
      <c r="A18" s="1101" t="s">
        <v>4900</v>
      </c>
      <c r="L18" s="1102">
        <f t="shared" ref="L18:W18" si="7">L14+L15-L16-L17</f>
        <v>4550388.34</v>
      </c>
      <c r="M18" s="1102">
        <f t="shared" si="7"/>
        <v>4498327.59</v>
      </c>
      <c r="N18" s="1102">
        <f t="shared" si="7"/>
        <v>4256403.18</v>
      </c>
      <c r="O18" s="1102">
        <f t="shared" si="7"/>
        <v>4034248.11</v>
      </c>
      <c r="P18" s="1102">
        <f t="shared" si="7"/>
        <v>3824623.11</v>
      </c>
      <c r="Q18" s="1102">
        <f t="shared" si="7"/>
        <v>3615206.11</v>
      </c>
      <c r="R18" s="1102">
        <f t="shared" si="7"/>
        <v>3398672.11</v>
      </c>
      <c r="S18" s="1102">
        <f t="shared" si="7"/>
        <v>3188399.11</v>
      </c>
      <c r="T18" s="1102">
        <f t="shared" si="7"/>
        <v>2984732.11</v>
      </c>
      <c r="U18" s="1102">
        <f t="shared" si="7"/>
        <v>2774008.69</v>
      </c>
      <c r="V18" s="1103">
        <f t="shared" si="7"/>
        <v>2555984.75</v>
      </c>
      <c r="W18" s="1104">
        <f t="shared" si="7"/>
        <v>2330407.75</v>
      </c>
    </row>
    <row r="19" spans="1:23" ht="13.5" thickTop="1">
      <c r="A19" s="1105" t="s">
        <v>4901</v>
      </c>
      <c r="L19" s="1106">
        <f>L173</f>
        <v>107336.59999999999</v>
      </c>
      <c r="M19" s="1106">
        <f t="shared" ref="M19:T19" si="8">M173</f>
        <v>1471.8600000000001</v>
      </c>
      <c r="N19" s="1106">
        <f t="shared" si="8"/>
        <v>145073.91</v>
      </c>
      <c r="O19" s="1106">
        <f t="shared" si="8"/>
        <v>137037.84</v>
      </c>
      <c r="P19" s="1106">
        <f t="shared" si="8"/>
        <v>129550</v>
      </c>
      <c r="Q19" s="1106">
        <f t="shared" si="8"/>
        <v>122317</v>
      </c>
      <c r="R19" s="1106">
        <f t="shared" si="8"/>
        <v>114932.9</v>
      </c>
      <c r="S19" s="1106">
        <f t="shared" si="8"/>
        <v>107298.38</v>
      </c>
      <c r="T19" s="1106">
        <f t="shared" si="8"/>
        <v>100214.04</v>
      </c>
      <c r="U19" s="1106">
        <f>U173</f>
        <v>93158</v>
      </c>
      <c r="V19" s="1107">
        <f>V173</f>
        <v>85857.48</v>
      </c>
      <c r="W19" s="1108">
        <f>W173</f>
        <v>78304</v>
      </c>
    </row>
    <row r="20" spans="1:23" ht="13.5" thickBot="1">
      <c r="A20" s="1739" t="s">
        <v>4902</v>
      </c>
      <c r="B20" s="1740"/>
      <c r="C20" s="1741"/>
      <c r="D20" s="1741"/>
      <c r="E20" s="1741"/>
      <c r="F20" s="1741"/>
      <c r="G20" s="255"/>
      <c r="H20" s="1741"/>
      <c r="I20" s="1741"/>
      <c r="J20" s="1741"/>
      <c r="K20" s="1741"/>
      <c r="L20" s="1742">
        <f t="shared" ref="L20:W20" si="9">L16+L19</f>
        <v>396147.8</v>
      </c>
      <c r="M20" s="1742">
        <f t="shared" si="9"/>
        <v>53532.61</v>
      </c>
      <c r="N20" s="1742">
        <f t="shared" si="9"/>
        <v>386998.32</v>
      </c>
      <c r="O20" s="1742">
        <f t="shared" si="9"/>
        <v>359192.91000000003</v>
      </c>
      <c r="P20" s="1742">
        <f t="shared" si="9"/>
        <v>339175</v>
      </c>
      <c r="Q20" s="1742">
        <f t="shared" si="9"/>
        <v>331734</v>
      </c>
      <c r="R20" s="1742">
        <f t="shared" si="9"/>
        <v>331466.90000000002</v>
      </c>
      <c r="S20" s="1742">
        <f t="shared" si="9"/>
        <v>317571.38</v>
      </c>
      <c r="T20" s="1742">
        <f t="shared" si="9"/>
        <v>303881.03999999998</v>
      </c>
      <c r="U20" s="1742">
        <f t="shared" si="9"/>
        <v>303881.42000000004</v>
      </c>
      <c r="V20" s="1743">
        <f t="shared" si="9"/>
        <v>303881.42</v>
      </c>
      <c r="W20" s="1744">
        <f t="shared" si="9"/>
        <v>303881</v>
      </c>
    </row>
    <row r="25" spans="1:23" ht="15.75">
      <c r="A25" s="1745" t="s">
        <v>4904</v>
      </c>
      <c r="E25" s="1110"/>
      <c r="J25" s="1073"/>
    </row>
    <row r="26" spans="1:23" ht="12.75" customHeight="1" thickBot="1">
      <c r="A26" s="1073"/>
      <c r="E26" s="1110"/>
      <c r="J26" s="1073"/>
      <c r="T26" s="398"/>
    </row>
    <row r="27" spans="1:23" ht="13.5" customHeight="1" thickBot="1">
      <c r="A27" s="1747" t="s">
        <v>4905</v>
      </c>
      <c r="B27" s="1748"/>
      <c r="C27" s="1747">
        <v>2001</v>
      </c>
      <c r="D27" s="1749">
        <v>2002</v>
      </c>
      <c r="E27" s="1747">
        <v>2003</v>
      </c>
      <c r="F27" s="1747">
        <v>2004</v>
      </c>
      <c r="G27" s="1750">
        <v>2005</v>
      </c>
      <c r="H27" s="1751">
        <v>2006</v>
      </c>
      <c r="I27" s="1750">
        <v>2008</v>
      </c>
      <c r="J27" s="1750">
        <v>2010</v>
      </c>
      <c r="K27" s="1747">
        <v>2011</v>
      </c>
      <c r="L27" s="1750">
        <v>2012</v>
      </c>
      <c r="M27" s="1752" t="s">
        <v>4906</v>
      </c>
      <c r="N27" s="1753" t="s">
        <v>4907</v>
      </c>
      <c r="O27" s="1749">
        <v>2015</v>
      </c>
      <c r="P27" s="1749">
        <v>2016</v>
      </c>
      <c r="Q27" s="1749">
        <v>2017</v>
      </c>
      <c r="R27" s="1749">
        <v>2018</v>
      </c>
      <c r="S27" s="1749">
        <v>2019</v>
      </c>
      <c r="T27" s="1749">
        <v>2020</v>
      </c>
      <c r="U27" s="1749">
        <v>2021</v>
      </c>
      <c r="V27" s="1748">
        <v>2022</v>
      </c>
      <c r="W27" s="1754">
        <v>2023</v>
      </c>
    </row>
    <row r="28" spans="1:23" ht="12.75" customHeight="1">
      <c r="A28" s="1013"/>
      <c r="B28" s="398"/>
      <c r="C28" s="1014"/>
      <c r="D28" s="1015"/>
      <c r="E28" s="1016"/>
      <c r="F28" s="1016"/>
      <c r="G28" s="1017"/>
      <c r="H28" s="1018"/>
      <c r="I28" s="1019"/>
      <c r="J28" s="1020"/>
      <c r="K28" s="1021"/>
      <c r="L28" s="487"/>
      <c r="M28" s="1022"/>
      <c r="N28" s="1023"/>
      <c r="O28" s="392"/>
      <c r="P28" s="392"/>
      <c r="Q28" s="394"/>
      <c r="R28" s="394"/>
      <c r="S28" s="394"/>
      <c r="T28" s="394"/>
      <c r="U28" s="394"/>
      <c r="V28" s="398"/>
      <c r="W28" s="1024"/>
    </row>
    <row r="29" spans="1:23" ht="12.75" customHeight="1">
      <c r="A29" s="1025" t="s">
        <v>4908</v>
      </c>
      <c r="B29" s="398"/>
      <c r="C29" s="1026">
        <v>0</v>
      </c>
      <c r="D29" s="1027">
        <f t="shared" ref="D29:W29" si="10">C32</f>
        <v>1413811.15</v>
      </c>
      <c r="E29" s="1017">
        <f t="shared" si="10"/>
        <v>2489952.89</v>
      </c>
      <c r="F29" s="1017">
        <f t="shared" si="10"/>
        <v>2365438.9700000002</v>
      </c>
      <c r="G29" s="1017">
        <f t="shared" si="10"/>
        <v>2157100.79</v>
      </c>
      <c r="H29" s="1018">
        <f>G32</f>
        <v>1977343.51</v>
      </c>
      <c r="I29" s="1028">
        <v>1496213</v>
      </c>
      <c r="J29" s="1028">
        <v>6543018.9299999997</v>
      </c>
      <c r="K29" s="1028">
        <f>J32</f>
        <v>6173969.8700000001</v>
      </c>
      <c r="L29" s="65">
        <v>6143845.8600000003</v>
      </c>
      <c r="M29" s="1029">
        <f t="shared" si="10"/>
        <v>6735941.4400000004</v>
      </c>
      <c r="N29" s="575">
        <f t="shared" si="10"/>
        <v>6343645.1200000001</v>
      </c>
      <c r="O29" s="396">
        <f t="shared" si="10"/>
        <v>6981120.6100000003</v>
      </c>
      <c r="P29" s="396">
        <f t="shared" si="10"/>
        <v>9548202.6099999994</v>
      </c>
      <c r="Q29" s="396">
        <f t="shared" si="10"/>
        <v>8925108.0099999998</v>
      </c>
      <c r="R29" s="396">
        <f t="shared" si="10"/>
        <v>8285746.7799999993</v>
      </c>
      <c r="S29" s="396">
        <f t="shared" si="10"/>
        <v>7629689.9699999988</v>
      </c>
      <c r="T29" s="396">
        <f t="shared" si="10"/>
        <v>6983041.5199999986</v>
      </c>
      <c r="U29" s="396">
        <f t="shared" si="10"/>
        <v>6354283.5499999989</v>
      </c>
      <c r="V29" s="396">
        <f t="shared" si="10"/>
        <v>5717006.2499999991</v>
      </c>
      <c r="W29" s="573">
        <f t="shared" si="10"/>
        <v>5063063.7499999991</v>
      </c>
    </row>
    <row r="30" spans="1:23" ht="12.75" customHeight="1">
      <c r="A30" s="1025" t="s">
        <v>4909</v>
      </c>
      <c r="B30" s="398"/>
      <c r="C30" s="1026">
        <v>1413811.15</v>
      </c>
      <c r="D30" s="1027">
        <v>1088493</v>
      </c>
      <c r="E30" s="1017"/>
      <c r="F30" s="1017"/>
      <c r="G30" s="1017">
        <v>42000</v>
      </c>
      <c r="H30" s="1018"/>
      <c r="I30" s="1028"/>
      <c r="J30" s="1028"/>
      <c r="K30" s="1028">
        <f>370000</f>
        <v>370000</v>
      </c>
      <c r="L30" s="65">
        <v>1050000</v>
      </c>
      <c r="M30" s="1029"/>
      <c r="N30" s="575">
        <v>1000000</v>
      </c>
      <c r="O30" s="396">
        <v>3000000</v>
      </c>
      <c r="P30" s="396"/>
      <c r="Q30" s="396"/>
      <c r="R30" s="396"/>
      <c r="S30" s="396"/>
      <c r="T30" s="396"/>
      <c r="U30" s="396"/>
      <c r="V30" s="396"/>
      <c r="W30" s="573"/>
    </row>
    <row r="31" spans="1:23" ht="12.75" customHeight="1">
      <c r="A31" s="1025" t="s">
        <v>4910</v>
      </c>
      <c r="B31" s="398"/>
      <c r="C31" s="1026">
        <v>0</v>
      </c>
      <c r="D31" s="1027">
        <v>12351.26</v>
      </c>
      <c r="E31" s="1017">
        <v>124513.92</v>
      </c>
      <c r="F31" s="1017">
        <v>208338.18</v>
      </c>
      <c r="G31" s="1017">
        <v>221757.28</v>
      </c>
      <c r="H31" s="1018">
        <v>235450.2</v>
      </c>
      <c r="I31" s="1028">
        <v>525824</v>
      </c>
      <c r="J31" s="1028">
        <v>369049.06</v>
      </c>
      <c r="K31" s="1028">
        <v>393834.02</v>
      </c>
      <c r="L31" s="65">
        <v>457904.42</v>
      </c>
      <c r="M31" s="1029">
        <v>392296.32</v>
      </c>
      <c r="N31" s="575">
        <v>362524.51</v>
      </c>
      <c r="O31" s="396">
        <v>432918</v>
      </c>
      <c r="P31" s="396">
        <v>623094.6</v>
      </c>
      <c r="Q31" s="396">
        <v>639361.23</v>
      </c>
      <c r="R31" s="396">
        <v>656056.81000000006</v>
      </c>
      <c r="S31" s="396">
        <v>646648.44999999995</v>
      </c>
      <c r="T31" s="396">
        <v>628757.97</v>
      </c>
      <c r="U31" s="396">
        <v>637277.30000000005</v>
      </c>
      <c r="V31" s="396">
        <v>653942.5</v>
      </c>
      <c r="W31" s="573">
        <v>671344</v>
      </c>
    </row>
    <row r="32" spans="1:23" ht="12.75" customHeight="1">
      <c r="A32" s="1025" t="s">
        <v>4911</v>
      </c>
      <c r="B32" s="398"/>
      <c r="C32" s="1026">
        <v>1413811.15</v>
      </c>
      <c r="D32" s="1027">
        <f t="shared" ref="D32:W32" si="11">D29+D30-D31</f>
        <v>2489952.89</v>
      </c>
      <c r="E32" s="1017">
        <f t="shared" si="11"/>
        <v>2365438.9700000002</v>
      </c>
      <c r="F32" s="1017">
        <f t="shared" si="11"/>
        <v>2157100.79</v>
      </c>
      <c r="G32" s="1017">
        <f t="shared" si="11"/>
        <v>1977343.51</v>
      </c>
      <c r="H32" s="1018">
        <f t="shared" si="11"/>
        <v>1741893.31</v>
      </c>
      <c r="I32" s="1028">
        <v>970389</v>
      </c>
      <c r="J32" s="1028">
        <f t="shared" si="11"/>
        <v>6173969.8700000001</v>
      </c>
      <c r="K32" s="1028">
        <f>K29+K30-K31</f>
        <v>6150135.8499999996</v>
      </c>
      <c r="L32" s="65">
        <f t="shared" si="11"/>
        <v>6735941.4400000004</v>
      </c>
      <c r="M32" s="1029">
        <f t="shared" si="11"/>
        <v>6343645.1200000001</v>
      </c>
      <c r="N32" s="575">
        <f t="shared" si="11"/>
        <v>6981120.6100000003</v>
      </c>
      <c r="O32" s="396">
        <f t="shared" si="11"/>
        <v>9548202.6099999994</v>
      </c>
      <c r="P32" s="396">
        <f t="shared" si="11"/>
        <v>8925108.0099999998</v>
      </c>
      <c r="Q32" s="396">
        <f t="shared" si="11"/>
        <v>8285746.7799999993</v>
      </c>
      <c r="R32" s="396">
        <f t="shared" si="11"/>
        <v>7629689.9699999988</v>
      </c>
      <c r="S32" s="396">
        <f t="shared" si="11"/>
        <v>6983041.5199999986</v>
      </c>
      <c r="T32" s="396">
        <f t="shared" si="11"/>
        <v>6354283.5499999989</v>
      </c>
      <c r="U32" s="396">
        <f t="shared" si="11"/>
        <v>5717006.2499999991</v>
      </c>
      <c r="V32" s="396">
        <f t="shared" si="11"/>
        <v>5063063.7499999991</v>
      </c>
      <c r="W32" s="573">
        <f t="shared" si="11"/>
        <v>4391719.7499999991</v>
      </c>
    </row>
    <row r="33" spans="1:23" ht="12.75" customHeight="1">
      <c r="A33" s="1025" t="s">
        <v>4912</v>
      </c>
      <c r="B33" s="398"/>
      <c r="C33" s="1026">
        <v>12120.45</v>
      </c>
      <c r="D33" s="1027">
        <v>56716.76</v>
      </c>
      <c r="E33" s="1017">
        <v>84702.29</v>
      </c>
      <c r="F33" s="1017">
        <v>102962.18</v>
      </c>
      <c r="G33" s="1017">
        <v>94039.17</v>
      </c>
      <c r="H33" s="1018">
        <v>84707.28</v>
      </c>
      <c r="I33" s="1028">
        <v>55489</v>
      </c>
      <c r="J33" s="1028">
        <v>192251.6</v>
      </c>
      <c r="K33" s="1028">
        <v>187368.4</v>
      </c>
      <c r="L33" s="65">
        <v>211961.96</v>
      </c>
      <c r="M33" s="1029">
        <v>241271.31</v>
      </c>
      <c r="N33" s="575">
        <v>227510</v>
      </c>
      <c r="O33" s="396">
        <v>224758</v>
      </c>
      <c r="P33" s="396">
        <v>170651.49</v>
      </c>
      <c r="Q33" s="396">
        <v>154823.28</v>
      </c>
      <c r="R33" s="396">
        <v>134929.51999999999</v>
      </c>
      <c r="S33" s="396">
        <v>107150.3</v>
      </c>
      <c r="T33" s="396">
        <v>98461.67</v>
      </c>
      <c r="U33" s="396">
        <v>90090.32</v>
      </c>
      <c r="V33" s="396">
        <v>81577.009999999995</v>
      </c>
      <c r="W33" s="573">
        <v>72436</v>
      </c>
    </row>
    <row r="34" spans="1:23" ht="12.75" customHeight="1" thickBot="1">
      <c r="A34" s="1025" t="s">
        <v>4913</v>
      </c>
      <c r="B34" s="1030"/>
      <c r="C34" s="1026">
        <v>12120.45</v>
      </c>
      <c r="D34" s="1027">
        <f t="shared" ref="D34:W34" si="12">D31+D33</f>
        <v>69068.02</v>
      </c>
      <c r="E34" s="1017">
        <f t="shared" si="12"/>
        <v>209216.21</v>
      </c>
      <c r="F34" s="1017">
        <f t="shared" si="12"/>
        <v>311300.36</v>
      </c>
      <c r="G34" s="1017">
        <f t="shared" si="12"/>
        <v>315796.45</v>
      </c>
      <c r="H34" s="1018">
        <f t="shared" si="12"/>
        <v>320157.48</v>
      </c>
      <c r="I34" s="1028">
        <v>581314</v>
      </c>
      <c r="J34" s="1028">
        <f t="shared" si="12"/>
        <v>561300.66</v>
      </c>
      <c r="K34" s="1028">
        <f t="shared" si="12"/>
        <v>581202.42000000004</v>
      </c>
      <c r="L34" s="65">
        <f t="shared" si="12"/>
        <v>669866.38</v>
      </c>
      <c r="M34" s="1029">
        <f t="shared" si="12"/>
        <v>633567.63</v>
      </c>
      <c r="N34" s="575">
        <f t="shared" si="12"/>
        <v>590034.51</v>
      </c>
      <c r="O34" s="396">
        <f t="shared" si="12"/>
        <v>657676</v>
      </c>
      <c r="P34" s="396">
        <f t="shared" si="12"/>
        <v>793746.09</v>
      </c>
      <c r="Q34" s="396">
        <f t="shared" si="12"/>
        <v>794184.51</v>
      </c>
      <c r="R34" s="396">
        <f t="shared" si="12"/>
        <v>790986.33000000007</v>
      </c>
      <c r="S34" s="396">
        <f t="shared" si="12"/>
        <v>753798.75</v>
      </c>
      <c r="T34" s="396">
        <f t="shared" si="12"/>
        <v>727219.64</v>
      </c>
      <c r="U34" s="396">
        <f t="shared" si="12"/>
        <v>727367.62000000011</v>
      </c>
      <c r="V34" s="396">
        <f t="shared" si="12"/>
        <v>735519.51</v>
      </c>
      <c r="W34" s="573">
        <f t="shared" si="12"/>
        <v>743780</v>
      </c>
    </row>
    <row r="35" spans="1:23" ht="12.75" customHeight="1" thickBot="1">
      <c r="A35" s="1031"/>
      <c r="B35" s="398"/>
      <c r="C35" s="1032"/>
      <c r="D35" s="1033"/>
      <c r="E35" s="1034"/>
      <c r="F35" s="1034"/>
      <c r="G35" s="1034"/>
      <c r="H35" s="1018"/>
      <c r="I35" s="1035"/>
      <c r="J35" s="1035"/>
      <c r="K35" s="1035"/>
      <c r="L35" s="1036"/>
      <c r="M35" s="1037"/>
      <c r="N35" s="1038"/>
      <c r="O35" s="1039"/>
      <c r="P35" s="1039"/>
      <c r="Q35" s="1030"/>
      <c r="R35" s="1030"/>
      <c r="S35" s="1030"/>
      <c r="T35" s="1030"/>
      <c r="U35" s="1030"/>
      <c r="V35" s="1030"/>
      <c r="W35" s="1040"/>
    </row>
    <row r="36" spans="1:23" ht="12.75" customHeight="1" thickBot="1">
      <c r="A36" s="1073"/>
      <c r="E36" s="1110"/>
      <c r="J36" s="1073"/>
      <c r="N36" s="287"/>
    </row>
    <row r="37" spans="1:23" s="1041" customFormat="1" ht="13.5" thickBot="1">
      <c r="A37" s="1755" t="s">
        <v>4914</v>
      </c>
      <c r="B37" s="1748"/>
      <c r="C37" s="1747">
        <v>2001</v>
      </c>
      <c r="D37" s="1749">
        <v>2002</v>
      </c>
      <c r="E37" s="1750">
        <v>2003</v>
      </c>
      <c r="F37" s="1747">
        <v>2004</v>
      </c>
      <c r="G37" s="1750">
        <v>2005</v>
      </c>
      <c r="H37" s="1750">
        <v>2006</v>
      </c>
      <c r="I37" s="1750">
        <v>2008</v>
      </c>
      <c r="J37" s="1750">
        <v>2010</v>
      </c>
      <c r="K37" s="1747">
        <v>2011</v>
      </c>
      <c r="L37" s="1750">
        <v>2012</v>
      </c>
      <c r="M37" s="1752" t="s">
        <v>4906</v>
      </c>
      <c r="N37" s="1753" t="s">
        <v>4907</v>
      </c>
      <c r="O37" s="1749">
        <v>2015</v>
      </c>
      <c r="P37" s="1749">
        <v>2016</v>
      </c>
      <c r="Q37" s="1749">
        <v>2017</v>
      </c>
      <c r="R37" s="1749">
        <v>2018</v>
      </c>
      <c r="S37" s="1749">
        <v>2019</v>
      </c>
      <c r="T37" s="1749">
        <v>2020</v>
      </c>
      <c r="U37" s="1749">
        <v>2021</v>
      </c>
      <c r="V37" s="1748">
        <v>2022</v>
      </c>
      <c r="W37" s="1754">
        <v>2023</v>
      </c>
    </row>
    <row r="38" spans="1:23">
      <c r="A38" s="1013"/>
      <c r="B38" s="398"/>
      <c r="C38" s="1042"/>
      <c r="D38" s="1043"/>
      <c r="E38" s="1016"/>
      <c r="F38" s="1016"/>
      <c r="G38" s="1017"/>
      <c r="H38" s="1017"/>
      <c r="I38" s="1019"/>
      <c r="J38" s="1020"/>
      <c r="K38" s="1021"/>
      <c r="L38" s="487"/>
      <c r="M38" s="1022"/>
      <c r="N38" s="1023"/>
      <c r="O38" s="392"/>
      <c r="P38" s="392"/>
      <c r="Q38" s="394"/>
      <c r="R38" s="394"/>
      <c r="S38" s="394"/>
      <c r="T38" s="394"/>
      <c r="U38" s="394"/>
      <c r="V38" s="398"/>
      <c r="W38" s="1024"/>
    </row>
    <row r="39" spans="1:23">
      <c r="A39" s="1025" t="s">
        <v>4908</v>
      </c>
      <c r="B39" s="398"/>
      <c r="C39" s="1026">
        <v>4404781.88</v>
      </c>
      <c r="D39" s="1027">
        <f>C42</f>
        <v>5359070.04</v>
      </c>
      <c r="E39" s="1017">
        <v>4948623.13</v>
      </c>
      <c r="F39" s="1017">
        <f>E42</f>
        <v>4666307.03</v>
      </c>
      <c r="G39" s="1017">
        <v>4474544.22</v>
      </c>
      <c r="H39" s="1017">
        <v>4790260.1900000004</v>
      </c>
      <c r="I39" s="1028">
        <v>5204255.88</v>
      </c>
      <c r="J39" s="1028">
        <v>5329600.34</v>
      </c>
      <c r="K39" s="1028">
        <v>4013573.12</v>
      </c>
      <c r="L39" s="65">
        <f t="shared" ref="L39:W39" si="13">K42</f>
        <v>3782554.06</v>
      </c>
      <c r="M39" s="1029">
        <f t="shared" si="13"/>
        <v>3541440.79</v>
      </c>
      <c r="N39" s="575">
        <f t="shared" si="13"/>
        <v>3289475.37</v>
      </c>
      <c r="O39" s="396">
        <f t="shared" si="13"/>
        <v>3038609.39</v>
      </c>
      <c r="P39" s="396">
        <f t="shared" si="13"/>
        <v>2775486.39</v>
      </c>
      <c r="Q39" s="396">
        <f t="shared" si="13"/>
        <v>2511273.39</v>
      </c>
      <c r="R39" s="396">
        <f t="shared" si="13"/>
        <v>2245578.39</v>
      </c>
      <c r="S39" s="396">
        <f t="shared" si="13"/>
        <v>5846988.3900000006</v>
      </c>
      <c r="T39" s="396">
        <f t="shared" si="13"/>
        <v>5312259.0100000007</v>
      </c>
      <c r="U39" s="396">
        <f t="shared" si="13"/>
        <v>4783813.5000000009</v>
      </c>
      <c r="V39" s="396">
        <f t="shared" si="13"/>
        <v>4345176.5500000007</v>
      </c>
      <c r="W39" s="573">
        <f t="shared" si="13"/>
        <v>3958941.5100000007</v>
      </c>
    </row>
    <row r="40" spans="1:23">
      <c r="A40" s="1025" t="s">
        <v>4909</v>
      </c>
      <c r="B40" s="398"/>
      <c r="C40" s="1026">
        <v>1196210.2</v>
      </c>
      <c r="D40" s="1027">
        <v>0</v>
      </c>
      <c r="E40" s="1017">
        <v>100000</v>
      </c>
      <c r="F40" s="1017"/>
      <c r="G40" s="1017">
        <v>756500</v>
      </c>
      <c r="H40" s="1017">
        <v>1945000</v>
      </c>
      <c r="I40" s="1028"/>
      <c r="J40" s="1028"/>
      <c r="K40" s="1028">
        <v>331488.34000000003</v>
      </c>
      <c r="L40" s="65"/>
      <c r="M40" s="1029"/>
      <c r="N40" s="575"/>
      <c r="O40" s="396"/>
      <c r="P40" s="396"/>
      <c r="Q40" s="396"/>
      <c r="R40" s="396">
        <v>4000000</v>
      </c>
      <c r="S40" s="396"/>
      <c r="T40" s="396"/>
      <c r="U40" s="396"/>
      <c r="V40" s="396"/>
      <c r="W40" s="573"/>
    </row>
    <row r="41" spans="1:23">
      <c r="A41" s="1025" t="s">
        <v>4910</v>
      </c>
      <c r="B41" s="398"/>
      <c r="C41" s="1026">
        <v>241922.04</v>
      </c>
      <c r="D41" s="1027">
        <v>372375.31</v>
      </c>
      <c r="E41" s="1017">
        <v>382316.1</v>
      </c>
      <c r="F41" s="1017">
        <v>410762.81</v>
      </c>
      <c r="G41" s="1017">
        <v>399146.4</v>
      </c>
      <c r="H41" s="1017">
        <v>324984.65999999997</v>
      </c>
      <c r="I41" s="1028">
        <v>381813.38</v>
      </c>
      <c r="J41" s="1028">
        <v>1229694.17</v>
      </c>
      <c r="K41" s="1028">
        <v>562507.4</v>
      </c>
      <c r="L41" s="65">
        <v>241113.27</v>
      </c>
      <c r="M41" s="1029">
        <v>251965.42</v>
      </c>
      <c r="N41" s="575">
        <v>250865.98</v>
      </c>
      <c r="O41" s="396">
        <v>263123</v>
      </c>
      <c r="P41" s="396">
        <v>264213</v>
      </c>
      <c r="Q41" s="396">
        <v>265695</v>
      </c>
      <c r="R41" s="396">
        <v>398590</v>
      </c>
      <c r="S41" s="575">
        <v>534729.38</v>
      </c>
      <c r="T41" s="575">
        <v>528445.51</v>
      </c>
      <c r="U41" s="575">
        <v>438636.95</v>
      </c>
      <c r="V41" s="575">
        <v>386235.04</v>
      </c>
      <c r="W41" s="1044">
        <v>394359.13</v>
      </c>
    </row>
    <row r="42" spans="1:23">
      <c r="A42" s="1025" t="s">
        <v>4911</v>
      </c>
      <c r="B42" s="398"/>
      <c r="C42" s="1026">
        <f t="shared" ref="C42:W42" si="14">C39+C40-C41</f>
        <v>5359070.04</v>
      </c>
      <c r="D42" s="1027">
        <f t="shared" si="14"/>
        <v>4986694.7300000004</v>
      </c>
      <c r="E42" s="1017">
        <f t="shared" si="14"/>
        <v>4666307.03</v>
      </c>
      <c r="F42" s="1017">
        <f t="shared" si="14"/>
        <v>4255544.2200000007</v>
      </c>
      <c r="G42" s="1017">
        <f t="shared" si="14"/>
        <v>4831897.8199999994</v>
      </c>
      <c r="H42" s="1017">
        <f t="shared" si="14"/>
        <v>6410275.5300000003</v>
      </c>
      <c r="I42" s="1028">
        <f t="shared" si="14"/>
        <v>4822442.5</v>
      </c>
      <c r="J42" s="1028">
        <f t="shared" si="14"/>
        <v>4099906.17</v>
      </c>
      <c r="K42" s="1028">
        <f t="shared" si="14"/>
        <v>3782554.06</v>
      </c>
      <c r="L42" s="65">
        <f t="shared" si="14"/>
        <v>3541440.79</v>
      </c>
      <c r="M42" s="1029">
        <f t="shared" si="14"/>
        <v>3289475.37</v>
      </c>
      <c r="N42" s="575">
        <f t="shared" si="14"/>
        <v>3038609.39</v>
      </c>
      <c r="O42" s="396">
        <f t="shared" si="14"/>
        <v>2775486.39</v>
      </c>
      <c r="P42" s="396">
        <f t="shared" si="14"/>
        <v>2511273.39</v>
      </c>
      <c r="Q42" s="396">
        <f t="shared" si="14"/>
        <v>2245578.39</v>
      </c>
      <c r="R42" s="396">
        <f t="shared" si="14"/>
        <v>5846988.3900000006</v>
      </c>
      <c r="S42" s="575">
        <f t="shared" si="14"/>
        <v>5312259.0100000007</v>
      </c>
      <c r="T42" s="575">
        <f t="shared" si="14"/>
        <v>4783813.5000000009</v>
      </c>
      <c r="U42" s="575">
        <f t="shared" si="14"/>
        <v>4345176.5500000007</v>
      </c>
      <c r="V42" s="575">
        <f t="shared" si="14"/>
        <v>3958941.5100000007</v>
      </c>
      <c r="W42" s="1044">
        <f t="shared" si="14"/>
        <v>3564582.3800000008</v>
      </c>
    </row>
    <row r="43" spans="1:23">
      <c r="A43" s="1025" t="s">
        <v>4912</v>
      </c>
      <c r="B43" s="398"/>
      <c r="C43" s="1026">
        <v>305466.92</v>
      </c>
      <c r="D43" s="1027">
        <v>293353.62</v>
      </c>
      <c r="E43" s="1017">
        <v>271376.2</v>
      </c>
      <c r="F43" s="1017">
        <v>254638.69</v>
      </c>
      <c r="G43" s="1017">
        <v>239035.51</v>
      </c>
      <c r="H43" s="1017">
        <v>273382</v>
      </c>
      <c r="I43" s="1028">
        <v>232992.89</v>
      </c>
      <c r="J43" s="1028">
        <v>196423.97</v>
      </c>
      <c r="K43" s="1028">
        <v>170471.98</v>
      </c>
      <c r="L43" s="65">
        <v>158671</v>
      </c>
      <c r="M43" s="1029">
        <v>147692.5</v>
      </c>
      <c r="N43" s="575">
        <v>137169.26</v>
      </c>
      <c r="O43" s="396">
        <v>123348</v>
      </c>
      <c r="P43" s="396">
        <v>112187</v>
      </c>
      <c r="Q43" s="396">
        <v>100634</v>
      </c>
      <c r="R43" s="396">
        <v>125639</v>
      </c>
      <c r="S43" s="575">
        <v>125513</v>
      </c>
      <c r="T43" s="575">
        <v>109651.8</v>
      </c>
      <c r="U43" s="575">
        <v>95768.71</v>
      </c>
      <c r="V43" s="575">
        <v>86324.18</v>
      </c>
      <c r="W43" s="1044">
        <v>78200.100000000006</v>
      </c>
    </row>
    <row r="44" spans="1:23" ht="13.5" thickBot="1">
      <c r="A44" s="1025" t="s">
        <v>4913</v>
      </c>
      <c r="B44" s="1030"/>
      <c r="C44" s="1026">
        <f t="shared" ref="C44:W44" si="15">C41+C43</f>
        <v>547388.96</v>
      </c>
      <c r="D44" s="1027">
        <f t="shared" si="15"/>
        <v>665728.92999999993</v>
      </c>
      <c r="E44" s="1017">
        <f t="shared" si="15"/>
        <v>653692.30000000005</v>
      </c>
      <c r="F44" s="1017">
        <f t="shared" si="15"/>
        <v>665401.5</v>
      </c>
      <c r="G44" s="1017">
        <f t="shared" si="15"/>
        <v>638181.91</v>
      </c>
      <c r="H44" s="1017">
        <f t="shared" si="15"/>
        <v>598366.65999999992</v>
      </c>
      <c r="I44" s="1028">
        <f t="shared" si="15"/>
        <v>614806.27</v>
      </c>
      <c r="J44" s="1028">
        <f t="shared" si="15"/>
        <v>1426118.14</v>
      </c>
      <c r="K44" s="1028">
        <f t="shared" si="15"/>
        <v>732979.38</v>
      </c>
      <c r="L44" s="65">
        <f t="shared" si="15"/>
        <v>399784.27</v>
      </c>
      <c r="M44" s="1029">
        <f t="shared" si="15"/>
        <v>399657.92000000004</v>
      </c>
      <c r="N44" s="575">
        <f t="shared" si="15"/>
        <v>388035.24</v>
      </c>
      <c r="O44" s="396">
        <f t="shared" si="15"/>
        <v>386471</v>
      </c>
      <c r="P44" s="396">
        <f t="shared" si="15"/>
        <v>376400</v>
      </c>
      <c r="Q44" s="396">
        <f t="shared" si="15"/>
        <v>366329</v>
      </c>
      <c r="R44" s="396">
        <f t="shared" si="15"/>
        <v>524229</v>
      </c>
      <c r="S44" s="396">
        <f t="shared" si="15"/>
        <v>660242.38</v>
      </c>
      <c r="T44" s="396">
        <f t="shared" si="15"/>
        <v>638097.31000000006</v>
      </c>
      <c r="U44" s="396">
        <f t="shared" si="15"/>
        <v>534405.66</v>
      </c>
      <c r="V44" s="396">
        <f t="shared" si="15"/>
        <v>472559.22</v>
      </c>
      <c r="W44" s="573">
        <f t="shared" si="15"/>
        <v>472559.23</v>
      </c>
    </row>
    <row r="45" spans="1:23" ht="13.5" thickBot="1">
      <c r="A45" s="1031"/>
      <c r="B45" s="398"/>
      <c r="C45" s="1045"/>
      <c r="D45" s="1046"/>
      <c r="E45" s="1034"/>
      <c r="F45" s="1034"/>
      <c r="G45" s="1034"/>
      <c r="H45" s="1034"/>
      <c r="I45" s="1035"/>
      <c r="J45" s="1035"/>
      <c r="K45" s="1035"/>
      <c r="L45" s="1036"/>
      <c r="M45" s="1037"/>
      <c r="N45" s="1038"/>
      <c r="O45" s="1039"/>
      <c r="P45" s="1039"/>
      <c r="Q45" s="1030"/>
      <c r="R45" s="1030"/>
      <c r="S45" s="1030"/>
      <c r="T45" s="1030"/>
      <c r="U45" s="1030"/>
      <c r="V45" s="1030"/>
      <c r="W45" s="1040"/>
    </row>
    <row r="46" spans="1:23" ht="13.5" thickBot="1">
      <c r="N46" s="287"/>
    </row>
    <row r="47" spans="1:23" s="1041" customFormat="1" ht="13.5" thickBot="1">
      <c r="A47" s="1755" t="s">
        <v>4915</v>
      </c>
      <c r="B47" s="1748"/>
      <c r="C47" s="1747">
        <v>2001</v>
      </c>
      <c r="D47" s="1749">
        <v>2002</v>
      </c>
      <c r="E47" s="1750">
        <v>2003</v>
      </c>
      <c r="F47" s="1747">
        <v>2004</v>
      </c>
      <c r="G47" s="1750">
        <v>2005</v>
      </c>
      <c r="H47" s="1750">
        <v>2006</v>
      </c>
      <c r="I47" s="1750">
        <v>2008</v>
      </c>
      <c r="J47" s="1750">
        <v>2010</v>
      </c>
      <c r="K47" s="1747">
        <v>2011</v>
      </c>
      <c r="L47" s="1750">
        <v>2012</v>
      </c>
      <c r="M47" s="1752" t="s">
        <v>4906</v>
      </c>
      <c r="N47" s="1753" t="s">
        <v>4907</v>
      </c>
      <c r="O47" s="1749">
        <v>2015</v>
      </c>
      <c r="P47" s="1749">
        <v>2016</v>
      </c>
      <c r="Q47" s="1749">
        <v>2017</v>
      </c>
      <c r="R47" s="1749">
        <v>2018</v>
      </c>
      <c r="S47" s="1749">
        <v>2019</v>
      </c>
      <c r="T47" s="1749">
        <v>2020</v>
      </c>
      <c r="U47" s="1749">
        <v>2021</v>
      </c>
      <c r="V47" s="1748">
        <v>2022</v>
      </c>
      <c r="W47" s="1754">
        <v>2023</v>
      </c>
    </row>
    <row r="48" spans="1:23">
      <c r="A48" s="1013"/>
      <c r="B48" s="398"/>
      <c r="C48" s="1014"/>
      <c r="D48" s="1015"/>
      <c r="E48" s="1016"/>
      <c r="F48" s="1016"/>
      <c r="G48" s="1017"/>
      <c r="H48" s="1017"/>
      <c r="I48" s="1019"/>
      <c r="J48" s="1020"/>
      <c r="K48" s="1021"/>
      <c r="L48" s="487"/>
      <c r="M48" s="1022"/>
      <c r="N48" s="1023"/>
      <c r="O48" s="392"/>
      <c r="P48" s="392"/>
      <c r="Q48" s="394"/>
      <c r="R48" s="394"/>
      <c r="S48" s="394"/>
      <c r="T48" s="394"/>
      <c r="U48" s="394"/>
      <c r="V48" s="398"/>
      <c r="W48" s="1024"/>
    </row>
    <row r="49" spans="1:23">
      <c r="A49" s="1025" t="s">
        <v>4908</v>
      </c>
      <c r="B49" s="398"/>
      <c r="C49" s="1026">
        <v>10068512.41</v>
      </c>
      <c r="D49" s="1027">
        <f t="shared" ref="D49:P49" si="16">C52</f>
        <v>9196905.8000000007</v>
      </c>
      <c r="E49" s="1017">
        <f t="shared" si="16"/>
        <v>8350251.6100000013</v>
      </c>
      <c r="F49" s="1017">
        <f t="shared" si="16"/>
        <v>7501752.0900000017</v>
      </c>
      <c r="G49" s="1017">
        <f t="shared" si="16"/>
        <v>6642889.5500000017</v>
      </c>
      <c r="H49" s="1017">
        <f t="shared" si="16"/>
        <v>5812657.0100000016</v>
      </c>
      <c r="I49" s="1028">
        <v>4305520.9400000004</v>
      </c>
      <c r="J49" s="1028">
        <v>3130491.17</v>
      </c>
      <c r="K49" s="1028">
        <f>J52</f>
        <v>2626493.6399999997</v>
      </c>
      <c r="L49" s="65">
        <f t="shared" si="16"/>
        <v>2134391.92</v>
      </c>
      <c r="M49" s="1029">
        <f t="shared" si="16"/>
        <v>1668985.51</v>
      </c>
      <c r="N49" s="575">
        <f t="shared" si="16"/>
        <v>1241143.5900000001</v>
      </c>
      <c r="O49" s="396">
        <f t="shared" si="16"/>
        <v>883495.17000000016</v>
      </c>
      <c r="P49" s="396">
        <f t="shared" si="16"/>
        <v>613597.07000000018</v>
      </c>
      <c r="Q49" s="396">
        <f>P52</f>
        <v>400680.98000000021</v>
      </c>
      <c r="R49" s="396">
        <f>Q52</f>
        <v>225896.38000000021</v>
      </c>
      <c r="S49" s="396">
        <f>R52</f>
        <v>76024.010000000213</v>
      </c>
      <c r="T49" s="396">
        <f>S52</f>
        <v>2.1827872842550278E-10</v>
      </c>
      <c r="U49" s="396">
        <f>T52</f>
        <v>2.1827872842550278E-10</v>
      </c>
      <c r="V49" s="396">
        <v>0</v>
      </c>
      <c r="W49" s="573">
        <v>0</v>
      </c>
    </row>
    <row r="50" spans="1:23">
      <c r="A50" s="1025" t="s">
        <v>4909</v>
      </c>
      <c r="B50" s="398"/>
      <c r="C50" s="1026"/>
      <c r="D50" s="1027"/>
      <c r="E50" s="1017"/>
      <c r="F50" s="1017"/>
      <c r="G50" s="1017"/>
      <c r="H50" s="1017"/>
      <c r="I50" s="1028"/>
      <c r="J50" s="1028"/>
      <c r="K50" s="1028"/>
      <c r="L50" s="65"/>
      <c r="M50" s="1029"/>
      <c r="N50" s="575"/>
      <c r="O50" s="396"/>
      <c r="P50" s="396"/>
      <c r="Q50" s="396"/>
      <c r="R50" s="396"/>
      <c r="S50" s="396"/>
      <c r="T50" s="396"/>
      <c r="U50" s="396"/>
      <c r="V50" s="396"/>
      <c r="W50" s="573"/>
    </row>
    <row r="51" spans="1:23">
      <c r="A51" s="1025" t="s">
        <v>4910</v>
      </c>
      <c r="B51" s="398"/>
      <c r="C51" s="1026">
        <v>871606.61</v>
      </c>
      <c r="D51" s="1027">
        <v>846654.19</v>
      </c>
      <c r="E51" s="1017">
        <v>848499.52</v>
      </c>
      <c r="F51" s="1017">
        <v>858862.54</v>
      </c>
      <c r="G51" s="1017">
        <v>830232.54</v>
      </c>
      <c r="H51" s="1017">
        <v>801636.8</v>
      </c>
      <c r="I51" s="1028">
        <v>623640.92000000004</v>
      </c>
      <c r="J51" s="1028">
        <v>503997.53</v>
      </c>
      <c r="K51" s="1028">
        <v>492101.72</v>
      </c>
      <c r="L51" s="65">
        <v>465406.41</v>
      </c>
      <c r="M51" s="1029">
        <v>427841.92</v>
      </c>
      <c r="N51" s="575">
        <v>357648.42</v>
      </c>
      <c r="O51" s="396">
        <v>269898.09999999998</v>
      </c>
      <c r="P51" s="396">
        <v>212916.09</v>
      </c>
      <c r="Q51" s="396">
        <v>174784.6</v>
      </c>
      <c r="R51" s="396">
        <v>149872.37</v>
      </c>
      <c r="S51" s="396">
        <v>76024.009999999995</v>
      </c>
      <c r="T51" s="396"/>
      <c r="U51" s="396"/>
      <c r="V51" s="396"/>
      <c r="W51" s="573"/>
    </row>
    <row r="52" spans="1:23">
      <c r="A52" s="1025" t="s">
        <v>4911</v>
      </c>
      <c r="B52" s="398"/>
      <c r="C52" s="1026">
        <f t="shared" ref="C52:U52" si="17">C49+C50-C51</f>
        <v>9196905.8000000007</v>
      </c>
      <c r="D52" s="1027">
        <f t="shared" si="17"/>
        <v>8350251.6100000013</v>
      </c>
      <c r="E52" s="1017">
        <f t="shared" si="17"/>
        <v>7501752.0900000017</v>
      </c>
      <c r="F52" s="1017">
        <f t="shared" si="17"/>
        <v>6642889.5500000017</v>
      </c>
      <c r="G52" s="1017">
        <f t="shared" si="17"/>
        <v>5812657.0100000016</v>
      </c>
      <c r="H52" s="1017">
        <f t="shared" si="17"/>
        <v>5011020.2100000018</v>
      </c>
      <c r="I52" s="1028">
        <f t="shared" si="17"/>
        <v>3681880.0200000005</v>
      </c>
      <c r="J52" s="1028">
        <f>J49+J50-J51</f>
        <v>2626493.6399999997</v>
      </c>
      <c r="K52" s="1028">
        <f t="shared" si="17"/>
        <v>2134391.92</v>
      </c>
      <c r="L52" s="65">
        <f t="shared" si="17"/>
        <v>1668985.51</v>
      </c>
      <c r="M52" s="1029">
        <f t="shared" si="17"/>
        <v>1241143.5900000001</v>
      </c>
      <c r="N52" s="575">
        <f t="shared" si="17"/>
        <v>883495.17000000016</v>
      </c>
      <c r="O52" s="396">
        <f t="shared" si="17"/>
        <v>613597.07000000018</v>
      </c>
      <c r="P52" s="396">
        <f t="shared" si="17"/>
        <v>400680.98000000021</v>
      </c>
      <c r="Q52" s="396">
        <f t="shared" si="17"/>
        <v>225896.38000000021</v>
      </c>
      <c r="R52" s="396">
        <f t="shared" si="17"/>
        <v>76024.010000000213</v>
      </c>
      <c r="S52" s="396">
        <f t="shared" si="17"/>
        <v>2.1827872842550278E-10</v>
      </c>
      <c r="T52" s="396">
        <f t="shared" si="17"/>
        <v>2.1827872842550278E-10</v>
      </c>
      <c r="U52" s="396">
        <f t="shared" si="17"/>
        <v>2.1827872842550278E-10</v>
      </c>
      <c r="V52" s="396">
        <v>0</v>
      </c>
      <c r="W52" s="573">
        <v>0</v>
      </c>
    </row>
    <row r="53" spans="1:23">
      <c r="A53" s="1025" t="s">
        <v>4912</v>
      </c>
      <c r="B53" s="398"/>
      <c r="C53" s="1026">
        <v>473263.02</v>
      </c>
      <c r="D53" s="1027">
        <v>425509.85</v>
      </c>
      <c r="E53" s="1017">
        <v>362149.6</v>
      </c>
      <c r="F53" s="1017">
        <v>317771.14</v>
      </c>
      <c r="G53" s="1017">
        <v>262000.83</v>
      </c>
      <c r="H53" s="1017">
        <v>223923</v>
      </c>
      <c r="I53" s="1028">
        <v>180195.61</v>
      </c>
      <c r="J53" s="1028">
        <v>123202.96</v>
      </c>
      <c r="K53" s="1028">
        <v>95773.02</v>
      </c>
      <c r="L53" s="65">
        <v>73825.850000000006</v>
      </c>
      <c r="M53" s="1029">
        <v>56232.67</v>
      </c>
      <c r="N53" s="575">
        <v>41506.07</v>
      </c>
      <c r="O53" s="396">
        <v>29694.94</v>
      </c>
      <c r="P53" s="396">
        <v>20831.2</v>
      </c>
      <c r="Q53" s="396">
        <v>13243.5</v>
      </c>
      <c r="R53" s="396">
        <v>6990.54</v>
      </c>
      <c r="S53" s="396">
        <v>26.38</v>
      </c>
      <c r="T53" s="396"/>
      <c r="U53" s="396"/>
      <c r="V53" s="396"/>
      <c r="W53" s="573"/>
    </row>
    <row r="54" spans="1:23" ht="13.5" thickBot="1">
      <c r="A54" s="1025" t="s">
        <v>4913</v>
      </c>
      <c r="B54" s="1030"/>
      <c r="C54" s="1026">
        <f t="shared" ref="C54:P54" si="18">C51+C53</f>
        <v>1344869.63</v>
      </c>
      <c r="D54" s="1027">
        <f t="shared" si="18"/>
        <v>1272164.04</v>
      </c>
      <c r="E54" s="1017">
        <f t="shared" si="18"/>
        <v>1210649.1200000001</v>
      </c>
      <c r="F54" s="1017">
        <f t="shared" si="18"/>
        <v>1176633.6800000002</v>
      </c>
      <c r="G54" s="1017">
        <f t="shared" si="18"/>
        <v>1092233.3700000001</v>
      </c>
      <c r="H54" s="1017">
        <f t="shared" si="18"/>
        <v>1025559.8</v>
      </c>
      <c r="I54" s="1028">
        <f t="shared" si="18"/>
        <v>803836.53</v>
      </c>
      <c r="J54" s="1028">
        <f t="shared" si="18"/>
        <v>627200.49</v>
      </c>
      <c r="K54" s="1028">
        <f t="shared" si="18"/>
        <v>587874.74</v>
      </c>
      <c r="L54" s="65">
        <f t="shared" si="18"/>
        <v>539232.26</v>
      </c>
      <c r="M54" s="1029">
        <f t="shared" si="18"/>
        <v>484074.58999999997</v>
      </c>
      <c r="N54" s="575">
        <f t="shared" si="18"/>
        <v>399154.49</v>
      </c>
      <c r="O54" s="396">
        <f t="shared" si="18"/>
        <v>299593.03999999998</v>
      </c>
      <c r="P54" s="396">
        <f t="shared" si="18"/>
        <v>233747.29</v>
      </c>
      <c r="Q54" s="396">
        <f>Q51+Q53</f>
        <v>188028.1</v>
      </c>
      <c r="R54" s="396">
        <f>R51+R53</f>
        <v>156862.91</v>
      </c>
      <c r="S54" s="396">
        <f>S51+S53</f>
        <v>76050.39</v>
      </c>
      <c r="T54" s="396">
        <f>T51+T53</f>
        <v>0</v>
      </c>
      <c r="U54" s="396">
        <f>U51+U53</f>
        <v>0</v>
      </c>
      <c r="V54" s="396">
        <v>0</v>
      </c>
      <c r="W54" s="573">
        <v>0</v>
      </c>
    </row>
    <row r="55" spans="1:23" ht="13.5" thickBot="1">
      <c r="A55" s="1031"/>
      <c r="B55" s="398"/>
      <c r="C55" s="1032"/>
      <c r="D55" s="1033"/>
      <c r="E55" s="1034"/>
      <c r="F55" s="1034"/>
      <c r="G55" s="1034"/>
      <c r="H55" s="1034"/>
      <c r="I55" s="1035"/>
      <c r="J55" s="1035"/>
      <c r="K55" s="1035"/>
      <c r="L55" s="1036"/>
      <c r="M55" s="1037"/>
      <c r="N55" s="1038"/>
      <c r="O55" s="1039"/>
      <c r="P55" s="1039"/>
      <c r="Q55" s="1030"/>
      <c r="R55" s="1030"/>
      <c r="S55" s="1030"/>
      <c r="T55" s="1030"/>
      <c r="U55" s="1030"/>
      <c r="V55" s="1030"/>
      <c r="W55" s="1040"/>
    </row>
    <row r="56" spans="1:23" ht="13.5" thickBot="1">
      <c r="A56" s="1047"/>
      <c r="B56" s="398"/>
      <c r="C56" s="1027"/>
      <c r="D56" s="1027"/>
      <c r="E56" s="1018"/>
      <c r="F56" s="1018"/>
      <c r="G56" s="1018"/>
      <c r="H56" s="1018"/>
      <c r="I56" s="1048"/>
      <c r="J56" s="1048"/>
      <c r="K56" s="575"/>
      <c r="L56" s="65"/>
      <c r="N56" s="287"/>
    </row>
    <row r="57" spans="1:23" ht="13.5" thickBot="1">
      <c r="A57" s="1755" t="s">
        <v>4916</v>
      </c>
      <c r="B57" s="1748"/>
      <c r="C57" s="1747">
        <v>2001</v>
      </c>
      <c r="D57" s="1749">
        <v>2002</v>
      </c>
      <c r="E57" s="1750">
        <v>2003</v>
      </c>
      <c r="F57" s="1747">
        <v>2004</v>
      </c>
      <c r="G57" s="1750">
        <v>2005</v>
      </c>
      <c r="H57" s="1750">
        <v>2006</v>
      </c>
      <c r="I57" s="1750">
        <v>2008</v>
      </c>
      <c r="J57" s="1750">
        <v>2010</v>
      </c>
      <c r="K57" s="1747">
        <v>2011</v>
      </c>
      <c r="L57" s="1750">
        <v>2012</v>
      </c>
      <c r="M57" s="1752" t="s">
        <v>4906</v>
      </c>
      <c r="N57" s="1753" t="s">
        <v>4907</v>
      </c>
      <c r="O57" s="1749">
        <v>2015</v>
      </c>
      <c r="P57" s="1749">
        <v>2016</v>
      </c>
      <c r="Q57" s="1749">
        <v>2017</v>
      </c>
      <c r="R57" s="1749">
        <v>2018</v>
      </c>
      <c r="S57" s="1749">
        <v>2019</v>
      </c>
      <c r="T57" s="1749">
        <v>2020</v>
      </c>
      <c r="U57" s="1749">
        <v>2021</v>
      </c>
      <c r="V57" s="1748">
        <v>2022</v>
      </c>
      <c r="W57" s="1754">
        <v>2023</v>
      </c>
    </row>
    <row r="58" spans="1:23">
      <c r="A58" s="1013"/>
      <c r="B58" s="398"/>
      <c r="C58" s="1014"/>
      <c r="D58" s="1015"/>
      <c r="E58" s="1016"/>
      <c r="F58" s="1016"/>
      <c r="G58" s="1017"/>
      <c r="H58" s="1017"/>
      <c r="I58" s="1019"/>
      <c r="J58" s="1020"/>
      <c r="K58" s="1021"/>
      <c r="L58" s="487"/>
      <c r="M58" s="1022"/>
      <c r="N58" s="1023"/>
      <c r="O58" s="392"/>
      <c r="P58" s="392"/>
      <c r="Q58" s="394"/>
      <c r="R58" s="394"/>
      <c r="S58" s="394"/>
      <c r="T58" s="394"/>
      <c r="U58" s="394"/>
      <c r="V58" s="398"/>
      <c r="W58" s="1024"/>
    </row>
    <row r="59" spans="1:23">
      <c r="A59" s="1025" t="s">
        <v>4908</v>
      </c>
      <c r="B59" s="398"/>
      <c r="C59" s="1026">
        <v>10068512.41</v>
      </c>
      <c r="D59" s="1027">
        <f>C62</f>
        <v>9196905.8000000007</v>
      </c>
      <c r="E59" s="1017">
        <f>D62</f>
        <v>8350251.6100000013</v>
      </c>
      <c r="F59" s="1017">
        <f>E62</f>
        <v>7501752.0900000017</v>
      </c>
      <c r="G59" s="1017">
        <f>F62</f>
        <v>6642889.5500000017</v>
      </c>
      <c r="H59" s="1017">
        <v>0</v>
      </c>
      <c r="I59" s="1028">
        <v>3751125.25</v>
      </c>
      <c r="J59" s="1028">
        <v>3535499.06</v>
      </c>
      <c r="K59" s="1028">
        <f t="shared" ref="K59:S59" si="19">J62</f>
        <v>3420735.9</v>
      </c>
      <c r="L59" s="65">
        <f t="shared" si="19"/>
        <v>3301074.71</v>
      </c>
      <c r="M59" s="1029">
        <f t="shared" si="19"/>
        <v>3190470.28</v>
      </c>
      <c r="N59" s="575">
        <f t="shared" si="19"/>
        <v>3033353.09</v>
      </c>
      <c r="O59" s="396">
        <f t="shared" si="19"/>
        <v>2872883.2199999997</v>
      </c>
      <c r="P59" s="396">
        <f t="shared" si="19"/>
        <v>2708951.6599999997</v>
      </c>
      <c r="Q59" s="396">
        <f t="shared" si="19"/>
        <v>2541445.2599999998</v>
      </c>
      <c r="R59" s="396">
        <f t="shared" si="19"/>
        <v>2366107.1399999997</v>
      </c>
      <c r="S59" s="396">
        <f t="shared" si="19"/>
        <v>2188127.1599999997</v>
      </c>
      <c r="T59" s="396">
        <f>S62</f>
        <v>2009865.0699999996</v>
      </c>
      <c r="U59" s="396">
        <f>T62</f>
        <v>1831320.4599999995</v>
      </c>
      <c r="V59" s="396">
        <f>U62</f>
        <v>1652492.8399999994</v>
      </c>
      <c r="W59" s="573">
        <f>V62</f>
        <v>1475303.2699999993</v>
      </c>
    </row>
    <row r="60" spans="1:23">
      <c r="A60" s="1025" t="s">
        <v>4909</v>
      </c>
      <c r="B60" s="398"/>
      <c r="C60" s="1026"/>
      <c r="D60" s="1027"/>
      <c r="E60" s="1017"/>
      <c r="F60" s="1017"/>
      <c r="G60" s="1017"/>
      <c r="H60" s="1017">
        <v>1657000</v>
      </c>
      <c r="I60" s="1028"/>
      <c r="J60" s="1028"/>
      <c r="K60" s="1028"/>
      <c r="L60" s="65"/>
      <c r="M60" s="1029"/>
      <c r="N60" s="575"/>
      <c r="O60" s="396"/>
      <c r="P60" s="396"/>
      <c r="Q60" s="396"/>
      <c r="R60" s="396"/>
      <c r="S60" s="396"/>
      <c r="T60" s="396"/>
      <c r="U60" s="396"/>
      <c r="V60" s="396"/>
      <c r="W60" s="573"/>
    </row>
    <row r="61" spans="1:23">
      <c r="A61" s="1025" t="s">
        <v>4910</v>
      </c>
      <c r="B61" s="398"/>
      <c r="C61" s="1026">
        <v>871606.61</v>
      </c>
      <c r="D61" s="1027">
        <v>846654.19</v>
      </c>
      <c r="E61" s="1017">
        <v>848499.52</v>
      </c>
      <c r="F61" s="1017">
        <v>858862.54</v>
      </c>
      <c r="G61" s="1017">
        <v>830232.54</v>
      </c>
      <c r="H61" s="1017"/>
      <c r="I61" s="1028">
        <v>105560.52</v>
      </c>
      <c r="J61" s="1028">
        <v>114763.16</v>
      </c>
      <c r="K61" s="1028">
        <v>119661.19</v>
      </c>
      <c r="L61" s="65">
        <v>110604.43</v>
      </c>
      <c r="M61" s="1029">
        <v>157117.19</v>
      </c>
      <c r="N61" s="575">
        <v>160469.87</v>
      </c>
      <c r="O61" s="396">
        <v>163931.56</v>
      </c>
      <c r="P61" s="396">
        <v>167506.4</v>
      </c>
      <c r="Q61" s="396">
        <v>175338.12</v>
      </c>
      <c r="R61" s="396">
        <v>177979.98</v>
      </c>
      <c r="S61" s="396">
        <v>178262.09</v>
      </c>
      <c r="T61" s="396">
        <v>178544.61</v>
      </c>
      <c r="U61" s="396">
        <v>178827.62</v>
      </c>
      <c r="V61" s="396">
        <v>177189.57</v>
      </c>
      <c r="W61" s="573">
        <v>177214</v>
      </c>
    </row>
    <row r="62" spans="1:23">
      <c r="A62" s="1025" t="s">
        <v>4911</v>
      </c>
      <c r="B62" s="398"/>
      <c r="C62" s="1026">
        <f t="shared" ref="C62:W62" si="20">C59+C60-C61</f>
        <v>9196905.8000000007</v>
      </c>
      <c r="D62" s="1027">
        <f t="shared" si="20"/>
        <v>8350251.6100000013</v>
      </c>
      <c r="E62" s="1017">
        <f t="shared" si="20"/>
        <v>7501752.0900000017</v>
      </c>
      <c r="F62" s="1017">
        <f t="shared" si="20"/>
        <v>6642889.5500000017</v>
      </c>
      <c r="G62" s="1017">
        <f t="shared" si="20"/>
        <v>5812657.0100000016</v>
      </c>
      <c r="H62" s="1017">
        <f t="shared" si="20"/>
        <v>1657000</v>
      </c>
      <c r="I62" s="1028">
        <f t="shared" si="20"/>
        <v>3645564.73</v>
      </c>
      <c r="J62" s="1028">
        <f t="shared" si="20"/>
        <v>3420735.9</v>
      </c>
      <c r="K62" s="1028">
        <f t="shared" si="20"/>
        <v>3301074.71</v>
      </c>
      <c r="L62" s="65">
        <f t="shared" si="20"/>
        <v>3190470.28</v>
      </c>
      <c r="M62" s="1029">
        <f t="shared" si="20"/>
        <v>3033353.09</v>
      </c>
      <c r="N62" s="575">
        <f t="shared" si="20"/>
        <v>2872883.2199999997</v>
      </c>
      <c r="O62" s="396">
        <f t="shared" si="20"/>
        <v>2708951.6599999997</v>
      </c>
      <c r="P62" s="396">
        <f t="shared" si="20"/>
        <v>2541445.2599999998</v>
      </c>
      <c r="Q62" s="396">
        <f t="shared" si="20"/>
        <v>2366107.1399999997</v>
      </c>
      <c r="R62" s="396">
        <f t="shared" si="20"/>
        <v>2188127.1599999997</v>
      </c>
      <c r="S62" s="396">
        <f t="shared" si="20"/>
        <v>2009865.0699999996</v>
      </c>
      <c r="T62" s="396">
        <f t="shared" si="20"/>
        <v>1831320.4599999995</v>
      </c>
      <c r="U62" s="396">
        <f t="shared" si="20"/>
        <v>1652492.8399999994</v>
      </c>
      <c r="V62" s="396">
        <f t="shared" si="20"/>
        <v>1475303.2699999993</v>
      </c>
      <c r="W62" s="573">
        <f t="shared" si="20"/>
        <v>1298089.2699999993</v>
      </c>
    </row>
    <row r="63" spans="1:23">
      <c r="A63" s="1025" t="s">
        <v>4912</v>
      </c>
      <c r="B63" s="398"/>
      <c r="C63" s="1026">
        <v>473263.02</v>
      </c>
      <c r="D63" s="1027">
        <v>425509.85</v>
      </c>
      <c r="E63" s="1017">
        <v>362149.6</v>
      </c>
      <c r="F63" s="1017">
        <v>317771.14</v>
      </c>
      <c r="G63" s="1017">
        <v>262000.83</v>
      </c>
      <c r="H63" s="1017"/>
      <c r="I63" s="1028">
        <v>157700.34</v>
      </c>
      <c r="J63" s="1028">
        <v>148497.70000000001</v>
      </c>
      <c r="K63" s="1028">
        <v>143599.67000000001</v>
      </c>
      <c r="L63" s="65">
        <v>132019.1</v>
      </c>
      <c r="M63" s="1029">
        <v>66833.350000000006</v>
      </c>
      <c r="N63" s="575">
        <v>63480.67</v>
      </c>
      <c r="O63" s="396">
        <v>60018.98</v>
      </c>
      <c r="P63" s="396">
        <v>56444.14</v>
      </c>
      <c r="Q63" s="396">
        <v>16296.32</v>
      </c>
      <c r="R63" s="396">
        <v>3821.9</v>
      </c>
      <c r="S63" s="396">
        <v>3539.79</v>
      </c>
      <c r="T63" s="396">
        <v>3257.27</v>
      </c>
      <c r="U63" s="396">
        <v>2974.26</v>
      </c>
      <c r="V63" s="396">
        <v>6920.49</v>
      </c>
      <c r="W63" s="573">
        <v>7870.84</v>
      </c>
    </row>
    <row r="64" spans="1:23" ht="13.5" thickBot="1">
      <c r="A64" s="1025" t="s">
        <v>4913</v>
      </c>
      <c r="B64" s="1030"/>
      <c r="C64" s="1026">
        <f t="shared" ref="C64:W64" si="21">C61+C63</f>
        <v>1344869.63</v>
      </c>
      <c r="D64" s="1027">
        <f t="shared" si="21"/>
        <v>1272164.04</v>
      </c>
      <c r="E64" s="1017">
        <f t="shared" si="21"/>
        <v>1210649.1200000001</v>
      </c>
      <c r="F64" s="1017">
        <f t="shared" si="21"/>
        <v>1176633.6800000002</v>
      </c>
      <c r="G64" s="1017">
        <f t="shared" si="21"/>
        <v>1092233.3700000001</v>
      </c>
      <c r="H64" s="1017">
        <f t="shared" si="21"/>
        <v>0</v>
      </c>
      <c r="I64" s="1028">
        <f t="shared" si="21"/>
        <v>263260.86</v>
      </c>
      <c r="J64" s="1028">
        <f t="shared" si="21"/>
        <v>263260.86</v>
      </c>
      <c r="K64" s="1028">
        <f t="shared" si="21"/>
        <v>263260.86</v>
      </c>
      <c r="L64" s="65">
        <f t="shared" si="21"/>
        <v>242623.53</v>
      </c>
      <c r="M64" s="1029">
        <f t="shared" si="21"/>
        <v>223950.54</v>
      </c>
      <c r="N64" s="575">
        <f t="shared" si="21"/>
        <v>223950.53999999998</v>
      </c>
      <c r="O64" s="396">
        <f t="shared" si="21"/>
        <v>223950.54</v>
      </c>
      <c r="P64" s="396">
        <f t="shared" si="21"/>
        <v>223950.53999999998</v>
      </c>
      <c r="Q64" s="396">
        <f t="shared" si="21"/>
        <v>191634.44</v>
      </c>
      <c r="R64" s="396">
        <f t="shared" si="21"/>
        <v>181801.88</v>
      </c>
      <c r="S64" s="396">
        <f t="shared" si="21"/>
        <v>181801.88</v>
      </c>
      <c r="T64" s="396">
        <f t="shared" si="21"/>
        <v>181801.87999999998</v>
      </c>
      <c r="U64" s="396">
        <f t="shared" si="21"/>
        <v>181801.88</v>
      </c>
      <c r="V64" s="396">
        <f t="shared" si="21"/>
        <v>184110.06</v>
      </c>
      <c r="W64" s="573">
        <f t="shared" si="21"/>
        <v>185084.84</v>
      </c>
    </row>
    <row r="65" spans="1:23" ht="13.5" thickBot="1">
      <c r="A65" s="1031"/>
      <c r="B65" s="398"/>
      <c r="C65" s="1032"/>
      <c r="D65" s="1033"/>
      <c r="E65" s="1034"/>
      <c r="F65" s="1034"/>
      <c r="G65" s="1034"/>
      <c r="H65" s="1034"/>
      <c r="I65" s="1035"/>
      <c r="J65" s="1035"/>
      <c r="K65" s="1035"/>
      <c r="L65" s="1036"/>
      <c r="M65" s="1037"/>
      <c r="N65" s="1038"/>
      <c r="O65" s="1039"/>
      <c r="P65" s="1039"/>
      <c r="Q65" s="1030"/>
      <c r="R65" s="1030"/>
      <c r="S65" s="1030"/>
      <c r="T65" s="1030"/>
      <c r="U65" s="1030"/>
      <c r="V65" s="1030"/>
      <c r="W65" s="1040"/>
    </row>
    <row r="66" spans="1:23" ht="13.5" thickBot="1">
      <c r="A66" s="1047"/>
      <c r="B66" s="398"/>
      <c r="C66" s="1027"/>
      <c r="D66" s="1027"/>
      <c r="E66" s="1018"/>
      <c r="F66" s="1018"/>
      <c r="G66" s="1018"/>
      <c r="H66" s="1018"/>
      <c r="I66" s="1048"/>
      <c r="J66" s="1048"/>
      <c r="K66" s="575"/>
      <c r="L66" s="65"/>
      <c r="N66" s="287"/>
    </row>
    <row r="67" spans="1:23" ht="13.5" thickBot="1">
      <c r="A67" s="1756" t="s">
        <v>4917</v>
      </c>
      <c r="B67" s="1749"/>
      <c r="C67" s="1747">
        <v>2001</v>
      </c>
      <c r="D67" s="1749">
        <v>2002</v>
      </c>
      <c r="E67" s="1750">
        <v>2003</v>
      </c>
      <c r="F67" s="1747">
        <v>2004</v>
      </c>
      <c r="G67" s="1750">
        <v>2005</v>
      </c>
      <c r="H67" s="1747">
        <v>2006</v>
      </c>
      <c r="I67" s="1750">
        <v>2008</v>
      </c>
      <c r="J67" s="1750">
        <v>2010</v>
      </c>
      <c r="K67" s="1747">
        <v>2011</v>
      </c>
      <c r="L67" s="1749">
        <v>2012</v>
      </c>
      <c r="M67" s="1752" t="s">
        <v>4906</v>
      </c>
      <c r="N67" s="1753" t="s">
        <v>4907</v>
      </c>
      <c r="O67" s="1749">
        <v>2015</v>
      </c>
      <c r="P67" s="1749">
        <v>2016</v>
      </c>
      <c r="Q67" s="1749">
        <v>2017</v>
      </c>
      <c r="R67" s="1749">
        <v>2018</v>
      </c>
      <c r="S67" s="1749">
        <v>2019</v>
      </c>
      <c r="T67" s="1749">
        <v>2020</v>
      </c>
      <c r="U67" s="1749">
        <v>2021</v>
      </c>
      <c r="V67" s="1748">
        <v>2022</v>
      </c>
      <c r="W67" s="1754">
        <v>2023</v>
      </c>
    </row>
    <row r="68" spans="1:23">
      <c r="A68" s="1049"/>
      <c r="B68" s="1050"/>
      <c r="C68" s="1051"/>
      <c r="D68" s="1052"/>
      <c r="E68" s="1016"/>
      <c r="F68" s="1016"/>
      <c r="G68" s="1017"/>
      <c r="H68" s="1016"/>
      <c r="I68" s="1053"/>
      <c r="J68" s="1020"/>
      <c r="K68" s="1021"/>
      <c r="L68" s="487"/>
      <c r="M68" s="1022"/>
      <c r="N68" s="1023"/>
      <c r="O68" s="392"/>
      <c r="P68" s="392"/>
      <c r="Q68" s="394"/>
      <c r="R68" s="394"/>
      <c r="S68" s="394"/>
      <c r="T68" s="394"/>
      <c r="U68" s="394"/>
      <c r="V68" s="398"/>
      <c r="W68" s="1024"/>
    </row>
    <row r="69" spans="1:23">
      <c r="A69" s="1025" t="s">
        <v>4918</v>
      </c>
      <c r="B69" s="398"/>
      <c r="C69" s="1054"/>
      <c r="D69" s="1027"/>
      <c r="E69" s="1017">
        <f t="shared" ref="E69:W69" si="22">D72</f>
        <v>0</v>
      </c>
      <c r="F69" s="1017">
        <v>0</v>
      </c>
      <c r="G69" s="1017">
        <f t="shared" si="22"/>
        <v>0</v>
      </c>
      <c r="H69" s="1017">
        <f t="shared" si="22"/>
        <v>0</v>
      </c>
      <c r="I69" s="1028">
        <f t="shared" si="22"/>
        <v>0</v>
      </c>
      <c r="J69" s="1028">
        <f t="shared" si="22"/>
        <v>0</v>
      </c>
      <c r="K69" s="1028">
        <f>J70</f>
        <v>0</v>
      </c>
      <c r="L69" s="65">
        <f t="shared" si="22"/>
        <v>0</v>
      </c>
      <c r="M69" s="1029">
        <f t="shared" si="22"/>
        <v>0</v>
      </c>
      <c r="N69" s="575">
        <f t="shared" si="22"/>
        <v>0</v>
      </c>
      <c r="O69" s="396">
        <f t="shared" si="22"/>
        <v>0</v>
      </c>
      <c r="P69" s="396">
        <f t="shared" si="22"/>
        <v>0</v>
      </c>
      <c r="Q69" s="396">
        <f t="shared" si="22"/>
        <v>0</v>
      </c>
      <c r="R69" s="396">
        <f t="shared" si="22"/>
        <v>0</v>
      </c>
      <c r="S69" s="396">
        <f>R72</f>
        <v>7000000</v>
      </c>
      <c r="T69" s="396">
        <f t="shared" si="22"/>
        <v>12859125</v>
      </c>
      <c r="U69" s="396">
        <f t="shared" si="22"/>
        <v>13837500</v>
      </c>
      <c r="V69" s="396">
        <f t="shared" si="22"/>
        <v>13971000</v>
      </c>
      <c r="W69" s="573">
        <f t="shared" si="22"/>
        <v>14030750</v>
      </c>
    </row>
    <row r="70" spans="1:23">
      <c r="A70" s="1025" t="s">
        <v>4909</v>
      </c>
      <c r="B70" s="398"/>
      <c r="C70" s="1054"/>
      <c r="D70" s="1027"/>
      <c r="E70" s="1017"/>
      <c r="F70" s="1017"/>
      <c r="G70" s="1017"/>
      <c r="H70" s="1017"/>
      <c r="I70" s="1028"/>
      <c r="J70" s="1028"/>
      <c r="K70" s="1028"/>
      <c r="L70" s="575"/>
      <c r="M70" s="1029"/>
      <c r="N70" s="575">
        <v>0</v>
      </c>
      <c r="O70" s="396">
        <v>0</v>
      </c>
      <c r="P70" s="396">
        <v>0</v>
      </c>
      <c r="Q70" s="396">
        <v>0</v>
      </c>
      <c r="R70" s="396">
        <v>7000000</v>
      </c>
      <c r="S70" s="396">
        <v>6250000</v>
      </c>
      <c r="T70" s="396">
        <v>1750000</v>
      </c>
      <c r="U70" s="396">
        <v>1000000</v>
      </c>
      <c r="V70" s="396">
        <v>1000000</v>
      </c>
      <c r="W70" s="573">
        <v>500000</v>
      </c>
    </row>
    <row r="71" spans="1:23">
      <c r="A71" s="1025" t="s">
        <v>4910</v>
      </c>
      <c r="B71" s="398"/>
      <c r="C71" s="1054"/>
      <c r="D71" s="1027"/>
      <c r="E71" s="1017"/>
      <c r="F71" s="1017"/>
      <c r="G71" s="1017"/>
      <c r="H71" s="1017"/>
      <c r="I71" s="1028"/>
      <c r="J71" s="1028"/>
      <c r="K71" s="1028"/>
      <c r="L71" s="65">
        <v>0</v>
      </c>
      <c r="M71" s="1029">
        <v>0</v>
      </c>
      <c r="N71" s="575">
        <v>0</v>
      </c>
      <c r="O71" s="575">
        <v>0</v>
      </c>
      <c r="P71" s="575">
        <v>0</v>
      </c>
      <c r="Q71" s="575">
        <v>0</v>
      </c>
      <c r="R71" s="396">
        <v>0</v>
      </c>
      <c r="S71" s="396">
        <v>390875</v>
      </c>
      <c r="T71" s="396">
        <v>771625</v>
      </c>
      <c r="U71" s="396">
        <v>866500</v>
      </c>
      <c r="V71" s="396">
        <v>940250</v>
      </c>
      <c r="W71" s="573">
        <v>1000250</v>
      </c>
    </row>
    <row r="72" spans="1:23">
      <c r="A72" s="1025" t="s">
        <v>4911</v>
      </c>
      <c r="B72" s="398"/>
      <c r="C72" s="1055"/>
      <c r="D72" s="1018">
        <v>0</v>
      </c>
      <c r="E72" s="1017">
        <f>E69+E70-E71</f>
        <v>0</v>
      </c>
      <c r="F72" s="1017">
        <f>F69+F70-F71</f>
        <v>0</v>
      </c>
      <c r="G72" s="1017">
        <f>G69+G70-G71</f>
        <v>0</v>
      </c>
      <c r="H72" s="1017">
        <f>H69+H70-H71</f>
        <v>0</v>
      </c>
      <c r="I72" s="1028">
        <f>I69+I70-I71</f>
        <v>0</v>
      </c>
      <c r="J72" s="1028">
        <f>J70</f>
        <v>0</v>
      </c>
      <c r="K72" s="1028">
        <f t="shared" ref="K72:T72" si="23">K69+K70-K71</f>
        <v>0</v>
      </c>
      <c r="L72" s="65">
        <f t="shared" si="23"/>
        <v>0</v>
      </c>
      <c r="M72" s="1029">
        <f t="shared" si="23"/>
        <v>0</v>
      </c>
      <c r="N72" s="575">
        <f t="shared" si="23"/>
        <v>0</v>
      </c>
      <c r="O72" s="575">
        <f t="shared" si="23"/>
        <v>0</v>
      </c>
      <c r="P72" s="575">
        <f t="shared" si="23"/>
        <v>0</v>
      </c>
      <c r="Q72" s="575">
        <f t="shared" si="23"/>
        <v>0</v>
      </c>
      <c r="R72" s="396">
        <f>R70-R71</f>
        <v>7000000</v>
      </c>
      <c r="S72" s="396">
        <f t="shared" si="23"/>
        <v>12859125</v>
      </c>
      <c r="T72" s="396">
        <f t="shared" si="23"/>
        <v>13837500</v>
      </c>
      <c r="U72" s="396">
        <f>U69+U70-U71</f>
        <v>13971000</v>
      </c>
      <c r="V72" s="396">
        <f>V69+V70-V71</f>
        <v>14030750</v>
      </c>
      <c r="W72" s="573">
        <f>W69+W70-W71</f>
        <v>13530500</v>
      </c>
    </row>
    <row r="73" spans="1:23">
      <c r="A73" s="1025" t="s">
        <v>4912</v>
      </c>
      <c r="B73" s="398"/>
      <c r="C73" s="1054"/>
      <c r="D73" s="1027"/>
      <c r="E73" s="1017"/>
      <c r="F73" s="1017"/>
      <c r="G73" s="1017"/>
      <c r="H73" s="1017"/>
      <c r="I73" s="1028"/>
      <c r="J73" s="1028"/>
      <c r="K73" s="1028"/>
      <c r="L73" s="65"/>
      <c r="M73" s="1029"/>
      <c r="N73" s="575">
        <v>0</v>
      </c>
      <c r="O73" s="575">
        <v>0</v>
      </c>
      <c r="P73" s="575">
        <v>0</v>
      </c>
      <c r="Q73" s="575">
        <v>0</v>
      </c>
      <c r="R73" s="396">
        <v>0</v>
      </c>
      <c r="S73" s="396">
        <f>((R70*1.57%)+(S70*1.57%))/2</f>
        <v>104012.50000000001</v>
      </c>
      <c r="T73" s="396">
        <f>((T70*1.57%)/2)+(T69*1.57%)</f>
        <v>215625.76250000004</v>
      </c>
      <c r="U73" s="396">
        <f>((U70*1.57%)/2)+(U69*1.57%)</f>
        <v>225098.75000000003</v>
      </c>
      <c r="V73" s="396">
        <f>((V70*1.57%)/2)+(V69*1.57%)</f>
        <v>227194.70000000004</v>
      </c>
      <c r="W73" s="573">
        <f>((W70*1.57%)/2)+(W69*1.57%)</f>
        <v>224207.77500000002</v>
      </c>
    </row>
    <row r="74" spans="1:23" ht="13.5" thickBot="1">
      <c r="A74" s="1025" t="s">
        <v>4919</v>
      </c>
      <c r="B74" s="1030"/>
      <c r="C74" s="1054"/>
      <c r="D74" s="1027"/>
      <c r="E74" s="1017">
        <f t="shared" ref="E74:W74" si="24">E71+E73</f>
        <v>0</v>
      </c>
      <c r="F74" s="1017">
        <f t="shared" si="24"/>
        <v>0</v>
      </c>
      <c r="G74" s="1017">
        <f t="shared" si="24"/>
        <v>0</v>
      </c>
      <c r="H74" s="1017">
        <f t="shared" si="24"/>
        <v>0</v>
      </c>
      <c r="I74" s="1028">
        <f t="shared" si="24"/>
        <v>0</v>
      </c>
      <c r="J74" s="1028">
        <f t="shared" si="24"/>
        <v>0</v>
      </c>
      <c r="K74" s="1028">
        <f>K71+K73</f>
        <v>0</v>
      </c>
      <c r="L74" s="65">
        <f t="shared" si="24"/>
        <v>0</v>
      </c>
      <c r="M74" s="1029">
        <f t="shared" si="24"/>
        <v>0</v>
      </c>
      <c r="N74" s="575">
        <f t="shared" si="24"/>
        <v>0</v>
      </c>
      <c r="O74" s="396">
        <f t="shared" si="24"/>
        <v>0</v>
      </c>
      <c r="P74" s="396">
        <f t="shared" si="24"/>
        <v>0</v>
      </c>
      <c r="Q74" s="396">
        <f t="shared" si="24"/>
        <v>0</v>
      </c>
      <c r="R74" s="396">
        <f t="shared" si="24"/>
        <v>0</v>
      </c>
      <c r="S74" s="396">
        <f t="shared" si="24"/>
        <v>494887.5</v>
      </c>
      <c r="T74" s="396">
        <f t="shared" si="24"/>
        <v>987250.76250000007</v>
      </c>
      <c r="U74" s="396">
        <f t="shared" si="24"/>
        <v>1091598.75</v>
      </c>
      <c r="V74" s="396">
        <f t="shared" si="24"/>
        <v>1167444.7</v>
      </c>
      <c r="W74" s="573">
        <f t="shared" si="24"/>
        <v>1224457.7749999999</v>
      </c>
    </row>
    <row r="75" spans="1:23" ht="13.5" thickBot="1">
      <c r="A75" s="1031"/>
      <c r="B75" s="1030"/>
      <c r="C75" s="1056"/>
      <c r="D75" s="1033"/>
      <c r="E75" s="1034"/>
      <c r="F75" s="1034"/>
      <c r="G75" s="1034"/>
      <c r="H75" s="1034"/>
      <c r="I75" s="1035"/>
      <c r="J75" s="1035"/>
      <c r="K75" s="1035"/>
      <c r="L75" s="1036"/>
      <c r="M75" s="1037"/>
      <c r="N75" s="1038"/>
      <c r="O75" s="1039"/>
      <c r="P75" s="1039"/>
      <c r="Q75" s="1030"/>
      <c r="R75" s="1030"/>
      <c r="S75" s="1030"/>
      <c r="T75" s="1030"/>
      <c r="U75" s="1030"/>
      <c r="V75" s="1030"/>
      <c r="W75" s="1040"/>
    </row>
    <row r="76" spans="1:23">
      <c r="A76" s="1047"/>
      <c r="B76" s="398"/>
      <c r="C76" s="1027"/>
      <c r="D76" s="1027"/>
      <c r="E76" s="1018"/>
      <c r="F76" s="1018"/>
      <c r="G76" s="1018"/>
      <c r="H76" s="1018"/>
      <c r="I76" s="1048"/>
      <c r="J76" s="1048"/>
      <c r="K76" s="575"/>
      <c r="L76" s="65"/>
      <c r="N76" s="287"/>
    </row>
    <row r="77" spans="1:23" hidden="1">
      <c r="A77" s="1073" t="s">
        <v>4920</v>
      </c>
      <c r="N77" s="1057"/>
    </row>
    <row r="78" spans="1:23" hidden="1">
      <c r="N78" s="287"/>
    </row>
    <row r="79" spans="1:23" ht="13.5" hidden="1" thickBot="1">
      <c r="A79" s="1005" t="s">
        <v>4917</v>
      </c>
      <c r="B79" s="1006"/>
      <c r="C79" s="1005">
        <v>2001</v>
      </c>
      <c r="D79" s="1007">
        <v>2002</v>
      </c>
      <c r="E79" s="1008">
        <v>2003</v>
      </c>
      <c r="F79" s="1008">
        <v>2004</v>
      </c>
      <c r="G79" s="1009">
        <v>2005</v>
      </c>
      <c r="H79" s="1008">
        <v>2006</v>
      </c>
      <c r="I79" s="1009">
        <v>2008</v>
      </c>
      <c r="J79" s="1009">
        <v>2009</v>
      </c>
      <c r="K79" s="1058">
        <v>2010</v>
      </c>
      <c r="L79" s="1059">
        <v>2011</v>
      </c>
      <c r="M79" s="1011" t="s">
        <v>4921</v>
      </c>
      <c r="N79" s="1012" t="s">
        <v>4906</v>
      </c>
      <c r="O79" s="1007">
        <v>2014</v>
      </c>
      <c r="P79" s="1060">
        <v>2015</v>
      </c>
    </row>
    <row r="80" spans="1:23" hidden="1">
      <c r="A80" s="1013"/>
      <c r="B80" s="398"/>
      <c r="C80" s="1014"/>
      <c r="D80" s="1015"/>
      <c r="E80" s="1016"/>
      <c r="F80" s="1016"/>
      <c r="G80" s="1016"/>
      <c r="H80" s="1016"/>
      <c r="I80" s="1019"/>
      <c r="J80" s="1020"/>
      <c r="K80" s="1044"/>
      <c r="L80" s="1061"/>
      <c r="M80" s="1022"/>
      <c r="N80" s="1023"/>
      <c r="O80" s="392"/>
      <c r="P80" s="571"/>
    </row>
    <row r="81" spans="1:23" hidden="1">
      <c r="A81" s="1025" t="s">
        <v>4908</v>
      </c>
      <c r="B81" s="398"/>
      <c r="C81" s="1026">
        <v>93184.97</v>
      </c>
      <c r="D81" s="1027">
        <f>+C84</f>
        <v>55111.61</v>
      </c>
      <c r="E81" s="1017">
        <f>+D84</f>
        <v>30610.48</v>
      </c>
      <c r="F81" s="1017">
        <f>+E84</f>
        <v>22914.95</v>
      </c>
      <c r="G81" s="1017">
        <f>+F84</f>
        <v>15071.460000000001</v>
      </c>
      <c r="H81" s="1017">
        <f>+G84</f>
        <v>8080.1400000000012</v>
      </c>
      <c r="I81" s="1028"/>
      <c r="J81" s="1028"/>
      <c r="K81" s="1044">
        <f>J82</f>
        <v>0</v>
      </c>
      <c r="L81" s="1062">
        <f>K84</f>
        <v>0</v>
      </c>
      <c r="M81" s="1029">
        <f>L84</f>
        <v>0</v>
      </c>
      <c r="N81" s="575">
        <f>M84</f>
        <v>0</v>
      </c>
      <c r="O81" s="396">
        <f>N84</f>
        <v>0</v>
      </c>
      <c r="P81" s="573">
        <f>O84</f>
        <v>0</v>
      </c>
    </row>
    <row r="82" spans="1:23" hidden="1">
      <c r="A82" s="1025" t="s">
        <v>4909</v>
      </c>
      <c r="B82" s="398"/>
      <c r="C82" s="1026"/>
      <c r="D82" s="1027"/>
      <c r="E82" s="1017"/>
      <c r="F82" s="1017"/>
      <c r="G82" s="1017"/>
      <c r="H82" s="1017"/>
      <c r="I82" s="1028"/>
      <c r="J82" s="1028"/>
      <c r="K82" s="1044"/>
      <c r="L82" s="1062"/>
      <c r="M82" s="1029"/>
      <c r="N82" s="575"/>
      <c r="O82" s="396"/>
      <c r="P82" s="573"/>
    </row>
    <row r="83" spans="1:23" hidden="1">
      <c r="A83" s="1025" t="s">
        <v>4910</v>
      </c>
      <c r="B83" s="398"/>
      <c r="C83" s="1026">
        <v>38073.360000000001</v>
      </c>
      <c r="D83" s="1027">
        <v>24501.13</v>
      </c>
      <c r="E83" s="1017">
        <v>7695.53</v>
      </c>
      <c r="F83" s="1017">
        <v>7843.49</v>
      </c>
      <c r="G83" s="1017">
        <v>6991.32</v>
      </c>
      <c r="H83" s="1017">
        <v>6278.84</v>
      </c>
      <c r="I83" s="1028"/>
      <c r="J83" s="1028"/>
      <c r="K83" s="1044"/>
      <c r="L83" s="1062"/>
      <c r="M83" s="1029"/>
      <c r="N83" s="575"/>
      <c r="O83" s="396"/>
      <c r="P83" s="573"/>
    </row>
    <row r="84" spans="1:23" hidden="1">
      <c r="A84" s="1025" t="s">
        <v>4911</v>
      </c>
      <c r="B84" s="398"/>
      <c r="C84" s="1026">
        <f t="shared" ref="C84:H84" si="25">+C81-C83</f>
        <v>55111.61</v>
      </c>
      <c r="D84" s="1027">
        <f t="shared" si="25"/>
        <v>30610.48</v>
      </c>
      <c r="E84" s="1017">
        <f t="shared" si="25"/>
        <v>22914.95</v>
      </c>
      <c r="F84" s="1017">
        <f t="shared" si="25"/>
        <v>15071.460000000001</v>
      </c>
      <c r="G84" s="1017">
        <f t="shared" si="25"/>
        <v>8080.1400000000012</v>
      </c>
      <c r="H84" s="1017">
        <f t="shared" si="25"/>
        <v>1801.3000000000011</v>
      </c>
      <c r="I84" s="1028"/>
      <c r="J84" s="1028">
        <f>J82</f>
        <v>0</v>
      </c>
      <c r="K84" s="1044">
        <f t="shared" ref="K84:P84" si="26">K81+K82-K83</f>
        <v>0</v>
      </c>
      <c r="L84" s="1062">
        <f t="shared" si="26"/>
        <v>0</v>
      </c>
      <c r="M84" s="1029">
        <f t="shared" si="26"/>
        <v>0</v>
      </c>
      <c r="N84" s="575">
        <f t="shared" si="26"/>
        <v>0</v>
      </c>
      <c r="O84" s="396">
        <f t="shared" si="26"/>
        <v>0</v>
      </c>
      <c r="P84" s="573">
        <f t="shared" si="26"/>
        <v>0</v>
      </c>
    </row>
    <row r="85" spans="1:23" hidden="1">
      <c r="A85" s="1025" t="s">
        <v>4912</v>
      </c>
      <c r="B85" s="398"/>
      <c r="C85" s="1026">
        <v>4681.03</v>
      </c>
      <c r="D85" s="1027">
        <v>2690.05</v>
      </c>
      <c r="E85" s="1017">
        <v>1541.74</v>
      </c>
      <c r="F85" s="1017">
        <v>1123.05</v>
      </c>
      <c r="G85" s="1017">
        <v>564.51</v>
      </c>
      <c r="H85" s="1017">
        <v>178.55</v>
      </c>
      <c r="I85" s="1028"/>
      <c r="J85" s="1028"/>
      <c r="K85" s="1044"/>
      <c r="L85" s="1062"/>
      <c r="M85" s="1029"/>
      <c r="N85" s="575"/>
      <c r="O85" s="396"/>
      <c r="P85" s="573"/>
    </row>
    <row r="86" spans="1:23" ht="13.5" hidden="1" thickBot="1">
      <c r="A86" s="1025" t="s">
        <v>4913</v>
      </c>
      <c r="B86" s="1030"/>
      <c r="C86" s="1032">
        <f t="shared" ref="C86:H86" si="27">+C85+C83</f>
        <v>42754.39</v>
      </c>
      <c r="D86" s="1033">
        <f t="shared" si="27"/>
        <v>27191.18</v>
      </c>
      <c r="E86" s="1017">
        <f t="shared" si="27"/>
        <v>9237.27</v>
      </c>
      <c r="F86" s="1017">
        <f t="shared" si="27"/>
        <v>8966.5399999999991</v>
      </c>
      <c r="G86" s="1017">
        <f t="shared" si="27"/>
        <v>7555.83</v>
      </c>
      <c r="H86" s="1017">
        <f t="shared" si="27"/>
        <v>6457.39</v>
      </c>
      <c r="I86" s="1028"/>
      <c r="J86" s="1028"/>
      <c r="K86" s="1044">
        <f t="shared" ref="K86:P86" si="28">K83+K85</f>
        <v>0</v>
      </c>
      <c r="L86" s="1062">
        <f t="shared" si="28"/>
        <v>0</v>
      </c>
      <c r="M86" s="1029">
        <f t="shared" si="28"/>
        <v>0</v>
      </c>
      <c r="N86" s="575">
        <f t="shared" si="28"/>
        <v>0</v>
      </c>
      <c r="O86" s="396">
        <f t="shared" si="28"/>
        <v>0</v>
      </c>
      <c r="P86" s="573">
        <f t="shared" si="28"/>
        <v>0</v>
      </c>
    </row>
    <row r="87" spans="1:23" ht="13.5" hidden="1" thickBot="1">
      <c r="A87" s="1063"/>
      <c r="E87" s="1064"/>
      <c r="F87" s="1064"/>
      <c r="G87" s="1034"/>
      <c r="H87" s="1034"/>
      <c r="I87" s="1035"/>
      <c r="J87" s="1035"/>
      <c r="K87" s="1065"/>
      <c r="L87" s="1066"/>
      <c r="M87" s="1037"/>
      <c r="N87" s="1038"/>
      <c r="O87" s="1039"/>
      <c r="P87" s="1067"/>
    </row>
    <row r="88" spans="1:23" ht="15.75">
      <c r="A88" s="1746" t="s">
        <v>4922</v>
      </c>
      <c r="N88" s="287"/>
    </row>
    <row r="89" spans="1:23" ht="13.5" thickBot="1">
      <c r="N89" s="287"/>
    </row>
    <row r="90" spans="1:23" s="1041" customFormat="1" ht="13.5" thickBot="1">
      <c r="A90" s="1756" t="s">
        <v>4905</v>
      </c>
      <c r="B90" s="1748"/>
      <c r="C90" s="1747">
        <v>2001</v>
      </c>
      <c r="D90" s="1749">
        <v>2002</v>
      </c>
      <c r="E90" s="1747">
        <v>2003</v>
      </c>
      <c r="F90" s="1750">
        <v>2004</v>
      </c>
      <c r="G90" s="1750">
        <v>2005</v>
      </c>
      <c r="H90" s="1747">
        <v>2006</v>
      </c>
      <c r="I90" s="1750">
        <v>2008</v>
      </c>
      <c r="J90" s="1750">
        <v>2010</v>
      </c>
      <c r="K90" s="1747">
        <v>2011</v>
      </c>
      <c r="L90" s="1749">
        <v>2012</v>
      </c>
      <c r="M90" s="1752" t="s">
        <v>4906</v>
      </c>
      <c r="N90" s="1753" t="s">
        <v>4907</v>
      </c>
      <c r="O90" s="1749">
        <v>2015</v>
      </c>
      <c r="P90" s="1749">
        <v>2016</v>
      </c>
      <c r="Q90" s="1749">
        <v>2017</v>
      </c>
      <c r="R90" s="1749">
        <v>2018</v>
      </c>
      <c r="S90" s="1749">
        <v>2019</v>
      </c>
      <c r="T90" s="1749">
        <v>2020</v>
      </c>
      <c r="U90" s="1749">
        <v>2021</v>
      </c>
      <c r="V90" s="1748">
        <v>2022</v>
      </c>
      <c r="W90" s="1754">
        <v>2023</v>
      </c>
    </row>
    <row r="91" spans="1:23">
      <c r="A91" s="1013"/>
      <c r="B91" s="398"/>
      <c r="C91" s="1014"/>
      <c r="D91" s="1015"/>
      <c r="E91" s="1016"/>
      <c r="F91" s="1017"/>
      <c r="G91" s="1017"/>
      <c r="H91" s="1016"/>
      <c r="I91" s="1019"/>
      <c r="J91" s="1068"/>
      <c r="K91" s="1021"/>
      <c r="L91" s="487"/>
      <c r="M91" s="1022"/>
      <c r="N91" s="1023"/>
      <c r="O91" s="392"/>
      <c r="P91" s="392"/>
      <c r="Q91" s="394"/>
      <c r="R91" s="394"/>
      <c r="S91" s="394"/>
      <c r="T91" s="394"/>
      <c r="U91" s="394"/>
      <c r="V91" s="398"/>
      <c r="W91" s="1024"/>
    </row>
    <row r="92" spans="1:23">
      <c r="A92" s="1025" t="s">
        <v>4908</v>
      </c>
      <c r="B92" s="398"/>
      <c r="C92" s="1054">
        <v>0</v>
      </c>
      <c r="D92" s="1069">
        <f t="shared" ref="D92:W92" si="29">C95</f>
        <v>0</v>
      </c>
      <c r="E92" s="1017">
        <f t="shared" si="29"/>
        <v>118640</v>
      </c>
      <c r="F92" s="1017">
        <f t="shared" si="29"/>
        <v>108591.62</v>
      </c>
      <c r="G92" s="1017">
        <f t="shared" si="29"/>
        <v>97166.459999999992</v>
      </c>
      <c r="H92" s="1017">
        <v>223516.98</v>
      </c>
      <c r="I92" s="1028">
        <v>170281</v>
      </c>
      <c r="J92" s="1028">
        <v>382443.6</v>
      </c>
      <c r="K92" s="1028">
        <f>J95</f>
        <v>326625.94999999995</v>
      </c>
      <c r="L92" s="65">
        <v>330855.7</v>
      </c>
      <c r="M92" s="1029">
        <v>4254187</v>
      </c>
      <c r="N92" s="575">
        <f t="shared" si="29"/>
        <v>4254187</v>
      </c>
      <c r="O92" s="396">
        <f t="shared" si="29"/>
        <v>4031291</v>
      </c>
      <c r="P92" s="396">
        <f t="shared" si="29"/>
        <v>3813772</v>
      </c>
      <c r="Q92" s="396">
        <f t="shared" si="29"/>
        <v>3604147</v>
      </c>
      <c r="R92" s="396">
        <f t="shared" si="29"/>
        <v>3394730</v>
      </c>
      <c r="S92" s="396">
        <f t="shared" si="29"/>
        <v>3178196</v>
      </c>
      <c r="T92" s="396">
        <f t="shared" si="29"/>
        <v>2967923</v>
      </c>
      <c r="U92" s="396">
        <f t="shared" si="29"/>
        <v>2764256</v>
      </c>
      <c r="V92" s="396">
        <f t="shared" si="29"/>
        <v>2553532.58</v>
      </c>
      <c r="W92" s="573">
        <f t="shared" si="29"/>
        <v>2335508.64</v>
      </c>
    </row>
    <row r="93" spans="1:23">
      <c r="A93" s="1025" t="s">
        <v>4909</v>
      </c>
      <c r="B93" s="398"/>
      <c r="C93" s="1054">
        <v>0</v>
      </c>
      <c r="D93" s="1069">
        <v>118640</v>
      </c>
      <c r="E93" s="1017">
        <v>0</v>
      </c>
      <c r="F93" s="1017"/>
      <c r="G93" s="1017"/>
      <c r="H93" s="1017"/>
      <c r="I93" s="1028"/>
      <c r="J93" s="1028"/>
      <c r="K93" s="1028">
        <f>10000+9000+48000</f>
        <v>67000</v>
      </c>
      <c r="L93" s="65">
        <f>3200000+1170000</f>
        <v>4370000</v>
      </c>
      <c r="M93" s="1029"/>
      <c r="N93" s="575"/>
      <c r="O93" s="396"/>
      <c r="P93" s="396"/>
      <c r="Q93" s="396"/>
      <c r="R93" s="396"/>
      <c r="S93" s="396"/>
      <c r="T93" s="396"/>
      <c r="U93" s="396"/>
      <c r="V93" s="396"/>
      <c r="W93" s="573"/>
    </row>
    <row r="94" spans="1:23">
      <c r="A94" s="1025" t="s">
        <v>4910</v>
      </c>
      <c r="B94" s="398"/>
      <c r="C94" s="1054">
        <v>0</v>
      </c>
      <c r="D94" s="1069">
        <v>0</v>
      </c>
      <c r="E94" s="1017">
        <v>10048.379999999999</v>
      </c>
      <c r="F94" s="1017">
        <v>11425.16</v>
      </c>
      <c r="G94" s="1017">
        <v>18649.48</v>
      </c>
      <c r="H94" s="1017">
        <v>26181.89</v>
      </c>
      <c r="I94" s="1028">
        <v>26795</v>
      </c>
      <c r="J94" s="1028">
        <v>55817.65</v>
      </c>
      <c r="K94" s="1028">
        <v>56446.879999999997</v>
      </c>
      <c r="L94" s="65">
        <v>226192.59</v>
      </c>
      <c r="M94" s="1029">
        <v>0</v>
      </c>
      <c r="N94" s="575">
        <v>222896</v>
      </c>
      <c r="O94" s="396">
        <v>217519</v>
      </c>
      <c r="P94" s="396">
        <v>209625</v>
      </c>
      <c r="Q94" s="396">
        <v>209417</v>
      </c>
      <c r="R94" s="396">
        <v>216534</v>
      </c>
      <c r="S94" s="396">
        <v>210273</v>
      </c>
      <c r="T94" s="396">
        <v>203667</v>
      </c>
      <c r="U94" s="396">
        <v>210723.42</v>
      </c>
      <c r="V94" s="396">
        <v>218023.94</v>
      </c>
      <c r="W94" s="573">
        <v>225577</v>
      </c>
    </row>
    <row r="95" spans="1:23">
      <c r="A95" s="1025" t="s">
        <v>4911</v>
      </c>
      <c r="B95" s="398"/>
      <c r="C95" s="1055">
        <f>C92+C93-C94</f>
        <v>0</v>
      </c>
      <c r="D95" s="1070">
        <f>D92+D93-D94</f>
        <v>118640</v>
      </c>
      <c r="E95" s="1017">
        <f>E92+E93-E94</f>
        <v>108591.62</v>
      </c>
      <c r="F95" s="1017">
        <f>F92-F94</f>
        <v>97166.459999999992</v>
      </c>
      <c r="G95" s="1017">
        <f>G92-G94</f>
        <v>78516.98</v>
      </c>
      <c r="H95" s="1017">
        <f>H92-H94</f>
        <v>197335.09000000003</v>
      </c>
      <c r="I95" s="1028">
        <f>I92-I94</f>
        <v>143486</v>
      </c>
      <c r="J95" s="1028">
        <f t="shared" ref="J95:W95" si="30">J92-J94+J93</f>
        <v>326625.94999999995</v>
      </c>
      <c r="K95" s="1028">
        <f t="shared" si="30"/>
        <v>337179.06999999995</v>
      </c>
      <c r="L95" s="65">
        <f t="shared" si="30"/>
        <v>4474663.1100000003</v>
      </c>
      <c r="M95" s="1029">
        <f t="shared" si="30"/>
        <v>4254187</v>
      </c>
      <c r="N95" s="575">
        <f t="shared" si="30"/>
        <v>4031291</v>
      </c>
      <c r="O95" s="575">
        <f t="shared" si="30"/>
        <v>3813772</v>
      </c>
      <c r="P95" s="575">
        <f t="shared" si="30"/>
        <v>3604147</v>
      </c>
      <c r="Q95" s="575">
        <f t="shared" si="30"/>
        <v>3394730</v>
      </c>
      <c r="R95" s="575">
        <f t="shared" si="30"/>
        <v>3178196</v>
      </c>
      <c r="S95" s="575">
        <f t="shared" si="30"/>
        <v>2967923</v>
      </c>
      <c r="T95" s="575">
        <f t="shared" si="30"/>
        <v>2764256</v>
      </c>
      <c r="U95" s="575">
        <f t="shared" si="30"/>
        <v>2553532.58</v>
      </c>
      <c r="V95" s="575">
        <f t="shared" si="30"/>
        <v>2335508.64</v>
      </c>
      <c r="W95" s="1044">
        <f t="shared" si="30"/>
        <v>2109931.64</v>
      </c>
    </row>
    <row r="96" spans="1:23">
      <c r="A96" s="1025" t="s">
        <v>4912</v>
      </c>
      <c r="B96" s="398"/>
      <c r="C96" s="1054">
        <v>0</v>
      </c>
      <c r="D96" s="1069">
        <v>0</v>
      </c>
      <c r="E96" s="1017">
        <v>4326.76</v>
      </c>
      <c r="F96" s="1017">
        <v>3966.86</v>
      </c>
      <c r="G96" s="1017">
        <v>7808.86</v>
      </c>
      <c r="H96" s="1017">
        <v>7063.56</v>
      </c>
      <c r="I96" s="1028">
        <v>7565</v>
      </c>
      <c r="J96" s="1028">
        <v>12562.1</v>
      </c>
      <c r="K96" s="1028">
        <v>9617.67</v>
      </c>
      <c r="L96" s="65">
        <v>104281.61</v>
      </c>
      <c r="M96" s="1029">
        <v>0</v>
      </c>
      <c r="N96" s="575">
        <v>144599</v>
      </c>
      <c r="O96" s="396">
        <v>136953</v>
      </c>
      <c r="P96" s="396">
        <v>129550</v>
      </c>
      <c r="Q96" s="396">
        <v>122317</v>
      </c>
      <c r="R96" s="396">
        <v>114932.9</v>
      </c>
      <c r="S96" s="396">
        <v>107298.38</v>
      </c>
      <c r="T96" s="396">
        <v>100214.04</v>
      </c>
      <c r="U96" s="396">
        <v>93158</v>
      </c>
      <c r="V96" s="396">
        <v>85857.48</v>
      </c>
      <c r="W96" s="573">
        <v>78304</v>
      </c>
    </row>
    <row r="97" spans="1:23" ht="13.5" thickBot="1">
      <c r="A97" s="1025" t="s">
        <v>4913</v>
      </c>
      <c r="B97" s="1030"/>
      <c r="C97" s="1054">
        <f t="shared" ref="C97:W97" si="31">C94+C96</f>
        <v>0</v>
      </c>
      <c r="D97" s="1069">
        <f t="shared" si="31"/>
        <v>0</v>
      </c>
      <c r="E97" s="1017">
        <f t="shared" si="31"/>
        <v>14375.14</v>
      </c>
      <c r="F97" s="1017">
        <f t="shared" si="31"/>
        <v>15392.02</v>
      </c>
      <c r="G97" s="1017">
        <f t="shared" si="31"/>
        <v>26458.34</v>
      </c>
      <c r="H97" s="1017">
        <f t="shared" si="31"/>
        <v>33245.449999999997</v>
      </c>
      <c r="I97" s="1028">
        <f t="shared" si="31"/>
        <v>34360</v>
      </c>
      <c r="J97" s="1028">
        <f t="shared" si="31"/>
        <v>68379.75</v>
      </c>
      <c r="K97" s="1028">
        <f t="shared" si="31"/>
        <v>66064.55</v>
      </c>
      <c r="L97" s="65">
        <f t="shared" si="31"/>
        <v>330474.2</v>
      </c>
      <c r="M97" s="1029">
        <f t="shared" si="31"/>
        <v>0</v>
      </c>
      <c r="N97" s="575">
        <f t="shared" si="31"/>
        <v>367495</v>
      </c>
      <c r="O97" s="396">
        <f t="shared" si="31"/>
        <v>354472</v>
      </c>
      <c r="P97" s="396">
        <f t="shared" si="31"/>
        <v>339175</v>
      </c>
      <c r="Q97" s="396">
        <f t="shared" si="31"/>
        <v>331734</v>
      </c>
      <c r="R97" s="396">
        <f t="shared" si="31"/>
        <v>331466.90000000002</v>
      </c>
      <c r="S97" s="396">
        <f t="shared" si="31"/>
        <v>317571.38</v>
      </c>
      <c r="T97" s="396">
        <f t="shared" si="31"/>
        <v>303881.03999999998</v>
      </c>
      <c r="U97" s="396">
        <f t="shared" si="31"/>
        <v>303881.42000000004</v>
      </c>
      <c r="V97" s="396">
        <f t="shared" si="31"/>
        <v>303881.42</v>
      </c>
      <c r="W97" s="573">
        <f t="shared" si="31"/>
        <v>303881</v>
      </c>
    </row>
    <row r="98" spans="1:23" ht="13.5" thickBot="1">
      <c r="A98" s="1031"/>
      <c r="B98" s="398"/>
      <c r="C98" s="1032"/>
      <c r="D98" s="1033"/>
      <c r="E98" s="1034"/>
      <c r="F98" s="1034"/>
      <c r="G98" s="1034"/>
      <c r="H98" s="1034"/>
      <c r="I98" s="1035"/>
      <c r="J98" s="1035"/>
      <c r="K98" s="1035"/>
      <c r="L98" s="1036"/>
      <c r="M98" s="1037"/>
      <c r="N98" s="1038"/>
      <c r="O98" s="1039"/>
      <c r="P98" s="1039"/>
      <c r="Q98" s="1030"/>
      <c r="R98" s="1030"/>
      <c r="S98" s="1030"/>
      <c r="T98" s="1030"/>
      <c r="U98" s="1030"/>
      <c r="V98" s="1030"/>
      <c r="W98" s="1040"/>
    </row>
    <row r="99" spans="1:23" ht="13.5" thickBot="1">
      <c r="N99" s="287"/>
    </row>
    <row r="100" spans="1:23" s="1041" customFormat="1" ht="13.5" thickBot="1">
      <c r="A100" s="1756" t="s">
        <v>4914</v>
      </c>
      <c r="B100" s="1748"/>
      <c r="C100" s="1747">
        <v>2001</v>
      </c>
      <c r="D100" s="1749">
        <v>2002</v>
      </c>
      <c r="E100" s="1750">
        <v>2003</v>
      </c>
      <c r="F100" s="1747">
        <v>2004</v>
      </c>
      <c r="G100" s="1750">
        <v>2005</v>
      </c>
      <c r="H100" s="1747">
        <v>2006</v>
      </c>
      <c r="I100" s="1750">
        <v>2008</v>
      </c>
      <c r="J100" s="1750">
        <v>2010</v>
      </c>
      <c r="K100" s="1747">
        <v>2011</v>
      </c>
      <c r="L100" s="1749">
        <v>2012</v>
      </c>
      <c r="M100" s="1752" t="s">
        <v>4906</v>
      </c>
      <c r="N100" s="1753" t="s">
        <v>4907</v>
      </c>
      <c r="O100" s="1749">
        <v>2015</v>
      </c>
      <c r="P100" s="1749">
        <v>2016</v>
      </c>
      <c r="Q100" s="1749">
        <v>2017</v>
      </c>
      <c r="R100" s="1749">
        <v>2018</v>
      </c>
      <c r="S100" s="1749">
        <v>2019</v>
      </c>
      <c r="T100" s="1749">
        <v>2020</v>
      </c>
      <c r="U100" s="1749">
        <v>2021</v>
      </c>
      <c r="V100" s="1748">
        <v>2022</v>
      </c>
      <c r="W100" s="1754">
        <v>2023</v>
      </c>
    </row>
    <row r="101" spans="1:23">
      <c r="A101" s="1013"/>
      <c r="B101" s="398"/>
      <c r="C101" s="1014"/>
      <c r="D101" s="1015"/>
      <c r="E101" s="1016"/>
      <c r="F101" s="1016"/>
      <c r="G101" s="1017"/>
      <c r="H101" s="1016"/>
      <c r="I101" s="1019"/>
      <c r="J101" s="1020"/>
      <c r="K101" s="1021"/>
      <c r="L101" s="487"/>
      <c r="M101" s="1022"/>
      <c r="N101" s="1023"/>
      <c r="O101" s="392"/>
      <c r="P101" s="392"/>
      <c r="Q101" s="394"/>
      <c r="R101" s="394"/>
      <c r="S101" s="394"/>
      <c r="T101" s="394"/>
      <c r="U101" s="394"/>
      <c r="V101" s="398"/>
      <c r="W101" s="1024"/>
    </row>
    <row r="102" spans="1:23">
      <c r="A102" s="1025" t="s">
        <v>4908</v>
      </c>
      <c r="B102" s="398"/>
      <c r="C102" s="1026">
        <v>267664.61</v>
      </c>
      <c r="D102" s="1027">
        <v>227465.92</v>
      </c>
      <c r="E102" s="1017">
        <v>223501.45</v>
      </c>
      <c r="F102" s="1017">
        <f t="shared" ref="F102:W102" si="32">E105</f>
        <v>332458.32</v>
      </c>
      <c r="G102" s="1017">
        <f t="shared" si="32"/>
        <v>260643.24</v>
      </c>
      <c r="H102" s="1017">
        <v>197568.15</v>
      </c>
      <c r="I102" s="1028">
        <v>137839</v>
      </c>
      <c r="J102" s="1028">
        <v>67572.12</v>
      </c>
      <c r="K102" s="1028">
        <f>J105</f>
        <v>51280.619999999995</v>
      </c>
      <c r="L102" s="65">
        <f t="shared" si="32"/>
        <v>34594.12999999999</v>
      </c>
      <c r="M102" s="1029">
        <f t="shared" si="32"/>
        <v>17505.37999999999</v>
      </c>
      <c r="N102" s="575">
        <f t="shared" si="32"/>
        <v>-1.0913936421275139E-11</v>
      </c>
      <c r="O102" s="396">
        <f t="shared" si="32"/>
        <v>-1.0913936421275139E-11</v>
      </c>
      <c r="P102" s="396">
        <f t="shared" si="32"/>
        <v>-1.0913936421275139E-11</v>
      </c>
      <c r="Q102" s="396">
        <f t="shared" si="32"/>
        <v>-1.0913936421275139E-11</v>
      </c>
      <c r="R102" s="396">
        <f t="shared" si="32"/>
        <v>-1.0913936421275139E-11</v>
      </c>
      <c r="S102" s="396">
        <f t="shared" si="32"/>
        <v>-1.0913936421275139E-11</v>
      </c>
      <c r="T102" s="396">
        <f t="shared" si="32"/>
        <v>-1.0913936421275139E-11</v>
      </c>
      <c r="U102" s="396">
        <f t="shared" si="32"/>
        <v>-1.0913936421275139E-11</v>
      </c>
      <c r="V102" s="396">
        <f t="shared" si="32"/>
        <v>-1.0913936421275139E-11</v>
      </c>
      <c r="W102" s="573">
        <f t="shared" si="32"/>
        <v>-1.0913936421275139E-11</v>
      </c>
    </row>
    <row r="103" spans="1:23">
      <c r="A103" s="1025" t="s">
        <v>4909</v>
      </c>
      <c r="B103" s="398"/>
      <c r="C103" s="1026"/>
      <c r="D103" s="1027"/>
      <c r="E103" s="1017">
        <v>163045</v>
      </c>
      <c r="F103" s="1017"/>
      <c r="G103" s="1017"/>
      <c r="H103" s="1017"/>
      <c r="I103" s="1028"/>
      <c r="J103" s="1028"/>
      <c r="K103" s="1028"/>
      <c r="L103" s="65"/>
      <c r="M103" s="1029"/>
      <c r="N103" s="575"/>
      <c r="O103" s="396"/>
      <c r="P103" s="396"/>
      <c r="Q103" s="396"/>
      <c r="R103" s="396"/>
      <c r="S103" s="396"/>
      <c r="T103" s="396"/>
      <c r="U103" s="396"/>
      <c r="V103" s="396"/>
      <c r="W103" s="573"/>
    </row>
    <row r="104" spans="1:23">
      <c r="A104" s="1025" t="s">
        <v>4910</v>
      </c>
      <c r="B104" s="398"/>
      <c r="C104" s="1026">
        <v>40198.400000000001</v>
      </c>
      <c r="D104" s="1027">
        <v>42036.15</v>
      </c>
      <c r="E104" s="1017">
        <v>54088.13</v>
      </c>
      <c r="F104" s="1017">
        <v>71815.08</v>
      </c>
      <c r="G104" s="1017">
        <v>57168.639999999999</v>
      </c>
      <c r="H104" s="1017">
        <v>29477.67</v>
      </c>
      <c r="I104" s="1028">
        <v>31649</v>
      </c>
      <c r="J104" s="1028">
        <v>16291.5</v>
      </c>
      <c r="K104" s="1028">
        <v>16686.490000000002</v>
      </c>
      <c r="L104" s="65">
        <v>17088.75</v>
      </c>
      <c r="M104" s="1029">
        <v>17505.38</v>
      </c>
      <c r="N104" s="575">
        <v>0</v>
      </c>
      <c r="O104" s="396"/>
      <c r="P104" s="396"/>
      <c r="Q104" s="396"/>
      <c r="R104" s="396"/>
      <c r="S104" s="396"/>
      <c r="T104" s="396"/>
      <c r="U104" s="396"/>
      <c r="V104" s="396"/>
      <c r="W104" s="573"/>
    </row>
    <row r="105" spans="1:23">
      <c r="A105" s="1025" t="s">
        <v>4911</v>
      </c>
      <c r="B105" s="398"/>
      <c r="C105" s="1026">
        <f>C102+C103-C104</f>
        <v>227466.21</v>
      </c>
      <c r="D105" s="1027">
        <f>D102+D103-D104</f>
        <v>185429.77000000002</v>
      </c>
      <c r="E105" s="1017">
        <f t="shared" ref="E105:W105" si="33">E102-E104+E103</f>
        <v>332458.32</v>
      </c>
      <c r="F105" s="1017">
        <f t="shared" si="33"/>
        <v>260643.24</v>
      </c>
      <c r="G105" s="1017">
        <f t="shared" si="33"/>
        <v>203474.59999999998</v>
      </c>
      <c r="H105" s="1017">
        <f t="shared" si="33"/>
        <v>168090.47999999998</v>
      </c>
      <c r="I105" s="1028">
        <f t="shared" si="33"/>
        <v>106190</v>
      </c>
      <c r="J105" s="1028">
        <f t="shared" si="33"/>
        <v>51280.619999999995</v>
      </c>
      <c r="K105" s="1028">
        <f t="shared" si="33"/>
        <v>34594.12999999999</v>
      </c>
      <c r="L105" s="65">
        <f t="shared" si="33"/>
        <v>17505.37999999999</v>
      </c>
      <c r="M105" s="1029">
        <f t="shared" si="33"/>
        <v>-1.0913936421275139E-11</v>
      </c>
      <c r="N105" s="575">
        <f t="shared" si="33"/>
        <v>-1.0913936421275139E-11</v>
      </c>
      <c r="O105" s="396">
        <f t="shared" si="33"/>
        <v>-1.0913936421275139E-11</v>
      </c>
      <c r="P105" s="396">
        <f t="shared" si="33"/>
        <v>-1.0913936421275139E-11</v>
      </c>
      <c r="Q105" s="396">
        <f t="shared" si="33"/>
        <v>-1.0913936421275139E-11</v>
      </c>
      <c r="R105" s="396">
        <f t="shared" si="33"/>
        <v>-1.0913936421275139E-11</v>
      </c>
      <c r="S105" s="396">
        <f t="shared" si="33"/>
        <v>-1.0913936421275139E-11</v>
      </c>
      <c r="T105" s="396">
        <f t="shared" si="33"/>
        <v>-1.0913936421275139E-11</v>
      </c>
      <c r="U105" s="396">
        <f t="shared" si="33"/>
        <v>-1.0913936421275139E-11</v>
      </c>
      <c r="V105" s="396">
        <f t="shared" si="33"/>
        <v>-1.0913936421275139E-11</v>
      </c>
      <c r="W105" s="573">
        <f t="shared" si="33"/>
        <v>-1.0913936421275139E-11</v>
      </c>
    </row>
    <row r="106" spans="1:23">
      <c r="A106" s="1025" t="s">
        <v>4912</v>
      </c>
      <c r="B106" s="398"/>
      <c r="C106" s="1026">
        <v>12021.43</v>
      </c>
      <c r="D106" s="1027">
        <v>10183.719999999999</v>
      </c>
      <c r="E106" s="1017">
        <v>10452.48</v>
      </c>
      <c r="F106" s="1017">
        <v>12951.58</v>
      </c>
      <c r="G106" s="1017">
        <v>9694.9</v>
      </c>
      <c r="H106" s="1017">
        <v>7337.53</v>
      </c>
      <c r="I106" s="1028">
        <v>5826</v>
      </c>
      <c r="J106" s="1028">
        <v>1530.04</v>
      </c>
      <c r="K106" s="1028">
        <v>1135.05</v>
      </c>
      <c r="L106" s="65">
        <v>732.79</v>
      </c>
      <c r="M106" s="1029">
        <v>124.48</v>
      </c>
      <c r="N106" s="575">
        <v>0</v>
      </c>
      <c r="O106" s="396"/>
      <c r="P106" s="396"/>
      <c r="Q106" s="396"/>
      <c r="R106" s="396"/>
      <c r="S106" s="396"/>
      <c r="T106" s="396"/>
      <c r="U106" s="396"/>
      <c r="V106" s="396"/>
      <c r="W106" s="573"/>
    </row>
    <row r="107" spans="1:23" ht="13.5" thickBot="1">
      <c r="A107" s="1025" t="s">
        <v>4913</v>
      </c>
      <c r="B107" s="1030"/>
      <c r="C107" s="1026">
        <f>C106+C104</f>
        <v>52219.83</v>
      </c>
      <c r="D107" s="1027">
        <f>D106+D104</f>
        <v>52219.87</v>
      </c>
      <c r="E107" s="1017">
        <f t="shared" ref="E107:W107" si="34">E104+E106</f>
        <v>64540.61</v>
      </c>
      <c r="F107" s="1017">
        <f t="shared" si="34"/>
        <v>84766.66</v>
      </c>
      <c r="G107" s="1017">
        <f t="shared" si="34"/>
        <v>66863.539999999994</v>
      </c>
      <c r="H107" s="1017">
        <f t="shared" si="34"/>
        <v>36815.199999999997</v>
      </c>
      <c r="I107" s="1028">
        <f t="shared" si="34"/>
        <v>37475</v>
      </c>
      <c r="J107" s="1028">
        <f t="shared" si="34"/>
        <v>17821.54</v>
      </c>
      <c r="K107" s="1028">
        <f t="shared" si="34"/>
        <v>17821.54</v>
      </c>
      <c r="L107" s="65">
        <f t="shared" si="34"/>
        <v>17821.54</v>
      </c>
      <c r="M107" s="1029">
        <f t="shared" si="34"/>
        <v>17629.86</v>
      </c>
      <c r="N107" s="575">
        <f t="shared" si="34"/>
        <v>0</v>
      </c>
      <c r="O107" s="396">
        <f t="shared" si="34"/>
        <v>0</v>
      </c>
      <c r="P107" s="396">
        <f t="shared" si="34"/>
        <v>0</v>
      </c>
      <c r="Q107" s="396">
        <f t="shared" si="34"/>
        <v>0</v>
      </c>
      <c r="R107" s="396">
        <f t="shared" si="34"/>
        <v>0</v>
      </c>
      <c r="S107" s="396">
        <f t="shared" si="34"/>
        <v>0</v>
      </c>
      <c r="T107" s="396">
        <f t="shared" si="34"/>
        <v>0</v>
      </c>
      <c r="U107" s="396">
        <f t="shared" si="34"/>
        <v>0</v>
      </c>
      <c r="V107" s="396">
        <f t="shared" si="34"/>
        <v>0</v>
      </c>
      <c r="W107" s="573">
        <f t="shared" si="34"/>
        <v>0</v>
      </c>
    </row>
    <row r="108" spans="1:23" ht="13.5" thickBot="1">
      <c r="A108" s="1031"/>
      <c r="B108" s="398"/>
      <c r="C108" s="1032"/>
      <c r="D108" s="1033"/>
      <c r="E108" s="1034"/>
      <c r="F108" s="1034"/>
      <c r="G108" s="1034"/>
      <c r="H108" s="1034"/>
      <c r="I108" s="1035"/>
      <c r="J108" s="1035"/>
      <c r="K108" s="1035"/>
      <c r="L108" s="1036"/>
      <c r="M108" s="1037"/>
      <c r="N108" s="1038"/>
      <c r="O108" s="1039"/>
      <c r="P108" s="1039"/>
      <c r="Q108" s="1030"/>
      <c r="R108" s="1030"/>
      <c r="S108" s="1030"/>
      <c r="T108" s="1030"/>
      <c r="U108" s="1030"/>
      <c r="V108" s="1030"/>
      <c r="W108" s="1040"/>
    </row>
    <row r="109" spans="1:23" ht="13.5" thickBot="1">
      <c r="N109" s="287"/>
    </row>
    <row r="110" spans="1:23" s="1041" customFormat="1" ht="13.5" thickBot="1">
      <c r="A110" s="1756" t="s">
        <v>4915</v>
      </c>
      <c r="B110" s="1748"/>
      <c r="C110" s="1747">
        <v>2001</v>
      </c>
      <c r="D110" s="1749">
        <v>2002</v>
      </c>
      <c r="E110" s="1750">
        <v>2003</v>
      </c>
      <c r="F110" s="1747">
        <v>2004</v>
      </c>
      <c r="G110" s="1750">
        <v>2005</v>
      </c>
      <c r="H110" s="1747">
        <v>2006</v>
      </c>
      <c r="I110" s="1750">
        <v>2008</v>
      </c>
      <c r="J110" s="1750">
        <v>2010</v>
      </c>
      <c r="K110" s="1747">
        <v>2011</v>
      </c>
      <c r="L110" s="1749">
        <v>2012</v>
      </c>
      <c r="M110" s="1752" t="s">
        <v>4906</v>
      </c>
      <c r="N110" s="1753" t="s">
        <v>4907</v>
      </c>
      <c r="O110" s="1749">
        <v>2015</v>
      </c>
      <c r="P110" s="1749">
        <v>2016</v>
      </c>
      <c r="Q110" s="1749">
        <v>2017</v>
      </c>
      <c r="R110" s="1749">
        <v>2018</v>
      </c>
      <c r="S110" s="1749">
        <v>2019</v>
      </c>
      <c r="T110" s="1749">
        <v>2020</v>
      </c>
      <c r="U110" s="1749">
        <v>2021</v>
      </c>
      <c r="V110" s="1748">
        <v>2022</v>
      </c>
      <c r="W110" s="1754">
        <v>2023</v>
      </c>
    </row>
    <row r="111" spans="1:23">
      <c r="A111" s="1013"/>
      <c r="B111" s="398"/>
      <c r="C111" s="1014"/>
      <c r="D111" s="1015"/>
      <c r="E111" s="1016"/>
      <c r="F111" s="1016"/>
      <c r="G111" s="1017"/>
      <c r="H111" s="1016"/>
      <c r="I111" s="1019"/>
      <c r="J111" s="1020"/>
      <c r="K111" s="1021"/>
      <c r="L111" s="487"/>
      <c r="M111" s="1022"/>
      <c r="N111" s="1023"/>
      <c r="O111" s="392"/>
      <c r="P111" s="392"/>
      <c r="Q111" s="394"/>
      <c r="R111" s="394"/>
      <c r="S111" s="394"/>
      <c r="T111" s="394"/>
      <c r="U111" s="394"/>
      <c r="V111" s="398"/>
      <c r="W111" s="1024"/>
    </row>
    <row r="112" spans="1:23">
      <c r="A112" s="1025" t="s">
        <v>4908</v>
      </c>
      <c r="B112" s="398"/>
      <c r="C112" s="1026">
        <v>743630.72</v>
      </c>
      <c r="D112" s="1027">
        <f t="shared" ref="D112:W112" si="35">C115</f>
        <v>688816.63</v>
      </c>
      <c r="E112" s="1017">
        <f t="shared" si="35"/>
        <v>630753.5</v>
      </c>
      <c r="F112" s="1017">
        <f t="shared" si="35"/>
        <v>570083.43000000005</v>
      </c>
      <c r="G112" s="1017">
        <f t="shared" si="35"/>
        <v>504987.84000000008</v>
      </c>
      <c r="H112" s="1017">
        <f t="shared" si="35"/>
        <v>436907.71000000008</v>
      </c>
      <c r="I112" s="1028">
        <v>294001.77</v>
      </c>
      <c r="J112" s="1028">
        <v>190563.3</v>
      </c>
      <c r="K112" s="1028">
        <f>J115</f>
        <v>148108.79999999999</v>
      </c>
      <c r="L112" s="65">
        <f t="shared" si="35"/>
        <v>103749.70999999999</v>
      </c>
      <c r="M112" s="1029">
        <f t="shared" si="35"/>
        <v>58219.849999999991</v>
      </c>
      <c r="N112" s="575">
        <f t="shared" si="35"/>
        <v>23664.479999999989</v>
      </c>
      <c r="O112" s="396">
        <f t="shared" si="35"/>
        <v>4636.0699999999888</v>
      </c>
      <c r="P112" s="396">
        <f t="shared" si="35"/>
        <v>-1.0913936421275139E-11</v>
      </c>
      <c r="Q112" s="396">
        <f t="shared" si="35"/>
        <v>0</v>
      </c>
      <c r="R112" s="396">
        <f t="shared" si="35"/>
        <v>0</v>
      </c>
      <c r="S112" s="396">
        <f t="shared" si="35"/>
        <v>0</v>
      </c>
      <c r="T112" s="396">
        <f t="shared" si="35"/>
        <v>0</v>
      </c>
      <c r="U112" s="396">
        <f t="shared" si="35"/>
        <v>0</v>
      </c>
      <c r="V112" s="396">
        <f t="shared" si="35"/>
        <v>0</v>
      </c>
      <c r="W112" s="573">
        <f t="shared" si="35"/>
        <v>0</v>
      </c>
    </row>
    <row r="113" spans="1:23">
      <c r="A113" s="1025" t="s">
        <v>4909</v>
      </c>
      <c r="B113" s="398"/>
      <c r="C113" s="1026"/>
      <c r="D113" s="1027"/>
      <c r="E113" s="1017"/>
      <c r="F113" s="1017"/>
      <c r="G113" s="1017"/>
      <c r="H113" s="1017"/>
      <c r="I113" s="1028"/>
      <c r="J113" s="1028"/>
      <c r="K113" s="1028"/>
      <c r="L113" s="65"/>
      <c r="M113" s="1029"/>
      <c r="N113" s="575"/>
      <c r="O113" s="396"/>
      <c r="P113" s="396"/>
      <c r="Q113" s="396"/>
      <c r="R113" s="396"/>
      <c r="S113" s="396"/>
      <c r="T113" s="396"/>
      <c r="U113" s="396"/>
      <c r="V113" s="396"/>
      <c r="W113" s="573"/>
    </row>
    <row r="114" spans="1:23">
      <c r="A114" s="1025" t="s">
        <v>4910</v>
      </c>
      <c r="B114" s="398"/>
      <c r="C114" s="1026">
        <v>54814.09</v>
      </c>
      <c r="D114" s="1027">
        <v>58063.13</v>
      </c>
      <c r="E114" s="1017">
        <v>60670.07</v>
      </c>
      <c r="F114" s="1017">
        <v>65095.59</v>
      </c>
      <c r="G114" s="1017">
        <v>68080.13</v>
      </c>
      <c r="H114" s="1017">
        <v>70660.28</v>
      </c>
      <c r="I114" s="1028">
        <v>54946.83</v>
      </c>
      <c r="J114" s="1028">
        <v>42454.5</v>
      </c>
      <c r="K114" s="1028">
        <v>44359.09</v>
      </c>
      <c r="L114" s="65">
        <v>45529.86</v>
      </c>
      <c r="M114" s="1029">
        <v>34555.370000000003</v>
      </c>
      <c r="N114" s="575">
        <v>19028.41</v>
      </c>
      <c r="O114" s="396">
        <v>4636.07</v>
      </c>
      <c r="P114" s="396">
        <v>0</v>
      </c>
      <c r="Q114" s="396">
        <v>0</v>
      </c>
      <c r="R114" s="396">
        <v>0</v>
      </c>
      <c r="S114" s="396">
        <v>0</v>
      </c>
      <c r="T114" s="396">
        <v>0</v>
      </c>
      <c r="U114" s="396">
        <v>0</v>
      </c>
      <c r="V114" s="396">
        <v>0</v>
      </c>
      <c r="W114" s="573">
        <v>0</v>
      </c>
    </row>
    <row r="115" spans="1:23">
      <c r="A115" s="1025" t="s">
        <v>4911</v>
      </c>
      <c r="B115" s="398"/>
      <c r="C115" s="1026">
        <f t="shared" ref="C115:O115" si="36">C112-C114+C113</f>
        <v>688816.63</v>
      </c>
      <c r="D115" s="1027">
        <f t="shared" si="36"/>
        <v>630753.5</v>
      </c>
      <c r="E115" s="1017">
        <f t="shared" si="36"/>
        <v>570083.43000000005</v>
      </c>
      <c r="F115" s="1017">
        <f t="shared" si="36"/>
        <v>504987.84000000008</v>
      </c>
      <c r="G115" s="1017">
        <f t="shared" si="36"/>
        <v>436907.71000000008</v>
      </c>
      <c r="H115" s="1017">
        <f t="shared" si="36"/>
        <v>366247.43000000005</v>
      </c>
      <c r="I115" s="1028">
        <f t="shared" si="36"/>
        <v>239054.94</v>
      </c>
      <c r="J115" s="1028">
        <f t="shared" si="36"/>
        <v>148108.79999999999</v>
      </c>
      <c r="K115" s="1028">
        <f t="shared" si="36"/>
        <v>103749.70999999999</v>
      </c>
      <c r="L115" s="65">
        <f t="shared" si="36"/>
        <v>58219.849999999991</v>
      </c>
      <c r="M115" s="1029">
        <f t="shared" si="36"/>
        <v>23664.479999999989</v>
      </c>
      <c r="N115" s="575">
        <f t="shared" si="36"/>
        <v>4636.0699999999888</v>
      </c>
      <c r="O115" s="396">
        <f t="shared" si="36"/>
        <v>-1.0913936421275139E-11</v>
      </c>
      <c r="P115" s="396">
        <v>0</v>
      </c>
      <c r="Q115" s="396">
        <v>0</v>
      </c>
      <c r="R115" s="396">
        <v>0</v>
      </c>
      <c r="S115" s="396">
        <v>0</v>
      </c>
      <c r="T115" s="396">
        <v>0</v>
      </c>
      <c r="U115" s="396">
        <v>0</v>
      </c>
      <c r="V115" s="396">
        <v>0</v>
      </c>
      <c r="W115" s="573">
        <v>0</v>
      </c>
    </row>
    <row r="116" spans="1:23">
      <c r="A116" s="1025" t="s">
        <v>4912</v>
      </c>
      <c r="B116" s="398"/>
      <c r="C116" s="1026">
        <v>33116.19</v>
      </c>
      <c r="D116" s="1027">
        <v>31143.23</v>
      </c>
      <c r="E116" s="1017">
        <v>27034.400000000001</v>
      </c>
      <c r="F116" s="1017">
        <v>22805.74</v>
      </c>
      <c r="G116" s="1017">
        <v>17809.349999999999</v>
      </c>
      <c r="H116" s="1017">
        <v>14457.92</v>
      </c>
      <c r="I116" s="1028">
        <v>12011.22</v>
      </c>
      <c r="J116" s="1028">
        <v>7861.19</v>
      </c>
      <c r="K116" s="1028">
        <v>4553.13</v>
      </c>
      <c r="L116" s="65">
        <v>2322.1999999999998</v>
      </c>
      <c r="M116" s="1029">
        <v>1347.38</v>
      </c>
      <c r="N116" s="575">
        <v>474.91</v>
      </c>
      <c r="O116" s="396">
        <v>84.84</v>
      </c>
      <c r="P116" s="396">
        <v>0</v>
      </c>
      <c r="Q116" s="396">
        <v>0</v>
      </c>
      <c r="R116" s="396">
        <v>0</v>
      </c>
      <c r="S116" s="396">
        <v>0</v>
      </c>
      <c r="T116" s="396">
        <v>0</v>
      </c>
      <c r="U116" s="396">
        <v>0</v>
      </c>
      <c r="V116" s="396">
        <v>0</v>
      </c>
      <c r="W116" s="573">
        <v>0</v>
      </c>
    </row>
    <row r="117" spans="1:23" ht="13.5" thickBot="1">
      <c r="A117" s="1025" t="s">
        <v>4913</v>
      </c>
      <c r="B117" s="1030"/>
      <c r="C117" s="1026">
        <f t="shared" ref="C117:O117" si="37">C114+C116</f>
        <v>87930.28</v>
      </c>
      <c r="D117" s="1027">
        <f t="shared" si="37"/>
        <v>89206.36</v>
      </c>
      <c r="E117" s="1017">
        <f t="shared" si="37"/>
        <v>87704.47</v>
      </c>
      <c r="F117" s="1017">
        <f t="shared" si="37"/>
        <v>87901.33</v>
      </c>
      <c r="G117" s="1017">
        <f t="shared" si="37"/>
        <v>85889.48000000001</v>
      </c>
      <c r="H117" s="1017">
        <f t="shared" si="37"/>
        <v>85118.2</v>
      </c>
      <c r="I117" s="1028">
        <f t="shared" si="37"/>
        <v>66958.05</v>
      </c>
      <c r="J117" s="1028">
        <f t="shared" si="37"/>
        <v>50315.69</v>
      </c>
      <c r="K117" s="1028">
        <f t="shared" si="37"/>
        <v>48912.219999999994</v>
      </c>
      <c r="L117" s="65">
        <f t="shared" si="37"/>
        <v>47852.06</v>
      </c>
      <c r="M117" s="1029">
        <f t="shared" si="37"/>
        <v>35902.75</v>
      </c>
      <c r="N117" s="575">
        <f t="shared" si="37"/>
        <v>19503.32</v>
      </c>
      <c r="O117" s="396">
        <f t="shared" si="37"/>
        <v>4720.91</v>
      </c>
      <c r="P117" s="396">
        <v>0</v>
      </c>
      <c r="Q117" s="396">
        <v>0</v>
      </c>
      <c r="R117" s="396">
        <v>0</v>
      </c>
      <c r="S117" s="396">
        <v>0</v>
      </c>
      <c r="T117" s="396">
        <v>0</v>
      </c>
      <c r="U117" s="396">
        <v>0</v>
      </c>
      <c r="V117" s="396">
        <v>0</v>
      </c>
      <c r="W117" s="573">
        <v>0</v>
      </c>
    </row>
    <row r="118" spans="1:23" ht="13.5" thickBot="1">
      <c r="A118" s="1031"/>
      <c r="B118" s="398"/>
      <c r="C118" s="1032"/>
      <c r="D118" s="1033"/>
      <c r="E118" s="1034"/>
      <c r="F118" s="1034"/>
      <c r="G118" s="1034"/>
      <c r="H118" s="1034"/>
      <c r="I118" s="1035"/>
      <c r="J118" s="1035"/>
      <c r="K118" s="1035"/>
      <c r="L118" s="1036"/>
      <c r="M118" s="1037"/>
      <c r="N118" s="1038"/>
      <c r="O118" s="1039"/>
      <c r="P118" s="1039"/>
      <c r="Q118" s="1030"/>
      <c r="R118" s="1030"/>
      <c r="S118" s="1030"/>
      <c r="T118" s="1030"/>
      <c r="U118" s="1030"/>
      <c r="V118" s="1030"/>
      <c r="W118" s="1040"/>
    </row>
    <row r="119" spans="1:23" ht="13.5" thickBot="1">
      <c r="A119" s="1047"/>
      <c r="B119" s="398"/>
      <c r="C119" s="1071"/>
      <c r="D119" s="1071"/>
      <c r="E119" s="1072"/>
      <c r="F119" s="1072"/>
      <c r="G119" s="1072"/>
      <c r="H119" s="1071"/>
      <c r="I119" s="575"/>
      <c r="J119" s="396"/>
      <c r="N119" s="287"/>
    </row>
    <row r="120" spans="1:23" ht="16.5" customHeight="1" thickBot="1">
      <c r="A120" s="1756" t="s">
        <v>4917</v>
      </c>
      <c r="B120" s="1748"/>
      <c r="C120" s="1747">
        <v>2001</v>
      </c>
      <c r="D120" s="1749">
        <v>2002</v>
      </c>
      <c r="E120" s="1747">
        <v>2003</v>
      </c>
      <c r="F120" s="1747">
        <v>2004</v>
      </c>
      <c r="G120" s="1750">
        <v>2005</v>
      </c>
      <c r="H120" s="1747">
        <v>2006</v>
      </c>
      <c r="I120" s="1750">
        <v>2008</v>
      </c>
      <c r="J120" s="1750">
        <v>2010</v>
      </c>
      <c r="K120" s="1747">
        <v>2011</v>
      </c>
      <c r="L120" s="1749">
        <v>2012</v>
      </c>
      <c r="M120" s="1752" t="s">
        <v>4906</v>
      </c>
      <c r="N120" s="1753" t="s">
        <v>4907</v>
      </c>
      <c r="O120" s="1749">
        <v>2015</v>
      </c>
      <c r="P120" s="1749">
        <v>2016</v>
      </c>
      <c r="Q120" s="1749">
        <v>2017</v>
      </c>
      <c r="R120" s="1749">
        <v>2018</v>
      </c>
      <c r="S120" s="1749">
        <v>2019</v>
      </c>
      <c r="T120" s="1749">
        <v>2020</v>
      </c>
      <c r="U120" s="1749">
        <v>2020</v>
      </c>
      <c r="V120" s="1748">
        <v>2022</v>
      </c>
      <c r="W120" s="1754">
        <v>2023</v>
      </c>
    </row>
    <row r="121" spans="1:23">
      <c r="A121" s="1013"/>
      <c r="B121" s="398"/>
      <c r="C121" s="1014"/>
      <c r="D121" s="1015"/>
      <c r="E121" s="1016"/>
      <c r="F121" s="1016"/>
      <c r="G121" s="1017"/>
      <c r="H121" s="1016"/>
      <c r="I121" s="1019"/>
      <c r="J121" s="1020"/>
      <c r="K121" s="1021"/>
      <c r="L121" s="487"/>
      <c r="M121" s="1022"/>
      <c r="N121" s="1023"/>
      <c r="O121" s="392"/>
      <c r="P121" s="392"/>
      <c r="Q121" s="394"/>
      <c r="R121" s="394"/>
      <c r="S121" s="394"/>
      <c r="T121" s="394"/>
      <c r="U121" s="394"/>
      <c r="V121" s="398"/>
      <c r="W121" s="1024"/>
    </row>
    <row r="122" spans="1:23">
      <c r="A122" s="1025" t="s">
        <v>4908</v>
      </c>
      <c r="B122" s="398"/>
      <c r="C122" s="1026"/>
      <c r="D122" s="1027"/>
      <c r="E122" s="1017"/>
      <c r="F122" s="1017">
        <v>0</v>
      </c>
      <c r="G122" s="1017">
        <f t="shared" ref="G122:W122" si="38">F125</f>
        <v>0</v>
      </c>
      <c r="H122" s="1017">
        <f t="shared" si="38"/>
        <v>0</v>
      </c>
      <c r="I122" s="1028">
        <f t="shared" si="38"/>
        <v>0</v>
      </c>
      <c r="J122" s="1028">
        <f t="shared" si="38"/>
        <v>0</v>
      </c>
      <c r="K122" s="1028">
        <f>J125</f>
        <v>0</v>
      </c>
      <c r="L122" s="65">
        <f t="shared" si="38"/>
        <v>0</v>
      </c>
      <c r="M122" s="1029">
        <f t="shared" si="38"/>
        <v>0</v>
      </c>
      <c r="N122" s="575">
        <f t="shared" si="38"/>
        <v>0</v>
      </c>
      <c r="O122" s="396">
        <f t="shared" si="38"/>
        <v>0</v>
      </c>
      <c r="P122" s="396">
        <f t="shared" si="38"/>
        <v>0</v>
      </c>
      <c r="Q122" s="396">
        <f t="shared" si="38"/>
        <v>0</v>
      </c>
      <c r="R122" s="396">
        <f t="shared" si="38"/>
        <v>0</v>
      </c>
      <c r="S122" s="396">
        <f t="shared" si="38"/>
        <v>0</v>
      </c>
      <c r="T122" s="396">
        <f t="shared" si="38"/>
        <v>0</v>
      </c>
      <c r="U122" s="396">
        <f t="shared" si="38"/>
        <v>0</v>
      </c>
      <c r="V122" s="396">
        <f t="shared" si="38"/>
        <v>0</v>
      </c>
      <c r="W122" s="573">
        <f t="shared" si="38"/>
        <v>0</v>
      </c>
    </row>
    <row r="123" spans="1:23">
      <c r="A123" s="1025" t="s">
        <v>4909</v>
      </c>
      <c r="B123" s="398"/>
      <c r="C123" s="1026"/>
      <c r="D123" s="1027"/>
      <c r="E123" s="1017"/>
      <c r="F123" s="1017"/>
      <c r="G123" s="1017"/>
      <c r="H123" s="1017"/>
      <c r="I123" s="1028">
        <v>0</v>
      </c>
      <c r="J123" s="1028"/>
      <c r="K123" s="1028"/>
      <c r="L123" s="65"/>
      <c r="M123" s="1029">
        <v>0</v>
      </c>
      <c r="N123" s="575">
        <v>0</v>
      </c>
      <c r="O123" s="575">
        <v>0</v>
      </c>
      <c r="P123" s="575">
        <v>0</v>
      </c>
      <c r="Q123" s="575">
        <v>0</v>
      </c>
      <c r="R123" s="396"/>
      <c r="S123" s="396"/>
      <c r="T123" s="396"/>
      <c r="U123" s="396"/>
      <c r="V123" s="396"/>
      <c r="W123" s="573"/>
    </row>
    <row r="124" spans="1:23">
      <c r="A124" s="1025" t="s">
        <v>4910</v>
      </c>
      <c r="B124" s="398"/>
      <c r="C124" s="1026"/>
      <c r="D124" s="1027"/>
      <c r="E124" s="1017"/>
      <c r="F124" s="1017"/>
      <c r="G124" s="1017"/>
      <c r="H124" s="1017">
        <v>0</v>
      </c>
      <c r="I124" s="1028"/>
      <c r="J124" s="1028">
        <v>0</v>
      </c>
      <c r="K124" s="1028">
        <v>0</v>
      </c>
      <c r="L124" s="65">
        <v>0</v>
      </c>
      <c r="M124" s="1029">
        <v>0</v>
      </c>
      <c r="N124" s="575">
        <v>0</v>
      </c>
      <c r="O124" s="396">
        <v>0</v>
      </c>
      <c r="P124" s="396">
        <v>0</v>
      </c>
      <c r="Q124" s="396">
        <v>0</v>
      </c>
      <c r="R124" s="396">
        <v>0</v>
      </c>
      <c r="S124" s="396">
        <v>0</v>
      </c>
      <c r="T124" s="396">
        <v>0</v>
      </c>
      <c r="U124" s="396">
        <v>0</v>
      </c>
      <c r="V124" s="396">
        <v>0</v>
      </c>
      <c r="W124" s="573">
        <v>0</v>
      </c>
    </row>
    <row r="125" spans="1:23">
      <c r="A125" s="1025" t="s">
        <v>4911</v>
      </c>
      <c r="B125" s="398"/>
      <c r="C125" s="1026"/>
      <c r="D125" s="1027"/>
      <c r="E125" s="1017"/>
      <c r="F125" s="1017">
        <f t="shared" ref="F125:P125" si="39">F122-F124+F123</f>
        <v>0</v>
      </c>
      <c r="G125" s="1017">
        <f t="shared" si="39"/>
        <v>0</v>
      </c>
      <c r="H125" s="1017">
        <f t="shared" si="39"/>
        <v>0</v>
      </c>
      <c r="I125" s="1028">
        <f t="shared" si="39"/>
        <v>0</v>
      </c>
      <c r="J125" s="1028">
        <f t="shared" si="39"/>
        <v>0</v>
      </c>
      <c r="K125" s="1028">
        <f>K122-K124+K123</f>
        <v>0</v>
      </c>
      <c r="L125" s="65">
        <f t="shared" si="39"/>
        <v>0</v>
      </c>
      <c r="M125" s="1029">
        <f t="shared" si="39"/>
        <v>0</v>
      </c>
      <c r="N125" s="575">
        <f t="shared" si="39"/>
        <v>0</v>
      </c>
      <c r="O125" s="396">
        <f t="shared" si="39"/>
        <v>0</v>
      </c>
      <c r="P125" s="396">
        <f t="shared" si="39"/>
        <v>0</v>
      </c>
      <c r="Q125" s="396">
        <f>Q122-Q124+Q123</f>
        <v>0</v>
      </c>
      <c r="R125" s="396">
        <f>R122-R124+R123</f>
        <v>0</v>
      </c>
      <c r="S125" s="396">
        <f>S122-S124+S123</f>
        <v>0</v>
      </c>
      <c r="T125" s="396">
        <f>T122-T124+T123</f>
        <v>0</v>
      </c>
      <c r="U125" s="396">
        <f>U124+U123+U122</f>
        <v>0</v>
      </c>
      <c r="V125" s="396">
        <f>V124+V123+V122</f>
        <v>0</v>
      </c>
      <c r="W125" s="573">
        <f>W124+W123+W122</f>
        <v>0</v>
      </c>
    </row>
    <row r="126" spans="1:23">
      <c r="A126" s="1025" t="s">
        <v>4912</v>
      </c>
      <c r="B126" s="398"/>
      <c r="C126" s="1026"/>
      <c r="D126" s="1027"/>
      <c r="E126" s="1017"/>
      <c r="F126" s="1017"/>
      <c r="G126" s="1017"/>
      <c r="H126" s="1017"/>
      <c r="I126" s="1028"/>
      <c r="J126" s="1028">
        <v>0</v>
      </c>
      <c r="K126" s="1028"/>
      <c r="L126" s="65"/>
      <c r="M126" s="1029"/>
      <c r="N126" s="575">
        <v>0</v>
      </c>
      <c r="O126" s="396">
        <v>0</v>
      </c>
      <c r="P126" s="396">
        <v>0</v>
      </c>
      <c r="Q126" s="396">
        <v>0</v>
      </c>
      <c r="R126" s="396">
        <v>0</v>
      </c>
      <c r="S126" s="396">
        <v>0</v>
      </c>
      <c r="T126" s="396">
        <v>0</v>
      </c>
      <c r="U126" s="396">
        <v>0</v>
      </c>
      <c r="V126" s="396">
        <v>0</v>
      </c>
      <c r="W126" s="573">
        <v>0</v>
      </c>
    </row>
    <row r="127" spans="1:23" ht="13.5" thickBot="1">
      <c r="A127" s="1025" t="s">
        <v>4913</v>
      </c>
      <c r="B127" s="1030"/>
      <c r="C127" s="1026"/>
      <c r="D127" s="1027"/>
      <c r="E127" s="1017"/>
      <c r="F127" s="1017">
        <f t="shared" ref="F127:P127" si="40">F124+F126</f>
        <v>0</v>
      </c>
      <c r="G127" s="1017">
        <f t="shared" si="40"/>
        <v>0</v>
      </c>
      <c r="H127" s="1017">
        <f t="shared" si="40"/>
        <v>0</v>
      </c>
      <c r="I127" s="1028">
        <f t="shared" si="40"/>
        <v>0</v>
      </c>
      <c r="J127" s="1028">
        <v>0</v>
      </c>
      <c r="K127" s="1028">
        <f t="shared" si="40"/>
        <v>0</v>
      </c>
      <c r="L127" s="65">
        <f t="shared" si="40"/>
        <v>0</v>
      </c>
      <c r="M127" s="1029">
        <f t="shared" si="40"/>
        <v>0</v>
      </c>
      <c r="N127" s="575">
        <f t="shared" si="40"/>
        <v>0</v>
      </c>
      <c r="O127" s="396">
        <f t="shared" si="40"/>
        <v>0</v>
      </c>
      <c r="P127" s="396">
        <f t="shared" si="40"/>
        <v>0</v>
      </c>
      <c r="Q127" s="396">
        <f>Q124+Q126</f>
        <v>0</v>
      </c>
      <c r="R127" s="396">
        <f>R124+R126</f>
        <v>0</v>
      </c>
      <c r="S127" s="396">
        <f>S124+S126</f>
        <v>0</v>
      </c>
      <c r="T127" s="396">
        <f>T124+T126</f>
        <v>0</v>
      </c>
      <c r="U127" s="396">
        <f>U126+U124</f>
        <v>0</v>
      </c>
      <c r="V127" s="396">
        <f>V126+V124</f>
        <v>0</v>
      </c>
      <c r="W127" s="573">
        <f>W126+W124</f>
        <v>0</v>
      </c>
    </row>
    <row r="128" spans="1:23" ht="13.5" thickBot="1">
      <c r="A128" s="1031"/>
      <c r="B128" s="398"/>
      <c r="C128" s="1032"/>
      <c r="D128" s="1033"/>
      <c r="E128" s="1034"/>
      <c r="F128" s="1034"/>
      <c r="G128" s="1034"/>
      <c r="H128" s="1034"/>
      <c r="I128" s="1035"/>
      <c r="J128" s="1035"/>
      <c r="K128" s="1035"/>
      <c r="L128" s="1036"/>
      <c r="M128" s="1037"/>
      <c r="N128" s="1038"/>
      <c r="O128" s="1039"/>
      <c r="P128" s="1039"/>
      <c r="Q128" s="1030"/>
      <c r="R128" s="1030"/>
      <c r="S128" s="1030"/>
      <c r="T128" s="1030"/>
      <c r="U128" s="1030"/>
      <c r="V128" s="1030"/>
      <c r="W128" s="1040"/>
    </row>
    <row r="129" spans="1:23" ht="9.75" customHeight="1">
      <c r="A129" s="1047"/>
      <c r="B129" s="398"/>
      <c r="C129" s="1071"/>
      <c r="D129" s="1071"/>
      <c r="E129" s="1072"/>
      <c r="F129" s="1072"/>
      <c r="G129" s="1072"/>
      <c r="H129" s="1071"/>
      <c r="I129" s="575"/>
      <c r="J129" s="396"/>
    </row>
    <row r="130" spans="1:23" ht="9.75" customHeight="1">
      <c r="A130" s="1047"/>
      <c r="B130" s="398"/>
      <c r="C130" s="1071"/>
      <c r="D130" s="1071"/>
      <c r="E130" s="1072"/>
      <c r="F130" s="1072"/>
      <c r="G130" s="1072"/>
      <c r="H130" s="1071"/>
      <c r="I130" s="575"/>
      <c r="J130" s="396"/>
    </row>
    <row r="131" spans="1:23" ht="9.75" customHeight="1">
      <c r="A131" s="1047"/>
      <c r="B131" s="398"/>
      <c r="C131" s="1071"/>
      <c r="D131" s="1071"/>
      <c r="E131" s="1072"/>
      <c r="F131" s="1072"/>
      <c r="G131" s="1072"/>
      <c r="H131" s="1071"/>
      <c r="I131" s="575"/>
      <c r="J131" s="396"/>
    </row>
    <row r="132" spans="1:23" ht="9.75" customHeight="1">
      <c r="A132" s="1047"/>
      <c r="B132" s="398"/>
      <c r="C132" s="1071"/>
      <c r="D132" s="1071"/>
      <c r="E132" s="1072"/>
      <c r="F132" s="1072"/>
      <c r="G132" s="1072"/>
      <c r="H132" s="1071"/>
      <c r="I132" s="575"/>
      <c r="J132" s="396"/>
    </row>
    <row r="133" spans="1:23" ht="9.75" customHeight="1">
      <c r="A133" s="1047"/>
      <c r="B133" s="398"/>
      <c r="C133" s="1071"/>
      <c r="D133" s="1071"/>
      <c r="E133" s="1072"/>
      <c r="F133" s="1072"/>
      <c r="G133" s="1072"/>
      <c r="H133" s="1071"/>
      <c r="I133" s="575"/>
      <c r="J133" s="396"/>
    </row>
    <row r="134" spans="1:23" ht="9.75" customHeight="1">
      <c r="A134" s="1047"/>
      <c r="B134" s="398"/>
      <c r="C134" s="1071"/>
      <c r="D134" s="1071"/>
      <c r="E134" s="1072"/>
      <c r="F134" s="1072"/>
      <c r="G134" s="1072"/>
      <c r="H134" s="1071"/>
      <c r="I134" s="575"/>
      <c r="J134" s="396"/>
    </row>
    <row r="135" spans="1:23" ht="9.75" customHeight="1">
      <c r="A135" s="1047"/>
      <c r="B135" s="398"/>
      <c r="C135" s="1071"/>
      <c r="D135" s="1071"/>
      <c r="E135" s="1072"/>
      <c r="F135" s="1072"/>
      <c r="G135" s="1072"/>
      <c r="H135" s="1071"/>
      <c r="I135" s="575"/>
      <c r="J135" s="396"/>
    </row>
    <row r="136" spans="1:23" ht="9.75" customHeight="1">
      <c r="A136" s="1047"/>
      <c r="B136" s="398"/>
      <c r="C136" s="1071"/>
      <c r="D136" s="1071"/>
      <c r="E136" s="1072"/>
      <c r="F136" s="1072"/>
      <c r="G136" s="1072"/>
      <c r="H136" s="1071"/>
      <c r="I136" s="575"/>
      <c r="J136" s="396"/>
    </row>
    <row r="137" spans="1:23" ht="9.75" customHeight="1">
      <c r="A137" s="1047"/>
      <c r="B137" s="398"/>
      <c r="C137" s="1071"/>
      <c r="D137" s="1071"/>
      <c r="E137" s="1072"/>
      <c r="F137" s="1072"/>
      <c r="G137" s="1072"/>
      <c r="H137" s="1071"/>
      <c r="I137" s="575"/>
      <c r="J137" s="396"/>
    </row>
    <row r="138" spans="1:23" ht="17.25" customHeight="1">
      <c r="A138" s="1047"/>
      <c r="B138" s="398"/>
      <c r="C138" s="1071"/>
      <c r="D138" s="1071"/>
      <c r="E138" s="1072"/>
      <c r="F138" s="1072"/>
      <c r="G138" s="1072"/>
      <c r="H138" s="1018"/>
      <c r="I138" s="575"/>
      <c r="J138" s="1048"/>
    </row>
    <row r="139" spans="1:23" ht="15.75">
      <c r="A139" s="1745" t="s">
        <v>4923</v>
      </c>
      <c r="H139" s="396"/>
    </row>
    <row r="140" spans="1:23" ht="13.5" thickBot="1">
      <c r="B140" s="1002"/>
    </row>
    <row r="141" spans="1:23" s="1073" customFormat="1" ht="13.5" thickBot="1">
      <c r="A141" s="1111" t="s">
        <v>8</v>
      </c>
      <c r="B141" s="1112"/>
      <c r="C141" s="1113">
        <v>2001</v>
      </c>
      <c r="D141" s="1114">
        <v>2002</v>
      </c>
      <c r="E141" s="1113">
        <v>2003</v>
      </c>
      <c r="F141" s="1113">
        <v>2004</v>
      </c>
      <c r="G141" s="1113">
        <v>2005</v>
      </c>
      <c r="H141" s="1113">
        <v>2006</v>
      </c>
      <c r="I141" s="1115">
        <v>2008</v>
      </c>
      <c r="J141" s="1113">
        <v>2010</v>
      </c>
      <c r="K141" s="1113">
        <v>2011</v>
      </c>
      <c r="L141" s="1114">
        <v>2012</v>
      </c>
      <c r="M141" s="1116">
        <v>2013</v>
      </c>
      <c r="N141" s="1113">
        <v>2014</v>
      </c>
      <c r="O141" s="1113">
        <v>2015</v>
      </c>
      <c r="P141" s="1114">
        <v>2016</v>
      </c>
      <c r="Q141" s="1114">
        <v>2017</v>
      </c>
      <c r="R141" s="1114">
        <v>2018</v>
      </c>
      <c r="S141" s="1114">
        <v>2019</v>
      </c>
      <c r="T141" s="1114">
        <v>2020</v>
      </c>
      <c r="U141" s="1114">
        <v>2021</v>
      </c>
      <c r="V141" s="1112">
        <v>2022</v>
      </c>
      <c r="W141" s="1117">
        <v>2023</v>
      </c>
    </row>
    <row r="142" spans="1:23">
      <c r="A142" s="1118"/>
      <c r="B142" s="1119"/>
      <c r="C142" s="1074"/>
      <c r="D142" s="1120"/>
      <c r="E142" s="1074"/>
      <c r="F142" s="1074"/>
      <c r="G142" s="1074"/>
      <c r="H142" s="1074"/>
      <c r="I142" s="1019"/>
      <c r="J142" s="1068"/>
      <c r="K142" s="1021"/>
      <c r="L142" s="487"/>
      <c r="M142" s="1061"/>
      <c r="N142" s="1075"/>
      <c r="O142" s="1076"/>
      <c r="P142" s="392"/>
      <c r="Q142" s="394"/>
      <c r="R142" s="394"/>
      <c r="S142" s="394"/>
      <c r="T142" s="394"/>
      <c r="U142" s="394"/>
      <c r="V142" s="398"/>
      <c r="W142" s="1077"/>
    </row>
    <row r="143" spans="1:23">
      <c r="A143" s="1121" t="s">
        <v>4908</v>
      </c>
      <c r="B143" s="1119"/>
      <c r="C143" s="1122" t="e">
        <f>C29+#REF!+C49+C39+C69+#REF!</f>
        <v>#REF!</v>
      </c>
      <c r="D143" s="1072" t="e">
        <f>D29+#REF!+D49+D39+D69+#REF!</f>
        <v>#REF!</v>
      </c>
      <c r="E143" s="1122" t="e">
        <f>E29+#REF!+E49+E39+E69</f>
        <v>#REF!</v>
      </c>
      <c r="F143" s="1072">
        <f t="shared" ref="F143:G148" si="41">F29+F49+F39+F69</f>
        <v>14533498.090000004</v>
      </c>
      <c r="G143" s="1122">
        <f t="shared" si="41"/>
        <v>13274534.560000002</v>
      </c>
      <c r="H143" s="1122">
        <f t="shared" ref="H143:W148" si="42">H29+H49+H39+H69+H59</f>
        <v>12580260.710000001</v>
      </c>
      <c r="I143" s="1028">
        <f t="shared" si="42"/>
        <v>14757115.07</v>
      </c>
      <c r="J143" s="1028">
        <f t="shared" si="42"/>
        <v>18538609.5</v>
      </c>
      <c r="K143" s="1028">
        <f t="shared" si="42"/>
        <v>16234772.529999999</v>
      </c>
      <c r="L143" s="65">
        <f>L29+L49+L39+L69+L59</f>
        <v>15361866.550000001</v>
      </c>
      <c r="M143" s="1062">
        <f t="shared" si="42"/>
        <v>15136838.020000001</v>
      </c>
      <c r="N143" s="1082">
        <f t="shared" si="42"/>
        <v>13907617.17</v>
      </c>
      <c r="O143" s="1028">
        <f t="shared" si="42"/>
        <v>13776108.390000001</v>
      </c>
      <c r="P143" s="575">
        <f t="shared" si="42"/>
        <v>15646237.73</v>
      </c>
      <c r="Q143" s="575">
        <f t="shared" si="42"/>
        <v>14378507.640000001</v>
      </c>
      <c r="R143" s="575">
        <f>R29+R49+R39+R69+R59</f>
        <v>13123328.690000001</v>
      </c>
      <c r="S143" s="575">
        <f t="shared" si="42"/>
        <v>22740829.529999997</v>
      </c>
      <c r="T143" s="575">
        <f t="shared" si="42"/>
        <v>27164290.600000001</v>
      </c>
      <c r="U143" s="575">
        <f t="shared" si="42"/>
        <v>26806917.510000002</v>
      </c>
      <c r="V143" s="575">
        <f t="shared" si="42"/>
        <v>25685675.640000001</v>
      </c>
      <c r="W143" s="1044">
        <f t="shared" si="42"/>
        <v>24528058.529999997</v>
      </c>
    </row>
    <row r="144" spans="1:23">
      <c r="A144" s="1121" t="s">
        <v>4909</v>
      </c>
      <c r="B144" s="1119"/>
      <c r="C144" s="1122" t="e">
        <f>C30+C50+C40+C70+#REF!</f>
        <v>#REF!</v>
      </c>
      <c r="D144" s="1072" t="e">
        <f>D30+D50+D40+D70+#REF!</f>
        <v>#REF!</v>
      </c>
      <c r="E144" s="1122" t="e">
        <f>E30+E50+E40+E70+#REF!</f>
        <v>#REF!</v>
      </c>
      <c r="F144" s="1072">
        <f t="shared" si="41"/>
        <v>0</v>
      </c>
      <c r="G144" s="1122">
        <f t="shared" si="41"/>
        <v>798500</v>
      </c>
      <c r="H144" s="1122">
        <f t="shared" si="42"/>
        <v>3602000</v>
      </c>
      <c r="I144" s="1028">
        <f t="shared" si="42"/>
        <v>0</v>
      </c>
      <c r="J144" s="1028">
        <f t="shared" si="42"/>
        <v>0</v>
      </c>
      <c r="K144" s="1028">
        <f t="shared" si="42"/>
        <v>701488.34000000008</v>
      </c>
      <c r="L144" s="65">
        <f>L30+L50+L40+L70+L60</f>
        <v>1050000</v>
      </c>
      <c r="M144" s="1062">
        <f t="shared" si="42"/>
        <v>0</v>
      </c>
      <c r="N144" s="1082">
        <f>N30+N50+N40+N70+N60</f>
        <v>1000000</v>
      </c>
      <c r="O144" s="1028">
        <f t="shared" si="42"/>
        <v>3000000</v>
      </c>
      <c r="P144" s="575">
        <f t="shared" si="42"/>
        <v>0</v>
      </c>
      <c r="Q144" s="575">
        <f t="shared" si="42"/>
        <v>0</v>
      </c>
      <c r="R144" s="575">
        <f>R30+R50+R40+R70+R60</f>
        <v>11000000</v>
      </c>
      <c r="S144" s="575">
        <f t="shared" si="42"/>
        <v>6250000</v>
      </c>
      <c r="T144" s="575">
        <f t="shared" si="42"/>
        <v>1750000</v>
      </c>
      <c r="U144" s="575">
        <f t="shared" si="42"/>
        <v>1000000</v>
      </c>
      <c r="V144" s="575">
        <f t="shared" si="42"/>
        <v>1000000</v>
      </c>
      <c r="W144" s="1044">
        <f t="shared" si="42"/>
        <v>500000</v>
      </c>
    </row>
    <row r="145" spans="1:23">
      <c r="A145" s="1121" t="s">
        <v>4910</v>
      </c>
      <c r="B145" s="1119"/>
      <c r="C145" s="1122" t="e">
        <f>C31+#REF!+C51+#REF!+C71+C41</f>
        <v>#REF!</v>
      </c>
      <c r="D145" s="1072" t="e">
        <f>D31+#REF!+D51+#REF!+D71+D41</f>
        <v>#REF!</v>
      </c>
      <c r="E145" s="1122" t="e">
        <f>E31+#REF!+E51+E71+E41</f>
        <v>#REF!</v>
      </c>
      <c r="F145" s="1072">
        <f t="shared" si="41"/>
        <v>1477963.53</v>
      </c>
      <c r="G145" s="1122">
        <f t="shared" si="41"/>
        <v>1451136.2200000002</v>
      </c>
      <c r="H145" s="1122">
        <f>H31+H51+H41+H71+H837</f>
        <v>1362071.66</v>
      </c>
      <c r="I145" s="1028">
        <f>I31+I51+I41+I71+I61+I837</f>
        <v>1636838.8199999998</v>
      </c>
      <c r="J145" s="1028">
        <f t="shared" si="42"/>
        <v>2217503.92</v>
      </c>
      <c r="K145" s="1028">
        <f t="shared" si="42"/>
        <v>1568104.33</v>
      </c>
      <c r="L145" s="65">
        <f>L31+L51+L41+L71+L61</f>
        <v>1275028.5299999998</v>
      </c>
      <c r="M145" s="1062">
        <f t="shared" si="42"/>
        <v>1229220.8499999999</v>
      </c>
      <c r="N145" s="1082">
        <f>N31+N51+N41+N71+N61</f>
        <v>1131508.7799999998</v>
      </c>
      <c r="O145" s="1028">
        <f>O31+O51+O41+O71+O61</f>
        <v>1129870.6599999999</v>
      </c>
      <c r="P145" s="575">
        <f>P31+P51+P41+P71+P61</f>
        <v>1267730.0899999999</v>
      </c>
      <c r="Q145" s="575">
        <f>Q31+Q51+Q41+Q71+Q61</f>
        <v>1255178.9500000002</v>
      </c>
      <c r="R145" s="575">
        <f>R31+R51+R41+R71+R61</f>
        <v>1382499.1600000001</v>
      </c>
      <c r="S145" s="575">
        <f t="shared" si="42"/>
        <v>1826538.93</v>
      </c>
      <c r="T145" s="575">
        <f t="shared" si="42"/>
        <v>2107373.09</v>
      </c>
      <c r="U145" s="575">
        <f t="shared" si="42"/>
        <v>2121241.87</v>
      </c>
      <c r="V145" s="575">
        <f t="shared" si="42"/>
        <v>2157617.11</v>
      </c>
      <c r="W145" s="1044">
        <f t="shared" si="42"/>
        <v>2243167.13</v>
      </c>
    </row>
    <row r="146" spans="1:23">
      <c r="A146" s="1121" t="s">
        <v>4911</v>
      </c>
      <c r="B146" s="1119"/>
      <c r="C146" s="1122" t="e">
        <f>C32+#REF!+C52+#REF!+C42+C72</f>
        <v>#REF!</v>
      </c>
      <c r="D146" s="1072" t="e">
        <f>D32+#REF!+D52+#REF!+D42+D72</f>
        <v>#REF!</v>
      </c>
      <c r="E146" s="1122" t="e">
        <f>E32+#REF!+E52+E42+E72</f>
        <v>#REF!</v>
      </c>
      <c r="F146" s="1072">
        <f t="shared" si="41"/>
        <v>13055534.560000002</v>
      </c>
      <c r="G146" s="1122">
        <f t="shared" si="41"/>
        <v>12621898.34</v>
      </c>
      <c r="H146" s="1122">
        <f>H32+H52+H42+H72+H62</f>
        <v>14820189.050000001</v>
      </c>
      <c r="I146" s="1028">
        <f t="shared" ref="I146:N148" si="43">I32+I52+I42+I72+I62</f>
        <v>13120276.25</v>
      </c>
      <c r="J146" s="1028">
        <f>J32+J52+J42+J72+J62</f>
        <v>16321105.58</v>
      </c>
      <c r="K146" s="1028">
        <f t="shared" si="43"/>
        <v>15368156.539999999</v>
      </c>
      <c r="L146" s="65">
        <f t="shared" si="43"/>
        <v>15136838.020000001</v>
      </c>
      <c r="M146" s="1062">
        <f t="shared" si="43"/>
        <v>13907617.17</v>
      </c>
      <c r="N146" s="1082">
        <f t="shared" si="43"/>
        <v>13776108.390000001</v>
      </c>
      <c r="O146" s="1028">
        <f>O32+O52+O42+O72+O62</f>
        <v>15646237.73</v>
      </c>
      <c r="P146" s="575">
        <f t="shared" si="42"/>
        <v>14378507.640000001</v>
      </c>
      <c r="Q146" s="575">
        <f t="shared" si="42"/>
        <v>13123328.690000001</v>
      </c>
      <c r="R146" s="575">
        <f t="shared" si="42"/>
        <v>22740829.529999997</v>
      </c>
      <c r="S146" s="575">
        <f t="shared" si="42"/>
        <v>27164290.600000001</v>
      </c>
      <c r="T146" s="575">
        <f t="shared" si="42"/>
        <v>26806917.510000002</v>
      </c>
      <c r="U146" s="575">
        <f t="shared" si="42"/>
        <v>25685675.640000001</v>
      </c>
      <c r="V146" s="575">
        <f t="shared" si="42"/>
        <v>24528058.529999997</v>
      </c>
      <c r="W146" s="1044">
        <f t="shared" si="42"/>
        <v>22784891.399999999</v>
      </c>
    </row>
    <row r="147" spans="1:23">
      <c r="A147" s="1121" t="s">
        <v>4924</v>
      </c>
      <c r="B147" s="1119"/>
      <c r="C147" s="1122" t="e">
        <f>C33+#REF!+C53+C43+C73+#REF!</f>
        <v>#REF!</v>
      </c>
      <c r="D147" s="1072" t="e">
        <f>D33+#REF!+D53+D43+D73+#REF!</f>
        <v>#REF!</v>
      </c>
      <c r="E147" s="1122" t="e">
        <f>E33+#REF!+E53+E43+E73</f>
        <v>#REF!</v>
      </c>
      <c r="F147" s="1072">
        <f t="shared" si="41"/>
        <v>675372.01</v>
      </c>
      <c r="G147" s="1122">
        <f t="shared" si="41"/>
        <v>595075.51</v>
      </c>
      <c r="H147" s="1122">
        <f>H33+H53+H43+H73+H63</f>
        <v>582012.28</v>
      </c>
      <c r="I147" s="1028">
        <f t="shared" si="43"/>
        <v>626377.84</v>
      </c>
      <c r="J147" s="1028">
        <f t="shared" si="43"/>
        <v>660376.23</v>
      </c>
      <c r="K147" s="1028">
        <f>K33+K53+K43+K73+K63</f>
        <v>597213.07000000007</v>
      </c>
      <c r="L147" s="65">
        <f>L33+L53+L43+L73+L63</f>
        <v>576477.91</v>
      </c>
      <c r="M147" s="1062">
        <f>M33+M53+M43+M73+M63</f>
        <v>512029.82999999996</v>
      </c>
      <c r="N147" s="1082">
        <f>N33+N53+N43+N73+N63</f>
        <v>469666</v>
      </c>
      <c r="O147" s="1028">
        <f>O33+O53+O43+O73+O63</f>
        <v>437819.92</v>
      </c>
      <c r="P147" s="575">
        <f t="shared" si="42"/>
        <v>360113.83</v>
      </c>
      <c r="Q147" s="575">
        <f t="shared" si="42"/>
        <v>284997.10000000003</v>
      </c>
      <c r="R147" s="575">
        <f>R33+R53+R43+R73+R63</f>
        <v>271380.96000000002</v>
      </c>
      <c r="S147" s="575">
        <f t="shared" si="42"/>
        <v>340241.97</v>
      </c>
      <c r="T147" s="575">
        <f>T33+T53+T43+T73+T63</f>
        <v>426996.50250000006</v>
      </c>
      <c r="U147" s="575">
        <f>U33+U53+U43+U73+U63</f>
        <v>413932.04000000004</v>
      </c>
      <c r="V147" s="575">
        <f t="shared" si="42"/>
        <v>402016.38</v>
      </c>
      <c r="W147" s="1044">
        <f t="shared" si="42"/>
        <v>382714.71500000003</v>
      </c>
    </row>
    <row r="148" spans="1:23">
      <c r="A148" s="1121" t="s">
        <v>4913</v>
      </c>
      <c r="B148" s="1119"/>
      <c r="C148" s="1122" t="e">
        <f>C33+#REF!+C53+C43+C73</f>
        <v>#REF!</v>
      </c>
      <c r="D148" s="1072" t="e">
        <f>D33+#REF!+D53+D43+D73</f>
        <v>#REF!</v>
      </c>
      <c r="E148" s="1122" t="e">
        <f>E33+#REF!+E53+E43+E73</f>
        <v>#REF!</v>
      </c>
      <c r="F148" s="1072">
        <f t="shared" si="41"/>
        <v>2153335.54</v>
      </c>
      <c r="G148" s="1122">
        <f t="shared" si="41"/>
        <v>2046211.73</v>
      </c>
      <c r="H148" s="1122">
        <f>H34+H54+H44+H74+H64</f>
        <v>1944083.94</v>
      </c>
      <c r="I148" s="1028">
        <f t="shared" si="43"/>
        <v>2263217.66</v>
      </c>
      <c r="J148" s="1028">
        <f t="shared" si="43"/>
        <v>2877880.15</v>
      </c>
      <c r="K148" s="1028">
        <f t="shared" si="43"/>
        <v>2165317.4</v>
      </c>
      <c r="L148" s="65">
        <f>L34+L54+L44+L74+L64</f>
        <v>1851506.4400000002</v>
      </c>
      <c r="M148" s="1062">
        <f t="shared" si="43"/>
        <v>1741250.6800000002</v>
      </c>
      <c r="N148" s="1082">
        <f t="shared" si="43"/>
        <v>1601174.78</v>
      </c>
      <c r="O148" s="1028">
        <f>O34+O54+O44+O74+O64</f>
        <v>1567690.58</v>
      </c>
      <c r="P148" s="575">
        <f t="shared" si="42"/>
        <v>1627843.92</v>
      </c>
      <c r="Q148" s="575">
        <f t="shared" si="42"/>
        <v>1540176.0499999998</v>
      </c>
      <c r="R148" s="575">
        <f t="shared" si="42"/>
        <v>1653880.12</v>
      </c>
      <c r="S148" s="575">
        <f t="shared" si="42"/>
        <v>2166780.9</v>
      </c>
      <c r="T148" s="575">
        <f t="shared" si="42"/>
        <v>2534369.5925000003</v>
      </c>
      <c r="U148" s="575">
        <f t="shared" si="42"/>
        <v>2535173.91</v>
      </c>
      <c r="V148" s="575">
        <f t="shared" si="42"/>
        <v>2559633.4899999998</v>
      </c>
      <c r="W148" s="1044">
        <f t="shared" si="42"/>
        <v>2625881.8449999997</v>
      </c>
    </row>
    <row r="149" spans="1:23" ht="13.5" thickBot="1">
      <c r="A149" s="1123"/>
      <c r="B149" s="1124"/>
      <c r="C149" s="1081"/>
      <c r="D149" s="1125"/>
      <c r="E149" s="1081"/>
      <c r="F149" s="1081"/>
      <c r="G149" s="1081"/>
      <c r="H149" s="1081"/>
      <c r="I149" s="1035"/>
      <c r="J149" s="1035"/>
      <c r="K149" s="1064"/>
      <c r="L149" s="1036"/>
      <c r="M149" s="1066"/>
      <c r="N149" s="1078"/>
      <c r="O149" s="1079"/>
      <c r="P149" s="1039"/>
      <c r="Q149" s="1030"/>
      <c r="R149" s="1030"/>
      <c r="S149" s="1030"/>
      <c r="T149" s="1030"/>
      <c r="U149" s="1030"/>
      <c r="V149" s="1030"/>
      <c r="W149" s="1040"/>
    </row>
    <row r="152" spans="1:23" hidden="1">
      <c r="A152" s="1073" t="s">
        <v>4925</v>
      </c>
    </row>
    <row r="153" spans="1:23" hidden="1"/>
    <row r="154" spans="1:23" s="1041" customFormat="1" ht="21.75" hidden="1" customHeight="1">
      <c r="A154" s="1126" t="s">
        <v>8</v>
      </c>
      <c r="B154" s="1127"/>
      <c r="C154" s="1128">
        <v>2001</v>
      </c>
      <c r="D154" s="1129">
        <v>2002</v>
      </c>
      <c r="E154" s="1130">
        <v>2003</v>
      </c>
      <c r="F154" s="1128">
        <v>2004</v>
      </c>
      <c r="G154" s="1128">
        <v>2005</v>
      </c>
      <c r="H154" s="1130">
        <v>2006</v>
      </c>
      <c r="I154" s="1128">
        <v>2008</v>
      </c>
      <c r="J154" s="1128">
        <v>2009</v>
      </c>
      <c r="K154" s="1131">
        <v>2010</v>
      </c>
      <c r="L154" s="1132">
        <v>2011</v>
      </c>
      <c r="M154" s="1133">
        <v>2012</v>
      </c>
      <c r="N154" s="1129">
        <v>2013</v>
      </c>
      <c r="O154" s="1129">
        <v>2014</v>
      </c>
      <c r="P154" s="1131">
        <v>2015</v>
      </c>
    </row>
    <row r="155" spans="1:23" hidden="1">
      <c r="A155" s="1134"/>
      <c r="B155" s="1135"/>
      <c r="C155" s="1074"/>
      <c r="D155" s="1120"/>
      <c r="E155" s="1122"/>
      <c r="F155" s="1074"/>
      <c r="G155" s="1074"/>
      <c r="H155" s="1122"/>
      <c r="I155" s="1053"/>
      <c r="J155" s="1068"/>
      <c r="K155" s="1080"/>
      <c r="L155" s="1022"/>
      <c r="M155" s="1022"/>
      <c r="N155" s="392"/>
      <c r="O155" s="392"/>
      <c r="P155" s="571"/>
    </row>
    <row r="156" spans="1:23" hidden="1">
      <c r="A156" s="1136" t="s">
        <v>4908</v>
      </c>
      <c r="B156" s="1135"/>
      <c r="C156" s="1122">
        <f t="shared" ref="C156:P156" si="44">+C81</f>
        <v>93184.97</v>
      </c>
      <c r="D156" s="1072">
        <f t="shared" si="44"/>
        <v>55111.61</v>
      </c>
      <c r="E156" s="1122">
        <f t="shared" si="44"/>
        <v>30610.48</v>
      </c>
      <c r="F156" s="1122">
        <f t="shared" si="44"/>
        <v>22914.95</v>
      </c>
      <c r="G156" s="1122">
        <f t="shared" si="44"/>
        <v>15071.460000000001</v>
      </c>
      <c r="H156" s="1122">
        <f t="shared" si="44"/>
        <v>8080.1400000000012</v>
      </c>
      <c r="I156" s="1028">
        <f t="shared" si="44"/>
        <v>0</v>
      </c>
      <c r="J156" s="1028">
        <f t="shared" si="44"/>
        <v>0</v>
      </c>
      <c r="K156" s="1044">
        <f t="shared" si="44"/>
        <v>0</v>
      </c>
      <c r="L156" s="1029">
        <f t="shared" si="44"/>
        <v>0</v>
      </c>
      <c r="M156" s="1029">
        <f t="shared" si="44"/>
        <v>0</v>
      </c>
      <c r="N156" s="575">
        <f t="shared" si="44"/>
        <v>0</v>
      </c>
      <c r="O156" s="575">
        <f t="shared" si="44"/>
        <v>0</v>
      </c>
      <c r="P156" s="1044">
        <f t="shared" si="44"/>
        <v>0</v>
      </c>
    </row>
    <row r="157" spans="1:23" hidden="1">
      <c r="A157" s="1136" t="s">
        <v>4909</v>
      </c>
      <c r="B157" s="1135"/>
      <c r="C157" s="1122"/>
      <c r="D157" s="1072"/>
      <c r="E157" s="1122"/>
      <c r="F157" s="1122"/>
      <c r="G157" s="1122"/>
      <c r="H157" s="1122"/>
      <c r="I157" s="1028"/>
      <c r="J157" s="1028">
        <f t="shared" ref="J157:P157" si="45">J82</f>
        <v>0</v>
      </c>
      <c r="K157" s="1044">
        <f t="shared" si="45"/>
        <v>0</v>
      </c>
      <c r="L157" s="1029">
        <f t="shared" si="45"/>
        <v>0</v>
      </c>
      <c r="M157" s="1029">
        <f t="shared" si="45"/>
        <v>0</v>
      </c>
      <c r="N157" s="575">
        <f t="shared" si="45"/>
        <v>0</v>
      </c>
      <c r="O157" s="575">
        <f t="shared" si="45"/>
        <v>0</v>
      </c>
      <c r="P157" s="1044">
        <f t="shared" si="45"/>
        <v>0</v>
      </c>
    </row>
    <row r="158" spans="1:23" hidden="1">
      <c r="A158" s="1136" t="s">
        <v>4910</v>
      </c>
      <c r="B158" s="1135"/>
      <c r="C158" s="1122">
        <f t="shared" ref="C158:P161" si="46">+C83</f>
        <v>38073.360000000001</v>
      </c>
      <c r="D158" s="1072">
        <f t="shared" si="46"/>
        <v>24501.13</v>
      </c>
      <c r="E158" s="1122">
        <f t="shared" si="46"/>
        <v>7695.53</v>
      </c>
      <c r="F158" s="1122">
        <f t="shared" si="46"/>
        <v>7843.49</v>
      </c>
      <c r="G158" s="1122">
        <f t="shared" si="46"/>
        <v>6991.32</v>
      </c>
      <c r="H158" s="1122">
        <f t="shared" si="46"/>
        <v>6278.84</v>
      </c>
      <c r="I158" s="1028">
        <f t="shared" si="46"/>
        <v>0</v>
      </c>
      <c r="J158" s="1028">
        <f t="shared" si="46"/>
        <v>0</v>
      </c>
      <c r="K158" s="1044">
        <f>K83</f>
        <v>0</v>
      </c>
      <c r="L158" s="1029">
        <f t="shared" si="46"/>
        <v>0</v>
      </c>
      <c r="M158" s="1029">
        <f t="shared" si="46"/>
        <v>0</v>
      </c>
      <c r="N158" s="575">
        <f t="shared" si="46"/>
        <v>0</v>
      </c>
      <c r="O158" s="575">
        <f t="shared" si="46"/>
        <v>0</v>
      </c>
      <c r="P158" s="1044">
        <f t="shared" si="46"/>
        <v>0</v>
      </c>
    </row>
    <row r="159" spans="1:23" hidden="1">
      <c r="A159" s="1136" t="s">
        <v>4911</v>
      </c>
      <c r="B159" s="1135"/>
      <c r="C159" s="1122">
        <f t="shared" si="46"/>
        <v>55111.61</v>
      </c>
      <c r="D159" s="1072">
        <f t="shared" si="46"/>
        <v>30610.48</v>
      </c>
      <c r="E159" s="1122">
        <f t="shared" si="46"/>
        <v>22914.95</v>
      </c>
      <c r="F159" s="1122">
        <f t="shared" si="46"/>
        <v>15071.460000000001</v>
      </c>
      <c r="G159" s="1122">
        <f t="shared" si="46"/>
        <v>8080.1400000000012</v>
      </c>
      <c r="H159" s="1122">
        <f t="shared" si="46"/>
        <v>1801.3000000000011</v>
      </c>
      <c r="I159" s="1028">
        <f t="shared" si="46"/>
        <v>0</v>
      </c>
      <c r="J159" s="1028">
        <f t="shared" si="46"/>
        <v>0</v>
      </c>
      <c r="K159" s="1044">
        <f t="shared" si="46"/>
        <v>0</v>
      </c>
      <c r="L159" s="1029">
        <f t="shared" si="46"/>
        <v>0</v>
      </c>
      <c r="M159" s="1029">
        <f t="shared" si="46"/>
        <v>0</v>
      </c>
      <c r="N159" s="575">
        <f t="shared" si="46"/>
        <v>0</v>
      </c>
      <c r="O159" s="575">
        <f t="shared" si="46"/>
        <v>0</v>
      </c>
      <c r="P159" s="1044">
        <f t="shared" si="46"/>
        <v>0</v>
      </c>
    </row>
    <row r="160" spans="1:23" hidden="1">
      <c r="A160" s="1136" t="s">
        <v>4912</v>
      </c>
      <c r="B160" s="1135"/>
      <c r="C160" s="1122">
        <f t="shared" si="46"/>
        <v>4681.03</v>
      </c>
      <c r="D160" s="1072">
        <f t="shared" si="46"/>
        <v>2690.05</v>
      </c>
      <c r="E160" s="1122">
        <f t="shared" si="46"/>
        <v>1541.74</v>
      </c>
      <c r="F160" s="1122">
        <f t="shared" si="46"/>
        <v>1123.05</v>
      </c>
      <c r="G160" s="1122">
        <f t="shared" si="46"/>
        <v>564.51</v>
      </c>
      <c r="H160" s="1122">
        <f t="shared" si="46"/>
        <v>178.55</v>
      </c>
      <c r="I160" s="1028">
        <f t="shared" si="46"/>
        <v>0</v>
      </c>
      <c r="J160" s="1028">
        <f t="shared" si="46"/>
        <v>0</v>
      </c>
      <c r="K160" s="1044">
        <f>K85</f>
        <v>0</v>
      </c>
      <c r="L160" s="1029">
        <f t="shared" si="46"/>
        <v>0</v>
      </c>
      <c r="M160" s="1029">
        <f t="shared" si="46"/>
        <v>0</v>
      </c>
      <c r="N160" s="575">
        <f t="shared" si="46"/>
        <v>0</v>
      </c>
      <c r="O160" s="575">
        <f t="shared" si="46"/>
        <v>0</v>
      </c>
      <c r="P160" s="1044">
        <f t="shared" si="46"/>
        <v>0</v>
      </c>
    </row>
    <row r="161" spans="1:23" hidden="1">
      <c r="A161" s="1136" t="s">
        <v>4913</v>
      </c>
      <c r="B161" s="1135"/>
      <c r="C161" s="1122">
        <f t="shared" si="46"/>
        <v>42754.39</v>
      </c>
      <c r="D161" s="1072">
        <f t="shared" si="46"/>
        <v>27191.18</v>
      </c>
      <c r="E161" s="1122">
        <f t="shared" si="46"/>
        <v>9237.27</v>
      </c>
      <c r="F161" s="1122">
        <f t="shared" si="46"/>
        <v>8966.5399999999991</v>
      </c>
      <c r="G161" s="1122">
        <f t="shared" si="46"/>
        <v>7555.83</v>
      </c>
      <c r="H161" s="1122">
        <f t="shared" si="46"/>
        <v>6457.39</v>
      </c>
      <c r="I161" s="1028">
        <f t="shared" si="46"/>
        <v>0</v>
      </c>
      <c r="J161" s="1028">
        <f t="shared" si="46"/>
        <v>0</v>
      </c>
      <c r="K161" s="1044">
        <f t="shared" si="46"/>
        <v>0</v>
      </c>
      <c r="L161" s="1029">
        <f t="shared" si="46"/>
        <v>0</v>
      </c>
      <c r="M161" s="1029">
        <f t="shared" si="46"/>
        <v>0</v>
      </c>
      <c r="N161" s="575">
        <f t="shared" si="46"/>
        <v>0</v>
      </c>
      <c r="O161" s="575">
        <f t="shared" si="46"/>
        <v>0</v>
      </c>
      <c r="P161" s="1044">
        <f t="shared" si="46"/>
        <v>0</v>
      </c>
    </row>
    <row r="162" spans="1:23" ht="13.5" hidden="1" thickBot="1">
      <c r="A162" s="1137"/>
      <c r="B162" s="1135"/>
      <c r="C162" s="1081"/>
      <c r="D162" s="1125"/>
      <c r="E162" s="1081"/>
      <c r="F162" s="1081"/>
      <c r="G162" s="1081"/>
      <c r="H162" s="1081"/>
      <c r="I162" s="1035"/>
      <c r="J162" s="1035"/>
      <c r="K162" s="1138"/>
      <c r="L162" s="1037"/>
      <c r="M162" s="1037"/>
      <c r="N162" s="1039"/>
      <c r="O162" s="1039"/>
      <c r="P162" s="1067"/>
    </row>
    <row r="163" spans="1:23" hidden="1"/>
    <row r="165" spans="1:23" ht="15.75">
      <c r="A165" s="1745" t="s">
        <v>4926</v>
      </c>
    </row>
    <row r="166" spans="1:23" ht="13.5" thickBot="1">
      <c r="E166" s="575"/>
    </row>
    <row r="167" spans="1:23" s="1041" customFormat="1" ht="13.5" thickBot="1">
      <c r="A167" s="1139" t="s">
        <v>8</v>
      </c>
      <c r="B167" s="1112"/>
      <c r="C167" s="1113">
        <v>2001</v>
      </c>
      <c r="D167" s="1114">
        <v>2002</v>
      </c>
      <c r="E167" s="1115">
        <v>2003</v>
      </c>
      <c r="F167" s="1113">
        <v>2004</v>
      </c>
      <c r="G167" s="1113">
        <v>2005</v>
      </c>
      <c r="H167" s="1115">
        <v>2006</v>
      </c>
      <c r="I167" s="1115">
        <v>2008</v>
      </c>
      <c r="J167" s="1113">
        <v>2010</v>
      </c>
      <c r="K167" s="1113">
        <v>2011</v>
      </c>
      <c r="L167" s="1114">
        <v>2012</v>
      </c>
      <c r="M167" s="1116">
        <v>2013</v>
      </c>
      <c r="N167" s="1140">
        <v>2014</v>
      </c>
      <c r="O167" s="1114">
        <v>2015</v>
      </c>
      <c r="P167" s="1114">
        <v>2016</v>
      </c>
      <c r="Q167" s="1114">
        <v>2017</v>
      </c>
      <c r="R167" s="1114">
        <v>2018</v>
      </c>
      <c r="S167" s="1114">
        <v>2019</v>
      </c>
      <c r="T167" s="1114">
        <v>2020</v>
      </c>
      <c r="U167" s="1114">
        <v>2021</v>
      </c>
      <c r="V167" s="1117">
        <v>2022</v>
      </c>
      <c r="W167" s="1117">
        <v>2023</v>
      </c>
    </row>
    <row r="168" spans="1:23">
      <c r="A168" s="1118"/>
      <c r="B168" s="1119"/>
      <c r="C168" s="1021"/>
      <c r="D168" s="1023"/>
      <c r="E168" s="1028"/>
      <c r="F168" s="1021"/>
      <c r="G168" s="1074"/>
      <c r="H168" s="1028"/>
      <c r="I168" s="1019"/>
      <c r="J168" s="1068"/>
      <c r="K168" s="1021"/>
      <c r="L168" s="487"/>
      <c r="M168" s="1061"/>
      <c r="N168" s="1082"/>
      <c r="O168" s="1021"/>
      <c r="P168" s="1023"/>
      <c r="Q168" s="394"/>
      <c r="R168" s="394"/>
      <c r="S168" s="394"/>
      <c r="T168" s="394"/>
      <c r="U168" s="394"/>
      <c r="V168" s="398"/>
      <c r="W168" s="1077"/>
    </row>
    <row r="169" spans="1:23">
      <c r="A169" s="1121" t="s">
        <v>4908</v>
      </c>
      <c r="B169" s="1119"/>
      <c r="C169" s="1122">
        <f>C92+C112++C102+C122</f>
        <v>1011295.33</v>
      </c>
      <c r="D169" s="1072">
        <f>D92+D112++D102+D122</f>
        <v>916282.55</v>
      </c>
      <c r="E169" s="1122">
        <f>E92+E112++E102+E122</f>
        <v>972894.95</v>
      </c>
      <c r="F169" s="1072">
        <f>F92+F112+F102+F122</f>
        <v>1011133.3700000001</v>
      </c>
      <c r="G169" s="1122">
        <f t="shared" ref="G169:T169" si="47">G92+G112+G102+G122</f>
        <v>862797.54</v>
      </c>
      <c r="H169" s="1122">
        <f t="shared" si="47"/>
        <v>857992.84000000008</v>
      </c>
      <c r="I169" s="1028">
        <f t="shared" si="47"/>
        <v>602121.77</v>
      </c>
      <c r="J169" s="1028">
        <f t="shared" si="47"/>
        <v>640579.0199999999</v>
      </c>
      <c r="K169" s="1028">
        <f t="shared" si="47"/>
        <v>526015.36999999988</v>
      </c>
      <c r="L169" s="65">
        <f>L92+L112+L102+L122</f>
        <v>469199.54000000004</v>
      </c>
      <c r="M169" s="1062">
        <f t="shared" si="47"/>
        <v>4329912.2299999995</v>
      </c>
      <c r="N169" s="1082">
        <f t="shared" si="47"/>
        <v>4277851.4800000004</v>
      </c>
      <c r="O169" s="1028">
        <f t="shared" si="47"/>
        <v>4035927.07</v>
      </c>
      <c r="P169" s="575">
        <f t="shared" si="47"/>
        <v>3813772</v>
      </c>
      <c r="Q169" s="575">
        <f t="shared" si="47"/>
        <v>3604147</v>
      </c>
      <c r="R169" s="575">
        <f t="shared" si="47"/>
        <v>3394730</v>
      </c>
      <c r="S169" s="575">
        <f t="shared" si="47"/>
        <v>3178196</v>
      </c>
      <c r="T169" s="575">
        <f t="shared" si="47"/>
        <v>2967923</v>
      </c>
      <c r="U169" s="575">
        <f>U92+U112+U102+U122</f>
        <v>2764256</v>
      </c>
      <c r="V169" s="575">
        <f>V92+V112+V102+V122</f>
        <v>2553532.58</v>
      </c>
      <c r="W169" s="1044">
        <f>W92+W112+W102+W122</f>
        <v>2335508.64</v>
      </c>
    </row>
    <row r="170" spans="1:23">
      <c r="A170" s="1121" t="s">
        <v>4909</v>
      </c>
      <c r="B170" s="1119"/>
      <c r="C170" s="1122">
        <f t="shared" ref="C170:D174" si="48">C93+C113++C103+C123</f>
        <v>0</v>
      </c>
      <c r="D170" s="1072">
        <f t="shared" si="48"/>
        <v>118640</v>
      </c>
      <c r="E170" s="1122">
        <v>163045</v>
      </c>
      <c r="F170" s="1072">
        <f t="shared" ref="F170:M170" si="49">F93+F113++F103+F123</f>
        <v>0</v>
      </c>
      <c r="G170" s="1122">
        <f t="shared" si="49"/>
        <v>0</v>
      </c>
      <c r="H170" s="1122">
        <f t="shared" si="49"/>
        <v>0</v>
      </c>
      <c r="I170" s="1028">
        <f t="shared" si="49"/>
        <v>0</v>
      </c>
      <c r="J170" s="1028">
        <f t="shared" si="49"/>
        <v>0</v>
      </c>
      <c r="K170" s="1028">
        <f t="shared" si="49"/>
        <v>67000</v>
      </c>
      <c r="L170" s="65">
        <f>L93+L113++L103+L123</f>
        <v>4370000</v>
      </c>
      <c r="M170" s="1062">
        <f t="shared" si="49"/>
        <v>0</v>
      </c>
      <c r="N170" s="1082">
        <v>0</v>
      </c>
      <c r="O170" s="1028">
        <v>0</v>
      </c>
      <c r="P170" s="575">
        <v>0</v>
      </c>
      <c r="Q170" s="575">
        <v>0</v>
      </c>
      <c r="R170" s="575">
        <v>0</v>
      </c>
      <c r="S170" s="575">
        <f>S93+S113++S103+S123</f>
        <v>0</v>
      </c>
      <c r="T170" s="575">
        <f>T93+T113++T103+T123</f>
        <v>0</v>
      </c>
      <c r="U170" s="575">
        <f>U93+U113++U103+U123</f>
        <v>0</v>
      </c>
      <c r="V170" s="575">
        <f>V93+V113++V103+V123</f>
        <v>0</v>
      </c>
      <c r="W170" s="1044">
        <f>W93+W113++W103+W123</f>
        <v>0</v>
      </c>
    </row>
    <row r="171" spans="1:23">
      <c r="A171" s="1121" t="s">
        <v>4910</v>
      </c>
      <c r="B171" s="1119"/>
      <c r="C171" s="1122">
        <f t="shared" si="48"/>
        <v>95012.489999999991</v>
      </c>
      <c r="D171" s="1072">
        <f t="shared" si="48"/>
        <v>100099.28</v>
      </c>
      <c r="E171" s="1122">
        <f>E94+E114++E104+E124</f>
        <v>124806.57999999999</v>
      </c>
      <c r="F171" s="1072">
        <f>F94+F114+F104+F124</f>
        <v>148335.83000000002</v>
      </c>
      <c r="G171" s="1122">
        <f t="shared" ref="G171:V174" si="50">G94+G114+G104+G124</f>
        <v>143898.25</v>
      </c>
      <c r="H171" s="1122">
        <f t="shared" si="50"/>
        <v>126319.84</v>
      </c>
      <c r="I171" s="1028">
        <f t="shared" si="50"/>
        <v>113390.83</v>
      </c>
      <c r="J171" s="1028">
        <f t="shared" si="50"/>
        <v>114563.65</v>
      </c>
      <c r="K171" s="1028">
        <f>K94+K114+K104+K124</f>
        <v>117492.46</v>
      </c>
      <c r="L171" s="65">
        <f>L94+L114+L104+L124</f>
        <v>288811.2</v>
      </c>
      <c r="M171" s="1062">
        <f>M94+M114+M104+M124</f>
        <v>52060.75</v>
      </c>
      <c r="N171" s="1082">
        <f>N94+N114+N104+N124</f>
        <v>241924.41</v>
      </c>
      <c r="O171" s="1028">
        <f t="shared" si="50"/>
        <v>222155.07</v>
      </c>
      <c r="P171" s="575">
        <f t="shared" si="50"/>
        <v>209625</v>
      </c>
      <c r="Q171" s="575">
        <f t="shared" si="50"/>
        <v>209417</v>
      </c>
      <c r="R171" s="575">
        <f t="shared" si="50"/>
        <v>216534</v>
      </c>
      <c r="S171" s="575">
        <f t="shared" si="50"/>
        <v>210273</v>
      </c>
      <c r="T171" s="575">
        <f t="shared" si="50"/>
        <v>203667</v>
      </c>
      <c r="U171" s="575">
        <f>U94+U114+U104+U124</f>
        <v>210723.42</v>
      </c>
      <c r="V171" s="575">
        <f>V94+V114+V104+V124</f>
        <v>218023.94</v>
      </c>
      <c r="W171" s="1044">
        <f>W94+W114+W104+W124</f>
        <v>225577</v>
      </c>
    </row>
    <row r="172" spans="1:23">
      <c r="A172" s="1121" t="s">
        <v>4911</v>
      </c>
      <c r="B172" s="1119"/>
      <c r="C172" s="1122">
        <f t="shared" si="48"/>
        <v>916282.84</v>
      </c>
      <c r="D172" s="1072">
        <f t="shared" si="48"/>
        <v>934823.27</v>
      </c>
      <c r="E172" s="1122">
        <v>983192</v>
      </c>
      <c r="F172" s="1072">
        <f>F95+F115+F105+F125</f>
        <v>862797.54</v>
      </c>
      <c r="G172" s="1122">
        <f t="shared" si="50"/>
        <v>718899.29</v>
      </c>
      <c r="H172" s="1122">
        <f t="shared" si="50"/>
        <v>731673</v>
      </c>
      <c r="I172" s="1028">
        <f>I95+I115+I105+I125</f>
        <v>488730.94</v>
      </c>
      <c r="J172" s="1028">
        <f t="shared" si="50"/>
        <v>526015.36999999988</v>
      </c>
      <c r="K172" s="1028">
        <f t="shared" si="50"/>
        <v>475522.90999999992</v>
      </c>
      <c r="L172" s="65">
        <f>L95+L115+L105+L125</f>
        <v>4550388.34</v>
      </c>
      <c r="M172" s="1062">
        <f t="shared" si="50"/>
        <v>4277851.4800000004</v>
      </c>
      <c r="N172" s="1082">
        <f t="shared" si="50"/>
        <v>4035927.07</v>
      </c>
      <c r="O172" s="1028">
        <f t="shared" si="50"/>
        <v>3813772</v>
      </c>
      <c r="P172" s="575">
        <f t="shared" si="50"/>
        <v>3604147</v>
      </c>
      <c r="Q172" s="575">
        <f t="shared" si="50"/>
        <v>3394730</v>
      </c>
      <c r="R172" s="575">
        <f t="shared" si="50"/>
        <v>3178196</v>
      </c>
      <c r="S172" s="575">
        <f t="shared" si="50"/>
        <v>2967923</v>
      </c>
      <c r="T172" s="575">
        <f t="shared" si="50"/>
        <v>2764256</v>
      </c>
      <c r="U172" s="575">
        <f t="shared" si="50"/>
        <v>2553532.58</v>
      </c>
      <c r="V172" s="575">
        <f t="shared" si="50"/>
        <v>2335508.64</v>
      </c>
      <c r="W172" s="1044">
        <f t="shared" ref="V172:W174" si="51">W95+W115+W105+W125</f>
        <v>2109931.64</v>
      </c>
    </row>
    <row r="173" spans="1:23">
      <c r="A173" s="1121" t="s">
        <v>4912</v>
      </c>
      <c r="B173" s="1119"/>
      <c r="C173" s="1122">
        <f t="shared" si="48"/>
        <v>45137.62</v>
      </c>
      <c r="D173" s="1072">
        <f t="shared" si="48"/>
        <v>41326.949999999997</v>
      </c>
      <c r="E173" s="1122">
        <f>E96+E116++E106+E126</f>
        <v>41813.64</v>
      </c>
      <c r="F173" s="1072">
        <f>F96+F116+F106+F126</f>
        <v>39724.18</v>
      </c>
      <c r="G173" s="1122">
        <f t="shared" si="50"/>
        <v>35313.11</v>
      </c>
      <c r="H173" s="1122">
        <f t="shared" si="50"/>
        <v>28859.01</v>
      </c>
      <c r="I173" s="1028">
        <f t="shared" si="50"/>
        <v>25402.22</v>
      </c>
      <c r="J173" s="1028">
        <f t="shared" si="50"/>
        <v>21953.33</v>
      </c>
      <c r="K173" s="1028">
        <f t="shared" si="50"/>
        <v>15305.849999999999</v>
      </c>
      <c r="L173" s="65">
        <f>L96+L116+L106+L126</f>
        <v>107336.59999999999</v>
      </c>
      <c r="M173" s="1062">
        <f t="shared" si="50"/>
        <v>1471.8600000000001</v>
      </c>
      <c r="N173" s="1082">
        <f t="shared" si="50"/>
        <v>145073.91</v>
      </c>
      <c r="O173" s="1028">
        <f t="shared" si="50"/>
        <v>137037.84</v>
      </c>
      <c r="P173" s="575">
        <f t="shared" si="50"/>
        <v>129550</v>
      </c>
      <c r="Q173" s="575">
        <f t="shared" si="50"/>
        <v>122317</v>
      </c>
      <c r="R173" s="575">
        <f t="shared" si="50"/>
        <v>114932.9</v>
      </c>
      <c r="S173" s="575">
        <f t="shared" si="50"/>
        <v>107298.38</v>
      </c>
      <c r="T173" s="575">
        <f t="shared" si="50"/>
        <v>100214.04</v>
      </c>
      <c r="U173" s="575">
        <f t="shared" si="50"/>
        <v>93158</v>
      </c>
      <c r="V173" s="575">
        <f t="shared" si="51"/>
        <v>85857.48</v>
      </c>
      <c r="W173" s="1044">
        <f t="shared" si="51"/>
        <v>78304</v>
      </c>
    </row>
    <row r="174" spans="1:23">
      <c r="A174" s="1121" t="s">
        <v>4913</v>
      </c>
      <c r="B174" s="1119"/>
      <c r="C174" s="1122">
        <f t="shared" si="48"/>
        <v>140150.10999999999</v>
      </c>
      <c r="D174" s="1072">
        <f t="shared" si="48"/>
        <v>141426.23000000001</v>
      </c>
      <c r="E174" s="1122">
        <f>E97+E117++E107+E127</f>
        <v>166620.22</v>
      </c>
      <c r="F174" s="1072">
        <f>F97+F117+F107+F127</f>
        <v>188060.01</v>
      </c>
      <c r="G174" s="1122">
        <f t="shared" si="50"/>
        <v>179211.36</v>
      </c>
      <c r="H174" s="1122">
        <f t="shared" si="50"/>
        <v>155178.84999999998</v>
      </c>
      <c r="I174" s="1028">
        <f t="shared" si="50"/>
        <v>138793.04999999999</v>
      </c>
      <c r="J174" s="1028">
        <f t="shared" si="50"/>
        <v>136516.98000000001</v>
      </c>
      <c r="K174" s="1028">
        <f>K97+K117+K107+K127</f>
        <v>132798.31</v>
      </c>
      <c r="L174" s="65">
        <f>L97+L117+L107+L127</f>
        <v>396147.8</v>
      </c>
      <c r="M174" s="1062">
        <f>M97+M117+M107+M127</f>
        <v>53532.61</v>
      </c>
      <c r="N174" s="1082">
        <f>N97+N117+N107+N127</f>
        <v>386998.32</v>
      </c>
      <c r="O174" s="1028">
        <f t="shared" si="50"/>
        <v>359192.91</v>
      </c>
      <c r="P174" s="575">
        <f t="shared" si="50"/>
        <v>339175</v>
      </c>
      <c r="Q174" s="575">
        <f t="shared" si="50"/>
        <v>331734</v>
      </c>
      <c r="R174" s="575">
        <f t="shared" si="50"/>
        <v>331466.90000000002</v>
      </c>
      <c r="S174" s="575">
        <f t="shared" si="50"/>
        <v>317571.38</v>
      </c>
      <c r="T174" s="575">
        <f t="shared" si="50"/>
        <v>303881.03999999998</v>
      </c>
      <c r="U174" s="575">
        <f t="shared" si="50"/>
        <v>303881.42000000004</v>
      </c>
      <c r="V174" s="575">
        <f t="shared" si="51"/>
        <v>303881.42</v>
      </c>
      <c r="W174" s="1044">
        <f t="shared" si="51"/>
        <v>303881</v>
      </c>
    </row>
    <row r="175" spans="1:23" ht="13.5" thickBot="1">
      <c r="A175" s="1123"/>
      <c r="B175" s="1124"/>
      <c r="C175" s="1081"/>
      <c r="D175" s="1125"/>
      <c r="E175" s="1081"/>
      <c r="F175" s="1081"/>
      <c r="G175" s="1081"/>
      <c r="H175" s="1081"/>
      <c r="I175" s="1035"/>
      <c r="J175" s="1035"/>
      <c r="K175" s="1064"/>
      <c r="L175" s="1036"/>
      <c r="M175" s="1066"/>
      <c r="N175" s="1078"/>
      <c r="O175" s="1064"/>
      <c r="P175" s="1038"/>
      <c r="Q175" s="1030"/>
      <c r="R175" s="1030"/>
      <c r="S175" s="1030"/>
      <c r="T175" s="1030"/>
      <c r="U175" s="1030"/>
      <c r="V175" s="1030"/>
      <c r="W175" s="1040"/>
    </row>
    <row r="177" spans="1:25">
      <c r="H177" s="396"/>
    </row>
    <row r="178" spans="1:25" ht="15.75">
      <c r="A178" s="1745" t="s">
        <v>4927</v>
      </c>
    </row>
    <row r="179" spans="1:25" ht="13.5" thickBot="1">
      <c r="E179" s="575"/>
    </row>
    <row r="180" spans="1:25" ht="13.5" thickBot="1">
      <c r="A180" s="1139" t="s">
        <v>8</v>
      </c>
      <c r="B180" s="1112"/>
      <c r="C180" s="1113">
        <v>2001</v>
      </c>
      <c r="D180" s="1114">
        <v>2002</v>
      </c>
      <c r="E180" s="1115">
        <v>2003</v>
      </c>
      <c r="F180" s="1113">
        <v>2004</v>
      </c>
      <c r="G180" s="1113">
        <v>2005</v>
      </c>
      <c r="H180" s="1115">
        <v>2006</v>
      </c>
      <c r="I180" s="1115">
        <v>2008</v>
      </c>
      <c r="J180" s="1113">
        <v>2010</v>
      </c>
      <c r="K180" s="1113">
        <v>2011</v>
      </c>
      <c r="L180" s="1114">
        <v>2012</v>
      </c>
      <c r="M180" s="1116">
        <v>2013</v>
      </c>
      <c r="N180" s="1140">
        <v>2014</v>
      </c>
      <c r="O180" s="1114">
        <v>2015</v>
      </c>
      <c r="P180" s="1114">
        <v>2016</v>
      </c>
      <c r="Q180" s="1114">
        <v>2017</v>
      </c>
      <c r="R180" s="1114">
        <v>2018</v>
      </c>
      <c r="S180" s="1114">
        <v>2019</v>
      </c>
      <c r="T180" s="1116">
        <v>2020</v>
      </c>
      <c r="U180" s="1114">
        <v>2021</v>
      </c>
      <c r="V180" s="1140">
        <v>2022</v>
      </c>
      <c r="W180" s="1117">
        <v>2023</v>
      </c>
      <c r="X180" s="1083"/>
      <c r="Y180" s="1083"/>
    </row>
    <row r="181" spans="1:25">
      <c r="A181" s="1118"/>
      <c r="B181" s="1119"/>
      <c r="C181" s="1021"/>
      <c r="D181" s="1023"/>
      <c r="E181" s="1028"/>
      <c r="F181" s="1021"/>
      <c r="G181" s="1074"/>
      <c r="H181" s="1028"/>
      <c r="I181" s="1019"/>
      <c r="J181" s="1068"/>
      <c r="K181" s="1021"/>
      <c r="L181" s="487"/>
      <c r="M181" s="1061"/>
      <c r="N181" s="1084"/>
      <c r="O181" s="1085"/>
      <c r="P181" s="1085"/>
      <c r="Q181" s="1086"/>
      <c r="R181" s="1086"/>
      <c r="S181" s="1086"/>
      <c r="T181" s="1086"/>
      <c r="U181" s="394"/>
      <c r="V181" s="1087"/>
      <c r="W181" s="1087"/>
      <c r="X181" s="1010"/>
      <c r="Y181" s="1010"/>
    </row>
    <row r="182" spans="1:25">
      <c r="A182" s="1121" t="s">
        <v>4908</v>
      </c>
      <c r="B182" s="1119"/>
      <c r="C182" s="1122">
        <f>C105+C125++C115+C135</f>
        <v>916282.84</v>
      </c>
      <c r="D182" s="1072">
        <f>D105+D125++D115+D135</f>
        <v>816183.27</v>
      </c>
      <c r="E182" s="1122">
        <f>E105+E125++E115+E135</f>
        <v>902541.75</v>
      </c>
      <c r="F182" s="1072">
        <f t="shared" ref="F182:K182" si="52">F105+F125+F115+F135</f>
        <v>765631.08000000007</v>
      </c>
      <c r="G182" s="1122">
        <f t="shared" si="52"/>
        <v>640382.31000000006</v>
      </c>
      <c r="H182" s="1122">
        <f t="shared" si="52"/>
        <v>534337.91</v>
      </c>
      <c r="I182" s="1028">
        <f t="shared" si="52"/>
        <v>345244.94</v>
      </c>
      <c r="J182" s="1028">
        <f t="shared" si="52"/>
        <v>199389.41999999998</v>
      </c>
      <c r="K182" s="1028">
        <f t="shared" si="52"/>
        <v>138343.83999999997</v>
      </c>
      <c r="L182" s="65" t="e">
        <v>#REF!</v>
      </c>
      <c r="M182" s="1062" t="e">
        <f>L185</f>
        <v>#REF!</v>
      </c>
      <c r="N182" s="1141" t="e">
        <f>O182+N184</f>
        <v>#REF!</v>
      </c>
      <c r="O182" s="1142" t="e">
        <f>P182+O184</f>
        <v>#REF!</v>
      </c>
      <c r="P182" s="1142" t="e">
        <f>Q182+P184</f>
        <v>#REF!</v>
      </c>
      <c r="Q182" s="1142" t="e">
        <f>R182+Q184</f>
        <v>#REF!</v>
      </c>
      <c r="R182" s="1142" t="e">
        <f>S182+R184</f>
        <v>#REF!</v>
      </c>
      <c r="S182" s="1142">
        <v>8570</v>
      </c>
      <c r="T182" s="1142" t="e">
        <f>S185</f>
        <v>#REF!</v>
      </c>
      <c r="U182" s="1044">
        <v>0</v>
      </c>
      <c r="V182" s="1044" t="e">
        <f>U185</f>
        <v>#REF!</v>
      </c>
      <c r="W182" s="1044" t="e">
        <f>V185</f>
        <v>#REF!</v>
      </c>
      <c r="X182" s="1083"/>
      <c r="Y182" s="1083"/>
    </row>
    <row r="183" spans="1:25">
      <c r="A183" s="1121" t="s">
        <v>4909</v>
      </c>
      <c r="B183" s="1119"/>
      <c r="C183" s="1122">
        <f t="shared" ref="C183:D187" si="53">C106+C126++C116+C136</f>
        <v>45137.62</v>
      </c>
      <c r="D183" s="1072">
        <f t="shared" si="53"/>
        <v>41326.949999999997</v>
      </c>
      <c r="E183" s="1122">
        <v>163045</v>
      </c>
      <c r="F183" s="1072">
        <f t="shared" ref="F183:K183" si="54">F106+F126++F116+F136</f>
        <v>35757.32</v>
      </c>
      <c r="G183" s="1122">
        <f t="shared" si="54"/>
        <v>27504.25</v>
      </c>
      <c r="H183" s="1122">
        <f t="shared" si="54"/>
        <v>21795.45</v>
      </c>
      <c r="I183" s="1028">
        <f t="shared" si="54"/>
        <v>17837.22</v>
      </c>
      <c r="J183" s="1028">
        <f t="shared" si="54"/>
        <v>9391.23</v>
      </c>
      <c r="K183" s="1028">
        <f t="shared" si="54"/>
        <v>5688.18</v>
      </c>
      <c r="L183" s="65" t="e">
        <v>#REF!</v>
      </c>
      <c r="M183" s="1062">
        <v>0</v>
      </c>
      <c r="N183" s="1141" t="e">
        <v>#REF!</v>
      </c>
      <c r="O183" s="1143" t="e">
        <v>#REF!</v>
      </c>
      <c r="P183" s="1143" t="e">
        <v>#REF!</v>
      </c>
      <c r="Q183" s="1143" t="e">
        <v>#REF!</v>
      </c>
      <c r="R183" s="1143" t="e">
        <v>#REF!</v>
      </c>
      <c r="S183" s="1143" t="e">
        <v>#REF!</v>
      </c>
      <c r="T183" s="1143" t="e">
        <v>#REF!</v>
      </c>
      <c r="U183" s="1143" t="e">
        <v>#REF!</v>
      </c>
      <c r="V183" s="1143" t="e">
        <v>#REF!</v>
      </c>
      <c r="W183" s="1143" t="e">
        <v>#REF!</v>
      </c>
      <c r="X183" s="575"/>
      <c r="Y183" s="575"/>
    </row>
    <row r="184" spans="1:25">
      <c r="A184" s="1121" t="s">
        <v>4910</v>
      </c>
      <c r="B184" s="1119"/>
      <c r="C184" s="1122">
        <f t="shared" si="53"/>
        <v>140150.10999999999</v>
      </c>
      <c r="D184" s="1072">
        <f t="shared" si="53"/>
        <v>141426.23000000001</v>
      </c>
      <c r="E184" s="1122">
        <f>E107+E127++E117+E137</f>
        <v>152245.08000000002</v>
      </c>
      <c r="F184" s="1072">
        <f t="shared" ref="F184:K187" si="55">F107+F127+F117+F137</f>
        <v>172667.99</v>
      </c>
      <c r="G184" s="1122">
        <f t="shared" si="55"/>
        <v>152753.02000000002</v>
      </c>
      <c r="H184" s="1122">
        <f t="shared" si="55"/>
        <v>121933.4</v>
      </c>
      <c r="I184" s="1028">
        <f t="shared" si="55"/>
        <v>104433.05</v>
      </c>
      <c r="J184" s="1028">
        <f t="shared" si="55"/>
        <v>68137.23000000001</v>
      </c>
      <c r="K184" s="1028">
        <f t="shared" si="55"/>
        <v>66733.759999999995</v>
      </c>
      <c r="L184" s="65" t="e">
        <v>#REF!</v>
      </c>
      <c r="M184" s="65" t="e">
        <v>#REF!</v>
      </c>
      <c r="N184" s="1141" t="e">
        <v>#REF!</v>
      </c>
      <c r="O184" s="1143" t="e">
        <v>#REF!</v>
      </c>
      <c r="P184" s="1143" t="e">
        <v>#REF!</v>
      </c>
      <c r="Q184" s="1143" t="e">
        <v>#REF!</v>
      </c>
      <c r="R184" s="1143" t="e">
        <v>#REF!</v>
      </c>
      <c r="S184" s="1143" t="e">
        <v>#REF!</v>
      </c>
      <c r="T184" s="1143" t="e">
        <v>#REF!</v>
      </c>
      <c r="U184" s="1143" t="e">
        <v>#REF!</v>
      </c>
      <c r="V184" s="1143" t="e">
        <v>#REF!</v>
      </c>
      <c r="W184" s="1143">
        <v>0</v>
      </c>
      <c r="X184" s="575"/>
      <c r="Y184" s="575"/>
    </row>
    <row r="185" spans="1:25">
      <c r="A185" s="1121" t="s">
        <v>4911</v>
      </c>
      <c r="B185" s="1119"/>
      <c r="C185" s="1122">
        <f t="shared" si="53"/>
        <v>0</v>
      </c>
      <c r="D185" s="1072">
        <f t="shared" si="53"/>
        <v>0</v>
      </c>
      <c r="E185" s="1122">
        <v>983192</v>
      </c>
      <c r="F185" s="1072">
        <f t="shared" si="55"/>
        <v>0</v>
      </c>
      <c r="G185" s="1122">
        <f t="shared" si="55"/>
        <v>0</v>
      </c>
      <c r="H185" s="1122">
        <f t="shared" si="55"/>
        <v>0</v>
      </c>
      <c r="I185" s="1028">
        <f t="shared" si="55"/>
        <v>0</v>
      </c>
      <c r="J185" s="1028">
        <f t="shared" si="55"/>
        <v>0</v>
      </c>
      <c r="K185" s="1028">
        <f t="shared" si="55"/>
        <v>0</v>
      </c>
      <c r="L185" s="65" t="e">
        <f>L182+L183-L184</f>
        <v>#REF!</v>
      </c>
      <c r="M185" s="1062" t="e">
        <f>M182+M183-M184</f>
        <v>#REF!</v>
      </c>
      <c r="N185" s="1141" t="e">
        <f t="shared" ref="N185:T185" si="56">N182+N183-N184</f>
        <v>#REF!</v>
      </c>
      <c r="O185" s="1142" t="e">
        <f t="shared" si="56"/>
        <v>#REF!</v>
      </c>
      <c r="P185" s="1142" t="e">
        <f t="shared" si="56"/>
        <v>#REF!</v>
      </c>
      <c r="Q185" s="1142" t="e">
        <f t="shared" si="56"/>
        <v>#REF!</v>
      </c>
      <c r="R185" s="1142" t="e">
        <f t="shared" si="56"/>
        <v>#REF!</v>
      </c>
      <c r="S185" s="1142" t="e">
        <f t="shared" si="56"/>
        <v>#REF!</v>
      </c>
      <c r="T185" s="1142" t="e">
        <f t="shared" si="56"/>
        <v>#REF!</v>
      </c>
      <c r="U185" s="1044" t="e">
        <f>U182+U183-U184</f>
        <v>#REF!</v>
      </c>
      <c r="V185" s="1044" t="e">
        <f>V182+V183-V184</f>
        <v>#REF!</v>
      </c>
      <c r="W185" s="1044" t="e">
        <f>W182+W183-W184</f>
        <v>#REF!</v>
      </c>
      <c r="X185" s="575"/>
      <c r="Y185" s="575"/>
    </row>
    <row r="186" spans="1:25">
      <c r="A186" s="1121" t="s">
        <v>4912</v>
      </c>
      <c r="B186" s="1119"/>
      <c r="C186" s="1122">
        <f t="shared" si="53"/>
        <v>0</v>
      </c>
      <c r="D186" s="1072">
        <f t="shared" si="53"/>
        <v>0</v>
      </c>
      <c r="E186" s="1122">
        <f>E109+E129++E119+E139</f>
        <v>0</v>
      </c>
      <c r="F186" s="1072">
        <f t="shared" si="55"/>
        <v>0</v>
      </c>
      <c r="G186" s="1122">
        <f t="shared" si="55"/>
        <v>0</v>
      </c>
      <c r="H186" s="1122">
        <f t="shared" si="55"/>
        <v>0</v>
      </c>
      <c r="I186" s="1028">
        <f t="shared" si="55"/>
        <v>0</v>
      </c>
      <c r="J186" s="1028">
        <f t="shared" si="55"/>
        <v>0</v>
      </c>
      <c r="K186" s="1028">
        <f t="shared" si="55"/>
        <v>0</v>
      </c>
      <c r="L186" s="65" t="e">
        <v>#REF!</v>
      </c>
      <c r="M186" s="1062" t="e">
        <v>#REF!</v>
      </c>
      <c r="N186" s="1141" t="e">
        <v>#REF!</v>
      </c>
      <c r="O186" s="1143" t="e">
        <v>#REF!</v>
      </c>
      <c r="P186" s="1143" t="e">
        <v>#REF!</v>
      </c>
      <c r="Q186" s="1143" t="e">
        <v>#REF!</v>
      </c>
      <c r="R186" s="1143" t="e">
        <v>#REF!</v>
      </c>
      <c r="S186" s="1143" t="e">
        <v>#REF!</v>
      </c>
      <c r="T186" s="1143" t="e">
        <v>#REF!</v>
      </c>
      <c r="U186" s="1044" t="e">
        <v>#REF!</v>
      </c>
      <c r="V186" s="1044" t="e">
        <v>#REF!</v>
      </c>
      <c r="W186" s="1044">
        <v>0</v>
      </c>
      <c r="X186" s="575"/>
      <c r="Y186" s="575"/>
    </row>
    <row r="187" spans="1:25">
      <c r="A187" s="1121" t="s">
        <v>4913</v>
      </c>
      <c r="B187" s="1119"/>
      <c r="C187" s="1122">
        <f t="shared" si="53"/>
        <v>4002</v>
      </c>
      <c r="D187" s="1072">
        <f t="shared" si="53"/>
        <v>4004</v>
      </c>
      <c r="E187" s="1122">
        <f>E110+E130++E120+E140</f>
        <v>4006</v>
      </c>
      <c r="F187" s="1072">
        <f t="shared" si="55"/>
        <v>4008</v>
      </c>
      <c r="G187" s="1122">
        <f t="shared" si="55"/>
        <v>4010</v>
      </c>
      <c r="H187" s="1122">
        <f t="shared" si="55"/>
        <v>4012</v>
      </c>
      <c r="I187" s="1028">
        <f t="shared" si="55"/>
        <v>4016</v>
      </c>
      <c r="J187" s="1028">
        <f t="shared" si="55"/>
        <v>4020</v>
      </c>
      <c r="K187" s="1028">
        <f t="shared" si="55"/>
        <v>4022</v>
      </c>
      <c r="L187" s="65" t="e">
        <f>L186+L184</f>
        <v>#REF!</v>
      </c>
      <c r="M187" s="1062" t="e">
        <f t="shared" ref="M187:T187" si="57">M186+M184</f>
        <v>#REF!</v>
      </c>
      <c r="N187" s="1141" t="e">
        <f t="shared" si="57"/>
        <v>#REF!</v>
      </c>
      <c r="O187" s="1142" t="e">
        <f t="shared" si="57"/>
        <v>#REF!</v>
      </c>
      <c r="P187" s="1142" t="e">
        <f t="shared" si="57"/>
        <v>#REF!</v>
      </c>
      <c r="Q187" s="1142" t="e">
        <f>Q186+Q184</f>
        <v>#REF!</v>
      </c>
      <c r="R187" s="1142" t="e">
        <f t="shared" si="57"/>
        <v>#REF!</v>
      </c>
      <c r="S187" s="1142" t="e">
        <f t="shared" si="57"/>
        <v>#REF!</v>
      </c>
      <c r="T187" s="1142" t="e">
        <f t="shared" si="57"/>
        <v>#REF!</v>
      </c>
      <c r="U187" s="1044" t="e">
        <f>U186+U184</f>
        <v>#REF!</v>
      </c>
      <c r="V187" s="1044" t="e">
        <f>V186+V184</f>
        <v>#REF!</v>
      </c>
      <c r="W187" s="1044">
        <f>W186+W184</f>
        <v>0</v>
      </c>
      <c r="X187" s="575"/>
      <c r="Y187" s="575"/>
    </row>
    <row r="188" spans="1:25" ht="13.5" thickBot="1">
      <c r="A188" s="1123"/>
      <c r="B188" s="1124"/>
      <c r="C188" s="1081"/>
      <c r="D188" s="1125"/>
      <c r="E188" s="1081"/>
      <c r="F188" s="1081"/>
      <c r="G188" s="1081"/>
      <c r="H188" s="1081"/>
      <c r="I188" s="1035"/>
      <c r="J188" s="1035"/>
      <c r="K188" s="1064"/>
      <c r="L188" s="1036"/>
      <c r="M188" s="1066"/>
      <c r="N188" s="1088"/>
      <c r="O188" s="1089"/>
      <c r="P188" s="1089"/>
      <c r="Q188" s="1090"/>
      <c r="R188" s="1090"/>
      <c r="S188" s="1090"/>
      <c r="T188" s="1090"/>
      <c r="U188" s="1030"/>
      <c r="V188" s="1090"/>
      <c r="W188" s="1090"/>
      <c r="X188" s="575"/>
      <c r="Y188" s="575"/>
    </row>
    <row r="189" spans="1:25">
      <c r="X189" s="1083"/>
      <c r="Y189" s="1083"/>
    </row>
    <row r="190" spans="1:25">
      <c r="X190" s="1083"/>
      <c r="Y190" s="1083"/>
    </row>
    <row r="191" spans="1:25">
      <c r="X191" s="1083"/>
      <c r="Y191" s="1083"/>
    </row>
  </sheetData>
  <mergeCells count="1">
    <mergeCell ref="A1:U1"/>
  </mergeCells>
  <hyperlinks>
    <hyperlink ref="A2" location="Inhoud!A1" display="Inhoud!A1" xr:uid="{00000000-0004-0000-4B00-000000000000}"/>
    <hyperlink ref="A1" location="GLOBAAL!A1" display="Schema TM2. De financiële schulden" xr:uid="{00000000-0004-0000-4B00-000001000000}"/>
    <hyperlink ref="A26" location="Inhoud!A1" display="Inhoud!A1" xr:uid="{00000000-0004-0000-4B00-000002000000}"/>
    <hyperlink ref="A1:U1" location="FINANCIËN!A1" display="Schema OUD De financiële schulden STAD" xr:uid="{00000000-0004-0000-4B00-000003000000}"/>
  </hyperlinks>
  <pageMargins left="0.70866141732283472" right="0.70866141732283472" top="0.55118110236220474" bottom="0.55118110236220474" header="0.31496062992125984" footer="0.31496062992125984"/>
  <pageSetup paperSize="9" scale="72" fitToHeight="0" orientation="landscape" r:id="rId1"/>
  <rowBreaks count="2" manualBreakCount="2">
    <brk id="24" max="16383" man="1"/>
    <brk id="138" max="16383" man="1"/>
  </rowBreaks>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EBD531"/>
    <pageSetUpPr fitToPage="1"/>
  </sheetPr>
  <dimension ref="A1:BJ35"/>
  <sheetViews>
    <sheetView workbookViewId="0">
      <pane ySplit="3" topLeftCell="A4" activePane="bottomLeft" state="frozen"/>
      <selection activeCell="E37" sqref="E37"/>
      <selection pane="bottomLeft" sqref="A1:I1"/>
    </sheetView>
  </sheetViews>
  <sheetFormatPr defaultColWidth="9.140625" defaultRowHeight="12.75"/>
  <cols>
    <col min="1" max="1" width="8.28515625" style="610" customWidth="1"/>
    <col min="2" max="2" width="14.28515625" style="520" bestFit="1" customWidth="1"/>
    <col min="3" max="3" width="24.85546875" style="520" bestFit="1" customWidth="1"/>
    <col min="4" max="4" width="6.42578125" style="598" customWidth="1"/>
    <col min="5" max="6" width="9.140625" style="627" customWidth="1"/>
    <col min="7" max="7" width="5.42578125" style="598" customWidth="1"/>
    <col min="8" max="8" width="4.140625" style="598" customWidth="1"/>
    <col min="9" max="9" width="10.140625" style="520" bestFit="1" customWidth="1"/>
    <col min="10" max="10" width="12" style="598" bestFit="1" customWidth="1"/>
    <col min="11" max="11" width="10.140625" style="520" bestFit="1" customWidth="1"/>
    <col min="12" max="12" width="9.28515625" style="873" bestFit="1" customWidth="1"/>
    <col min="13" max="13" width="8" style="598" customWidth="1"/>
    <col min="14" max="14" width="12.85546875" style="598" bestFit="1" customWidth="1"/>
    <col min="15" max="16" width="7.42578125" style="598" customWidth="1"/>
    <col min="17" max="17" width="8.7109375" style="598" customWidth="1"/>
    <col min="18" max="18" width="9.140625" style="520"/>
    <col min="19" max="19" width="9.42578125" style="520" customWidth="1"/>
    <col min="20" max="16384" width="9.140625" style="520"/>
  </cols>
  <sheetData>
    <row r="1" spans="1:62" ht="18.75">
      <c r="A1" s="4771" t="s">
        <v>58</v>
      </c>
      <c r="B1" s="4772"/>
      <c r="C1" s="4772"/>
      <c r="D1" s="4772"/>
      <c r="E1" s="4772"/>
      <c r="F1" s="4772"/>
      <c r="G1" s="4772"/>
      <c r="H1" s="4772"/>
      <c r="I1" s="4772"/>
    </row>
    <row r="3" spans="1:62" s="865" customFormat="1" ht="21" customHeight="1">
      <c r="A3" s="1721" t="s">
        <v>4970</v>
      </c>
      <c r="B3" s="1725" t="s">
        <v>4971</v>
      </c>
      <c r="C3" s="1725" t="s">
        <v>624</v>
      </c>
      <c r="D3" s="1721" t="s">
        <v>4972</v>
      </c>
      <c r="E3" s="1726" t="s">
        <v>725</v>
      </c>
      <c r="F3" s="1726" t="s">
        <v>4973</v>
      </c>
      <c r="G3" s="1721" t="s">
        <v>4974</v>
      </c>
      <c r="H3" s="1721" t="s">
        <v>4975</v>
      </c>
      <c r="I3" s="1725" t="s">
        <v>4976</v>
      </c>
      <c r="J3" s="1721" t="s">
        <v>4977</v>
      </c>
      <c r="K3" s="1725" t="s">
        <v>4978</v>
      </c>
      <c r="L3" s="1727" t="s">
        <v>4979</v>
      </c>
      <c r="M3" s="1721" t="s">
        <v>4980</v>
      </c>
      <c r="N3" s="1721" t="s">
        <v>4981</v>
      </c>
      <c r="O3" s="1728" t="s">
        <v>4982</v>
      </c>
      <c r="P3" s="1728" t="s">
        <v>4983</v>
      </c>
      <c r="Q3" s="1728"/>
      <c r="R3" s="1725" t="s">
        <v>4984</v>
      </c>
      <c r="S3" s="1725" t="s">
        <v>4985</v>
      </c>
      <c r="T3" s="1725" t="s">
        <v>4986</v>
      </c>
      <c r="U3" s="620"/>
      <c r="V3" s="620"/>
      <c r="W3" s="620"/>
      <c r="X3" s="620"/>
      <c r="Y3" s="620"/>
      <c r="Z3" s="620"/>
      <c r="AA3" s="620"/>
      <c r="AB3" s="620"/>
      <c r="AC3" s="620"/>
      <c r="AD3" s="620"/>
      <c r="AE3" s="620"/>
      <c r="AF3" s="620"/>
      <c r="AG3" s="620"/>
      <c r="AH3" s="620"/>
      <c r="AI3" s="620"/>
      <c r="AJ3" s="620"/>
      <c r="AK3" s="620"/>
      <c r="AL3" s="620"/>
      <c r="AM3" s="620"/>
      <c r="AN3" s="620"/>
      <c r="AO3" s="620"/>
      <c r="AP3" s="620"/>
      <c r="AQ3" s="620"/>
      <c r="AR3" s="620"/>
      <c r="AS3" s="620"/>
      <c r="AT3" s="620"/>
      <c r="AU3" s="620"/>
      <c r="AV3" s="620"/>
      <c r="AW3" s="620"/>
      <c r="AX3" s="620"/>
      <c r="AY3" s="620"/>
      <c r="AZ3" s="620"/>
      <c r="BA3" s="620"/>
      <c r="BB3" s="620"/>
      <c r="BC3" s="620"/>
      <c r="BD3" s="620"/>
      <c r="BE3" s="620"/>
      <c r="BF3" s="620"/>
      <c r="BG3" s="620"/>
      <c r="BH3" s="620"/>
      <c r="BI3" s="620"/>
      <c r="BJ3" s="620"/>
    </row>
    <row r="4" spans="1:62" s="523" customFormat="1" ht="15">
      <c r="A4" s="610">
        <v>200007</v>
      </c>
      <c r="B4" s="614" t="s">
        <v>4987</v>
      </c>
      <c r="C4" s="614" t="s">
        <v>4988</v>
      </c>
      <c r="D4" s="613" t="s">
        <v>4735</v>
      </c>
      <c r="E4" s="866">
        <v>583636</v>
      </c>
      <c r="F4" s="866">
        <v>41443.769999999997</v>
      </c>
      <c r="G4" s="613">
        <v>20</v>
      </c>
      <c r="H4" s="613">
        <v>5</v>
      </c>
      <c r="I4" s="867">
        <v>37953</v>
      </c>
      <c r="J4" s="868">
        <v>41606</v>
      </c>
      <c r="K4" s="867">
        <v>45291</v>
      </c>
      <c r="L4" s="869">
        <f>0.03448+0.002</f>
        <v>3.6479999999999999E-2</v>
      </c>
      <c r="M4" s="870">
        <v>2E-3</v>
      </c>
      <c r="N4" s="613"/>
      <c r="O4" s="1729">
        <v>3.9420000000000002</v>
      </c>
      <c r="P4" s="1729">
        <v>0.28000000000000003</v>
      </c>
      <c r="Q4" s="1729">
        <v>2.9340000000000002</v>
      </c>
      <c r="R4" s="520" t="s">
        <v>4989</v>
      </c>
      <c r="S4" s="520" t="s">
        <v>4990</v>
      </c>
      <c r="T4" s="614"/>
    </row>
    <row r="5" spans="1:62" hidden="1">
      <c r="A5" s="610">
        <v>200014</v>
      </c>
      <c r="B5" s="520" t="s">
        <v>4991</v>
      </c>
      <c r="C5" s="520" t="s">
        <v>4992</v>
      </c>
      <c r="D5" s="598" t="s">
        <v>4993</v>
      </c>
      <c r="E5" s="627">
        <v>150000</v>
      </c>
      <c r="G5" s="598">
        <v>10</v>
      </c>
      <c r="H5" s="598">
        <v>3</v>
      </c>
      <c r="I5" s="871">
        <v>40158</v>
      </c>
      <c r="J5" s="872">
        <v>41254</v>
      </c>
      <c r="K5" s="871">
        <v>43646</v>
      </c>
      <c r="L5" s="873">
        <v>2.8989999999999998E-2</v>
      </c>
      <c r="M5" s="873">
        <v>8.4200000000000004E-3</v>
      </c>
      <c r="N5" s="598" t="s">
        <v>4994</v>
      </c>
      <c r="O5" s="1729">
        <v>3.9409999999999998</v>
      </c>
      <c r="P5" s="1729"/>
      <c r="Q5" s="1729"/>
      <c r="R5" s="520" t="s">
        <v>4989</v>
      </c>
      <c r="S5" s="520" t="s">
        <v>4990</v>
      </c>
      <c r="T5" s="520" t="s">
        <v>4995</v>
      </c>
    </row>
    <row r="6" spans="1:62" hidden="1">
      <c r="A6" s="610">
        <v>200015</v>
      </c>
      <c r="B6" s="520" t="s">
        <v>4996</v>
      </c>
      <c r="C6" s="520" t="s">
        <v>4988</v>
      </c>
      <c r="D6" s="598" t="s">
        <v>4735</v>
      </c>
      <c r="E6" s="627">
        <v>458572</v>
      </c>
      <c r="G6" s="598">
        <v>10</v>
      </c>
      <c r="H6" s="598">
        <v>3</v>
      </c>
      <c r="I6" s="871">
        <v>40158</v>
      </c>
      <c r="J6" s="872">
        <v>41254</v>
      </c>
      <c r="K6" s="871">
        <v>43646</v>
      </c>
      <c r="L6" s="873">
        <v>2.8989999999999998E-2</v>
      </c>
      <c r="M6" s="873">
        <v>8.4200000000000004E-3</v>
      </c>
      <c r="N6" s="598" t="s">
        <v>4994</v>
      </c>
      <c r="O6" s="1729">
        <v>3.9409999999999998</v>
      </c>
      <c r="P6" s="1729"/>
      <c r="Q6" s="1729"/>
      <c r="R6" s="520" t="s">
        <v>4989</v>
      </c>
      <c r="S6" s="520" t="s">
        <v>4990</v>
      </c>
      <c r="T6" s="520" t="s">
        <v>4995</v>
      </c>
    </row>
    <row r="7" spans="1:62" hidden="1">
      <c r="A7" s="610">
        <v>200016</v>
      </c>
      <c r="B7" s="520" t="s">
        <v>4997</v>
      </c>
      <c r="C7" s="520" t="s">
        <v>4998</v>
      </c>
      <c r="D7" s="598" t="s">
        <v>154</v>
      </c>
      <c r="E7" s="627">
        <v>85000</v>
      </c>
      <c r="G7" s="598">
        <v>10</v>
      </c>
      <c r="H7" s="598">
        <v>3</v>
      </c>
      <c r="I7" s="871">
        <v>40158</v>
      </c>
      <c r="J7" s="872">
        <v>41254</v>
      </c>
      <c r="K7" s="871">
        <v>43646</v>
      </c>
      <c r="L7" s="873">
        <v>2.8989999999999998E-2</v>
      </c>
      <c r="M7" s="873">
        <v>8.4200000000000004E-3</v>
      </c>
      <c r="N7" s="598" t="s">
        <v>4994</v>
      </c>
      <c r="O7" s="1729">
        <v>3.9409999999999998</v>
      </c>
      <c r="P7" s="1729"/>
      <c r="Q7" s="1729"/>
      <c r="R7" s="520" t="s">
        <v>4989</v>
      </c>
      <c r="S7" s="520" t="s">
        <v>4990</v>
      </c>
      <c r="T7" s="520" t="s">
        <v>4995</v>
      </c>
    </row>
    <row r="8" spans="1:62" ht="12" customHeight="1">
      <c r="A8" s="610">
        <v>200017</v>
      </c>
      <c r="B8" s="520" t="s">
        <v>4999</v>
      </c>
      <c r="C8" s="520" t="s">
        <v>4988</v>
      </c>
      <c r="D8" s="598" t="s">
        <v>4735</v>
      </c>
      <c r="E8" s="627">
        <v>4702000</v>
      </c>
      <c r="G8" s="598">
        <v>20</v>
      </c>
      <c r="H8" s="598">
        <v>3</v>
      </c>
      <c r="I8" s="871">
        <v>40158</v>
      </c>
      <c r="J8" s="872">
        <v>41254</v>
      </c>
      <c r="K8" s="871">
        <v>47299</v>
      </c>
      <c r="L8" s="873">
        <v>3.0849999999999999E-2</v>
      </c>
      <c r="M8" s="873">
        <v>9.8600000000000007E-3</v>
      </c>
      <c r="N8" s="598" t="s">
        <v>4994</v>
      </c>
      <c r="O8" s="1729">
        <v>3.83</v>
      </c>
      <c r="P8" s="1729">
        <v>2.9550000000000001</v>
      </c>
      <c r="Q8" s="1729">
        <v>0.70899999999999996</v>
      </c>
      <c r="R8" s="520" t="s">
        <v>4989</v>
      </c>
      <c r="S8" s="520" t="s">
        <v>4990</v>
      </c>
      <c r="T8" s="520" t="s">
        <v>4995</v>
      </c>
    </row>
    <row r="9" spans="1:62" hidden="1">
      <c r="A9" s="610">
        <v>200018</v>
      </c>
      <c r="B9" s="520" t="s">
        <v>5000</v>
      </c>
      <c r="C9" s="520" t="s">
        <v>4988</v>
      </c>
      <c r="D9" s="598" t="s">
        <v>4735</v>
      </c>
      <c r="E9" s="627">
        <v>138000</v>
      </c>
      <c r="G9" s="598">
        <v>10</v>
      </c>
      <c r="H9" s="598">
        <v>3</v>
      </c>
      <c r="I9" s="871">
        <v>40360</v>
      </c>
      <c r="J9" s="872">
        <v>42552</v>
      </c>
      <c r="K9" s="871">
        <v>44012</v>
      </c>
      <c r="L9" s="873">
        <f>0.0153+0.00842</f>
        <v>2.3719999999999998E-2</v>
      </c>
      <c r="M9" s="873">
        <v>8.4200000000000004E-3</v>
      </c>
      <c r="N9" s="598" t="s">
        <v>4994</v>
      </c>
      <c r="O9" s="1729">
        <v>3.9119999999999999</v>
      </c>
      <c r="P9" s="1729">
        <v>2.8740000000000001</v>
      </c>
      <c r="Q9" s="1729"/>
      <c r="R9" s="520" t="s">
        <v>4989</v>
      </c>
      <c r="S9" s="520" t="s">
        <v>4990</v>
      </c>
    </row>
    <row r="10" spans="1:62">
      <c r="A10" s="610">
        <v>200019</v>
      </c>
      <c r="B10" s="520" t="s">
        <v>5001</v>
      </c>
      <c r="C10" s="520" t="s">
        <v>4988</v>
      </c>
      <c r="D10" s="598" t="s">
        <v>4735</v>
      </c>
      <c r="E10" s="627">
        <v>515000</v>
      </c>
      <c r="G10" s="598">
        <v>20</v>
      </c>
      <c r="H10" s="598">
        <v>3</v>
      </c>
      <c r="I10" s="871">
        <v>40360</v>
      </c>
      <c r="J10" s="874">
        <v>42552</v>
      </c>
      <c r="K10" s="871">
        <v>47664</v>
      </c>
      <c r="L10" s="873">
        <v>2.53E-2</v>
      </c>
      <c r="M10" s="873">
        <v>9.8600000000000007E-3</v>
      </c>
      <c r="N10" s="598" t="s">
        <v>4994</v>
      </c>
      <c r="O10" s="1729">
        <v>1.7549999999999999</v>
      </c>
      <c r="P10" s="1729"/>
      <c r="Q10" s="1729"/>
      <c r="R10" s="520" t="s">
        <v>4989</v>
      </c>
      <c r="S10" s="520" t="s">
        <v>4990</v>
      </c>
    </row>
    <row r="11" spans="1:62" hidden="1">
      <c r="A11" s="610">
        <v>600009</v>
      </c>
      <c r="B11" s="520" t="s">
        <v>5002</v>
      </c>
      <c r="C11" s="520" t="s">
        <v>5003</v>
      </c>
      <c r="D11" s="598" t="s">
        <v>4735</v>
      </c>
      <c r="E11" s="627">
        <v>125000</v>
      </c>
      <c r="G11" s="598">
        <v>10</v>
      </c>
      <c r="H11" s="598">
        <v>5</v>
      </c>
      <c r="I11" s="871">
        <v>39111</v>
      </c>
      <c r="J11" s="872">
        <v>40938</v>
      </c>
      <c r="K11" s="871">
        <v>42916</v>
      </c>
      <c r="L11" s="873">
        <v>4.1500000000000002E-2</v>
      </c>
      <c r="M11" s="875" t="s">
        <v>5004</v>
      </c>
      <c r="N11" s="598">
        <v>2006</v>
      </c>
      <c r="O11" s="1729">
        <v>3.74</v>
      </c>
      <c r="P11" s="1729"/>
      <c r="Q11" s="1729"/>
      <c r="R11" s="520" t="s">
        <v>4989</v>
      </c>
      <c r="S11" s="520" t="s">
        <v>4990</v>
      </c>
      <c r="T11" s="520" t="s">
        <v>4995</v>
      </c>
    </row>
    <row r="12" spans="1:62">
      <c r="A12" s="610">
        <v>600010</v>
      </c>
      <c r="B12" s="520" t="s">
        <v>5005</v>
      </c>
      <c r="C12" s="520" t="s">
        <v>5006</v>
      </c>
      <c r="D12" s="598" t="s">
        <v>4735</v>
      </c>
      <c r="E12" s="627">
        <v>260000</v>
      </c>
      <c r="G12" s="598">
        <v>20</v>
      </c>
      <c r="H12" s="598">
        <v>5</v>
      </c>
      <c r="I12" s="871">
        <v>39111</v>
      </c>
      <c r="J12" s="872">
        <v>40938</v>
      </c>
      <c r="K12" s="871">
        <v>46568</v>
      </c>
      <c r="L12" s="873">
        <v>5.2999999999999998E-4</v>
      </c>
      <c r="M12" s="875" t="s">
        <v>5004</v>
      </c>
      <c r="N12" s="598">
        <v>2006</v>
      </c>
      <c r="O12" s="1729">
        <v>3.93</v>
      </c>
      <c r="P12" s="1729"/>
      <c r="Q12" s="1729">
        <v>5.2999999999999999E-2</v>
      </c>
      <c r="R12" s="520" t="s">
        <v>4989</v>
      </c>
      <c r="S12" s="520" t="s">
        <v>4990</v>
      </c>
      <c r="T12" s="520" t="s">
        <v>4995</v>
      </c>
    </row>
    <row r="13" spans="1:62">
      <c r="A13" s="610">
        <v>600011</v>
      </c>
      <c r="B13" s="520" t="s">
        <v>5007</v>
      </c>
      <c r="C13" s="520" t="s">
        <v>2518</v>
      </c>
      <c r="D13" s="598" t="s">
        <v>4735</v>
      </c>
      <c r="E13" s="627">
        <v>345000</v>
      </c>
      <c r="G13" s="598">
        <v>20</v>
      </c>
      <c r="H13" s="598">
        <v>5</v>
      </c>
      <c r="I13" s="871">
        <v>39111</v>
      </c>
      <c r="J13" s="872">
        <v>40938</v>
      </c>
      <c r="K13" s="871">
        <v>46568</v>
      </c>
      <c r="L13" s="873">
        <v>5.2999999999999998E-4</v>
      </c>
      <c r="M13" s="875" t="s">
        <v>5004</v>
      </c>
      <c r="N13" s="598">
        <v>2006</v>
      </c>
      <c r="O13" s="1729">
        <v>3.93</v>
      </c>
      <c r="P13" s="1729"/>
      <c r="Q13" s="1729">
        <v>5.2999999999999999E-2</v>
      </c>
      <c r="R13" s="520" t="s">
        <v>4989</v>
      </c>
      <c r="S13" s="520" t="s">
        <v>4990</v>
      </c>
      <c r="T13" s="520" t="s">
        <v>4995</v>
      </c>
    </row>
    <row r="14" spans="1:62">
      <c r="A14" s="610">
        <v>600012</v>
      </c>
      <c r="B14" s="520" t="s">
        <v>5008</v>
      </c>
      <c r="C14" s="520" t="s">
        <v>5009</v>
      </c>
      <c r="D14" s="598" t="s">
        <v>4735</v>
      </c>
      <c r="E14" s="627">
        <v>387000</v>
      </c>
      <c r="G14" s="598">
        <v>20</v>
      </c>
      <c r="H14" s="598">
        <v>5</v>
      </c>
      <c r="I14" s="871">
        <v>39111</v>
      </c>
      <c r="J14" s="872">
        <v>40938</v>
      </c>
      <c r="K14" s="871">
        <v>46568</v>
      </c>
      <c r="L14" s="873">
        <v>5.2999999999999998E-4</v>
      </c>
      <c r="M14" s="875" t="s">
        <v>5004</v>
      </c>
      <c r="N14" s="598">
        <v>2006</v>
      </c>
      <c r="O14" s="1729">
        <v>3.93</v>
      </c>
      <c r="P14" s="1729"/>
      <c r="Q14" s="1729">
        <v>5.2999999999999999E-2</v>
      </c>
      <c r="R14" s="520" t="s">
        <v>4989</v>
      </c>
      <c r="S14" s="520" t="s">
        <v>4990</v>
      </c>
      <c r="T14" s="520" t="s">
        <v>4995</v>
      </c>
    </row>
    <row r="15" spans="1:62">
      <c r="A15" s="610">
        <v>600013</v>
      </c>
      <c r="B15" s="520" t="s">
        <v>5010</v>
      </c>
      <c r="C15" s="520" t="s">
        <v>5011</v>
      </c>
      <c r="D15" s="598" t="s">
        <v>4735</v>
      </c>
      <c r="E15" s="627">
        <v>540000</v>
      </c>
      <c r="G15" s="598">
        <v>30</v>
      </c>
      <c r="H15" s="598">
        <v>5</v>
      </c>
      <c r="I15" s="871">
        <v>39111</v>
      </c>
      <c r="J15" s="872">
        <v>40938</v>
      </c>
      <c r="K15" s="871">
        <v>50221</v>
      </c>
      <c r="L15" s="873">
        <v>1.2999999999999999E-3</v>
      </c>
      <c r="M15" s="875" t="s">
        <v>5004</v>
      </c>
      <c r="N15" s="598">
        <v>2006</v>
      </c>
      <c r="O15" s="1729">
        <v>3.95</v>
      </c>
      <c r="P15" s="1729"/>
      <c r="Q15" s="1729">
        <v>0.13</v>
      </c>
      <c r="R15" s="520" t="s">
        <v>4989</v>
      </c>
      <c r="S15" s="520" t="s">
        <v>4990</v>
      </c>
      <c r="T15" s="520" t="s">
        <v>4995</v>
      </c>
    </row>
    <row r="16" spans="1:62">
      <c r="A16" s="610">
        <v>600014</v>
      </c>
      <c r="B16" s="520" t="s">
        <v>5012</v>
      </c>
      <c r="C16" s="520" t="s">
        <v>5013</v>
      </c>
      <c r="D16" s="598" t="s">
        <v>4735</v>
      </c>
      <c r="E16" s="627">
        <v>190000</v>
      </c>
      <c r="F16" s="627">
        <v>59213</v>
      </c>
      <c r="G16" s="598">
        <v>20</v>
      </c>
      <c r="H16" s="598">
        <v>5</v>
      </c>
      <c r="I16" s="871">
        <v>39426</v>
      </c>
      <c r="J16" s="874">
        <v>41254</v>
      </c>
      <c r="K16" s="871">
        <v>46752</v>
      </c>
      <c r="L16" s="873">
        <v>4.2979999999999997E-2</v>
      </c>
      <c r="M16" s="875"/>
      <c r="N16" s="690"/>
      <c r="O16" s="1729">
        <v>0.8</v>
      </c>
      <c r="P16" s="1729">
        <v>0.13800000000000001</v>
      </c>
      <c r="Q16" s="1729">
        <v>2.6059999999999999</v>
      </c>
      <c r="R16" s="520" t="s">
        <v>4989</v>
      </c>
      <c r="S16" s="520" t="s">
        <v>4990</v>
      </c>
      <c r="T16" s="520" t="s">
        <v>5014</v>
      </c>
    </row>
    <row r="17" spans="1:20">
      <c r="A17" s="610">
        <v>600015</v>
      </c>
      <c r="B17" s="520" t="s">
        <v>5015</v>
      </c>
      <c r="C17" s="520" t="s">
        <v>2156</v>
      </c>
      <c r="D17" s="598" t="s">
        <v>4735</v>
      </c>
      <c r="E17" s="627">
        <v>870000</v>
      </c>
      <c r="F17" s="627">
        <v>271137</v>
      </c>
      <c r="G17" s="598">
        <v>20</v>
      </c>
      <c r="H17" s="598">
        <v>5</v>
      </c>
      <c r="I17" s="871">
        <v>39426</v>
      </c>
      <c r="J17" s="874">
        <v>41254</v>
      </c>
      <c r="K17" s="871">
        <v>46752</v>
      </c>
      <c r="L17" s="873">
        <v>4.2979999999999997E-2</v>
      </c>
      <c r="M17" s="875"/>
      <c r="N17" s="690"/>
      <c r="O17" s="1729">
        <v>0.8</v>
      </c>
      <c r="P17" s="1729">
        <v>0.13800000000000001</v>
      </c>
      <c r="Q17" s="1729">
        <v>2.6059999999999999</v>
      </c>
      <c r="R17" s="520" t="s">
        <v>4989</v>
      </c>
      <c r="S17" s="520" t="s">
        <v>4990</v>
      </c>
      <c r="T17" s="520" t="s">
        <v>5016</v>
      </c>
    </row>
    <row r="18" spans="1:20">
      <c r="A18" s="610">
        <v>600016</v>
      </c>
      <c r="B18" s="520" t="s">
        <v>5017</v>
      </c>
      <c r="C18" s="520" t="s">
        <v>5011</v>
      </c>
      <c r="D18" s="598" t="s">
        <v>4735</v>
      </c>
      <c r="E18" s="627">
        <v>1060000</v>
      </c>
      <c r="F18" s="627">
        <v>617297</v>
      </c>
      <c r="G18" s="598">
        <v>30</v>
      </c>
      <c r="H18" s="598">
        <v>5</v>
      </c>
      <c r="I18" s="871">
        <v>39426</v>
      </c>
      <c r="J18" s="874">
        <v>41254</v>
      </c>
      <c r="K18" s="871">
        <v>50405</v>
      </c>
      <c r="L18" s="873">
        <v>4.2979999999999997E-2</v>
      </c>
      <c r="M18" s="875"/>
      <c r="N18" s="690"/>
      <c r="O18" s="1729">
        <v>0.82199999999999995</v>
      </c>
      <c r="P18" s="1729">
        <v>0.17899999999999999</v>
      </c>
      <c r="Q18" s="1729">
        <v>2.5680000000000001</v>
      </c>
      <c r="R18" s="520" t="s">
        <v>4989</v>
      </c>
      <c r="S18" s="520" t="s">
        <v>4990</v>
      </c>
      <c r="T18" s="520" t="s">
        <v>5018</v>
      </c>
    </row>
    <row r="19" spans="1:20" ht="15" hidden="1">
      <c r="A19" s="610">
        <v>400081</v>
      </c>
      <c r="B19" s="520" t="s">
        <v>5019</v>
      </c>
      <c r="C19" s="520" t="s">
        <v>5020</v>
      </c>
      <c r="D19" s="598" t="s">
        <v>4735</v>
      </c>
      <c r="E19" s="627">
        <v>589986.59</v>
      </c>
      <c r="G19" s="598">
        <v>20</v>
      </c>
      <c r="H19" s="598">
        <v>10</v>
      </c>
      <c r="I19" s="871">
        <v>36784</v>
      </c>
      <c r="J19" s="872">
        <v>40543</v>
      </c>
      <c r="K19" s="871">
        <v>44377</v>
      </c>
      <c r="L19" s="873">
        <v>5.9400000000000001E-2</v>
      </c>
      <c r="M19" s="870"/>
      <c r="N19" s="598">
        <v>2000</v>
      </c>
      <c r="O19" s="1730">
        <v>3.7199999999999997E-2</v>
      </c>
      <c r="P19" s="1730"/>
      <c r="Q19" s="1730"/>
      <c r="R19" s="520" t="s">
        <v>4989</v>
      </c>
      <c r="S19" s="520" t="s">
        <v>4990</v>
      </c>
      <c r="T19" s="520" t="s">
        <v>5021</v>
      </c>
    </row>
    <row r="20" spans="1:20" ht="15" hidden="1">
      <c r="A20" s="610">
        <v>400089</v>
      </c>
      <c r="B20" s="520" t="s">
        <v>5022</v>
      </c>
      <c r="C20" s="520" t="s">
        <v>4988</v>
      </c>
      <c r="D20" s="598" t="s">
        <v>4735</v>
      </c>
      <c r="E20" s="627">
        <v>506942.26</v>
      </c>
      <c r="G20" s="598">
        <v>20</v>
      </c>
      <c r="H20" s="598">
        <v>10</v>
      </c>
      <c r="I20" s="871">
        <v>36907</v>
      </c>
      <c r="J20" s="872">
        <v>40724</v>
      </c>
      <c r="K20" s="871">
        <v>44561</v>
      </c>
      <c r="L20" s="873">
        <v>5.3400000000000003E-2</v>
      </c>
      <c r="M20" s="870"/>
      <c r="N20" s="598">
        <v>2000</v>
      </c>
      <c r="O20" s="1730">
        <v>3.9399999999999998E-2</v>
      </c>
      <c r="P20" s="1730"/>
      <c r="Q20" s="1730"/>
      <c r="R20" s="520" t="s">
        <v>4989</v>
      </c>
      <c r="S20" s="520" t="s">
        <v>4990</v>
      </c>
      <c r="T20" s="520" t="s">
        <v>5021</v>
      </c>
    </row>
    <row r="21" spans="1:20" ht="15">
      <c r="A21" s="610">
        <v>400091</v>
      </c>
      <c r="B21" s="520" t="s">
        <v>5023</v>
      </c>
      <c r="C21" s="520" t="s">
        <v>5024</v>
      </c>
      <c r="D21" s="598" t="s">
        <v>4735</v>
      </c>
      <c r="E21" s="627">
        <v>185000</v>
      </c>
      <c r="G21" s="598">
        <v>20</v>
      </c>
      <c r="H21" s="598">
        <v>5</v>
      </c>
      <c r="I21" s="871">
        <v>38713</v>
      </c>
      <c r="J21" s="872">
        <v>40543</v>
      </c>
      <c r="K21" s="871">
        <v>46022</v>
      </c>
      <c r="L21" s="873">
        <v>3.39E-2</v>
      </c>
      <c r="M21" s="870">
        <v>4.2000000000000002E-4</v>
      </c>
      <c r="N21" s="598">
        <v>2005</v>
      </c>
      <c r="O21" s="1730">
        <v>0.04</v>
      </c>
      <c r="P21" s="1730"/>
      <c r="Q21" s="1730"/>
      <c r="R21" s="520" t="s">
        <v>4989</v>
      </c>
      <c r="S21" s="520" t="s">
        <v>4990</v>
      </c>
      <c r="T21" s="520" t="s">
        <v>5021</v>
      </c>
    </row>
    <row r="22" spans="1:20" ht="15">
      <c r="A22" s="610">
        <v>400092</v>
      </c>
      <c r="B22" s="520" t="s">
        <v>5025</v>
      </c>
      <c r="C22" s="520" t="s">
        <v>5026</v>
      </c>
      <c r="D22" s="598" t="s">
        <v>4735</v>
      </c>
      <c r="E22" s="627">
        <v>160000</v>
      </c>
      <c r="G22" s="598">
        <v>20</v>
      </c>
      <c r="H22" s="598">
        <v>5</v>
      </c>
      <c r="I22" s="871">
        <v>38713</v>
      </c>
      <c r="J22" s="872">
        <v>40543</v>
      </c>
      <c r="K22" s="871">
        <v>46022</v>
      </c>
      <c r="L22" s="873">
        <v>3.39E-2</v>
      </c>
      <c r="M22" s="870">
        <v>4.2000000000000002E-4</v>
      </c>
      <c r="N22" s="598">
        <v>2005</v>
      </c>
      <c r="O22" s="1730">
        <v>0.04</v>
      </c>
      <c r="P22" s="1730"/>
      <c r="Q22" s="1730"/>
      <c r="R22" s="520" t="s">
        <v>4989</v>
      </c>
      <c r="S22" s="520" t="s">
        <v>4990</v>
      </c>
      <c r="T22" s="520" t="s">
        <v>5021</v>
      </c>
    </row>
    <row r="23" spans="1:20" ht="15">
      <c r="A23" s="610">
        <v>400093</v>
      </c>
      <c r="B23" s="520" t="s">
        <v>5027</v>
      </c>
      <c r="C23" s="520" t="s">
        <v>5028</v>
      </c>
      <c r="D23" s="598" t="s">
        <v>4735</v>
      </c>
      <c r="E23" s="627">
        <v>50000</v>
      </c>
      <c r="G23" s="598">
        <v>20</v>
      </c>
      <c r="H23" s="598">
        <v>5</v>
      </c>
      <c r="I23" s="871">
        <v>38713</v>
      </c>
      <c r="J23" s="872">
        <v>40543</v>
      </c>
      <c r="K23" s="871">
        <v>46022</v>
      </c>
      <c r="L23" s="873">
        <v>3.39E-2</v>
      </c>
      <c r="M23" s="870">
        <v>4.2000000000000002E-4</v>
      </c>
      <c r="N23" s="598">
        <v>2005</v>
      </c>
      <c r="O23" s="1730">
        <v>0.04</v>
      </c>
      <c r="P23" s="1730"/>
      <c r="Q23" s="1730"/>
      <c r="R23" s="520" t="s">
        <v>4989</v>
      </c>
      <c r="S23" s="520" t="s">
        <v>4990</v>
      </c>
      <c r="T23" s="520" t="s">
        <v>5021</v>
      </c>
    </row>
    <row r="24" spans="1:20" ht="15">
      <c r="A24" s="610">
        <v>400094</v>
      </c>
      <c r="B24" s="520" t="s">
        <v>5029</v>
      </c>
      <c r="C24" s="520" t="s">
        <v>5030</v>
      </c>
      <c r="D24" s="598" t="s">
        <v>4735</v>
      </c>
      <c r="E24" s="627">
        <v>191500</v>
      </c>
      <c r="G24" s="598">
        <v>20</v>
      </c>
      <c r="H24" s="598">
        <v>5</v>
      </c>
      <c r="I24" s="871">
        <v>38713</v>
      </c>
      <c r="J24" s="872">
        <v>40543</v>
      </c>
      <c r="K24" s="871">
        <v>46022</v>
      </c>
      <c r="L24" s="873">
        <v>3.39E-2</v>
      </c>
      <c r="M24" s="870">
        <v>4.2000000000000002E-4</v>
      </c>
      <c r="N24" s="598">
        <v>2005</v>
      </c>
      <c r="O24" s="1730">
        <v>0.04</v>
      </c>
      <c r="P24" s="1730"/>
      <c r="Q24" s="1730"/>
      <c r="R24" s="520" t="s">
        <v>4989</v>
      </c>
      <c r="S24" s="520" t="s">
        <v>4990</v>
      </c>
      <c r="T24" s="520" t="s">
        <v>5021</v>
      </c>
    </row>
    <row r="25" spans="1:20" ht="15">
      <c r="A25" s="610">
        <v>400132</v>
      </c>
      <c r="B25" s="520" t="s">
        <v>5031</v>
      </c>
      <c r="C25" s="520" t="s">
        <v>5032</v>
      </c>
      <c r="D25" s="598" t="s">
        <v>4735</v>
      </c>
      <c r="E25" s="627">
        <v>4000000</v>
      </c>
      <c r="G25" s="598">
        <v>15</v>
      </c>
      <c r="H25" s="598">
        <v>15</v>
      </c>
      <c r="I25" s="871">
        <v>43210</v>
      </c>
      <c r="J25" s="872">
        <v>48760</v>
      </c>
      <c r="K25" s="871">
        <v>48760</v>
      </c>
      <c r="L25" s="873">
        <v>1.2789999999999999E-2</v>
      </c>
      <c r="M25" s="870">
        <v>3.6900000000000001E-3</v>
      </c>
      <c r="N25" s="598">
        <v>2018</v>
      </c>
      <c r="O25" s="876"/>
      <c r="P25" s="876"/>
      <c r="Q25" s="876"/>
      <c r="R25" s="520" t="s">
        <v>4989</v>
      </c>
      <c r="S25" s="520" t="s">
        <v>4990</v>
      </c>
    </row>
    <row r="26" spans="1:20" ht="15">
      <c r="A26" s="610">
        <v>200027</v>
      </c>
      <c r="B26" s="520" t="s">
        <v>5033</v>
      </c>
      <c r="C26" s="520" t="s">
        <v>5034</v>
      </c>
      <c r="D26" s="598" t="s">
        <v>4735</v>
      </c>
      <c r="E26" s="627">
        <v>1000000</v>
      </c>
      <c r="G26" s="598">
        <v>15</v>
      </c>
      <c r="H26" s="598">
        <v>15</v>
      </c>
      <c r="I26" s="871">
        <v>41995</v>
      </c>
      <c r="J26" s="872" t="s">
        <v>5035</v>
      </c>
      <c r="K26" s="871">
        <v>47483</v>
      </c>
      <c r="L26" s="873">
        <v>1.7270000000000001E-2</v>
      </c>
      <c r="M26" s="870"/>
      <c r="N26" s="598">
        <v>2014</v>
      </c>
      <c r="O26" s="876"/>
      <c r="P26" s="876"/>
      <c r="Q26" s="876"/>
      <c r="R26" s="520" t="s">
        <v>4989</v>
      </c>
      <c r="S26" s="520" t="s">
        <v>4990</v>
      </c>
    </row>
    <row r="27" spans="1:20" ht="15">
      <c r="A27" s="610">
        <v>200028</v>
      </c>
      <c r="B27" s="520" t="s">
        <v>5036</v>
      </c>
      <c r="C27" s="614" t="s">
        <v>5037</v>
      </c>
      <c r="D27" s="613" t="s">
        <v>4735</v>
      </c>
      <c r="E27" s="627">
        <v>3000000</v>
      </c>
      <c r="G27" s="598">
        <v>15</v>
      </c>
      <c r="H27" s="598">
        <v>10</v>
      </c>
      <c r="I27" s="871">
        <v>42360</v>
      </c>
      <c r="J27" s="872">
        <v>42362</v>
      </c>
      <c r="K27" s="871">
        <v>47839</v>
      </c>
      <c r="L27" s="873">
        <v>1.685E-2</v>
      </c>
      <c r="M27" s="870">
        <v>8.3800000000000003E-3</v>
      </c>
      <c r="N27" s="598">
        <v>2015</v>
      </c>
      <c r="O27" s="876"/>
      <c r="P27" s="876"/>
      <c r="Q27" s="876"/>
      <c r="R27" s="614" t="s">
        <v>4989</v>
      </c>
      <c r="S27" s="520" t="s">
        <v>4990</v>
      </c>
    </row>
    <row r="28" spans="1:20" ht="15">
      <c r="A28" s="610">
        <v>200029</v>
      </c>
      <c r="B28" s="520" t="s">
        <v>8130</v>
      </c>
      <c r="C28" s="520" t="s">
        <v>8129</v>
      </c>
      <c r="D28" s="598" t="s">
        <v>4735</v>
      </c>
      <c r="E28" s="627">
        <v>4600000</v>
      </c>
      <c r="F28" s="627">
        <v>2059949.23</v>
      </c>
      <c r="G28" s="598">
        <v>17</v>
      </c>
      <c r="H28" s="598">
        <v>5</v>
      </c>
      <c r="I28" s="871">
        <v>40710</v>
      </c>
      <c r="K28" s="872">
        <v>47483</v>
      </c>
      <c r="M28" s="870"/>
      <c r="O28" s="876"/>
      <c r="P28" s="598">
        <v>3.72</v>
      </c>
      <c r="Q28" s="4366">
        <v>3.372E-2</v>
      </c>
    </row>
    <row r="29" spans="1:20" hidden="1">
      <c r="A29" s="610">
        <v>1578</v>
      </c>
      <c r="D29" s="598" t="s">
        <v>4735</v>
      </c>
      <c r="F29" s="627">
        <v>72244.350000000006</v>
      </c>
      <c r="G29" s="598">
        <v>20</v>
      </c>
      <c r="H29" s="598">
        <v>3</v>
      </c>
      <c r="J29" s="872">
        <v>41614</v>
      </c>
      <c r="K29" s="871">
        <v>42735</v>
      </c>
      <c r="L29" s="873">
        <v>2.5690000000000001E-2</v>
      </c>
      <c r="O29" s="873">
        <v>3.2149999999999998E-2</v>
      </c>
      <c r="P29" s="873"/>
      <c r="Q29" s="873"/>
    </row>
    <row r="30" spans="1:20" hidden="1">
      <c r="A30" s="610">
        <v>1586</v>
      </c>
      <c r="D30" s="598" t="s">
        <v>4735</v>
      </c>
      <c r="F30" s="627">
        <v>43151.88</v>
      </c>
      <c r="G30" s="598">
        <v>20</v>
      </c>
      <c r="H30" s="598">
        <v>3</v>
      </c>
      <c r="J30" s="872">
        <v>41614</v>
      </c>
      <c r="K30" s="871">
        <v>42735</v>
      </c>
      <c r="L30" s="873">
        <v>2.5690000000000001E-2</v>
      </c>
      <c r="O30" s="873">
        <v>3.2149999999999998E-2</v>
      </c>
      <c r="P30" s="873"/>
      <c r="Q30" s="873"/>
    </row>
    <row r="31" spans="1:20" hidden="1">
      <c r="A31" s="610">
        <v>1596</v>
      </c>
      <c r="D31" s="598" t="s">
        <v>4735</v>
      </c>
      <c r="F31" s="627">
        <v>11970.01</v>
      </c>
      <c r="G31" s="598">
        <v>20</v>
      </c>
      <c r="H31" s="598">
        <v>3</v>
      </c>
      <c r="J31" s="872">
        <v>40365</v>
      </c>
      <c r="K31" s="871">
        <v>42644</v>
      </c>
      <c r="L31" s="873">
        <v>4.8660000000000002E-2</v>
      </c>
      <c r="O31" s="873">
        <v>3.3439999999999998E-2</v>
      </c>
      <c r="P31" s="873"/>
      <c r="Q31" s="873"/>
    </row>
    <row r="32" spans="1:20" hidden="1">
      <c r="A32" s="610">
        <v>1620</v>
      </c>
      <c r="D32" s="598" t="s">
        <v>4735</v>
      </c>
      <c r="F32" s="627">
        <v>33023.15</v>
      </c>
      <c r="G32" s="598">
        <v>20</v>
      </c>
      <c r="H32" s="598">
        <v>5</v>
      </c>
      <c r="J32" s="872">
        <v>40365</v>
      </c>
      <c r="K32" s="871">
        <v>42826</v>
      </c>
      <c r="L32" s="873">
        <v>3.882E-2</v>
      </c>
      <c r="O32" s="873">
        <v>3.1899999999999998E-2</v>
      </c>
      <c r="P32" s="873"/>
      <c r="Q32" s="873"/>
    </row>
    <row r="33" spans="1:17" hidden="1">
      <c r="A33" s="610">
        <v>1627</v>
      </c>
      <c r="D33" s="598" t="s">
        <v>4735</v>
      </c>
      <c r="F33" s="627">
        <v>139660.53</v>
      </c>
      <c r="G33" s="598">
        <v>20</v>
      </c>
      <c r="H33" s="598">
        <v>5</v>
      </c>
      <c r="J33" s="872">
        <v>40365</v>
      </c>
      <c r="K33" s="871">
        <v>42917</v>
      </c>
      <c r="L33" s="873">
        <v>3.9600000000000003E-2</v>
      </c>
      <c r="O33" s="873">
        <v>3.3360000000000001E-2</v>
      </c>
      <c r="P33" s="873"/>
      <c r="Q33" s="873"/>
    </row>
    <row r="34" spans="1:17" hidden="1">
      <c r="A34" s="610">
        <v>1628</v>
      </c>
      <c r="D34" s="598" t="s">
        <v>4735</v>
      </c>
      <c r="F34" s="627">
        <v>18993.810000000001</v>
      </c>
      <c r="G34" s="598">
        <v>20</v>
      </c>
      <c r="H34" s="598">
        <v>5</v>
      </c>
      <c r="J34" s="872">
        <v>40365</v>
      </c>
      <c r="K34" s="871">
        <v>42917</v>
      </c>
      <c r="L34" s="873">
        <v>3.9600000000000003E-2</v>
      </c>
      <c r="O34" s="873">
        <v>3.3360000000000001E-2</v>
      </c>
      <c r="P34" s="873"/>
      <c r="Q34" s="873"/>
    </row>
    <row r="35" spans="1:17">
      <c r="O35" s="873"/>
      <c r="P35" s="873"/>
      <c r="Q35" s="873"/>
    </row>
  </sheetData>
  <autoFilter ref="A3:T18" xr:uid="{00000000-0009-0000-0000-00004C000000}"/>
  <mergeCells count="1">
    <mergeCell ref="A1:I1"/>
  </mergeCells>
  <hyperlinks>
    <hyperlink ref="A1:I1" location="FINANCIËN!A1" display="Inventaris leningen" xr:uid="{00000000-0004-0000-4C00-000000000000}"/>
  </hyperlinks>
  <pageMargins left="0.75" right="0.75" top="1" bottom="1" header="0.5" footer="0.5"/>
  <pageSetup paperSize="9" scale="63" fitToHeight="0" orientation="landscape" r:id="rId1"/>
  <headerFooter alignWithMargins="0"/>
  <legacy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EBD531"/>
  </sheetPr>
  <dimension ref="A1:AG45"/>
  <sheetViews>
    <sheetView workbookViewId="0">
      <selection sqref="A1:P1"/>
    </sheetView>
  </sheetViews>
  <sheetFormatPr defaultColWidth="9.140625" defaultRowHeight="12.75"/>
  <cols>
    <col min="1" max="1" width="9.42578125" style="395" bestFit="1" customWidth="1"/>
    <col min="2" max="2" width="11.7109375" style="1633" bestFit="1" customWidth="1"/>
    <col min="3" max="3" width="11.5703125" style="395" customWidth="1"/>
    <col min="4" max="4" width="9.42578125" style="395" bestFit="1" customWidth="1"/>
    <col min="5" max="5" width="10.42578125" style="1634" bestFit="1" customWidth="1"/>
    <col min="6" max="6" width="5.5703125" style="395" customWidth="1"/>
    <col min="7" max="7" width="15.5703125" style="1635" bestFit="1" customWidth="1"/>
    <col min="8" max="8" width="6.7109375" style="1633" customWidth="1"/>
    <col min="9" max="9" width="10.42578125" style="1636" bestFit="1" customWidth="1"/>
    <col min="10" max="10" width="7.5703125" style="395" customWidth="1"/>
    <col min="11" max="11" width="16" style="1636" customWidth="1"/>
    <col min="12" max="12" width="6.42578125" style="395" customWidth="1"/>
    <col min="13" max="13" width="9.28515625" style="395" hidden="1" customWidth="1"/>
    <col min="14" max="14" width="0" style="395" hidden="1" customWidth="1"/>
    <col min="15" max="15" width="10.7109375" style="395" hidden="1" customWidth="1"/>
    <col min="16" max="18" width="0" style="395" hidden="1" customWidth="1"/>
    <col min="19" max="20" width="9.140625" style="395"/>
    <col min="21" max="21" width="9.42578125" style="395" bestFit="1" customWidth="1"/>
    <col min="22" max="22" width="10.7109375" style="395" customWidth="1"/>
    <col min="23" max="23" width="9.7109375" style="395" bestFit="1" customWidth="1"/>
    <col min="24" max="24" width="9.28515625" style="395" bestFit="1" customWidth="1"/>
    <col min="25" max="25" width="10.7109375" style="395" customWidth="1"/>
    <col min="26" max="26" width="9.42578125" style="395" bestFit="1" customWidth="1"/>
    <col min="27" max="27" width="10.7109375" style="395" customWidth="1"/>
    <col min="28" max="28" width="9.42578125" style="395" bestFit="1" customWidth="1"/>
    <col min="29" max="29" width="10.7109375" style="395" customWidth="1"/>
    <col min="30" max="30" width="9.42578125" style="395" bestFit="1" customWidth="1"/>
    <col min="31" max="31" width="10.7109375" style="1632" customWidth="1"/>
    <col min="32" max="32" width="9.42578125" style="395" bestFit="1" customWidth="1"/>
    <col min="33" max="16384" width="9.140625" style="395"/>
  </cols>
  <sheetData>
    <row r="1" spans="1:32" ht="21">
      <c r="A1" s="4757" t="s">
        <v>4707</v>
      </c>
      <c r="B1" s="4758"/>
      <c r="C1" s="4758"/>
      <c r="D1" s="4758"/>
      <c r="E1" s="4758"/>
      <c r="F1" s="4758"/>
      <c r="G1" s="4758"/>
      <c r="H1" s="4758"/>
      <c r="I1" s="4758"/>
      <c r="J1" s="4758"/>
      <c r="K1" s="4758"/>
      <c r="L1" s="4758"/>
      <c r="M1" s="4758"/>
      <c r="N1" s="4758"/>
      <c r="O1" s="4758"/>
      <c r="P1" s="4758"/>
    </row>
    <row r="2" spans="1:32" s="1661" customFormat="1" ht="19.5" customHeight="1">
      <c r="A2" s="1678" t="s">
        <v>626</v>
      </c>
      <c r="B2" s="1662"/>
      <c r="E2" s="1663"/>
      <c r="G2" s="1663"/>
      <c r="H2" s="1662"/>
      <c r="I2" s="1664"/>
      <c r="K2" s="1664"/>
      <c r="U2" s="1678" t="s">
        <v>625</v>
      </c>
      <c r="AE2" s="1665"/>
    </row>
    <row r="3" spans="1:32" s="1661" customFormat="1" ht="15.75" thickBot="1">
      <c r="B3" s="1662"/>
      <c r="E3" s="1663"/>
      <c r="G3" s="1663"/>
      <c r="H3" s="1662"/>
      <c r="I3" s="1664"/>
      <c r="K3" s="1664"/>
      <c r="AE3" s="1665"/>
    </row>
    <row r="4" spans="1:32" s="1661" customFormat="1" ht="21" customHeight="1" thickBot="1">
      <c r="A4" s="1696" t="s">
        <v>726</v>
      </c>
      <c r="B4" s="1697" t="s">
        <v>989</v>
      </c>
      <c r="C4" s="1698" t="s">
        <v>2567</v>
      </c>
      <c r="D4" s="1698" t="s">
        <v>636</v>
      </c>
      <c r="E4" s="1697" t="s">
        <v>4708</v>
      </c>
      <c r="F4" s="1698" t="s">
        <v>636</v>
      </c>
      <c r="G4" s="1697" t="s">
        <v>1163</v>
      </c>
      <c r="H4" s="1698" t="s">
        <v>636</v>
      </c>
      <c r="I4" s="1697" t="s">
        <v>47</v>
      </c>
      <c r="J4" s="1698" t="s">
        <v>636</v>
      </c>
      <c r="K4" s="1697" t="s">
        <v>8</v>
      </c>
      <c r="L4" s="1699" t="s">
        <v>636</v>
      </c>
      <c r="U4" s="1696" t="s">
        <v>726</v>
      </c>
      <c r="V4" s="1697" t="s">
        <v>989</v>
      </c>
      <c r="W4" s="1698" t="s">
        <v>2567</v>
      </c>
      <c r="X4" s="1698" t="s">
        <v>636</v>
      </c>
      <c r="Y4" s="1697" t="s">
        <v>4708</v>
      </c>
      <c r="Z4" s="1698" t="s">
        <v>636</v>
      </c>
      <c r="AA4" s="1700" t="s">
        <v>1163</v>
      </c>
      <c r="AB4" s="1698" t="s">
        <v>636</v>
      </c>
      <c r="AC4" s="1697" t="s">
        <v>47</v>
      </c>
      <c r="AD4" s="1698" t="s">
        <v>636</v>
      </c>
      <c r="AE4" s="1701" t="s">
        <v>8</v>
      </c>
      <c r="AF4" s="1699" t="s">
        <v>636</v>
      </c>
    </row>
    <row r="5" spans="1:32" s="1661" customFormat="1" ht="15">
      <c r="A5" s="1637">
        <v>1995</v>
      </c>
      <c r="B5" s="1638">
        <v>4671567</v>
      </c>
      <c r="C5" s="1666">
        <v>784038</v>
      </c>
      <c r="D5" s="1666"/>
      <c r="E5" s="1638">
        <v>1133865</v>
      </c>
      <c r="F5" s="1666"/>
      <c r="G5" s="1640">
        <v>1176800</v>
      </c>
      <c r="H5" s="1667"/>
      <c r="I5" s="1638">
        <v>2166191</v>
      </c>
      <c r="J5" s="1668"/>
      <c r="K5" s="1640">
        <f>B5+E5+G5+I5</f>
        <v>9148423</v>
      </c>
      <c r="L5" s="1669"/>
      <c r="U5" s="1637">
        <v>1995</v>
      </c>
      <c r="V5" s="1638">
        <f>188833057/40.3399</f>
        <v>4681049.2093436029</v>
      </c>
      <c r="W5" s="1666">
        <f>C5</f>
        <v>784038</v>
      </c>
      <c r="X5" s="1666"/>
      <c r="Y5" s="1638">
        <f>51832352/40.3399</f>
        <v>1284890.4434567264</v>
      </c>
      <c r="Z5" s="1666"/>
      <c r="AA5" s="1640">
        <f>50256215/40.3399</f>
        <v>1245819.0278111745</v>
      </c>
      <c r="AB5" s="1667"/>
      <c r="AC5" s="1638">
        <f>90533535/40.3399</f>
        <v>2244267.7101331437</v>
      </c>
      <c r="AD5" s="1668"/>
      <c r="AE5" s="1670">
        <f>V5+Y5+AA5+AC5</f>
        <v>9456026.390744647</v>
      </c>
      <c r="AF5" s="1669"/>
    </row>
    <row r="6" spans="1:32" s="1661" customFormat="1" ht="18" customHeight="1">
      <c r="A6" s="1637">
        <v>1996</v>
      </c>
      <c r="B6" s="1638">
        <v>4903617</v>
      </c>
      <c r="C6" s="1666">
        <v>879608</v>
      </c>
      <c r="D6" s="1671">
        <f>((B6-C6)-(B5-C5))/(B5-C5)</f>
        <v>3.5107133605948665E-2</v>
      </c>
      <c r="E6" s="1638">
        <v>1261139</v>
      </c>
      <c r="F6" s="1672">
        <f>(E6-E5)/E5</f>
        <v>0.1122479307501334</v>
      </c>
      <c r="G6" s="1640">
        <v>1382252</v>
      </c>
      <c r="H6" s="1673">
        <f>(G6-G5)/G5</f>
        <v>0.17458531611148878</v>
      </c>
      <c r="I6" s="1638">
        <v>2194145</v>
      </c>
      <c r="J6" s="1672">
        <f>(I6-I5)/I5</f>
        <v>1.2904679227270356E-2</v>
      </c>
      <c r="K6" s="1640">
        <f t="shared" ref="K6:K25" si="0">B6+E6+G6+I6</f>
        <v>9741153</v>
      </c>
      <c r="L6" s="1643">
        <f>(K6-K5)/K5</f>
        <v>6.4790401580687731E-2</v>
      </c>
      <c r="U6" s="1637">
        <v>1996</v>
      </c>
      <c r="V6" s="1638">
        <f>198044917/40.3399</f>
        <v>4909405.2538553644</v>
      </c>
      <c r="W6" s="1666">
        <f t="shared" ref="W6:W16" si="1">C6</f>
        <v>879608</v>
      </c>
      <c r="X6" s="1671">
        <f>((V6-W6)-(V5-W5))/(V5-W5)</f>
        <v>3.4073816414330375E-2</v>
      </c>
      <c r="Y6" s="1638">
        <f>57814959/40.3399</f>
        <v>1433195.3971130319</v>
      </c>
      <c r="Z6" s="1672">
        <f>(Y6-Y5)/Y5</f>
        <v>0.11542225596862749</v>
      </c>
      <c r="AA6" s="1640">
        <f>62427569/40.3399</f>
        <v>1547539.0122434611</v>
      </c>
      <c r="AB6" s="1673">
        <f>(AA6-AA5)/AA5</f>
        <v>0.24218604604425537</v>
      </c>
      <c r="AC6" s="1638">
        <f>95183811/40.3399</f>
        <v>2359545.0410139835</v>
      </c>
      <c r="AD6" s="1672">
        <f>(AC6-AC5)/AC5</f>
        <v>5.1365231679067772E-2</v>
      </c>
      <c r="AE6" s="1670">
        <f t="shared" ref="AE6:AE18" si="2">V6+Y6+AA6+AC6</f>
        <v>10249684.70422584</v>
      </c>
      <c r="AF6" s="1643">
        <f>(AE6-AE5)/AE5</f>
        <v>8.3931482494381413E-2</v>
      </c>
    </row>
    <row r="7" spans="1:32" s="1661" customFormat="1" ht="15">
      <c r="A7" s="1637">
        <v>1997</v>
      </c>
      <c r="B7" s="1638">
        <v>5044580</v>
      </c>
      <c r="C7" s="1666">
        <v>895511</v>
      </c>
      <c r="D7" s="1671">
        <f>((B7-C7)-(B6-C6))/(B6-C6)</f>
        <v>3.1078459317561168E-2</v>
      </c>
      <c r="E7" s="1638">
        <v>1322032</v>
      </c>
      <c r="F7" s="1672">
        <f t="shared" ref="F7:F27" si="3">(E7-E6)/E6</f>
        <v>4.8284130456674484E-2</v>
      </c>
      <c r="G7" s="1640">
        <v>1556978</v>
      </c>
      <c r="H7" s="1673">
        <f t="shared" ref="H7:H27" si="4">(G7-G6)/G6</f>
        <v>0.12640676229804695</v>
      </c>
      <c r="I7" s="1638">
        <v>2031640</v>
      </c>
      <c r="J7" s="1672">
        <f t="shared" ref="J7:J27" si="5">(I7-I6)/I6</f>
        <v>-7.4063017713049961E-2</v>
      </c>
      <c r="K7" s="1640">
        <f t="shared" si="0"/>
        <v>9955230</v>
      </c>
      <c r="L7" s="1643">
        <f t="shared" ref="L7:L27" si="6">(K7-K6)/K6</f>
        <v>2.1976556573949715E-2</v>
      </c>
      <c r="U7" s="1637">
        <v>1997</v>
      </c>
      <c r="V7" s="1638">
        <f>204010014/40.3399</f>
        <v>5057276.1459497912</v>
      </c>
      <c r="W7" s="1666">
        <f t="shared" si="1"/>
        <v>895511</v>
      </c>
      <c r="X7" s="1671">
        <f>((V7-W7)-(V6-W6))/(V6-W6)</f>
        <v>3.2748022736918396E-2</v>
      </c>
      <c r="Y7" s="1638">
        <f>63648704/40.3399</f>
        <v>1577810.1581808582</v>
      </c>
      <c r="Z7" s="1672">
        <f t="shared" ref="Z7:Z20" si="7">(Y7-Y6)/Y6</f>
        <v>0.10090372977692515</v>
      </c>
      <c r="AA7" s="1640">
        <f>64613361/40.3399</f>
        <v>1601723.3805735761</v>
      </c>
      <c r="AB7" s="1673">
        <f t="shared" ref="AB7:AB20" si="8">(AA7-AA6)/AA6</f>
        <v>3.501324871388161E-2</v>
      </c>
      <c r="AC7" s="1638">
        <f>89153730/40.3399</f>
        <v>2210063.2376381694</v>
      </c>
      <c r="AD7" s="1672">
        <f t="shared" ref="AD7:AD18" si="9">(AC7-AC6)/AC6</f>
        <v>-6.3351960135321794E-2</v>
      </c>
      <c r="AE7" s="1670">
        <f t="shared" si="2"/>
        <v>10446872.922342395</v>
      </c>
      <c r="AF7" s="1643">
        <f t="shared" ref="AF7:AF20" si="10">(AE7-AE6)/AE6</f>
        <v>1.9238466724274619E-2</v>
      </c>
    </row>
    <row r="8" spans="1:32" s="1661" customFormat="1" ht="15">
      <c r="A8" s="1637">
        <v>1998</v>
      </c>
      <c r="B8" s="1638">
        <v>5075415</v>
      </c>
      <c r="C8" s="1638">
        <v>833893</v>
      </c>
      <c r="D8" s="1671">
        <f t="shared" ref="D8:D27" si="11">((B8-C8)-(B7-C7))/(B7-C7)</f>
        <v>2.2282830196364532E-2</v>
      </c>
      <c r="E8" s="1638">
        <v>1457954</v>
      </c>
      <c r="F8" s="1672">
        <f t="shared" si="3"/>
        <v>0.10281294250063538</v>
      </c>
      <c r="G8" s="1640">
        <v>1667626</v>
      </c>
      <c r="H8" s="1673">
        <f t="shared" si="4"/>
        <v>7.106587247860921E-2</v>
      </c>
      <c r="I8" s="1638">
        <v>1970150</v>
      </c>
      <c r="J8" s="1672">
        <f t="shared" si="5"/>
        <v>-3.0266188891732788E-2</v>
      </c>
      <c r="K8" s="1640">
        <f t="shared" si="0"/>
        <v>10171145</v>
      </c>
      <c r="L8" s="1643">
        <f t="shared" si="6"/>
        <v>2.1688599861580296E-2</v>
      </c>
      <c r="U8" s="1637">
        <v>1998</v>
      </c>
      <c r="V8" s="1638">
        <f>210947146/40.3399</f>
        <v>5229243.1562795145</v>
      </c>
      <c r="W8" s="1666">
        <f t="shared" si="1"/>
        <v>833893</v>
      </c>
      <c r="X8" s="1671">
        <f t="shared" ref="X8:X20" si="12">((V8-W8)-(V7-W7))/(V7-W7)</f>
        <v>5.6126427642618687E-2</v>
      </c>
      <c r="Y8" s="1638">
        <f>68785105/40.3399</f>
        <v>1705138.2130347374</v>
      </c>
      <c r="Z8" s="1672">
        <f t="shared" si="7"/>
        <v>8.0699223663689978E-2</v>
      </c>
      <c r="AA8" s="1640">
        <f>69541607/40.3399</f>
        <v>1723891.4077625379</v>
      </c>
      <c r="AB8" s="1673">
        <f t="shared" si="8"/>
        <v>7.6272862512135872E-2</v>
      </c>
      <c r="AC8" s="1638">
        <f>86822137/40.3399</f>
        <v>2152264.5569275087</v>
      </c>
      <c r="AD8" s="1672">
        <f t="shared" si="9"/>
        <v>-2.6152500854422851E-2</v>
      </c>
      <c r="AE8" s="1670">
        <f t="shared" si="2"/>
        <v>10810537.334004298</v>
      </c>
      <c r="AF8" s="1643">
        <f t="shared" si="10"/>
        <v>3.4810839029557346E-2</v>
      </c>
    </row>
    <row r="9" spans="1:32" s="1661" customFormat="1" ht="15">
      <c r="A9" s="1637">
        <v>1999</v>
      </c>
      <c r="B9" s="1638">
        <v>5185515</v>
      </c>
      <c r="C9" s="1666">
        <v>833893</v>
      </c>
      <c r="D9" s="1671">
        <f t="shared" si="11"/>
        <v>2.5957663310481473E-2</v>
      </c>
      <c r="E9" s="1638">
        <v>1590312</v>
      </c>
      <c r="F9" s="1672">
        <f t="shared" si="3"/>
        <v>9.0783385484041329E-2</v>
      </c>
      <c r="G9" s="1640">
        <v>1712700</v>
      </c>
      <c r="H9" s="1673">
        <f t="shared" si="4"/>
        <v>2.7028842198430582E-2</v>
      </c>
      <c r="I9" s="1638">
        <v>2133998</v>
      </c>
      <c r="J9" s="1672">
        <f t="shared" si="5"/>
        <v>8.3165241225287415E-2</v>
      </c>
      <c r="K9" s="1640">
        <f t="shared" si="0"/>
        <v>10622525</v>
      </c>
      <c r="L9" s="1643">
        <f t="shared" si="6"/>
        <v>4.4378484428252672E-2</v>
      </c>
      <c r="U9" s="1637">
        <v>1999</v>
      </c>
      <c r="V9" s="1638">
        <f>221327322/40.3399</f>
        <v>5486560.9979201732</v>
      </c>
      <c r="W9" s="1666">
        <f t="shared" si="1"/>
        <v>833893</v>
      </c>
      <c r="X9" s="1671">
        <f t="shared" si="12"/>
        <v>5.8543195079244333E-2</v>
      </c>
      <c r="Y9" s="1638">
        <f>75375700/40.3399</f>
        <v>1868514.795525026</v>
      </c>
      <c r="Z9" s="1672">
        <f t="shared" si="7"/>
        <v>9.5814275488857584E-2</v>
      </c>
      <c r="AA9" s="1640">
        <f>72049889/40.3399</f>
        <v>1786070.0943730648</v>
      </c>
      <c r="AB9" s="1673">
        <f t="shared" si="8"/>
        <v>3.6068795476641671E-2</v>
      </c>
      <c r="AC9" s="1638">
        <f>88318436/40.3399</f>
        <v>2189356.8402499757</v>
      </c>
      <c r="AD9" s="1672">
        <f t="shared" si="9"/>
        <v>1.7234072457810921E-2</v>
      </c>
      <c r="AE9" s="1670">
        <f t="shared" si="2"/>
        <v>11330502.72806824</v>
      </c>
      <c r="AF9" s="1643">
        <f t="shared" si="10"/>
        <v>4.8098015667399151E-2</v>
      </c>
    </row>
    <row r="10" spans="1:32" s="1661" customFormat="1" ht="15">
      <c r="A10" s="1637">
        <v>2000</v>
      </c>
      <c r="B10" s="1638">
        <v>5653249</v>
      </c>
      <c r="C10" s="1666">
        <v>852114</v>
      </c>
      <c r="D10" s="1671">
        <f t="shared" si="11"/>
        <v>0.10329780481852514</v>
      </c>
      <c r="E10" s="1638">
        <v>1817857</v>
      </c>
      <c r="F10" s="1672">
        <f t="shared" si="3"/>
        <v>0.14308198642782044</v>
      </c>
      <c r="G10" s="1640">
        <v>1841759</v>
      </c>
      <c r="H10" s="1673">
        <f t="shared" si="4"/>
        <v>7.5354119226951594E-2</v>
      </c>
      <c r="I10" s="1638">
        <v>2349333</v>
      </c>
      <c r="J10" s="1672">
        <f t="shared" si="5"/>
        <v>0.10090684246189546</v>
      </c>
      <c r="K10" s="1640">
        <f t="shared" si="0"/>
        <v>11662198</v>
      </c>
      <c r="L10" s="1643">
        <f t="shared" si="6"/>
        <v>9.7874375442750197E-2</v>
      </c>
      <c r="U10" s="1637">
        <v>2000</v>
      </c>
      <c r="V10" s="1638">
        <f>233850690/40.3399</f>
        <v>5797007.181475413</v>
      </c>
      <c r="W10" s="1666">
        <f t="shared" si="1"/>
        <v>852114</v>
      </c>
      <c r="X10" s="1671">
        <f>((V10-W10)-(V9-W9))/(V9-W9)</f>
        <v>6.2808088538849061E-2</v>
      </c>
      <c r="Y10" s="1638">
        <f>83433737/40.3399</f>
        <v>2068268.314993344</v>
      </c>
      <c r="Z10" s="1672">
        <f t="shared" si="7"/>
        <v>0.10690497070010627</v>
      </c>
      <c r="AA10" s="1640">
        <f>76715715/40.3399</f>
        <v>1901732.8996849274</v>
      </c>
      <c r="AB10" s="1673">
        <f t="shared" si="8"/>
        <v>6.47582677053119E-2</v>
      </c>
      <c r="AC10" s="1638">
        <f>97088889/40.3399</f>
        <v>2406770.6910527791</v>
      </c>
      <c r="AD10" s="1672">
        <f t="shared" si="9"/>
        <v>9.9304894846643454E-2</v>
      </c>
      <c r="AE10" s="1670">
        <f t="shared" si="2"/>
        <v>12173779.087206464</v>
      </c>
      <c r="AF10" s="1643">
        <f t="shared" si="10"/>
        <v>7.4425325987454757E-2</v>
      </c>
    </row>
    <row r="11" spans="1:32" s="1661" customFormat="1" ht="15">
      <c r="A11" s="1637">
        <v>2001</v>
      </c>
      <c r="B11" s="1638">
        <v>6139974</v>
      </c>
      <c r="C11" s="1666">
        <v>885062</v>
      </c>
      <c r="D11" s="1671">
        <f t="shared" si="11"/>
        <v>9.4514526252646516E-2</v>
      </c>
      <c r="E11" s="1638">
        <v>1721501</v>
      </c>
      <c r="F11" s="1672">
        <f t="shared" si="3"/>
        <v>-5.3005269391376772E-2</v>
      </c>
      <c r="G11" s="1640">
        <v>1896691</v>
      </c>
      <c r="H11" s="1673">
        <f t="shared" si="4"/>
        <v>2.9825834976237392E-2</v>
      </c>
      <c r="I11" s="1638">
        <v>2587591</v>
      </c>
      <c r="J11" s="1672">
        <f t="shared" si="5"/>
        <v>0.10141516762417248</v>
      </c>
      <c r="K11" s="1640">
        <f t="shared" si="0"/>
        <v>12345757</v>
      </c>
      <c r="L11" s="1643">
        <f t="shared" si="6"/>
        <v>5.8613221967248372E-2</v>
      </c>
      <c r="M11" s="1674"/>
      <c r="U11" s="1637">
        <v>2001</v>
      </c>
      <c r="V11" s="1638">
        <f>255999464/40.3399</f>
        <v>6346060.9471020009</v>
      </c>
      <c r="W11" s="1666">
        <f t="shared" si="1"/>
        <v>885062</v>
      </c>
      <c r="X11" s="1671">
        <f t="shared" si="12"/>
        <v>0.10437146904609108</v>
      </c>
      <c r="Y11" s="1638">
        <f>75926526/40.3399</f>
        <v>1882169.4153927006</v>
      </c>
      <c r="Z11" s="1672">
        <f t="shared" si="7"/>
        <v>-8.9978122399096139E-2</v>
      </c>
      <c r="AA11" s="1640">
        <f>77188918/40.3399</f>
        <v>1913463.2956452544</v>
      </c>
      <c r="AB11" s="1673">
        <f t="shared" si="8"/>
        <v>6.1682668277287817E-3</v>
      </c>
      <c r="AC11" s="1638">
        <f>107306349/40.3399</f>
        <v>2660054.9084157371</v>
      </c>
      <c r="AD11" s="1672">
        <f t="shared" si="9"/>
        <v>0.10523820084088087</v>
      </c>
      <c r="AE11" s="1670">
        <f t="shared" si="2"/>
        <v>12801748.566555692</v>
      </c>
      <c r="AF11" s="1643">
        <f t="shared" si="10"/>
        <v>5.158377483694989E-2</v>
      </c>
    </row>
    <row r="12" spans="1:32" s="1661" customFormat="1" ht="15">
      <c r="A12" s="1637">
        <v>2002</v>
      </c>
      <c r="B12" s="1638">
        <v>5436148</v>
      </c>
      <c r="C12" s="1666">
        <v>937218</v>
      </c>
      <c r="D12" s="1671">
        <f t="shared" si="11"/>
        <v>-0.14386197142787549</v>
      </c>
      <c r="E12" s="1638">
        <v>1637900</v>
      </c>
      <c r="F12" s="1675">
        <f t="shared" si="3"/>
        <v>-4.8562852998633173E-2</v>
      </c>
      <c r="G12" s="1640">
        <v>3045827</v>
      </c>
      <c r="H12" s="1676">
        <f t="shared" si="4"/>
        <v>0.60586358030907517</v>
      </c>
      <c r="I12" s="1638">
        <v>2570941</v>
      </c>
      <c r="J12" s="1675">
        <f t="shared" si="5"/>
        <v>-6.4345563112562995E-3</v>
      </c>
      <c r="K12" s="1640">
        <f t="shared" si="0"/>
        <v>12690816</v>
      </c>
      <c r="L12" s="1643">
        <f t="shared" si="6"/>
        <v>2.794960244236137E-2</v>
      </c>
      <c r="M12" s="1677" t="s">
        <v>655</v>
      </c>
      <c r="N12" s="1677" t="s">
        <v>626</v>
      </c>
      <c r="O12" s="1678"/>
      <c r="P12" s="1678" t="s">
        <v>655</v>
      </c>
      <c r="Q12" s="1678" t="s">
        <v>626</v>
      </c>
      <c r="U12" s="1637">
        <v>2002</v>
      </c>
      <c r="V12" s="1638">
        <v>5618757</v>
      </c>
      <c r="W12" s="1666">
        <f t="shared" si="1"/>
        <v>937218</v>
      </c>
      <c r="X12" s="1671">
        <f t="shared" si="12"/>
        <v>-0.1427321181806194</v>
      </c>
      <c r="Y12" s="1638">
        <v>1803730</v>
      </c>
      <c r="Z12" s="1679">
        <f t="shared" si="7"/>
        <v>-4.1675002659808273E-2</v>
      </c>
      <c r="AA12" s="1640">
        <v>3054731</v>
      </c>
      <c r="AB12" s="1680">
        <f t="shared" si="8"/>
        <v>0.59644086560327225</v>
      </c>
      <c r="AC12" s="1638">
        <v>2643604</v>
      </c>
      <c r="AD12" s="1679">
        <f t="shared" si="9"/>
        <v>-6.184424375485862E-3</v>
      </c>
      <c r="AE12" s="1670">
        <f t="shared" si="2"/>
        <v>13120822</v>
      </c>
      <c r="AF12" s="1643">
        <f t="shared" si="10"/>
        <v>2.4924207172595234E-2</v>
      </c>
    </row>
    <row r="13" spans="1:32" s="1661" customFormat="1" ht="15">
      <c r="A13" s="1637">
        <v>2003</v>
      </c>
      <c r="B13" s="1638">
        <v>5477460</v>
      </c>
      <c r="C13" s="1666">
        <v>820779</v>
      </c>
      <c r="D13" s="1671">
        <f t="shared" si="11"/>
        <v>3.5064115245180522E-2</v>
      </c>
      <c r="E13" s="1638">
        <v>1859293</v>
      </c>
      <c r="F13" s="1675">
        <f t="shared" si="3"/>
        <v>0.13516881372489162</v>
      </c>
      <c r="G13" s="1640">
        <v>2896811</v>
      </c>
      <c r="H13" s="1673">
        <f t="shared" si="4"/>
        <v>-4.8924643454798973E-2</v>
      </c>
      <c r="I13" s="1638">
        <v>2613602</v>
      </c>
      <c r="J13" s="1672">
        <f t="shared" si="5"/>
        <v>1.6593535207536852E-2</v>
      </c>
      <c r="K13" s="1640">
        <f t="shared" si="0"/>
        <v>12847166</v>
      </c>
      <c r="L13" s="1643">
        <f t="shared" si="6"/>
        <v>1.2319932776584264E-2</v>
      </c>
      <c r="M13" s="1674">
        <v>5663103</v>
      </c>
      <c r="N13" s="1674">
        <f t="shared" ref="N13:N27" si="13">B13</f>
        <v>5477460</v>
      </c>
      <c r="O13" s="1645">
        <f>N13/M13</f>
        <v>0.9672188551047014</v>
      </c>
      <c r="P13" s="1674">
        <v>2113965</v>
      </c>
      <c r="Q13" s="1674">
        <f t="shared" ref="Q13:Q27" si="14">E13</f>
        <v>1859293</v>
      </c>
      <c r="R13" s="1646">
        <f>Q13/P13</f>
        <v>0.87952875284122489</v>
      </c>
      <c r="U13" s="1637">
        <v>2003</v>
      </c>
      <c r="V13" s="1638">
        <v>5663103</v>
      </c>
      <c r="W13" s="1666">
        <f t="shared" si="1"/>
        <v>820779</v>
      </c>
      <c r="X13" s="1671">
        <f t="shared" si="12"/>
        <v>3.4344475182199699E-2</v>
      </c>
      <c r="Y13" s="1638">
        <v>2113965</v>
      </c>
      <c r="Z13" s="1679">
        <f t="shared" si="7"/>
        <v>0.17199636309203706</v>
      </c>
      <c r="AA13" s="1640">
        <v>2946051</v>
      </c>
      <c r="AB13" s="1673">
        <f t="shared" si="8"/>
        <v>-3.5577600777286118E-2</v>
      </c>
      <c r="AC13" s="1638">
        <v>2697896</v>
      </c>
      <c r="AD13" s="1672">
        <f t="shared" si="9"/>
        <v>2.0537115241163199E-2</v>
      </c>
      <c r="AE13" s="1670">
        <f t="shared" si="2"/>
        <v>13421015</v>
      </c>
      <c r="AF13" s="1643">
        <f t="shared" si="10"/>
        <v>2.2879130591055955E-2</v>
      </c>
    </row>
    <row r="14" spans="1:32" s="1661" customFormat="1" ht="15">
      <c r="A14" s="1637">
        <v>2004</v>
      </c>
      <c r="B14" s="1638">
        <v>5882241</v>
      </c>
      <c r="C14" s="1666">
        <v>940559</v>
      </c>
      <c r="D14" s="1671">
        <f t="shared" si="11"/>
        <v>6.1202603313389947E-2</v>
      </c>
      <c r="E14" s="1638">
        <v>2009638</v>
      </c>
      <c r="F14" s="1672">
        <f t="shared" si="3"/>
        <v>8.086138118091124E-2</v>
      </c>
      <c r="G14" s="1640">
        <v>3021921</v>
      </c>
      <c r="H14" s="1673">
        <f t="shared" si="4"/>
        <v>4.3188872177025009E-2</v>
      </c>
      <c r="I14" s="1638">
        <v>2720779</v>
      </c>
      <c r="J14" s="1672">
        <f t="shared" si="5"/>
        <v>4.1007391331962559E-2</v>
      </c>
      <c r="K14" s="1640">
        <f t="shared" si="0"/>
        <v>13634579</v>
      </c>
      <c r="L14" s="1643">
        <f t="shared" si="6"/>
        <v>6.1290793627170381E-2</v>
      </c>
      <c r="M14" s="1674">
        <v>6259959</v>
      </c>
      <c r="N14" s="1674">
        <f t="shared" si="13"/>
        <v>5882241</v>
      </c>
      <c r="O14" s="1645">
        <f>N14/M14</f>
        <v>0.93966126615206269</v>
      </c>
      <c r="P14" s="1674">
        <v>2225600</v>
      </c>
      <c r="Q14" s="1674">
        <f t="shared" si="14"/>
        <v>2009638</v>
      </c>
      <c r="R14" s="1646">
        <f>Q14/P14</f>
        <v>0.90296459381739758</v>
      </c>
      <c r="U14" s="1637">
        <v>2004</v>
      </c>
      <c r="V14" s="1638">
        <v>6264332</v>
      </c>
      <c r="W14" s="1666">
        <f t="shared" si="1"/>
        <v>940559</v>
      </c>
      <c r="X14" s="1671">
        <f t="shared" si="12"/>
        <v>9.9425193357569636E-2</v>
      </c>
      <c r="Y14" s="1638">
        <v>2319490</v>
      </c>
      <c r="Z14" s="1679">
        <f t="shared" si="7"/>
        <v>9.7222517875177689E-2</v>
      </c>
      <c r="AA14" s="1640">
        <v>2927165</v>
      </c>
      <c r="AB14" s="1673">
        <f t="shared" si="8"/>
        <v>-6.410615430622213E-3</v>
      </c>
      <c r="AC14" s="1638">
        <v>2773053</v>
      </c>
      <c r="AD14" s="1672">
        <f t="shared" si="9"/>
        <v>2.7857634245352675E-2</v>
      </c>
      <c r="AE14" s="1670">
        <f t="shared" si="2"/>
        <v>14284040</v>
      </c>
      <c r="AF14" s="1643">
        <f t="shared" si="10"/>
        <v>6.4304003832795067E-2</v>
      </c>
    </row>
    <row r="15" spans="1:32" s="1661" customFormat="1" ht="15">
      <c r="A15" s="1637">
        <v>2005</v>
      </c>
      <c r="B15" s="1638">
        <v>6280906</v>
      </c>
      <c r="C15" s="1666">
        <v>1047131</v>
      </c>
      <c r="D15" s="1671">
        <f t="shared" si="11"/>
        <v>5.9108012211226864E-2</v>
      </c>
      <c r="E15" s="1638">
        <v>2149772</v>
      </c>
      <c r="F15" s="1672">
        <f t="shared" si="3"/>
        <v>6.9730966472568698E-2</v>
      </c>
      <c r="G15" s="1640">
        <v>3257773</v>
      </c>
      <c r="H15" s="1673">
        <f t="shared" si="4"/>
        <v>7.8047043585851517E-2</v>
      </c>
      <c r="I15" s="1638">
        <v>2613220</v>
      </c>
      <c r="J15" s="1672">
        <f t="shared" si="5"/>
        <v>-3.9532428028884375E-2</v>
      </c>
      <c r="K15" s="1640">
        <f t="shared" si="0"/>
        <v>14301671</v>
      </c>
      <c r="L15" s="1643">
        <f t="shared" si="6"/>
        <v>4.8926483171940989E-2</v>
      </c>
      <c r="M15" s="1674">
        <v>6701283</v>
      </c>
      <c r="N15" s="1674">
        <f t="shared" si="13"/>
        <v>6280906</v>
      </c>
      <c r="O15" s="1645">
        <f>N15/M15</f>
        <v>0.93726917666363296</v>
      </c>
      <c r="P15" s="1674">
        <v>2463625</v>
      </c>
      <c r="Q15" s="1674">
        <f t="shared" si="14"/>
        <v>2149772</v>
      </c>
      <c r="R15" s="1646">
        <f>Q15/P15</f>
        <v>0.87260520574356892</v>
      </c>
      <c r="U15" s="1637">
        <v>2005</v>
      </c>
      <c r="V15" s="1638">
        <v>6701283</v>
      </c>
      <c r="W15" s="1666">
        <f t="shared" si="1"/>
        <v>1047131</v>
      </c>
      <c r="X15" s="1671">
        <f t="shared" si="12"/>
        <v>6.2057304096173896E-2</v>
      </c>
      <c r="Y15" s="1638">
        <v>2463625</v>
      </c>
      <c r="Z15" s="1679">
        <f t="shared" si="7"/>
        <v>6.2140815437876432E-2</v>
      </c>
      <c r="AA15" s="1640">
        <v>3221393</v>
      </c>
      <c r="AB15" s="1673">
        <f t="shared" si="8"/>
        <v>0.10051636993473206</v>
      </c>
      <c r="AC15" s="1638">
        <v>2798987</v>
      </c>
      <c r="AD15" s="1672">
        <f t="shared" si="9"/>
        <v>9.3521472543077969E-3</v>
      </c>
      <c r="AE15" s="1670">
        <f t="shared" si="2"/>
        <v>15185288</v>
      </c>
      <c r="AF15" s="1643">
        <f t="shared" si="10"/>
        <v>6.3094754705251457E-2</v>
      </c>
    </row>
    <row r="16" spans="1:32" s="1661" customFormat="1" ht="15">
      <c r="A16" s="1637">
        <v>2006</v>
      </c>
      <c r="B16" s="1638">
        <v>6802499.7300000004</v>
      </c>
      <c r="C16" s="1666">
        <f>145336+816166</f>
        <v>961502</v>
      </c>
      <c r="D16" s="1681">
        <f t="shared" si="11"/>
        <v>0.11602002951980175</v>
      </c>
      <c r="E16" s="1638">
        <v>2496854.09</v>
      </c>
      <c r="F16" s="1675">
        <f t="shared" si="3"/>
        <v>0.16145065151095087</v>
      </c>
      <c r="G16" s="1640">
        <v>3222767.25</v>
      </c>
      <c r="H16" s="1673">
        <f t="shared" si="4"/>
        <v>-1.0745300547337092E-2</v>
      </c>
      <c r="I16" s="1638">
        <v>2524783.1800000002</v>
      </c>
      <c r="J16" s="1672">
        <f t="shared" si="5"/>
        <v>-3.3842087539510575E-2</v>
      </c>
      <c r="K16" s="1640">
        <f t="shared" si="0"/>
        <v>15046904.25</v>
      </c>
      <c r="L16" s="1643">
        <f t="shared" si="6"/>
        <v>5.210812428841357E-2</v>
      </c>
      <c r="M16" s="1674">
        <v>7159367</v>
      </c>
      <c r="N16" s="1674">
        <f t="shared" si="13"/>
        <v>6802499.7300000004</v>
      </c>
      <c r="O16" s="1645">
        <f>N16/M16</f>
        <v>0.95015379571964953</v>
      </c>
      <c r="P16" s="1674">
        <v>2873520</v>
      </c>
      <c r="Q16" s="1674">
        <f t="shared" si="14"/>
        <v>2496854.09</v>
      </c>
      <c r="R16" s="1646">
        <f>Q16/P16</f>
        <v>0.86891829185110936</v>
      </c>
      <c r="U16" s="1637">
        <v>2006</v>
      </c>
      <c r="V16" s="1638">
        <v>7159367</v>
      </c>
      <c r="W16" s="1666">
        <f t="shared" si="1"/>
        <v>961502</v>
      </c>
      <c r="X16" s="1682">
        <f t="shared" si="12"/>
        <v>9.616172327875161E-2</v>
      </c>
      <c r="Y16" s="1638">
        <v>2873520</v>
      </c>
      <c r="Z16" s="1679">
        <f t="shared" si="7"/>
        <v>0.16637881171038613</v>
      </c>
      <c r="AA16" s="1640">
        <v>3288287</v>
      </c>
      <c r="AB16" s="1673">
        <f t="shared" si="8"/>
        <v>2.0765550803643021E-2</v>
      </c>
      <c r="AC16" s="1638">
        <v>2697720</v>
      </c>
      <c r="AD16" s="1672">
        <f t="shared" si="9"/>
        <v>-3.6179875076232937E-2</v>
      </c>
      <c r="AE16" s="1670">
        <f t="shared" si="2"/>
        <v>16018894</v>
      </c>
      <c r="AF16" s="1643">
        <f t="shared" si="10"/>
        <v>5.4895633194444515E-2</v>
      </c>
    </row>
    <row r="17" spans="1:33" s="1661" customFormat="1" ht="15">
      <c r="A17" s="1637">
        <v>2007</v>
      </c>
      <c r="B17" s="1638">
        <v>7179382.3799999999</v>
      </c>
      <c r="C17" s="1666">
        <f>155370+828941</f>
        <v>984311</v>
      </c>
      <c r="D17" s="1671">
        <f t="shared" si="11"/>
        <v>6.0618693306699743E-2</v>
      </c>
      <c r="E17" s="1638">
        <v>2563822.66</v>
      </c>
      <c r="F17" s="1672">
        <f t="shared" si="3"/>
        <v>2.6821178805846963E-2</v>
      </c>
      <c r="G17" s="1640">
        <v>3350329.31</v>
      </c>
      <c r="H17" s="1673">
        <f t="shared" si="4"/>
        <v>3.9581530437855866E-2</v>
      </c>
      <c r="I17" s="1638">
        <v>2612016.89</v>
      </c>
      <c r="J17" s="1672">
        <f t="shared" si="5"/>
        <v>3.4550970828314834E-2</v>
      </c>
      <c r="K17" s="1640">
        <f t="shared" si="0"/>
        <v>15705551.24</v>
      </c>
      <c r="L17" s="1643">
        <f t="shared" si="6"/>
        <v>4.3772923589913866E-2</v>
      </c>
      <c r="M17" s="1674">
        <v>7498457</v>
      </c>
      <c r="N17" s="1674">
        <f t="shared" si="13"/>
        <v>7179382.3799999999</v>
      </c>
      <c r="O17" s="1645">
        <f>N17/M17</f>
        <v>0.95744796296091317</v>
      </c>
      <c r="P17" s="1674">
        <v>3119305</v>
      </c>
      <c r="Q17" s="1674">
        <f t="shared" si="14"/>
        <v>2563822.66</v>
      </c>
      <c r="R17" s="1646">
        <f>Q17/P17</f>
        <v>0.82192112024954278</v>
      </c>
      <c r="S17" s="1674"/>
      <c r="U17" s="1637">
        <v>2007</v>
      </c>
      <c r="V17" s="1638">
        <v>7498457</v>
      </c>
      <c r="W17" s="1666">
        <f>828941+155370</f>
        <v>984311</v>
      </c>
      <c r="X17" s="1671">
        <f t="shared" si="12"/>
        <v>5.1030637162958532E-2</v>
      </c>
      <c r="Y17" s="1638">
        <v>3119305</v>
      </c>
      <c r="Z17" s="1679">
        <f t="shared" si="7"/>
        <v>8.5534466438375228E-2</v>
      </c>
      <c r="AA17" s="1640">
        <v>3460401</v>
      </c>
      <c r="AB17" s="1673">
        <f t="shared" si="8"/>
        <v>5.2341538314630079E-2</v>
      </c>
      <c r="AC17" s="1638">
        <v>2759612</v>
      </c>
      <c r="AD17" s="1672">
        <f t="shared" si="9"/>
        <v>2.2942336491555831E-2</v>
      </c>
      <c r="AE17" s="1670">
        <f t="shared" si="2"/>
        <v>16837775</v>
      </c>
      <c r="AF17" s="1643">
        <f t="shared" si="10"/>
        <v>5.1119696528362069E-2</v>
      </c>
    </row>
    <row r="18" spans="1:33" s="1661" customFormat="1" ht="15">
      <c r="A18" s="1637">
        <v>2008</v>
      </c>
      <c r="B18" s="1638">
        <v>7547085.8499999996</v>
      </c>
      <c r="C18" s="1666">
        <f>839885+158502</f>
        <v>998387</v>
      </c>
      <c r="D18" s="1671">
        <f t="shared" si="11"/>
        <v>5.7082065453134413E-2</v>
      </c>
      <c r="E18" s="1638">
        <v>2889249.17</v>
      </c>
      <c r="F18" s="1675">
        <f t="shared" si="3"/>
        <v>0.12693019493009697</v>
      </c>
      <c r="G18" s="1640">
        <v>3366629.19</v>
      </c>
      <c r="H18" s="1673">
        <f t="shared" si="4"/>
        <v>4.8651575686450618E-3</v>
      </c>
      <c r="I18" s="1638">
        <v>2568044.21</v>
      </c>
      <c r="J18" s="1672">
        <f t="shared" si="5"/>
        <v>-1.6834760972774632E-2</v>
      </c>
      <c r="K18" s="1640">
        <f t="shared" si="0"/>
        <v>16371008.419999998</v>
      </c>
      <c r="L18" s="1643">
        <f t="shared" si="6"/>
        <v>4.2370826074869937E-2</v>
      </c>
      <c r="M18" s="1674"/>
      <c r="N18" s="1674">
        <f t="shared" si="13"/>
        <v>7547085.8499999996</v>
      </c>
      <c r="O18" s="1645"/>
      <c r="P18" s="1674"/>
      <c r="Q18" s="1674">
        <f t="shared" si="14"/>
        <v>2889249.17</v>
      </c>
      <c r="R18" s="1646"/>
      <c r="S18" s="1674"/>
      <c r="U18" s="1637">
        <v>2008</v>
      </c>
      <c r="V18" s="1638">
        <v>8076122</v>
      </c>
      <c r="W18" s="1666">
        <f>839885+158502</f>
        <v>998387</v>
      </c>
      <c r="X18" s="1671">
        <f t="shared" si="12"/>
        <v>8.6517710840377238E-2</v>
      </c>
      <c r="Y18" s="1638">
        <v>3498400</v>
      </c>
      <c r="Z18" s="1679">
        <f t="shared" si="7"/>
        <v>0.12153187969756084</v>
      </c>
      <c r="AA18" s="1640">
        <v>3484418</v>
      </c>
      <c r="AB18" s="1673">
        <f t="shared" si="8"/>
        <v>6.9405251009926304E-3</v>
      </c>
      <c r="AC18" s="1638">
        <v>2710925</v>
      </c>
      <c r="AD18" s="1672">
        <f t="shared" si="9"/>
        <v>-1.7642697596618656E-2</v>
      </c>
      <c r="AE18" s="1670">
        <f t="shared" si="2"/>
        <v>17769865</v>
      </c>
      <c r="AF18" s="1643">
        <f t="shared" si="10"/>
        <v>5.5357076573359601E-2</v>
      </c>
    </row>
    <row r="19" spans="1:33" s="1661" customFormat="1" ht="15">
      <c r="A19" s="1637">
        <v>2009</v>
      </c>
      <c r="B19" s="1638">
        <v>8127536.4699999997</v>
      </c>
      <c r="C19" s="1666">
        <f>988535+141006</f>
        <v>1129541</v>
      </c>
      <c r="D19" s="1671">
        <f t="shared" si="11"/>
        <v>6.8608532823279875E-2</v>
      </c>
      <c r="E19" s="1638">
        <v>2727656.33</v>
      </c>
      <c r="F19" s="1675">
        <f t="shared" si="3"/>
        <v>-5.5929008019754783E-2</v>
      </c>
      <c r="G19" s="1640">
        <v>3569237.32</v>
      </c>
      <c r="H19" s="1673">
        <f t="shared" si="4"/>
        <v>6.0181302592460413E-2</v>
      </c>
      <c r="I19" s="1638">
        <v>2529111.7000000002</v>
      </c>
      <c r="J19" s="1672">
        <f t="shared" si="5"/>
        <v>-1.5160373738269785E-2</v>
      </c>
      <c r="K19" s="1640">
        <f t="shared" si="0"/>
        <v>16953541.82</v>
      </c>
      <c r="L19" s="1643">
        <f t="shared" si="6"/>
        <v>3.5583232569127363E-2</v>
      </c>
      <c r="M19" s="1674"/>
      <c r="N19" s="1674">
        <f t="shared" si="13"/>
        <v>8127536.4699999997</v>
      </c>
      <c r="O19" s="1645"/>
      <c r="P19" s="1674"/>
      <c r="Q19" s="1674">
        <f t="shared" si="14"/>
        <v>2727656.33</v>
      </c>
      <c r="R19" s="1646"/>
      <c r="S19" s="1674"/>
      <c r="U19" s="1637">
        <v>2009</v>
      </c>
      <c r="V19" s="1638">
        <v>8676659</v>
      </c>
      <c r="W19" s="1666">
        <f>988355+141007</f>
        <v>1129362</v>
      </c>
      <c r="X19" s="1671">
        <f t="shared" si="12"/>
        <v>6.6343540694869196E-2</v>
      </c>
      <c r="Y19" s="1638">
        <v>3455650</v>
      </c>
      <c r="Z19" s="1679">
        <f t="shared" si="7"/>
        <v>-1.2219871941458953E-2</v>
      </c>
      <c r="AA19" s="1640">
        <v>3833294</v>
      </c>
      <c r="AB19" s="1673">
        <f t="shared" si="8"/>
        <v>0.10012461191510318</v>
      </c>
      <c r="AC19" s="1638">
        <v>2479318</v>
      </c>
      <c r="AD19" s="1672">
        <f t="shared" ref="AD19:AD28" si="15">(AC19-AC18)/AC18</f>
        <v>-8.5434676355856401E-2</v>
      </c>
      <c r="AE19" s="1670">
        <f>V19+Y19+AA19+AC19</f>
        <v>18444921</v>
      </c>
      <c r="AF19" s="1643">
        <f t="shared" si="10"/>
        <v>3.7988808581269469E-2</v>
      </c>
      <c r="AG19" s="1674"/>
    </row>
    <row r="20" spans="1:33" s="1661" customFormat="1" ht="15">
      <c r="A20" s="1637">
        <v>2010</v>
      </c>
      <c r="B20" s="1638">
        <v>8171494.4800000004</v>
      </c>
      <c r="C20" s="1666">
        <f>143761+1054371</f>
        <v>1198132</v>
      </c>
      <c r="D20" s="1671">
        <f t="shared" si="11"/>
        <v>-3.5200065655371583E-3</v>
      </c>
      <c r="E20" s="1638">
        <v>2872396.75</v>
      </c>
      <c r="F20" s="1675">
        <f t="shared" si="3"/>
        <v>5.3064023648463049E-2</v>
      </c>
      <c r="G20" s="1640">
        <v>3309029.89</v>
      </c>
      <c r="H20" s="1673">
        <f t="shared" si="4"/>
        <v>-7.2902809948204764E-2</v>
      </c>
      <c r="I20" s="1638">
        <v>2767320.16</v>
      </c>
      <c r="J20" s="1672">
        <f t="shared" si="5"/>
        <v>9.4186611053991787E-2</v>
      </c>
      <c r="K20" s="1640">
        <f t="shared" si="0"/>
        <v>17120241.280000001</v>
      </c>
      <c r="L20" s="1643">
        <f t="shared" si="6"/>
        <v>9.8327217858009148E-3</v>
      </c>
      <c r="M20" s="1674"/>
      <c r="N20" s="1674">
        <f t="shared" si="13"/>
        <v>8171494.4800000004</v>
      </c>
      <c r="O20" s="1645"/>
      <c r="P20" s="1674"/>
      <c r="Q20" s="1674">
        <f t="shared" si="14"/>
        <v>2872396.75</v>
      </c>
      <c r="R20" s="1646"/>
      <c r="S20" s="1674"/>
      <c r="U20" s="1637">
        <v>2010</v>
      </c>
      <c r="V20" s="1638">
        <v>8750932</v>
      </c>
      <c r="W20" s="1666">
        <f>1054371+143761</f>
        <v>1198132</v>
      </c>
      <c r="X20" s="1671">
        <f t="shared" si="12"/>
        <v>7.2913521224883559E-4</v>
      </c>
      <c r="Y20" s="1638">
        <v>3505960</v>
      </c>
      <c r="Z20" s="1679">
        <f t="shared" si="7"/>
        <v>1.4558766078740614E-2</v>
      </c>
      <c r="AA20" s="1640">
        <v>3982165</v>
      </c>
      <c r="AB20" s="1673">
        <f t="shared" si="8"/>
        <v>3.8836311537805347E-2</v>
      </c>
      <c r="AC20" s="1638">
        <v>3222415</v>
      </c>
      <c r="AD20" s="1672">
        <f t="shared" si="15"/>
        <v>0.29971830963192297</v>
      </c>
      <c r="AE20" s="1670">
        <f>V20+Y20+AA20+AC20</f>
        <v>19461472</v>
      </c>
      <c r="AF20" s="1643">
        <f t="shared" si="10"/>
        <v>5.511278687504273E-2</v>
      </c>
      <c r="AG20" s="1674"/>
    </row>
    <row r="21" spans="1:33" s="1661" customFormat="1" ht="15">
      <c r="A21" s="1637">
        <v>2011</v>
      </c>
      <c r="B21" s="1638">
        <v>8662831.2599999998</v>
      </c>
      <c r="C21" s="1666">
        <f>1052366+135277</f>
        <v>1187643</v>
      </c>
      <c r="D21" s="1671">
        <f t="shared" si="11"/>
        <v>7.1963243189962403E-2</v>
      </c>
      <c r="E21" s="1638">
        <v>3284150.89</v>
      </c>
      <c r="F21" s="1675">
        <f t="shared" si="3"/>
        <v>0.14334863037287593</v>
      </c>
      <c r="G21" s="1640">
        <v>3543594.44</v>
      </c>
      <c r="H21" s="1673">
        <f t="shared" si="4"/>
        <v>7.0886198613334311E-2</v>
      </c>
      <c r="I21" s="1638">
        <v>2735843.95</v>
      </c>
      <c r="J21" s="1672">
        <f t="shared" si="5"/>
        <v>-1.1374256746642558E-2</v>
      </c>
      <c r="K21" s="1640">
        <f t="shared" si="0"/>
        <v>18226420.539999999</v>
      </c>
      <c r="L21" s="1643">
        <f t="shared" si="6"/>
        <v>6.4612363921076568E-2</v>
      </c>
      <c r="M21" s="1674"/>
      <c r="N21" s="1674">
        <f t="shared" si="13"/>
        <v>8662831.2599999998</v>
      </c>
      <c r="O21" s="1645"/>
      <c r="P21" s="1674"/>
      <c r="Q21" s="1674">
        <f t="shared" si="14"/>
        <v>3284150.89</v>
      </c>
      <c r="R21" s="1646"/>
      <c r="S21" s="1674"/>
      <c r="U21" s="1637">
        <v>2011</v>
      </c>
      <c r="V21" s="1638">
        <v>8941578</v>
      </c>
      <c r="W21" s="1666">
        <f>1052366+135277</f>
        <v>1187643</v>
      </c>
      <c r="X21" s="1679">
        <f t="shared" ref="X21:X28" si="16">((V21-W21)-(V20-W20))/(V20-W20)</f>
        <v>2.6630521131236099E-2</v>
      </c>
      <c r="Y21" s="1638">
        <v>3618495</v>
      </c>
      <c r="Z21" s="1679">
        <f t="shared" ref="Z21:Z28" si="17">(Y21-Y20)/Y20</f>
        <v>3.2098198496274911E-2</v>
      </c>
      <c r="AA21" s="1640">
        <v>3742002</v>
      </c>
      <c r="AB21" s="1680">
        <f t="shared" ref="AB21:AB28" si="18">(AA21-AA20)/AA20</f>
        <v>-6.030965567725094E-2</v>
      </c>
      <c r="AC21" s="1638">
        <v>3240685</v>
      </c>
      <c r="AD21" s="1679">
        <f t="shared" si="15"/>
        <v>5.6696607978798507E-3</v>
      </c>
      <c r="AE21" s="1670">
        <f>V21+Y21+AA21+AC21</f>
        <v>19542760</v>
      </c>
      <c r="AF21" s="1647">
        <f t="shared" ref="AF21:AF28" si="19">(AE21-AE20)/AE20</f>
        <v>4.1768680190275428E-3</v>
      </c>
      <c r="AG21" s="1674"/>
    </row>
    <row r="22" spans="1:33" s="1661" customFormat="1" ht="15">
      <c r="A22" s="1637">
        <v>2012</v>
      </c>
      <c r="B22" s="1638">
        <v>8645622.5399999991</v>
      </c>
      <c r="C22" s="1666">
        <f>133684+1110571</f>
        <v>1244255</v>
      </c>
      <c r="D22" s="1671">
        <f t="shared" si="11"/>
        <v>-9.8754328897665347E-3</v>
      </c>
      <c r="E22" s="1638">
        <v>3188124.12</v>
      </c>
      <c r="F22" s="1679">
        <f t="shared" si="3"/>
        <v>-2.9239451296953052E-2</v>
      </c>
      <c r="G22" s="1640">
        <v>3695993.11</v>
      </c>
      <c r="H22" s="1673">
        <f t="shared" si="4"/>
        <v>4.3006803566381015E-2</v>
      </c>
      <c r="I22" s="1638">
        <v>2873117.74</v>
      </c>
      <c r="J22" s="1672">
        <f t="shared" si="5"/>
        <v>5.0176030690639362E-2</v>
      </c>
      <c r="K22" s="1640">
        <f t="shared" si="0"/>
        <v>18402857.509999998</v>
      </c>
      <c r="L22" s="1643">
        <f t="shared" si="6"/>
        <v>9.6802863520452278E-3</v>
      </c>
      <c r="M22" s="1674"/>
      <c r="N22" s="1674">
        <f t="shared" si="13"/>
        <v>8645622.5399999991</v>
      </c>
      <c r="O22" s="1645"/>
      <c r="P22" s="1674"/>
      <c r="Q22" s="1674">
        <f t="shared" si="14"/>
        <v>3188124.12</v>
      </c>
      <c r="R22" s="1646"/>
      <c r="U22" s="1637">
        <v>2012</v>
      </c>
      <c r="V22" s="1638">
        <v>9175561</v>
      </c>
      <c r="W22" s="1666">
        <f>133684+1110571</f>
        <v>1244255</v>
      </c>
      <c r="X22" s="1679">
        <f t="shared" si="16"/>
        <v>2.2874966065617005E-2</v>
      </c>
      <c r="Y22" s="1638">
        <v>3495662</v>
      </c>
      <c r="Z22" s="1679">
        <f t="shared" si="17"/>
        <v>-3.394588081509025E-2</v>
      </c>
      <c r="AA22" s="1640">
        <v>3801633</v>
      </c>
      <c r="AB22" s="1680">
        <f t="shared" si="18"/>
        <v>1.5935587420851192E-2</v>
      </c>
      <c r="AC22" s="1638">
        <v>3261531</v>
      </c>
      <c r="AD22" s="1679">
        <f t="shared" si="15"/>
        <v>6.4325906405590175E-3</v>
      </c>
      <c r="AE22" s="1670">
        <f>V22+Y22+AA22+AC22</f>
        <v>19734387</v>
      </c>
      <c r="AF22" s="1647">
        <f t="shared" si="19"/>
        <v>9.8055238871070406E-3</v>
      </c>
      <c r="AG22" s="1674"/>
    </row>
    <row r="23" spans="1:33" s="1661" customFormat="1" ht="15">
      <c r="A23" s="1637">
        <v>2013</v>
      </c>
      <c r="B23" s="1638">
        <v>9040589.9000000004</v>
      </c>
      <c r="C23" s="1666">
        <f>159283+1087456</f>
        <v>1246739</v>
      </c>
      <c r="D23" s="1671">
        <f t="shared" si="11"/>
        <v>5.3028492083234839E-2</v>
      </c>
      <c r="E23" s="1638">
        <v>3147970.61</v>
      </c>
      <c r="F23" s="1679">
        <f t="shared" si="3"/>
        <v>-1.2594713533298774E-2</v>
      </c>
      <c r="G23" s="1640">
        <v>3169383.12</v>
      </c>
      <c r="H23" s="1673">
        <f t="shared" si="4"/>
        <v>-0.14248132351090875</v>
      </c>
      <c r="I23" s="1638">
        <v>3166119.78</v>
      </c>
      <c r="J23" s="1672">
        <f t="shared" si="5"/>
        <v>0.10198051960098216</v>
      </c>
      <c r="K23" s="1640">
        <f t="shared" si="0"/>
        <v>18524063.41</v>
      </c>
      <c r="L23" s="1643">
        <f t="shared" si="6"/>
        <v>6.5862543321948616E-3</v>
      </c>
      <c r="N23" s="1674">
        <f t="shared" si="13"/>
        <v>9040589.9000000004</v>
      </c>
      <c r="O23" s="1645"/>
      <c r="Q23" s="1674">
        <f t="shared" si="14"/>
        <v>3147970.61</v>
      </c>
      <c r="U23" s="1637">
        <v>2013</v>
      </c>
      <c r="V23" s="1638">
        <v>9463814</v>
      </c>
      <c r="W23" s="1666">
        <f>159283+1087456</f>
        <v>1246739</v>
      </c>
      <c r="X23" s="1679">
        <f t="shared" si="16"/>
        <v>3.6030509981584372E-2</v>
      </c>
      <c r="Y23" s="1638">
        <v>3529462</v>
      </c>
      <c r="Z23" s="1679">
        <f t="shared" si="17"/>
        <v>9.6691270494687412E-3</v>
      </c>
      <c r="AA23" s="1640">
        <v>4039944</v>
      </c>
      <c r="AB23" s="1680">
        <f t="shared" si="18"/>
        <v>6.2686482361658788E-2</v>
      </c>
      <c r="AC23" s="1638">
        <v>3479405</v>
      </c>
      <c r="AD23" s="1679">
        <f t="shared" si="15"/>
        <v>6.6801143389408221E-2</v>
      </c>
      <c r="AE23" s="1670">
        <f>V23+Y23+AA23+AC23</f>
        <v>20512625</v>
      </c>
      <c r="AF23" s="1647">
        <f t="shared" si="19"/>
        <v>3.9435630810321094E-2</v>
      </c>
      <c r="AG23" s="1674"/>
    </row>
    <row r="24" spans="1:33" s="1661" customFormat="1" ht="15">
      <c r="A24" s="1637">
        <v>2014</v>
      </c>
      <c r="B24" s="1638">
        <v>8841735</v>
      </c>
      <c r="C24" s="1666"/>
      <c r="D24" s="1671">
        <f t="shared" si="11"/>
        <v>0.1344501086106227</v>
      </c>
      <c r="E24" s="1638">
        <v>3366162</v>
      </c>
      <c r="F24" s="1679">
        <f t="shared" si="3"/>
        <v>6.931176209424654E-2</v>
      </c>
      <c r="G24" s="1640">
        <f>3931482</f>
        <v>3931482</v>
      </c>
      <c r="H24" s="1673">
        <f t="shared" si="4"/>
        <v>0.24045653401473277</v>
      </c>
      <c r="I24" s="1638">
        <v>3007059</v>
      </c>
      <c r="J24" s="1672">
        <f t="shared" si="5"/>
        <v>-5.0238396223910332E-2</v>
      </c>
      <c r="K24" s="1640">
        <f t="shared" si="0"/>
        <v>19146438</v>
      </c>
      <c r="L24" s="1643">
        <f t="shared" si="6"/>
        <v>3.359816775751362E-2</v>
      </c>
      <c r="N24" s="1674">
        <f t="shared" si="13"/>
        <v>8841735</v>
      </c>
      <c r="O24" s="1645"/>
      <c r="Q24" s="1674">
        <f t="shared" si="14"/>
        <v>3366162</v>
      </c>
      <c r="U24" s="1637">
        <v>2014</v>
      </c>
      <c r="V24" s="1638"/>
      <c r="W24" s="1666"/>
      <c r="X24" s="1679">
        <f t="shared" si="16"/>
        <v>-1</v>
      </c>
      <c r="Y24" s="1638"/>
      <c r="Z24" s="1679">
        <f t="shared" si="17"/>
        <v>-1</v>
      </c>
      <c r="AA24" s="1640"/>
      <c r="AB24" s="1680">
        <f t="shared" si="18"/>
        <v>-1</v>
      </c>
      <c r="AC24" s="1638"/>
      <c r="AD24" s="1679">
        <f t="shared" si="15"/>
        <v>-1</v>
      </c>
      <c r="AE24" s="1670"/>
      <c r="AF24" s="1647">
        <f t="shared" si="19"/>
        <v>-1</v>
      </c>
      <c r="AG24" s="1674"/>
    </row>
    <row r="25" spans="1:33" s="1661" customFormat="1" ht="15">
      <c r="A25" s="1637">
        <v>2015</v>
      </c>
      <c r="B25" s="1638">
        <v>8522971.0700000003</v>
      </c>
      <c r="C25" s="1666"/>
      <c r="D25" s="1671">
        <f t="shared" si="11"/>
        <v>-3.6052192245074041E-2</v>
      </c>
      <c r="E25" s="1638">
        <v>3079919</v>
      </c>
      <c r="F25" s="1679">
        <f t="shared" si="3"/>
        <v>-8.5035420161002351E-2</v>
      </c>
      <c r="G25" s="1640">
        <f>4292627+634295</f>
        <v>4926922</v>
      </c>
      <c r="H25" s="1673">
        <f t="shared" si="4"/>
        <v>0.25319714041676905</v>
      </c>
      <c r="I25" s="1638">
        <f>582020+1462710</f>
        <v>2044730</v>
      </c>
      <c r="J25" s="1672">
        <f t="shared" si="5"/>
        <v>-0.32002331846498522</v>
      </c>
      <c r="K25" s="1640">
        <f t="shared" si="0"/>
        <v>18574542.07</v>
      </c>
      <c r="L25" s="1643">
        <f t="shared" si="6"/>
        <v>-2.9869573128954833E-2</v>
      </c>
      <c r="N25" s="1674">
        <f t="shared" si="13"/>
        <v>8522971.0700000003</v>
      </c>
      <c r="O25" s="1645"/>
      <c r="Q25" s="1674">
        <f t="shared" si="14"/>
        <v>3079919</v>
      </c>
      <c r="U25" s="1637">
        <v>2015</v>
      </c>
      <c r="V25" s="1638"/>
      <c r="W25" s="1666"/>
      <c r="X25" s="1679" t="e">
        <f t="shared" si="16"/>
        <v>#DIV/0!</v>
      </c>
      <c r="Y25" s="1638"/>
      <c r="Z25" s="1679" t="e">
        <f t="shared" si="17"/>
        <v>#DIV/0!</v>
      </c>
      <c r="AA25" s="1640"/>
      <c r="AB25" s="1680" t="e">
        <f t="shared" si="18"/>
        <v>#DIV/0!</v>
      </c>
      <c r="AC25" s="1638"/>
      <c r="AD25" s="1679" t="e">
        <f t="shared" si="15"/>
        <v>#DIV/0!</v>
      </c>
      <c r="AE25" s="1670"/>
      <c r="AF25" s="1647" t="e">
        <f t="shared" si="19"/>
        <v>#DIV/0!</v>
      </c>
      <c r="AG25" s="1674"/>
    </row>
    <row r="26" spans="1:33" s="1661" customFormat="1" ht="15">
      <c r="A26" s="1637">
        <v>2016</v>
      </c>
      <c r="B26" s="1638">
        <v>8530955.0999999996</v>
      </c>
      <c r="C26" s="1666"/>
      <c r="D26" s="1671">
        <f t="shared" si="11"/>
        <v>9.3676605662810597E-4</v>
      </c>
      <c r="E26" s="1638">
        <v>3264310</v>
      </c>
      <c r="F26" s="1679">
        <f t="shared" si="3"/>
        <v>5.9868782263429655E-2</v>
      </c>
      <c r="G26" s="1640">
        <f>4337367.08+492495.52</f>
        <v>4829862.5999999996</v>
      </c>
      <c r="H26" s="1673">
        <f t="shared" si="4"/>
        <v>-1.969980446209629E-2</v>
      </c>
      <c r="I26" s="1638"/>
      <c r="J26" s="1672">
        <f t="shared" si="5"/>
        <v>-1</v>
      </c>
      <c r="K26" s="1640"/>
      <c r="L26" s="1643">
        <f t="shared" si="6"/>
        <v>-1</v>
      </c>
      <c r="N26" s="1674">
        <f t="shared" si="13"/>
        <v>8530955.0999999996</v>
      </c>
      <c r="O26" s="1645"/>
      <c r="Q26" s="1674">
        <f t="shared" si="14"/>
        <v>3264310</v>
      </c>
      <c r="U26" s="1637">
        <v>2016</v>
      </c>
      <c r="V26" s="1638"/>
      <c r="W26" s="1666"/>
      <c r="X26" s="1679" t="e">
        <f t="shared" si="16"/>
        <v>#DIV/0!</v>
      </c>
      <c r="Y26" s="1638"/>
      <c r="Z26" s="1679" t="e">
        <f t="shared" si="17"/>
        <v>#DIV/0!</v>
      </c>
      <c r="AA26" s="1640"/>
      <c r="AB26" s="1680" t="e">
        <f t="shared" si="18"/>
        <v>#DIV/0!</v>
      </c>
      <c r="AC26" s="1638"/>
      <c r="AD26" s="1679" t="e">
        <f t="shared" si="15"/>
        <v>#DIV/0!</v>
      </c>
      <c r="AE26" s="1670"/>
      <c r="AF26" s="1647" t="e">
        <f t="shared" si="19"/>
        <v>#DIV/0!</v>
      </c>
      <c r="AG26" s="1674"/>
    </row>
    <row r="27" spans="1:33" s="1661" customFormat="1" ht="15">
      <c r="A27" s="1637">
        <v>2017</v>
      </c>
      <c r="B27" s="1638">
        <v>8564303</v>
      </c>
      <c r="C27" s="1666"/>
      <c r="D27" s="1671">
        <f t="shared" si="11"/>
        <v>3.9090464794499236E-3</v>
      </c>
      <c r="E27" s="1638">
        <v>2834224</v>
      </c>
      <c r="F27" s="1679">
        <f t="shared" si="3"/>
        <v>-0.13175403071399469</v>
      </c>
      <c r="G27" s="1640">
        <f>4576922.27+640580.73</f>
        <v>5217503</v>
      </c>
      <c r="H27" s="1673">
        <f t="shared" si="4"/>
        <v>8.0259094741121709E-2</v>
      </c>
      <c r="I27" s="1638"/>
      <c r="J27" s="1672" t="e">
        <f t="shared" si="5"/>
        <v>#DIV/0!</v>
      </c>
      <c r="K27" s="1640"/>
      <c r="L27" s="1643" t="e">
        <f t="shared" si="6"/>
        <v>#DIV/0!</v>
      </c>
      <c r="N27" s="1674">
        <f t="shared" si="13"/>
        <v>8564303</v>
      </c>
      <c r="O27" s="1645"/>
      <c r="Q27" s="1674">
        <f t="shared" si="14"/>
        <v>2834224</v>
      </c>
      <c r="U27" s="1637">
        <v>2017</v>
      </c>
      <c r="V27" s="1638"/>
      <c r="W27" s="1666"/>
      <c r="X27" s="1679" t="e">
        <f t="shared" si="16"/>
        <v>#DIV/0!</v>
      </c>
      <c r="Y27" s="1638"/>
      <c r="Z27" s="1679" t="e">
        <f t="shared" si="17"/>
        <v>#DIV/0!</v>
      </c>
      <c r="AA27" s="1640"/>
      <c r="AB27" s="1680" t="e">
        <f t="shared" si="18"/>
        <v>#DIV/0!</v>
      </c>
      <c r="AC27" s="1638"/>
      <c r="AD27" s="1679" t="e">
        <f t="shared" si="15"/>
        <v>#DIV/0!</v>
      </c>
      <c r="AE27" s="1670"/>
      <c r="AF27" s="1647" t="e">
        <f t="shared" si="19"/>
        <v>#DIV/0!</v>
      </c>
      <c r="AG27" s="1674"/>
    </row>
    <row r="28" spans="1:33" s="1661" customFormat="1" ht="15">
      <c r="A28" s="1648" t="s">
        <v>4709</v>
      </c>
      <c r="B28" s="1649" t="s">
        <v>853</v>
      </c>
      <c r="C28" s="1683"/>
      <c r="D28" s="1684">
        <f>SUM(D23:D27)/5</f>
        <v>3.1254444196972306E-2</v>
      </c>
      <c r="E28" s="1638"/>
      <c r="F28" s="1685"/>
      <c r="G28" s="1640"/>
      <c r="H28" s="1686"/>
      <c r="I28" s="1638"/>
      <c r="J28" s="1684"/>
      <c r="K28" s="1640"/>
      <c r="L28" s="1687">
        <f>AVERAGE(L19:L23)</f>
        <v>2.5258971792048984E-2</v>
      </c>
      <c r="O28" s="1645"/>
      <c r="U28" s="1637">
        <v>2018</v>
      </c>
      <c r="V28" s="1638"/>
      <c r="W28" s="1666"/>
      <c r="X28" s="1679" t="e">
        <f t="shared" si="16"/>
        <v>#DIV/0!</v>
      </c>
      <c r="Y28" s="1638"/>
      <c r="Z28" s="1679" t="e">
        <f t="shared" si="17"/>
        <v>#DIV/0!</v>
      </c>
      <c r="AA28" s="1640"/>
      <c r="AB28" s="1680" t="e">
        <f t="shared" si="18"/>
        <v>#DIV/0!</v>
      </c>
      <c r="AC28" s="1638"/>
      <c r="AD28" s="1679" t="e">
        <f t="shared" si="15"/>
        <v>#DIV/0!</v>
      </c>
      <c r="AE28" s="1670"/>
      <c r="AF28" s="1647" t="e">
        <f t="shared" si="19"/>
        <v>#DIV/0!</v>
      </c>
      <c r="AG28" s="1674"/>
    </row>
    <row r="29" spans="1:33" s="1661" customFormat="1" ht="15.75" thickBot="1">
      <c r="A29" s="1650"/>
      <c r="B29" s="1651"/>
      <c r="C29" s="1651"/>
      <c r="D29" s="1688"/>
      <c r="E29" s="1651"/>
      <c r="F29" s="1688"/>
      <c r="G29" s="1652"/>
      <c r="H29" s="1689"/>
      <c r="I29" s="1651"/>
      <c r="J29" s="1690"/>
      <c r="K29" s="1691"/>
      <c r="L29" s="1692"/>
      <c r="O29" s="1693">
        <f>SUM(O13:O23)/5</f>
        <v>0.95035021132019204</v>
      </c>
      <c r="R29" s="1694">
        <f>SUM(R13:R23)/5</f>
        <v>0.86918759290056857</v>
      </c>
      <c r="U29" s="1650"/>
      <c r="V29" s="1651"/>
      <c r="W29" s="1651"/>
      <c r="X29" s="1688"/>
      <c r="Y29" s="1651"/>
      <c r="Z29" s="1688"/>
      <c r="AA29" s="1652"/>
      <c r="AB29" s="1689"/>
      <c r="AC29" s="1651"/>
      <c r="AD29" s="1690"/>
      <c r="AE29" s="1695"/>
      <c r="AF29" s="1692"/>
    </row>
    <row r="30" spans="1:33" ht="15">
      <c r="U30" s="1653"/>
      <c r="V30" s="1638"/>
      <c r="W30" s="1644"/>
      <c r="X30" s="1639"/>
      <c r="Y30" s="1638"/>
      <c r="Z30" s="1639"/>
      <c r="AA30" s="1640"/>
      <c r="AB30" s="1641"/>
      <c r="AC30" s="1638"/>
      <c r="AD30" s="1642"/>
      <c r="AE30" s="1654"/>
      <c r="AF30" s="397"/>
    </row>
    <row r="33" spans="1:32">
      <c r="A33" s="1570" t="s">
        <v>4710</v>
      </c>
    </row>
    <row r="34" spans="1:32">
      <c r="B34" s="1633" t="s">
        <v>989</v>
      </c>
      <c r="C34" s="395" t="s">
        <v>4708</v>
      </c>
    </row>
    <row r="35" spans="1:32" ht="15">
      <c r="A35" s="395">
        <v>2005</v>
      </c>
      <c r="B35" s="1646">
        <f>6280905/6701283</f>
        <v>0.93726902743847706</v>
      </c>
      <c r="C35" s="1646">
        <f>2149771/2463625</f>
        <v>0.87260479983763761</v>
      </c>
    </row>
    <row r="36" spans="1:32" ht="15">
      <c r="A36" s="395">
        <v>2006</v>
      </c>
      <c r="B36" s="1646">
        <f>6802499/7159367</f>
        <v>0.95015369375532777</v>
      </c>
      <c r="C36" s="1646">
        <f>2496854/2873520</f>
        <v>0.86891826053063836</v>
      </c>
    </row>
    <row r="37" spans="1:32" ht="15">
      <c r="A37" s="395">
        <v>2007</v>
      </c>
      <c r="B37" s="1646">
        <f>7179382/7498457</f>
        <v>0.95744791228382053</v>
      </c>
      <c r="C37" s="1646">
        <f>2563822/3119305</f>
        <v>0.82192090866394918</v>
      </c>
    </row>
    <row r="38" spans="1:32" ht="15">
      <c r="A38" s="395">
        <v>2008</v>
      </c>
      <c r="B38" s="1646">
        <f>7547085/8076122</f>
        <v>0.93449368397357047</v>
      </c>
      <c r="C38" s="1646">
        <f>2889249/3498400</f>
        <v>0.82587725817516577</v>
      </c>
    </row>
    <row r="39" spans="1:32" ht="15">
      <c r="A39" s="395">
        <v>2009</v>
      </c>
      <c r="B39" s="1646">
        <f>8127536/8676659</f>
        <v>0.93671262175913561</v>
      </c>
      <c r="C39" s="1646">
        <f>2727656/3455650</f>
        <v>0.78933225297700871</v>
      </c>
    </row>
    <row r="40" spans="1:32" ht="15">
      <c r="A40" s="395">
        <v>2010</v>
      </c>
      <c r="B40" s="1646">
        <f>8171494/8750932</f>
        <v>0.93378556706874194</v>
      </c>
      <c r="C40" s="1646">
        <f>2872396/3505960</f>
        <v>0.81928943855605885</v>
      </c>
    </row>
    <row r="41" spans="1:32" ht="15">
      <c r="A41" s="395">
        <v>2011</v>
      </c>
      <c r="B41" s="1646">
        <f>8662831/8958736</f>
        <v>0.9669702288358536</v>
      </c>
      <c r="C41" s="1646">
        <f>3284150/3795445</f>
        <v>0.86528720611153631</v>
      </c>
    </row>
    <row r="42" spans="1:32" ht="15">
      <c r="A42" s="395">
        <v>2012</v>
      </c>
      <c r="B42" s="1646">
        <f>8645622/9170759</f>
        <v>0.94273789116037177</v>
      </c>
      <c r="C42" s="1646">
        <f>3188124/3511362</f>
        <v>0.9079451221491831</v>
      </c>
    </row>
    <row r="43" spans="1:32" s="1570" customFormat="1" ht="15">
      <c r="A43" s="395">
        <v>2013</v>
      </c>
      <c r="B43" s="1655">
        <f>9040589/9277403</f>
        <v>0.9744741066007373</v>
      </c>
      <c r="C43" s="1646">
        <f>3147970/3483469</f>
        <v>0.90368824869691677</v>
      </c>
      <c r="D43" s="395"/>
      <c r="E43" s="1634"/>
      <c r="F43" s="395"/>
      <c r="G43" s="1635"/>
      <c r="H43" s="1633"/>
      <c r="I43" s="1636"/>
      <c r="J43" s="395"/>
      <c r="K43" s="1636"/>
      <c r="L43" s="395"/>
      <c r="U43" s="395"/>
      <c r="V43" s="395"/>
      <c r="W43" s="395"/>
      <c r="X43" s="395"/>
      <c r="Y43" s="395"/>
      <c r="Z43" s="395"/>
      <c r="AA43" s="395"/>
      <c r="AB43" s="395"/>
      <c r="AC43" s="395"/>
      <c r="AD43" s="395"/>
      <c r="AE43" s="1632"/>
      <c r="AF43" s="395"/>
    </row>
    <row r="44" spans="1:32">
      <c r="A44" s="1570" t="s">
        <v>4711</v>
      </c>
      <c r="B44" s="1656">
        <f>(B35+B36+B37+B38+B39+B40+B41+B42+B43)/9</f>
        <v>0.94822719254178167</v>
      </c>
      <c r="C44" s="1656">
        <f>(C35+C36+C37+C38+C39+C40+C41+C42)/8</f>
        <v>0.84639690587514727</v>
      </c>
      <c r="D44" s="1570"/>
      <c r="E44" s="1657"/>
      <c r="F44" s="1570"/>
      <c r="G44" s="1658"/>
      <c r="H44" s="380"/>
      <c r="I44" s="1659"/>
      <c r="J44" s="1570"/>
      <c r="K44" s="1659"/>
      <c r="L44" s="1570"/>
    </row>
    <row r="45" spans="1:32">
      <c r="U45" s="1570"/>
      <c r="V45" s="1570"/>
      <c r="W45" s="1570"/>
      <c r="X45" s="1570"/>
      <c r="Y45" s="1570"/>
      <c r="Z45" s="1570"/>
      <c r="AA45" s="1570"/>
      <c r="AB45" s="1570"/>
      <c r="AC45" s="1570"/>
      <c r="AD45" s="1570"/>
      <c r="AE45" s="1660"/>
      <c r="AF45" s="1570"/>
    </row>
  </sheetData>
  <mergeCells count="1">
    <mergeCell ref="A1:P1"/>
  </mergeCells>
  <hyperlinks>
    <hyperlink ref="A1" location="GLOBAAL!A1" display="Economische groepen" xr:uid="{00000000-0004-0000-4D00-000000000000}"/>
    <hyperlink ref="A1:P1" location="FINANCIËN!A1" display="Economische groepen" xr:uid="{00000000-0004-0000-4D00-000001000000}"/>
  </hyperlinks>
  <pageMargins left="0.75" right="0.75" top="1" bottom="1" header="0.5" footer="0.5"/>
  <pageSetup paperSize="9" orientation="landscape" r:id="rId1"/>
  <headerFooter alignWithMargins="0">
    <oddHeader>&amp;A</oddHeader>
    <oddFooter>Pagina &amp;P</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EBD531"/>
  </sheetPr>
  <dimension ref="A1:T137"/>
  <sheetViews>
    <sheetView topLeftCell="A51" workbookViewId="0">
      <pane xSplit="1" ySplit="4" topLeftCell="B55" activePane="bottomRight" state="frozen"/>
      <selection activeCell="A51" sqref="A51"/>
      <selection pane="topRight" activeCell="B51" sqref="B51"/>
      <selection pane="bottomLeft" activeCell="A55" sqref="A55"/>
      <selection pane="bottomRight"/>
    </sheetView>
  </sheetViews>
  <sheetFormatPr defaultColWidth="9.140625" defaultRowHeight="12.75"/>
  <cols>
    <col min="1" max="1" width="28.28515625" style="598" customWidth="1"/>
    <col min="2" max="3" width="10.7109375" style="520" customWidth="1"/>
    <col min="4" max="4" width="10.42578125" style="520" customWidth="1"/>
    <col min="5" max="6" width="10.7109375" style="520" customWidth="1"/>
    <col min="7" max="9" width="10.7109375" style="520" bestFit="1" customWidth="1"/>
    <col min="10" max="10" width="13.42578125" style="520" bestFit="1" customWidth="1"/>
    <col min="11" max="11" width="10.85546875" style="520" customWidth="1"/>
    <col min="12" max="15" width="10.7109375" style="520" bestFit="1" customWidth="1"/>
    <col min="16" max="17" width="12.42578125" style="520" customWidth="1"/>
    <col min="18" max="18" width="10.7109375" style="520" bestFit="1" customWidth="1"/>
    <col min="19" max="19" width="10.42578125" style="520" customWidth="1"/>
    <col min="20" max="20" width="11" style="520" customWidth="1"/>
    <col min="21" max="16384" width="9.140625" style="520"/>
  </cols>
  <sheetData>
    <row r="1" spans="1:10" ht="20.25">
      <c r="A1" s="625" t="s">
        <v>57</v>
      </c>
    </row>
    <row r="2" spans="1:10" ht="13.5" thickBot="1"/>
    <row r="3" spans="1:10" ht="13.5" thickBot="1">
      <c r="B3" s="637" t="s">
        <v>726</v>
      </c>
      <c r="C3" s="822" t="s">
        <v>4886</v>
      </c>
      <c r="D3" s="822" t="s">
        <v>4887</v>
      </c>
      <c r="E3" s="822" t="s">
        <v>156</v>
      </c>
      <c r="F3" s="822" t="s">
        <v>4888</v>
      </c>
    </row>
    <row r="4" spans="1:10">
      <c r="B4" s="526">
        <v>2003</v>
      </c>
      <c r="C4" s="848">
        <f>B98</f>
        <v>86820.58</v>
      </c>
      <c r="D4" s="849">
        <f>B99</f>
        <v>80532.220000000016</v>
      </c>
      <c r="E4" s="848">
        <f>B103</f>
        <v>67178.36</v>
      </c>
      <c r="F4" s="848">
        <f>B105</f>
        <v>8611.01</v>
      </c>
    </row>
    <row r="5" spans="1:10">
      <c r="B5" s="526">
        <v>2004</v>
      </c>
      <c r="C5" s="848">
        <f>C98</f>
        <v>93744.939999999988</v>
      </c>
      <c r="D5" s="849">
        <f>C99</f>
        <v>94194.18</v>
      </c>
      <c r="E5" s="848">
        <f>C103</f>
        <v>150160.10999999999</v>
      </c>
      <c r="F5" s="848">
        <f>C105</f>
        <v>2361.31</v>
      </c>
    </row>
    <row r="6" spans="1:10">
      <c r="B6" s="526">
        <v>2005</v>
      </c>
      <c r="C6" s="848">
        <f>D98</f>
        <v>105031.9</v>
      </c>
      <c r="D6" s="849">
        <f>D99</f>
        <v>101765.31</v>
      </c>
      <c r="E6" s="848">
        <f>D103</f>
        <v>139360.47</v>
      </c>
      <c r="F6" s="848">
        <f>D105</f>
        <v>851.82</v>
      </c>
    </row>
    <row r="7" spans="1:10">
      <c r="B7" s="526">
        <v>2006</v>
      </c>
      <c r="C7" s="848">
        <f>E98</f>
        <v>116261.93000000001</v>
      </c>
      <c r="D7" s="849">
        <f>E99</f>
        <v>95782.53</v>
      </c>
      <c r="E7" s="848">
        <f>E103</f>
        <v>143150.15</v>
      </c>
      <c r="F7" s="848">
        <f>E105</f>
        <v>2336.8200000000002</v>
      </c>
    </row>
    <row r="8" spans="1:10">
      <c r="B8" s="526">
        <v>2007</v>
      </c>
      <c r="C8" s="848">
        <f>F98</f>
        <v>122562.05999999998</v>
      </c>
      <c r="D8" s="849">
        <f>F99</f>
        <v>105973.76000000001</v>
      </c>
      <c r="E8" s="848">
        <f>F103</f>
        <v>156701.32999999999</v>
      </c>
      <c r="F8" s="848">
        <f>F105</f>
        <v>4466.3100000000004</v>
      </c>
    </row>
    <row r="9" spans="1:10">
      <c r="B9" s="526">
        <v>2008</v>
      </c>
      <c r="C9" s="848">
        <f>G98</f>
        <v>159611.59</v>
      </c>
      <c r="D9" s="849">
        <f>G99</f>
        <v>161017.29</v>
      </c>
      <c r="E9" s="848">
        <f>G103</f>
        <v>190421.56</v>
      </c>
      <c r="F9" s="848">
        <f>G105</f>
        <v>7848.24</v>
      </c>
    </row>
    <row r="10" spans="1:10">
      <c r="B10" s="526">
        <v>2009</v>
      </c>
      <c r="C10" s="848">
        <f>H98</f>
        <v>171840.80000000002</v>
      </c>
      <c r="D10" s="849">
        <f>H99</f>
        <v>168016.90000000005</v>
      </c>
      <c r="E10" s="848">
        <f>H103</f>
        <v>208302.8</v>
      </c>
      <c r="F10" s="848">
        <f>H105</f>
        <v>7835.8</v>
      </c>
      <c r="H10" s="850"/>
      <c r="I10" s="850"/>
      <c r="J10" s="850"/>
    </row>
    <row r="11" spans="1:10">
      <c r="B11" s="526">
        <v>2010</v>
      </c>
      <c r="C11" s="848">
        <f>I98</f>
        <v>170072.59</v>
      </c>
      <c r="D11" s="849">
        <f>I99</f>
        <v>189871.26000000004</v>
      </c>
      <c r="E11" s="848">
        <f>I103</f>
        <v>198489.32</v>
      </c>
      <c r="F11" s="848">
        <f>I105</f>
        <v>6521.5</v>
      </c>
    </row>
    <row r="12" spans="1:10">
      <c r="B12" s="526">
        <v>2011</v>
      </c>
      <c r="C12" s="848">
        <f>J98</f>
        <v>184635.40999999997</v>
      </c>
      <c r="D12" s="849">
        <f>J99</f>
        <v>197308.52</v>
      </c>
      <c r="E12" s="848">
        <f>J103</f>
        <v>206209.63</v>
      </c>
      <c r="F12" s="848">
        <f>J105</f>
        <v>4390.1099999999997</v>
      </c>
    </row>
    <row r="13" spans="1:10">
      <c r="B13" s="526">
        <v>2012</v>
      </c>
      <c r="C13" s="848">
        <f>K98</f>
        <v>175520.291</v>
      </c>
      <c r="D13" s="849">
        <f>K99</f>
        <v>159096.31000000003</v>
      </c>
      <c r="E13" s="848">
        <f>K103</f>
        <v>203034.59</v>
      </c>
      <c r="F13" s="848">
        <f>K105</f>
        <v>17353.650000000001</v>
      </c>
    </row>
    <row r="14" spans="1:10">
      <c r="B14" s="526">
        <v>2013</v>
      </c>
      <c r="C14" s="848">
        <f>L98</f>
        <v>187938.54999999996</v>
      </c>
      <c r="D14" s="849">
        <f>L99</f>
        <v>198905.97</v>
      </c>
      <c r="E14" s="851">
        <f>L103</f>
        <v>201297.16</v>
      </c>
      <c r="F14" s="848">
        <f>L105</f>
        <v>11113.74</v>
      </c>
    </row>
    <row r="15" spans="1:10">
      <c r="B15" s="526">
        <v>2014</v>
      </c>
      <c r="C15" s="848">
        <f>M98</f>
        <v>186804.33100000001</v>
      </c>
      <c r="D15" s="849">
        <f>M99</f>
        <v>167519.33000000002</v>
      </c>
      <c r="E15" s="848">
        <f>M103</f>
        <v>211641.19</v>
      </c>
      <c r="F15" s="848">
        <f>M105</f>
        <v>13219.79</v>
      </c>
    </row>
    <row r="16" spans="1:10">
      <c r="B16" s="526">
        <v>2015</v>
      </c>
      <c r="C16" s="848">
        <f>N98</f>
        <v>151403.01</v>
      </c>
      <c r="D16" s="849">
        <f>N99</f>
        <v>132607.63</v>
      </c>
      <c r="E16" s="848">
        <f>N103</f>
        <v>224372.84</v>
      </c>
      <c r="F16" s="848">
        <f>N105</f>
        <v>12639.19</v>
      </c>
    </row>
    <row r="17" spans="1:6">
      <c r="B17" s="526">
        <v>2016</v>
      </c>
      <c r="C17" s="848">
        <f>O98</f>
        <v>179270.13200000001</v>
      </c>
      <c r="D17" s="849">
        <f>O99</f>
        <v>141437.69999999995</v>
      </c>
      <c r="E17" s="848">
        <f>O103</f>
        <v>249696.81</v>
      </c>
      <c r="F17" s="848">
        <f>O105</f>
        <v>10150.719999999999</v>
      </c>
    </row>
    <row r="18" spans="1:6">
      <c r="B18" s="526">
        <v>2017</v>
      </c>
      <c r="C18" s="848">
        <f>P98</f>
        <v>177146.6993875</v>
      </c>
      <c r="D18" s="849">
        <f>P99</f>
        <v>140987.51</v>
      </c>
      <c r="E18" s="848">
        <f>P103</f>
        <v>258594.76560000007</v>
      </c>
      <c r="F18" s="848">
        <f>P105</f>
        <v>17228.650000000001</v>
      </c>
    </row>
    <row r="19" spans="1:6">
      <c r="B19" s="526">
        <v>2018</v>
      </c>
      <c r="C19" s="848">
        <f>Q98</f>
        <v>199693.01489999998</v>
      </c>
      <c r="D19" s="849">
        <f>Q99</f>
        <v>128539.24859999999</v>
      </c>
      <c r="E19" s="848">
        <f>Q103</f>
        <v>264736.25719999999</v>
      </c>
      <c r="F19" s="848">
        <f>Q105</f>
        <v>7351.8483999999999</v>
      </c>
    </row>
    <row r="20" spans="1:6">
      <c r="B20" s="526">
        <v>2019</v>
      </c>
      <c r="C20" s="848">
        <f>R98</f>
        <v>182681.7108</v>
      </c>
      <c r="D20" s="849">
        <f>R99</f>
        <v>119648.36510000001</v>
      </c>
      <c r="E20" s="848">
        <f>R103</f>
        <v>239512.81009999994</v>
      </c>
      <c r="F20" s="848">
        <f>R105</f>
        <v>11941.809499999998</v>
      </c>
    </row>
    <row r="21" spans="1:6">
      <c r="B21" s="526">
        <v>2020</v>
      </c>
      <c r="C21" s="848">
        <f>S98</f>
        <v>151614.1</v>
      </c>
      <c r="D21" s="849">
        <f>S99</f>
        <v>71439.400000000009</v>
      </c>
      <c r="E21" s="848">
        <f>S103</f>
        <v>220686.02</v>
      </c>
      <c r="F21" s="848">
        <f>S105</f>
        <v>7453.76</v>
      </c>
    </row>
    <row r="22" spans="1:6">
      <c r="B22" s="526">
        <v>2021</v>
      </c>
      <c r="C22" s="848">
        <f>T98</f>
        <v>257841.99000000008</v>
      </c>
      <c r="D22" s="849">
        <f>T99</f>
        <v>168742.53000000003</v>
      </c>
      <c r="E22" s="848">
        <f>T103</f>
        <v>307358.49</v>
      </c>
      <c r="F22" s="848">
        <f>T105</f>
        <v>3746.78</v>
      </c>
    </row>
    <row r="23" spans="1:6">
      <c r="B23" s="526">
        <v>2022</v>
      </c>
      <c r="C23" s="848">
        <f>U98</f>
        <v>0</v>
      </c>
      <c r="D23" s="849">
        <f>U99</f>
        <v>0</v>
      </c>
      <c r="E23" s="848">
        <f>U103</f>
        <v>0</v>
      </c>
      <c r="F23" s="848">
        <f>U105</f>
        <v>0</v>
      </c>
    </row>
    <row r="24" spans="1:6">
      <c r="B24" s="526">
        <v>2023</v>
      </c>
      <c r="C24" s="848">
        <f>V98</f>
        <v>0</v>
      </c>
      <c r="D24" s="849">
        <f>V99</f>
        <v>0</v>
      </c>
      <c r="E24" s="848">
        <f>V103</f>
        <v>0</v>
      </c>
      <c r="F24" s="848">
        <f>V105</f>
        <v>0</v>
      </c>
    </row>
    <row r="25" spans="1:6" ht="13.5" thickBot="1">
      <c r="B25" s="604"/>
      <c r="C25" s="852"/>
      <c r="D25" s="852"/>
      <c r="E25" s="853"/>
      <c r="F25" s="852"/>
    </row>
    <row r="26" spans="1:6">
      <c r="B26" s="598"/>
      <c r="C26" s="598"/>
      <c r="D26" s="598"/>
    </row>
    <row r="27" spans="1:6" s="614" customFormat="1">
      <c r="A27" s="613"/>
      <c r="B27" s="616"/>
      <c r="C27" s="616"/>
      <c r="D27" s="616"/>
      <c r="E27" s="616"/>
      <c r="F27" s="616"/>
    </row>
    <row r="28" spans="1:6" s="614" customFormat="1">
      <c r="A28" s="613"/>
      <c r="B28" s="616"/>
      <c r="C28" s="616"/>
      <c r="D28" s="616"/>
      <c r="E28" s="616"/>
      <c r="F28" s="616"/>
    </row>
    <row r="29" spans="1:6" s="614" customFormat="1">
      <c r="A29" s="613"/>
      <c r="B29" s="616"/>
      <c r="C29" s="616"/>
      <c r="D29" s="616"/>
      <c r="E29" s="616"/>
      <c r="F29" s="616"/>
    </row>
    <row r="30" spans="1:6" s="614" customFormat="1">
      <c r="A30" s="613"/>
      <c r="B30" s="616"/>
      <c r="C30" s="616"/>
      <c r="D30" s="616"/>
      <c r="E30" s="616"/>
      <c r="F30" s="616"/>
    </row>
    <row r="31" spans="1:6" s="614" customFormat="1">
      <c r="A31" s="613"/>
      <c r="B31" s="616"/>
      <c r="C31" s="616"/>
      <c r="D31" s="616"/>
      <c r="E31" s="616"/>
      <c r="F31" s="616"/>
    </row>
    <row r="32" spans="1:6" s="614" customFormat="1">
      <c r="A32" s="613"/>
      <c r="B32" s="616"/>
      <c r="C32" s="616"/>
      <c r="D32" s="616"/>
      <c r="E32" s="616"/>
      <c r="F32" s="616"/>
    </row>
    <row r="33" spans="1:12" s="614" customFormat="1">
      <c r="A33" s="613"/>
      <c r="B33" s="616"/>
      <c r="C33" s="616"/>
      <c r="D33" s="616"/>
      <c r="E33" s="616"/>
      <c r="F33" s="616"/>
    </row>
    <row r="34" spans="1:12" s="614" customFormat="1">
      <c r="A34" s="613"/>
      <c r="B34" s="616"/>
      <c r="C34" s="616"/>
      <c r="D34" s="616"/>
      <c r="E34" s="616"/>
      <c r="F34" s="616"/>
    </row>
    <row r="35" spans="1:12" s="614" customFormat="1">
      <c r="A35" s="613"/>
      <c r="B35" s="616"/>
      <c r="C35" s="616"/>
      <c r="D35" s="616"/>
      <c r="E35" s="616"/>
      <c r="F35" s="616"/>
    </row>
    <row r="36" spans="1:12" s="614" customFormat="1">
      <c r="A36" s="613"/>
      <c r="B36" s="616"/>
      <c r="C36" s="616"/>
      <c r="D36" s="616"/>
      <c r="E36" s="616"/>
      <c r="F36" s="616"/>
    </row>
    <row r="37" spans="1:12" s="614" customFormat="1">
      <c r="A37" s="613"/>
      <c r="B37" s="613"/>
      <c r="C37" s="613"/>
      <c r="D37" s="613"/>
      <c r="E37" s="613"/>
      <c r="F37" s="613"/>
      <c r="G37" s="613"/>
      <c r="H37" s="613"/>
      <c r="I37" s="613"/>
      <c r="J37" s="613"/>
      <c r="K37" s="613"/>
      <c r="L37" s="613"/>
    </row>
    <row r="38" spans="1:12" s="614" customFormat="1">
      <c r="A38" s="613"/>
      <c r="B38" s="616"/>
      <c r="C38" s="616"/>
      <c r="D38" s="616"/>
      <c r="E38" s="616"/>
      <c r="F38" s="616"/>
      <c r="G38" s="616"/>
      <c r="H38" s="616"/>
      <c r="I38" s="616"/>
      <c r="J38" s="616"/>
      <c r="K38" s="616"/>
    </row>
    <row r="39" spans="1:12" s="614" customFormat="1">
      <c r="A39" s="613"/>
      <c r="B39" s="616"/>
      <c r="C39" s="616"/>
      <c r="D39" s="616"/>
      <c r="E39" s="616"/>
      <c r="F39" s="616"/>
      <c r="G39" s="616"/>
      <c r="H39" s="616"/>
      <c r="I39" s="616"/>
      <c r="J39" s="616"/>
      <c r="K39" s="616"/>
    </row>
    <row r="40" spans="1:12" s="614" customFormat="1">
      <c r="A40" s="613"/>
      <c r="B40" s="616"/>
      <c r="C40" s="616"/>
      <c r="D40" s="616"/>
      <c r="E40" s="616"/>
      <c r="F40" s="616"/>
      <c r="G40" s="616"/>
      <c r="H40" s="616"/>
      <c r="I40" s="616"/>
      <c r="J40" s="616"/>
      <c r="K40" s="616"/>
    </row>
    <row r="41" spans="1:12" s="614" customFormat="1">
      <c r="A41" s="613"/>
      <c r="B41" s="616"/>
      <c r="C41" s="616"/>
      <c r="D41" s="616"/>
      <c r="E41" s="616"/>
      <c r="F41" s="616"/>
      <c r="G41" s="616"/>
      <c r="H41" s="616"/>
      <c r="I41" s="616"/>
      <c r="J41" s="616"/>
      <c r="K41" s="616"/>
    </row>
    <row r="42" spans="1:12" s="614" customFormat="1">
      <c r="A42" s="613"/>
      <c r="B42" s="616"/>
      <c r="C42" s="616"/>
      <c r="D42" s="616"/>
      <c r="E42" s="616"/>
      <c r="F42" s="616"/>
      <c r="G42" s="616"/>
      <c r="H42" s="616"/>
      <c r="I42" s="616"/>
      <c r="J42" s="616"/>
      <c r="K42" s="616"/>
    </row>
    <row r="43" spans="1:12" s="614" customFormat="1">
      <c r="A43" s="613"/>
      <c r="B43" s="616"/>
      <c r="C43" s="616"/>
      <c r="D43" s="616"/>
      <c r="E43" s="616"/>
      <c r="F43" s="616"/>
      <c r="G43" s="616"/>
      <c r="H43" s="616"/>
      <c r="I43" s="616"/>
      <c r="J43" s="616"/>
      <c r="K43" s="616"/>
    </row>
    <row r="44" spans="1:12" s="614" customFormat="1">
      <c r="A44" s="613"/>
      <c r="B44" s="616"/>
      <c r="C44" s="616"/>
      <c r="D44" s="616"/>
      <c r="E44" s="616"/>
      <c r="F44" s="616"/>
      <c r="G44" s="616"/>
      <c r="H44" s="616"/>
      <c r="I44" s="616"/>
      <c r="J44" s="616"/>
      <c r="K44" s="616"/>
    </row>
    <row r="45" spans="1:12" s="614" customFormat="1">
      <c r="A45" s="613"/>
      <c r="B45" s="616"/>
      <c r="C45" s="616"/>
      <c r="D45" s="616"/>
      <c r="E45" s="616"/>
      <c r="F45" s="616"/>
      <c r="G45" s="616"/>
      <c r="H45" s="616"/>
      <c r="I45" s="616"/>
      <c r="J45" s="616"/>
      <c r="K45" s="616"/>
    </row>
    <row r="46" spans="1:12" s="614" customFormat="1">
      <c r="A46" s="613"/>
      <c r="B46" s="616"/>
      <c r="C46" s="616"/>
      <c r="D46" s="616"/>
      <c r="E46" s="616"/>
      <c r="F46" s="616"/>
      <c r="G46" s="616"/>
      <c r="H46" s="616"/>
      <c r="I46" s="616"/>
      <c r="J46" s="616"/>
      <c r="K46" s="616"/>
    </row>
    <row r="47" spans="1:12" s="614" customFormat="1">
      <c r="A47" s="613"/>
      <c r="B47" s="616"/>
      <c r="C47" s="616"/>
      <c r="D47" s="616"/>
      <c r="E47" s="616"/>
      <c r="F47" s="616"/>
      <c r="G47" s="616"/>
      <c r="H47" s="616"/>
      <c r="I47" s="616"/>
      <c r="J47" s="616"/>
      <c r="K47" s="616"/>
    </row>
    <row r="48" spans="1:12" s="614" customFormat="1">
      <c r="A48" s="613"/>
      <c r="B48" s="616"/>
      <c r="C48" s="616"/>
      <c r="D48" s="616"/>
      <c r="E48" s="616"/>
      <c r="F48" s="616"/>
      <c r="G48" s="616"/>
      <c r="H48" s="616"/>
      <c r="I48" s="616"/>
      <c r="J48" s="616"/>
      <c r="K48" s="616"/>
    </row>
    <row r="49" spans="1:20" s="614" customFormat="1">
      <c r="A49" s="613"/>
      <c r="B49" s="616"/>
      <c r="C49" s="616"/>
      <c r="D49" s="616"/>
      <c r="E49" s="616"/>
      <c r="F49" s="616"/>
      <c r="G49" s="616"/>
      <c r="H49" s="616"/>
      <c r="I49" s="616"/>
      <c r="J49" s="616"/>
      <c r="K49" s="616"/>
    </row>
    <row r="50" spans="1:20" s="614" customFormat="1" ht="21">
      <c r="A50" s="4757" t="s">
        <v>5492</v>
      </c>
      <c r="B50" s="4758"/>
      <c r="C50" s="4758"/>
      <c r="D50" s="4758"/>
      <c r="E50" s="4758"/>
      <c r="F50" s="4758"/>
      <c r="G50" s="4758"/>
      <c r="H50" s="4758"/>
      <c r="I50" s="4758"/>
      <c r="J50" s="4758"/>
      <c r="K50" s="4758"/>
    </row>
    <row r="51" spans="1:20" s="614" customFormat="1">
      <c r="A51" s="613"/>
      <c r="B51" s="616"/>
      <c r="C51" s="616"/>
      <c r="D51" s="616"/>
      <c r="E51" s="616"/>
      <c r="F51" s="616"/>
      <c r="G51" s="616"/>
      <c r="H51" s="616"/>
      <c r="I51" s="616"/>
      <c r="J51" s="616"/>
      <c r="K51" s="616"/>
    </row>
    <row r="52" spans="1:20" s="614" customFormat="1">
      <c r="A52" s="613"/>
      <c r="B52" s="616"/>
      <c r="C52" s="616"/>
      <c r="D52" s="616"/>
      <c r="E52" s="616"/>
      <c r="F52" s="616"/>
      <c r="G52" s="616"/>
      <c r="H52" s="616"/>
      <c r="I52" s="616"/>
      <c r="J52" s="616"/>
      <c r="K52" s="616"/>
    </row>
    <row r="53" spans="1:20" s="614" customFormat="1" ht="13.5" thickBot="1">
      <c r="A53" s="613"/>
      <c r="B53" s="616"/>
      <c r="C53" s="616"/>
      <c r="D53" s="616"/>
      <c r="E53" s="616"/>
      <c r="F53" s="616"/>
      <c r="G53" s="616"/>
      <c r="H53" s="616"/>
      <c r="I53" s="616"/>
      <c r="J53" s="616"/>
      <c r="K53" s="616"/>
    </row>
    <row r="54" spans="1:20" s="614" customFormat="1" ht="13.5" thickBot="1">
      <c r="A54" s="1722"/>
      <c r="B54" s="358">
        <v>2003</v>
      </c>
      <c r="C54" s="358">
        <v>2004</v>
      </c>
      <c r="D54" s="358">
        <v>2005</v>
      </c>
      <c r="E54" s="358">
        <v>2006</v>
      </c>
      <c r="F54" s="358">
        <v>2007</v>
      </c>
      <c r="G54" s="358">
        <v>2008</v>
      </c>
      <c r="H54" s="358">
        <v>2009</v>
      </c>
      <c r="I54" s="358">
        <v>2010</v>
      </c>
      <c r="J54" s="358">
        <v>2011</v>
      </c>
      <c r="K54" s="358">
        <v>2012</v>
      </c>
      <c r="L54" s="358">
        <v>2013</v>
      </c>
      <c r="M54" s="358">
        <v>2014</v>
      </c>
      <c r="N54" s="358">
        <v>2015</v>
      </c>
      <c r="O54" s="358">
        <v>2016</v>
      </c>
      <c r="P54" s="358">
        <v>2017</v>
      </c>
      <c r="Q54" s="358">
        <v>2018</v>
      </c>
      <c r="R54" s="358">
        <v>2019</v>
      </c>
      <c r="S54" s="357">
        <v>2020</v>
      </c>
      <c r="T54" s="358">
        <v>2021</v>
      </c>
    </row>
    <row r="55" spans="1:20" s="614" customFormat="1">
      <c r="A55" s="613" t="s">
        <v>4889</v>
      </c>
      <c r="B55" s="623">
        <v>8690.27</v>
      </c>
      <c r="C55" s="623">
        <v>16612.18</v>
      </c>
      <c r="D55" s="623">
        <v>19479.830000000002</v>
      </c>
      <c r="E55" s="623">
        <v>18469.22</v>
      </c>
      <c r="F55" s="623">
        <v>18467.71</v>
      </c>
      <c r="G55" s="623">
        <v>21743.119999999999</v>
      </c>
      <c r="H55" s="623">
        <v>27930.39</v>
      </c>
      <c r="I55" s="623">
        <v>27965.89</v>
      </c>
      <c r="J55" s="623">
        <v>31967.24</v>
      </c>
      <c r="K55" s="623">
        <v>29554.65</v>
      </c>
      <c r="L55" s="623">
        <v>28687.54</v>
      </c>
      <c r="M55" s="623">
        <v>33212.07</v>
      </c>
      <c r="N55" s="623">
        <v>39663.97</v>
      </c>
      <c r="O55" s="623">
        <v>42350.81</v>
      </c>
      <c r="P55" s="616">
        <v>41914.699999999997</v>
      </c>
      <c r="Q55" s="616">
        <v>36274.312600000005</v>
      </c>
      <c r="R55" s="616">
        <v>32504.1391</v>
      </c>
      <c r="S55" s="616">
        <v>25384.18</v>
      </c>
      <c r="T55" s="616">
        <v>41833.29</v>
      </c>
    </row>
    <row r="56" spans="1:20" s="614" customFormat="1">
      <c r="A56" s="613" t="s">
        <v>4887</v>
      </c>
      <c r="B56" s="854">
        <v>16928.32</v>
      </c>
      <c r="C56" s="854">
        <v>23848.6</v>
      </c>
      <c r="D56" s="854">
        <v>22573.23</v>
      </c>
      <c r="E56" s="854">
        <v>21532.82</v>
      </c>
      <c r="F56" s="854">
        <v>23044.080000000002</v>
      </c>
      <c r="G56" s="854">
        <v>39390.11</v>
      </c>
      <c r="H56" s="854">
        <v>44170.78</v>
      </c>
      <c r="I56" s="854">
        <v>49316.92</v>
      </c>
      <c r="J56" s="854">
        <v>53422.3</v>
      </c>
      <c r="K56" s="854">
        <v>37511.93</v>
      </c>
      <c r="L56" s="854">
        <v>51452.98</v>
      </c>
      <c r="M56" s="854">
        <v>40603.160000000003</v>
      </c>
      <c r="N56" s="854">
        <v>38090.86</v>
      </c>
      <c r="O56" s="854">
        <v>36260.32</v>
      </c>
      <c r="P56" s="616">
        <v>34667.89</v>
      </c>
      <c r="Q56" s="616">
        <v>28782.661399999997</v>
      </c>
      <c r="R56" s="616">
        <v>26921.418600000001</v>
      </c>
      <c r="S56" s="616">
        <v>15998.24</v>
      </c>
      <c r="T56" s="616">
        <v>34722.699999999997</v>
      </c>
    </row>
    <row r="57" spans="1:20" s="614" customFormat="1">
      <c r="A57" s="610">
        <v>10400</v>
      </c>
      <c r="B57" s="615">
        <f>SUM(B55:B56)</f>
        <v>25618.59</v>
      </c>
      <c r="C57" s="615">
        <f t="shared" ref="C57:R57" si="0">SUM(C55:C56)</f>
        <v>40460.78</v>
      </c>
      <c r="D57" s="615">
        <f t="shared" si="0"/>
        <v>42053.06</v>
      </c>
      <c r="E57" s="615">
        <f t="shared" si="0"/>
        <v>40002.04</v>
      </c>
      <c r="F57" s="615">
        <f t="shared" si="0"/>
        <v>41511.79</v>
      </c>
      <c r="G57" s="615">
        <f t="shared" si="0"/>
        <v>61133.229999999996</v>
      </c>
      <c r="H57" s="615">
        <f t="shared" si="0"/>
        <v>72101.17</v>
      </c>
      <c r="I57" s="615">
        <f t="shared" si="0"/>
        <v>77282.81</v>
      </c>
      <c r="J57" s="615">
        <f t="shared" si="0"/>
        <v>85389.540000000008</v>
      </c>
      <c r="K57" s="615">
        <f t="shared" si="0"/>
        <v>67066.58</v>
      </c>
      <c r="L57" s="615">
        <f t="shared" si="0"/>
        <v>80140.52</v>
      </c>
      <c r="M57" s="615">
        <f t="shared" si="0"/>
        <v>73815.23000000001</v>
      </c>
      <c r="N57" s="615">
        <f t="shared" si="0"/>
        <v>77754.83</v>
      </c>
      <c r="O57" s="615">
        <f t="shared" si="0"/>
        <v>78611.13</v>
      </c>
      <c r="P57" s="615">
        <f t="shared" si="0"/>
        <v>76582.59</v>
      </c>
      <c r="Q57" s="615">
        <f t="shared" si="0"/>
        <v>65056.974000000002</v>
      </c>
      <c r="R57" s="615">
        <f t="shared" si="0"/>
        <v>59425.557700000005</v>
      </c>
      <c r="S57" s="615">
        <f>SUM(S55:S56)</f>
        <v>41382.42</v>
      </c>
      <c r="T57" s="615">
        <f>SUM(T55:T56)</f>
        <v>76555.989999999991</v>
      </c>
    </row>
    <row r="58" spans="1:20" s="614" customFormat="1">
      <c r="A58" s="613" t="s">
        <v>4889</v>
      </c>
      <c r="B58" s="608">
        <v>4880.08</v>
      </c>
      <c r="C58" s="608">
        <v>6688.62</v>
      </c>
      <c r="D58" s="608">
        <v>10272.6</v>
      </c>
      <c r="E58" s="608">
        <v>8841.27</v>
      </c>
      <c r="F58" s="608">
        <v>9045.91</v>
      </c>
      <c r="G58" s="608">
        <v>9985.83</v>
      </c>
      <c r="H58" s="608">
        <v>11754.43</v>
      </c>
      <c r="I58" s="608">
        <v>12008.51</v>
      </c>
      <c r="J58" s="608">
        <v>13145.14</v>
      </c>
      <c r="K58" s="608">
        <v>14608.01</v>
      </c>
      <c r="L58" s="608">
        <v>14520.43</v>
      </c>
      <c r="M58" s="608">
        <v>16931.09</v>
      </c>
      <c r="N58" s="608">
        <v>614.29999999999995</v>
      </c>
      <c r="O58" s="608">
        <v>688.72</v>
      </c>
      <c r="P58" s="616">
        <v>1204.1599999999999</v>
      </c>
      <c r="Q58" s="616">
        <v>754.42880000000025</v>
      </c>
      <c r="R58" s="616">
        <v>-2.6462000000001069</v>
      </c>
      <c r="S58" s="616">
        <v>0</v>
      </c>
      <c r="T58" s="616">
        <v>0</v>
      </c>
    </row>
    <row r="59" spans="1:20" s="614" customFormat="1">
      <c r="A59" s="613" t="s">
        <v>4887</v>
      </c>
      <c r="B59" s="608">
        <v>8053.91</v>
      </c>
      <c r="C59" s="608">
        <v>9688.7099999999991</v>
      </c>
      <c r="D59" s="608">
        <v>11052.95</v>
      </c>
      <c r="E59" s="608">
        <v>9520.01</v>
      </c>
      <c r="F59" s="608">
        <v>8860.75</v>
      </c>
      <c r="G59" s="608">
        <v>12107.67</v>
      </c>
      <c r="H59" s="608">
        <v>13787.98</v>
      </c>
      <c r="I59" s="608">
        <v>16231.03</v>
      </c>
      <c r="J59" s="608">
        <v>17388.72</v>
      </c>
      <c r="K59" s="608">
        <v>12246.52</v>
      </c>
      <c r="L59" s="608">
        <v>14153.4</v>
      </c>
      <c r="M59" s="608">
        <v>16479.650000000001</v>
      </c>
      <c r="N59" s="608">
        <v>615.84</v>
      </c>
      <c r="O59" s="608">
        <v>171.46</v>
      </c>
      <c r="P59" s="616">
        <v>305.58000000000004</v>
      </c>
      <c r="Q59" s="616">
        <v>155.07</v>
      </c>
      <c r="R59" s="616">
        <v>132.99</v>
      </c>
      <c r="S59" s="616">
        <v>19.809999999999999</v>
      </c>
      <c r="T59" s="616">
        <v>0</v>
      </c>
    </row>
    <row r="60" spans="1:20" s="614" customFormat="1">
      <c r="A60" s="610">
        <v>35100</v>
      </c>
      <c r="B60" s="615">
        <f>SUM(B58:B59)</f>
        <v>12933.99</v>
      </c>
      <c r="C60" s="615">
        <f t="shared" ref="C60:R60" si="1">SUM(C58:C59)</f>
        <v>16377.329999999998</v>
      </c>
      <c r="D60" s="615">
        <f t="shared" si="1"/>
        <v>21325.550000000003</v>
      </c>
      <c r="E60" s="615">
        <f t="shared" si="1"/>
        <v>18361.28</v>
      </c>
      <c r="F60" s="615">
        <f>SUM(F58:F59)</f>
        <v>17906.66</v>
      </c>
      <c r="G60" s="615">
        <f t="shared" si="1"/>
        <v>22093.5</v>
      </c>
      <c r="H60" s="615">
        <f t="shared" si="1"/>
        <v>25542.41</v>
      </c>
      <c r="I60" s="615">
        <f t="shared" si="1"/>
        <v>28239.54</v>
      </c>
      <c r="J60" s="615">
        <f t="shared" si="1"/>
        <v>30533.86</v>
      </c>
      <c r="K60" s="615">
        <f t="shared" si="1"/>
        <v>26854.53</v>
      </c>
      <c r="L60" s="615">
        <f t="shared" si="1"/>
        <v>28673.83</v>
      </c>
      <c r="M60" s="615">
        <f t="shared" si="1"/>
        <v>33410.740000000005</v>
      </c>
      <c r="N60" s="615">
        <f t="shared" si="1"/>
        <v>1230.1399999999999</v>
      </c>
      <c r="O60" s="615">
        <f t="shared" si="1"/>
        <v>860.18000000000006</v>
      </c>
      <c r="P60" s="615">
        <f t="shared" si="1"/>
        <v>1509.7399999999998</v>
      </c>
      <c r="Q60" s="615">
        <f t="shared" si="1"/>
        <v>909.4988000000003</v>
      </c>
      <c r="R60" s="615">
        <f t="shared" si="1"/>
        <v>130.3437999999999</v>
      </c>
      <c r="S60" s="615">
        <f>SUM(S58:S59)</f>
        <v>19.809999999999999</v>
      </c>
      <c r="T60" s="615">
        <f>SUM(T58:T59)</f>
        <v>0</v>
      </c>
    </row>
    <row r="61" spans="1:20" s="614" customFormat="1">
      <c r="A61" s="613" t="s">
        <v>4889</v>
      </c>
      <c r="B61" s="608">
        <v>13245.83</v>
      </c>
      <c r="C61" s="608">
        <v>14621.49</v>
      </c>
      <c r="D61" s="608">
        <v>18221.89</v>
      </c>
      <c r="E61" s="608">
        <v>13415.5</v>
      </c>
      <c r="F61" s="608">
        <v>13938.26</v>
      </c>
      <c r="G61" s="608">
        <v>15496.98</v>
      </c>
      <c r="H61" s="608">
        <v>16652.54</v>
      </c>
      <c r="I61" s="608">
        <v>16262.04</v>
      </c>
      <c r="J61" s="608">
        <v>14290.92</v>
      </c>
      <c r="K61" s="608">
        <v>11335.63</v>
      </c>
      <c r="L61" s="608">
        <v>16201.94</v>
      </c>
      <c r="M61" s="608">
        <v>13608.56</v>
      </c>
      <c r="N61" s="608">
        <v>11807.69</v>
      </c>
      <c r="O61" s="608">
        <v>12711.54</v>
      </c>
      <c r="P61" s="616">
        <v>13480.3</v>
      </c>
      <c r="Q61" s="616">
        <v>12556.8</v>
      </c>
      <c r="R61" s="616">
        <v>4916.38</v>
      </c>
      <c r="S61" s="616">
        <v>5761.4</v>
      </c>
      <c r="T61" s="616">
        <v>11346.62</v>
      </c>
    </row>
    <row r="62" spans="1:20" s="614" customFormat="1">
      <c r="A62" s="613" t="s">
        <v>4887</v>
      </c>
      <c r="B62" s="608">
        <v>3597.31</v>
      </c>
      <c r="C62" s="608">
        <v>5268.64</v>
      </c>
      <c r="D62" s="608">
        <v>5355.46</v>
      </c>
      <c r="E62" s="608">
        <v>5168.78</v>
      </c>
      <c r="F62" s="608">
        <v>3740.74</v>
      </c>
      <c r="G62" s="608">
        <v>9363.2000000000007</v>
      </c>
      <c r="H62" s="608">
        <v>8388.02</v>
      </c>
      <c r="I62" s="608">
        <v>11791.18</v>
      </c>
      <c r="J62" s="608">
        <v>11108.21</v>
      </c>
      <c r="K62" s="608">
        <v>7052.85</v>
      </c>
      <c r="L62" s="608">
        <v>11294.69</v>
      </c>
      <c r="M62" s="608">
        <v>8868.19</v>
      </c>
      <c r="N62" s="608">
        <v>9089.93</v>
      </c>
      <c r="O62" s="608">
        <v>6952.7</v>
      </c>
      <c r="P62" s="616">
        <v>9080.01</v>
      </c>
      <c r="Q62" s="616">
        <v>8050.2455000000009</v>
      </c>
      <c r="R62" s="616">
        <v>7168.2327000000014</v>
      </c>
      <c r="S62" s="616">
        <v>2296.9</v>
      </c>
      <c r="T62" s="616">
        <v>6910.41</v>
      </c>
    </row>
    <row r="63" spans="1:20" s="614" customFormat="1">
      <c r="A63" s="610">
        <v>42100</v>
      </c>
      <c r="B63" s="615">
        <f>SUM(B61:B62)</f>
        <v>16843.14</v>
      </c>
      <c r="C63" s="615">
        <f t="shared" ref="C63:R63" si="2">SUM(C61:C62)</f>
        <v>19890.13</v>
      </c>
      <c r="D63" s="615">
        <f t="shared" si="2"/>
        <v>23577.35</v>
      </c>
      <c r="E63" s="615">
        <f t="shared" si="2"/>
        <v>18584.28</v>
      </c>
      <c r="F63" s="615">
        <f t="shared" si="2"/>
        <v>17679</v>
      </c>
      <c r="G63" s="615">
        <f t="shared" si="2"/>
        <v>24860.18</v>
      </c>
      <c r="H63" s="615">
        <f t="shared" si="2"/>
        <v>25040.560000000001</v>
      </c>
      <c r="I63" s="615">
        <f t="shared" si="2"/>
        <v>28053.22</v>
      </c>
      <c r="J63" s="615">
        <f t="shared" si="2"/>
        <v>25399.129999999997</v>
      </c>
      <c r="K63" s="615">
        <f t="shared" si="2"/>
        <v>18388.48</v>
      </c>
      <c r="L63" s="615">
        <f t="shared" si="2"/>
        <v>27496.63</v>
      </c>
      <c r="M63" s="615">
        <f t="shared" si="2"/>
        <v>22476.75</v>
      </c>
      <c r="N63" s="615">
        <f t="shared" si="2"/>
        <v>20897.620000000003</v>
      </c>
      <c r="O63" s="615">
        <f t="shared" si="2"/>
        <v>19664.240000000002</v>
      </c>
      <c r="P63" s="615">
        <f t="shared" si="2"/>
        <v>22560.309999999998</v>
      </c>
      <c r="Q63" s="615">
        <f t="shared" si="2"/>
        <v>20607.0455</v>
      </c>
      <c r="R63" s="615">
        <f t="shared" si="2"/>
        <v>12084.612700000001</v>
      </c>
      <c r="S63" s="615">
        <f>SUM(S61:S62)</f>
        <v>8058.2999999999993</v>
      </c>
      <c r="T63" s="615">
        <f>SUM(T61:T62)</f>
        <v>18257.03</v>
      </c>
    </row>
    <row r="64" spans="1:20" s="614" customFormat="1">
      <c r="A64" s="610">
        <v>42200</v>
      </c>
      <c r="B64" s="615">
        <v>1209.72</v>
      </c>
      <c r="C64" s="615">
        <v>1642.15</v>
      </c>
      <c r="D64" s="615">
        <v>1678.11</v>
      </c>
      <c r="E64" s="615">
        <v>1020.12</v>
      </c>
      <c r="F64" s="615">
        <v>805.66</v>
      </c>
      <c r="G64" s="615">
        <v>928.78</v>
      </c>
      <c r="H64" s="615">
        <v>888</v>
      </c>
      <c r="I64" s="615">
        <v>1366.66</v>
      </c>
      <c r="J64" s="615">
        <v>2901.63</v>
      </c>
      <c r="K64" s="615">
        <v>2961.67</v>
      </c>
      <c r="L64" s="615">
        <v>2981.28</v>
      </c>
      <c r="M64" s="615">
        <v>2950.82</v>
      </c>
      <c r="N64" s="615">
        <v>3356.74</v>
      </c>
      <c r="O64" s="615">
        <v>3835.21</v>
      </c>
      <c r="P64" s="615">
        <v>3967.6900000000005</v>
      </c>
      <c r="Q64" s="615">
        <v>4037.2491999999997</v>
      </c>
      <c r="R64" s="615">
        <v>3349.1</v>
      </c>
      <c r="S64" s="615">
        <v>3388.51</v>
      </c>
      <c r="T64" s="615">
        <v>4569.79</v>
      </c>
    </row>
    <row r="65" spans="1:20" s="614" customFormat="1">
      <c r="A65" s="610">
        <v>42501</v>
      </c>
      <c r="B65" s="615">
        <v>409.16</v>
      </c>
      <c r="C65" s="615">
        <v>526.70000000000005</v>
      </c>
      <c r="D65" s="615">
        <v>654.58000000000004</v>
      </c>
      <c r="E65" s="615">
        <v>546.37</v>
      </c>
      <c r="F65" s="615">
        <v>626.53</v>
      </c>
      <c r="G65" s="615">
        <v>699.63</v>
      </c>
      <c r="H65" s="615">
        <v>826.19</v>
      </c>
      <c r="I65" s="615">
        <v>789.27</v>
      </c>
      <c r="J65" s="615">
        <v>886.69</v>
      </c>
      <c r="K65" s="615">
        <v>1232.1099999999999</v>
      </c>
      <c r="L65" s="615">
        <v>1710.8</v>
      </c>
      <c r="M65" s="615">
        <v>1061</v>
      </c>
      <c r="N65" s="615">
        <v>1259.53</v>
      </c>
      <c r="O65" s="615">
        <v>1543.81</v>
      </c>
      <c r="P65" s="615">
        <v>1477.68</v>
      </c>
      <c r="Q65" s="615">
        <v>1255.3198</v>
      </c>
      <c r="R65" s="615">
        <v>1273.7878000000001</v>
      </c>
      <c r="S65" s="615">
        <v>2053.38</v>
      </c>
      <c r="T65" s="615">
        <v>2142.7399999999998</v>
      </c>
    </row>
    <row r="66" spans="1:20" s="614" customFormat="1">
      <c r="A66" s="613" t="s">
        <v>4889</v>
      </c>
      <c r="B66" s="608">
        <v>4514.43</v>
      </c>
      <c r="C66" s="608">
        <v>5158.59</v>
      </c>
      <c r="D66" s="608">
        <v>4495.5</v>
      </c>
      <c r="E66" s="608">
        <v>5695.84</v>
      </c>
      <c r="F66" s="608">
        <v>6677.92</v>
      </c>
      <c r="G66" s="608">
        <v>7578.51</v>
      </c>
      <c r="H66" s="608">
        <v>7930.08</v>
      </c>
      <c r="I66" s="608">
        <v>9964.74</v>
      </c>
      <c r="J66" s="608">
        <v>8499.7000000000007</v>
      </c>
      <c r="K66" s="608">
        <v>8722.3700000000008</v>
      </c>
      <c r="L66" s="608">
        <v>10522.87</v>
      </c>
      <c r="M66" s="608">
        <v>9093.2109999999993</v>
      </c>
      <c r="N66" s="608">
        <v>9756.09</v>
      </c>
      <c r="O66" s="608">
        <v>11619.09</v>
      </c>
      <c r="P66" s="616">
        <v>10166.870000000001</v>
      </c>
      <c r="Q66" s="616">
        <v>9712.5012000000006</v>
      </c>
      <c r="R66" s="616">
        <v>8687.2380000000012</v>
      </c>
      <c r="S66" s="616">
        <v>5804.36</v>
      </c>
      <c r="T66" s="616">
        <v>10623.92</v>
      </c>
    </row>
    <row r="67" spans="1:20" s="614" customFormat="1">
      <c r="A67" s="613" t="s">
        <v>4887</v>
      </c>
      <c r="B67" s="608">
        <v>2361.54</v>
      </c>
      <c r="C67" s="608">
        <v>3307.43</v>
      </c>
      <c r="D67" s="608">
        <v>4146.1400000000003</v>
      </c>
      <c r="E67" s="608">
        <v>4063.52</v>
      </c>
      <c r="F67" s="608">
        <v>4171.3599999999997</v>
      </c>
      <c r="G67" s="608">
        <v>5490.36</v>
      </c>
      <c r="H67" s="608">
        <v>6280.99</v>
      </c>
      <c r="I67" s="608">
        <v>6860.17</v>
      </c>
      <c r="J67" s="608">
        <v>7577.77</v>
      </c>
      <c r="K67" s="608">
        <v>3835.4</v>
      </c>
      <c r="L67" s="608">
        <v>6600.17</v>
      </c>
      <c r="M67" s="608">
        <v>5170.08</v>
      </c>
      <c r="N67" s="608">
        <v>4640.57</v>
      </c>
      <c r="O67" s="608">
        <v>4561.7299999999996</v>
      </c>
      <c r="P67" s="616">
        <v>5672.53</v>
      </c>
      <c r="Q67" s="616">
        <v>4485.3021999999992</v>
      </c>
      <c r="R67" s="616">
        <v>4289.5651999999991</v>
      </c>
      <c r="S67" s="616">
        <v>-1062.8699999999999</v>
      </c>
      <c r="T67" s="616">
        <v>283.45</v>
      </c>
    </row>
    <row r="68" spans="1:20" s="614" customFormat="1">
      <c r="A68" s="610">
        <v>72200</v>
      </c>
      <c r="B68" s="615">
        <f>SUM(B66:B67)</f>
        <v>6875.97</v>
      </c>
      <c r="C68" s="615">
        <f t="shared" ref="C68:R68" si="3">SUM(C66:C67)</f>
        <v>8466.02</v>
      </c>
      <c r="D68" s="615">
        <f t="shared" si="3"/>
        <v>8641.64</v>
      </c>
      <c r="E68" s="615">
        <f t="shared" si="3"/>
        <v>9759.36</v>
      </c>
      <c r="F68" s="615">
        <f t="shared" si="3"/>
        <v>10849.279999999999</v>
      </c>
      <c r="G68" s="615">
        <f t="shared" si="3"/>
        <v>13068.869999999999</v>
      </c>
      <c r="H68" s="615">
        <f t="shared" si="3"/>
        <v>14211.07</v>
      </c>
      <c r="I68" s="615">
        <f t="shared" si="3"/>
        <v>16824.91</v>
      </c>
      <c r="J68" s="615">
        <f t="shared" si="3"/>
        <v>16077.470000000001</v>
      </c>
      <c r="K68" s="615">
        <f t="shared" si="3"/>
        <v>12557.77</v>
      </c>
      <c r="L68" s="615">
        <f t="shared" si="3"/>
        <v>17123.04</v>
      </c>
      <c r="M68" s="615">
        <f t="shared" si="3"/>
        <v>14263.290999999999</v>
      </c>
      <c r="N68" s="615">
        <f t="shared" si="3"/>
        <v>14396.66</v>
      </c>
      <c r="O68" s="615">
        <f t="shared" si="3"/>
        <v>16180.82</v>
      </c>
      <c r="P68" s="615">
        <f t="shared" si="3"/>
        <v>15839.400000000001</v>
      </c>
      <c r="Q68" s="615">
        <f t="shared" si="3"/>
        <v>14197.803400000001</v>
      </c>
      <c r="R68" s="615">
        <f t="shared" si="3"/>
        <v>12976.8032</v>
      </c>
      <c r="S68" s="615">
        <f>SUM(S66:S67)</f>
        <v>4741.49</v>
      </c>
      <c r="T68" s="615">
        <f>SUM(T66:T67)</f>
        <v>10907.37</v>
      </c>
    </row>
    <row r="69" spans="1:20" s="614" customFormat="1">
      <c r="A69" s="613" t="s">
        <v>4889</v>
      </c>
      <c r="B69" s="608">
        <v>2721.4</v>
      </c>
      <c r="C69" s="608">
        <v>3544.02</v>
      </c>
      <c r="D69" s="608">
        <v>4737.57</v>
      </c>
      <c r="E69" s="608">
        <v>4454.93</v>
      </c>
      <c r="F69" s="608">
        <v>5458.57</v>
      </c>
      <c r="G69" s="608">
        <v>5121.3900000000003</v>
      </c>
      <c r="H69" s="608">
        <v>6473.29</v>
      </c>
      <c r="I69" s="608">
        <v>5934.93</v>
      </c>
      <c r="J69" s="608">
        <v>6364.45</v>
      </c>
      <c r="K69" s="608">
        <v>4585.38</v>
      </c>
      <c r="L69" s="608">
        <v>5747.19</v>
      </c>
      <c r="M69" s="608">
        <v>6547.96</v>
      </c>
      <c r="N69" s="608">
        <v>5324.48</v>
      </c>
      <c r="O69" s="608">
        <v>7825.37</v>
      </c>
      <c r="P69" s="616">
        <v>8556.0910000000003</v>
      </c>
      <c r="Q69" s="616">
        <v>7626.1482999999989</v>
      </c>
      <c r="R69" s="616">
        <v>6400.4009000000005</v>
      </c>
      <c r="S69" s="616">
        <v>4357.8900000000003</v>
      </c>
      <c r="T69" s="616">
        <v>6100.91</v>
      </c>
    </row>
    <row r="70" spans="1:20" s="614" customFormat="1">
      <c r="A70" s="613" t="s">
        <v>4887</v>
      </c>
      <c r="B70" s="608">
        <v>9618.48</v>
      </c>
      <c r="C70" s="608">
        <v>17453.47</v>
      </c>
      <c r="D70" s="608">
        <v>20672.13</v>
      </c>
      <c r="E70" s="608">
        <v>15189.94</v>
      </c>
      <c r="F70" s="608">
        <v>16598.82</v>
      </c>
      <c r="G70" s="608">
        <v>19979.830000000002</v>
      </c>
      <c r="H70" s="608">
        <v>24675.52</v>
      </c>
      <c r="I70" s="608">
        <v>20491.72</v>
      </c>
      <c r="J70" s="608">
        <v>26112.32</v>
      </c>
      <c r="K70" s="608">
        <v>16526.07</v>
      </c>
      <c r="L70" s="608">
        <v>22505.06</v>
      </c>
      <c r="M70" s="608">
        <v>18142.45</v>
      </c>
      <c r="N70" s="608">
        <v>15902.3</v>
      </c>
      <c r="O70" s="608">
        <v>17277.46</v>
      </c>
      <c r="P70" s="616">
        <v>14953.98</v>
      </c>
      <c r="Q70" s="616">
        <v>14933.387500000001</v>
      </c>
      <c r="R70" s="616">
        <v>13817.947400000003</v>
      </c>
      <c r="S70" s="616">
        <v>7096.78</v>
      </c>
      <c r="T70" s="616">
        <v>15247.4</v>
      </c>
    </row>
    <row r="71" spans="1:20" s="614" customFormat="1">
      <c r="A71" s="610">
        <v>73400</v>
      </c>
      <c r="B71" s="615">
        <f>SUM(B69:B70)</f>
        <v>12339.88</v>
      </c>
      <c r="C71" s="615">
        <f t="shared" ref="C71:R71" si="4">SUM(C69:C70)</f>
        <v>20997.49</v>
      </c>
      <c r="D71" s="615">
        <f t="shared" si="4"/>
        <v>25409.7</v>
      </c>
      <c r="E71" s="615">
        <f t="shared" si="4"/>
        <v>19644.870000000003</v>
      </c>
      <c r="F71" s="615">
        <f t="shared" si="4"/>
        <v>22057.39</v>
      </c>
      <c r="G71" s="615">
        <f t="shared" si="4"/>
        <v>25101.22</v>
      </c>
      <c r="H71" s="615">
        <f t="shared" si="4"/>
        <v>31148.81</v>
      </c>
      <c r="I71" s="615">
        <f t="shared" si="4"/>
        <v>26426.65</v>
      </c>
      <c r="J71" s="615">
        <f t="shared" si="4"/>
        <v>32476.77</v>
      </c>
      <c r="K71" s="615">
        <f t="shared" si="4"/>
        <v>21111.45</v>
      </c>
      <c r="L71" s="615">
        <f t="shared" si="4"/>
        <v>28252.25</v>
      </c>
      <c r="M71" s="615">
        <f t="shared" si="4"/>
        <v>24690.41</v>
      </c>
      <c r="N71" s="615">
        <f t="shared" si="4"/>
        <v>21226.78</v>
      </c>
      <c r="O71" s="615">
        <f t="shared" si="4"/>
        <v>25102.829999999998</v>
      </c>
      <c r="P71" s="615">
        <f t="shared" si="4"/>
        <v>23510.071</v>
      </c>
      <c r="Q71" s="615">
        <f t="shared" si="4"/>
        <v>22559.535799999998</v>
      </c>
      <c r="R71" s="615">
        <f t="shared" si="4"/>
        <v>20218.348300000005</v>
      </c>
      <c r="S71" s="615">
        <f>SUM(S69:S70)</f>
        <v>11454.67</v>
      </c>
      <c r="T71" s="615">
        <f>SUM(T69:T70)</f>
        <v>21348.309999999998</v>
      </c>
    </row>
    <row r="72" spans="1:20" s="614" customFormat="1">
      <c r="A72" s="613" t="s">
        <v>4889</v>
      </c>
      <c r="B72" s="608">
        <v>0</v>
      </c>
      <c r="C72" s="608">
        <v>0</v>
      </c>
      <c r="D72" s="608">
        <v>0</v>
      </c>
      <c r="E72" s="608">
        <v>0</v>
      </c>
      <c r="F72" s="608">
        <v>33.49</v>
      </c>
      <c r="G72" s="608">
        <v>415.45</v>
      </c>
      <c r="H72" s="608">
        <v>1560.7</v>
      </c>
      <c r="I72" s="608">
        <v>1549.34</v>
      </c>
      <c r="J72" s="608">
        <v>2027.9</v>
      </c>
      <c r="K72" s="608">
        <v>1633.721</v>
      </c>
      <c r="L72" s="608">
        <v>1983.8</v>
      </c>
      <c r="M72" s="608">
        <v>2151.98</v>
      </c>
      <c r="N72" s="608">
        <v>2064.2399999999998</v>
      </c>
      <c r="O72" s="608">
        <v>2174.17</v>
      </c>
      <c r="P72" s="616">
        <v>2363.7999999999997</v>
      </c>
      <c r="Q72" s="616">
        <v>2024.1267999999995</v>
      </c>
      <c r="R72" s="616">
        <v>2089.0531999999998</v>
      </c>
      <c r="S72" s="616">
        <v>1418.6</v>
      </c>
      <c r="T72" s="616">
        <v>2045.77</v>
      </c>
    </row>
    <row r="73" spans="1:20" s="614" customFormat="1">
      <c r="A73" s="613" t="s">
        <v>4887</v>
      </c>
      <c r="B73" s="608">
        <v>0</v>
      </c>
      <c r="C73" s="608">
        <v>0</v>
      </c>
      <c r="D73" s="608">
        <v>0</v>
      </c>
      <c r="E73" s="608">
        <v>0</v>
      </c>
      <c r="F73" s="608">
        <v>0</v>
      </c>
      <c r="G73" s="608">
        <v>2122.61</v>
      </c>
      <c r="H73" s="608">
        <v>2181.4699999999998</v>
      </c>
      <c r="I73" s="608">
        <v>2582.36</v>
      </c>
      <c r="J73" s="608">
        <v>2673.16</v>
      </c>
      <c r="K73" s="608">
        <v>4699.8</v>
      </c>
      <c r="L73" s="608">
        <v>6637.1</v>
      </c>
      <c r="M73" s="608">
        <v>5347.37</v>
      </c>
      <c r="N73" s="608">
        <v>4442.62</v>
      </c>
      <c r="O73" s="608">
        <v>5266.66</v>
      </c>
      <c r="P73" s="616">
        <v>3909.85</v>
      </c>
      <c r="Q73" s="616">
        <v>1276.3538000000001</v>
      </c>
      <c r="R73" s="616">
        <v>2503.9575999999997</v>
      </c>
      <c r="S73" s="616">
        <v>2153.5100000000002</v>
      </c>
      <c r="T73" s="616">
        <v>3263.26</v>
      </c>
    </row>
    <row r="74" spans="1:20" s="614" customFormat="1">
      <c r="A74" s="610">
        <v>73401</v>
      </c>
      <c r="B74" s="615">
        <f>SUM(B72:B73)</f>
        <v>0</v>
      </c>
      <c r="C74" s="615">
        <f t="shared" ref="C74:R74" si="5">SUM(C72:C73)</f>
        <v>0</v>
      </c>
      <c r="D74" s="615">
        <f t="shared" si="5"/>
        <v>0</v>
      </c>
      <c r="E74" s="615">
        <f t="shared" si="5"/>
        <v>0</v>
      </c>
      <c r="F74" s="615">
        <f t="shared" si="5"/>
        <v>33.49</v>
      </c>
      <c r="G74" s="615">
        <f t="shared" si="5"/>
        <v>2538.06</v>
      </c>
      <c r="H74" s="615">
        <f t="shared" si="5"/>
        <v>3742.17</v>
      </c>
      <c r="I74" s="615">
        <f t="shared" si="5"/>
        <v>4131.7</v>
      </c>
      <c r="J74" s="615">
        <f t="shared" si="5"/>
        <v>4701.0599999999995</v>
      </c>
      <c r="K74" s="615">
        <f t="shared" si="5"/>
        <v>6333.5210000000006</v>
      </c>
      <c r="L74" s="615">
        <f t="shared" si="5"/>
        <v>8620.9</v>
      </c>
      <c r="M74" s="615">
        <f t="shared" si="5"/>
        <v>7499.35</v>
      </c>
      <c r="N74" s="615">
        <f t="shared" si="5"/>
        <v>6506.86</v>
      </c>
      <c r="O74" s="615">
        <f t="shared" si="5"/>
        <v>7440.83</v>
      </c>
      <c r="P74" s="615">
        <f t="shared" si="5"/>
        <v>6273.65</v>
      </c>
      <c r="Q74" s="615">
        <f t="shared" si="5"/>
        <v>3300.4805999999999</v>
      </c>
      <c r="R74" s="615">
        <f t="shared" si="5"/>
        <v>4593.0108</v>
      </c>
      <c r="S74" s="615">
        <f>SUM(S72:S73)</f>
        <v>3572.11</v>
      </c>
      <c r="T74" s="615">
        <f>SUM(T72:T73)</f>
        <v>5309.0300000000007</v>
      </c>
    </row>
    <row r="75" spans="1:20" s="614" customFormat="1">
      <c r="A75" s="613" t="s">
        <v>4889</v>
      </c>
      <c r="B75" s="608">
        <v>2795.26</v>
      </c>
      <c r="C75" s="608">
        <v>1793.26</v>
      </c>
      <c r="D75" s="608">
        <v>4783.17</v>
      </c>
      <c r="E75" s="608">
        <v>5599.79</v>
      </c>
      <c r="F75" s="608">
        <v>4923.53</v>
      </c>
      <c r="G75" s="608">
        <v>7227.59</v>
      </c>
      <c r="H75" s="608">
        <v>9345.69</v>
      </c>
      <c r="I75" s="608">
        <v>9070.91</v>
      </c>
      <c r="J75" s="608">
        <v>10413.82</v>
      </c>
      <c r="K75" s="608">
        <v>11096.97</v>
      </c>
      <c r="L75" s="608">
        <v>12903.88</v>
      </c>
      <c r="M75" s="608">
        <v>14046.92</v>
      </c>
      <c r="N75" s="608">
        <v>14498.57</v>
      </c>
      <c r="O75" s="608">
        <v>24402.971700000006</v>
      </c>
      <c r="P75" s="616">
        <v>23213.705299999998</v>
      </c>
      <c r="Q75" s="616">
        <v>29587.287900000003</v>
      </c>
      <c r="R75" s="616">
        <v>27448.89</v>
      </c>
      <c r="S75" s="616">
        <v>20567.669999999998</v>
      </c>
      <c r="T75" s="616">
        <v>46899.58</v>
      </c>
    </row>
    <row r="76" spans="1:20" s="614" customFormat="1">
      <c r="A76" s="613" t="s">
        <v>4887</v>
      </c>
      <c r="B76" s="608">
        <v>3693.87</v>
      </c>
      <c r="C76" s="608">
        <v>3526.71</v>
      </c>
      <c r="D76" s="608">
        <v>2402.14</v>
      </c>
      <c r="E76" s="608">
        <v>2316.46</v>
      </c>
      <c r="F76" s="608">
        <v>4782.0600000000004</v>
      </c>
      <c r="G76" s="608">
        <v>6955.28</v>
      </c>
      <c r="H76" s="608">
        <v>5462.28</v>
      </c>
      <c r="I76" s="608">
        <v>10888.69</v>
      </c>
      <c r="J76" s="608">
        <v>8004.28</v>
      </c>
      <c r="K76" s="608">
        <v>9220.91</v>
      </c>
      <c r="L76" s="608">
        <v>9682.34</v>
      </c>
      <c r="M76" s="608">
        <v>10975.76</v>
      </c>
      <c r="N76" s="608">
        <v>5305.08</v>
      </c>
      <c r="O76" s="608">
        <v>12562.11</v>
      </c>
      <c r="P76" s="616">
        <v>11170.2</v>
      </c>
      <c r="Q76" s="616">
        <v>10917.9748</v>
      </c>
      <c r="R76" s="616">
        <v>15212.57</v>
      </c>
      <c r="S76" s="616">
        <v>8304.7099999999991</v>
      </c>
      <c r="T76" s="616">
        <v>10501.13</v>
      </c>
    </row>
    <row r="77" spans="1:20" s="614" customFormat="1">
      <c r="A77" s="610">
        <v>76201</v>
      </c>
      <c r="B77" s="615">
        <f>SUM(B75:B76)</f>
        <v>6489.13</v>
      </c>
      <c r="C77" s="615">
        <f t="shared" ref="C77:R77" si="6">SUM(C75:C76)</f>
        <v>5319.97</v>
      </c>
      <c r="D77" s="615">
        <f t="shared" si="6"/>
        <v>7185.3099999999995</v>
      </c>
      <c r="E77" s="615">
        <f t="shared" si="6"/>
        <v>7916.25</v>
      </c>
      <c r="F77" s="615">
        <f t="shared" si="6"/>
        <v>9705.59</v>
      </c>
      <c r="G77" s="615">
        <f t="shared" si="6"/>
        <v>14182.869999999999</v>
      </c>
      <c r="H77" s="615">
        <f t="shared" si="6"/>
        <v>14807.970000000001</v>
      </c>
      <c r="I77" s="615">
        <f t="shared" si="6"/>
        <v>19959.599999999999</v>
      </c>
      <c r="J77" s="615">
        <f t="shared" si="6"/>
        <v>18418.099999999999</v>
      </c>
      <c r="K77" s="615">
        <f t="shared" si="6"/>
        <v>20317.879999999997</v>
      </c>
      <c r="L77" s="615">
        <f t="shared" si="6"/>
        <v>22586.22</v>
      </c>
      <c r="M77" s="615">
        <f t="shared" si="6"/>
        <v>25022.68</v>
      </c>
      <c r="N77" s="615">
        <f t="shared" si="6"/>
        <v>19803.650000000001</v>
      </c>
      <c r="O77" s="615">
        <f t="shared" si="6"/>
        <v>36965.08170000001</v>
      </c>
      <c r="P77" s="615">
        <f t="shared" si="6"/>
        <v>34383.905299999999</v>
      </c>
      <c r="Q77" s="615">
        <f t="shared" si="6"/>
        <v>40505.262700000007</v>
      </c>
      <c r="R77" s="615">
        <f t="shared" si="6"/>
        <v>42661.46</v>
      </c>
      <c r="S77" s="615">
        <f>SUM(S75:S76)</f>
        <v>28872.379999999997</v>
      </c>
      <c r="T77" s="615">
        <f>SUM(T75:T76)</f>
        <v>57400.71</v>
      </c>
    </row>
    <row r="78" spans="1:20" s="614" customFormat="1">
      <c r="A78" s="613" t="s">
        <v>4889</v>
      </c>
      <c r="B78" s="608">
        <v>20597.23</v>
      </c>
      <c r="C78" s="608">
        <v>23440.74</v>
      </c>
      <c r="D78" s="608">
        <v>19834.37</v>
      </c>
      <c r="E78" s="608">
        <v>31205.63</v>
      </c>
      <c r="F78" s="608">
        <v>35150.39</v>
      </c>
      <c r="G78" s="608">
        <v>37643.68</v>
      </c>
      <c r="H78" s="608">
        <v>24669.16</v>
      </c>
      <c r="I78" s="608">
        <v>23672.3</v>
      </c>
      <c r="J78" s="608">
        <v>23721.05</v>
      </c>
      <c r="K78" s="608">
        <v>19602.8</v>
      </c>
      <c r="L78" s="608">
        <v>19589.18</v>
      </c>
      <c r="M78" s="608">
        <v>19841.169999999998</v>
      </c>
      <c r="N78" s="608">
        <v>19662.740000000002</v>
      </c>
      <c r="O78" s="608">
        <v>20553.189999999999</v>
      </c>
      <c r="P78" s="616">
        <v>17554.813087500002</v>
      </c>
      <c r="Q78" s="616">
        <v>21125.600000000002</v>
      </c>
      <c r="R78" s="616">
        <v>18141.690000000002</v>
      </c>
      <c r="S78" s="616">
        <v>16458.57</v>
      </c>
      <c r="T78" s="616">
        <v>31603.5</v>
      </c>
    </row>
    <row r="79" spans="1:20" s="614" customFormat="1">
      <c r="A79" s="613" t="s">
        <v>4887</v>
      </c>
      <c r="B79" s="608">
        <v>27890.61</v>
      </c>
      <c r="C79" s="608">
        <v>22553.56</v>
      </c>
      <c r="D79" s="608">
        <v>26986.54</v>
      </c>
      <c r="E79" s="608">
        <v>28956.28</v>
      </c>
      <c r="F79" s="608">
        <v>37525.01</v>
      </c>
      <c r="G79" s="608">
        <v>53070.17</v>
      </c>
      <c r="H79" s="608">
        <v>46698.51</v>
      </c>
      <c r="I79" s="608">
        <v>51823.47</v>
      </c>
      <c r="J79" s="608">
        <v>51376.03</v>
      </c>
      <c r="K79" s="608">
        <v>54531.16</v>
      </c>
      <c r="L79" s="608">
        <v>59371.87</v>
      </c>
      <c r="M79" s="608">
        <v>49417.74</v>
      </c>
      <c r="N79" s="608">
        <v>42362.06</v>
      </c>
      <c r="O79" s="608">
        <v>42797.999999999993</v>
      </c>
      <c r="P79" s="616">
        <v>40082.230000000003</v>
      </c>
      <c r="Q79" s="616">
        <v>34135.379999999997</v>
      </c>
      <c r="R79" s="616">
        <v>28400.818799999997</v>
      </c>
      <c r="S79" s="616">
        <v>21008.74</v>
      </c>
      <c r="T79" s="616">
        <v>59563.81</v>
      </c>
    </row>
    <row r="80" spans="1:20" s="614" customFormat="1">
      <c r="A80" s="610">
        <v>76401</v>
      </c>
      <c r="B80" s="615">
        <f>SUM(B78:B79)</f>
        <v>48487.839999999997</v>
      </c>
      <c r="C80" s="615">
        <f t="shared" ref="C80:R80" si="7">SUM(C78:C79)</f>
        <v>45994.3</v>
      </c>
      <c r="D80" s="615">
        <f t="shared" si="7"/>
        <v>46820.91</v>
      </c>
      <c r="E80" s="615">
        <f t="shared" si="7"/>
        <v>60161.91</v>
      </c>
      <c r="F80" s="615">
        <f t="shared" si="7"/>
        <v>72675.399999999994</v>
      </c>
      <c r="G80" s="615">
        <f t="shared" si="7"/>
        <v>90713.85</v>
      </c>
      <c r="H80" s="615">
        <f t="shared" si="7"/>
        <v>71367.67</v>
      </c>
      <c r="I80" s="615">
        <f t="shared" si="7"/>
        <v>75495.77</v>
      </c>
      <c r="J80" s="615">
        <f t="shared" si="7"/>
        <v>75097.08</v>
      </c>
      <c r="K80" s="615">
        <f t="shared" si="7"/>
        <v>74133.960000000006</v>
      </c>
      <c r="L80" s="615">
        <f t="shared" si="7"/>
        <v>78961.05</v>
      </c>
      <c r="M80" s="615">
        <f t="shared" si="7"/>
        <v>69258.91</v>
      </c>
      <c r="N80" s="615">
        <f t="shared" si="7"/>
        <v>62024.800000000003</v>
      </c>
      <c r="O80" s="615">
        <f t="shared" si="7"/>
        <v>63351.189999999988</v>
      </c>
      <c r="P80" s="615">
        <f t="shared" si="7"/>
        <v>57637.043087500002</v>
      </c>
      <c r="Q80" s="615">
        <f t="shared" si="7"/>
        <v>55260.979999999996</v>
      </c>
      <c r="R80" s="615">
        <f t="shared" si="7"/>
        <v>46542.508799999996</v>
      </c>
      <c r="S80" s="615">
        <f>SUM(S78:S79)</f>
        <v>37467.31</v>
      </c>
      <c r="T80" s="615">
        <f>SUM(T78:T79)</f>
        <v>91167.31</v>
      </c>
    </row>
    <row r="81" spans="1:20" s="614" customFormat="1">
      <c r="A81" s="613" t="s">
        <v>4889</v>
      </c>
      <c r="B81" s="608">
        <v>3789.89</v>
      </c>
      <c r="C81" s="608">
        <v>1033.23</v>
      </c>
      <c r="D81" s="608">
        <v>1153.1199999999999</v>
      </c>
      <c r="E81" s="608">
        <v>789.6</v>
      </c>
      <c r="F81" s="608">
        <v>5508.15</v>
      </c>
      <c r="G81" s="608">
        <v>10272.15</v>
      </c>
      <c r="H81" s="608">
        <v>11013.23</v>
      </c>
      <c r="I81" s="608">
        <v>10018.34</v>
      </c>
      <c r="J81" s="608">
        <v>15125.84</v>
      </c>
      <c r="K81" s="608">
        <v>4258.47</v>
      </c>
      <c r="L81" s="608">
        <v>3297.28</v>
      </c>
      <c r="M81" s="608">
        <v>3808.69</v>
      </c>
      <c r="N81" s="608">
        <v>6660.92</v>
      </c>
      <c r="O81" s="608">
        <v>9742.64</v>
      </c>
      <c r="P81" s="616">
        <v>16819.620000000003</v>
      </c>
      <c r="Q81" s="616">
        <v>32813.897899999996</v>
      </c>
      <c r="R81" s="616">
        <v>32311.884699999999</v>
      </c>
      <c r="S81" s="616">
        <v>23988.76</v>
      </c>
      <c r="T81" s="616">
        <v>40902.410000000003</v>
      </c>
    </row>
    <row r="82" spans="1:20" s="614" customFormat="1">
      <c r="A82" s="613" t="s">
        <v>4887</v>
      </c>
      <c r="B82" s="608">
        <v>4631.13</v>
      </c>
      <c r="C82" s="608">
        <v>2878.23</v>
      </c>
      <c r="D82" s="608">
        <v>1876.99</v>
      </c>
      <c r="E82" s="608">
        <v>0</v>
      </c>
      <c r="F82" s="608">
        <v>0</v>
      </c>
      <c r="G82" s="608">
        <v>3466.19</v>
      </c>
      <c r="H82" s="608">
        <v>2175.35</v>
      </c>
      <c r="I82" s="608">
        <v>4912.4799999999996</v>
      </c>
      <c r="J82" s="608">
        <v>4245.1899999999996</v>
      </c>
      <c r="K82" s="608">
        <v>1194.32</v>
      </c>
      <c r="L82" s="608">
        <v>0</v>
      </c>
      <c r="M82" s="608">
        <v>0</v>
      </c>
      <c r="N82" s="608">
        <v>0</v>
      </c>
      <c r="O82" s="608">
        <v>0</v>
      </c>
      <c r="P82" s="616">
        <v>9825.75</v>
      </c>
      <c r="Q82" s="616">
        <v>14557.299999999997</v>
      </c>
      <c r="R82" s="616">
        <v>8852.5399999999991</v>
      </c>
      <c r="S82" s="616">
        <v>6611.89</v>
      </c>
      <c r="T82" s="616">
        <v>19492.849999999999</v>
      </c>
    </row>
    <row r="83" spans="1:20" s="614" customFormat="1">
      <c r="A83" s="610">
        <v>76402</v>
      </c>
      <c r="B83" s="615">
        <f>SUM(B81:B82)</f>
        <v>8421.02</v>
      </c>
      <c r="C83" s="615">
        <f t="shared" ref="C83:R83" si="8">SUM(C81:C82)</f>
        <v>3911.46</v>
      </c>
      <c r="D83" s="615">
        <f t="shared" si="8"/>
        <v>3030.1099999999997</v>
      </c>
      <c r="E83" s="615">
        <f t="shared" si="8"/>
        <v>789.6</v>
      </c>
      <c r="F83" s="615">
        <f t="shared" si="8"/>
        <v>5508.15</v>
      </c>
      <c r="G83" s="615">
        <f t="shared" si="8"/>
        <v>13738.34</v>
      </c>
      <c r="H83" s="615">
        <f t="shared" si="8"/>
        <v>13188.58</v>
      </c>
      <c r="I83" s="615">
        <f t="shared" si="8"/>
        <v>14930.82</v>
      </c>
      <c r="J83" s="615">
        <f t="shared" si="8"/>
        <v>19371.03</v>
      </c>
      <c r="K83" s="615">
        <f t="shared" si="8"/>
        <v>5452.79</v>
      </c>
      <c r="L83" s="615">
        <f t="shared" si="8"/>
        <v>3297.28</v>
      </c>
      <c r="M83" s="615">
        <f t="shared" si="8"/>
        <v>3808.69</v>
      </c>
      <c r="N83" s="615">
        <f t="shared" si="8"/>
        <v>6660.92</v>
      </c>
      <c r="O83" s="615">
        <f t="shared" si="8"/>
        <v>9742.64</v>
      </c>
      <c r="P83" s="615">
        <f t="shared" si="8"/>
        <v>26645.370000000003</v>
      </c>
      <c r="Q83" s="615">
        <f t="shared" si="8"/>
        <v>47371.197899999992</v>
      </c>
      <c r="R83" s="615">
        <f t="shared" si="8"/>
        <v>41164.424699999996</v>
      </c>
      <c r="S83" s="615">
        <f>SUM(S81:S82)</f>
        <v>30600.649999999998</v>
      </c>
      <c r="T83" s="615">
        <f>SUM(T81:T82)</f>
        <v>60395.26</v>
      </c>
    </row>
    <row r="84" spans="1:20" s="614" customFormat="1">
      <c r="A84" s="610">
        <v>76500</v>
      </c>
      <c r="B84" s="615">
        <v>2988.24</v>
      </c>
      <c r="C84" s="615">
        <v>1669.11</v>
      </c>
      <c r="D84" s="615">
        <v>1429.03</v>
      </c>
      <c r="E84" s="615">
        <v>1666.92</v>
      </c>
      <c r="F84" s="615">
        <v>2099.5500000000002</v>
      </c>
      <c r="G84" s="615">
        <v>2650.27</v>
      </c>
      <c r="H84" s="615">
        <v>3667.54</v>
      </c>
      <c r="I84" s="615">
        <v>4959.43</v>
      </c>
      <c r="J84" s="615">
        <v>5116.8500000000004</v>
      </c>
      <c r="K84" s="615">
        <v>3796.59</v>
      </c>
      <c r="L84" s="615">
        <v>6838.67</v>
      </c>
      <c r="M84" s="615">
        <v>5530.48</v>
      </c>
      <c r="N84" s="615">
        <v>4913.29</v>
      </c>
      <c r="O84" s="615">
        <v>6971.01</v>
      </c>
      <c r="P84" s="615">
        <v>4937.3163000000004</v>
      </c>
      <c r="Q84" s="615">
        <v>3785.0955999999992</v>
      </c>
      <c r="R84" s="615">
        <v>3751.8259000000007</v>
      </c>
      <c r="S84" s="615">
        <v>3924.3</v>
      </c>
      <c r="T84" s="615">
        <v>3181.39</v>
      </c>
    </row>
    <row r="85" spans="1:20" s="614" customFormat="1">
      <c r="A85" s="610">
        <v>76601</v>
      </c>
      <c r="B85" s="615">
        <v>1636.26</v>
      </c>
      <c r="C85" s="615">
        <v>1231.5899999999999</v>
      </c>
      <c r="D85" s="615">
        <v>1313.55</v>
      </c>
      <c r="E85" s="615">
        <v>1156.95</v>
      </c>
      <c r="F85" s="615">
        <v>1711.93</v>
      </c>
      <c r="G85" s="615">
        <v>1328.87</v>
      </c>
      <c r="H85" s="615">
        <v>1641.2</v>
      </c>
      <c r="I85" s="615">
        <v>1774.77</v>
      </c>
      <c r="J85" s="615">
        <v>1570.36</v>
      </c>
      <c r="K85" s="615">
        <v>1219.52</v>
      </c>
      <c r="L85" s="615">
        <v>1436.54</v>
      </c>
      <c r="M85" s="615">
        <v>1243.3</v>
      </c>
      <c r="N85" s="615">
        <v>2397.4699999999998</v>
      </c>
      <c r="O85" s="615">
        <v>2019.2</v>
      </c>
      <c r="P85" s="615">
        <v>2771.6802000000002</v>
      </c>
      <c r="Q85" s="615">
        <v>4392.5211999999992</v>
      </c>
      <c r="R85" s="615">
        <v>3442.7468999999992</v>
      </c>
      <c r="S85" s="615">
        <v>2489.14</v>
      </c>
      <c r="T85" s="615">
        <v>3611.14</v>
      </c>
    </row>
    <row r="86" spans="1:20" s="614" customFormat="1">
      <c r="A86" s="613" t="s">
        <v>4889</v>
      </c>
      <c r="B86" s="608">
        <v>4605.45</v>
      </c>
      <c r="C86" s="608">
        <v>4018.99</v>
      </c>
      <c r="D86" s="608">
        <v>5663.74</v>
      </c>
      <c r="E86" s="608">
        <v>5269.64</v>
      </c>
      <c r="F86" s="608">
        <v>5806.84</v>
      </c>
      <c r="G86" s="608">
        <v>13909.59</v>
      </c>
      <c r="H86" s="608">
        <v>24894.95</v>
      </c>
      <c r="I86" s="608">
        <v>23911.43</v>
      </c>
      <c r="J86" s="608">
        <v>23960.660000000003</v>
      </c>
      <c r="K86" s="608">
        <v>23969</v>
      </c>
      <c r="L86" s="608">
        <v>25337.4</v>
      </c>
      <c r="M86" s="608">
        <v>24961.669999999995</v>
      </c>
      <c r="N86" s="608">
        <v>24691.899999999998</v>
      </c>
      <c r="O86" s="608">
        <v>25865.379999999997</v>
      </c>
      <c r="P86" s="616">
        <v>22085.21</v>
      </c>
      <c r="Q86" s="616">
        <v>26577.45</v>
      </c>
      <c r="R86" s="616">
        <v>22823.620000000003</v>
      </c>
      <c r="S86" s="616">
        <v>20706.12</v>
      </c>
      <c r="T86" s="616">
        <v>39544.11</v>
      </c>
    </row>
    <row r="87" spans="1:20" s="614" customFormat="1">
      <c r="A87" s="613" t="s">
        <v>4887</v>
      </c>
      <c r="B87" s="608">
        <v>1701.27</v>
      </c>
      <c r="C87" s="608">
        <v>2409.66</v>
      </c>
      <c r="D87" s="608">
        <v>2838.32</v>
      </c>
      <c r="E87" s="608">
        <v>2468.34</v>
      </c>
      <c r="F87" s="608">
        <v>3051.31</v>
      </c>
      <c r="G87" s="608">
        <v>5303.88</v>
      </c>
      <c r="H87" s="608">
        <v>6933.89</v>
      </c>
      <c r="I87" s="608">
        <v>7639.0099999999993</v>
      </c>
      <c r="J87" s="608">
        <v>6789.22</v>
      </c>
      <c r="K87" s="608">
        <v>7183.82</v>
      </c>
      <c r="L87" s="608">
        <v>9122.8000000000011</v>
      </c>
      <c r="M87" s="608">
        <v>7024.17</v>
      </c>
      <c r="N87" s="608">
        <v>6627.0099999999993</v>
      </c>
      <c r="O87" s="608">
        <v>7034.0899999999992</v>
      </c>
      <c r="P87" s="616">
        <v>6762.7500000000009</v>
      </c>
      <c r="Q87" s="616">
        <v>6042.74</v>
      </c>
      <c r="R87" s="616">
        <v>4902.3500000000004</v>
      </c>
      <c r="S87" s="616">
        <v>3826.74</v>
      </c>
      <c r="T87" s="616">
        <v>10174.17</v>
      </c>
    </row>
    <row r="88" spans="1:20" s="614" customFormat="1">
      <c r="A88" s="610">
        <v>76700</v>
      </c>
      <c r="B88" s="615">
        <f>SUM(B86:B87)</f>
        <v>6306.7199999999993</v>
      </c>
      <c r="C88" s="615">
        <f t="shared" ref="C88:R88" si="9">SUM(C86:C87)</f>
        <v>6428.65</v>
      </c>
      <c r="D88" s="615">
        <f t="shared" si="9"/>
        <v>8502.06</v>
      </c>
      <c r="E88" s="615">
        <f t="shared" si="9"/>
        <v>7737.9800000000005</v>
      </c>
      <c r="F88" s="615">
        <f t="shared" si="9"/>
        <v>8858.15</v>
      </c>
      <c r="G88" s="615">
        <f t="shared" si="9"/>
        <v>19213.47</v>
      </c>
      <c r="H88" s="615">
        <f t="shared" si="9"/>
        <v>31828.84</v>
      </c>
      <c r="I88" s="615">
        <f t="shared" si="9"/>
        <v>31550.44</v>
      </c>
      <c r="J88" s="615">
        <f t="shared" si="9"/>
        <v>30749.880000000005</v>
      </c>
      <c r="K88" s="615">
        <f t="shared" si="9"/>
        <v>31152.82</v>
      </c>
      <c r="L88" s="615">
        <f t="shared" si="9"/>
        <v>34460.200000000004</v>
      </c>
      <c r="M88" s="615">
        <f t="shared" si="9"/>
        <v>31985.839999999997</v>
      </c>
      <c r="N88" s="615">
        <f t="shared" si="9"/>
        <v>31318.909999999996</v>
      </c>
      <c r="O88" s="615">
        <f t="shared" si="9"/>
        <v>32899.469999999994</v>
      </c>
      <c r="P88" s="615">
        <f t="shared" si="9"/>
        <v>28847.96</v>
      </c>
      <c r="Q88" s="615">
        <f t="shared" si="9"/>
        <v>32620.190000000002</v>
      </c>
      <c r="R88" s="615">
        <f t="shared" si="9"/>
        <v>27725.97</v>
      </c>
      <c r="S88" s="615">
        <f>SUM(S86:S87)</f>
        <v>24532.86</v>
      </c>
      <c r="T88" s="615">
        <f>SUM(T86:T87)</f>
        <v>49718.28</v>
      </c>
    </row>
    <row r="89" spans="1:20" s="614" customFormat="1">
      <c r="A89" s="610">
        <v>77300</v>
      </c>
      <c r="B89" s="615">
        <v>1788</v>
      </c>
      <c r="C89" s="615">
        <v>2049.84</v>
      </c>
      <c r="D89" s="615">
        <v>2650.5</v>
      </c>
      <c r="E89" s="615">
        <v>2254.92</v>
      </c>
      <c r="F89" s="615">
        <v>2305.42</v>
      </c>
      <c r="G89" s="615">
        <v>2845.74</v>
      </c>
      <c r="H89" s="615">
        <v>2438.73</v>
      </c>
      <c r="I89" s="615">
        <v>3127.52</v>
      </c>
      <c r="J89" s="615">
        <v>3547.52</v>
      </c>
      <c r="K89" s="615">
        <v>3619.37</v>
      </c>
      <c r="L89" s="615">
        <v>3463.86</v>
      </c>
      <c r="M89" s="615">
        <v>2233.0700000000002</v>
      </c>
      <c r="N89" s="615">
        <v>1795.24</v>
      </c>
      <c r="O89" s="615">
        <v>1599.48</v>
      </c>
      <c r="P89" s="615">
        <v>2689.9</v>
      </c>
      <c r="Q89" s="615">
        <v>2384.4703000000004</v>
      </c>
      <c r="R89" s="615">
        <v>1948.4971999999998</v>
      </c>
      <c r="S89" s="615">
        <v>1666.94</v>
      </c>
      <c r="T89" s="615">
        <v>1851.2</v>
      </c>
    </row>
    <row r="90" spans="1:20" s="614" customFormat="1">
      <c r="A90" s="613" t="s">
        <v>4889</v>
      </c>
      <c r="B90" s="608">
        <v>2088.14</v>
      </c>
      <c r="C90" s="608">
        <v>1889.26</v>
      </c>
      <c r="D90" s="608">
        <v>2773.58</v>
      </c>
      <c r="E90" s="608">
        <v>2362.0500000000002</v>
      </c>
      <c r="F90" s="608">
        <v>2275.56</v>
      </c>
      <c r="G90" s="608">
        <v>2669.33</v>
      </c>
      <c r="H90" s="608">
        <v>3180.12</v>
      </c>
      <c r="I90" s="608">
        <v>3366.04</v>
      </c>
      <c r="J90" s="608">
        <v>4825.42</v>
      </c>
      <c r="K90" s="608">
        <v>4501.18</v>
      </c>
      <c r="L90" s="608">
        <v>4669.3599999999997</v>
      </c>
      <c r="M90" s="608">
        <v>5864.41</v>
      </c>
      <c r="N90" s="608">
        <v>2744.3</v>
      </c>
      <c r="O90" s="608">
        <v>5106.9102999999996</v>
      </c>
      <c r="P90" s="616">
        <v>3670.1534999999999</v>
      </c>
      <c r="Q90" s="616">
        <v>4475.2235999999994</v>
      </c>
      <c r="R90" s="616">
        <v>13360.228999999999</v>
      </c>
      <c r="S90" s="616">
        <v>13316.55</v>
      </c>
      <c r="T90" s="616">
        <v>11243.73</v>
      </c>
    </row>
    <row r="91" spans="1:20" s="614" customFormat="1">
      <c r="A91" s="613" t="s">
        <v>4887</v>
      </c>
      <c r="B91" s="608">
        <v>2038.68</v>
      </c>
      <c r="C91" s="608">
        <v>3246.64</v>
      </c>
      <c r="D91" s="608">
        <v>3848.43</v>
      </c>
      <c r="E91" s="608">
        <v>6548.33</v>
      </c>
      <c r="F91" s="608">
        <v>4192.13</v>
      </c>
      <c r="G91" s="608">
        <v>3737.35</v>
      </c>
      <c r="H91" s="608">
        <v>7213.7</v>
      </c>
      <c r="I91" s="608">
        <v>7305</v>
      </c>
      <c r="J91" s="608">
        <v>8572.77</v>
      </c>
      <c r="K91" s="608">
        <v>5084.51</v>
      </c>
      <c r="L91" s="608">
        <v>8076.73</v>
      </c>
      <c r="M91" s="608">
        <v>5466.07</v>
      </c>
      <c r="N91" s="608">
        <v>5497.67</v>
      </c>
      <c r="O91" s="608">
        <v>8527.59</v>
      </c>
      <c r="P91" s="616">
        <v>4532.43</v>
      </c>
      <c r="Q91" s="616">
        <v>5121.035499999999</v>
      </c>
      <c r="R91" s="616">
        <v>7365.02</v>
      </c>
      <c r="S91" s="616">
        <v>5094.72</v>
      </c>
      <c r="T91" s="616">
        <v>8489.36</v>
      </c>
    </row>
    <row r="92" spans="1:20" s="614" customFormat="1">
      <c r="A92" s="610">
        <v>84401</v>
      </c>
      <c r="B92" s="615">
        <f>SUM(B90:B91)</f>
        <v>4126.82</v>
      </c>
      <c r="C92" s="615">
        <f t="shared" ref="C92:R92" si="10">SUM(C90:C91)</f>
        <v>5135.8999999999996</v>
      </c>
      <c r="D92" s="615">
        <f t="shared" si="10"/>
        <v>6622.01</v>
      </c>
      <c r="E92" s="615">
        <f t="shared" si="10"/>
        <v>8910.380000000001</v>
      </c>
      <c r="F92" s="615">
        <f t="shared" si="10"/>
        <v>6467.6900000000005</v>
      </c>
      <c r="G92" s="615">
        <f t="shared" si="10"/>
        <v>6406.68</v>
      </c>
      <c r="H92" s="615">
        <f t="shared" si="10"/>
        <v>10393.82</v>
      </c>
      <c r="I92" s="615">
        <f t="shared" si="10"/>
        <v>10671.04</v>
      </c>
      <c r="J92" s="615">
        <f t="shared" si="10"/>
        <v>13398.19</v>
      </c>
      <c r="K92" s="615">
        <f t="shared" si="10"/>
        <v>9585.69</v>
      </c>
      <c r="L92" s="615">
        <f t="shared" si="10"/>
        <v>12746.09</v>
      </c>
      <c r="M92" s="615">
        <f t="shared" si="10"/>
        <v>11330.48</v>
      </c>
      <c r="N92" s="615">
        <f t="shared" si="10"/>
        <v>8241.9700000000012</v>
      </c>
      <c r="O92" s="615">
        <f t="shared" si="10"/>
        <v>13634.5003</v>
      </c>
      <c r="P92" s="615">
        <f t="shared" si="10"/>
        <v>8202.5835000000006</v>
      </c>
      <c r="Q92" s="615">
        <f t="shared" si="10"/>
        <v>9596.2590999999993</v>
      </c>
      <c r="R92" s="615">
        <f t="shared" si="10"/>
        <v>20725.249</v>
      </c>
      <c r="S92" s="615">
        <f>SUM(S90:S91)</f>
        <v>18411.27</v>
      </c>
      <c r="T92" s="615">
        <f>SUM(T90:T91)</f>
        <v>19733.09</v>
      </c>
    </row>
    <row r="93" spans="1:20" s="614" customFormat="1">
      <c r="A93" s="610">
        <v>87701</v>
      </c>
      <c r="B93" s="615">
        <v>10847.65</v>
      </c>
      <c r="C93" s="615">
        <v>7810.67</v>
      </c>
      <c r="D93" s="615">
        <v>5871.07</v>
      </c>
      <c r="E93" s="615">
        <v>13495.67</v>
      </c>
      <c r="F93" s="615">
        <v>7716.51</v>
      </c>
      <c r="G93" s="615">
        <v>19084.54</v>
      </c>
      <c r="H93" s="615">
        <v>16969.080000000002</v>
      </c>
      <c r="I93" s="615">
        <v>14289.39</v>
      </c>
      <c r="J93" s="615">
        <v>16264.04</v>
      </c>
      <c r="K93" s="615">
        <v>28822.85</v>
      </c>
      <c r="L93" s="615">
        <v>28046.53</v>
      </c>
      <c r="M93" s="615">
        <v>23717.93</v>
      </c>
      <c r="N93" s="615">
        <v>0</v>
      </c>
      <c r="O93" s="615">
        <v>0</v>
      </c>
      <c r="P93" s="615">
        <v>0</v>
      </c>
      <c r="Q93" s="615">
        <v>0</v>
      </c>
      <c r="R93" s="615">
        <v>0</v>
      </c>
      <c r="S93" s="615">
        <v>0</v>
      </c>
      <c r="T93" s="615">
        <v>0</v>
      </c>
    </row>
    <row r="94" spans="1:20" s="614" customFormat="1">
      <c r="A94" s="613" t="s">
        <v>4889</v>
      </c>
      <c r="B94" s="608">
        <v>13.57</v>
      </c>
      <c r="C94" s="608">
        <v>14.5</v>
      </c>
      <c r="D94" s="608">
        <v>19.690000000000001</v>
      </c>
      <c r="E94" s="608">
        <v>17.510000000000002</v>
      </c>
      <c r="F94" s="608">
        <v>10.130000000000001</v>
      </c>
      <c r="G94" s="608">
        <v>10.14</v>
      </c>
      <c r="H94" s="608">
        <v>5.48</v>
      </c>
      <c r="I94" s="608">
        <v>41.08</v>
      </c>
      <c r="J94" s="608">
        <v>6.18</v>
      </c>
      <c r="K94" s="608">
        <v>0</v>
      </c>
      <c r="L94" s="608">
        <v>0</v>
      </c>
      <c r="M94" s="608">
        <v>0</v>
      </c>
      <c r="N94" s="608">
        <v>191.54000000000002</v>
      </c>
      <c r="O94" s="608">
        <v>260.63</v>
      </c>
      <c r="P94" s="616">
        <v>273.01</v>
      </c>
      <c r="Q94" s="616">
        <v>310.58170000000007</v>
      </c>
      <c r="R94" s="616">
        <v>234.87429999999995</v>
      </c>
      <c r="S94" s="616">
        <v>327.73</v>
      </c>
      <c r="T94" s="616">
        <v>341.89</v>
      </c>
    </row>
    <row r="95" spans="1:20" s="614" customFormat="1">
      <c r="A95" s="613" t="s">
        <v>4887</v>
      </c>
      <c r="B95" s="608">
        <v>17.100000000000001</v>
      </c>
      <c r="C95" s="608">
        <v>12.53</v>
      </c>
      <c r="D95" s="608">
        <v>12.98</v>
      </c>
      <c r="E95" s="608">
        <v>18.05</v>
      </c>
      <c r="F95" s="608">
        <v>7.5</v>
      </c>
      <c r="G95" s="608">
        <v>30.64</v>
      </c>
      <c r="H95" s="608">
        <v>48.41</v>
      </c>
      <c r="I95" s="608">
        <v>29.23</v>
      </c>
      <c r="J95" s="608">
        <v>38.549999999999997</v>
      </c>
      <c r="K95" s="608">
        <v>9.02</v>
      </c>
      <c r="L95" s="608">
        <v>8.83</v>
      </c>
      <c r="M95" s="608">
        <v>24.69</v>
      </c>
      <c r="N95" s="608">
        <v>33.69</v>
      </c>
      <c r="O95" s="608">
        <v>25.58</v>
      </c>
      <c r="P95" s="616">
        <v>24.310000000000002</v>
      </c>
      <c r="Q95" s="616">
        <v>81.797899999999998</v>
      </c>
      <c r="R95" s="616">
        <v>80.95480000000002</v>
      </c>
      <c r="S95" s="616">
        <v>90.23</v>
      </c>
      <c r="T95" s="616">
        <v>93.99</v>
      </c>
    </row>
    <row r="96" spans="1:20" s="614" customFormat="1">
      <c r="A96" s="610">
        <v>87800</v>
      </c>
      <c r="B96" s="615">
        <f>SUM(B94:B95)</f>
        <v>30.67</v>
      </c>
      <c r="C96" s="615">
        <f t="shared" ref="C96:R96" si="11">SUM(C94:C95)</f>
        <v>27.03</v>
      </c>
      <c r="D96" s="615">
        <f t="shared" si="11"/>
        <v>32.67</v>
      </c>
      <c r="E96" s="615">
        <f t="shared" si="11"/>
        <v>35.56</v>
      </c>
      <c r="F96" s="615">
        <f t="shared" si="11"/>
        <v>17.630000000000003</v>
      </c>
      <c r="G96" s="615">
        <f t="shared" si="11"/>
        <v>40.78</v>
      </c>
      <c r="H96" s="615">
        <f t="shared" si="11"/>
        <v>53.89</v>
      </c>
      <c r="I96" s="615">
        <f t="shared" si="11"/>
        <v>70.31</v>
      </c>
      <c r="J96" s="615">
        <f t="shared" si="11"/>
        <v>44.73</v>
      </c>
      <c r="K96" s="615">
        <f t="shared" si="11"/>
        <v>9.02</v>
      </c>
      <c r="L96" s="615">
        <f t="shared" si="11"/>
        <v>8.83</v>
      </c>
      <c r="M96" s="615">
        <f t="shared" si="11"/>
        <v>24.69</v>
      </c>
      <c r="N96" s="615">
        <f t="shared" si="11"/>
        <v>225.23000000000002</v>
      </c>
      <c r="O96" s="615">
        <f t="shared" si="11"/>
        <v>286.20999999999998</v>
      </c>
      <c r="P96" s="615">
        <f t="shared" si="11"/>
        <v>297.32</v>
      </c>
      <c r="Q96" s="615">
        <f t="shared" si="11"/>
        <v>392.3796000000001</v>
      </c>
      <c r="R96" s="615">
        <f t="shared" si="11"/>
        <v>315.82909999999998</v>
      </c>
      <c r="S96" s="615">
        <f>SUM(S94:S95)</f>
        <v>417.96000000000004</v>
      </c>
      <c r="T96" s="615">
        <f>SUM(T94:T95)</f>
        <v>435.88</v>
      </c>
    </row>
    <row r="97" spans="1:20" s="614" customFormat="1">
      <c r="A97" s="610"/>
      <c r="B97" s="615"/>
      <c r="C97" s="615"/>
      <c r="D97" s="615"/>
      <c r="E97" s="615"/>
      <c r="F97" s="615"/>
      <c r="G97" s="615"/>
      <c r="H97" s="615"/>
      <c r="I97" s="615"/>
      <c r="J97" s="615"/>
      <c r="K97" s="616"/>
      <c r="S97" s="616"/>
      <c r="T97" s="616"/>
    </row>
    <row r="98" spans="1:20" s="614" customFormat="1">
      <c r="A98" s="1723" t="s">
        <v>4890</v>
      </c>
      <c r="B98" s="1724">
        <f>B55+B58+B61+B64+B65+B66+B69+B72+B75+B78+B81+B84+B85+B86+B89+B90+B93+B94</f>
        <v>86820.58</v>
      </c>
      <c r="C98" s="1724">
        <f t="shared" ref="C98:S98" si="12">C55+C58+C61+C64+C65+C66+C69+C72+C75+C78+C81+C84+C85+C86+C89+C90+C93+C94</f>
        <v>93744.939999999988</v>
      </c>
      <c r="D98" s="1724">
        <f t="shared" si="12"/>
        <v>105031.9</v>
      </c>
      <c r="E98" s="1724">
        <f t="shared" si="12"/>
        <v>116261.93000000001</v>
      </c>
      <c r="F98" s="1724">
        <f t="shared" si="12"/>
        <v>122562.05999999998</v>
      </c>
      <c r="G98" s="1724">
        <f t="shared" si="12"/>
        <v>159611.59</v>
      </c>
      <c r="H98" s="1724">
        <f t="shared" si="12"/>
        <v>171840.80000000002</v>
      </c>
      <c r="I98" s="1724">
        <f t="shared" si="12"/>
        <v>170072.59</v>
      </c>
      <c r="J98" s="1724">
        <f>J55+J58+J61+J64+J65+J66+J69+J72+J75+J78+J81+J84+J85+J86+J89+J90+J93+J94</f>
        <v>184635.40999999997</v>
      </c>
      <c r="K98" s="1724">
        <f t="shared" si="12"/>
        <v>175520.291</v>
      </c>
      <c r="L98" s="1724">
        <f t="shared" si="12"/>
        <v>187938.54999999996</v>
      </c>
      <c r="M98" s="1724">
        <f t="shared" si="12"/>
        <v>186804.33100000001</v>
      </c>
      <c r="N98" s="1724">
        <f t="shared" si="12"/>
        <v>151403.01</v>
      </c>
      <c r="O98" s="1724">
        <f t="shared" si="12"/>
        <v>179270.13200000001</v>
      </c>
      <c r="P98" s="1724">
        <f t="shared" si="12"/>
        <v>177146.6993875</v>
      </c>
      <c r="Q98" s="1724">
        <f t="shared" si="12"/>
        <v>199693.01489999998</v>
      </c>
      <c r="R98" s="1724">
        <f t="shared" si="12"/>
        <v>182681.7108</v>
      </c>
      <c r="S98" s="1724">
        <f t="shared" si="12"/>
        <v>151614.1</v>
      </c>
      <c r="T98" s="1724">
        <f t="shared" ref="T98" si="13">T55+T58+T61+T64+T65+T66+T69+T72+T75+T78+T81+T84+T85+T86+T89+T90+T93+T94</f>
        <v>257841.99000000008</v>
      </c>
    </row>
    <row r="99" spans="1:20" s="614" customFormat="1">
      <c r="A99" s="1723" t="s">
        <v>4891</v>
      </c>
      <c r="B99" s="1724">
        <f>B56+B59+B62+B67+B70+B73+B76+B79+B82+B87+B91+B95</f>
        <v>80532.220000000016</v>
      </c>
      <c r="C99" s="1724">
        <f t="shared" ref="C99:S99" si="14">C56+C59+C62+C67+C70+C73+C76+C79+C82+C87+C91+C95</f>
        <v>94194.18</v>
      </c>
      <c r="D99" s="1724">
        <f t="shared" si="14"/>
        <v>101765.31</v>
      </c>
      <c r="E99" s="1724">
        <f t="shared" si="14"/>
        <v>95782.53</v>
      </c>
      <c r="F99" s="1724">
        <f t="shared" si="14"/>
        <v>105973.76000000001</v>
      </c>
      <c r="G99" s="1724">
        <f t="shared" si="14"/>
        <v>161017.29</v>
      </c>
      <c r="H99" s="1724">
        <f t="shared" si="14"/>
        <v>168016.90000000005</v>
      </c>
      <c r="I99" s="1724">
        <f t="shared" si="14"/>
        <v>189871.26000000004</v>
      </c>
      <c r="J99" s="1724">
        <f>J56+J59+J62+J67+J70+J73+J76+J79+J82+J87+J91+J95</f>
        <v>197308.52</v>
      </c>
      <c r="K99" s="1724">
        <f t="shared" si="14"/>
        <v>159096.31000000003</v>
      </c>
      <c r="L99" s="1724">
        <f t="shared" si="14"/>
        <v>198905.97</v>
      </c>
      <c r="M99" s="1724">
        <f t="shared" si="14"/>
        <v>167519.33000000002</v>
      </c>
      <c r="N99" s="1724">
        <f t="shared" si="14"/>
        <v>132607.63</v>
      </c>
      <c r="O99" s="1724">
        <f t="shared" si="14"/>
        <v>141437.69999999995</v>
      </c>
      <c r="P99" s="1724">
        <f t="shared" si="14"/>
        <v>140987.51</v>
      </c>
      <c r="Q99" s="1724">
        <f t="shared" si="14"/>
        <v>128539.24859999999</v>
      </c>
      <c r="R99" s="1724">
        <f t="shared" si="14"/>
        <v>119648.36510000001</v>
      </c>
      <c r="S99" s="1724">
        <f t="shared" si="14"/>
        <v>71439.400000000009</v>
      </c>
      <c r="T99" s="1724">
        <f t="shared" ref="T99" si="15">T56+T59+T62+T67+T70+T73+T76+T79+T82+T87+T91+T95</f>
        <v>168742.53000000003</v>
      </c>
    </row>
    <row r="100" spans="1:20" s="614" customFormat="1">
      <c r="A100" s="610"/>
      <c r="B100" s="615"/>
      <c r="C100" s="615"/>
      <c r="D100" s="615"/>
      <c r="E100" s="615"/>
      <c r="F100" s="615"/>
      <c r="G100" s="615"/>
      <c r="H100" s="615"/>
      <c r="I100" s="615"/>
      <c r="J100" s="615"/>
      <c r="K100" s="616"/>
      <c r="L100" s="616"/>
      <c r="M100" s="616"/>
      <c r="N100" s="616"/>
      <c r="O100" s="616"/>
      <c r="T100" s="616"/>
    </row>
    <row r="101" spans="1:20" s="614" customFormat="1">
      <c r="A101" s="1723" t="s">
        <v>8001</v>
      </c>
      <c r="B101" s="1724">
        <f>B98+B99</f>
        <v>167352.80000000002</v>
      </c>
      <c r="C101" s="1724">
        <f t="shared" ref="C101:R101" si="16">C98+C99</f>
        <v>187939.12</v>
      </c>
      <c r="D101" s="1724">
        <f t="shared" si="16"/>
        <v>206797.21</v>
      </c>
      <c r="E101" s="1724">
        <f t="shared" si="16"/>
        <v>212044.46000000002</v>
      </c>
      <c r="F101" s="1724">
        <f t="shared" si="16"/>
        <v>228535.82</v>
      </c>
      <c r="G101" s="1724">
        <f t="shared" si="16"/>
        <v>320628.88</v>
      </c>
      <c r="H101" s="1724">
        <f t="shared" si="16"/>
        <v>339857.70000000007</v>
      </c>
      <c r="I101" s="1724">
        <f t="shared" si="16"/>
        <v>359943.85000000003</v>
      </c>
      <c r="J101" s="1724">
        <f t="shared" si="16"/>
        <v>381943.92999999993</v>
      </c>
      <c r="K101" s="1724">
        <f t="shared" si="16"/>
        <v>334616.60100000002</v>
      </c>
      <c r="L101" s="1724">
        <f t="shared" si="16"/>
        <v>386844.51999999996</v>
      </c>
      <c r="M101" s="1724">
        <f t="shared" si="16"/>
        <v>354323.66100000002</v>
      </c>
      <c r="N101" s="1724">
        <f t="shared" si="16"/>
        <v>284010.64</v>
      </c>
      <c r="O101" s="1724">
        <f t="shared" si="16"/>
        <v>320707.83199999994</v>
      </c>
      <c r="P101" s="1724">
        <f t="shared" si="16"/>
        <v>318134.20938750001</v>
      </c>
      <c r="Q101" s="1724">
        <f t="shared" si="16"/>
        <v>328232.2635</v>
      </c>
      <c r="R101" s="1724">
        <f t="shared" si="16"/>
        <v>302330.0759</v>
      </c>
      <c r="S101" s="1724">
        <f>S98+S99</f>
        <v>223053.5</v>
      </c>
      <c r="T101" s="1724">
        <f>T98+T99</f>
        <v>426584.52000000014</v>
      </c>
    </row>
    <row r="102" spans="1:20" s="614" customFormat="1">
      <c r="A102" s="598"/>
      <c r="B102" s="608"/>
      <c r="C102" s="608"/>
      <c r="D102" s="608"/>
      <c r="E102" s="608"/>
      <c r="F102" s="608"/>
      <c r="G102" s="608"/>
      <c r="H102" s="608"/>
      <c r="I102" s="608"/>
      <c r="J102" s="608"/>
      <c r="K102" s="616"/>
      <c r="S102" s="616"/>
      <c r="T102" s="616"/>
    </row>
    <row r="103" spans="1:20" s="614" customFormat="1">
      <c r="A103" s="598">
        <v>42600</v>
      </c>
      <c r="B103" s="615">
        <v>67178.36</v>
      </c>
      <c r="C103" s="615">
        <v>150160.10999999999</v>
      </c>
      <c r="D103" s="615">
        <v>139360.47</v>
      </c>
      <c r="E103" s="615">
        <v>143150.15</v>
      </c>
      <c r="F103" s="615">
        <v>156701.32999999999</v>
      </c>
      <c r="G103" s="615">
        <v>190421.56</v>
      </c>
      <c r="H103" s="615">
        <v>208302.8</v>
      </c>
      <c r="I103" s="615">
        <v>198489.32</v>
      </c>
      <c r="J103" s="615">
        <v>206209.63</v>
      </c>
      <c r="K103" s="615">
        <v>203034.59</v>
      </c>
      <c r="L103" s="615">
        <v>201297.16</v>
      </c>
      <c r="M103" s="615">
        <v>211641.19</v>
      </c>
      <c r="N103" s="615">
        <v>224372.84</v>
      </c>
      <c r="O103" s="615">
        <v>249696.81</v>
      </c>
      <c r="P103" s="615">
        <v>258594.76560000007</v>
      </c>
      <c r="Q103" s="615">
        <v>264736.25719999999</v>
      </c>
      <c r="R103" s="615">
        <v>239512.81009999994</v>
      </c>
      <c r="S103" s="615">
        <v>220686.02</v>
      </c>
      <c r="T103" s="615">
        <v>307358.49</v>
      </c>
    </row>
    <row r="104" spans="1:20" s="614" customFormat="1">
      <c r="A104" s="598"/>
      <c r="B104" s="608"/>
      <c r="C104" s="608"/>
      <c r="D104" s="608"/>
      <c r="E104" s="608"/>
      <c r="F104" s="608"/>
      <c r="G104" s="608"/>
      <c r="H104" s="608"/>
      <c r="I104" s="608"/>
      <c r="J104" s="608"/>
      <c r="K104" s="608"/>
      <c r="L104" s="608"/>
      <c r="M104" s="608"/>
      <c r="N104" s="608"/>
      <c r="O104" s="608"/>
      <c r="P104" s="615"/>
      <c r="Q104" s="615"/>
      <c r="R104" s="615"/>
      <c r="S104" s="616"/>
      <c r="T104" s="616"/>
    </row>
    <row r="105" spans="1:20" s="614" customFormat="1">
      <c r="A105" s="598">
        <v>76304</v>
      </c>
      <c r="B105" s="615">
        <v>8611.01</v>
      </c>
      <c r="C105" s="615">
        <v>2361.31</v>
      </c>
      <c r="D105" s="615">
        <v>851.82</v>
      </c>
      <c r="E105" s="615">
        <v>2336.8200000000002</v>
      </c>
      <c r="F105" s="615">
        <v>4466.3100000000004</v>
      </c>
      <c r="G105" s="615">
        <v>7848.24</v>
      </c>
      <c r="H105" s="615">
        <v>7835.8</v>
      </c>
      <c r="I105" s="615">
        <v>6521.5</v>
      </c>
      <c r="J105" s="615">
        <v>4390.1099999999997</v>
      </c>
      <c r="K105" s="615">
        <v>17353.650000000001</v>
      </c>
      <c r="L105" s="615">
        <v>11113.74</v>
      </c>
      <c r="M105" s="615">
        <v>13219.79</v>
      </c>
      <c r="N105" s="615">
        <v>12639.19</v>
      </c>
      <c r="O105" s="615">
        <v>10150.719999999999</v>
      </c>
      <c r="P105" s="615">
        <v>17228.650000000001</v>
      </c>
      <c r="Q105" s="615">
        <v>7351.8483999999999</v>
      </c>
      <c r="R105" s="615">
        <v>11941.809499999998</v>
      </c>
      <c r="S105" s="615">
        <v>7453.76</v>
      </c>
      <c r="T105" s="615">
        <v>3746.78</v>
      </c>
    </row>
    <row r="106" spans="1:20" s="614" customFormat="1">
      <c r="A106" s="613"/>
      <c r="B106" s="616"/>
      <c r="C106" s="616"/>
      <c r="D106" s="616"/>
      <c r="E106" s="616"/>
      <c r="F106" s="616"/>
      <c r="G106" s="616"/>
      <c r="H106" s="616"/>
      <c r="I106" s="616"/>
      <c r="J106" s="616"/>
      <c r="K106" s="616"/>
      <c r="S106" s="616"/>
    </row>
    <row r="107" spans="1:20" s="614" customFormat="1">
      <c r="A107" s="1723" t="s">
        <v>8002</v>
      </c>
      <c r="B107" s="1724">
        <f>B105+B103+B101</f>
        <v>243142.17</v>
      </c>
      <c r="C107" s="1724">
        <f t="shared" ref="C107:T107" si="17">C105+C103+C101</f>
        <v>340460.54</v>
      </c>
      <c r="D107" s="1724">
        <f t="shared" si="17"/>
        <v>347009.5</v>
      </c>
      <c r="E107" s="1724">
        <f t="shared" si="17"/>
        <v>357531.43000000005</v>
      </c>
      <c r="F107" s="1724">
        <f t="shared" si="17"/>
        <v>389703.45999999996</v>
      </c>
      <c r="G107" s="1724">
        <f t="shared" si="17"/>
        <v>518898.68</v>
      </c>
      <c r="H107" s="1724">
        <f t="shared" si="17"/>
        <v>555996.30000000005</v>
      </c>
      <c r="I107" s="1724">
        <f t="shared" si="17"/>
        <v>564954.67000000004</v>
      </c>
      <c r="J107" s="1724">
        <f t="shared" si="17"/>
        <v>592543.66999999993</v>
      </c>
      <c r="K107" s="1724">
        <f t="shared" si="17"/>
        <v>555004.84100000001</v>
      </c>
      <c r="L107" s="1724">
        <f t="shared" si="17"/>
        <v>599255.41999999993</v>
      </c>
      <c r="M107" s="1724">
        <f t="shared" si="17"/>
        <v>579184.64100000006</v>
      </c>
      <c r="N107" s="1724">
        <f t="shared" si="17"/>
        <v>521022.67000000004</v>
      </c>
      <c r="O107" s="1724">
        <f t="shared" si="17"/>
        <v>580555.36199999996</v>
      </c>
      <c r="P107" s="1724">
        <f t="shared" si="17"/>
        <v>593957.62498750002</v>
      </c>
      <c r="Q107" s="1724">
        <f t="shared" si="17"/>
        <v>600320.36910000001</v>
      </c>
      <c r="R107" s="1724">
        <f t="shared" si="17"/>
        <v>553784.69549999991</v>
      </c>
      <c r="S107" s="1724">
        <f t="shared" si="17"/>
        <v>451193.28</v>
      </c>
      <c r="T107" s="1724">
        <f t="shared" si="17"/>
        <v>737689.79000000015</v>
      </c>
    </row>
    <row r="108" spans="1:20" s="614" customFormat="1">
      <c r="A108" s="613"/>
      <c r="B108" s="616"/>
      <c r="C108" s="616"/>
      <c r="D108" s="616"/>
      <c r="E108" s="616"/>
      <c r="F108" s="616"/>
      <c r="G108" s="616"/>
      <c r="H108" s="616"/>
      <c r="I108" s="616"/>
      <c r="J108" s="616"/>
      <c r="K108" s="616"/>
      <c r="S108" s="616"/>
    </row>
    <row r="109" spans="1:20" s="614" customFormat="1">
      <c r="A109" s="612" t="s">
        <v>4892</v>
      </c>
      <c r="B109" s="613"/>
      <c r="C109" s="613"/>
      <c r="D109" s="613"/>
      <c r="F109" s="613"/>
      <c r="G109" s="616"/>
      <c r="H109" s="616"/>
      <c r="I109" s="616"/>
      <c r="J109" s="616"/>
      <c r="K109" s="616"/>
      <c r="S109" s="616"/>
    </row>
    <row r="110" spans="1:20" s="614" customFormat="1">
      <c r="A110" s="613"/>
      <c r="B110" s="616"/>
      <c r="C110" s="616"/>
      <c r="D110" s="616"/>
      <c r="E110" s="616"/>
      <c r="F110" s="616"/>
      <c r="G110" s="616"/>
      <c r="H110" s="616"/>
      <c r="I110" s="616"/>
      <c r="J110" s="616"/>
      <c r="K110" s="616"/>
      <c r="S110" s="616"/>
    </row>
    <row r="111" spans="1:20" s="614" customFormat="1" ht="15">
      <c r="A111" s="613"/>
      <c r="C111" s="3795" t="s">
        <v>7344</v>
      </c>
      <c r="D111" s="616"/>
      <c r="E111" s="616"/>
      <c r="F111" s="616"/>
      <c r="G111" s="616"/>
      <c r="H111" s="616"/>
      <c r="I111" s="616"/>
      <c r="J111" s="616"/>
      <c r="K111" s="616"/>
      <c r="S111" s="616"/>
    </row>
    <row r="112" spans="1:20" s="614" customFormat="1">
      <c r="A112" s="613"/>
      <c r="B112" s="616"/>
      <c r="C112" s="616"/>
      <c r="D112" s="616"/>
      <c r="E112" s="616"/>
      <c r="F112" s="616"/>
      <c r="G112" s="616"/>
      <c r="H112" s="616"/>
      <c r="I112" s="616"/>
      <c r="J112" s="616"/>
      <c r="K112" s="616"/>
    </row>
    <row r="113" spans="1:11" s="614" customFormat="1">
      <c r="A113" s="613"/>
      <c r="B113" s="616"/>
      <c r="C113" s="616"/>
      <c r="D113" s="616"/>
      <c r="E113" s="616"/>
      <c r="F113" s="616"/>
      <c r="G113" s="616"/>
      <c r="H113" s="616"/>
      <c r="I113" s="616"/>
      <c r="J113" s="616"/>
      <c r="K113" s="616"/>
    </row>
    <row r="114" spans="1:11" s="614" customFormat="1">
      <c r="A114" s="613"/>
      <c r="B114" s="616"/>
      <c r="C114" s="616"/>
      <c r="D114" s="616"/>
      <c r="E114" s="616"/>
      <c r="F114" s="616"/>
      <c r="G114" s="616"/>
      <c r="H114" s="616"/>
      <c r="I114" s="616"/>
      <c r="J114" s="616"/>
      <c r="K114" s="616"/>
    </row>
    <row r="115" spans="1:11" s="614" customFormat="1">
      <c r="A115" s="613"/>
      <c r="B115" s="616"/>
      <c r="C115" s="616"/>
      <c r="D115" s="616"/>
      <c r="E115" s="616"/>
      <c r="F115" s="616"/>
      <c r="G115" s="616"/>
      <c r="H115" s="616"/>
      <c r="I115" s="616"/>
      <c r="J115" s="616"/>
      <c r="K115" s="616"/>
    </row>
    <row r="116" spans="1:11" s="614" customFormat="1">
      <c r="A116" s="613"/>
      <c r="B116" s="616"/>
      <c r="C116" s="616"/>
      <c r="D116" s="616"/>
      <c r="E116" s="616"/>
      <c r="F116" s="616"/>
      <c r="G116" s="616"/>
      <c r="H116" s="616"/>
      <c r="I116" s="616"/>
      <c r="J116" s="616"/>
      <c r="K116" s="616"/>
    </row>
    <row r="117" spans="1:11" s="614" customFormat="1">
      <c r="A117" s="613"/>
      <c r="B117" s="616"/>
      <c r="C117" s="616"/>
      <c r="D117" s="616"/>
      <c r="E117" s="616"/>
      <c r="F117" s="616"/>
      <c r="G117" s="616"/>
      <c r="H117" s="616"/>
      <c r="I117" s="616"/>
      <c r="J117" s="616"/>
      <c r="K117" s="616"/>
    </row>
    <row r="118" spans="1:11" s="614" customFormat="1">
      <c r="A118" s="613"/>
      <c r="B118" s="616"/>
      <c r="C118" s="616"/>
      <c r="D118" s="616"/>
      <c r="E118" s="616"/>
      <c r="F118" s="616"/>
      <c r="G118" s="616"/>
      <c r="H118" s="616"/>
      <c r="I118" s="616"/>
      <c r="J118" s="616"/>
      <c r="K118" s="616"/>
    </row>
    <row r="119" spans="1:11" s="614" customFormat="1">
      <c r="A119" s="613"/>
      <c r="B119" s="616"/>
      <c r="C119" s="616"/>
      <c r="D119" s="616"/>
      <c r="E119" s="616"/>
      <c r="F119" s="616"/>
      <c r="G119" s="616"/>
      <c r="H119" s="616"/>
      <c r="I119" s="616"/>
      <c r="J119" s="616"/>
      <c r="K119" s="616"/>
    </row>
    <row r="120" spans="1:11" s="614" customFormat="1">
      <c r="A120" s="613"/>
      <c r="B120" s="616"/>
      <c r="C120" s="616"/>
      <c r="D120" s="616"/>
      <c r="E120" s="616"/>
      <c r="F120" s="616"/>
      <c r="G120" s="616"/>
      <c r="H120" s="616"/>
      <c r="I120" s="616"/>
      <c r="J120" s="616"/>
      <c r="K120" s="616"/>
    </row>
    <row r="121" spans="1:11" s="614" customFormat="1">
      <c r="A121" s="613"/>
      <c r="B121" s="616"/>
      <c r="C121" s="616"/>
      <c r="D121" s="616"/>
      <c r="E121" s="616"/>
      <c r="F121" s="616"/>
      <c r="G121" s="616"/>
      <c r="H121" s="616"/>
      <c r="I121" s="616"/>
      <c r="J121" s="616"/>
      <c r="K121" s="616"/>
    </row>
    <row r="122" spans="1:11" s="614" customFormat="1">
      <c r="A122" s="613"/>
      <c r="B122" s="616"/>
      <c r="C122" s="616"/>
      <c r="D122" s="616"/>
      <c r="E122" s="616"/>
      <c r="F122" s="616"/>
      <c r="G122" s="616"/>
      <c r="H122" s="616"/>
      <c r="I122" s="616"/>
      <c r="J122" s="616"/>
      <c r="K122" s="616"/>
    </row>
    <row r="123" spans="1:11" s="614" customFormat="1">
      <c r="A123" s="613"/>
      <c r="B123" s="616"/>
      <c r="C123" s="616"/>
      <c r="D123" s="616"/>
      <c r="E123" s="616"/>
      <c r="F123" s="616"/>
      <c r="G123" s="616"/>
      <c r="H123" s="616"/>
      <c r="I123" s="616"/>
      <c r="J123" s="616"/>
      <c r="K123" s="616"/>
    </row>
    <row r="124" spans="1:11" s="614" customFormat="1">
      <c r="A124" s="613"/>
      <c r="B124" s="613"/>
      <c r="C124" s="613"/>
      <c r="D124" s="613"/>
      <c r="E124" s="613"/>
      <c r="F124" s="613"/>
      <c r="G124" s="616"/>
      <c r="H124" s="616"/>
      <c r="I124" s="616"/>
      <c r="J124" s="616"/>
      <c r="K124" s="616"/>
    </row>
    <row r="125" spans="1:11" s="614" customFormat="1">
      <c r="A125" s="613"/>
      <c r="B125" s="616"/>
      <c r="C125" s="616"/>
      <c r="D125" s="616"/>
      <c r="E125" s="616"/>
      <c r="F125" s="616"/>
      <c r="G125" s="616"/>
      <c r="H125" s="616"/>
      <c r="I125" s="616"/>
      <c r="J125" s="616"/>
      <c r="K125" s="616"/>
    </row>
    <row r="126" spans="1:11" s="614" customFormat="1">
      <c r="A126" s="613"/>
      <c r="B126" s="616"/>
      <c r="C126" s="616"/>
      <c r="D126" s="616"/>
      <c r="E126" s="616"/>
      <c r="F126" s="616"/>
      <c r="G126" s="616"/>
      <c r="H126" s="616"/>
      <c r="I126" s="616"/>
      <c r="J126" s="616"/>
      <c r="K126" s="616"/>
    </row>
    <row r="127" spans="1:11" s="614" customFormat="1">
      <c r="A127" s="613"/>
      <c r="B127" s="613"/>
      <c r="C127" s="613"/>
      <c r="D127" s="613"/>
      <c r="E127" s="613"/>
      <c r="F127" s="613"/>
      <c r="G127" s="616"/>
      <c r="H127" s="616"/>
      <c r="I127" s="616"/>
      <c r="J127" s="616"/>
      <c r="K127" s="616"/>
    </row>
    <row r="128" spans="1:11" s="614" customFormat="1">
      <c r="A128" s="613"/>
      <c r="B128" s="616"/>
      <c r="C128" s="616"/>
      <c r="D128" s="616"/>
      <c r="E128" s="616"/>
      <c r="F128" s="616"/>
      <c r="G128" s="616"/>
      <c r="H128" s="616"/>
      <c r="I128" s="616"/>
      <c r="J128" s="616"/>
      <c r="K128" s="616"/>
    </row>
    <row r="129" spans="1:11" s="614" customFormat="1">
      <c r="A129" s="613"/>
      <c r="B129" s="616"/>
      <c r="C129" s="616"/>
      <c r="D129" s="616"/>
      <c r="E129" s="616"/>
      <c r="F129" s="616"/>
      <c r="G129" s="616"/>
      <c r="H129" s="616"/>
      <c r="I129" s="616"/>
      <c r="J129" s="616"/>
      <c r="K129" s="616"/>
    </row>
    <row r="130" spans="1:11" s="614" customFormat="1">
      <c r="A130" s="613"/>
      <c r="B130" s="613"/>
      <c r="C130" s="613"/>
      <c r="D130" s="613"/>
      <c r="E130" s="613"/>
      <c r="F130" s="613"/>
      <c r="G130" s="616"/>
      <c r="H130" s="616"/>
      <c r="I130" s="616"/>
      <c r="J130" s="616"/>
      <c r="K130" s="616"/>
    </row>
    <row r="131" spans="1:11" s="614" customFormat="1">
      <c r="A131" s="613"/>
      <c r="B131" s="616"/>
      <c r="C131" s="616"/>
      <c r="D131" s="616"/>
      <c r="E131" s="616"/>
      <c r="F131" s="616"/>
      <c r="G131" s="616"/>
      <c r="H131" s="616"/>
      <c r="I131" s="616"/>
      <c r="J131" s="616"/>
      <c r="K131" s="616"/>
    </row>
    <row r="132" spans="1:11" s="614" customFormat="1">
      <c r="A132" s="613"/>
    </row>
    <row r="133" spans="1:11" s="614" customFormat="1">
      <c r="A133" s="613"/>
    </row>
    <row r="134" spans="1:11" s="614" customFormat="1">
      <c r="A134" s="613"/>
    </row>
    <row r="135" spans="1:11" s="614" customFormat="1">
      <c r="A135" s="613"/>
    </row>
    <row r="136" spans="1:11" s="614" customFormat="1">
      <c r="A136" s="613"/>
    </row>
    <row r="137" spans="1:11" s="614" customFormat="1">
      <c r="A137" s="613"/>
    </row>
  </sheetData>
  <mergeCells count="1">
    <mergeCell ref="A50:K50"/>
  </mergeCells>
  <hyperlinks>
    <hyperlink ref="A1" location="GLOBAAL!A1" display="Energiekosten" xr:uid="{00000000-0004-0000-4E00-000000000000}"/>
    <hyperlink ref="C111" r:id="rId1" xr:uid="{00000000-0004-0000-4E00-000001000000}"/>
    <hyperlink ref="A50:K50" location="FINANCIËN!A1" display="ENERGIEKOSTEN" xr:uid="{00000000-0004-0000-4E00-000002000000}"/>
  </hyperlinks>
  <pageMargins left="0.75" right="0.75" top="1" bottom="1" header="0.5" footer="0.5"/>
  <pageSetup paperSize="9" orientation="landscape" copies="2" r:id="rId2"/>
  <headerFooter alignWithMargins="0"/>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EBD531"/>
    <pageSetUpPr fitToPage="1"/>
  </sheetPr>
  <dimension ref="A1:V155"/>
  <sheetViews>
    <sheetView zoomScaleNormal="100" workbookViewId="0">
      <pane ySplit="4" topLeftCell="A61" activePane="bottomLeft" state="frozen"/>
      <selection activeCell="E37" sqref="E37"/>
      <selection pane="bottomLeft" sqref="A1:F1"/>
    </sheetView>
  </sheetViews>
  <sheetFormatPr defaultColWidth="9.140625" defaultRowHeight="12.75"/>
  <cols>
    <col min="1" max="1" width="6.28515625" style="620" customWidth="1"/>
    <col min="2" max="2" width="10.5703125" style="687" bestFit="1" customWidth="1"/>
    <col min="3" max="3" width="30" style="622" bestFit="1" customWidth="1"/>
    <col min="4" max="4" width="28.42578125" style="622" customWidth="1"/>
    <col min="5" max="5" width="15.7109375" style="622" bestFit="1" customWidth="1"/>
    <col min="6" max="6" width="15.7109375" style="622" customWidth="1"/>
    <col min="7" max="7" width="9" style="622" customWidth="1"/>
    <col min="8" max="8" width="8.28515625" style="688" customWidth="1"/>
    <col min="9" max="9" width="12.42578125" style="688" bestFit="1" customWidth="1"/>
    <col min="10" max="10" width="10" style="689" customWidth="1"/>
    <col min="11" max="11" width="8.5703125" style="688" bestFit="1" customWidth="1"/>
    <col min="12" max="12" width="8.140625" style="641" customWidth="1"/>
    <col min="13" max="13" width="11.42578125" style="690" bestFit="1" customWidth="1"/>
    <col min="14" max="14" width="10.28515625" style="690" customWidth="1"/>
    <col min="15" max="16384" width="9.140625" style="622"/>
  </cols>
  <sheetData>
    <row r="1" spans="1:22" s="686" customFormat="1" ht="21">
      <c r="A1" s="4829" t="s">
        <v>3240</v>
      </c>
      <c r="B1" s="4830"/>
      <c r="C1" s="4830"/>
      <c r="D1" s="4830"/>
      <c r="E1" s="4830"/>
      <c r="F1" s="4831"/>
      <c r="G1" s="622"/>
      <c r="H1" s="622"/>
      <c r="I1" s="622"/>
      <c r="J1" s="622"/>
      <c r="K1" s="622"/>
      <c r="L1" s="622"/>
      <c r="M1" s="622"/>
      <c r="N1" s="622"/>
      <c r="O1" s="622"/>
      <c r="P1" s="622"/>
      <c r="Q1" s="622"/>
      <c r="R1" s="622"/>
      <c r="S1" s="622"/>
      <c r="T1" s="622"/>
      <c r="U1" s="622"/>
      <c r="V1" s="622"/>
    </row>
    <row r="2" spans="1:22" ht="13.5" thickBot="1">
      <c r="D2" s="598"/>
    </row>
    <row r="3" spans="1:22" s="1148" customFormat="1">
      <c r="A3" s="1757"/>
      <c r="B3" s="1758"/>
      <c r="C3" s="1759"/>
      <c r="D3" s="1760"/>
      <c r="E3" s="4922" t="s">
        <v>3241</v>
      </c>
      <c r="F3" s="4923"/>
      <c r="G3" s="1761"/>
      <c r="H3" s="1762"/>
      <c r="I3" s="1762" t="s">
        <v>7050</v>
      </c>
      <c r="J3" s="1763"/>
      <c r="K3" s="1762"/>
      <c r="L3" s="1764"/>
      <c r="M3" s="1765"/>
      <c r="N3" s="1760"/>
    </row>
    <row r="4" spans="1:22" s="1772" customFormat="1" ht="13.5" thickBot="1">
      <c r="A4" s="1766"/>
      <c r="B4" s="1767" t="s">
        <v>3242</v>
      </c>
      <c r="C4" s="1767" t="s">
        <v>3243</v>
      </c>
      <c r="D4" s="1768" t="s">
        <v>624</v>
      </c>
      <c r="E4" s="1767" t="s">
        <v>3244</v>
      </c>
      <c r="F4" s="1767" t="s">
        <v>3245</v>
      </c>
      <c r="G4" s="1766" t="s">
        <v>2700</v>
      </c>
      <c r="H4" s="1769" t="s">
        <v>3246</v>
      </c>
      <c r="I4" s="1769" t="s">
        <v>3247</v>
      </c>
      <c r="J4" s="1770" t="s">
        <v>3248</v>
      </c>
      <c r="K4" s="1769" t="s">
        <v>725</v>
      </c>
      <c r="L4" s="1771" t="s">
        <v>2702</v>
      </c>
      <c r="M4" s="1767" t="s">
        <v>3249</v>
      </c>
      <c r="N4" s="1768" t="s">
        <v>3250</v>
      </c>
    </row>
    <row r="5" spans="1:22" s="1772" customFormat="1" ht="13.5" thickBot="1">
      <c r="A5" s="587"/>
      <c r="B5" s="1773"/>
      <c r="C5" s="1773"/>
      <c r="D5" s="1773"/>
      <c r="E5" s="1774"/>
      <c r="F5" s="1773"/>
      <c r="G5" s="587"/>
      <c r="H5" s="1775"/>
      <c r="I5" s="1775"/>
      <c r="J5" s="1776"/>
      <c r="K5" s="1775"/>
      <c r="L5" s="1777"/>
      <c r="M5" s="1773"/>
      <c r="N5" s="1777"/>
    </row>
    <row r="6" spans="1:22" s="1148" customFormat="1" ht="15">
      <c r="A6" s="1778">
        <v>36526</v>
      </c>
      <c r="B6" s="3989">
        <v>42552</v>
      </c>
      <c r="C6" s="3981" t="s">
        <v>3251</v>
      </c>
      <c r="D6" s="3982" t="s">
        <v>3252</v>
      </c>
      <c r="E6" s="3983" t="s">
        <v>3253</v>
      </c>
      <c r="F6" s="3984" t="s">
        <v>3274</v>
      </c>
      <c r="G6" s="3985">
        <v>75</v>
      </c>
      <c r="H6" s="3986">
        <v>103.97</v>
      </c>
      <c r="I6" s="3986">
        <v>122.35</v>
      </c>
      <c r="J6" s="3987">
        <f>G6*I6/H6</f>
        <v>88.258632297778206</v>
      </c>
      <c r="K6" s="3986">
        <f>J6</f>
        <v>88.258632297778206</v>
      </c>
      <c r="L6" s="3988">
        <v>45061</v>
      </c>
      <c r="M6" s="3990" t="s">
        <v>718</v>
      </c>
      <c r="N6" s="4724">
        <v>2013</v>
      </c>
      <c r="O6" s="3751" t="s">
        <v>8435</v>
      </c>
      <c r="S6" s="624"/>
      <c r="T6" s="4083"/>
    </row>
    <row r="7" spans="1:22" s="1148" customFormat="1" ht="15">
      <c r="A7" s="1778"/>
      <c r="B7" s="3989">
        <v>37865</v>
      </c>
      <c r="C7" s="3981" t="s">
        <v>3254</v>
      </c>
      <c r="D7" s="3982" t="s">
        <v>3255</v>
      </c>
      <c r="E7" s="3983" t="s">
        <v>3253</v>
      </c>
      <c r="F7" s="3984" t="s">
        <v>3274</v>
      </c>
      <c r="G7" s="3996">
        <v>25</v>
      </c>
      <c r="H7" s="3997"/>
      <c r="I7" s="3997"/>
      <c r="J7" s="3998"/>
      <c r="K7" s="3997">
        <v>25</v>
      </c>
      <c r="L7" s="4698">
        <v>45020</v>
      </c>
      <c r="M7" s="3999"/>
      <c r="N7" s="4705"/>
      <c r="O7" s="4085"/>
      <c r="S7" s="624"/>
      <c r="T7" s="624"/>
    </row>
    <row r="8" spans="1:22" s="1148" customFormat="1" ht="15">
      <c r="A8" s="1778"/>
      <c r="B8" s="3989">
        <v>37987</v>
      </c>
      <c r="C8" s="3981" t="s">
        <v>3254</v>
      </c>
      <c r="D8" s="3982" t="s">
        <v>3256</v>
      </c>
      <c r="E8" s="3983" t="s">
        <v>3253</v>
      </c>
      <c r="F8" s="3984" t="s">
        <v>3274</v>
      </c>
      <c r="G8" s="3996">
        <v>15</v>
      </c>
      <c r="H8" s="3997">
        <v>112.2</v>
      </c>
      <c r="I8" s="3997">
        <v>175.72</v>
      </c>
      <c r="J8" s="3998">
        <f>G8*I8/H8</f>
        <v>23.491978609625669</v>
      </c>
      <c r="K8" s="3997">
        <f>J8</f>
        <v>23.491978609625669</v>
      </c>
      <c r="L8" s="4698">
        <v>45020</v>
      </c>
      <c r="M8" s="3999" t="s">
        <v>713</v>
      </c>
      <c r="N8" s="4705"/>
      <c r="O8" s="4085" t="s">
        <v>7051</v>
      </c>
      <c r="S8" s="624"/>
      <c r="T8" s="624"/>
    </row>
    <row r="9" spans="1:22" s="1148" customFormat="1">
      <c r="A9" s="1782"/>
      <c r="B9" s="3989">
        <v>42005</v>
      </c>
      <c r="C9" s="3981" t="s">
        <v>3257</v>
      </c>
      <c r="D9" s="3982" t="s">
        <v>3258</v>
      </c>
      <c r="E9" s="3983" t="s">
        <v>3259</v>
      </c>
      <c r="F9" s="3984" t="s">
        <v>3274</v>
      </c>
      <c r="G9" s="3996">
        <v>13000</v>
      </c>
      <c r="H9" s="3997">
        <v>100.4</v>
      </c>
      <c r="I9" s="3997">
        <v>127.89</v>
      </c>
      <c r="J9" s="3998">
        <f>G9*I9/H9</f>
        <v>16559.462151394422</v>
      </c>
      <c r="K9" s="3997">
        <f>J9/4</f>
        <v>4139.8655378486055</v>
      </c>
      <c r="L9" s="4698">
        <v>45000</v>
      </c>
      <c r="M9" s="3999" t="s">
        <v>713</v>
      </c>
      <c r="N9" s="4702">
        <v>2013</v>
      </c>
      <c r="O9" s="1148" t="s">
        <v>235</v>
      </c>
    </row>
    <row r="10" spans="1:22" s="1148" customFormat="1">
      <c r="A10" s="1782"/>
      <c r="B10" s="3989"/>
      <c r="C10" s="3981" t="s">
        <v>3260</v>
      </c>
      <c r="D10" s="3982" t="s">
        <v>3261</v>
      </c>
      <c r="E10" s="3983" t="s">
        <v>3253</v>
      </c>
      <c r="F10" s="3984" t="s">
        <v>3274</v>
      </c>
      <c r="G10" s="3996">
        <v>5000</v>
      </c>
      <c r="H10" s="3997"/>
      <c r="I10" s="3997"/>
      <c r="J10" s="3998"/>
      <c r="K10" s="3997">
        <v>5000</v>
      </c>
      <c r="L10" s="4698">
        <v>45020</v>
      </c>
      <c r="M10" s="3999"/>
      <c r="N10" s="4702"/>
    </row>
    <row r="11" spans="1:22" s="1148" customFormat="1">
      <c r="A11" s="1782"/>
      <c r="B11" s="1783"/>
      <c r="C11" s="1780" t="s">
        <v>3257</v>
      </c>
      <c r="D11" s="1781" t="s">
        <v>2180</v>
      </c>
      <c r="E11" s="1795" t="s">
        <v>3259</v>
      </c>
      <c r="F11" s="1805"/>
      <c r="G11" s="1829"/>
      <c r="H11" s="1813"/>
      <c r="I11" s="1813"/>
      <c r="J11" s="1814"/>
      <c r="K11" s="1813"/>
      <c r="L11" s="4084"/>
      <c r="M11" s="4087"/>
      <c r="N11" s="4086"/>
    </row>
    <row r="12" spans="1:22" s="1148" customFormat="1">
      <c r="A12" s="1782"/>
      <c r="B12" s="1783"/>
      <c r="C12" s="1780" t="s">
        <v>3262</v>
      </c>
      <c r="D12" s="1781" t="s">
        <v>3263</v>
      </c>
      <c r="E12" s="1795" t="s">
        <v>3264</v>
      </c>
      <c r="F12" s="584"/>
      <c r="G12" s="1829"/>
      <c r="H12" s="1813"/>
      <c r="I12" s="1813"/>
      <c r="J12" s="1814"/>
      <c r="K12" s="1813"/>
      <c r="L12" s="4084"/>
      <c r="M12" s="4087"/>
      <c r="N12" s="4086"/>
    </row>
    <row r="13" spans="1:22" s="1148" customFormat="1">
      <c r="A13" s="1782"/>
      <c r="B13" s="1783"/>
      <c r="C13" s="1780" t="s">
        <v>3265</v>
      </c>
      <c r="D13" s="1781" t="s">
        <v>2180</v>
      </c>
      <c r="E13" s="1795" t="s">
        <v>3264</v>
      </c>
      <c r="F13" s="584"/>
      <c r="G13" s="1829"/>
      <c r="H13" s="1813"/>
      <c r="I13" s="1813"/>
      <c r="J13" s="1814"/>
      <c r="K13" s="1813"/>
      <c r="L13" s="4084"/>
      <c r="M13" s="4087"/>
      <c r="N13" s="4086"/>
    </row>
    <row r="14" spans="1:22" s="1148" customFormat="1">
      <c r="A14" s="1782"/>
      <c r="B14" s="1783">
        <v>2016</v>
      </c>
      <c r="C14" s="1780" t="s">
        <v>3266</v>
      </c>
      <c r="D14" s="1781" t="s">
        <v>2180</v>
      </c>
      <c r="E14" s="1795" t="s">
        <v>3264</v>
      </c>
      <c r="F14" s="584"/>
      <c r="G14" s="1829"/>
      <c r="H14" s="1813"/>
      <c r="I14" s="1813"/>
      <c r="J14" s="1814"/>
      <c r="K14" s="1813"/>
      <c r="L14" s="4084"/>
      <c r="M14" s="4087"/>
      <c r="N14" s="4086"/>
    </row>
    <row r="15" spans="1:22" s="1148" customFormat="1">
      <c r="A15" s="1782"/>
      <c r="B15" s="1783"/>
      <c r="C15" s="1780" t="s">
        <v>3267</v>
      </c>
      <c r="D15" s="1781" t="s">
        <v>2180</v>
      </c>
      <c r="E15" s="1795" t="s">
        <v>3264</v>
      </c>
      <c r="F15" s="584"/>
      <c r="G15" s="1829"/>
      <c r="H15" s="1813"/>
      <c r="I15" s="1813"/>
      <c r="J15" s="1814"/>
      <c r="K15" s="1813"/>
      <c r="L15" s="4084"/>
      <c r="M15" s="4087"/>
      <c r="N15" s="4086"/>
      <c r="P15" s="1148">
        <f>980/12</f>
        <v>81.666666666666671</v>
      </c>
    </row>
    <row r="16" spans="1:22" s="1148" customFormat="1">
      <c r="A16" s="1782"/>
      <c r="B16" s="1783"/>
      <c r="C16" s="1780" t="s">
        <v>3268</v>
      </c>
      <c r="D16" s="1781" t="s">
        <v>2180</v>
      </c>
      <c r="E16" s="1795" t="s">
        <v>3269</v>
      </c>
      <c r="F16" s="584"/>
      <c r="G16" s="1829"/>
      <c r="H16" s="1813"/>
      <c r="I16" s="1813"/>
      <c r="J16" s="1814"/>
      <c r="K16" s="1813"/>
      <c r="L16" s="4084"/>
      <c r="M16" s="4087"/>
      <c r="N16" s="4086"/>
    </row>
    <row r="17" spans="1:19" s="1148" customFormat="1">
      <c r="A17" s="1782"/>
      <c r="B17" s="1783"/>
      <c r="C17" s="1780" t="s">
        <v>3270</v>
      </c>
      <c r="D17" s="1781" t="s">
        <v>2180</v>
      </c>
      <c r="E17" s="1795" t="s">
        <v>3271</v>
      </c>
      <c r="F17" s="584"/>
      <c r="G17" s="1829"/>
      <c r="H17" s="1813"/>
      <c r="I17" s="1813"/>
      <c r="J17" s="1814"/>
      <c r="K17" s="1813"/>
      <c r="L17" s="4084"/>
      <c r="M17" s="4087"/>
      <c r="N17" s="4086"/>
    </row>
    <row r="18" spans="1:19" s="1148" customFormat="1">
      <c r="A18" s="1782"/>
      <c r="B18" s="3989">
        <v>36493</v>
      </c>
      <c r="C18" s="3981" t="s">
        <v>8294</v>
      </c>
      <c r="D18" s="3982" t="s">
        <v>3273</v>
      </c>
      <c r="E18" s="3983" t="s">
        <v>3253</v>
      </c>
      <c r="F18" s="3984" t="s">
        <v>3274</v>
      </c>
      <c r="G18" s="3996">
        <v>188000</v>
      </c>
      <c r="H18" s="3997">
        <v>124.83</v>
      </c>
      <c r="I18" s="3997">
        <v>151.75</v>
      </c>
      <c r="J18" s="3998">
        <f>(G18*I18/H18)/4</f>
        <v>57135.704558199155</v>
      </c>
      <c r="K18" s="3997">
        <v>2075.58</v>
      </c>
      <c r="L18" s="4698">
        <v>44949</v>
      </c>
      <c r="M18" s="3999" t="s">
        <v>715</v>
      </c>
      <c r="N18" s="4702">
        <v>1988</v>
      </c>
    </row>
    <row r="19" spans="1:19" s="1148" customFormat="1">
      <c r="A19" s="1782"/>
      <c r="B19" s="3989">
        <v>35156</v>
      </c>
      <c r="C19" s="3981" t="s">
        <v>3275</v>
      </c>
      <c r="D19" s="3982" t="s">
        <v>3276</v>
      </c>
      <c r="E19" s="3983" t="s">
        <v>3259</v>
      </c>
      <c r="F19" s="3984"/>
      <c r="G19" s="4001">
        <f>60000/40.3399</f>
        <v>1487.3611486394364</v>
      </c>
      <c r="H19" s="4002">
        <v>120.13</v>
      </c>
      <c r="I19" s="4002">
        <v>180.64</v>
      </c>
      <c r="J19" s="4003">
        <v>182.4</v>
      </c>
      <c r="K19" s="4002">
        <v>186.38</v>
      </c>
      <c r="L19" s="4698">
        <v>44953</v>
      </c>
      <c r="M19" s="3999"/>
      <c r="N19" s="4702"/>
    </row>
    <row r="20" spans="1:19" s="1148" customFormat="1">
      <c r="A20" s="1782"/>
      <c r="B20" s="3989">
        <v>40179</v>
      </c>
      <c r="C20" s="3981" t="s">
        <v>3277</v>
      </c>
      <c r="D20" s="3982" t="s">
        <v>3278</v>
      </c>
      <c r="E20" s="3983" t="s">
        <v>3279</v>
      </c>
      <c r="F20" s="3995"/>
      <c r="G20" s="4001">
        <v>75</v>
      </c>
      <c r="H20" s="4002">
        <v>110.64</v>
      </c>
      <c r="I20" s="4002">
        <v>154.44999999999999</v>
      </c>
      <c r="J20" s="4003">
        <f>G20*I20/H20</f>
        <v>104.69766811279827</v>
      </c>
      <c r="K20" s="4002">
        <f>J20</f>
        <v>104.69766811279827</v>
      </c>
      <c r="L20" s="4698">
        <v>45020</v>
      </c>
      <c r="M20" s="3999" t="s">
        <v>713</v>
      </c>
      <c r="N20" s="4702">
        <v>2004</v>
      </c>
    </row>
    <row r="21" spans="1:19" s="1148" customFormat="1">
      <c r="A21" s="1782"/>
      <c r="B21" s="3989"/>
      <c r="C21" s="3981" t="s">
        <v>3280</v>
      </c>
      <c r="D21" s="3982" t="s">
        <v>3281</v>
      </c>
      <c r="E21" s="3983" t="s">
        <v>3282</v>
      </c>
      <c r="F21" s="3995"/>
      <c r="G21" s="4001"/>
      <c r="H21" s="4699"/>
      <c r="I21" s="4002"/>
      <c r="J21" s="4003"/>
      <c r="K21" s="4002"/>
      <c r="L21" s="4698"/>
      <c r="M21" s="3999"/>
      <c r="N21" s="4702"/>
      <c r="S21" s="1780"/>
    </row>
    <row r="22" spans="1:19" s="1148" customFormat="1">
      <c r="A22" s="1782"/>
      <c r="B22" s="3989"/>
      <c r="C22" s="3981" t="s">
        <v>3280</v>
      </c>
      <c r="D22" s="3982" t="s">
        <v>1322</v>
      </c>
      <c r="E22" s="3983" t="s">
        <v>3283</v>
      </c>
      <c r="F22" s="3995"/>
      <c r="G22" s="4001"/>
      <c r="H22" s="4699"/>
      <c r="I22" s="4002"/>
      <c r="J22" s="4003"/>
      <c r="K22" s="4002"/>
      <c r="L22" s="4698"/>
      <c r="M22" s="3999"/>
      <c r="N22" s="4702"/>
    </row>
    <row r="23" spans="1:19" s="1148" customFormat="1">
      <c r="A23" s="1782"/>
      <c r="B23" s="3989">
        <v>41275</v>
      </c>
      <c r="C23" s="3981" t="s">
        <v>3284</v>
      </c>
      <c r="D23" s="3982" t="s">
        <v>3285</v>
      </c>
      <c r="E23" s="3983" t="s">
        <v>3279</v>
      </c>
      <c r="F23" s="3995"/>
      <c r="G23" s="4001">
        <v>75</v>
      </c>
      <c r="H23" s="4699" t="s">
        <v>3286</v>
      </c>
      <c r="I23" s="4002">
        <v>154.44999999999999</v>
      </c>
      <c r="J23" s="4003">
        <f>G23*I23/H23</f>
        <v>96.57148812005002</v>
      </c>
      <c r="K23" s="4002">
        <f>J23</f>
        <v>96.57148812005002</v>
      </c>
      <c r="L23" s="4698">
        <v>45020</v>
      </c>
      <c r="M23" s="3999" t="s">
        <v>713</v>
      </c>
      <c r="N23" s="4702"/>
    </row>
    <row r="24" spans="1:19" s="1148" customFormat="1">
      <c r="A24" s="1788"/>
      <c r="B24" s="4004">
        <v>44256</v>
      </c>
      <c r="C24" s="3981" t="s">
        <v>7196</v>
      </c>
      <c r="D24" s="3982" t="s">
        <v>7197</v>
      </c>
      <c r="E24" s="3983"/>
      <c r="F24" s="3984"/>
      <c r="G24" s="4001">
        <v>120</v>
      </c>
      <c r="H24" s="3997"/>
      <c r="I24" s="3997"/>
      <c r="J24" s="3998"/>
      <c r="K24" s="3997">
        <v>120</v>
      </c>
      <c r="L24" s="4000">
        <v>44929</v>
      </c>
      <c r="M24" s="4700"/>
      <c r="N24" s="4701"/>
    </row>
    <row r="25" spans="1:19" s="1148" customFormat="1" ht="13.5" thickBot="1">
      <c r="A25" s="1796"/>
      <c r="B25" s="1797"/>
      <c r="C25" s="1798"/>
      <c r="D25" s="1799"/>
      <c r="E25" s="1800"/>
      <c r="F25" s="1798"/>
      <c r="G25" s="1818"/>
      <c r="H25" s="1819"/>
      <c r="I25" s="1819"/>
      <c r="J25" s="1820"/>
      <c r="K25" s="1819"/>
      <c r="L25" s="1777"/>
      <c r="M25" s="588"/>
      <c r="N25" s="1801"/>
    </row>
    <row r="26" spans="1:19" s="1148" customFormat="1">
      <c r="A26" s="4088">
        <v>36557</v>
      </c>
      <c r="B26" s="3991">
        <v>42552</v>
      </c>
      <c r="C26" s="3992" t="s">
        <v>3251</v>
      </c>
      <c r="D26" s="3993" t="s">
        <v>3252</v>
      </c>
      <c r="E26" s="3983" t="s">
        <v>3253</v>
      </c>
      <c r="F26" s="3984" t="s">
        <v>3274</v>
      </c>
      <c r="G26" s="3985">
        <v>75</v>
      </c>
      <c r="H26" s="3986">
        <v>103.97</v>
      </c>
      <c r="I26" s="3986">
        <v>122.35</v>
      </c>
      <c r="J26" s="3987">
        <f>G26*I26/H26</f>
        <v>88.258632297778206</v>
      </c>
      <c r="K26" s="3986">
        <f>J26</f>
        <v>88.258632297778206</v>
      </c>
      <c r="L26" s="3994">
        <v>45061</v>
      </c>
      <c r="M26" s="4722" t="s">
        <v>718</v>
      </c>
      <c r="N26" s="4723">
        <v>2013</v>
      </c>
    </row>
    <row r="27" spans="1:19" s="1148" customFormat="1">
      <c r="A27" s="1778"/>
      <c r="B27" s="1779"/>
      <c r="C27" s="1780" t="s">
        <v>3230</v>
      </c>
      <c r="D27" s="1781" t="s">
        <v>3287</v>
      </c>
      <c r="E27" s="1795" t="s">
        <v>3253</v>
      </c>
      <c r="F27" s="1805"/>
      <c r="G27" s="1812">
        <f>8909/40.3399</f>
        <v>220.84834122047897</v>
      </c>
      <c r="H27" s="1813">
        <v>117.83</v>
      </c>
      <c r="I27" s="1813">
        <v>195.83</v>
      </c>
      <c r="J27" s="1814">
        <f>G27*I27/H27</f>
        <v>367.04345804299754</v>
      </c>
      <c r="K27" s="1813">
        <f>J27</f>
        <v>367.04345804299754</v>
      </c>
      <c r="L27" s="1824"/>
      <c r="M27" s="1815" t="s">
        <v>724</v>
      </c>
      <c r="N27" s="1816">
        <v>1988</v>
      </c>
    </row>
    <row r="28" spans="1:19" s="1148" customFormat="1" ht="12.75" customHeight="1">
      <c r="A28" s="1778"/>
      <c r="B28" s="1779"/>
      <c r="C28" s="4924" t="s">
        <v>3288</v>
      </c>
      <c r="D28" s="4925"/>
      <c r="E28" s="1795"/>
      <c r="F28" s="1805" t="s">
        <v>3274</v>
      </c>
      <c r="G28" s="1812"/>
      <c r="H28" s="1813"/>
      <c r="I28" s="1813"/>
      <c r="J28" s="1814"/>
      <c r="K28" s="1813"/>
      <c r="L28" s="1824"/>
      <c r="M28" s="1815"/>
      <c r="N28" s="1816"/>
    </row>
    <row r="29" spans="1:19" s="1780" customFormat="1">
      <c r="A29" s="1778"/>
      <c r="B29" s="3989">
        <v>35156</v>
      </c>
      <c r="C29" s="3981" t="s">
        <v>3275</v>
      </c>
      <c r="D29" s="3982" t="s">
        <v>3276</v>
      </c>
      <c r="E29" s="3983" t="s">
        <v>3259</v>
      </c>
      <c r="F29" s="3995"/>
      <c r="G29" s="4001">
        <f>60000/40.3399</f>
        <v>1487.3611486394364</v>
      </c>
      <c r="H29" s="4002">
        <v>120.13</v>
      </c>
      <c r="I29" s="4002">
        <v>180.64</v>
      </c>
      <c r="J29" s="4003">
        <f>G29*I29/H29/12</f>
        <v>186.37928209039356</v>
      </c>
      <c r="K29" s="4002">
        <v>186.38</v>
      </c>
      <c r="L29" s="4000">
        <v>44985</v>
      </c>
      <c r="M29" s="4703"/>
      <c r="N29" s="4704"/>
    </row>
    <row r="30" spans="1:19" s="1780" customFormat="1">
      <c r="A30" s="1807"/>
      <c r="B30" s="3989">
        <v>44256</v>
      </c>
      <c r="C30" s="3981" t="s">
        <v>7196</v>
      </c>
      <c r="D30" s="3982" t="s">
        <v>7197</v>
      </c>
      <c r="E30" s="3983"/>
      <c r="F30" s="3995"/>
      <c r="G30" s="4001">
        <v>120</v>
      </c>
      <c r="H30" s="3997"/>
      <c r="I30" s="3997"/>
      <c r="J30" s="3998"/>
      <c r="K30" s="3997">
        <v>120</v>
      </c>
      <c r="L30" s="4000">
        <v>44959</v>
      </c>
      <c r="M30" s="4700"/>
      <c r="N30" s="4701"/>
    </row>
    <row r="31" spans="1:19" s="1148" customFormat="1" ht="13.5" thickBot="1">
      <c r="A31" s="1803"/>
      <c r="B31" s="1797"/>
      <c r="C31" s="1798"/>
      <c r="D31" s="1799"/>
      <c r="E31" s="1804"/>
      <c r="F31" s="1805" t="s">
        <v>3274</v>
      </c>
      <c r="G31" s="1817"/>
      <c r="H31" s="1836"/>
      <c r="I31" s="1836"/>
      <c r="J31" s="1837"/>
      <c r="K31" s="1836"/>
      <c r="L31" s="1838"/>
      <c r="M31" s="1839"/>
      <c r="N31" s="1840"/>
    </row>
    <row r="32" spans="1:19" s="1148" customFormat="1">
      <c r="A32" s="4088">
        <v>36586</v>
      </c>
      <c r="B32" s="3989">
        <v>42552</v>
      </c>
      <c r="C32" s="3981" t="s">
        <v>3251</v>
      </c>
      <c r="D32" s="3982" t="s">
        <v>3252</v>
      </c>
      <c r="E32" s="3983" t="s">
        <v>3253</v>
      </c>
      <c r="F32" s="3984" t="s">
        <v>3274</v>
      </c>
      <c r="G32" s="3985">
        <v>75</v>
      </c>
      <c r="H32" s="3986">
        <v>103.97</v>
      </c>
      <c r="I32" s="3986">
        <v>122.35</v>
      </c>
      <c r="J32" s="3987">
        <f>G32*I32/H32</f>
        <v>88.258632297778206</v>
      </c>
      <c r="K32" s="3986">
        <f t="shared" ref="K32:K38" si="0">J32</f>
        <v>88.258632297778206</v>
      </c>
      <c r="L32" s="3994">
        <v>45061</v>
      </c>
      <c r="M32" s="4722" t="s">
        <v>718</v>
      </c>
      <c r="N32" s="4723">
        <v>2013</v>
      </c>
    </row>
    <row r="33" spans="1:16" s="1148" customFormat="1">
      <c r="A33" s="1778"/>
      <c r="B33" s="3989"/>
      <c r="C33" s="3981" t="s">
        <v>3289</v>
      </c>
      <c r="D33" s="3982" t="s">
        <v>3290</v>
      </c>
      <c r="E33" s="3983" t="s">
        <v>3279</v>
      </c>
      <c r="F33" s="3984" t="s">
        <v>3274</v>
      </c>
      <c r="G33" s="3996">
        <f>100/40.3399</f>
        <v>2.478935247732394</v>
      </c>
      <c r="H33" s="3997"/>
      <c r="I33" s="3997"/>
      <c r="J33" s="3998">
        <f>G33</f>
        <v>2.478935247732394</v>
      </c>
      <c r="K33" s="3997">
        <f t="shared" si="0"/>
        <v>2.478935247732394</v>
      </c>
      <c r="L33" s="4000">
        <v>45020</v>
      </c>
      <c r="M33" s="4700"/>
      <c r="N33" s="4701"/>
    </row>
    <row r="34" spans="1:16" s="1148" customFormat="1">
      <c r="A34" s="1778"/>
      <c r="B34" s="3989"/>
      <c r="C34" s="3981" t="s">
        <v>7317</v>
      </c>
      <c r="D34" s="3982" t="s">
        <v>3291</v>
      </c>
      <c r="E34" s="3983" t="s">
        <v>3279</v>
      </c>
      <c r="F34" s="3995"/>
      <c r="G34" s="3996">
        <f>250/40.3399</f>
        <v>6.1973381193309853</v>
      </c>
      <c r="H34" s="3997"/>
      <c r="I34" s="3997"/>
      <c r="J34" s="3998">
        <f>G34</f>
        <v>6.1973381193309853</v>
      </c>
      <c r="K34" s="3997">
        <f t="shared" si="0"/>
        <v>6.1973381193309853</v>
      </c>
      <c r="L34" s="4000">
        <v>45020</v>
      </c>
      <c r="M34" s="4700"/>
      <c r="N34" s="4701"/>
    </row>
    <row r="35" spans="1:16" s="1148" customFormat="1">
      <c r="A35" s="1778"/>
      <c r="B35" s="3989"/>
      <c r="C35" s="3981" t="s">
        <v>3292</v>
      </c>
      <c r="D35" s="3982" t="s">
        <v>3293</v>
      </c>
      <c r="E35" s="3983" t="s">
        <v>3279</v>
      </c>
      <c r="F35" s="3995"/>
      <c r="G35" s="3996">
        <f>1000/40.3399</f>
        <v>24.789352477323941</v>
      </c>
      <c r="H35" s="3997"/>
      <c r="I35" s="3997"/>
      <c r="J35" s="3998">
        <f>G35</f>
        <v>24.789352477323941</v>
      </c>
      <c r="K35" s="3997">
        <f t="shared" si="0"/>
        <v>24.789352477323941</v>
      </c>
      <c r="L35" s="4000">
        <v>45020</v>
      </c>
      <c r="M35" s="4700"/>
      <c r="N35" s="4701"/>
    </row>
    <row r="36" spans="1:16" s="1148" customFormat="1">
      <c r="A36" s="1778"/>
      <c r="B36" s="3989"/>
      <c r="C36" s="3981" t="s">
        <v>3294</v>
      </c>
      <c r="D36" s="3982" t="s">
        <v>3295</v>
      </c>
      <c r="E36" s="3983" t="s">
        <v>3279</v>
      </c>
      <c r="F36" s="3995"/>
      <c r="G36" s="3996">
        <f>2000/40.3399</f>
        <v>49.578704954647883</v>
      </c>
      <c r="H36" s="3997">
        <v>114.53</v>
      </c>
      <c r="I36" s="3997">
        <v>212.04</v>
      </c>
      <c r="J36" s="3998">
        <f>G36*I36/H36</f>
        <v>91.78964986102801</v>
      </c>
      <c r="K36" s="3997">
        <f t="shared" si="0"/>
        <v>91.78964986102801</v>
      </c>
      <c r="L36" s="4000">
        <v>45020</v>
      </c>
      <c r="M36" s="4700" t="s">
        <v>724</v>
      </c>
      <c r="N36" s="4701">
        <v>1988</v>
      </c>
    </row>
    <row r="37" spans="1:16" s="1148" customFormat="1">
      <c r="A37" s="1782"/>
      <c r="B37" s="3989">
        <v>42005</v>
      </c>
      <c r="C37" s="3981" t="s">
        <v>3296</v>
      </c>
      <c r="D37" s="3982" t="s">
        <v>3297</v>
      </c>
      <c r="E37" s="3983" t="s">
        <v>3279</v>
      </c>
      <c r="F37" s="3984"/>
      <c r="G37" s="4001">
        <v>120</v>
      </c>
      <c r="H37" s="4002">
        <v>100.4</v>
      </c>
      <c r="I37" s="4002">
        <v>128</v>
      </c>
      <c r="J37" s="4003">
        <f>G37*I37/H37</f>
        <v>152.98804780876492</v>
      </c>
      <c r="K37" s="4002">
        <f t="shared" si="0"/>
        <v>152.98804780876492</v>
      </c>
      <c r="L37" s="4000">
        <v>45020</v>
      </c>
      <c r="M37" s="4700"/>
      <c r="N37" s="4701"/>
      <c r="O37" s="1148" t="s">
        <v>3298</v>
      </c>
    </row>
    <row r="38" spans="1:16" s="1148" customFormat="1">
      <c r="A38" s="1778" t="s">
        <v>235</v>
      </c>
      <c r="B38" s="1779"/>
      <c r="C38" s="1789" t="s">
        <v>3299</v>
      </c>
      <c r="D38" s="1790" t="s">
        <v>3300</v>
      </c>
      <c r="E38" s="1791" t="s">
        <v>3301</v>
      </c>
      <c r="F38" s="4089"/>
      <c r="G38" s="4091">
        <f>10/40.3399</f>
        <v>0.24789352477323939</v>
      </c>
      <c r="H38" s="4092"/>
      <c r="I38" s="4092"/>
      <c r="J38" s="4093">
        <f>G38</f>
        <v>0.24789352477323939</v>
      </c>
      <c r="K38" s="4092">
        <f t="shared" si="0"/>
        <v>0.24789352477323939</v>
      </c>
      <c r="L38" s="1827"/>
      <c r="M38" s="1788" t="s">
        <v>7207</v>
      </c>
      <c r="N38" s="1816"/>
      <c r="P38" s="1788"/>
    </row>
    <row r="39" spans="1:16" s="1148" customFormat="1">
      <c r="A39" s="1778"/>
      <c r="B39" s="1779"/>
      <c r="C39" s="1780" t="s">
        <v>3230</v>
      </c>
      <c r="D39" s="1781" t="s">
        <v>3304</v>
      </c>
      <c r="E39" s="1795" t="s">
        <v>3301</v>
      </c>
      <c r="F39" s="1805" t="s">
        <v>3305</v>
      </c>
      <c r="G39" s="1812">
        <v>500</v>
      </c>
      <c r="H39" s="1813"/>
      <c r="I39" s="1813"/>
      <c r="J39" s="1814">
        <v>500</v>
      </c>
      <c r="K39" s="1813">
        <f>J39/40.3399</f>
        <v>12.394676238661971</v>
      </c>
      <c r="L39" s="1824"/>
      <c r="M39" s="1815"/>
      <c r="N39" s="1816"/>
    </row>
    <row r="40" spans="1:16" s="1148" customFormat="1" ht="13.5" customHeight="1">
      <c r="A40" s="1778"/>
      <c r="B40" s="3989">
        <v>35156</v>
      </c>
      <c r="C40" s="3981" t="s">
        <v>3275</v>
      </c>
      <c r="D40" s="3982" t="s">
        <v>3276</v>
      </c>
      <c r="E40" s="3983" t="s">
        <v>3259</v>
      </c>
      <c r="F40" s="3984"/>
      <c r="G40" s="4001">
        <f>60000/40.3399</f>
        <v>1487.3611486394364</v>
      </c>
      <c r="H40" s="4002">
        <v>120.13</v>
      </c>
      <c r="I40" s="4002">
        <v>180.64</v>
      </c>
      <c r="J40" s="4003">
        <f>G40*I40/H40/12</f>
        <v>186.37928209039356</v>
      </c>
      <c r="K40" s="4002">
        <v>186.38</v>
      </c>
      <c r="L40" s="4000">
        <v>45014</v>
      </c>
      <c r="M40" s="4700"/>
      <c r="N40" s="4701"/>
    </row>
    <row r="41" spans="1:16" s="1148" customFormat="1">
      <c r="A41" s="1788"/>
      <c r="B41" s="4004">
        <v>44256</v>
      </c>
      <c r="C41" s="3981" t="s">
        <v>7196</v>
      </c>
      <c r="D41" s="3982" t="s">
        <v>7197</v>
      </c>
      <c r="E41" s="3983"/>
      <c r="F41" s="3984"/>
      <c r="G41" s="4001">
        <v>120</v>
      </c>
      <c r="H41" s="3997"/>
      <c r="I41" s="3997"/>
      <c r="J41" s="3998"/>
      <c r="K41" s="3997">
        <v>120</v>
      </c>
      <c r="L41" s="4000">
        <v>44987</v>
      </c>
      <c r="M41" s="4700"/>
      <c r="N41" s="4701"/>
    </row>
    <row r="42" spans="1:16" s="1148" customFormat="1" ht="13.5" thickBot="1">
      <c r="A42" s="1803"/>
      <c r="B42" s="1797"/>
      <c r="C42" s="1798" t="s">
        <v>235</v>
      </c>
      <c r="D42" s="1799"/>
      <c r="E42" s="1804" t="s">
        <v>3306</v>
      </c>
      <c r="F42" s="589"/>
      <c r="G42" s="1818"/>
      <c r="H42" s="1819"/>
      <c r="I42" s="1819"/>
      <c r="J42" s="1820"/>
      <c r="K42" s="1819"/>
      <c r="L42" s="1825"/>
      <c r="M42" s="1823"/>
      <c r="N42" s="1822"/>
    </row>
    <row r="43" spans="1:16" s="1148" customFormat="1">
      <c r="A43" s="4088">
        <v>36617</v>
      </c>
      <c r="B43" s="3989">
        <v>42552</v>
      </c>
      <c r="C43" s="3981" t="s">
        <v>3251</v>
      </c>
      <c r="D43" s="3982" t="s">
        <v>3252</v>
      </c>
      <c r="E43" s="3983" t="s">
        <v>3253</v>
      </c>
      <c r="F43" s="3984"/>
      <c r="G43" s="3985">
        <v>75</v>
      </c>
      <c r="H43" s="3986">
        <v>103.97</v>
      </c>
      <c r="I43" s="3986">
        <v>122.35</v>
      </c>
      <c r="J43" s="3987">
        <f>G43*I43/H43</f>
        <v>88.258632297778206</v>
      </c>
      <c r="K43" s="3986">
        <f>J43</f>
        <v>88.258632297778206</v>
      </c>
      <c r="L43" s="3994">
        <v>45061</v>
      </c>
      <c r="M43" s="4722" t="s">
        <v>718</v>
      </c>
      <c r="N43" s="4723">
        <v>2013</v>
      </c>
    </row>
    <row r="44" spans="1:16" s="1148" customFormat="1">
      <c r="A44" s="1782"/>
      <c r="B44" s="3989">
        <v>42005</v>
      </c>
      <c r="C44" s="3981" t="s">
        <v>3257</v>
      </c>
      <c r="D44" s="3982" t="s">
        <v>3258</v>
      </c>
      <c r="E44" s="3983" t="s">
        <v>3259</v>
      </c>
      <c r="F44" s="3984"/>
      <c r="G44" s="3996">
        <v>13000</v>
      </c>
      <c r="H44" s="3997">
        <v>100.4</v>
      </c>
      <c r="I44" s="3997">
        <v>109.49</v>
      </c>
      <c r="J44" s="3998">
        <f>G44*I44/H44</f>
        <v>14176.992031872509</v>
      </c>
      <c r="K44" s="3997">
        <v>4139.87</v>
      </c>
      <c r="L44" s="4000">
        <v>45014</v>
      </c>
      <c r="M44" s="4700"/>
      <c r="N44" s="4701"/>
      <c r="O44" s="1148" t="s">
        <v>235</v>
      </c>
    </row>
    <row r="45" spans="1:16" s="1148" customFormat="1">
      <c r="A45" s="1782"/>
      <c r="B45" s="3989">
        <v>36493</v>
      </c>
      <c r="C45" s="3981" t="s">
        <v>8434</v>
      </c>
      <c r="D45" s="3982" t="s">
        <v>3273</v>
      </c>
      <c r="E45" s="3983" t="s">
        <v>3253</v>
      </c>
      <c r="F45" s="3984"/>
      <c r="G45" s="3996">
        <v>188000</v>
      </c>
      <c r="H45" s="3997">
        <v>124.83</v>
      </c>
      <c r="I45" s="3997">
        <v>152.46</v>
      </c>
      <c r="J45" s="3998">
        <f>(G45*I45/H45)/4</f>
        <v>57403.028118240807</v>
      </c>
      <c r="K45" s="3997">
        <v>2296.29</v>
      </c>
      <c r="L45" s="4000">
        <v>45030</v>
      </c>
      <c r="M45" s="4700"/>
      <c r="N45" s="4701"/>
    </row>
    <row r="46" spans="1:16" s="1148" customFormat="1">
      <c r="A46" s="1778"/>
      <c r="B46" s="3989">
        <v>35156</v>
      </c>
      <c r="C46" s="3981" t="s">
        <v>3275</v>
      </c>
      <c r="D46" s="3982" t="s">
        <v>3276</v>
      </c>
      <c r="E46" s="3983" t="s">
        <v>3259</v>
      </c>
      <c r="F46" s="3984"/>
      <c r="G46" s="4001">
        <f>60000/40.3399</f>
        <v>1487.3611486394364</v>
      </c>
      <c r="H46" s="4002">
        <v>120.13</v>
      </c>
      <c r="I46" s="4002">
        <v>211.71</v>
      </c>
      <c r="J46" s="4003">
        <f>G46*I46/H46/12</f>
        <v>218.43643606818659</v>
      </c>
      <c r="K46" s="4002">
        <v>225.52</v>
      </c>
      <c r="L46" s="4000">
        <v>45042</v>
      </c>
      <c r="M46" s="4700"/>
      <c r="N46" s="4701"/>
    </row>
    <row r="47" spans="1:16" s="1148" customFormat="1">
      <c r="A47" s="1778"/>
      <c r="B47" s="4711"/>
      <c r="C47" s="4712" t="s">
        <v>3280</v>
      </c>
      <c r="D47" s="4713" t="s">
        <v>3307</v>
      </c>
      <c r="E47" s="4714" t="s">
        <v>3282</v>
      </c>
      <c r="F47" s="4726"/>
      <c r="G47" s="4727"/>
      <c r="H47" s="4728"/>
      <c r="I47" s="4728"/>
      <c r="J47" s="4729"/>
      <c r="K47" s="4728"/>
      <c r="L47" s="4730"/>
      <c r="M47" s="4731"/>
      <c r="N47" s="4732"/>
    </row>
    <row r="48" spans="1:16" s="1148" customFormat="1">
      <c r="A48" s="1778"/>
      <c r="B48" s="4711"/>
      <c r="C48" s="4712" t="s">
        <v>3280</v>
      </c>
      <c r="D48" s="4713" t="s">
        <v>1322</v>
      </c>
      <c r="E48" s="4714" t="s">
        <v>3283</v>
      </c>
      <c r="F48" s="4726"/>
      <c r="G48" s="4727"/>
      <c r="H48" s="4728"/>
      <c r="I48" s="4728"/>
      <c r="J48" s="4729"/>
      <c r="K48" s="4728"/>
      <c r="L48" s="4730"/>
      <c r="M48" s="4731"/>
      <c r="N48" s="4732"/>
    </row>
    <row r="49" spans="1:20" s="1148" customFormat="1">
      <c r="A49" s="1788"/>
      <c r="B49" s="4004">
        <v>44256</v>
      </c>
      <c r="C49" s="3981" t="s">
        <v>7196</v>
      </c>
      <c r="D49" s="3982" t="s">
        <v>7197</v>
      </c>
      <c r="E49" s="3983"/>
      <c r="F49" s="3984"/>
      <c r="G49" s="4001">
        <v>120</v>
      </c>
      <c r="H49" s="3997"/>
      <c r="I49" s="3997"/>
      <c r="J49" s="3998"/>
      <c r="K49" s="3997">
        <v>120</v>
      </c>
      <c r="L49" s="4000">
        <v>45019</v>
      </c>
      <c r="M49" s="4700"/>
      <c r="N49" s="4701"/>
    </row>
    <row r="50" spans="1:20" s="1148" customFormat="1">
      <c r="A50" s="1778"/>
      <c r="B50" s="1779"/>
      <c r="C50" s="1780" t="s">
        <v>2564</v>
      </c>
      <c r="D50" s="1781" t="s">
        <v>2939</v>
      </c>
      <c r="E50" s="1795" t="s">
        <v>3308</v>
      </c>
      <c r="F50" s="584"/>
      <c r="G50" s="1812"/>
      <c r="H50" s="1786"/>
      <c r="I50" s="1786"/>
      <c r="J50" s="1787"/>
      <c r="K50" s="1786"/>
      <c r="L50" s="1824"/>
      <c r="M50" s="1815"/>
      <c r="N50" s="1816"/>
      <c r="O50" s="1148" t="s">
        <v>7767</v>
      </c>
    </row>
    <row r="51" spans="1:20" s="1148" customFormat="1">
      <c r="A51" s="1778"/>
      <c r="B51" s="1779"/>
      <c r="C51" s="1780" t="s">
        <v>3302</v>
      </c>
      <c r="D51" s="1781" t="s">
        <v>3309</v>
      </c>
      <c r="E51" s="1795"/>
      <c r="F51" s="584"/>
      <c r="G51" s="1812"/>
      <c r="H51" s="1786"/>
      <c r="I51" s="1786"/>
      <c r="J51" s="1787"/>
      <c r="K51" s="1786"/>
      <c r="L51" s="1824"/>
      <c r="M51" s="1815"/>
      <c r="N51" s="1816"/>
      <c r="T51" s="1148" t="s">
        <v>235</v>
      </c>
    </row>
    <row r="52" spans="1:20" s="1148" customFormat="1">
      <c r="A52" s="1778"/>
      <c r="B52" s="1779">
        <v>44652</v>
      </c>
      <c r="C52" s="1780" t="s">
        <v>7812</v>
      </c>
      <c r="D52" s="1781" t="s">
        <v>7813</v>
      </c>
      <c r="F52" s="1795" t="s">
        <v>7506</v>
      </c>
      <c r="G52" s="1812"/>
      <c r="H52" s="1786"/>
      <c r="I52" s="1786"/>
      <c r="J52" s="1787"/>
      <c r="K52" s="1786"/>
      <c r="L52" s="1824"/>
      <c r="M52" s="1815"/>
      <c r="N52" s="1816"/>
      <c r="O52" s="1148" t="s">
        <v>7814</v>
      </c>
    </row>
    <row r="53" spans="1:20" s="1148" customFormat="1">
      <c r="A53" s="1778"/>
      <c r="B53" s="3989"/>
      <c r="C53" s="3981" t="s">
        <v>7815</v>
      </c>
      <c r="D53" s="3982" t="s">
        <v>7816</v>
      </c>
      <c r="E53" s="4725"/>
      <c r="F53" s="3995" t="s">
        <v>7817</v>
      </c>
      <c r="G53" s="3996"/>
      <c r="H53" s="4002"/>
      <c r="I53" s="4002"/>
      <c r="J53" s="4003"/>
      <c r="K53" s="4002"/>
      <c r="L53" s="4000">
        <v>45021</v>
      </c>
      <c r="M53" s="4700"/>
      <c r="N53" s="4701"/>
    </row>
    <row r="54" spans="1:20" s="1148" customFormat="1" ht="13.5" thickBot="1">
      <c r="A54" s="1782"/>
      <c r="B54" s="1806"/>
      <c r="C54" s="1798"/>
      <c r="D54" s="1799"/>
      <c r="E54" s="1804"/>
      <c r="F54" s="589"/>
      <c r="G54" s="1818"/>
      <c r="H54" s="1819"/>
      <c r="I54" s="1819"/>
      <c r="J54" s="1820"/>
      <c r="K54" s="1819"/>
      <c r="L54" s="1825"/>
      <c r="M54" s="1821"/>
      <c r="N54" s="1822"/>
    </row>
    <row r="55" spans="1:20" s="1148" customFormat="1">
      <c r="A55" s="4088">
        <v>36647</v>
      </c>
      <c r="B55" s="3989">
        <v>42552</v>
      </c>
      <c r="C55" s="3981" t="s">
        <v>3251</v>
      </c>
      <c r="D55" s="3982" t="s">
        <v>3252</v>
      </c>
      <c r="E55" s="3983" t="s">
        <v>3253</v>
      </c>
      <c r="F55" s="3984"/>
      <c r="G55" s="3985">
        <v>75</v>
      </c>
      <c r="H55" s="3986">
        <v>103.97</v>
      </c>
      <c r="I55" s="3986">
        <v>122.35</v>
      </c>
      <c r="J55" s="3987">
        <f>G55*I55/H55</f>
        <v>88.258632297778206</v>
      </c>
      <c r="K55" s="3986">
        <f>J55</f>
        <v>88.258632297778206</v>
      </c>
      <c r="L55" s="3994">
        <v>45061</v>
      </c>
      <c r="M55" s="4722" t="s">
        <v>718</v>
      </c>
      <c r="N55" s="4723">
        <v>2013</v>
      </c>
    </row>
    <row r="56" spans="1:20" s="1148" customFormat="1">
      <c r="A56" s="1778"/>
      <c r="B56" s="3989">
        <v>35156</v>
      </c>
      <c r="C56" s="3981" t="s">
        <v>3275</v>
      </c>
      <c r="D56" s="3982" t="s">
        <v>3276</v>
      </c>
      <c r="E56" s="3983" t="s">
        <v>3259</v>
      </c>
      <c r="F56" s="3984"/>
      <c r="G56" s="4001">
        <f>60000/40.3399</f>
        <v>1487.3611486394364</v>
      </c>
      <c r="H56" s="4002">
        <v>120.13</v>
      </c>
      <c r="I56" s="4002">
        <v>211.71</v>
      </c>
      <c r="J56" s="4003">
        <f>G56*I56/H56/12</f>
        <v>218.43643606818659</v>
      </c>
      <c r="K56" s="4002">
        <v>225.52</v>
      </c>
      <c r="L56" s="4000">
        <v>45076</v>
      </c>
      <c r="M56" s="4700"/>
      <c r="N56" s="4701"/>
    </row>
    <row r="58" spans="1:20" s="1148" customFormat="1">
      <c r="A58" s="1788"/>
      <c r="B58" s="4004">
        <v>44256</v>
      </c>
      <c r="C58" s="3981" t="s">
        <v>7196</v>
      </c>
      <c r="D58" s="3982" t="s">
        <v>7197</v>
      </c>
      <c r="E58" s="3983"/>
      <c r="F58" s="3984"/>
      <c r="G58" s="4001">
        <v>120</v>
      </c>
      <c r="H58" s="3997"/>
      <c r="I58" s="3997"/>
      <c r="J58" s="3998"/>
      <c r="K58" s="3997">
        <v>120</v>
      </c>
      <c r="L58" s="4000">
        <v>45048</v>
      </c>
      <c r="M58" s="4700"/>
      <c r="N58" s="4701"/>
    </row>
    <row r="59" spans="1:20" s="1148" customFormat="1" ht="13.5" thickBot="1">
      <c r="A59" s="1803"/>
      <c r="B59" s="1797"/>
      <c r="C59" s="1798" t="s">
        <v>235</v>
      </c>
      <c r="D59" s="1799"/>
      <c r="E59" s="1804"/>
      <c r="F59" s="589"/>
      <c r="G59" s="1818"/>
      <c r="H59" s="1819"/>
      <c r="I59" s="1819"/>
      <c r="J59" s="1820"/>
      <c r="K59" s="1819"/>
      <c r="L59" s="1825"/>
      <c r="M59" s="1823"/>
      <c r="N59" s="1822"/>
      <c r="T59" s="1148" t="s">
        <v>235</v>
      </c>
    </row>
    <row r="60" spans="1:20" s="1148" customFormat="1">
      <c r="A60" s="4088">
        <v>36678</v>
      </c>
      <c r="B60" s="3989">
        <v>41548</v>
      </c>
      <c r="C60" s="3981" t="s">
        <v>3251</v>
      </c>
      <c r="D60" s="3982" t="s">
        <v>3252</v>
      </c>
      <c r="E60" s="3983" t="s">
        <v>3253</v>
      </c>
      <c r="F60" s="3984"/>
      <c r="G60" s="3985">
        <v>75</v>
      </c>
      <c r="H60" s="3986">
        <v>103.97</v>
      </c>
      <c r="I60" s="3986">
        <v>122.35</v>
      </c>
      <c r="J60" s="3987">
        <f>G60*I60/H60</f>
        <v>88.258632297778206</v>
      </c>
      <c r="K60" s="3986">
        <f>J60</f>
        <v>88.258632297778206</v>
      </c>
      <c r="L60" s="3994">
        <v>45061</v>
      </c>
      <c r="M60" s="4722"/>
      <c r="N60" s="4723"/>
    </row>
    <row r="61" spans="1:20" s="1148" customFormat="1">
      <c r="A61" s="1778"/>
      <c r="B61" s="1779"/>
      <c r="C61" s="1780"/>
      <c r="D61" s="1781"/>
      <c r="E61" s="1795"/>
      <c r="F61" s="1805"/>
      <c r="G61" s="1812"/>
      <c r="H61" s="1813"/>
      <c r="I61" s="1813"/>
      <c r="J61" s="1814"/>
      <c r="K61" s="1813"/>
      <c r="L61" s="1824"/>
      <c r="M61" s="1815"/>
      <c r="N61" s="1816"/>
    </row>
    <row r="62" spans="1:20" s="1148" customFormat="1">
      <c r="A62" s="1782"/>
      <c r="B62" s="1779">
        <v>35156</v>
      </c>
      <c r="C62" s="1780" t="s">
        <v>3275</v>
      </c>
      <c r="D62" s="1781" t="s">
        <v>3276</v>
      </c>
      <c r="E62" s="1795" t="s">
        <v>3259</v>
      </c>
      <c r="F62" s="1805"/>
      <c r="G62" s="1785">
        <f>60000/40.3399</f>
        <v>1487.3611486394364</v>
      </c>
      <c r="H62" s="1786">
        <v>120.13</v>
      </c>
      <c r="I62" s="1786">
        <v>211.71</v>
      </c>
      <c r="J62" s="1787">
        <f>G62*I62/H62/12</f>
        <v>218.43643606818659</v>
      </c>
      <c r="K62" s="1786">
        <f>J62</f>
        <v>218.43643606818659</v>
      </c>
      <c r="L62" s="1824"/>
      <c r="M62" s="1815"/>
      <c r="N62" s="1816"/>
    </row>
    <row r="63" spans="1:20" s="1148" customFormat="1" ht="13.5" thickBot="1">
      <c r="A63" s="1788"/>
      <c r="B63" s="4004">
        <v>44256</v>
      </c>
      <c r="C63" s="3981" t="s">
        <v>7196</v>
      </c>
      <c r="D63" s="3982" t="s">
        <v>7197</v>
      </c>
      <c r="E63" s="3983"/>
      <c r="F63" s="3984"/>
      <c r="G63" s="4001">
        <v>120</v>
      </c>
      <c r="H63" s="3997"/>
      <c r="I63" s="3997"/>
      <c r="J63" s="3998"/>
      <c r="K63" s="3997">
        <v>120</v>
      </c>
      <c r="L63" s="4000">
        <v>45061</v>
      </c>
      <c r="M63" s="4700"/>
      <c r="N63" s="4701"/>
    </row>
    <row r="64" spans="1:20" s="1148" customFormat="1">
      <c r="A64" s="4088">
        <v>36708</v>
      </c>
      <c r="B64" s="3989">
        <v>42552</v>
      </c>
      <c r="C64" s="3981" t="s">
        <v>3251</v>
      </c>
      <c r="D64" s="3982" t="s">
        <v>3252</v>
      </c>
      <c r="E64" s="3983" t="s">
        <v>3253</v>
      </c>
      <c r="F64" s="3984"/>
      <c r="G64" s="3985">
        <v>75</v>
      </c>
      <c r="H64" s="3986">
        <v>103.97</v>
      </c>
      <c r="I64" s="3986">
        <v>122.35</v>
      </c>
      <c r="J64" s="3987">
        <f>G64*I64/H64</f>
        <v>88.258632297778206</v>
      </c>
      <c r="K64" s="3986">
        <f>J64</f>
        <v>88.258632297778206</v>
      </c>
      <c r="L64" s="3988">
        <v>45061</v>
      </c>
      <c r="M64" s="4722" t="s">
        <v>718</v>
      </c>
      <c r="N64" s="4723">
        <v>2013</v>
      </c>
      <c r="O64" s="1148" t="s">
        <v>7208</v>
      </c>
      <c r="Q64" s="1148" t="s">
        <v>7827</v>
      </c>
    </row>
    <row r="65" spans="1:20" s="4710" customFormat="1">
      <c r="A65" s="4706"/>
      <c r="B65" s="4707"/>
      <c r="C65" s="1789" t="s">
        <v>7809</v>
      </c>
      <c r="D65" s="1790" t="s">
        <v>7810</v>
      </c>
      <c r="E65" s="1791"/>
      <c r="F65" s="4089"/>
      <c r="G65" s="4091">
        <v>30</v>
      </c>
      <c r="H65" s="4092"/>
      <c r="I65" s="4092"/>
      <c r="J65" s="4093"/>
      <c r="K65" s="4092">
        <v>120</v>
      </c>
      <c r="L65" s="1827"/>
      <c r="M65" s="4708" t="s">
        <v>7811</v>
      </c>
      <c r="N65" s="4709"/>
    </row>
    <row r="66" spans="1:20" s="1148" customFormat="1">
      <c r="A66" s="1782"/>
      <c r="B66" s="1779">
        <v>42005</v>
      </c>
      <c r="C66" s="1780" t="s">
        <v>3257</v>
      </c>
      <c r="D66" s="1781" t="s">
        <v>3258</v>
      </c>
      <c r="E66" s="1795" t="s">
        <v>3259</v>
      </c>
      <c r="F66" s="1805"/>
      <c r="G66" s="1812">
        <v>13000</v>
      </c>
      <c r="H66" s="1813">
        <v>100.4</v>
      </c>
      <c r="I66" s="1813">
        <v>109.49</v>
      </c>
      <c r="J66" s="1814">
        <f>G66*I66/H66</f>
        <v>14176.992031872509</v>
      </c>
      <c r="K66" s="1813">
        <f>J66/4</f>
        <v>3544.2480079681272</v>
      </c>
      <c r="L66" s="1824"/>
      <c r="M66" s="1815"/>
      <c r="N66" s="1816"/>
      <c r="O66" s="1148" t="s">
        <v>235</v>
      </c>
    </row>
    <row r="67" spans="1:20" s="1148" customFormat="1">
      <c r="A67" s="1782"/>
      <c r="B67" s="1779">
        <v>36708</v>
      </c>
      <c r="C67" s="1780" t="s">
        <v>3310</v>
      </c>
      <c r="D67" s="1781" t="s">
        <v>3311</v>
      </c>
      <c r="E67" s="1795" t="s">
        <v>3279</v>
      </c>
      <c r="F67" s="584"/>
      <c r="G67" s="1812">
        <f>500/40.3399</f>
        <v>12.394676238661971</v>
      </c>
      <c r="H67" s="1813">
        <v>105.21</v>
      </c>
      <c r="I67" s="1813">
        <v>165.22</v>
      </c>
      <c r="J67" s="1814">
        <f>G67*I67/H67</f>
        <v>19.464389394085458</v>
      </c>
      <c r="K67" s="1813">
        <f>J67</f>
        <v>19.464389394085458</v>
      </c>
      <c r="L67" s="1824"/>
      <c r="M67" s="1815" t="s">
        <v>720</v>
      </c>
      <c r="N67" s="1816"/>
    </row>
    <row r="68" spans="1:20" s="1148" customFormat="1">
      <c r="A68" s="1782"/>
      <c r="B68" s="1779">
        <v>36708</v>
      </c>
      <c r="C68" s="1780" t="s">
        <v>3312</v>
      </c>
      <c r="D68" s="1781" t="s">
        <v>3311</v>
      </c>
      <c r="E68" s="1795" t="s">
        <v>3279</v>
      </c>
      <c r="F68" s="584"/>
      <c r="G68" s="1812">
        <f>500/40.3399</f>
        <v>12.394676238661971</v>
      </c>
      <c r="H68" s="1813">
        <v>105.21</v>
      </c>
      <c r="I68" s="1813">
        <v>165.22</v>
      </c>
      <c r="J68" s="1814">
        <f>G68*I68/H68</f>
        <v>19.464389394085458</v>
      </c>
      <c r="K68" s="1813">
        <f>J68</f>
        <v>19.464389394085458</v>
      </c>
      <c r="L68" s="1824"/>
      <c r="M68" s="1815" t="s">
        <v>720</v>
      </c>
      <c r="N68" s="1816"/>
    </row>
    <row r="69" spans="1:20" s="1148" customFormat="1">
      <c r="A69" s="1782"/>
      <c r="B69" s="1779">
        <v>36708</v>
      </c>
      <c r="C69" s="1780" t="s">
        <v>3313</v>
      </c>
      <c r="D69" s="1781" t="s">
        <v>3311</v>
      </c>
      <c r="E69" s="1795" t="s">
        <v>3279</v>
      </c>
      <c r="F69" s="584"/>
      <c r="G69" s="1812">
        <f>500/40.3399</f>
        <v>12.394676238661971</v>
      </c>
      <c r="H69" s="1813">
        <v>105.21</v>
      </c>
      <c r="I69" s="1813">
        <v>165.22</v>
      </c>
      <c r="J69" s="1814">
        <f>G69*I69/H69</f>
        <v>19.464389394085458</v>
      </c>
      <c r="K69" s="1813">
        <f>J69</f>
        <v>19.464389394085458</v>
      </c>
      <c r="L69" s="1824"/>
      <c r="M69" s="1815" t="s">
        <v>720</v>
      </c>
      <c r="N69" s="1816"/>
    </row>
    <row r="70" spans="1:20" s="1148" customFormat="1">
      <c r="A70" s="1782"/>
      <c r="B70" s="4695">
        <v>44256</v>
      </c>
      <c r="C70" s="1780" t="s">
        <v>7196</v>
      </c>
      <c r="D70" s="1781" t="s">
        <v>7197</v>
      </c>
      <c r="E70" s="1795"/>
      <c r="F70" s="1805"/>
      <c r="G70" s="1785">
        <v>120</v>
      </c>
      <c r="H70" s="1813"/>
      <c r="I70" s="1813"/>
      <c r="J70" s="1814"/>
      <c r="K70" s="1813">
        <v>120</v>
      </c>
      <c r="L70" s="1824"/>
      <c r="M70" s="1815"/>
      <c r="N70" s="1816"/>
    </row>
    <row r="71" spans="1:20" s="1148" customFormat="1">
      <c r="A71" s="1782"/>
      <c r="B71" s="3989">
        <v>31929</v>
      </c>
      <c r="C71" s="3981" t="s">
        <v>3230</v>
      </c>
      <c r="D71" s="3982" t="s">
        <v>3314</v>
      </c>
      <c r="E71" s="3983" t="s">
        <v>3253</v>
      </c>
      <c r="F71" s="3984" t="s">
        <v>3274</v>
      </c>
      <c r="G71" s="3996">
        <v>2500</v>
      </c>
      <c r="H71" s="3997">
        <v>131.44999999999999</v>
      </c>
      <c r="I71" s="3997">
        <v>188.72</v>
      </c>
      <c r="J71" s="3998">
        <f>(G71*I71/H71)</f>
        <v>3589.1974134651964</v>
      </c>
      <c r="K71" s="3997">
        <v>139.19</v>
      </c>
      <c r="L71" s="4000">
        <v>44971</v>
      </c>
      <c r="M71" s="4700"/>
      <c r="N71" s="4701"/>
    </row>
    <row r="72" spans="1:20" s="1148" customFormat="1">
      <c r="A72" s="1778"/>
      <c r="B72" s="1779">
        <v>36493</v>
      </c>
      <c r="C72" s="1780" t="s">
        <v>3272</v>
      </c>
      <c r="D72" s="1781" t="s">
        <v>3273</v>
      </c>
      <c r="E72" s="1795" t="s">
        <v>3253</v>
      </c>
      <c r="F72" s="1805"/>
      <c r="G72" s="1812">
        <v>188000</v>
      </c>
      <c r="H72" s="1813">
        <v>124.83</v>
      </c>
      <c r="I72" s="1813">
        <v>152.46</v>
      </c>
      <c r="J72" s="1814">
        <f>(G72*I72/H72)/4</f>
        <v>57403.028118240807</v>
      </c>
      <c r="K72" s="1813">
        <v>2075.58</v>
      </c>
      <c r="L72" s="1824"/>
      <c r="M72" s="1815" t="s">
        <v>720</v>
      </c>
      <c r="N72" s="1816">
        <v>1981</v>
      </c>
    </row>
    <row r="73" spans="1:20" s="1148" customFormat="1">
      <c r="A73" s="1778"/>
      <c r="B73" s="1779">
        <v>35156</v>
      </c>
      <c r="C73" s="1780" t="s">
        <v>3275</v>
      </c>
      <c r="D73" s="1781" t="s">
        <v>3276</v>
      </c>
      <c r="E73" s="1795" t="s">
        <v>3259</v>
      </c>
      <c r="F73" s="1805"/>
      <c r="G73" s="1785">
        <f>60000/40.3399</f>
        <v>1487.3611486394364</v>
      </c>
      <c r="H73" s="1786">
        <v>120.13</v>
      </c>
      <c r="I73" s="1786">
        <v>211.71</v>
      </c>
      <c r="J73" s="1787">
        <f>G73*I73/H73/12</f>
        <v>218.43643606818659</v>
      </c>
      <c r="K73" s="1786">
        <f>J73</f>
        <v>218.43643606818659</v>
      </c>
      <c r="L73" s="1824"/>
      <c r="M73" s="1815"/>
      <c r="N73" s="1816"/>
      <c r="Q73" s="1148" t="s">
        <v>235</v>
      </c>
    </row>
    <row r="74" spans="1:20" s="1148" customFormat="1">
      <c r="A74" s="1788"/>
      <c r="B74" s="4695"/>
      <c r="C74" s="1780" t="s">
        <v>3315</v>
      </c>
      <c r="D74" s="1781" t="s">
        <v>3316</v>
      </c>
      <c r="E74" s="1795"/>
      <c r="F74" s="1805"/>
      <c r="G74" s="1785"/>
      <c r="H74" s="1813"/>
      <c r="I74" s="1813"/>
      <c r="J74" s="1814"/>
      <c r="K74" s="1813">
        <f>200*1.21</f>
        <v>242</v>
      </c>
      <c r="L74" s="1824"/>
      <c r="M74" s="1815"/>
      <c r="N74" s="1816"/>
    </row>
    <row r="75" spans="1:20" s="1148" customFormat="1">
      <c r="A75" s="1778"/>
      <c r="B75" s="1779"/>
      <c r="C75" s="1780" t="s">
        <v>3302</v>
      </c>
      <c r="D75" s="1781" t="s">
        <v>3309</v>
      </c>
      <c r="E75" s="1795"/>
      <c r="F75" s="584"/>
      <c r="G75" s="1812"/>
      <c r="H75" s="1786"/>
      <c r="I75" s="1786"/>
      <c r="J75" s="1787"/>
      <c r="K75" s="1786"/>
      <c r="L75" s="1824"/>
      <c r="M75" s="1815"/>
      <c r="N75" s="1816"/>
      <c r="T75" s="1148" t="s">
        <v>235</v>
      </c>
    </row>
    <row r="76" spans="1:20" s="1148" customFormat="1">
      <c r="A76" s="1778"/>
      <c r="B76" s="1779"/>
      <c r="C76" s="1780" t="s">
        <v>3302</v>
      </c>
      <c r="D76" s="1781" t="s">
        <v>3303</v>
      </c>
      <c r="E76" s="1795"/>
      <c r="F76" s="1805"/>
      <c r="G76" s="1812"/>
      <c r="H76" s="1813"/>
      <c r="I76" s="1813"/>
      <c r="J76" s="1814"/>
      <c r="K76" s="1813"/>
      <c r="L76" s="1824"/>
      <c r="M76" s="1815"/>
      <c r="N76" s="1816"/>
    </row>
    <row r="77" spans="1:20" s="1148" customFormat="1">
      <c r="A77" s="1778"/>
      <c r="B77" s="1779"/>
      <c r="C77" s="1780" t="s">
        <v>3302</v>
      </c>
      <c r="D77" s="1781" t="s">
        <v>3317</v>
      </c>
      <c r="E77" s="1795"/>
      <c r="F77" s="1805"/>
      <c r="G77" s="1812"/>
      <c r="H77" s="1813"/>
      <c r="I77" s="1813"/>
      <c r="J77" s="1814"/>
      <c r="K77" s="1813"/>
      <c r="L77" s="1824"/>
      <c r="M77" s="1815"/>
      <c r="N77" s="1816"/>
    </row>
    <row r="78" spans="1:20" s="1148" customFormat="1">
      <c r="A78" s="1778"/>
      <c r="B78" s="1779"/>
      <c r="C78" s="1780" t="s">
        <v>3280</v>
      </c>
      <c r="D78" s="1781" t="s">
        <v>3307</v>
      </c>
      <c r="E78" s="1795" t="s">
        <v>3282</v>
      </c>
      <c r="F78" s="584"/>
      <c r="G78" s="1812"/>
      <c r="H78" s="1786"/>
      <c r="I78" s="1786"/>
      <c r="J78" s="1787"/>
      <c r="K78" s="1786"/>
      <c r="L78" s="1824"/>
      <c r="M78" s="1815"/>
      <c r="N78" s="1816"/>
    </row>
    <row r="79" spans="1:20" s="1148" customFormat="1">
      <c r="A79" s="1778"/>
      <c r="B79" s="1779"/>
      <c r="C79" s="1780" t="s">
        <v>3280</v>
      </c>
      <c r="D79" s="1781" t="s">
        <v>1322</v>
      </c>
      <c r="E79" s="1795" t="s">
        <v>3283</v>
      </c>
      <c r="F79" s="584"/>
      <c r="G79" s="1812"/>
      <c r="H79" s="1786"/>
      <c r="I79" s="1786"/>
      <c r="J79" s="1787"/>
      <c r="K79" s="1786"/>
      <c r="L79" s="1824"/>
      <c r="M79" s="1815"/>
      <c r="N79" s="1816"/>
    </row>
    <row r="80" spans="1:20" s="1148" customFormat="1">
      <c r="A80" s="1778"/>
      <c r="B80" s="1779">
        <v>44743</v>
      </c>
      <c r="C80" s="1780" t="s">
        <v>7812</v>
      </c>
      <c r="D80" s="1781" t="s">
        <v>7813</v>
      </c>
      <c r="F80" s="1795" t="s">
        <v>7506</v>
      </c>
      <c r="G80" s="1812"/>
      <c r="H80" s="1786"/>
      <c r="I80" s="1786"/>
      <c r="J80" s="1787"/>
      <c r="K80" s="1786"/>
      <c r="L80" s="1824"/>
      <c r="M80" s="1815"/>
      <c r="N80" s="1816"/>
      <c r="O80" s="1148" t="s">
        <v>7814</v>
      </c>
    </row>
    <row r="81" spans="1:15" s="1148" customFormat="1">
      <c r="A81" s="1778"/>
      <c r="B81" s="1779"/>
      <c r="C81" s="1780" t="s">
        <v>7815</v>
      </c>
      <c r="D81" s="1781" t="s">
        <v>7816</v>
      </c>
      <c r="F81" s="584" t="s">
        <v>7817</v>
      </c>
      <c r="G81" s="1812"/>
      <c r="H81" s="1786"/>
      <c r="I81" s="1786"/>
      <c r="J81" s="1787"/>
      <c r="K81" s="1786"/>
      <c r="L81" s="1824"/>
      <c r="M81" s="1815"/>
      <c r="N81" s="1816"/>
    </row>
    <row r="82" spans="1:15" s="1148" customFormat="1" ht="13.5" thickBot="1">
      <c r="A82" s="1803"/>
      <c r="B82" s="1797"/>
      <c r="C82" s="1798"/>
      <c r="D82" s="1799"/>
      <c r="E82" s="1800"/>
      <c r="F82" s="1798"/>
      <c r="G82" s="1818"/>
      <c r="H82" s="1819"/>
      <c r="I82" s="1819"/>
      <c r="J82" s="1820"/>
      <c r="K82" s="1819"/>
      <c r="L82" s="1825"/>
      <c r="M82" s="1823"/>
      <c r="N82" s="1822"/>
    </row>
    <row r="83" spans="1:15" s="1148" customFormat="1">
      <c r="A83" s="4088">
        <v>36739</v>
      </c>
      <c r="B83" s="3989">
        <v>42552</v>
      </c>
      <c r="C83" s="3981" t="s">
        <v>3251</v>
      </c>
      <c r="D83" s="3982" t="s">
        <v>3252</v>
      </c>
      <c r="E83" s="3983" t="s">
        <v>3253</v>
      </c>
      <c r="F83" s="3984"/>
      <c r="G83" s="3985">
        <v>75</v>
      </c>
      <c r="H83" s="3986">
        <v>103.97</v>
      </c>
      <c r="I83" s="3986">
        <v>122.35</v>
      </c>
      <c r="J83" s="3987">
        <f>G83*I83/H83</f>
        <v>88.258632297778206</v>
      </c>
      <c r="K83" s="3986">
        <f>J83</f>
        <v>88.258632297778206</v>
      </c>
      <c r="L83" s="3994">
        <v>45061</v>
      </c>
      <c r="M83" s="4722" t="s">
        <v>718</v>
      </c>
      <c r="N83" s="4723">
        <v>2013</v>
      </c>
    </row>
    <row r="84" spans="1:15" s="1148" customFormat="1">
      <c r="A84" s="1782"/>
      <c r="B84" s="1779">
        <v>35156</v>
      </c>
      <c r="C84" s="1780" t="s">
        <v>3275</v>
      </c>
      <c r="D84" s="1781" t="s">
        <v>3276</v>
      </c>
      <c r="E84" s="1795" t="s">
        <v>3259</v>
      </c>
      <c r="F84" s="1805"/>
      <c r="G84" s="1785">
        <f>60000/40.3399</f>
        <v>1487.3611486394364</v>
      </c>
      <c r="H84" s="1786">
        <v>120.13</v>
      </c>
      <c r="I84" s="1786">
        <v>211.71</v>
      </c>
      <c r="J84" s="1787">
        <f>G84*I84/H84/12</f>
        <v>218.43643606818659</v>
      </c>
      <c r="K84" s="1786">
        <f>J84</f>
        <v>218.43643606818659</v>
      </c>
      <c r="L84" s="1824"/>
      <c r="M84" s="1815"/>
      <c r="N84" s="1816"/>
    </row>
    <row r="85" spans="1:15" s="1148" customFormat="1">
      <c r="A85" s="1788"/>
      <c r="B85" s="4695">
        <v>44256</v>
      </c>
      <c r="C85" s="1780" t="s">
        <v>7196</v>
      </c>
      <c r="D85" s="1781" t="s">
        <v>7197</v>
      </c>
      <c r="E85" s="1795"/>
      <c r="F85" s="1805"/>
      <c r="G85" s="1785">
        <v>120</v>
      </c>
      <c r="H85" s="1813"/>
      <c r="I85" s="1813"/>
      <c r="J85" s="1814"/>
      <c r="K85" s="1813">
        <v>120</v>
      </c>
      <c r="L85" s="1824"/>
      <c r="M85" s="1815"/>
      <c r="N85" s="1816"/>
    </row>
    <row r="86" spans="1:15" s="1148" customFormat="1">
      <c r="A86" s="1782"/>
      <c r="B86" s="1779"/>
      <c r="C86" s="1780" t="s">
        <v>3230</v>
      </c>
      <c r="D86" s="1781" t="s">
        <v>3318</v>
      </c>
      <c r="E86" s="1795" t="s">
        <v>3253</v>
      </c>
      <c r="F86" s="1805" t="s">
        <v>3274</v>
      </c>
      <c r="G86" s="1812">
        <f>3000/40.3399</f>
        <v>74.36805743197182</v>
      </c>
      <c r="H86" s="1813">
        <v>113.7</v>
      </c>
      <c r="I86" s="1813">
        <v>588.11</v>
      </c>
      <c r="J86" s="1787">
        <f>G86*I86/H86</f>
        <v>384.66665133084382</v>
      </c>
      <c r="K86" s="1786">
        <v>426.8</v>
      </c>
      <c r="L86" s="1824"/>
      <c r="M86" s="1815"/>
      <c r="N86" s="1816"/>
    </row>
    <row r="87" spans="1:15" s="1148" customFormat="1" ht="13.5" thickBot="1">
      <c r="A87" s="1803"/>
      <c r="B87" s="1797"/>
      <c r="C87" s="1798" t="s">
        <v>235</v>
      </c>
      <c r="D87" s="1799"/>
      <c r="E87" s="1804"/>
      <c r="F87" s="589"/>
      <c r="G87" s="1818"/>
      <c r="H87" s="1819"/>
      <c r="I87" s="1819"/>
      <c r="J87" s="1820"/>
      <c r="K87" s="1819"/>
      <c r="L87" s="1825"/>
      <c r="M87" s="1823"/>
      <c r="N87" s="1822"/>
    </row>
    <row r="88" spans="1:15" s="1148" customFormat="1">
      <c r="A88" s="4088">
        <v>36770</v>
      </c>
      <c r="B88" s="3989">
        <v>42552</v>
      </c>
      <c r="C88" s="3981" t="s">
        <v>3251</v>
      </c>
      <c r="D88" s="3982" t="s">
        <v>3252</v>
      </c>
      <c r="E88" s="3983" t="s">
        <v>3253</v>
      </c>
      <c r="F88" s="3984"/>
      <c r="G88" s="3985">
        <v>75</v>
      </c>
      <c r="H88" s="3986">
        <v>103.97</v>
      </c>
      <c r="I88" s="3986">
        <v>122.35</v>
      </c>
      <c r="J88" s="3987">
        <f>G88*I88/H88</f>
        <v>88.258632297778206</v>
      </c>
      <c r="K88" s="3986">
        <f>J88</f>
        <v>88.258632297778206</v>
      </c>
      <c r="L88" s="3994">
        <v>45061</v>
      </c>
      <c r="M88" s="4722" t="s">
        <v>718</v>
      </c>
      <c r="N88" s="4723">
        <v>2013</v>
      </c>
    </row>
    <row r="89" spans="1:15" s="1148" customFormat="1">
      <c r="A89" s="1782"/>
      <c r="B89" s="1779">
        <v>35156</v>
      </c>
      <c r="C89" s="1780" t="s">
        <v>3275</v>
      </c>
      <c r="D89" s="1781" t="s">
        <v>3276</v>
      </c>
      <c r="E89" s="1795" t="s">
        <v>3259</v>
      </c>
      <c r="F89" s="1805"/>
      <c r="G89" s="1785">
        <f>60000/40.3399</f>
        <v>1487.3611486394364</v>
      </c>
      <c r="H89" s="1786">
        <v>120.13</v>
      </c>
      <c r="I89" s="1786">
        <v>211.71</v>
      </c>
      <c r="J89" s="1787">
        <f>G89*I89/H89/12</f>
        <v>218.43643606818659</v>
      </c>
      <c r="K89" s="1786">
        <f>J89</f>
        <v>218.43643606818659</v>
      </c>
      <c r="L89" s="1824"/>
      <c r="M89" s="1815"/>
      <c r="N89" s="1816"/>
    </row>
    <row r="90" spans="1:15" s="1148" customFormat="1">
      <c r="A90" s="1788"/>
      <c r="B90" s="4695">
        <v>44256</v>
      </c>
      <c r="C90" s="1780" t="s">
        <v>7196</v>
      </c>
      <c r="D90" s="1781" t="s">
        <v>7197</v>
      </c>
      <c r="E90" s="1795"/>
      <c r="F90" s="1805"/>
      <c r="G90" s="1785">
        <v>120</v>
      </c>
      <c r="H90" s="1813"/>
      <c r="I90" s="1813"/>
      <c r="J90" s="1814"/>
      <c r="K90" s="1813">
        <v>120</v>
      </c>
      <c r="L90" s="1824"/>
      <c r="M90" s="1815"/>
      <c r="N90" s="1816"/>
    </row>
    <row r="91" spans="1:15" s="1148" customFormat="1">
      <c r="A91" s="1807"/>
      <c r="B91" s="1779"/>
      <c r="C91" s="1789" t="s">
        <v>3319</v>
      </c>
      <c r="D91" s="1790" t="s">
        <v>3320</v>
      </c>
      <c r="E91" s="1791" t="s">
        <v>3321</v>
      </c>
      <c r="F91" s="4089"/>
      <c r="G91" s="1792">
        <v>9002</v>
      </c>
      <c r="H91" s="1793"/>
      <c r="I91" s="1793"/>
      <c r="J91" s="1794"/>
      <c r="K91" s="1793">
        <v>9002</v>
      </c>
      <c r="L91" s="1827"/>
      <c r="M91" s="1815"/>
      <c r="N91" s="1816"/>
    </row>
    <row r="92" spans="1:15" s="1148" customFormat="1" ht="13.5" thickBot="1">
      <c r="A92" s="1803"/>
      <c r="B92" s="1797"/>
      <c r="C92" s="1798"/>
      <c r="D92" s="1799"/>
      <c r="E92" s="1800"/>
      <c r="F92" s="1798"/>
      <c r="G92" s="1818"/>
      <c r="H92" s="1819"/>
      <c r="I92" s="1819"/>
      <c r="J92" s="1820"/>
      <c r="K92" s="1819"/>
      <c r="L92" s="1825"/>
      <c r="M92" s="1823"/>
      <c r="N92" s="1822"/>
    </row>
    <row r="93" spans="1:15" s="1148" customFormat="1">
      <c r="A93" s="4088">
        <v>36800</v>
      </c>
      <c r="B93" s="3989">
        <v>42552</v>
      </c>
      <c r="C93" s="3981" t="s">
        <v>3251</v>
      </c>
      <c r="D93" s="3982" t="s">
        <v>3252</v>
      </c>
      <c r="E93" s="3983" t="s">
        <v>3253</v>
      </c>
      <c r="F93" s="3984"/>
      <c r="G93" s="3985">
        <v>75</v>
      </c>
      <c r="H93" s="3986">
        <v>103.97</v>
      </c>
      <c r="I93" s="3986">
        <v>122.35</v>
      </c>
      <c r="J93" s="3987">
        <f>G93*I93/H93</f>
        <v>88.258632297778206</v>
      </c>
      <c r="K93" s="3986">
        <f>J93</f>
        <v>88.258632297778206</v>
      </c>
      <c r="L93" s="3994">
        <v>45061</v>
      </c>
      <c r="M93" s="4722" t="s">
        <v>718</v>
      </c>
      <c r="N93" s="4723">
        <v>2013</v>
      </c>
    </row>
    <row r="94" spans="1:15" s="1148" customFormat="1">
      <c r="A94" s="1782"/>
      <c r="B94" s="1779">
        <v>42005</v>
      </c>
      <c r="C94" s="1780" t="s">
        <v>3257</v>
      </c>
      <c r="D94" s="1781" t="s">
        <v>3258</v>
      </c>
      <c r="E94" s="1795" t="s">
        <v>3259</v>
      </c>
      <c r="F94" s="1805"/>
      <c r="G94" s="1812">
        <v>13000</v>
      </c>
      <c r="H94" s="1813">
        <v>100.4</v>
      </c>
      <c r="I94" s="1813">
        <v>109.49</v>
      </c>
      <c r="J94" s="1814">
        <f>G94*I94/H94</f>
        <v>14176.992031872509</v>
      </c>
      <c r="K94" s="1813">
        <f>J94/4</f>
        <v>3544.2480079681272</v>
      </c>
      <c r="L94" s="1824"/>
      <c r="M94" s="1815"/>
      <c r="N94" s="1816"/>
      <c r="O94" s="1148" t="s">
        <v>235</v>
      </c>
    </row>
    <row r="95" spans="1:15" s="1148" customFormat="1" hidden="1">
      <c r="A95" s="1778"/>
      <c r="B95" s="1779">
        <v>35679</v>
      </c>
      <c r="C95" s="1789" t="s">
        <v>3322</v>
      </c>
      <c r="D95" s="1790" t="s">
        <v>3323</v>
      </c>
      <c r="E95" s="1791" t="s">
        <v>2980</v>
      </c>
      <c r="F95" s="1808"/>
      <c r="G95" s="1792">
        <v>150000</v>
      </c>
      <c r="H95" s="1793">
        <v>122.84</v>
      </c>
      <c r="I95" s="1793">
        <v>165.82</v>
      </c>
      <c r="J95" s="1794">
        <f>G95*I95/H95</f>
        <v>202482.90459133833</v>
      </c>
      <c r="K95" s="1793">
        <f>J95/40.3399</f>
        <v>5019.4200925470395</v>
      </c>
      <c r="L95" s="1824"/>
      <c r="M95" s="1815" t="s">
        <v>717</v>
      </c>
      <c r="N95" s="1816">
        <v>1988</v>
      </c>
    </row>
    <row r="96" spans="1:15" s="1148" customFormat="1" hidden="1">
      <c r="A96" s="1778"/>
      <c r="B96" s="1779"/>
      <c r="C96" s="1789" t="s">
        <v>3324</v>
      </c>
      <c r="D96" s="1790" t="s">
        <v>3325</v>
      </c>
      <c r="E96" s="1791" t="s">
        <v>2236</v>
      </c>
      <c r="F96" s="1808"/>
      <c r="G96" s="1826">
        <v>74.400000000000006</v>
      </c>
      <c r="H96" s="1793">
        <v>119.38</v>
      </c>
      <c r="I96" s="1793">
        <v>163.88</v>
      </c>
      <c r="J96" s="1794"/>
      <c r="K96" s="1793">
        <f>G96*I96/H96</f>
        <v>102.13328865806669</v>
      </c>
      <c r="L96" s="1827"/>
      <c r="M96" s="1815" t="s">
        <v>717</v>
      </c>
      <c r="N96" s="1816">
        <v>1988</v>
      </c>
    </row>
    <row r="97" spans="1:15" s="1148" customFormat="1">
      <c r="A97" s="1778"/>
      <c r="B97" s="1779">
        <v>35156</v>
      </c>
      <c r="C97" s="1780" t="s">
        <v>3275</v>
      </c>
      <c r="D97" s="1781" t="s">
        <v>3276</v>
      </c>
      <c r="E97" s="1795" t="s">
        <v>3259</v>
      </c>
      <c r="F97" s="1805"/>
      <c r="G97" s="1785">
        <f>60000/40.3399</f>
        <v>1487.3611486394364</v>
      </c>
      <c r="H97" s="1786">
        <v>120.13</v>
      </c>
      <c r="I97" s="1786">
        <v>211.71</v>
      </c>
      <c r="J97" s="1787">
        <f>G97*I97/H97/12</f>
        <v>218.43643606818659</v>
      </c>
      <c r="K97" s="1786">
        <f>J97</f>
        <v>218.43643606818659</v>
      </c>
      <c r="L97" s="1824"/>
      <c r="M97" s="1815" t="s">
        <v>722</v>
      </c>
      <c r="N97" s="1816">
        <v>1988</v>
      </c>
    </row>
    <row r="98" spans="1:15" s="1148" customFormat="1">
      <c r="A98" s="1778"/>
      <c r="B98" s="1779">
        <v>36493</v>
      </c>
      <c r="C98" s="1780" t="s">
        <v>3272</v>
      </c>
      <c r="D98" s="1781" t="s">
        <v>3273</v>
      </c>
      <c r="E98" s="1795" t="s">
        <v>3253</v>
      </c>
      <c r="F98" s="1805"/>
      <c r="G98" s="1812">
        <v>188000</v>
      </c>
      <c r="H98" s="1813">
        <v>124.83</v>
      </c>
      <c r="I98" s="1813">
        <v>152.46</v>
      </c>
      <c r="J98" s="1814">
        <f>(G98*I98/H98)/4</f>
        <v>57403.028118240807</v>
      </c>
      <c r="K98" s="1813">
        <v>1972.98</v>
      </c>
      <c r="L98" s="1824"/>
      <c r="M98" s="1815"/>
      <c r="N98" s="1816"/>
    </row>
    <row r="99" spans="1:15" s="1148" customFormat="1">
      <c r="A99" s="1788"/>
      <c r="B99" s="4695">
        <v>44256</v>
      </c>
      <c r="C99" s="1780" t="s">
        <v>7196</v>
      </c>
      <c r="D99" s="1781" t="s">
        <v>7197</v>
      </c>
      <c r="E99" s="1795"/>
      <c r="F99" s="1805"/>
      <c r="G99" s="1785">
        <v>120</v>
      </c>
      <c r="H99" s="1813"/>
      <c r="I99" s="1813"/>
      <c r="J99" s="1814"/>
      <c r="K99" s="1813"/>
      <c r="L99" s="1824"/>
      <c r="M99" s="1815"/>
      <c r="N99" s="1816"/>
    </row>
    <row r="100" spans="1:15" s="1148" customFormat="1">
      <c r="A100" s="1778"/>
      <c r="B100" s="1779"/>
      <c r="C100" s="1780" t="s">
        <v>3326</v>
      </c>
      <c r="D100" s="1781" t="s">
        <v>3327</v>
      </c>
      <c r="E100" s="1795" t="s">
        <v>3328</v>
      </c>
      <c r="F100" s="584"/>
      <c r="G100" s="4696">
        <v>8440.18</v>
      </c>
      <c r="H100" s="1813"/>
      <c r="I100" s="1813"/>
      <c r="J100" s="1814"/>
      <c r="K100" s="1813">
        <v>8440.18</v>
      </c>
      <c r="L100" s="1824"/>
      <c r="M100" s="1815"/>
      <c r="N100" s="1816"/>
    </row>
    <row r="101" spans="1:15" s="1148" customFormat="1">
      <c r="A101" s="1778"/>
      <c r="B101" s="1779"/>
      <c r="C101" s="1780" t="s">
        <v>3326</v>
      </c>
      <c r="D101" s="1781" t="s">
        <v>3329</v>
      </c>
      <c r="E101" s="1795" t="s">
        <v>3330</v>
      </c>
      <c r="F101" s="584"/>
      <c r="G101" s="4696">
        <v>22765.25</v>
      </c>
      <c r="H101" s="1813"/>
      <c r="I101" s="1813"/>
      <c r="J101" s="1814"/>
      <c r="K101" s="1813">
        <v>22765.25</v>
      </c>
      <c r="L101" s="1824"/>
      <c r="M101" s="1815"/>
      <c r="N101" s="1816"/>
    </row>
    <row r="102" spans="1:15" s="1148" customFormat="1">
      <c r="A102" s="1778"/>
      <c r="B102" s="1779"/>
      <c r="C102" s="1780" t="s">
        <v>3302</v>
      </c>
      <c r="D102" s="1781" t="s">
        <v>3309</v>
      </c>
      <c r="E102" s="1795"/>
      <c r="F102" s="584"/>
      <c r="G102" s="1812"/>
      <c r="H102" s="1786"/>
      <c r="I102" s="1786"/>
      <c r="J102" s="1787"/>
      <c r="K102" s="1786"/>
      <c r="L102" s="1824"/>
      <c r="M102" s="1815"/>
      <c r="N102" s="1816"/>
    </row>
    <row r="103" spans="1:15" s="1148" customFormat="1">
      <c r="A103" s="1778"/>
      <c r="B103" s="1779"/>
      <c r="C103" s="1780" t="s">
        <v>3331</v>
      </c>
      <c r="D103" s="1781" t="s">
        <v>3332</v>
      </c>
      <c r="E103" s="1795"/>
      <c r="F103" s="584"/>
      <c r="G103" s="1812"/>
      <c r="H103" s="1786"/>
      <c r="I103" s="1786"/>
      <c r="J103" s="1787"/>
      <c r="K103" s="1786"/>
      <c r="L103" s="1824"/>
      <c r="M103" s="1815"/>
      <c r="N103" s="1816"/>
    </row>
    <row r="104" spans="1:15" s="1148" customFormat="1">
      <c r="A104" s="1778"/>
      <c r="B104" s="1779"/>
      <c r="C104" s="1780" t="s">
        <v>3302</v>
      </c>
      <c r="D104" s="1781" t="s">
        <v>3333</v>
      </c>
      <c r="E104" s="1795"/>
      <c r="F104" s="584"/>
      <c r="G104" s="1812"/>
      <c r="H104" s="1786"/>
      <c r="I104" s="1786"/>
      <c r="J104" s="1787"/>
      <c r="K104" s="1786"/>
      <c r="L104" s="1824"/>
      <c r="M104" s="1815"/>
      <c r="N104" s="1816"/>
    </row>
    <row r="105" spans="1:15" s="1148" customFormat="1">
      <c r="A105" s="1778"/>
      <c r="B105" s="1779"/>
      <c r="C105" s="1780" t="s">
        <v>3280</v>
      </c>
      <c r="D105" s="1781" t="s">
        <v>3307</v>
      </c>
      <c r="E105" s="1795" t="s">
        <v>3282</v>
      </c>
      <c r="F105" s="584"/>
      <c r="G105" s="1812"/>
      <c r="H105" s="1786"/>
      <c r="I105" s="1786"/>
      <c r="J105" s="1787"/>
      <c r="K105" s="1786"/>
      <c r="L105" s="1824"/>
      <c r="M105" s="1815"/>
      <c r="N105" s="1816"/>
    </row>
    <row r="106" spans="1:15" s="1148" customFormat="1">
      <c r="A106" s="1778"/>
      <c r="B106" s="1779"/>
      <c r="C106" s="1780" t="s">
        <v>3280</v>
      </c>
      <c r="D106" s="1781" t="s">
        <v>1322</v>
      </c>
      <c r="E106" s="1795" t="s">
        <v>3283</v>
      </c>
      <c r="F106" s="584"/>
      <c r="G106" s="1812"/>
      <c r="H106" s="1786"/>
      <c r="I106" s="1786"/>
      <c r="J106" s="1787"/>
      <c r="K106" s="1786"/>
      <c r="L106" s="1824"/>
      <c r="M106" s="1815"/>
      <c r="N106" s="1816"/>
    </row>
    <row r="107" spans="1:15" s="1148" customFormat="1">
      <c r="A107" s="1778"/>
      <c r="B107" s="1779">
        <v>44835</v>
      </c>
      <c r="C107" s="1780" t="s">
        <v>7812</v>
      </c>
      <c r="D107" s="1781" t="s">
        <v>7813</v>
      </c>
      <c r="F107" s="1795" t="s">
        <v>7506</v>
      </c>
      <c r="G107" s="1812"/>
      <c r="H107" s="1786"/>
      <c r="I107" s="1786"/>
      <c r="J107" s="1787"/>
      <c r="K107" s="1786"/>
      <c r="L107" s="1824"/>
      <c r="M107" s="1815"/>
      <c r="N107" s="1816"/>
      <c r="O107" s="1148" t="s">
        <v>7814</v>
      </c>
    </row>
    <row r="108" spans="1:15" s="1148" customFormat="1">
      <c r="A108" s="1778"/>
      <c r="B108" s="1779"/>
      <c r="C108" s="1780" t="s">
        <v>7815</v>
      </c>
      <c r="D108" s="1781" t="s">
        <v>7816</v>
      </c>
      <c r="F108" s="584" t="s">
        <v>7817</v>
      </c>
      <c r="G108" s="1812"/>
      <c r="H108" s="1786"/>
      <c r="I108" s="1786"/>
      <c r="J108" s="1787"/>
      <c r="K108" s="1786"/>
      <c r="L108" s="1824"/>
      <c r="M108" s="1815"/>
      <c r="N108" s="1816"/>
    </row>
    <row r="109" spans="1:15" s="1148" customFormat="1" ht="13.5" thickBot="1">
      <c r="A109" s="1796"/>
      <c r="B109" s="1797"/>
      <c r="C109" s="1798"/>
      <c r="D109" s="1799"/>
      <c r="E109" s="1804"/>
      <c r="F109" s="589"/>
      <c r="G109" s="1818"/>
      <c r="H109" s="1819"/>
      <c r="I109" s="1819"/>
      <c r="J109" s="1820"/>
      <c r="K109" s="1819"/>
      <c r="L109" s="1825"/>
      <c r="M109" s="1823"/>
      <c r="N109" s="1822"/>
    </row>
    <row r="110" spans="1:15" s="1148" customFormat="1">
      <c r="A110" s="4088">
        <v>36831</v>
      </c>
      <c r="B110" s="3989">
        <v>42552</v>
      </c>
      <c r="C110" s="3981" t="s">
        <v>3251</v>
      </c>
      <c r="D110" s="3982" t="s">
        <v>3252</v>
      </c>
      <c r="E110" s="3983" t="s">
        <v>3253</v>
      </c>
      <c r="F110" s="3984"/>
      <c r="G110" s="3985">
        <v>75</v>
      </c>
      <c r="H110" s="3986">
        <v>103.97</v>
      </c>
      <c r="I110" s="3986">
        <v>122.35</v>
      </c>
      <c r="J110" s="3987">
        <f>G110*I110/H110</f>
        <v>88.258632297778206</v>
      </c>
      <c r="K110" s="3986">
        <f>J110</f>
        <v>88.258632297778206</v>
      </c>
      <c r="L110" s="3994">
        <v>45061</v>
      </c>
      <c r="M110" s="4722" t="s">
        <v>718</v>
      </c>
      <c r="N110" s="4723">
        <v>2013</v>
      </c>
    </row>
    <row r="111" spans="1:15" s="1148" customFormat="1">
      <c r="A111" s="1778"/>
      <c r="B111" s="1779">
        <v>37895</v>
      </c>
      <c r="C111" s="1780" t="s">
        <v>3334</v>
      </c>
      <c r="D111" s="1781" t="s">
        <v>3256</v>
      </c>
      <c r="E111" s="1795" t="s">
        <v>3253</v>
      </c>
      <c r="F111" s="1805"/>
      <c r="G111" s="1812">
        <v>15</v>
      </c>
      <c r="H111" s="1813">
        <v>112.15</v>
      </c>
      <c r="I111" s="1813">
        <v>171.64</v>
      </c>
      <c r="J111" s="1814"/>
      <c r="K111" s="1813">
        <f>G111*I111/H111</f>
        <v>22.956754346856886</v>
      </c>
      <c r="L111" s="1824"/>
      <c r="M111" s="1815" t="s">
        <v>716</v>
      </c>
      <c r="N111" s="1816"/>
    </row>
    <row r="112" spans="1:15" s="1148" customFormat="1">
      <c r="A112" s="1788"/>
      <c r="B112" s="4695">
        <v>44256</v>
      </c>
      <c r="C112" s="1780" t="s">
        <v>7196</v>
      </c>
      <c r="D112" s="1781" t="s">
        <v>7197</v>
      </c>
      <c r="E112" s="1795"/>
      <c r="F112" s="1805"/>
      <c r="G112" s="1785">
        <v>120</v>
      </c>
      <c r="H112" s="1813"/>
      <c r="I112" s="1813"/>
      <c r="J112" s="1814"/>
      <c r="K112" s="1813"/>
      <c r="L112" s="1824"/>
      <c r="M112" s="1815"/>
      <c r="N112" s="1816"/>
    </row>
    <row r="113" spans="1:15" s="1148" customFormat="1">
      <c r="A113" s="1782"/>
      <c r="B113" s="1779">
        <v>39730</v>
      </c>
      <c r="C113" s="1780" t="s">
        <v>3335</v>
      </c>
      <c r="D113" s="1781" t="s">
        <v>3336</v>
      </c>
      <c r="E113" s="1795" t="s">
        <v>3279</v>
      </c>
      <c r="F113" s="584"/>
      <c r="G113" s="1812">
        <v>25</v>
      </c>
      <c r="H113" s="1813">
        <v>111.29</v>
      </c>
      <c r="I113" s="1813">
        <v>150.87</v>
      </c>
      <c r="J113" s="1814">
        <f>G113*I113/H113</f>
        <v>33.891185191841132</v>
      </c>
      <c r="K113" s="1813">
        <f>J113</f>
        <v>33.891185191841132</v>
      </c>
      <c r="L113" s="1824"/>
      <c r="M113" s="1815"/>
      <c r="N113" s="1816"/>
    </row>
    <row r="114" spans="1:15" s="1148" customFormat="1">
      <c r="A114" s="1778"/>
      <c r="B114" s="1779"/>
      <c r="C114" s="1780" t="s">
        <v>3302</v>
      </c>
      <c r="D114" s="1781" t="s">
        <v>3303</v>
      </c>
      <c r="E114" s="1795"/>
      <c r="F114" s="1805"/>
      <c r="G114" s="1812"/>
      <c r="H114" s="1813"/>
      <c r="I114" s="1813"/>
      <c r="J114" s="1814"/>
      <c r="K114" s="1813"/>
      <c r="L114" s="1824"/>
      <c r="M114" s="1815"/>
      <c r="N114" s="1816"/>
    </row>
    <row r="115" spans="1:15" s="1148" customFormat="1">
      <c r="A115" s="1782"/>
      <c r="B115" s="1779">
        <v>35156</v>
      </c>
      <c r="C115" s="1780" t="s">
        <v>3275</v>
      </c>
      <c r="D115" s="1781" t="s">
        <v>3276</v>
      </c>
      <c r="E115" s="1795" t="s">
        <v>3259</v>
      </c>
      <c r="F115" s="1805"/>
      <c r="G115" s="1785">
        <f>60000/40.3399</f>
        <v>1487.3611486394364</v>
      </c>
      <c r="H115" s="1786">
        <v>120.13</v>
      </c>
      <c r="I115" s="1786">
        <v>211.71</v>
      </c>
      <c r="J115" s="1787">
        <f>G115*I115/H115/12</f>
        <v>218.43643606818659</v>
      </c>
      <c r="K115" s="1786">
        <f>J115</f>
        <v>218.43643606818659</v>
      </c>
      <c r="L115" s="1824"/>
      <c r="M115" s="1815"/>
      <c r="N115" s="1816"/>
    </row>
    <row r="116" spans="1:15" s="1148" customFormat="1" ht="13.5" thickBot="1">
      <c r="A116" s="1803"/>
      <c r="B116" s="1797"/>
      <c r="C116" s="1798"/>
      <c r="D116" s="1799"/>
      <c r="E116" s="1804"/>
      <c r="F116" s="589"/>
      <c r="G116" s="1818"/>
      <c r="H116" s="1819"/>
      <c r="I116" s="1819"/>
      <c r="J116" s="1820"/>
      <c r="K116" s="1819"/>
      <c r="L116" s="1825"/>
      <c r="M116" s="1823"/>
      <c r="N116" s="1822"/>
    </row>
    <row r="117" spans="1:15" s="1148" customFormat="1">
      <c r="A117" s="4088">
        <v>36861</v>
      </c>
      <c r="B117" s="4711">
        <v>42552</v>
      </c>
      <c r="C117" s="4712" t="s">
        <v>3251</v>
      </c>
      <c r="D117" s="4713" t="s">
        <v>3252</v>
      </c>
      <c r="E117" s="4714" t="s">
        <v>3253</v>
      </c>
      <c r="F117" s="4715"/>
      <c r="G117" s="4716">
        <v>75</v>
      </c>
      <c r="H117" s="4717">
        <v>103.97</v>
      </c>
      <c r="I117" s="4717">
        <v>122.35</v>
      </c>
      <c r="J117" s="4718">
        <f>G117*I117/H117</f>
        <v>88.258632297778206</v>
      </c>
      <c r="K117" s="4717">
        <f>J117</f>
        <v>88.258632297778206</v>
      </c>
      <c r="L117" s="4719">
        <v>45061</v>
      </c>
      <c r="M117" s="4720" t="s">
        <v>718</v>
      </c>
      <c r="N117" s="4721">
        <v>2013</v>
      </c>
      <c r="O117" s="1148" t="s">
        <v>8436</v>
      </c>
    </row>
    <row r="118" spans="1:15" s="1148" customFormat="1">
      <c r="A118" s="1782"/>
      <c r="B118" s="1783"/>
      <c r="C118" s="1780" t="s">
        <v>3337</v>
      </c>
      <c r="D118" s="1781" t="s">
        <v>3338</v>
      </c>
      <c r="E118" s="1795" t="s">
        <v>3279</v>
      </c>
      <c r="F118" s="584"/>
      <c r="G118" s="1812">
        <v>606.45000000000005</v>
      </c>
      <c r="H118" s="1813">
        <v>117.24</v>
      </c>
      <c r="I118" s="1813">
        <v>211.91</v>
      </c>
      <c r="J118" s="1814">
        <f>G118*I118/H118</f>
        <v>1096.1516504605938</v>
      </c>
      <c r="K118" s="1813">
        <f>J118/40.3399</f>
        <v>27.172889631868046</v>
      </c>
      <c r="L118" s="1824"/>
      <c r="M118" s="1815" t="s">
        <v>715</v>
      </c>
      <c r="N118" s="1816">
        <v>1988</v>
      </c>
    </row>
    <row r="119" spans="1:15" s="1148" customFormat="1">
      <c r="A119" s="1788"/>
      <c r="B119" s="4695">
        <v>44256</v>
      </c>
      <c r="C119" s="1780" t="s">
        <v>7196</v>
      </c>
      <c r="D119" s="1781" t="s">
        <v>7197</v>
      </c>
      <c r="E119" s="1795"/>
      <c r="F119" s="1805"/>
      <c r="G119" s="1785">
        <v>120</v>
      </c>
      <c r="H119" s="1813"/>
      <c r="I119" s="1813"/>
      <c r="J119" s="1814"/>
      <c r="K119" s="1813">
        <v>120</v>
      </c>
      <c r="L119" s="1824"/>
      <c r="M119" s="1815"/>
      <c r="N119" s="1816"/>
    </row>
    <row r="120" spans="1:15" s="1148" customFormat="1">
      <c r="A120" s="1782"/>
      <c r="B120" s="1783"/>
      <c r="C120" s="1780" t="s">
        <v>3230</v>
      </c>
      <c r="D120" s="1781" t="s">
        <v>3339</v>
      </c>
      <c r="E120" s="1795" t="s">
        <v>3279</v>
      </c>
      <c r="F120" s="584"/>
      <c r="G120" s="1812">
        <v>1000</v>
      </c>
      <c r="H120" s="1813">
        <v>116.5</v>
      </c>
      <c r="I120" s="1813">
        <v>211.91</v>
      </c>
      <c r="J120" s="1814">
        <f>G120*I120/H120</f>
        <v>1818.9699570815451</v>
      </c>
      <c r="K120" s="1813">
        <f>J120/40.3399</f>
        <v>45.091087411757222</v>
      </c>
      <c r="L120" s="1824"/>
      <c r="M120" s="1815" t="s">
        <v>715</v>
      </c>
      <c r="N120" s="1816">
        <v>1988</v>
      </c>
    </row>
    <row r="121" spans="1:15" s="1148" customFormat="1">
      <c r="A121" s="1782"/>
      <c r="B121" s="1779">
        <v>43800</v>
      </c>
      <c r="C121" s="1780" t="s">
        <v>3340</v>
      </c>
      <c r="D121" s="1781" t="s">
        <v>3341</v>
      </c>
      <c r="E121" s="1795" t="s">
        <v>3279</v>
      </c>
      <c r="F121" s="584"/>
      <c r="G121" s="1812">
        <v>75</v>
      </c>
      <c r="H121" s="1813"/>
      <c r="I121" s="1813"/>
      <c r="J121" s="1814"/>
      <c r="K121" s="1813">
        <v>75</v>
      </c>
      <c r="L121" s="1824"/>
      <c r="M121" s="1815"/>
      <c r="N121" s="1816"/>
    </row>
    <row r="122" spans="1:15" s="1148" customFormat="1">
      <c r="A122" s="1782"/>
      <c r="B122" s="1779">
        <v>35156</v>
      </c>
      <c r="C122" s="1780" t="s">
        <v>3275</v>
      </c>
      <c r="D122" s="1781" t="s">
        <v>3276</v>
      </c>
      <c r="E122" s="1795" t="s">
        <v>3259</v>
      </c>
      <c r="F122" s="1805"/>
      <c r="G122" s="1785">
        <f>60000/40.3399</f>
        <v>1487.3611486394364</v>
      </c>
      <c r="H122" s="1786">
        <v>120.13</v>
      </c>
      <c r="I122" s="1786">
        <v>211.71</v>
      </c>
      <c r="J122" s="1787">
        <f>G122*I122/H122/12</f>
        <v>218.43643606818659</v>
      </c>
      <c r="K122" s="1786">
        <f>J122</f>
        <v>218.43643606818659</v>
      </c>
      <c r="L122" s="1824"/>
      <c r="M122" s="1815"/>
      <c r="N122" s="1816"/>
    </row>
    <row r="123" spans="1:15" s="1148" customFormat="1">
      <c r="A123" s="1782"/>
      <c r="B123" s="1779">
        <v>43782</v>
      </c>
      <c r="C123" s="1780" t="s">
        <v>3342</v>
      </c>
      <c r="D123" s="1781" t="s">
        <v>3343</v>
      </c>
      <c r="E123" s="1795" t="s">
        <v>3279</v>
      </c>
      <c r="F123" s="1805"/>
      <c r="G123" s="1785">
        <v>25</v>
      </c>
      <c r="H123" s="1786"/>
      <c r="I123" s="1786"/>
      <c r="J123" s="1787"/>
      <c r="K123" s="1786"/>
      <c r="L123" s="1824"/>
      <c r="M123" s="1815"/>
      <c r="N123" s="1816"/>
    </row>
    <row r="124" spans="1:15" s="1148" customFormat="1">
      <c r="A124" s="1782"/>
      <c r="B124" s="1779"/>
      <c r="C124" s="1780" t="s">
        <v>3344</v>
      </c>
      <c r="D124" s="1781" t="s">
        <v>3345</v>
      </c>
      <c r="E124" s="1795" t="s">
        <v>3346</v>
      </c>
      <c r="F124" s="1805"/>
      <c r="G124" s="1812"/>
      <c r="H124" s="1786"/>
      <c r="I124" s="1786"/>
      <c r="J124" s="1787"/>
      <c r="K124" s="1786">
        <v>9860.5</v>
      </c>
      <c r="L124" s="1824"/>
      <c r="M124" s="1815"/>
      <c r="N124" s="1816"/>
      <c r="O124" s="1148" t="s">
        <v>7822</v>
      </c>
    </row>
    <row r="125" spans="1:15" s="1148" customFormat="1" ht="13.5" thickBot="1">
      <c r="A125" s="1796"/>
      <c r="B125" s="1806"/>
      <c r="C125" s="1798"/>
      <c r="D125" s="1799"/>
      <c r="E125" s="1800"/>
      <c r="F125" s="1798"/>
      <c r="G125" s="1818"/>
      <c r="H125" s="1819"/>
      <c r="I125" s="1819"/>
      <c r="J125" s="1820"/>
      <c r="K125" s="1819"/>
      <c r="L125" s="1825"/>
      <c r="M125" s="1823"/>
      <c r="N125" s="1822"/>
    </row>
    <row r="126" spans="1:15" s="1148" customFormat="1">
      <c r="A126" s="1778">
        <v>36526</v>
      </c>
      <c r="B126" s="1783"/>
      <c r="C126" s="1780" t="s">
        <v>3347</v>
      </c>
      <c r="D126" s="1781" t="s">
        <v>3348</v>
      </c>
      <c r="E126" s="1795" t="s">
        <v>3279</v>
      </c>
      <c r="F126" s="584"/>
      <c r="G126" s="4697">
        <f>1419.8/40.33</f>
        <v>35.204562360525664</v>
      </c>
      <c r="H126" s="4692">
        <v>117.24</v>
      </c>
      <c r="I126" s="4692">
        <v>211.12</v>
      </c>
      <c r="J126" s="4693">
        <f>G126*I126/H126</f>
        <v>63.394636690158464</v>
      </c>
      <c r="K126" s="4692">
        <f>J126</f>
        <v>63.394636690158464</v>
      </c>
      <c r="L126" s="4694"/>
      <c r="M126" s="1828" t="s">
        <v>714</v>
      </c>
      <c r="N126" s="1816">
        <v>1988</v>
      </c>
    </row>
    <row r="127" spans="1:15" s="1148" customFormat="1">
      <c r="A127" s="1782"/>
      <c r="B127" s="1783"/>
      <c r="C127" s="1780" t="s">
        <v>3349</v>
      </c>
      <c r="D127" s="1781" t="s">
        <v>3350</v>
      </c>
      <c r="E127" s="1795" t="s">
        <v>3279</v>
      </c>
      <c r="F127" s="584"/>
      <c r="G127" s="1812">
        <f>500/40.33</f>
        <v>12.397718819737168</v>
      </c>
      <c r="H127" s="1813">
        <v>122.68</v>
      </c>
      <c r="I127" s="1813">
        <v>211.86</v>
      </c>
      <c r="J127" s="1814">
        <f>G127*I127/H127</f>
        <v>21.410015562027361</v>
      </c>
      <c r="K127" s="1813">
        <f>J127</f>
        <v>21.410015562027361</v>
      </c>
      <c r="L127" s="1824"/>
      <c r="M127" s="1828" t="s">
        <v>713</v>
      </c>
      <c r="N127" s="1816">
        <v>1988</v>
      </c>
    </row>
    <row r="128" spans="1:15" s="1148" customFormat="1">
      <c r="A128" s="1782"/>
      <c r="B128" s="1783"/>
      <c r="C128" s="1780" t="s">
        <v>3351</v>
      </c>
      <c r="D128" s="1781" t="s">
        <v>3352</v>
      </c>
      <c r="E128" s="1795" t="s">
        <v>3353</v>
      </c>
      <c r="F128" s="584"/>
      <c r="G128" s="1829"/>
      <c r="H128" s="1813"/>
      <c r="I128" s="1813"/>
      <c r="J128" s="1814"/>
      <c r="K128" s="1813"/>
      <c r="L128" s="1824"/>
      <c r="M128" s="1830"/>
      <c r="N128" s="1816"/>
    </row>
    <row r="129" spans="1:20" s="1148" customFormat="1">
      <c r="A129" s="1778"/>
      <c r="B129" s="1779"/>
      <c r="C129" s="1780" t="s">
        <v>3302</v>
      </c>
      <c r="D129" s="1781" t="s">
        <v>3309</v>
      </c>
      <c r="E129" s="1795"/>
      <c r="F129" s="584"/>
      <c r="G129" s="1812"/>
      <c r="H129" s="1786"/>
      <c r="I129" s="1786"/>
      <c r="J129" s="1787"/>
      <c r="K129" s="1786"/>
      <c r="L129" s="1824"/>
      <c r="M129" s="1828"/>
      <c r="N129" s="1816"/>
      <c r="T129" s="1148" t="s">
        <v>235</v>
      </c>
    </row>
    <row r="130" spans="1:20" s="1148" customFormat="1">
      <c r="A130" s="1778"/>
      <c r="B130" s="1779"/>
      <c r="C130" s="1780" t="s">
        <v>3302</v>
      </c>
      <c r="D130" s="1781" t="s">
        <v>3303</v>
      </c>
      <c r="E130" s="1795"/>
      <c r="F130" s="1805"/>
      <c r="G130" s="1812"/>
      <c r="H130" s="1813"/>
      <c r="I130" s="1813"/>
      <c r="J130" s="1814"/>
      <c r="K130" s="1813"/>
      <c r="L130" s="1824"/>
      <c r="M130" s="1815"/>
      <c r="N130" s="1816"/>
    </row>
    <row r="131" spans="1:20" s="1148" customFormat="1">
      <c r="A131" s="1782"/>
      <c r="B131" s="1783"/>
      <c r="C131" s="1780" t="s">
        <v>3354</v>
      </c>
      <c r="D131" s="1781" t="s">
        <v>3355</v>
      </c>
      <c r="E131" s="1795"/>
      <c r="F131" s="584"/>
      <c r="G131" s="1829"/>
      <c r="H131" s="1813"/>
      <c r="I131" s="1813"/>
      <c r="J131" s="1814"/>
      <c r="K131" s="1813"/>
      <c r="L131" s="1824"/>
      <c r="M131" s="1830"/>
      <c r="N131" s="1816"/>
    </row>
    <row r="132" spans="1:20" s="1148" customFormat="1" hidden="1">
      <c r="A132" s="1782"/>
      <c r="B132" s="1783"/>
      <c r="C132" s="1789" t="s">
        <v>3356</v>
      </c>
      <c r="D132" s="1790" t="s">
        <v>3357</v>
      </c>
      <c r="E132" s="1791" t="s">
        <v>3358</v>
      </c>
      <c r="F132" s="1808"/>
      <c r="G132" s="1826"/>
      <c r="H132" s="1793"/>
      <c r="I132" s="1793"/>
      <c r="J132" s="1794"/>
      <c r="K132" s="1793"/>
      <c r="L132" s="1827"/>
      <c r="M132" s="1834"/>
      <c r="N132" s="1816"/>
    </row>
    <row r="133" spans="1:20" s="1148" customFormat="1">
      <c r="A133" s="1778"/>
      <c r="B133" s="1779">
        <v>44927</v>
      </c>
      <c r="C133" s="1780" t="s">
        <v>7812</v>
      </c>
      <c r="D133" s="1781" t="s">
        <v>7813</v>
      </c>
      <c r="F133" s="1795" t="s">
        <v>7506</v>
      </c>
      <c r="G133" s="1812"/>
      <c r="H133" s="1786"/>
      <c r="I133" s="1786"/>
      <c r="J133" s="1787"/>
      <c r="K133" s="1786"/>
      <c r="L133" s="1824"/>
      <c r="M133" s="1815"/>
      <c r="N133" s="1816"/>
      <c r="O133" s="1148" t="s">
        <v>7814</v>
      </c>
    </row>
    <row r="134" spans="1:20" s="1148" customFormat="1">
      <c r="A134" s="1778"/>
      <c r="B134" s="1779"/>
      <c r="C134" s="1780" t="s">
        <v>7815</v>
      </c>
      <c r="D134" s="1781" t="s">
        <v>7816</v>
      </c>
      <c r="F134" s="584" t="s">
        <v>7817</v>
      </c>
      <c r="G134" s="1812"/>
      <c r="H134" s="1786"/>
      <c r="I134" s="1786"/>
      <c r="J134" s="1787"/>
      <c r="K134" s="1786"/>
      <c r="L134" s="1824"/>
      <c r="M134" s="1815"/>
      <c r="N134" s="1816"/>
    </row>
    <row r="135" spans="1:20" s="1148" customFormat="1">
      <c r="A135" s="1778"/>
      <c r="B135" s="1779"/>
      <c r="C135" s="1780"/>
      <c r="D135" s="1781"/>
      <c r="F135" s="584"/>
      <c r="G135" s="1812"/>
      <c r="H135" s="1786"/>
      <c r="I135" s="1786"/>
      <c r="J135" s="1787"/>
      <c r="K135" s="1786"/>
      <c r="L135" s="1824"/>
      <c r="M135" s="1828"/>
      <c r="N135" s="1816"/>
    </row>
    <row r="136" spans="1:20" s="1148" customFormat="1">
      <c r="A136" s="1782"/>
      <c r="B136" s="1783"/>
      <c r="C136" s="1780" t="s">
        <v>3262</v>
      </c>
      <c r="D136" s="1781" t="s">
        <v>3263</v>
      </c>
      <c r="E136" s="1795" t="s">
        <v>3264</v>
      </c>
      <c r="F136" s="584"/>
      <c r="G136" s="1829"/>
      <c r="H136" s="1813"/>
      <c r="I136" s="1813"/>
      <c r="J136" s="1814"/>
      <c r="K136" s="1813">
        <v>138.78</v>
      </c>
      <c r="L136" s="1824"/>
      <c r="M136" s="1830"/>
      <c r="N136" s="1816"/>
      <c r="O136" s="1148" t="s">
        <v>7198</v>
      </c>
    </row>
    <row r="137" spans="1:20" s="1148" customFormat="1">
      <c r="A137" s="1782"/>
      <c r="B137" s="1783"/>
      <c r="C137" s="1780" t="s">
        <v>3265</v>
      </c>
      <c r="D137" s="1781" t="s">
        <v>2180</v>
      </c>
      <c r="E137" s="1795" t="s">
        <v>3264</v>
      </c>
      <c r="F137" s="584"/>
      <c r="G137" s="1829"/>
      <c r="H137" s="1813"/>
      <c r="I137" s="1813"/>
      <c r="J137" s="1814"/>
      <c r="K137" s="1813">
        <f>3578.17*75%+729.58</f>
        <v>3413.2075</v>
      </c>
      <c r="L137" s="1824"/>
      <c r="M137" s="1830"/>
      <c r="N137" s="1816"/>
    </row>
    <row r="138" spans="1:20" s="1148" customFormat="1">
      <c r="A138" s="1782"/>
      <c r="B138" s="1783"/>
      <c r="C138" s="1780" t="s">
        <v>3266</v>
      </c>
      <c r="D138" s="1781" t="s">
        <v>2180</v>
      </c>
      <c r="E138" s="1795" t="s">
        <v>3264</v>
      </c>
      <c r="F138" s="584"/>
      <c r="G138" s="1829"/>
      <c r="H138" s="1813"/>
      <c r="I138" s="1813"/>
      <c r="J138" s="1814"/>
      <c r="K138" s="1813">
        <v>413.34</v>
      </c>
      <c r="L138" s="1824"/>
      <c r="M138" s="1830"/>
      <c r="N138" s="1816"/>
    </row>
    <row r="139" spans="1:20" s="1148" customFormat="1">
      <c r="A139" s="1782"/>
      <c r="B139" s="1783"/>
      <c r="C139" s="1780" t="s">
        <v>3267</v>
      </c>
      <c r="D139" s="1781" t="s">
        <v>2180</v>
      </c>
      <c r="E139" s="1795" t="s">
        <v>3264</v>
      </c>
      <c r="F139" s="584"/>
      <c r="G139" s="1829"/>
      <c r="H139" s="1813"/>
      <c r="I139" s="1813"/>
      <c r="J139" s="1814"/>
      <c r="K139" s="4090">
        <v>255.95</v>
      </c>
      <c r="L139" s="1824"/>
      <c r="M139" s="1830"/>
      <c r="N139" s="1816"/>
    </row>
    <row r="140" spans="1:20" s="1148" customFormat="1">
      <c r="A140" s="1782"/>
      <c r="B140" s="1783"/>
      <c r="C140" s="1780" t="s">
        <v>7199</v>
      </c>
      <c r="D140" s="1781" t="s">
        <v>2180</v>
      </c>
      <c r="E140" s="1795" t="s">
        <v>7200</v>
      </c>
      <c r="F140" s="584"/>
      <c r="G140" s="1829"/>
      <c r="H140" s="1813"/>
      <c r="I140" s="1813"/>
      <c r="J140" s="1814"/>
      <c r="K140" s="4090">
        <v>10570.66</v>
      </c>
      <c r="L140" s="1824"/>
      <c r="M140" s="1830"/>
      <c r="N140" s="1816"/>
    </row>
    <row r="141" spans="1:20" s="1148" customFormat="1">
      <c r="A141" s="1782"/>
      <c r="B141" s="1783"/>
      <c r="C141" s="1780" t="s">
        <v>7203</v>
      </c>
      <c r="D141" s="1781" t="s">
        <v>2180</v>
      </c>
      <c r="E141" s="1795" t="s">
        <v>7200</v>
      </c>
      <c r="F141" s="584"/>
      <c r="G141" s="1829"/>
      <c r="H141" s="1813"/>
      <c r="I141" s="1813"/>
      <c r="J141" s="1814"/>
      <c r="K141" s="4090">
        <f>1576.12+1608.55+1642.07</f>
        <v>4826.74</v>
      </c>
      <c r="L141" s="1824"/>
      <c r="M141" s="1830"/>
      <c r="N141" s="1816"/>
    </row>
    <row r="142" spans="1:20" s="1148" customFormat="1">
      <c r="A142" s="1782"/>
      <c r="B142" s="1783"/>
      <c r="C142" s="1780" t="s">
        <v>5961</v>
      </c>
      <c r="D142" s="1781" t="s">
        <v>7201</v>
      </c>
      <c r="E142" s="1795" t="s">
        <v>7202</v>
      </c>
      <c r="F142" s="584"/>
      <c r="G142" s="1829"/>
      <c r="H142" s="1813"/>
      <c r="I142" s="1813"/>
      <c r="J142" s="1814"/>
      <c r="K142" s="4090">
        <f>583.7+551.38</f>
        <v>1135.08</v>
      </c>
      <c r="L142" s="1824"/>
      <c r="M142" s="1830"/>
      <c r="N142" s="1816"/>
    </row>
    <row r="143" spans="1:20" s="1148" customFormat="1">
      <c r="A143" s="1782"/>
      <c r="B143" s="1783"/>
      <c r="C143" s="1780" t="s">
        <v>3268</v>
      </c>
      <c r="D143" s="1781" t="s">
        <v>2180</v>
      </c>
      <c r="E143" s="1795" t="s">
        <v>3269</v>
      </c>
      <c r="F143" s="584"/>
      <c r="G143" s="1829"/>
      <c r="H143" s="1813"/>
      <c r="I143" s="1813"/>
      <c r="J143" s="1814"/>
      <c r="L143" s="1824"/>
      <c r="M143" s="1830"/>
      <c r="N143" s="1816"/>
    </row>
    <row r="144" spans="1:20" s="1148" customFormat="1">
      <c r="A144" s="1782"/>
      <c r="B144" s="1783"/>
      <c r="C144" s="1780" t="s">
        <v>3359</v>
      </c>
      <c r="D144" s="1781" t="s">
        <v>2180</v>
      </c>
      <c r="E144" s="1795" t="s">
        <v>3271</v>
      </c>
      <c r="F144" s="584"/>
      <c r="G144" s="1829"/>
      <c r="H144" s="1813"/>
      <c r="I144" s="1813"/>
      <c r="J144" s="1814"/>
      <c r="K144" s="1813">
        <f>943.27+963.18</f>
        <v>1906.4499999999998</v>
      </c>
      <c r="L144" s="1824"/>
      <c r="M144" s="1830"/>
      <c r="N144" s="1816"/>
    </row>
    <row r="145" spans="1:14" s="1148" customFormat="1">
      <c r="A145" s="1782"/>
      <c r="B145" s="1783"/>
      <c r="C145" s="1780" t="s">
        <v>3359</v>
      </c>
      <c r="D145" s="1781" t="s">
        <v>3360</v>
      </c>
      <c r="E145" s="1795" t="s">
        <v>3271</v>
      </c>
      <c r="F145" s="584"/>
      <c r="G145" s="1829"/>
      <c r="H145" s="1813"/>
      <c r="I145" s="1813"/>
      <c r="J145" s="1814"/>
      <c r="K145" s="1813"/>
      <c r="L145" s="1824"/>
      <c r="M145" s="1830"/>
      <c r="N145" s="1816"/>
    </row>
    <row r="146" spans="1:14" s="1148" customFormat="1">
      <c r="A146" s="1782"/>
      <c r="B146" s="1783"/>
      <c r="C146" s="1780" t="s">
        <v>3361</v>
      </c>
      <c r="D146" s="1781" t="s">
        <v>3362</v>
      </c>
      <c r="E146" s="1795" t="s">
        <v>3363</v>
      </c>
      <c r="F146" s="584"/>
      <c r="G146" s="1831" t="s">
        <v>3364</v>
      </c>
      <c r="H146" s="1813"/>
      <c r="I146" s="1813"/>
      <c r="J146" s="1814"/>
      <c r="K146" s="1832"/>
      <c r="L146" s="1835"/>
      <c r="M146" s="1830" t="s">
        <v>2742</v>
      </c>
      <c r="N146" s="1816"/>
    </row>
    <row r="147" spans="1:14" s="1148" customFormat="1">
      <c r="A147" s="1778"/>
      <c r="B147" s="1779"/>
      <c r="C147" s="1780" t="s">
        <v>3365</v>
      </c>
      <c r="D147" s="1781" t="s">
        <v>3366</v>
      </c>
      <c r="E147" s="1795" t="s">
        <v>3367</v>
      </c>
      <c r="F147" s="584"/>
      <c r="G147" s="1812"/>
      <c r="H147" s="1786"/>
      <c r="I147" s="1786"/>
      <c r="J147" s="1787"/>
      <c r="K147" s="1786"/>
      <c r="L147" s="1824"/>
      <c r="M147" s="1828"/>
      <c r="N147" s="1816"/>
    </row>
    <row r="148" spans="1:14" s="1148" customFormat="1">
      <c r="A148" s="1782"/>
      <c r="B148" s="1783"/>
      <c r="C148" s="1780" t="s">
        <v>2703</v>
      </c>
      <c r="D148" s="1781" t="s">
        <v>3368</v>
      </c>
      <c r="E148" s="1795" t="s">
        <v>3369</v>
      </c>
      <c r="F148" s="584"/>
      <c r="G148" s="1831"/>
      <c r="H148" s="1813"/>
      <c r="I148" s="1813"/>
      <c r="J148" s="1814"/>
      <c r="K148" s="1832"/>
      <c r="L148" s="1824"/>
      <c r="M148" s="1830"/>
      <c r="N148" s="1816"/>
    </row>
    <row r="149" spans="1:14" s="1148" customFormat="1">
      <c r="A149" s="1782"/>
      <c r="B149" s="1783"/>
      <c r="C149" s="1780" t="s">
        <v>3370</v>
      </c>
      <c r="D149" s="1781" t="s">
        <v>3371</v>
      </c>
      <c r="E149" s="1795"/>
      <c r="F149" s="584"/>
      <c r="G149" s="1831"/>
      <c r="H149" s="1813"/>
      <c r="I149" s="1813"/>
      <c r="J149" s="1814"/>
      <c r="K149" s="1832"/>
      <c r="L149" s="1824"/>
      <c r="M149" s="1830"/>
      <c r="N149" s="1816"/>
    </row>
    <row r="150" spans="1:14" s="1148" customFormat="1" ht="13.5" thickBot="1">
      <c r="A150" s="1796"/>
      <c r="B150" s="1806"/>
      <c r="C150" s="1798"/>
      <c r="D150" s="1799"/>
      <c r="E150" s="1804"/>
      <c r="F150" s="589"/>
      <c r="G150" s="1818"/>
      <c r="H150" s="1819"/>
      <c r="I150" s="1819"/>
      <c r="J150" s="1820"/>
      <c r="K150" s="1819"/>
      <c r="L150" s="1825"/>
      <c r="M150" s="1833"/>
      <c r="N150" s="1822"/>
    </row>
    <row r="151" spans="1:14" s="1148" customFormat="1">
      <c r="A151" s="1788"/>
      <c r="B151" s="1809"/>
      <c r="H151" s="1810"/>
      <c r="I151" s="1810"/>
      <c r="J151" s="1811"/>
      <c r="K151" s="1810"/>
      <c r="L151" s="1772"/>
      <c r="M151" s="1805"/>
      <c r="N151" s="1805"/>
    </row>
    <row r="152" spans="1:14" s="1148" customFormat="1">
      <c r="A152" s="1788"/>
      <c r="B152" s="1809"/>
      <c r="H152" s="1810"/>
      <c r="I152" s="1810"/>
      <c r="J152" s="1811"/>
      <c r="K152" s="1810"/>
      <c r="L152" s="1772"/>
      <c r="M152" s="1805"/>
      <c r="N152" s="1805"/>
    </row>
    <row r="153" spans="1:14" s="1148" customFormat="1">
      <c r="A153" s="1788"/>
      <c r="B153" s="1809"/>
      <c r="H153" s="1810"/>
      <c r="I153" s="1810"/>
      <c r="J153" s="1811"/>
      <c r="K153" s="1810"/>
      <c r="L153" s="1772"/>
      <c r="M153" s="1805"/>
      <c r="N153" s="1805"/>
    </row>
    <row r="154" spans="1:14" s="1148" customFormat="1">
      <c r="A154" s="1788"/>
      <c r="B154" s="1809"/>
      <c r="H154" s="1810"/>
      <c r="I154" s="1810"/>
      <c r="J154" s="1811"/>
      <c r="K154" s="1810"/>
      <c r="L154" s="1772"/>
      <c r="M154" s="1805"/>
      <c r="N154" s="1805"/>
    </row>
    <row r="155" spans="1:14" s="1148" customFormat="1">
      <c r="A155" s="1788"/>
      <c r="B155" s="1809"/>
      <c r="H155" s="1810"/>
      <c r="I155" s="1810"/>
      <c r="J155" s="1811"/>
      <c r="K155" s="1810"/>
      <c r="L155" s="1772"/>
      <c r="M155" s="1805"/>
      <c r="N155" s="1805"/>
    </row>
  </sheetData>
  <mergeCells count="3">
    <mergeCell ref="E3:F3"/>
    <mergeCell ref="C28:D28"/>
    <mergeCell ref="A1:F1"/>
  </mergeCells>
  <hyperlinks>
    <hyperlink ref="A1" location="GLOBAAL!A1" display="FACTURATIE ONTVANGSTEN" xr:uid="{00000000-0004-0000-4F00-000000000000}"/>
    <hyperlink ref="A1:F1" location="FINANCIËN!A1" display="FACTURATIE ONTVANGSTEN" xr:uid="{00000000-0004-0000-4F00-000001000000}"/>
  </hyperlinks>
  <pageMargins left="0.75" right="0.75" top="1" bottom="1" header="0.5" footer="0.5"/>
  <pageSetup paperSize="9" scale="48" fitToHeight="0" orientation="landscape" copies="2" r:id="rId1"/>
  <headerFooter alignWithMargins="0"/>
  <legacy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EBD531"/>
  </sheetPr>
  <dimension ref="A1:U29"/>
  <sheetViews>
    <sheetView zoomScale="90" zoomScaleNormal="90" workbookViewId="0">
      <selection sqref="A1:K1"/>
    </sheetView>
  </sheetViews>
  <sheetFormatPr defaultColWidth="9.140625" defaultRowHeight="12.75"/>
  <cols>
    <col min="1" max="1" width="9.140625" style="520"/>
    <col min="2" max="2" width="11.42578125" style="520" customWidth="1"/>
    <col min="3" max="3" width="11.85546875" style="520" customWidth="1"/>
    <col min="4" max="4" width="11.140625" style="520" customWidth="1"/>
    <col min="5" max="7" width="9.140625" style="520"/>
    <col min="8" max="8" width="12.85546875" style="520" customWidth="1"/>
    <col min="9" max="9" width="12.5703125" style="520" bestFit="1" customWidth="1"/>
    <col min="10" max="10" width="17.5703125" style="520" bestFit="1" customWidth="1"/>
    <col min="11" max="11" width="9.85546875" style="520" bestFit="1" customWidth="1"/>
    <col min="12" max="15" width="9.140625" style="520"/>
    <col min="16" max="16" width="10.5703125" style="520" customWidth="1"/>
    <col min="17" max="17" width="12.28515625" style="520" bestFit="1" customWidth="1"/>
    <col min="18" max="18" width="17.5703125" style="598" customWidth="1"/>
    <col min="19" max="19" width="9.7109375" style="520" customWidth="1"/>
    <col min="20" max="16384" width="9.140625" style="520"/>
  </cols>
  <sheetData>
    <row r="1" spans="1:21" ht="21" customHeight="1">
      <c r="A1" s="4829" t="s">
        <v>4694</v>
      </c>
      <c r="B1" s="4830"/>
      <c r="C1" s="4830"/>
      <c r="D1" s="4830"/>
      <c r="E1" s="4830"/>
      <c r="F1" s="4830"/>
      <c r="G1" s="4830"/>
      <c r="H1" s="4830"/>
      <c r="I1" s="4830"/>
      <c r="J1" s="4830"/>
      <c r="K1" s="4830"/>
      <c r="L1" s="610"/>
      <c r="M1" s="610"/>
      <c r="N1" s="610"/>
      <c r="O1" s="610"/>
      <c r="P1" s="610"/>
      <c r="Q1" s="610"/>
      <c r="R1" s="610"/>
      <c r="S1" s="610"/>
      <c r="T1" s="610"/>
    </row>
    <row r="2" spans="1:21" ht="22.5" customHeight="1">
      <c r="A2" s="1841" t="s">
        <v>4695</v>
      </c>
      <c r="B2" s="395"/>
      <c r="C2" s="395"/>
      <c r="D2" s="395"/>
      <c r="E2" s="395"/>
      <c r="F2" s="395"/>
      <c r="G2" s="395"/>
      <c r="H2" s="395"/>
      <c r="L2" s="610"/>
      <c r="M2" s="610"/>
      <c r="N2" s="610"/>
      <c r="O2" s="610"/>
      <c r="P2" s="610"/>
      <c r="Q2" s="610"/>
      <c r="R2" s="610"/>
      <c r="S2" s="610"/>
      <c r="T2" s="610"/>
    </row>
    <row r="3" spans="1:21" ht="12.75" customHeight="1">
      <c r="A3" s="1570"/>
      <c r="B3" s="395"/>
      <c r="C3" s="395"/>
      <c r="D3" s="395"/>
      <c r="E3" s="395"/>
      <c r="F3" s="395"/>
      <c r="G3" s="395"/>
      <c r="H3" s="395"/>
      <c r="L3" s="610"/>
      <c r="M3" s="610"/>
      <c r="N3" s="610"/>
      <c r="O3" s="610"/>
      <c r="P3" s="610"/>
      <c r="Q3" s="610"/>
      <c r="R3" s="610"/>
      <c r="S3" s="610"/>
      <c r="T3" s="610"/>
    </row>
    <row r="4" spans="1:21" ht="15" customHeight="1">
      <c r="A4" s="1841" t="s">
        <v>626</v>
      </c>
      <c r="B4" s="395"/>
      <c r="C4" s="395"/>
      <c r="D4" s="395"/>
      <c r="E4" s="395"/>
      <c r="F4" s="395"/>
      <c r="G4" s="1841" t="s">
        <v>625</v>
      </c>
      <c r="H4" s="395"/>
      <c r="J4" s="598"/>
      <c r="L4" s="610"/>
      <c r="M4" s="610"/>
      <c r="N4" s="610"/>
      <c r="O4" s="610"/>
      <c r="P4" s="610"/>
      <c r="Q4" s="610"/>
      <c r="R4" s="610"/>
      <c r="S4" s="610"/>
      <c r="T4" s="610"/>
    </row>
    <row r="5" spans="1:21" ht="13.5" thickBot="1">
      <c r="J5" s="598"/>
      <c r="L5" s="610"/>
      <c r="M5" s="610"/>
      <c r="N5" s="610"/>
      <c r="O5" s="610"/>
      <c r="P5" s="610"/>
      <c r="Q5" s="610"/>
      <c r="R5" s="610"/>
      <c r="S5" s="610"/>
      <c r="T5" s="610"/>
    </row>
    <row r="6" spans="1:21" s="610" customFormat="1" ht="18" customHeight="1" thickBot="1">
      <c r="A6" s="1842" t="s">
        <v>726</v>
      </c>
      <c r="B6" s="1843" t="s">
        <v>986</v>
      </c>
      <c r="C6" s="1844" t="s">
        <v>987</v>
      </c>
      <c r="D6" s="1844" t="s">
        <v>656</v>
      </c>
      <c r="E6" s="1845"/>
      <c r="F6" s="1845"/>
      <c r="G6" s="1846" t="s">
        <v>726</v>
      </c>
      <c r="H6" s="1696" t="s">
        <v>986</v>
      </c>
      <c r="I6" s="1847" t="s">
        <v>987</v>
      </c>
      <c r="J6" s="1847" t="s">
        <v>4696</v>
      </c>
      <c r="K6" s="1847" t="s">
        <v>656</v>
      </c>
    </row>
    <row r="7" spans="1:21" ht="15">
      <c r="A7" s="1848">
        <v>1995</v>
      </c>
      <c r="B7" s="1849">
        <v>9148423</v>
      </c>
      <c r="C7" s="1850">
        <v>10045462</v>
      </c>
      <c r="D7" s="1851">
        <f>C7-B7</f>
        <v>897039</v>
      </c>
      <c r="E7" s="821"/>
      <c r="F7" s="821"/>
      <c r="G7" s="1852">
        <v>2000</v>
      </c>
      <c r="H7" s="1853">
        <v>12173779</v>
      </c>
      <c r="I7" s="1854">
        <v>12331694</v>
      </c>
      <c r="J7" s="1855">
        <f t="shared" ref="J7:J13" si="0">I7</f>
        <v>12331694</v>
      </c>
      <c r="K7" s="1851">
        <f>J7-H7</f>
        <v>157915</v>
      </c>
      <c r="L7" s="610"/>
      <c r="M7" s="610"/>
      <c r="N7" s="610"/>
      <c r="O7" s="610"/>
      <c r="P7" s="610"/>
      <c r="Q7" s="610"/>
      <c r="R7" s="610"/>
      <c r="S7" s="610"/>
      <c r="T7" s="610"/>
    </row>
    <row r="8" spans="1:21" ht="15">
      <c r="A8" s="1637">
        <v>1996</v>
      </c>
      <c r="B8" s="1853">
        <v>9741153</v>
      </c>
      <c r="C8" s="1638">
        <v>10731387</v>
      </c>
      <c r="D8" s="1856">
        <f t="shared" ref="D8:D28" si="1">C8-B8</f>
        <v>990234</v>
      </c>
      <c r="E8" s="821"/>
      <c r="F8" s="821"/>
      <c r="G8" s="1852">
        <v>2001</v>
      </c>
      <c r="H8" s="1853">
        <v>12801749</v>
      </c>
      <c r="I8" s="1854">
        <v>12570248</v>
      </c>
      <c r="J8" s="1857">
        <f t="shared" si="0"/>
        <v>12570248</v>
      </c>
      <c r="K8" s="1856">
        <f t="shared" ref="K8:K24" si="2">J8-H8</f>
        <v>-231501</v>
      </c>
      <c r="L8" s="610"/>
      <c r="M8" s="610"/>
      <c r="N8" s="610"/>
      <c r="O8" s="610"/>
      <c r="P8" s="610"/>
      <c r="Q8" s="610"/>
      <c r="R8" s="610"/>
      <c r="S8" s="610"/>
      <c r="T8" s="610"/>
    </row>
    <row r="9" spans="1:21" ht="15">
      <c r="A9" s="1637">
        <v>1997</v>
      </c>
      <c r="B9" s="1853">
        <v>9955230</v>
      </c>
      <c r="C9" s="1638">
        <v>12320695</v>
      </c>
      <c r="D9" s="1856">
        <f t="shared" si="1"/>
        <v>2365465</v>
      </c>
      <c r="E9" s="821"/>
      <c r="F9" s="821"/>
      <c r="G9" s="1852">
        <v>2002</v>
      </c>
      <c r="H9" s="1853">
        <v>13120822</v>
      </c>
      <c r="I9" s="1854">
        <v>13453775</v>
      </c>
      <c r="J9" s="1857">
        <f t="shared" si="0"/>
        <v>13453775</v>
      </c>
      <c r="K9" s="1856">
        <f t="shared" si="2"/>
        <v>332953</v>
      </c>
      <c r="L9" s="610"/>
      <c r="M9" s="610"/>
      <c r="N9" s="610"/>
      <c r="O9" s="610"/>
      <c r="P9" s="610"/>
      <c r="Q9" s="610"/>
      <c r="R9" s="610"/>
      <c r="S9" s="610"/>
      <c r="T9" s="610"/>
    </row>
    <row r="10" spans="1:21" ht="15">
      <c r="A10" s="1637">
        <v>1998</v>
      </c>
      <c r="B10" s="1853">
        <v>10171145</v>
      </c>
      <c r="C10" s="1638">
        <v>11440145</v>
      </c>
      <c r="D10" s="1856">
        <f t="shared" si="1"/>
        <v>1269000</v>
      </c>
      <c r="E10" s="821"/>
      <c r="F10" s="821"/>
      <c r="G10" s="1852">
        <v>2003</v>
      </c>
      <c r="H10" s="1853">
        <v>13421015</v>
      </c>
      <c r="I10" s="1854">
        <v>15242334</v>
      </c>
      <c r="J10" s="1857">
        <f t="shared" si="0"/>
        <v>15242334</v>
      </c>
      <c r="K10" s="1856">
        <f t="shared" si="2"/>
        <v>1821319</v>
      </c>
      <c r="L10" s="610"/>
      <c r="M10" s="610"/>
      <c r="N10" s="610"/>
      <c r="O10" s="610"/>
      <c r="P10" s="610"/>
      <c r="Q10" s="610"/>
      <c r="R10" s="610"/>
      <c r="S10" s="610"/>
      <c r="T10" s="610"/>
    </row>
    <row r="11" spans="1:21" ht="15">
      <c r="A11" s="1637">
        <v>1999</v>
      </c>
      <c r="B11" s="1853">
        <v>10622525</v>
      </c>
      <c r="C11" s="1638">
        <v>11294718</v>
      </c>
      <c r="D11" s="1856">
        <f t="shared" si="1"/>
        <v>672193</v>
      </c>
      <c r="E11" s="821"/>
      <c r="F11" s="821"/>
      <c r="G11" s="1852">
        <v>2004</v>
      </c>
      <c r="H11" s="1853">
        <v>14284040</v>
      </c>
      <c r="I11" s="1854">
        <v>14515327</v>
      </c>
      <c r="J11" s="1857">
        <f t="shared" si="0"/>
        <v>14515327</v>
      </c>
      <c r="K11" s="1856">
        <f t="shared" si="2"/>
        <v>231287</v>
      </c>
      <c r="L11" s="610"/>
      <c r="M11" s="610"/>
      <c r="N11" s="610"/>
      <c r="O11" s="610"/>
      <c r="P11" s="610"/>
      <c r="Q11" s="610"/>
      <c r="R11" s="610"/>
      <c r="S11" s="610"/>
      <c r="T11" s="610"/>
    </row>
    <row r="12" spans="1:21" ht="15">
      <c r="A12" s="1637">
        <v>2000</v>
      </c>
      <c r="B12" s="1853">
        <v>11662198</v>
      </c>
      <c r="C12" s="1638">
        <v>12356321</v>
      </c>
      <c r="D12" s="1856">
        <f t="shared" si="1"/>
        <v>694123</v>
      </c>
      <c r="E12" s="821"/>
      <c r="F12" s="821"/>
      <c r="G12" s="1852">
        <v>2005</v>
      </c>
      <c r="H12" s="1853">
        <v>15185288</v>
      </c>
      <c r="I12" s="1854">
        <v>15789241</v>
      </c>
      <c r="J12" s="1857">
        <f t="shared" si="0"/>
        <v>15789241</v>
      </c>
      <c r="K12" s="1856">
        <f t="shared" si="2"/>
        <v>603953</v>
      </c>
      <c r="L12" s="610"/>
      <c r="M12" s="610"/>
      <c r="N12" s="610"/>
      <c r="O12" s="610"/>
      <c r="P12" s="610"/>
      <c r="Q12" s="610"/>
      <c r="R12" s="610"/>
      <c r="S12" s="610"/>
      <c r="T12" s="610"/>
    </row>
    <row r="13" spans="1:21" ht="15">
      <c r="A13" s="1637">
        <v>2001</v>
      </c>
      <c r="B13" s="1853">
        <v>12345757</v>
      </c>
      <c r="C13" s="1638">
        <v>12552302</v>
      </c>
      <c r="D13" s="1856">
        <f t="shared" si="1"/>
        <v>206545</v>
      </c>
      <c r="E13" s="821"/>
      <c r="F13" s="821"/>
      <c r="G13" s="1852">
        <v>2006</v>
      </c>
      <c r="H13" s="1853">
        <v>16120161</v>
      </c>
      <c r="I13" s="1854">
        <v>16369376</v>
      </c>
      <c r="J13" s="1857">
        <f t="shared" si="0"/>
        <v>16369376</v>
      </c>
      <c r="K13" s="1856">
        <f t="shared" si="2"/>
        <v>249215</v>
      </c>
      <c r="L13" s="610"/>
      <c r="M13" s="610"/>
      <c r="N13" s="610"/>
      <c r="O13" s="610"/>
      <c r="P13" s="610"/>
      <c r="Q13" s="610"/>
      <c r="R13" s="610"/>
      <c r="S13" s="610"/>
      <c r="T13" s="610"/>
    </row>
    <row r="14" spans="1:21" ht="15">
      <c r="A14" s="1637">
        <v>2002</v>
      </c>
      <c r="B14" s="1853">
        <v>12690816</v>
      </c>
      <c r="C14" s="1638">
        <v>13574149</v>
      </c>
      <c r="D14" s="1856">
        <f t="shared" si="1"/>
        <v>883333</v>
      </c>
      <c r="E14" s="821"/>
      <c r="F14" s="821"/>
      <c r="G14" s="1852">
        <v>2007</v>
      </c>
      <c r="H14" s="1853">
        <v>16837775</v>
      </c>
      <c r="I14" s="1854">
        <v>18034294</v>
      </c>
      <c r="J14" s="1857">
        <f>I14-880000</f>
        <v>17154294</v>
      </c>
      <c r="K14" s="1856">
        <f t="shared" si="2"/>
        <v>316519</v>
      </c>
      <c r="L14" s="610"/>
      <c r="M14" s="610"/>
      <c r="N14" s="610"/>
      <c r="O14" s="610"/>
      <c r="P14" s="610"/>
      <c r="Q14" s="610"/>
      <c r="R14" s="610"/>
      <c r="S14" s="610"/>
      <c r="T14" s="610"/>
      <c r="U14" s="812"/>
    </row>
    <row r="15" spans="1:21" ht="15">
      <c r="A15" s="1637">
        <v>2003</v>
      </c>
      <c r="B15" s="1853">
        <v>12847166</v>
      </c>
      <c r="C15" s="1638">
        <v>17064773</v>
      </c>
      <c r="D15" s="1856">
        <f t="shared" si="1"/>
        <v>4217607</v>
      </c>
      <c r="E15" s="821"/>
      <c r="F15" s="821"/>
      <c r="G15" s="1852">
        <v>2008</v>
      </c>
      <c r="H15" s="1853">
        <v>17769865</v>
      </c>
      <c r="I15" s="1854">
        <v>17920182</v>
      </c>
      <c r="J15" s="1857">
        <f>I15</f>
        <v>17920182</v>
      </c>
      <c r="K15" s="1856">
        <f t="shared" si="2"/>
        <v>150317</v>
      </c>
      <c r="L15" s="610"/>
      <c r="M15" s="610"/>
      <c r="N15" s="610"/>
      <c r="O15" s="610"/>
      <c r="P15" s="610"/>
      <c r="Q15" s="610"/>
      <c r="R15" s="610"/>
      <c r="S15" s="610"/>
      <c r="T15" s="610"/>
    </row>
    <row r="16" spans="1:21" ht="15">
      <c r="A16" s="1637">
        <v>2004</v>
      </c>
      <c r="B16" s="1853">
        <v>13634579</v>
      </c>
      <c r="C16" s="1638">
        <v>14443685</v>
      </c>
      <c r="D16" s="1856">
        <f t="shared" si="1"/>
        <v>809106</v>
      </c>
      <c r="E16" s="821"/>
      <c r="F16" s="821"/>
      <c r="G16" s="1852">
        <v>2009</v>
      </c>
      <c r="H16" s="1853">
        <v>18444921</v>
      </c>
      <c r="I16" s="1854">
        <v>18386126</v>
      </c>
      <c r="J16" s="1857">
        <f>I16</f>
        <v>18386126</v>
      </c>
      <c r="K16" s="1856">
        <f t="shared" si="2"/>
        <v>-58795</v>
      </c>
      <c r="L16" s="610"/>
      <c r="M16" s="610"/>
      <c r="N16" s="610"/>
      <c r="O16" s="610"/>
      <c r="P16" s="610"/>
      <c r="Q16" s="610"/>
      <c r="R16" s="610"/>
      <c r="S16" s="610"/>
      <c r="T16" s="610"/>
    </row>
    <row r="17" spans="1:21" ht="15">
      <c r="A17" s="1637">
        <v>2005</v>
      </c>
      <c r="B17" s="1853">
        <v>14301671</v>
      </c>
      <c r="C17" s="1638">
        <v>16976971</v>
      </c>
      <c r="D17" s="1856">
        <f t="shared" si="1"/>
        <v>2675300</v>
      </c>
      <c r="E17" s="821"/>
      <c r="F17" s="821"/>
      <c r="G17" s="1852">
        <v>2010</v>
      </c>
      <c r="H17" s="1853">
        <v>19461472</v>
      </c>
      <c r="I17" s="1854">
        <v>19318070</v>
      </c>
      <c r="J17" s="1857">
        <f>I17-400380</f>
        <v>18917690</v>
      </c>
      <c r="K17" s="1856">
        <f t="shared" si="2"/>
        <v>-543782</v>
      </c>
      <c r="L17" s="610"/>
      <c r="M17" s="610"/>
      <c r="N17" s="610"/>
      <c r="O17" s="610"/>
      <c r="P17" s="610"/>
      <c r="Q17" s="610"/>
      <c r="R17" s="610"/>
      <c r="S17" s="610"/>
      <c r="T17" s="610"/>
      <c r="U17" s="812"/>
    </row>
    <row r="18" spans="1:21" ht="15">
      <c r="A18" s="1637">
        <v>2006</v>
      </c>
      <c r="B18" s="1853">
        <v>15046904.25</v>
      </c>
      <c r="C18" s="1638">
        <v>18411784</v>
      </c>
      <c r="D18" s="1856">
        <f t="shared" si="1"/>
        <v>3364879.75</v>
      </c>
      <c r="E18" s="821"/>
      <c r="F18" s="821"/>
      <c r="G18" s="1852">
        <v>2011</v>
      </c>
      <c r="H18" s="1853">
        <v>19542760</v>
      </c>
      <c r="I18" s="1854">
        <v>18728210</v>
      </c>
      <c r="J18" s="1857">
        <f t="shared" ref="J18:J24" si="3">I18</f>
        <v>18728210</v>
      </c>
      <c r="K18" s="1856">
        <f t="shared" si="2"/>
        <v>-814550</v>
      </c>
      <c r="L18" s="610"/>
      <c r="M18" s="610"/>
      <c r="N18" s="610"/>
      <c r="O18" s="610"/>
      <c r="P18" s="610"/>
      <c r="Q18" s="610"/>
      <c r="R18" s="610"/>
      <c r="S18" s="610"/>
      <c r="T18" s="610"/>
    </row>
    <row r="19" spans="1:21" ht="15">
      <c r="A19" s="1637">
        <v>2007</v>
      </c>
      <c r="B19" s="1853">
        <v>15705551.24</v>
      </c>
      <c r="C19" s="1638">
        <v>18597662</v>
      </c>
      <c r="D19" s="1856">
        <f t="shared" si="1"/>
        <v>2892110.76</v>
      </c>
      <c r="E19" s="821"/>
      <c r="F19" s="821"/>
      <c r="G19" s="1852">
        <v>2012</v>
      </c>
      <c r="H19" s="1853">
        <v>19743232</v>
      </c>
      <c r="I19" s="1854">
        <v>19145492</v>
      </c>
      <c r="J19" s="1857">
        <f t="shared" si="3"/>
        <v>19145492</v>
      </c>
      <c r="K19" s="1856">
        <f t="shared" si="2"/>
        <v>-597740</v>
      </c>
      <c r="L19" s="610"/>
      <c r="M19" s="610"/>
      <c r="N19" s="610"/>
      <c r="O19" s="610"/>
      <c r="P19" s="610"/>
      <c r="Q19" s="610"/>
      <c r="R19" s="610"/>
      <c r="S19" s="610"/>
      <c r="T19" s="610"/>
    </row>
    <row r="20" spans="1:21" ht="15">
      <c r="A20" s="1637">
        <v>2008</v>
      </c>
      <c r="B20" s="1853">
        <v>16371008.419999998</v>
      </c>
      <c r="C20" s="1638">
        <v>17226697</v>
      </c>
      <c r="D20" s="1856">
        <f t="shared" si="1"/>
        <v>855688.58000000194</v>
      </c>
      <c r="E20" s="821"/>
      <c r="F20" s="821"/>
      <c r="G20" s="1852">
        <v>2013</v>
      </c>
      <c r="H20" s="1853">
        <v>20120733</v>
      </c>
      <c r="I20" s="1854">
        <v>20514410</v>
      </c>
      <c r="J20" s="1857">
        <f t="shared" si="3"/>
        <v>20514410</v>
      </c>
      <c r="K20" s="1856">
        <f t="shared" si="2"/>
        <v>393677</v>
      </c>
      <c r="L20" s="610"/>
      <c r="M20" s="610"/>
      <c r="N20" s="610"/>
      <c r="O20" s="610"/>
      <c r="P20" s="610"/>
      <c r="Q20" s="610"/>
      <c r="R20" s="610"/>
      <c r="S20" s="610"/>
      <c r="T20" s="610"/>
    </row>
    <row r="21" spans="1:21" ht="15">
      <c r="A21" s="1637">
        <v>2009</v>
      </c>
      <c r="B21" s="1853">
        <v>16953541.82</v>
      </c>
      <c r="C21" s="1638">
        <v>19426434.190000001</v>
      </c>
      <c r="D21" s="1856">
        <f t="shared" si="1"/>
        <v>2472892.370000001</v>
      </c>
      <c r="E21" s="821"/>
      <c r="F21" s="821"/>
      <c r="G21" s="1852">
        <v>2014</v>
      </c>
      <c r="H21" s="1638">
        <v>18493639</v>
      </c>
      <c r="I21" s="1854">
        <v>20970440</v>
      </c>
      <c r="J21" s="1858">
        <f t="shared" si="3"/>
        <v>20970440</v>
      </c>
      <c r="K21" s="1856">
        <f t="shared" si="2"/>
        <v>2476801</v>
      </c>
      <c r="L21" s="610"/>
      <c r="M21" s="610"/>
      <c r="N21" s="610"/>
      <c r="O21" s="610"/>
      <c r="P21" s="610"/>
      <c r="Q21" s="610"/>
      <c r="R21" s="610"/>
      <c r="S21" s="610"/>
      <c r="T21" s="610"/>
    </row>
    <row r="22" spans="1:21" ht="15">
      <c r="A22" s="1859">
        <v>2010</v>
      </c>
      <c r="B22" s="1853">
        <v>17120241.780000001</v>
      </c>
      <c r="C22" s="1860">
        <v>18699819.170000002</v>
      </c>
      <c r="D22" s="1861">
        <f t="shared" si="1"/>
        <v>1579577.3900000006</v>
      </c>
      <c r="E22" s="821"/>
      <c r="F22" s="821"/>
      <c r="G22" s="1852">
        <v>2015</v>
      </c>
      <c r="H22" s="1638">
        <v>17734082</v>
      </c>
      <c r="I22" s="1854">
        <v>21778783</v>
      </c>
      <c r="J22" s="1858">
        <f t="shared" si="3"/>
        <v>21778783</v>
      </c>
      <c r="K22" s="1856">
        <f t="shared" si="2"/>
        <v>4044701</v>
      </c>
      <c r="L22" s="610"/>
      <c r="M22" s="610"/>
      <c r="N22" s="610"/>
      <c r="O22" s="610"/>
      <c r="P22" s="610"/>
      <c r="Q22" s="610"/>
      <c r="R22" s="610"/>
      <c r="S22" s="610"/>
      <c r="T22" s="610"/>
    </row>
    <row r="23" spans="1:21" ht="15">
      <c r="A23" s="1859">
        <v>2011</v>
      </c>
      <c r="B23" s="1853">
        <v>18226420.539999999</v>
      </c>
      <c r="C23" s="1860">
        <v>19101176.940000001</v>
      </c>
      <c r="D23" s="1861">
        <f t="shared" si="1"/>
        <v>874756.40000000224</v>
      </c>
      <c r="E23" s="821"/>
      <c r="F23" s="821"/>
      <c r="G23" s="1637">
        <v>2016</v>
      </c>
      <c r="H23" s="1853">
        <v>17734082</v>
      </c>
      <c r="I23" s="1638">
        <v>21778783</v>
      </c>
      <c r="J23" s="1862">
        <f t="shared" si="3"/>
        <v>21778783</v>
      </c>
      <c r="K23" s="1856">
        <f t="shared" si="2"/>
        <v>4044701</v>
      </c>
      <c r="L23" s="610"/>
      <c r="M23" s="610"/>
      <c r="N23" s="610"/>
      <c r="O23" s="610"/>
      <c r="P23" s="610"/>
      <c r="Q23" s="610"/>
      <c r="R23" s="610"/>
      <c r="S23" s="610"/>
      <c r="T23" s="610"/>
    </row>
    <row r="24" spans="1:21" ht="15">
      <c r="A24" s="1859">
        <v>2012</v>
      </c>
      <c r="B24" s="1863">
        <v>18402857.510000002</v>
      </c>
      <c r="C24" s="1860">
        <v>19600668.199999999</v>
      </c>
      <c r="D24" s="1861">
        <f t="shared" si="1"/>
        <v>1197810.6899999976</v>
      </c>
      <c r="E24" s="821"/>
      <c r="F24" s="821"/>
      <c r="G24" s="1637">
        <v>2017</v>
      </c>
      <c r="H24" s="1853"/>
      <c r="I24" s="1638"/>
      <c r="J24" s="1862">
        <f t="shared" si="3"/>
        <v>0</v>
      </c>
      <c r="K24" s="1856">
        <f t="shared" si="2"/>
        <v>0</v>
      </c>
      <c r="L24" s="610"/>
      <c r="M24" s="610"/>
      <c r="N24" s="610"/>
      <c r="O24" s="610"/>
      <c r="P24" s="610"/>
      <c r="Q24" s="610"/>
      <c r="R24" s="610"/>
      <c r="S24" s="610"/>
      <c r="T24" s="610"/>
    </row>
    <row r="25" spans="1:21" ht="15.75" thickBot="1">
      <c r="A25" s="1859">
        <v>2013</v>
      </c>
      <c r="B25" s="1853">
        <v>18524063.41</v>
      </c>
      <c r="C25" s="1638">
        <v>21274047.760000002</v>
      </c>
      <c r="D25" s="1861">
        <f t="shared" si="1"/>
        <v>2749984.3500000015</v>
      </c>
      <c r="E25" s="821"/>
      <c r="F25" s="821"/>
      <c r="G25" s="1864"/>
      <c r="H25" s="1865"/>
      <c r="I25" s="1866"/>
      <c r="J25" s="1867"/>
      <c r="K25" s="1692"/>
      <c r="L25" s="610"/>
      <c r="M25" s="610"/>
      <c r="N25" s="610"/>
      <c r="O25" s="610"/>
      <c r="P25" s="610"/>
      <c r="Q25" s="610"/>
      <c r="R25" s="610"/>
      <c r="S25" s="610"/>
      <c r="T25" s="610"/>
    </row>
    <row r="26" spans="1:21" ht="15">
      <c r="A26" s="1868">
        <v>2014</v>
      </c>
      <c r="B26" s="1853">
        <v>17662321</v>
      </c>
      <c r="C26" s="1860">
        <v>20444327</v>
      </c>
      <c r="D26" s="1861">
        <f t="shared" si="1"/>
        <v>2782006</v>
      </c>
      <c r="E26" s="821"/>
      <c r="F26" s="821"/>
      <c r="G26" s="821"/>
      <c r="H26" s="821"/>
      <c r="I26" s="821"/>
      <c r="J26" s="821"/>
      <c r="K26" s="821"/>
      <c r="O26" s="525"/>
      <c r="P26" s="630"/>
      <c r="Q26" s="630"/>
      <c r="R26" s="521"/>
    </row>
    <row r="27" spans="1:21" ht="15">
      <c r="A27" s="1869">
        <v>2015</v>
      </c>
      <c r="B27" s="1853">
        <v>17111834</v>
      </c>
      <c r="C27" s="1854">
        <v>25760770.620000001</v>
      </c>
      <c r="D27" s="1861">
        <f t="shared" si="1"/>
        <v>8648936.620000001</v>
      </c>
      <c r="E27" s="821"/>
      <c r="F27" s="821"/>
      <c r="G27" s="821"/>
      <c r="H27" s="821"/>
      <c r="I27" s="821"/>
      <c r="J27" s="821"/>
      <c r="K27" s="821"/>
    </row>
    <row r="28" spans="1:21" ht="15">
      <c r="A28" s="1869">
        <v>2016</v>
      </c>
      <c r="B28" s="1870"/>
      <c r="C28" s="1669"/>
      <c r="D28" s="1861">
        <f t="shared" si="1"/>
        <v>0</v>
      </c>
      <c r="E28" s="821"/>
      <c r="F28" s="821"/>
      <c r="G28" s="821"/>
      <c r="H28" s="821"/>
      <c r="I28" s="821"/>
      <c r="J28" s="821"/>
      <c r="K28" s="821"/>
    </row>
    <row r="29" spans="1:21" ht="15.75" thickBot="1">
      <c r="A29" s="1871"/>
      <c r="B29" s="1872"/>
      <c r="C29" s="1692"/>
      <c r="D29" s="1871"/>
      <c r="E29" s="821"/>
      <c r="F29" s="821"/>
      <c r="G29" s="821"/>
      <c r="H29" s="821"/>
      <c r="I29" s="821"/>
      <c r="J29" s="821"/>
      <c r="K29" s="821"/>
    </row>
  </sheetData>
  <mergeCells count="1">
    <mergeCell ref="A1:K1"/>
  </mergeCells>
  <hyperlinks>
    <hyperlink ref="A1" location="GLOBAAL!A1" display="ONTVANGSTEN versus UITGAVEN" xr:uid="{00000000-0004-0000-5000-000000000000}"/>
    <hyperlink ref="A1:K1" location="FINANCIËN!A1" display="ONTVANGSTEN versus UITGAVEN" xr:uid="{00000000-0004-0000-5000-000001000000}"/>
  </hyperlinks>
  <pageMargins left="0.75" right="0.75" top="1" bottom="1" header="0.5" footer="0.5"/>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14999847407452621"/>
  </sheetPr>
  <dimension ref="A2:J24"/>
  <sheetViews>
    <sheetView workbookViewId="0"/>
  </sheetViews>
  <sheetFormatPr defaultColWidth="9.140625" defaultRowHeight="15"/>
  <cols>
    <col min="1" max="3" width="9.140625" style="4033"/>
    <col min="4" max="4" width="33.42578125" style="4033" customWidth="1"/>
    <col min="5" max="16384" width="9.140625" style="4033"/>
  </cols>
  <sheetData>
    <row r="2" spans="3:10" ht="36">
      <c r="C2" s="4756" t="s">
        <v>109</v>
      </c>
      <c r="D2" s="4756"/>
      <c r="E2" s="4756"/>
      <c r="F2" s="4036"/>
      <c r="G2" s="4036"/>
      <c r="H2" s="4036"/>
      <c r="I2" s="4036"/>
      <c r="J2" s="4036"/>
    </row>
    <row r="3" spans="3:10">
      <c r="D3" s="4747"/>
      <c r="E3" s="4747"/>
      <c r="F3" s="4747"/>
    </row>
    <row r="6" spans="3:10" ht="27" customHeight="1">
      <c r="D6" s="4045" t="s">
        <v>5649</v>
      </c>
    </row>
    <row r="7" spans="3:10" ht="15" customHeight="1">
      <c r="D7" s="4046" t="s">
        <v>5647</v>
      </c>
    </row>
    <row r="8" spans="3:10" ht="15" customHeight="1">
      <c r="D8" s="4047" t="s">
        <v>5648</v>
      </c>
    </row>
    <row r="9" spans="3:10" ht="15" customHeight="1">
      <c r="D9" s="4038"/>
    </row>
    <row r="10" spans="3:10" ht="27" customHeight="1">
      <c r="C10" s="4042"/>
      <c r="D10" s="7" t="s">
        <v>96</v>
      </c>
    </row>
    <row r="11" spans="3:10" ht="14.25" customHeight="1">
      <c r="C11" s="4042"/>
    </row>
    <row r="12" spans="3:10" ht="15" customHeight="1">
      <c r="C12" s="4042"/>
    </row>
    <row r="13" spans="3:10" ht="27" customHeight="1">
      <c r="D13" s="7" t="s">
        <v>97</v>
      </c>
    </row>
    <row r="14" spans="3:10" ht="15" customHeight="1">
      <c r="D14" s="4038"/>
    </row>
    <row r="15" spans="3:10" ht="15" customHeight="1">
      <c r="D15" s="4038"/>
    </row>
    <row r="16" spans="3:10" ht="27" customHeight="1">
      <c r="D16" s="7" t="s">
        <v>99</v>
      </c>
    </row>
    <row r="17" spans="1:4" ht="15" customHeight="1">
      <c r="D17" s="4038"/>
    </row>
    <row r="18" spans="1:4" ht="15" customHeight="1">
      <c r="D18" s="4038"/>
    </row>
    <row r="19" spans="1:4" ht="27" customHeight="1">
      <c r="D19" s="7" t="s">
        <v>98</v>
      </c>
    </row>
    <row r="22" spans="1:4" s="4039" customFormat="1" ht="18.75">
      <c r="A22" s="4043" t="s">
        <v>7146</v>
      </c>
      <c r="B22" s="4044"/>
    </row>
    <row r="23" spans="1:4" s="4039" customFormat="1" ht="9.75" customHeight="1">
      <c r="A23" s="4043"/>
      <c r="B23" s="4044"/>
    </row>
    <row r="24" spans="1:4" s="4039" customFormat="1" ht="18.75">
      <c r="A24" s="4040" t="s">
        <v>7144</v>
      </c>
      <c r="B24" s="4040"/>
    </row>
  </sheetData>
  <mergeCells count="2">
    <mergeCell ref="D3:F3"/>
    <mergeCell ref="C2:E2"/>
  </mergeCells>
  <hyperlinks>
    <hyperlink ref="A22:B22" location="BOORDTABELLEN!A1" display="Terug naar overzicht" xr:uid="{00000000-0004-0000-0600-000000000000}"/>
    <hyperlink ref="A24:B24" location="INDELING!A1" display="&gt; &gt; Terug naar indeling" xr:uid="{00000000-0004-0000-0600-000001000000}"/>
    <hyperlink ref="D16" location="'P-Soc zek bijdr'!A1" display="SOCIALE ZEKERHEIDSBIJDRAGE" xr:uid="{00000000-0004-0000-0600-000002000000}"/>
    <hyperlink ref="D19" location="'P-TM1 pers'!A1" display="TM1 PERSONEEL" xr:uid="{00000000-0004-0000-0600-000003000000}"/>
    <hyperlink ref="D10" location="'P-hospitalisatie'!A1" display="HOSPITALISATIEVERZEKERING" xr:uid="{00000000-0004-0000-0600-000004000000}"/>
    <hyperlink ref="D13" location="'P-Resp bijdrage'!A1" display="RESPONSABILISERINGSBIJDRAGE" xr:uid="{00000000-0004-0000-0600-000005000000}"/>
    <hyperlink ref="D7" location="'P-pers alg OCMW'!A1" display="PERSONEELSCIJFERS ALGEMEEN" xr:uid="{00000000-0004-0000-0600-000006000000}"/>
    <hyperlink ref="D8" location="'P-tewerkstelling'!A1" display="GEMIDDELDE TEWERKSTELLING" xr:uid="{00000000-0004-0000-0600-000007000000}"/>
    <hyperlink ref="C2:E2" location="BOORDTABELLEN!A1" display="BOORDTABELLEN PERSONEEL" xr:uid="{00000000-0004-0000-0600-000008000000}"/>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EBD531"/>
  </sheetPr>
  <dimension ref="A1:M96"/>
  <sheetViews>
    <sheetView zoomScaleNormal="100" workbookViewId="0">
      <pane ySplit="5" topLeftCell="A6" activePane="bottomLeft" state="frozen"/>
      <selection activeCell="E37" sqref="E37"/>
      <selection pane="bottomLeft" activeCell="J17" sqref="J17"/>
    </sheetView>
  </sheetViews>
  <sheetFormatPr defaultColWidth="9.140625" defaultRowHeight="12.75"/>
  <cols>
    <col min="1" max="1" width="16.28515625" style="523" customWidth="1"/>
    <col min="2" max="2" width="4.85546875" style="523" customWidth="1"/>
    <col min="3" max="3" width="5.5703125" style="523" customWidth="1"/>
    <col min="4" max="4" width="22.85546875" style="598" customWidth="1"/>
    <col min="5" max="5" width="22.140625" style="613" customWidth="1"/>
    <col min="6" max="6" width="17.140625" style="613" customWidth="1"/>
    <col min="7" max="7" width="15.42578125" style="613" customWidth="1"/>
    <col min="8" max="8" width="11.5703125" style="613" customWidth="1"/>
    <col min="9" max="9" width="16.5703125" style="613" customWidth="1"/>
    <col min="10" max="10" width="21.7109375" style="610" bestFit="1" customWidth="1"/>
    <col min="11" max="16384" width="9.140625" style="520"/>
  </cols>
  <sheetData>
    <row r="1" spans="1:13" ht="21">
      <c r="A1" s="4829" t="s">
        <v>2693</v>
      </c>
      <c r="B1" s="4830"/>
      <c r="C1" s="4830"/>
      <c r="D1" s="4830"/>
      <c r="E1" s="4830"/>
      <c r="F1" s="4830"/>
      <c r="G1" s="4830"/>
      <c r="H1" s="4831"/>
      <c r="I1" s="610"/>
      <c r="K1" s="610"/>
      <c r="L1" s="610"/>
      <c r="M1" s="610"/>
    </row>
    <row r="2" spans="1:13" s="635" customFormat="1" ht="15.75" customHeight="1">
      <c r="A2" s="1619" t="s">
        <v>2694</v>
      </c>
      <c r="B2" s="1620"/>
      <c r="C2" s="1620"/>
      <c r="D2" s="1621"/>
      <c r="E2" s="1621"/>
      <c r="F2" s="1621"/>
      <c r="G2" s="636"/>
      <c r="H2" s="636"/>
      <c r="I2" s="636"/>
      <c r="J2" s="636"/>
    </row>
    <row r="3" spans="1:13" ht="15" customHeight="1">
      <c r="A3" s="1619" t="s">
        <v>2695</v>
      </c>
      <c r="B3" s="1622"/>
      <c r="C3" s="1622"/>
      <c r="D3" s="1623"/>
      <c r="E3" s="1623"/>
      <c r="F3" s="1623"/>
    </row>
    <row r="4" spans="1:13" ht="13.5" thickBot="1"/>
    <row r="5" spans="1:13" s="610" customFormat="1" ht="21" customHeight="1" thickBot="1">
      <c r="A5" s="356"/>
      <c r="B5" s="358" t="s">
        <v>2696</v>
      </c>
      <c r="C5" s="358" t="s">
        <v>2697</v>
      </c>
      <c r="D5" s="358" t="s">
        <v>7133</v>
      </c>
      <c r="E5" s="358" t="s">
        <v>2698</v>
      </c>
      <c r="F5" s="358" t="s">
        <v>2699</v>
      </c>
      <c r="G5" s="358" t="s">
        <v>2700</v>
      </c>
      <c r="H5" s="358" t="s">
        <v>2701</v>
      </c>
      <c r="I5" s="357" t="s">
        <v>2702</v>
      </c>
    </row>
    <row r="6" spans="1:13" s="622" customFormat="1">
      <c r="A6" s="638" t="s">
        <v>2703</v>
      </c>
      <c r="B6" s="639" t="s">
        <v>2704</v>
      </c>
      <c r="C6" s="639" t="s">
        <v>2704</v>
      </c>
      <c r="D6" s="639" t="s">
        <v>2705</v>
      </c>
      <c r="E6" s="639" t="s">
        <v>2706</v>
      </c>
      <c r="F6" s="639" t="s">
        <v>2549</v>
      </c>
      <c r="G6" s="639" t="s">
        <v>2549</v>
      </c>
      <c r="H6" s="639" t="s">
        <v>2707</v>
      </c>
      <c r="I6" s="640" t="s">
        <v>2708</v>
      </c>
      <c r="J6" s="641"/>
    </row>
    <row r="7" spans="1:13" s="622" customFormat="1">
      <c r="A7" s="642"/>
      <c r="B7" s="643"/>
      <c r="C7" s="643"/>
      <c r="D7" s="643" t="s">
        <v>2709</v>
      </c>
      <c r="E7" s="643" t="s">
        <v>2710</v>
      </c>
      <c r="F7" s="643" t="s">
        <v>2549</v>
      </c>
      <c r="G7" s="643" t="s">
        <v>2711</v>
      </c>
      <c r="H7" s="643" t="s">
        <v>2707</v>
      </c>
      <c r="I7" s="644" t="s">
        <v>2712</v>
      </c>
      <c r="J7" s="641"/>
    </row>
    <row r="8" spans="1:13" s="622" customFormat="1">
      <c r="A8" s="642"/>
      <c r="B8" s="643"/>
      <c r="C8" s="643"/>
      <c r="D8" s="643" t="s">
        <v>2713</v>
      </c>
      <c r="E8" s="643" t="s">
        <v>2714</v>
      </c>
      <c r="F8" s="643" t="s">
        <v>2549</v>
      </c>
      <c r="G8" s="643" t="s">
        <v>2711</v>
      </c>
      <c r="H8" s="643" t="s">
        <v>2715</v>
      </c>
      <c r="I8" s="644" t="s">
        <v>2716</v>
      </c>
      <c r="J8" s="641"/>
    </row>
    <row r="9" spans="1:13" s="622" customFormat="1">
      <c r="A9" s="642"/>
      <c r="B9" s="643"/>
      <c r="C9" s="643"/>
      <c r="D9" s="643" t="s">
        <v>1322</v>
      </c>
      <c r="E9" s="643" t="s">
        <v>2710</v>
      </c>
      <c r="F9" s="643" t="s">
        <v>2717</v>
      </c>
      <c r="G9" s="645" t="s">
        <v>2718</v>
      </c>
      <c r="H9" s="646" t="s">
        <v>2719</v>
      </c>
      <c r="I9" s="647" t="s">
        <v>2720</v>
      </c>
      <c r="J9" s="641"/>
    </row>
    <row r="10" spans="1:13" s="622" customFormat="1">
      <c r="A10" s="642"/>
      <c r="B10" s="643"/>
      <c r="C10" s="643"/>
      <c r="D10" s="643" t="s">
        <v>2721</v>
      </c>
      <c r="E10" s="643" t="s">
        <v>2706</v>
      </c>
      <c r="F10" s="643" t="s">
        <v>2549</v>
      </c>
      <c r="G10" s="643" t="s">
        <v>2549</v>
      </c>
      <c r="H10" s="643" t="s">
        <v>2707</v>
      </c>
      <c r="I10" s="644" t="s">
        <v>2708</v>
      </c>
      <c r="J10" s="641"/>
    </row>
    <row r="11" spans="1:13">
      <c r="A11" s="648"/>
      <c r="B11" s="649"/>
      <c r="C11" s="649" t="s">
        <v>2722</v>
      </c>
      <c r="D11" s="649" t="s">
        <v>2723</v>
      </c>
      <c r="E11" s="645" t="s">
        <v>2724</v>
      </c>
      <c r="F11" s="649" t="s">
        <v>2725</v>
      </c>
      <c r="G11" s="649" t="s">
        <v>2726</v>
      </c>
      <c r="H11" s="649" t="s">
        <v>2727</v>
      </c>
      <c r="I11" s="650" t="s">
        <v>2728</v>
      </c>
    </row>
    <row r="12" spans="1:13">
      <c r="A12" s="648"/>
      <c r="B12" s="649" t="s">
        <v>2722</v>
      </c>
      <c r="C12" s="649" t="s">
        <v>2722</v>
      </c>
      <c r="D12" s="649" t="s">
        <v>2729</v>
      </c>
      <c r="E12" s="645" t="s">
        <v>2724</v>
      </c>
      <c r="F12" s="649" t="s">
        <v>2549</v>
      </c>
      <c r="G12" s="643" t="s">
        <v>2730</v>
      </c>
      <c r="H12" s="649" t="s">
        <v>2727</v>
      </c>
      <c r="I12" s="650" t="s">
        <v>2728</v>
      </c>
    </row>
    <row r="13" spans="1:13">
      <c r="A13" s="648"/>
      <c r="B13" s="649"/>
      <c r="C13" s="649"/>
      <c r="D13" s="649" t="s">
        <v>2731</v>
      </c>
      <c r="E13" s="643" t="s">
        <v>2724</v>
      </c>
      <c r="F13" s="649" t="s">
        <v>2732</v>
      </c>
      <c r="G13" s="643" t="s">
        <v>2730</v>
      </c>
      <c r="H13" s="649" t="s">
        <v>2733</v>
      </c>
      <c r="I13" s="650" t="s">
        <v>2734</v>
      </c>
    </row>
    <row r="14" spans="1:13">
      <c r="A14" s="648"/>
      <c r="B14" s="649"/>
      <c r="C14" s="649"/>
      <c r="D14" s="649" t="s">
        <v>2735</v>
      </c>
      <c r="E14" s="651" t="s">
        <v>2724</v>
      </c>
      <c r="F14" s="649" t="s">
        <v>2736</v>
      </c>
      <c r="G14" s="643" t="s">
        <v>2737</v>
      </c>
      <c r="H14" s="649" t="s">
        <v>2733</v>
      </c>
      <c r="I14" s="650" t="s">
        <v>2738</v>
      </c>
    </row>
    <row r="15" spans="1:13">
      <c r="A15" s="642"/>
      <c r="B15" s="643"/>
      <c r="C15" s="643"/>
      <c r="D15" s="643" t="s">
        <v>2739</v>
      </c>
      <c r="E15" s="645" t="s">
        <v>2724</v>
      </c>
      <c r="F15" s="652" t="s">
        <v>2740</v>
      </c>
      <c r="G15" s="643" t="s">
        <v>2741</v>
      </c>
      <c r="H15" s="643" t="s">
        <v>2742</v>
      </c>
      <c r="I15" s="644" t="s">
        <v>2708</v>
      </c>
    </row>
    <row r="16" spans="1:13">
      <c r="A16" s="648"/>
      <c r="B16" s="649"/>
      <c r="C16" s="649"/>
      <c r="D16" s="649" t="s">
        <v>2743</v>
      </c>
      <c r="E16" s="643" t="s">
        <v>2744</v>
      </c>
      <c r="F16" s="653" t="s">
        <v>2745</v>
      </c>
      <c r="G16" s="649" t="s">
        <v>2746</v>
      </c>
      <c r="H16" s="649" t="s">
        <v>2747</v>
      </c>
      <c r="I16" s="650" t="s">
        <v>2708</v>
      </c>
    </row>
    <row r="17" spans="1:10" s="622" customFormat="1" ht="13.5" thickBot="1">
      <c r="A17" s="654"/>
      <c r="B17" s="655"/>
      <c r="C17" s="655"/>
      <c r="D17" s="655" t="s">
        <v>2748</v>
      </c>
      <c r="E17" s="655" t="s">
        <v>2749</v>
      </c>
      <c r="F17" s="655" t="s">
        <v>2549</v>
      </c>
      <c r="G17" s="655" t="s">
        <v>2549</v>
      </c>
      <c r="H17" s="655" t="s">
        <v>2742</v>
      </c>
      <c r="I17" s="656" t="s">
        <v>2708</v>
      </c>
      <c r="J17" s="641"/>
    </row>
    <row r="18" spans="1:10" s="622" customFormat="1" ht="13.5" thickBot="1">
      <c r="A18" s="657" t="s">
        <v>2299</v>
      </c>
      <c r="B18" s="658" t="s">
        <v>2750</v>
      </c>
      <c r="C18" s="658" t="s">
        <v>2750</v>
      </c>
      <c r="D18" s="658"/>
      <c r="E18" s="658"/>
      <c r="F18" s="658"/>
      <c r="G18" s="658"/>
      <c r="H18" s="658"/>
      <c r="I18" s="659"/>
      <c r="J18" s="641"/>
    </row>
    <row r="19" spans="1:10" s="622" customFormat="1" ht="13.5" thickBot="1">
      <c r="A19" s="638" t="s">
        <v>989</v>
      </c>
      <c r="B19" s="639" t="s">
        <v>2750</v>
      </c>
      <c r="C19" s="639" t="s">
        <v>2750</v>
      </c>
      <c r="D19" s="639" t="s">
        <v>2751</v>
      </c>
      <c r="E19" s="639" t="s">
        <v>2752</v>
      </c>
      <c r="F19" s="639" t="s">
        <v>2753</v>
      </c>
      <c r="G19" s="639" t="s">
        <v>2754</v>
      </c>
      <c r="H19" s="639" t="s">
        <v>2727</v>
      </c>
      <c r="I19" s="660" t="s">
        <v>2755</v>
      </c>
      <c r="J19" s="661"/>
    </row>
    <row r="20" spans="1:10" s="622" customFormat="1" ht="13.5" thickBot="1">
      <c r="A20" s="657" t="s">
        <v>2756</v>
      </c>
      <c r="B20" s="658" t="s">
        <v>2750</v>
      </c>
      <c r="C20" s="658" t="s">
        <v>2750</v>
      </c>
      <c r="D20" s="658"/>
      <c r="E20" s="658"/>
      <c r="F20" s="658"/>
      <c r="G20" s="658"/>
      <c r="H20" s="658"/>
      <c r="I20" s="659"/>
      <c r="J20" s="641"/>
    </row>
    <row r="21" spans="1:10" s="622" customFormat="1">
      <c r="A21" s="638" t="s">
        <v>2757</v>
      </c>
      <c r="B21" s="639" t="s">
        <v>2704</v>
      </c>
      <c r="C21" s="639" t="s">
        <v>2704</v>
      </c>
      <c r="D21" s="639" t="s">
        <v>2758</v>
      </c>
      <c r="E21" s="639" t="s">
        <v>2744</v>
      </c>
      <c r="F21" s="639" t="s">
        <v>2549</v>
      </c>
      <c r="G21" s="639" t="s">
        <v>2726</v>
      </c>
      <c r="H21" s="639" t="s">
        <v>2733</v>
      </c>
      <c r="I21" s="640" t="s">
        <v>2716</v>
      </c>
      <c r="J21" s="641"/>
    </row>
    <row r="22" spans="1:10" s="622" customFormat="1">
      <c r="A22" s="642"/>
      <c r="B22" s="643"/>
      <c r="C22" s="643"/>
      <c r="D22" s="643" t="s">
        <v>572</v>
      </c>
      <c r="E22" s="643" t="s">
        <v>2744</v>
      </c>
      <c r="F22" s="643" t="s">
        <v>2759</v>
      </c>
      <c r="G22" s="643" t="s">
        <v>2726</v>
      </c>
      <c r="H22" s="643" t="s">
        <v>2733</v>
      </c>
      <c r="I22" s="644" t="s">
        <v>2716</v>
      </c>
      <c r="J22" s="641"/>
    </row>
    <row r="23" spans="1:10" s="622" customFormat="1">
      <c r="A23" s="642"/>
      <c r="B23" s="643"/>
      <c r="C23" s="643"/>
      <c r="D23" s="643" t="s">
        <v>2760</v>
      </c>
      <c r="E23" s="643" t="s">
        <v>2744</v>
      </c>
      <c r="F23" s="643" t="s">
        <v>2761</v>
      </c>
      <c r="G23" s="643" t="s">
        <v>2730</v>
      </c>
      <c r="H23" s="643" t="s">
        <v>2733</v>
      </c>
      <c r="I23" s="644" t="s">
        <v>2716</v>
      </c>
      <c r="J23" s="641"/>
    </row>
    <row r="24" spans="1:10" s="622" customFormat="1">
      <c r="A24" s="642"/>
      <c r="B24" s="643"/>
      <c r="C24" s="643"/>
      <c r="D24" s="643" t="s">
        <v>579</v>
      </c>
      <c r="E24" s="643" t="s">
        <v>2744</v>
      </c>
      <c r="F24" s="646" t="s">
        <v>2762</v>
      </c>
      <c r="G24" s="643" t="s">
        <v>2726</v>
      </c>
      <c r="H24" s="643" t="s">
        <v>2733</v>
      </c>
      <c r="I24" s="644" t="s">
        <v>2716</v>
      </c>
      <c r="J24" s="641"/>
    </row>
    <row r="25" spans="1:10" s="622" customFormat="1">
      <c r="A25" s="642"/>
      <c r="B25" s="643"/>
      <c r="C25" s="643"/>
      <c r="D25" s="643" t="s">
        <v>2763</v>
      </c>
      <c r="E25" s="643" t="s">
        <v>2744</v>
      </c>
      <c r="F25" s="643" t="s">
        <v>2764</v>
      </c>
      <c r="G25" s="643" t="s">
        <v>2726</v>
      </c>
      <c r="H25" s="643" t="s">
        <v>2733</v>
      </c>
      <c r="I25" s="644" t="s">
        <v>2716</v>
      </c>
      <c r="J25" s="641"/>
    </row>
    <row r="26" spans="1:10" s="622" customFormat="1">
      <c r="A26" s="642"/>
      <c r="B26" s="643"/>
      <c r="C26" s="643"/>
      <c r="D26" s="643" t="s">
        <v>2765</v>
      </c>
      <c r="E26" s="643" t="s">
        <v>2744</v>
      </c>
      <c r="F26" s="643" t="s">
        <v>2766</v>
      </c>
      <c r="G26" s="643" t="s">
        <v>2726</v>
      </c>
      <c r="H26" s="643" t="s">
        <v>2733</v>
      </c>
      <c r="I26" s="644" t="s">
        <v>2716</v>
      </c>
      <c r="J26" s="641"/>
    </row>
    <row r="27" spans="1:10" s="622" customFormat="1">
      <c r="A27" s="642"/>
      <c r="B27" s="643"/>
      <c r="C27" s="643"/>
      <c r="D27" s="643" t="s">
        <v>250</v>
      </c>
      <c r="E27" s="643" t="s">
        <v>2744</v>
      </c>
      <c r="F27" s="643" t="s">
        <v>2767</v>
      </c>
      <c r="G27" s="643" t="s">
        <v>2730</v>
      </c>
      <c r="H27" s="643" t="s">
        <v>2733</v>
      </c>
      <c r="I27" s="644" t="s">
        <v>2716</v>
      </c>
      <c r="J27" s="641"/>
    </row>
    <row r="28" spans="1:10" s="622" customFormat="1">
      <c r="A28" s="642"/>
      <c r="B28" s="643"/>
      <c r="C28" s="643"/>
      <c r="D28" s="643" t="s">
        <v>2768</v>
      </c>
      <c r="E28" s="643" t="s">
        <v>2769</v>
      </c>
      <c r="F28" s="643" t="s">
        <v>2770</v>
      </c>
      <c r="G28" s="643" t="s">
        <v>2730</v>
      </c>
      <c r="H28" s="643" t="s">
        <v>2733</v>
      </c>
      <c r="I28" s="644" t="s">
        <v>2716</v>
      </c>
      <c r="J28" s="641"/>
    </row>
    <row r="29" spans="1:10" s="622" customFormat="1">
      <c r="A29" s="642"/>
      <c r="B29" s="643"/>
      <c r="C29" s="643"/>
      <c r="D29" s="643" t="s">
        <v>2771</v>
      </c>
      <c r="E29" s="643" t="s">
        <v>2772</v>
      </c>
      <c r="F29" s="662" t="s">
        <v>2773</v>
      </c>
      <c r="G29" s="643" t="s">
        <v>2730</v>
      </c>
      <c r="H29" s="643" t="s">
        <v>2733</v>
      </c>
      <c r="I29" s="644" t="s">
        <v>2716</v>
      </c>
      <c r="J29" s="641"/>
    </row>
    <row r="30" spans="1:10" s="622" customFormat="1" ht="13.5" thickBot="1">
      <c r="A30" s="642"/>
      <c r="B30" s="643"/>
      <c r="C30" s="643"/>
      <c r="D30" s="643" t="s">
        <v>2774</v>
      </c>
      <c r="E30" s="643" t="s">
        <v>2775</v>
      </c>
      <c r="F30" s="643" t="s">
        <v>2776</v>
      </c>
      <c r="G30" s="643" t="s">
        <v>2730</v>
      </c>
      <c r="H30" s="643" t="s">
        <v>2733</v>
      </c>
      <c r="I30" s="644" t="s">
        <v>2716</v>
      </c>
      <c r="J30" s="641"/>
    </row>
    <row r="31" spans="1:10" s="622" customFormat="1">
      <c r="A31" s="638" t="s">
        <v>2777</v>
      </c>
      <c r="B31" s="639" t="s">
        <v>2704</v>
      </c>
      <c r="C31" s="639" t="s">
        <v>2704</v>
      </c>
      <c r="D31" s="639" t="s">
        <v>2778</v>
      </c>
      <c r="E31" s="639" t="s">
        <v>2775</v>
      </c>
      <c r="F31" s="639" t="s">
        <v>2779</v>
      </c>
      <c r="G31" s="639" t="s">
        <v>2780</v>
      </c>
      <c r="H31" s="639" t="s">
        <v>2727</v>
      </c>
      <c r="I31" s="640" t="s">
        <v>2708</v>
      </c>
      <c r="J31" s="641"/>
    </row>
    <row r="32" spans="1:10" s="622" customFormat="1">
      <c r="A32" s="642"/>
      <c r="B32" s="643"/>
      <c r="C32" s="643"/>
      <c r="D32" s="643" t="s">
        <v>2781</v>
      </c>
      <c r="E32" s="643" t="s">
        <v>2744</v>
      </c>
      <c r="F32" s="645" t="s">
        <v>2782</v>
      </c>
      <c r="G32" s="643" t="s">
        <v>2780</v>
      </c>
      <c r="H32" s="643" t="s">
        <v>2747</v>
      </c>
      <c r="I32" s="644" t="s">
        <v>2783</v>
      </c>
      <c r="J32" s="641"/>
    </row>
    <row r="33" spans="1:10" s="622" customFormat="1" ht="13.5" thickBot="1">
      <c r="A33" s="642"/>
      <c r="B33" s="643"/>
      <c r="C33" s="643"/>
      <c r="D33" s="643" t="s">
        <v>2784</v>
      </c>
      <c r="E33" s="643" t="s">
        <v>2744</v>
      </c>
      <c r="F33" s="643" t="s">
        <v>2785</v>
      </c>
      <c r="G33" s="643" t="s">
        <v>2786</v>
      </c>
      <c r="H33" s="643" t="s">
        <v>2747</v>
      </c>
      <c r="I33" s="644" t="s">
        <v>2783</v>
      </c>
      <c r="J33" s="663"/>
    </row>
    <row r="34" spans="1:10" s="622" customFormat="1">
      <c r="A34" s="638" t="s">
        <v>2787</v>
      </c>
      <c r="B34" s="639" t="s">
        <v>2704</v>
      </c>
      <c r="C34" s="639" t="s">
        <v>2704</v>
      </c>
      <c r="D34" s="639" t="s">
        <v>2788</v>
      </c>
      <c r="E34" s="639" t="s">
        <v>2789</v>
      </c>
      <c r="F34" s="664" t="s">
        <v>2549</v>
      </c>
      <c r="G34" s="639" t="s">
        <v>2790</v>
      </c>
      <c r="H34" s="639" t="s">
        <v>2733</v>
      </c>
      <c r="I34" s="640" t="s">
        <v>2783</v>
      </c>
      <c r="J34" s="641"/>
    </row>
    <row r="35" spans="1:10" s="622" customFormat="1">
      <c r="A35" s="642"/>
      <c r="B35" s="643"/>
      <c r="C35" s="643"/>
      <c r="D35" s="643" t="s">
        <v>2791</v>
      </c>
      <c r="E35" s="643" t="s">
        <v>2789</v>
      </c>
      <c r="F35" s="643" t="s">
        <v>2792</v>
      </c>
      <c r="G35" s="643" t="s">
        <v>2790</v>
      </c>
      <c r="H35" s="643" t="s">
        <v>2733</v>
      </c>
      <c r="I35" s="644" t="s">
        <v>2783</v>
      </c>
      <c r="J35" s="641"/>
    </row>
    <row r="36" spans="1:10" s="622" customFormat="1">
      <c r="A36" s="642"/>
      <c r="B36" s="643"/>
      <c r="C36" s="643"/>
      <c r="D36" s="643" t="s">
        <v>2793</v>
      </c>
      <c r="E36" s="643" t="s">
        <v>2794</v>
      </c>
      <c r="F36" s="643" t="s">
        <v>2795</v>
      </c>
      <c r="G36" s="643" t="s">
        <v>2726</v>
      </c>
      <c r="H36" s="643" t="s">
        <v>2733</v>
      </c>
      <c r="I36" s="644" t="s">
        <v>2783</v>
      </c>
      <c r="J36" s="641"/>
    </row>
    <row r="37" spans="1:10" s="622" customFormat="1">
      <c r="A37" s="642"/>
      <c r="B37" s="643"/>
      <c r="C37" s="643"/>
      <c r="D37" s="643" t="s">
        <v>2796</v>
      </c>
      <c r="E37" s="643" t="s">
        <v>2797</v>
      </c>
      <c r="F37" s="643" t="s">
        <v>2767</v>
      </c>
      <c r="G37" s="643" t="s">
        <v>2790</v>
      </c>
      <c r="H37" s="643" t="s">
        <v>2733</v>
      </c>
      <c r="I37" s="644" t="s">
        <v>2783</v>
      </c>
      <c r="J37" s="641"/>
    </row>
    <row r="38" spans="1:10" ht="13.5" thickBot="1">
      <c r="A38" s="654"/>
      <c r="B38" s="655"/>
      <c r="C38" s="655"/>
      <c r="D38" s="655" t="s">
        <v>2798</v>
      </c>
      <c r="E38" s="655" t="s">
        <v>2799</v>
      </c>
      <c r="F38" s="655" t="s">
        <v>2549</v>
      </c>
      <c r="G38" s="655" t="s">
        <v>2800</v>
      </c>
      <c r="H38" s="655" t="s">
        <v>2801</v>
      </c>
      <c r="I38" s="656" t="s">
        <v>2708</v>
      </c>
    </row>
    <row r="39" spans="1:10" s="622" customFormat="1">
      <c r="A39" s="642" t="s">
        <v>2802</v>
      </c>
      <c r="B39" s="643" t="s">
        <v>2704</v>
      </c>
      <c r="C39" s="643" t="s">
        <v>2704</v>
      </c>
      <c r="D39" s="643" t="s">
        <v>2803</v>
      </c>
      <c r="E39" s="643" t="s">
        <v>2804</v>
      </c>
      <c r="F39" s="643" t="s">
        <v>2805</v>
      </c>
      <c r="G39" s="643" t="s">
        <v>2806</v>
      </c>
      <c r="H39" s="643" t="s">
        <v>2733</v>
      </c>
      <c r="I39" s="644" t="s">
        <v>2807</v>
      </c>
      <c r="J39" s="641"/>
    </row>
    <row r="40" spans="1:10">
      <c r="A40" s="642"/>
      <c r="B40" s="643"/>
      <c r="C40" s="643"/>
      <c r="D40" s="643" t="s">
        <v>2808</v>
      </c>
      <c r="E40" s="643" t="s">
        <v>2804</v>
      </c>
      <c r="F40" s="645" t="s">
        <v>2809</v>
      </c>
      <c r="G40" s="645"/>
      <c r="H40" s="643" t="s">
        <v>2733</v>
      </c>
      <c r="I40" s="644" t="s">
        <v>2807</v>
      </c>
    </row>
    <row r="41" spans="1:10" s="622" customFormat="1">
      <c r="A41" s="642"/>
      <c r="B41" s="643"/>
      <c r="C41" s="643"/>
      <c r="D41" s="643" t="s">
        <v>2810</v>
      </c>
      <c r="E41" s="643" t="s">
        <v>2804</v>
      </c>
      <c r="F41" s="643" t="s">
        <v>2811</v>
      </c>
      <c r="G41" s="643" t="s">
        <v>2812</v>
      </c>
      <c r="H41" s="643" t="s">
        <v>2733</v>
      </c>
      <c r="I41" s="644" t="s">
        <v>2807</v>
      </c>
      <c r="J41" s="641"/>
    </row>
    <row r="42" spans="1:10" s="622" customFormat="1">
      <c r="A42" s="642"/>
      <c r="B42" s="643"/>
      <c r="C42" s="643"/>
      <c r="D42" s="643" t="s">
        <v>2813</v>
      </c>
      <c r="E42" s="643" t="s">
        <v>2814</v>
      </c>
      <c r="F42" s="643" t="s">
        <v>2815</v>
      </c>
      <c r="G42" s="643" t="s">
        <v>2726</v>
      </c>
      <c r="H42" s="643" t="s">
        <v>2733</v>
      </c>
      <c r="I42" s="644" t="s">
        <v>2807</v>
      </c>
      <c r="J42" s="641"/>
    </row>
    <row r="43" spans="1:10" s="622" customFormat="1">
      <c r="A43" s="642"/>
      <c r="B43" s="643"/>
      <c r="C43" s="643"/>
      <c r="D43" s="643" t="s">
        <v>2816</v>
      </c>
      <c r="E43" s="643" t="s">
        <v>2814</v>
      </c>
      <c r="F43" s="643" t="s">
        <v>2817</v>
      </c>
      <c r="G43" s="643" t="s">
        <v>2726</v>
      </c>
      <c r="H43" s="643" t="s">
        <v>2733</v>
      </c>
      <c r="I43" s="644" t="s">
        <v>2807</v>
      </c>
      <c r="J43" s="641"/>
    </row>
    <row r="44" spans="1:10" s="622" customFormat="1">
      <c r="A44" s="642"/>
      <c r="B44" s="643"/>
      <c r="C44" s="643"/>
      <c r="D44" s="643" t="s">
        <v>397</v>
      </c>
      <c r="E44" s="643" t="s">
        <v>2814</v>
      </c>
      <c r="F44" s="643" t="s">
        <v>2805</v>
      </c>
      <c r="G44" s="643" t="s">
        <v>2730</v>
      </c>
      <c r="H44" s="643" t="s">
        <v>2733</v>
      </c>
      <c r="I44" s="644" t="s">
        <v>2807</v>
      </c>
      <c r="J44" s="641"/>
    </row>
    <row r="45" spans="1:10" s="622" customFormat="1">
      <c r="A45" s="642"/>
      <c r="B45" s="643"/>
      <c r="C45" s="643"/>
      <c r="D45" s="643" t="s">
        <v>2818</v>
      </c>
      <c r="E45" s="643" t="s">
        <v>2819</v>
      </c>
      <c r="F45" s="643" t="s">
        <v>2820</v>
      </c>
      <c r="G45" s="643" t="s">
        <v>2726</v>
      </c>
      <c r="H45" s="643" t="s">
        <v>2747</v>
      </c>
      <c r="I45" s="644" t="s">
        <v>2708</v>
      </c>
      <c r="J45" s="641"/>
    </row>
    <row r="46" spans="1:10" s="622" customFormat="1">
      <c r="A46" s="642"/>
      <c r="B46" s="643"/>
      <c r="C46" s="643"/>
      <c r="D46" s="643" t="s">
        <v>2821</v>
      </c>
      <c r="E46" s="643" t="s">
        <v>2819</v>
      </c>
      <c r="F46" s="643" t="s">
        <v>2822</v>
      </c>
      <c r="G46" s="643" t="s">
        <v>2726</v>
      </c>
      <c r="H46" s="643" t="s">
        <v>2733</v>
      </c>
      <c r="I46" s="644" t="s">
        <v>2807</v>
      </c>
      <c r="J46" s="641"/>
    </row>
    <row r="47" spans="1:10" s="622" customFormat="1">
      <c r="A47" s="642"/>
      <c r="B47" s="643"/>
      <c r="C47" s="643"/>
      <c r="D47" s="643" t="s">
        <v>2823</v>
      </c>
      <c r="E47" s="643" t="s">
        <v>2819</v>
      </c>
      <c r="F47" s="643" t="s">
        <v>2824</v>
      </c>
      <c r="G47" s="643" t="s">
        <v>2726</v>
      </c>
      <c r="H47" s="643" t="s">
        <v>2747</v>
      </c>
      <c r="I47" s="644" t="s">
        <v>2708</v>
      </c>
      <c r="J47" s="641"/>
    </row>
    <row r="48" spans="1:10" s="622" customFormat="1">
      <c r="A48" s="642"/>
      <c r="B48" s="643"/>
      <c r="C48" s="643"/>
      <c r="D48" s="643" t="s">
        <v>2825</v>
      </c>
      <c r="E48" s="643" t="s">
        <v>2804</v>
      </c>
      <c r="F48" s="643" t="s">
        <v>2826</v>
      </c>
      <c r="G48" s="643" t="s">
        <v>2726</v>
      </c>
      <c r="H48" s="643" t="s">
        <v>2733</v>
      </c>
      <c r="I48" s="644" t="s">
        <v>2807</v>
      </c>
      <c r="J48" s="641"/>
    </row>
    <row r="49" spans="1:10" s="622" customFormat="1">
      <c r="A49" s="642"/>
      <c r="B49" s="643"/>
      <c r="C49" s="643"/>
      <c r="D49" s="643" t="s">
        <v>2827</v>
      </c>
      <c r="E49" s="643" t="s">
        <v>2828</v>
      </c>
      <c r="F49" s="643" t="s">
        <v>2829</v>
      </c>
      <c r="G49" s="643" t="s">
        <v>2830</v>
      </c>
      <c r="H49" s="643" t="s">
        <v>398</v>
      </c>
      <c r="I49" s="644" t="s">
        <v>2783</v>
      </c>
      <c r="J49" s="641"/>
    </row>
    <row r="50" spans="1:10" s="622" customFormat="1" ht="13.5" thickBot="1">
      <c r="A50" s="654"/>
      <c r="B50" s="655"/>
      <c r="C50" s="655"/>
      <c r="D50" s="655" t="s">
        <v>2831</v>
      </c>
      <c r="E50" s="655" t="s">
        <v>2832</v>
      </c>
      <c r="F50" s="655" t="s">
        <v>2833</v>
      </c>
      <c r="G50" s="655" t="s">
        <v>2726</v>
      </c>
      <c r="H50" s="655" t="s">
        <v>2733</v>
      </c>
      <c r="I50" s="656" t="s">
        <v>2783</v>
      </c>
      <c r="J50" s="641"/>
    </row>
    <row r="51" spans="1:10" s="622" customFormat="1" ht="12" customHeight="1" thickBot="1">
      <c r="A51" s="657" t="s">
        <v>1759</v>
      </c>
      <c r="B51" s="658" t="s">
        <v>2750</v>
      </c>
      <c r="C51" s="658" t="s">
        <v>2750</v>
      </c>
      <c r="D51" s="658" t="s">
        <v>2834</v>
      </c>
      <c r="E51" s="658" t="s">
        <v>2835</v>
      </c>
      <c r="F51" s="658" t="s">
        <v>2836</v>
      </c>
      <c r="G51" s="665" t="s">
        <v>2837</v>
      </c>
      <c r="H51" s="658" t="s">
        <v>2742</v>
      </c>
      <c r="I51" s="659" t="s">
        <v>2708</v>
      </c>
      <c r="J51" s="641"/>
    </row>
    <row r="52" spans="1:10" s="622" customFormat="1">
      <c r="A52" s="638" t="s">
        <v>1</v>
      </c>
      <c r="B52" s="666" t="s">
        <v>2704</v>
      </c>
      <c r="C52" s="639" t="s">
        <v>2750</v>
      </c>
      <c r="D52" s="639" t="s">
        <v>2838</v>
      </c>
      <c r="E52" s="639" t="s">
        <v>2839</v>
      </c>
      <c r="F52" s="639" t="s">
        <v>2840</v>
      </c>
      <c r="G52" s="639" t="s">
        <v>2741</v>
      </c>
      <c r="H52" s="639" t="s">
        <v>2841</v>
      </c>
      <c r="I52" s="640" t="s">
        <v>2842</v>
      </c>
      <c r="J52" s="641"/>
    </row>
    <row r="53" spans="1:10" s="622" customFormat="1">
      <c r="A53" s="642"/>
      <c r="B53" s="643"/>
      <c r="C53" s="643"/>
      <c r="D53" s="643" t="s">
        <v>2843</v>
      </c>
      <c r="E53" s="643" t="s">
        <v>2844</v>
      </c>
      <c r="F53" s="643" t="s">
        <v>2845</v>
      </c>
      <c r="G53" s="643" t="s">
        <v>2741</v>
      </c>
      <c r="H53" s="643" t="s">
        <v>2846</v>
      </c>
      <c r="I53" s="644" t="s">
        <v>2716</v>
      </c>
      <c r="J53" s="641"/>
    </row>
    <row r="54" spans="1:10" s="622" customFormat="1">
      <c r="A54" s="642"/>
      <c r="B54" s="643"/>
      <c r="C54" s="643"/>
      <c r="D54" s="643" t="s">
        <v>2847</v>
      </c>
      <c r="E54" s="643" t="s">
        <v>2848</v>
      </c>
      <c r="F54" s="643" t="s">
        <v>2849</v>
      </c>
      <c r="G54" s="643" t="s">
        <v>2724</v>
      </c>
      <c r="H54" s="643" t="s">
        <v>2715</v>
      </c>
      <c r="I54" s="644" t="s">
        <v>2716</v>
      </c>
      <c r="J54" s="641"/>
    </row>
    <row r="55" spans="1:10" s="622" customFormat="1" ht="13.5" thickBot="1">
      <c r="A55" s="654"/>
      <c r="B55" s="655"/>
      <c r="C55" s="655"/>
      <c r="D55" s="655" t="s">
        <v>2850</v>
      </c>
      <c r="E55" s="655" t="s">
        <v>2851</v>
      </c>
      <c r="F55" s="655" t="s">
        <v>2849</v>
      </c>
      <c r="G55" s="655" t="s">
        <v>2724</v>
      </c>
      <c r="H55" s="655" t="s">
        <v>2715</v>
      </c>
      <c r="I55" s="656" t="s">
        <v>2716</v>
      </c>
      <c r="J55" s="641"/>
    </row>
    <row r="56" spans="1:10" s="622" customFormat="1">
      <c r="A56" s="638" t="s">
        <v>2467</v>
      </c>
      <c r="B56" s="639" t="s">
        <v>2750</v>
      </c>
      <c r="C56" s="639" t="s">
        <v>2704</v>
      </c>
      <c r="D56" s="639" t="s">
        <v>2225</v>
      </c>
      <c r="E56" s="639" t="s">
        <v>2744</v>
      </c>
      <c r="F56" s="639" t="s">
        <v>2549</v>
      </c>
      <c r="G56" s="639" t="s">
        <v>2741</v>
      </c>
      <c r="H56" s="639" t="s">
        <v>2727</v>
      </c>
      <c r="I56" s="640" t="s">
        <v>2708</v>
      </c>
      <c r="J56" s="641"/>
    </row>
    <row r="57" spans="1:10" s="622" customFormat="1">
      <c r="A57" s="642"/>
      <c r="B57" s="643"/>
      <c r="C57" s="643"/>
      <c r="D57" s="643" t="s">
        <v>2852</v>
      </c>
      <c r="E57" s="643" t="s">
        <v>2853</v>
      </c>
      <c r="F57" s="643" t="s">
        <v>2854</v>
      </c>
      <c r="G57" s="643" t="s">
        <v>2730</v>
      </c>
      <c r="H57" s="643" t="s">
        <v>2742</v>
      </c>
      <c r="I57" s="644" t="s">
        <v>2783</v>
      </c>
      <c r="J57" s="641"/>
    </row>
    <row r="58" spans="1:10" s="622" customFormat="1">
      <c r="A58" s="642"/>
      <c r="B58" s="643"/>
      <c r="C58" s="643"/>
      <c r="D58" s="643" t="s">
        <v>2855</v>
      </c>
      <c r="E58" s="643" t="s">
        <v>2853</v>
      </c>
      <c r="F58" s="643" t="s">
        <v>2856</v>
      </c>
      <c r="G58" s="643" t="s">
        <v>2730</v>
      </c>
      <c r="H58" s="643" t="s">
        <v>2742</v>
      </c>
      <c r="I58" s="644" t="s">
        <v>2783</v>
      </c>
      <c r="J58" s="641"/>
    </row>
    <row r="59" spans="1:10" s="622" customFormat="1">
      <c r="A59" s="642"/>
      <c r="B59" s="643"/>
      <c r="C59" s="643"/>
      <c r="D59" s="643" t="s">
        <v>2857</v>
      </c>
      <c r="E59" s="643" t="s">
        <v>2853</v>
      </c>
      <c r="F59" s="643" t="s">
        <v>2858</v>
      </c>
      <c r="G59" s="643" t="s">
        <v>2730</v>
      </c>
      <c r="H59" s="643" t="s">
        <v>2742</v>
      </c>
      <c r="I59" s="644" t="s">
        <v>2783</v>
      </c>
      <c r="J59" s="641"/>
    </row>
    <row r="60" spans="1:10" s="622" customFormat="1">
      <c r="A60" s="642"/>
      <c r="B60" s="643"/>
      <c r="C60" s="643"/>
      <c r="D60" s="643" t="s">
        <v>2859</v>
      </c>
      <c r="E60" s="643" t="s">
        <v>2853</v>
      </c>
      <c r="F60" s="643" t="s">
        <v>2860</v>
      </c>
      <c r="G60" s="643" t="s">
        <v>2730</v>
      </c>
      <c r="H60" s="643" t="s">
        <v>2742</v>
      </c>
      <c r="I60" s="644" t="s">
        <v>2783</v>
      </c>
      <c r="J60" s="641"/>
    </row>
    <row r="61" spans="1:10" s="622" customFormat="1">
      <c r="A61" s="642"/>
      <c r="B61" s="643"/>
      <c r="C61" s="643"/>
      <c r="D61" s="643" t="s">
        <v>2861</v>
      </c>
      <c r="E61" s="643" t="s">
        <v>2862</v>
      </c>
      <c r="F61" s="643" t="s">
        <v>2863</v>
      </c>
      <c r="G61" s="643" t="s">
        <v>2730</v>
      </c>
      <c r="H61" s="643" t="s">
        <v>2864</v>
      </c>
      <c r="I61" s="644" t="s">
        <v>2783</v>
      </c>
      <c r="J61" s="641"/>
    </row>
    <row r="62" spans="1:10" s="622" customFormat="1" ht="13.5" thickBot="1">
      <c r="A62" s="642"/>
      <c r="B62" s="643"/>
      <c r="C62" s="643"/>
      <c r="D62" s="643" t="s">
        <v>2865</v>
      </c>
      <c r="E62" s="643" t="s">
        <v>2853</v>
      </c>
      <c r="F62" s="643" t="s">
        <v>2866</v>
      </c>
      <c r="G62" s="643" t="s">
        <v>2730</v>
      </c>
      <c r="H62" s="643" t="s">
        <v>2742</v>
      </c>
      <c r="I62" s="644" t="s">
        <v>2783</v>
      </c>
      <c r="J62" s="641"/>
    </row>
    <row r="63" spans="1:10" s="622" customFormat="1">
      <c r="A63" s="638" t="s">
        <v>2462</v>
      </c>
      <c r="B63" s="639" t="s">
        <v>2750</v>
      </c>
      <c r="C63" s="639" t="s">
        <v>2704</v>
      </c>
      <c r="D63" s="639" t="s">
        <v>2867</v>
      </c>
      <c r="E63" s="639" t="s">
        <v>2868</v>
      </c>
      <c r="F63" s="639" t="s">
        <v>2549</v>
      </c>
      <c r="G63" s="667" t="s">
        <v>2869</v>
      </c>
      <c r="H63" s="639" t="s">
        <v>2727</v>
      </c>
      <c r="I63" s="640" t="s">
        <v>2783</v>
      </c>
      <c r="J63" s="641"/>
    </row>
    <row r="64" spans="1:10" s="622" customFormat="1" ht="13.5" thickBot="1">
      <c r="A64" s="642"/>
      <c r="B64" s="643"/>
      <c r="C64" s="643"/>
      <c r="D64" s="643" t="s">
        <v>2870</v>
      </c>
      <c r="E64" s="643" t="s">
        <v>2868</v>
      </c>
      <c r="F64" s="643" t="s">
        <v>2871</v>
      </c>
      <c r="G64" s="646" t="s">
        <v>2872</v>
      </c>
      <c r="H64" s="643" t="s">
        <v>2727</v>
      </c>
      <c r="I64" s="644" t="s">
        <v>2783</v>
      </c>
      <c r="J64" s="641"/>
    </row>
    <row r="65" spans="1:11" s="622" customFormat="1">
      <c r="A65" s="638" t="s">
        <v>928</v>
      </c>
      <c r="B65" s="666" t="s">
        <v>2704</v>
      </c>
      <c r="C65" s="639" t="s">
        <v>2704</v>
      </c>
      <c r="D65" s="639" t="s">
        <v>1506</v>
      </c>
      <c r="E65" s="639" t="s">
        <v>2873</v>
      </c>
      <c r="F65" s="639" t="s">
        <v>2874</v>
      </c>
      <c r="G65" s="639" t="s">
        <v>2875</v>
      </c>
      <c r="H65" s="639" t="s">
        <v>2733</v>
      </c>
      <c r="I65" s="640" t="s">
        <v>2716</v>
      </c>
      <c r="J65" s="641"/>
    </row>
    <row r="66" spans="1:11" s="622" customFormat="1">
      <c r="A66" s="642"/>
      <c r="B66" s="643"/>
      <c r="C66" s="643"/>
      <c r="D66" s="643" t="s">
        <v>1504</v>
      </c>
      <c r="E66" s="643" t="s">
        <v>2873</v>
      </c>
      <c r="F66" s="643" t="s">
        <v>2876</v>
      </c>
      <c r="G66" s="643" t="s">
        <v>2875</v>
      </c>
      <c r="H66" s="643" t="s">
        <v>2727</v>
      </c>
      <c r="I66" s="644" t="s">
        <v>2716</v>
      </c>
      <c r="J66" s="641"/>
      <c r="K66" s="646"/>
    </row>
    <row r="67" spans="1:11" s="622" customFormat="1">
      <c r="A67" s="642"/>
      <c r="B67" s="643"/>
      <c r="C67" s="643"/>
      <c r="D67" s="643" t="s">
        <v>2877</v>
      </c>
      <c r="E67" s="643" t="s">
        <v>2873</v>
      </c>
      <c r="F67" s="643" t="s">
        <v>2878</v>
      </c>
      <c r="G67" s="643" t="s">
        <v>2879</v>
      </c>
      <c r="H67" s="643" t="s">
        <v>2733</v>
      </c>
      <c r="I67" s="644" t="s">
        <v>2716</v>
      </c>
      <c r="J67" s="641"/>
    </row>
    <row r="68" spans="1:11" s="622" customFormat="1">
      <c r="A68" s="642"/>
      <c r="B68" s="643"/>
      <c r="C68" s="643"/>
      <c r="D68" s="643" t="s">
        <v>2880</v>
      </c>
      <c r="E68" s="643" t="s">
        <v>2881</v>
      </c>
      <c r="F68" s="643" t="s">
        <v>2882</v>
      </c>
      <c r="G68" s="643" t="s">
        <v>861</v>
      </c>
      <c r="H68" s="643" t="s">
        <v>2733</v>
      </c>
      <c r="I68" s="644" t="s">
        <v>2716</v>
      </c>
      <c r="J68" s="641"/>
    </row>
    <row r="69" spans="1:11" s="622" customFormat="1">
      <c r="A69" s="642"/>
      <c r="B69" s="643"/>
      <c r="C69" s="643"/>
      <c r="D69" s="643" t="s">
        <v>2883</v>
      </c>
      <c r="E69" s="643" t="s">
        <v>2881</v>
      </c>
      <c r="F69" s="643" t="s">
        <v>2882</v>
      </c>
      <c r="G69" s="643" t="s">
        <v>861</v>
      </c>
      <c r="H69" s="643" t="s">
        <v>2707</v>
      </c>
      <c r="I69" s="644" t="s">
        <v>2716</v>
      </c>
      <c r="J69" s="641"/>
    </row>
    <row r="70" spans="1:11" s="622" customFormat="1">
      <c r="A70" s="642"/>
      <c r="B70" s="643"/>
      <c r="C70" s="643"/>
      <c r="D70" s="643" t="s">
        <v>2884</v>
      </c>
      <c r="E70" s="643" t="s">
        <v>2881</v>
      </c>
      <c r="F70" s="643" t="s">
        <v>2882</v>
      </c>
      <c r="G70" s="643" t="s">
        <v>861</v>
      </c>
      <c r="H70" s="643" t="s">
        <v>2742</v>
      </c>
      <c r="I70" s="644" t="s">
        <v>2716</v>
      </c>
      <c r="J70" s="641"/>
    </row>
    <row r="71" spans="1:11" s="622" customFormat="1">
      <c r="A71" s="642"/>
      <c r="B71" s="643"/>
      <c r="C71" s="643"/>
      <c r="D71" s="643" t="s">
        <v>2838</v>
      </c>
      <c r="E71" s="643" t="s">
        <v>2881</v>
      </c>
      <c r="F71" s="643" t="s">
        <v>2840</v>
      </c>
      <c r="G71" s="643" t="s">
        <v>2741</v>
      </c>
      <c r="H71" s="643" t="s">
        <v>2733</v>
      </c>
      <c r="I71" s="644" t="s">
        <v>2716</v>
      </c>
      <c r="J71" s="641"/>
    </row>
    <row r="72" spans="1:11" s="622" customFormat="1">
      <c r="A72" s="642"/>
      <c r="B72" s="643"/>
      <c r="C72" s="643"/>
      <c r="D72" s="643" t="s">
        <v>2885</v>
      </c>
      <c r="E72" s="643" t="s">
        <v>2744</v>
      </c>
      <c r="F72" s="643" t="s">
        <v>2886</v>
      </c>
      <c r="G72" s="643" t="s">
        <v>861</v>
      </c>
      <c r="H72" s="643" t="s">
        <v>2742</v>
      </c>
      <c r="I72" s="644" t="s">
        <v>2716</v>
      </c>
      <c r="J72" s="641"/>
    </row>
    <row r="73" spans="1:11" s="622" customFormat="1" ht="13.5" thickBot="1">
      <c r="A73" s="654"/>
      <c r="B73" s="655"/>
      <c r="C73" s="655"/>
      <c r="D73" s="655" t="s">
        <v>2887</v>
      </c>
      <c r="E73" s="655" t="s">
        <v>2744</v>
      </c>
      <c r="F73" s="655" t="s">
        <v>2882</v>
      </c>
      <c r="G73" s="655" t="s">
        <v>861</v>
      </c>
      <c r="H73" s="655" t="s">
        <v>2742</v>
      </c>
      <c r="I73" s="656" t="s">
        <v>2716</v>
      </c>
      <c r="J73" s="641"/>
    </row>
    <row r="74" spans="1:11" s="622" customFormat="1">
      <c r="A74" s="642" t="s">
        <v>2888</v>
      </c>
      <c r="B74" s="643" t="s">
        <v>2704</v>
      </c>
      <c r="C74" s="643" t="s">
        <v>2704</v>
      </c>
      <c r="D74" s="643" t="s">
        <v>2889</v>
      </c>
      <c r="E74" s="643" t="s">
        <v>2744</v>
      </c>
      <c r="F74" s="643" t="s">
        <v>2549</v>
      </c>
      <c r="G74" s="643" t="s">
        <v>2890</v>
      </c>
      <c r="H74" s="643" t="s">
        <v>2733</v>
      </c>
      <c r="I74" s="644" t="s">
        <v>2783</v>
      </c>
      <c r="J74" s="641"/>
    </row>
    <row r="75" spans="1:11" s="622" customFormat="1">
      <c r="A75" s="642"/>
      <c r="B75" s="643"/>
      <c r="C75" s="643"/>
      <c r="D75" s="643" t="s">
        <v>2891</v>
      </c>
      <c r="E75" s="643" t="s">
        <v>2892</v>
      </c>
      <c r="F75" s="643" t="s">
        <v>2549</v>
      </c>
      <c r="G75" s="643" t="s">
        <v>2730</v>
      </c>
      <c r="H75" s="643" t="s">
        <v>2733</v>
      </c>
      <c r="I75" s="644" t="s">
        <v>2716</v>
      </c>
      <c r="J75" s="641"/>
    </row>
    <row r="76" spans="1:11" s="622" customFormat="1" ht="13.5" thickBot="1">
      <c r="A76" s="654"/>
      <c r="B76" s="655"/>
      <c r="C76" s="655"/>
      <c r="D76" s="655" t="s">
        <v>2893</v>
      </c>
      <c r="E76" s="655" t="s">
        <v>2892</v>
      </c>
      <c r="F76" s="655" t="s">
        <v>2549</v>
      </c>
      <c r="G76" s="655" t="s">
        <v>2730</v>
      </c>
      <c r="H76" s="655" t="s">
        <v>2894</v>
      </c>
      <c r="I76" s="656" t="s">
        <v>2716</v>
      </c>
      <c r="J76" s="641"/>
    </row>
    <row r="77" spans="1:11" s="622" customFormat="1" ht="13.5" thickBot="1">
      <c r="A77" s="642" t="s">
        <v>2895</v>
      </c>
      <c r="B77" s="643" t="s">
        <v>2704</v>
      </c>
      <c r="C77" s="643" t="s">
        <v>2750</v>
      </c>
      <c r="D77" s="643" t="s">
        <v>2896</v>
      </c>
      <c r="E77" s="643" t="s">
        <v>2897</v>
      </c>
      <c r="F77" s="643" t="s">
        <v>2898</v>
      </c>
      <c r="G77" s="643" t="s">
        <v>2899</v>
      </c>
      <c r="H77" s="643" t="s">
        <v>2742</v>
      </c>
      <c r="I77" s="644" t="s">
        <v>2716</v>
      </c>
      <c r="J77" s="641"/>
    </row>
    <row r="78" spans="1:11" s="622" customFormat="1">
      <c r="A78" s="638" t="s">
        <v>1636</v>
      </c>
      <c r="B78" s="639" t="s">
        <v>2704</v>
      </c>
      <c r="C78" s="639" t="s">
        <v>2704</v>
      </c>
      <c r="D78" s="639" t="s">
        <v>2900</v>
      </c>
      <c r="E78" s="639" t="s">
        <v>2901</v>
      </c>
      <c r="F78" s="639" t="s">
        <v>2549</v>
      </c>
      <c r="G78" s="667" t="s">
        <v>2902</v>
      </c>
      <c r="H78" s="639" t="s">
        <v>2707</v>
      </c>
      <c r="I78" s="640" t="s">
        <v>2716</v>
      </c>
      <c r="J78" s="641"/>
    </row>
    <row r="79" spans="1:11" s="622" customFormat="1">
      <c r="A79" s="642"/>
      <c r="B79" s="643"/>
      <c r="C79" s="643"/>
      <c r="D79" s="643" t="s">
        <v>2903</v>
      </c>
      <c r="E79" s="643" t="s">
        <v>2904</v>
      </c>
      <c r="F79" s="643" t="s">
        <v>2905</v>
      </c>
      <c r="G79" s="646" t="s">
        <v>2902</v>
      </c>
      <c r="H79" s="643" t="s">
        <v>2707</v>
      </c>
      <c r="I79" s="644" t="s">
        <v>2716</v>
      </c>
      <c r="J79" s="641"/>
    </row>
    <row r="80" spans="1:11" s="622" customFormat="1">
      <c r="A80" s="642"/>
      <c r="B80" s="643"/>
      <c r="C80" s="643"/>
      <c r="D80" s="643" t="s">
        <v>2906</v>
      </c>
      <c r="E80" s="643" t="s">
        <v>2904</v>
      </c>
      <c r="F80" s="643" t="s">
        <v>2905</v>
      </c>
      <c r="G80" s="646" t="s">
        <v>2902</v>
      </c>
      <c r="H80" s="643" t="s">
        <v>2707</v>
      </c>
      <c r="I80" s="644" t="s">
        <v>2716</v>
      </c>
      <c r="J80" s="641"/>
    </row>
    <row r="81" spans="1:12" s="622" customFormat="1">
      <c r="A81" s="642"/>
      <c r="B81" s="643"/>
      <c r="C81" s="643"/>
      <c r="D81" s="643" t="s">
        <v>2907</v>
      </c>
      <c r="E81" s="643" t="s">
        <v>2744</v>
      </c>
      <c r="F81" s="643" t="s">
        <v>2549</v>
      </c>
      <c r="G81" s="646" t="s">
        <v>2902</v>
      </c>
      <c r="H81" s="643" t="s">
        <v>2707</v>
      </c>
      <c r="I81" s="644" t="s">
        <v>2716</v>
      </c>
      <c r="J81" s="641"/>
    </row>
    <row r="82" spans="1:12" s="622" customFormat="1">
      <c r="A82" s="642"/>
      <c r="B82" s="643"/>
      <c r="C82" s="643"/>
      <c r="D82" s="643" t="s">
        <v>2908</v>
      </c>
      <c r="E82" s="643" t="s">
        <v>2909</v>
      </c>
      <c r="F82" s="643" t="s">
        <v>2549</v>
      </c>
      <c r="G82" s="643" t="s">
        <v>2910</v>
      </c>
      <c r="H82" s="643" t="s">
        <v>2707</v>
      </c>
      <c r="I82" s="644" t="s">
        <v>2716</v>
      </c>
      <c r="J82" s="641"/>
    </row>
    <row r="83" spans="1:12" s="622" customFormat="1" ht="13.5" thickBot="1">
      <c r="A83" s="654"/>
      <c r="B83" s="655"/>
      <c r="C83" s="655"/>
      <c r="D83" s="655" t="s">
        <v>2911</v>
      </c>
      <c r="E83" s="655" t="s">
        <v>2901</v>
      </c>
      <c r="F83" s="655" t="s">
        <v>2858</v>
      </c>
      <c r="G83" s="655" t="s">
        <v>2910</v>
      </c>
      <c r="H83" s="655" t="s">
        <v>2707</v>
      </c>
      <c r="I83" s="656" t="s">
        <v>2716</v>
      </c>
      <c r="J83" s="641"/>
      <c r="L83" s="643"/>
    </row>
    <row r="84" spans="1:12" s="622" customFormat="1" ht="13.5" thickBot="1">
      <c r="A84" s="654" t="s">
        <v>2912</v>
      </c>
      <c r="B84" s="655" t="s">
        <v>2750</v>
      </c>
      <c r="C84" s="655" t="s">
        <v>2750</v>
      </c>
      <c r="D84" s="655"/>
      <c r="E84" s="655"/>
      <c r="F84" s="655"/>
      <c r="G84" s="655"/>
      <c r="H84" s="655"/>
      <c r="I84" s="656"/>
      <c r="J84" s="641"/>
    </row>
    <row r="85" spans="1:12" ht="22.5">
      <c r="A85" s="668" t="s">
        <v>2913</v>
      </c>
      <c r="B85" s="669" t="s">
        <v>2704</v>
      </c>
      <c r="C85" s="669" t="s">
        <v>2704</v>
      </c>
      <c r="D85" s="669" t="s">
        <v>2914</v>
      </c>
      <c r="E85" s="669" t="s">
        <v>2915</v>
      </c>
      <c r="F85" s="670" t="s">
        <v>2916</v>
      </c>
      <c r="G85" s="669" t="s">
        <v>2917</v>
      </c>
      <c r="H85" s="669" t="s">
        <v>2918</v>
      </c>
      <c r="I85" s="671" t="s">
        <v>2783</v>
      </c>
    </row>
    <row r="86" spans="1:12">
      <c r="A86" s="648"/>
      <c r="B86" s="649"/>
      <c r="C86" s="649"/>
      <c r="D86" s="649" t="s">
        <v>2893</v>
      </c>
      <c r="E86" s="649" t="s">
        <v>2919</v>
      </c>
      <c r="F86" s="643" t="s">
        <v>2920</v>
      </c>
      <c r="G86" s="643" t="s">
        <v>2921</v>
      </c>
      <c r="H86" s="649" t="s">
        <v>2742</v>
      </c>
      <c r="I86" s="650" t="s">
        <v>2716</v>
      </c>
    </row>
    <row r="87" spans="1:12">
      <c r="A87" s="648"/>
      <c r="B87" s="649"/>
      <c r="C87" s="649"/>
      <c r="D87" s="649" t="s">
        <v>2922</v>
      </c>
      <c r="E87" s="649" t="s">
        <v>2923</v>
      </c>
      <c r="F87" s="649" t="s">
        <v>2924</v>
      </c>
      <c r="G87" s="643" t="s">
        <v>861</v>
      </c>
      <c r="H87" s="649" t="s">
        <v>2742</v>
      </c>
      <c r="I87" s="650" t="s">
        <v>2716</v>
      </c>
    </row>
    <row r="88" spans="1:12">
      <c r="A88" s="648"/>
      <c r="B88" s="649"/>
      <c r="C88" s="649"/>
      <c r="D88" s="649" t="s">
        <v>2925</v>
      </c>
      <c r="E88" s="649" t="s">
        <v>2926</v>
      </c>
      <c r="F88" s="643" t="s">
        <v>2549</v>
      </c>
      <c r="G88" s="643" t="s">
        <v>861</v>
      </c>
      <c r="H88" s="649" t="s">
        <v>2742</v>
      </c>
      <c r="I88" s="650" t="s">
        <v>2716</v>
      </c>
    </row>
    <row r="89" spans="1:12" ht="13.5" thickBot="1">
      <c r="A89" s="672"/>
      <c r="B89" s="673"/>
      <c r="C89" s="673"/>
      <c r="D89" s="673" t="s">
        <v>2927</v>
      </c>
      <c r="E89" s="673" t="s">
        <v>2881</v>
      </c>
      <c r="F89" s="655" t="s">
        <v>2928</v>
      </c>
      <c r="G89" s="655" t="s">
        <v>2921</v>
      </c>
      <c r="H89" s="673" t="s">
        <v>2742</v>
      </c>
      <c r="I89" s="674" t="s">
        <v>2716</v>
      </c>
    </row>
    <row r="90" spans="1:12" s="622" customFormat="1">
      <c r="A90" s="642" t="s">
        <v>2555</v>
      </c>
      <c r="B90" s="643" t="s">
        <v>2704</v>
      </c>
      <c r="C90" s="643" t="s">
        <v>2929</v>
      </c>
      <c r="D90" s="643" t="s">
        <v>2930</v>
      </c>
      <c r="E90" s="643" t="s">
        <v>2931</v>
      </c>
      <c r="F90" s="643" t="s">
        <v>2549</v>
      </c>
      <c r="G90" s="643" t="s">
        <v>2932</v>
      </c>
      <c r="H90" s="643" t="s">
        <v>2715</v>
      </c>
      <c r="I90" s="644" t="s">
        <v>2783</v>
      </c>
      <c r="J90" s="663"/>
    </row>
    <row r="91" spans="1:12" s="622" customFormat="1">
      <c r="A91" s="642"/>
      <c r="B91" s="643"/>
      <c r="C91" s="643"/>
      <c r="D91" s="643" t="s">
        <v>2933</v>
      </c>
      <c r="E91" s="643" t="s">
        <v>2931</v>
      </c>
      <c r="F91" s="643" t="s">
        <v>2549</v>
      </c>
      <c r="G91" s="643" t="s">
        <v>2932</v>
      </c>
      <c r="H91" s="643" t="s">
        <v>2715</v>
      </c>
      <c r="I91" s="644" t="s">
        <v>2783</v>
      </c>
      <c r="J91" s="641"/>
    </row>
    <row r="92" spans="1:12" s="622" customFormat="1">
      <c r="A92" s="642"/>
      <c r="B92" s="643"/>
      <c r="C92" s="643"/>
      <c r="D92" s="643" t="s">
        <v>2934</v>
      </c>
      <c r="E92" s="643" t="s">
        <v>2931</v>
      </c>
      <c r="F92" s="643" t="s">
        <v>2549</v>
      </c>
      <c r="G92" s="643" t="s">
        <v>2932</v>
      </c>
      <c r="H92" s="643" t="s">
        <v>2715</v>
      </c>
      <c r="I92" s="644" t="s">
        <v>2783</v>
      </c>
      <c r="J92" s="641"/>
    </row>
    <row r="93" spans="1:12" s="622" customFormat="1" ht="13.5" thickBot="1">
      <c r="A93" s="654"/>
      <c r="B93" s="655"/>
      <c r="C93" s="655"/>
      <c r="D93" s="655" t="s">
        <v>2935</v>
      </c>
      <c r="E93" s="655" t="s">
        <v>2936</v>
      </c>
      <c r="F93" s="655" t="s">
        <v>2937</v>
      </c>
      <c r="G93" s="655" t="s">
        <v>861</v>
      </c>
      <c r="H93" s="655" t="s">
        <v>2742</v>
      </c>
      <c r="I93" s="656" t="s">
        <v>2716</v>
      </c>
      <c r="J93" s="641"/>
    </row>
    <row r="94" spans="1:12" s="622" customFormat="1" ht="13.5" thickBot="1">
      <c r="A94" s="657" t="s">
        <v>2938</v>
      </c>
      <c r="B94" s="658" t="s">
        <v>2750</v>
      </c>
      <c r="C94" s="658" t="s">
        <v>2750</v>
      </c>
      <c r="D94" s="658" t="s">
        <v>2939</v>
      </c>
      <c r="E94" s="658" t="s">
        <v>2940</v>
      </c>
      <c r="F94" s="658" t="s">
        <v>2941</v>
      </c>
      <c r="G94" s="658" t="s">
        <v>2730</v>
      </c>
      <c r="H94" s="658" t="s">
        <v>2742</v>
      </c>
      <c r="I94" s="659" t="s">
        <v>2708</v>
      </c>
      <c r="J94" s="641"/>
    </row>
    <row r="95" spans="1:12">
      <c r="B95" s="613"/>
      <c r="C95" s="613"/>
    </row>
    <row r="96" spans="1:12">
      <c r="B96" s="613"/>
      <c r="C96" s="613"/>
    </row>
  </sheetData>
  <mergeCells count="1">
    <mergeCell ref="A1:H1"/>
  </mergeCells>
  <hyperlinks>
    <hyperlink ref="A1" location="GLOBAAL!A1" display="Interne Controle" xr:uid="{00000000-0004-0000-5100-000000000000}"/>
    <hyperlink ref="A1:H1" location="FINANCIËN!A1" display="Interne Controle Matrix Ontvangsten" xr:uid="{00000000-0004-0000-5100-000001000000}"/>
  </hyperlinks>
  <pageMargins left="0.75" right="0.75" top="1" bottom="1" header="0.5" footer="0.5"/>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EBD531"/>
  </sheetPr>
  <dimension ref="A1:M170"/>
  <sheetViews>
    <sheetView zoomScale="80" zoomScaleNormal="80" workbookViewId="0">
      <pane ySplit="1" topLeftCell="A131" activePane="bottomLeft" state="frozen"/>
      <selection activeCell="E37" sqref="E37"/>
      <selection pane="bottomLeft" sqref="A1:M1"/>
    </sheetView>
  </sheetViews>
  <sheetFormatPr defaultColWidth="9.140625" defaultRowHeight="12.75"/>
  <cols>
    <col min="1" max="1" width="7.5703125" style="520" customWidth="1"/>
    <col min="2" max="2" width="6.140625" style="520" customWidth="1"/>
    <col min="3" max="3" width="11" style="627" customWidth="1"/>
    <col min="4" max="4" width="10.140625" style="520" customWidth="1"/>
    <col min="5" max="5" width="9.140625" style="520"/>
    <col min="6" max="6" width="10.42578125" style="520" customWidth="1"/>
    <col min="7" max="7" width="9.85546875" style="520" customWidth="1"/>
    <col min="8" max="8" width="10.42578125" style="520" customWidth="1"/>
    <col min="9" max="9" width="10.85546875" style="520" bestFit="1" customWidth="1"/>
    <col min="10" max="10" width="11.42578125" style="520" customWidth="1"/>
    <col min="11" max="16384" width="9.140625" style="520"/>
  </cols>
  <sheetData>
    <row r="1" spans="1:13" ht="21">
      <c r="A1" s="4757" t="s">
        <v>5038</v>
      </c>
      <c r="B1" s="4758"/>
      <c r="C1" s="4758"/>
      <c r="D1" s="4758"/>
      <c r="E1" s="4758"/>
      <c r="F1" s="4758"/>
      <c r="G1" s="4758"/>
      <c r="H1" s="4758"/>
      <c r="I1" s="4758"/>
      <c r="J1" s="4758"/>
      <c r="K1" s="4758"/>
      <c r="L1" s="4758"/>
      <c r="M1" s="4758"/>
    </row>
    <row r="4" spans="1:13" s="1661" customFormat="1" ht="15">
      <c r="A4" s="1873">
        <v>1995</v>
      </c>
      <c r="C4" s="1674">
        <f>5404660/40.3399</f>
        <v>133978.0217600936</v>
      </c>
      <c r="E4" s="1661" t="s">
        <v>5039</v>
      </c>
    </row>
    <row r="5" spans="1:13" s="1661" customFormat="1" ht="15">
      <c r="A5" s="1873"/>
      <c r="C5" s="1674">
        <f>8000000/40.3399</f>
        <v>198314.81981859152</v>
      </c>
      <c r="E5" s="1661" t="s">
        <v>5040</v>
      </c>
    </row>
    <row r="6" spans="1:13" s="1661" customFormat="1" ht="15">
      <c r="A6" s="1873"/>
      <c r="C6" s="1674"/>
    </row>
    <row r="7" spans="1:13" s="1661" customFormat="1" ht="15">
      <c r="A7" s="1873"/>
      <c r="C7" s="1674">
        <f>3000000/40.3399</f>
        <v>74368.057431971814</v>
      </c>
      <c r="E7" s="1661" t="s">
        <v>5041</v>
      </c>
    </row>
    <row r="8" spans="1:13" s="1661" customFormat="1" ht="15">
      <c r="A8" s="1873"/>
      <c r="C8" s="1674"/>
    </row>
    <row r="9" spans="1:13" s="1661" customFormat="1" ht="15">
      <c r="A9" s="1873"/>
      <c r="C9" s="1677">
        <f>SUM(C4:C8)</f>
        <v>406660.89901065693</v>
      </c>
    </row>
    <row r="10" spans="1:13" s="1661" customFormat="1" ht="15">
      <c r="A10" s="1873"/>
      <c r="C10" s="1674"/>
    </row>
    <row r="11" spans="1:13" s="1661" customFormat="1" ht="15">
      <c r="A11" s="1873">
        <v>1996</v>
      </c>
      <c r="C11" s="1674">
        <f>15500000/40.3399</f>
        <v>384234.96339852107</v>
      </c>
      <c r="D11" s="1677">
        <f>C11</f>
        <v>384234.96339852107</v>
      </c>
      <c r="E11" s="1661" t="s">
        <v>5042</v>
      </c>
    </row>
    <row r="12" spans="1:13" s="1661" customFormat="1" ht="15">
      <c r="A12" s="1873"/>
      <c r="C12" s="1674"/>
    </row>
    <row r="13" spans="1:13" s="1661" customFormat="1" ht="15">
      <c r="A13" s="1873"/>
      <c r="C13" s="1674">
        <f>11353584/40.3399</f>
        <v>281447.99565690546</v>
      </c>
      <c r="E13" s="1661" t="s">
        <v>5039</v>
      </c>
    </row>
    <row r="14" spans="1:13" s="1661" customFormat="1" ht="15">
      <c r="A14" s="1873"/>
      <c r="C14" s="1674"/>
    </row>
    <row r="15" spans="1:13" s="1661" customFormat="1" ht="15">
      <c r="A15" s="1873"/>
      <c r="C15" s="1674">
        <f>11408000/40.3399</f>
        <v>282796.93306131149</v>
      </c>
      <c r="E15" s="1661" t="s">
        <v>5041</v>
      </c>
    </row>
    <row r="16" spans="1:13" s="1661" customFormat="1" ht="15">
      <c r="A16" s="1873"/>
      <c r="C16" s="1674"/>
    </row>
    <row r="17" spans="1:8" s="1661" customFormat="1" ht="15">
      <c r="A17" s="1873"/>
      <c r="C17" s="1677">
        <f>SUM(C11:C16)</f>
        <v>948479.89211673802</v>
      </c>
    </row>
    <row r="18" spans="1:8" s="1661" customFormat="1" ht="15">
      <c r="A18" s="1873"/>
      <c r="C18" s="1674"/>
    </row>
    <row r="19" spans="1:8" s="1661" customFormat="1" ht="15">
      <c r="A19" s="1874">
        <v>1997</v>
      </c>
      <c r="B19" s="1875"/>
      <c r="C19" s="1876">
        <f>15500000/40.3399</f>
        <v>384234.96339852107</v>
      </c>
      <c r="D19" s="1876"/>
      <c r="E19" s="1875" t="s">
        <v>5042</v>
      </c>
      <c r="F19" s="1875"/>
    </row>
    <row r="20" spans="1:8" s="1661" customFormat="1" ht="15">
      <c r="A20" s="1874"/>
      <c r="B20" s="1875"/>
      <c r="C20" s="1876">
        <f>17121945/40.03399</f>
        <v>427685.1995017234</v>
      </c>
      <c r="D20" s="1877">
        <f>SUM(C19:C20)</f>
        <v>811920.16290024447</v>
      </c>
      <c r="E20" s="1875" t="s">
        <v>5043</v>
      </c>
      <c r="F20" s="1875"/>
    </row>
    <row r="21" spans="1:8" s="1661" customFormat="1" ht="15">
      <c r="A21" s="1878"/>
      <c r="B21" s="1875"/>
      <c r="C21" s="1876">
        <f>26630338/40.3399</f>
        <v>660148.83527227386</v>
      </c>
      <c r="D21" s="1875"/>
      <c r="E21" s="1875" t="s">
        <v>5044</v>
      </c>
      <c r="F21" s="1875"/>
    </row>
    <row r="22" spans="1:8" s="1661" customFormat="1" ht="15">
      <c r="A22" s="1878"/>
      <c r="B22" s="1875"/>
      <c r="C22" s="1876"/>
      <c r="D22" s="1875"/>
      <c r="E22" s="1875"/>
      <c r="F22" s="1875"/>
    </row>
    <row r="23" spans="1:8" s="1661" customFormat="1" ht="15">
      <c r="A23" s="1878"/>
      <c r="B23" s="1875"/>
      <c r="C23" s="1876">
        <v>721563.36</v>
      </c>
      <c r="D23" s="1876"/>
      <c r="E23" s="1875" t="s">
        <v>5039</v>
      </c>
      <c r="F23" s="1875"/>
      <c r="H23" s="1674"/>
    </row>
    <row r="24" spans="1:8" s="1661" customFormat="1" ht="15">
      <c r="A24" s="1878"/>
      <c r="B24" s="1875"/>
      <c r="C24" s="1876"/>
      <c r="D24" s="1875"/>
      <c r="E24" s="1875"/>
      <c r="F24" s="1875"/>
    </row>
    <row r="25" spans="1:8" s="1661" customFormat="1" ht="15">
      <c r="A25" s="1878"/>
      <c r="B25" s="1875"/>
      <c r="C25" s="1876">
        <f>10000000/40.3399</f>
        <v>247893.52477323939</v>
      </c>
      <c r="D25" s="1875"/>
      <c r="E25" s="1875" t="s">
        <v>5041</v>
      </c>
      <c r="F25" s="1875"/>
    </row>
    <row r="26" spans="1:8" s="1661" customFormat="1" ht="15">
      <c r="A26" s="1878"/>
      <c r="B26" s="1875"/>
      <c r="C26" s="1876"/>
      <c r="D26" s="1875"/>
      <c r="E26" s="1875"/>
      <c r="F26" s="1875"/>
    </row>
    <row r="27" spans="1:8" s="1661" customFormat="1" ht="15">
      <c r="A27" s="1878"/>
      <c r="B27" s="1875"/>
      <c r="C27" s="1877">
        <f>SUM(C19:C26)</f>
        <v>2441525.8829457574</v>
      </c>
      <c r="D27" s="1877"/>
      <c r="E27" s="1875"/>
      <c r="F27" s="1875"/>
    </row>
    <row r="28" spans="1:8" s="1661" customFormat="1" ht="15">
      <c r="A28" s="1678"/>
      <c r="C28" s="1674"/>
    </row>
    <row r="29" spans="1:8" s="1661" customFormat="1" ht="15">
      <c r="A29" s="1873">
        <v>1998</v>
      </c>
      <c r="C29" s="1674">
        <f>20000000/40.3399</f>
        <v>495787.04954647878</v>
      </c>
      <c r="D29" s="1677">
        <f>C29</f>
        <v>495787.04954647878</v>
      </c>
      <c r="E29" s="1661" t="s">
        <v>5042</v>
      </c>
    </row>
    <row r="30" spans="1:8" s="1661" customFormat="1" ht="15">
      <c r="A30" s="1678"/>
      <c r="C30" s="1674"/>
    </row>
    <row r="31" spans="1:8" s="1661" customFormat="1" ht="15">
      <c r="A31" s="1678"/>
      <c r="C31" s="1674">
        <f>25154940/40.3399</f>
        <v>623574.67420593509</v>
      </c>
      <c r="E31" s="1661" t="s">
        <v>5039</v>
      </c>
    </row>
    <row r="32" spans="1:8" s="1661" customFormat="1" ht="15">
      <c r="A32" s="1678"/>
      <c r="C32" s="1674"/>
    </row>
    <row r="33" spans="1:5" s="1661" customFormat="1" ht="15">
      <c r="A33" s="1678"/>
      <c r="C33" s="1674">
        <f>5000000/40.3399</f>
        <v>123946.7623866197</v>
      </c>
      <c r="E33" s="1661" t="s">
        <v>5041</v>
      </c>
    </row>
    <row r="34" spans="1:5" s="1661" customFormat="1" ht="15">
      <c r="A34" s="1678"/>
      <c r="C34" s="1674"/>
    </row>
    <row r="35" spans="1:5" s="1661" customFormat="1" ht="15">
      <c r="A35" s="1678"/>
      <c r="C35" s="1677">
        <f>SUM(C29:C34)</f>
        <v>1243308.4861390335</v>
      </c>
    </row>
    <row r="36" spans="1:5" s="1661" customFormat="1" ht="15">
      <c r="A36" s="1678"/>
      <c r="C36" s="1674"/>
    </row>
    <row r="37" spans="1:5" s="1661" customFormat="1" ht="15">
      <c r="A37" s="1873">
        <v>1999</v>
      </c>
      <c r="C37" s="1674">
        <f>25500000/40.3399</f>
        <v>632128.48817176046</v>
      </c>
      <c r="D37" s="1677">
        <f>C37</f>
        <v>632128.48817176046</v>
      </c>
      <c r="E37" s="1661" t="s">
        <v>5042</v>
      </c>
    </row>
    <row r="38" spans="1:5" s="1661" customFormat="1" ht="15">
      <c r="A38" s="1678"/>
      <c r="C38" s="1674"/>
    </row>
    <row r="39" spans="1:5" s="1661" customFormat="1" ht="15">
      <c r="A39" s="1678"/>
      <c r="C39" s="1674">
        <f>20355045/40.3399</f>
        <v>504588.38519679027</v>
      </c>
      <c r="E39" s="1661" t="s">
        <v>5039</v>
      </c>
    </row>
    <row r="40" spans="1:5" s="1661" customFormat="1" ht="15">
      <c r="A40" s="1678"/>
      <c r="C40" s="1674"/>
    </row>
    <row r="41" spans="1:5" s="1661" customFormat="1" ht="15">
      <c r="A41" s="1678"/>
      <c r="C41" s="1677">
        <f>SUM(C37:C39)</f>
        <v>1136716.8733685508</v>
      </c>
    </row>
    <row r="42" spans="1:5" s="1661" customFormat="1" ht="15">
      <c r="A42" s="1678"/>
      <c r="C42" s="1674"/>
    </row>
    <row r="43" spans="1:5" s="1661" customFormat="1" ht="15">
      <c r="A43" s="1873">
        <v>2000</v>
      </c>
      <c r="C43" s="1674">
        <f>8666605/40.3399</f>
        <v>214839.52612673806</v>
      </c>
      <c r="D43" s="1677">
        <f>C43</f>
        <v>214839.52612673806</v>
      </c>
      <c r="E43" s="1661" t="s">
        <v>5042</v>
      </c>
    </row>
    <row r="44" spans="1:5" s="1661" customFormat="1" ht="15">
      <c r="A44" s="1678"/>
      <c r="C44" s="1674"/>
    </row>
    <row r="45" spans="1:5" s="1661" customFormat="1" ht="15">
      <c r="A45" s="1678"/>
      <c r="C45" s="1674">
        <f>18399495/40.3399</f>
        <v>456111.56695975945</v>
      </c>
      <c r="E45" s="1661" t="s">
        <v>5039</v>
      </c>
    </row>
    <row r="46" spans="1:5" s="1661" customFormat="1" ht="15">
      <c r="A46" s="1678"/>
      <c r="C46" s="1674"/>
    </row>
    <row r="47" spans="1:5" s="1661" customFormat="1" ht="15">
      <c r="A47" s="1678"/>
      <c r="C47" s="1677">
        <f>SUM(C43:C45)</f>
        <v>670951.09308649751</v>
      </c>
    </row>
    <row r="48" spans="1:5" s="1661" customFormat="1" ht="15">
      <c r="A48" s="1678"/>
      <c r="C48" s="1674"/>
    </row>
    <row r="49" spans="1:5" s="1661" customFormat="1" ht="15">
      <c r="A49" s="1873">
        <v>2001</v>
      </c>
      <c r="C49" s="1674">
        <f>700000/40.3399</f>
        <v>17352.546734126758</v>
      </c>
      <c r="D49" s="1677">
        <f>C49</f>
        <v>17352.546734126758</v>
      </c>
      <c r="E49" s="1661" t="s">
        <v>5042</v>
      </c>
    </row>
    <row r="50" spans="1:5" s="1661" customFormat="1" ht="15">
      <c r="A50" s="1678"/>
      <c r="C50" s="1674"/>
    </row>
    <row r="51" spans="1:5" s="1661" customFormat="1" ht="12" customHeight="1">
      <c r="A51" s="1678"/>
      <c r="C51" s="1674">
        <f>24921483/40.3399</f>
        <v>617787.42634463648</v>
      </c>
      <c r="E51" s="1661" t="s">
        <v>5039</v>
      </c>
    </row>
    <row r="52" spans="1:5" s="1661" customFormat="1" ht="12" customHeight="1">
      <c r="A52" s="1678"/>
      <c r="C52" s="1674"/>
    </row>
    <row r="53" spans="1:5" s="1661" customFormat="1" ht="12" customHeight="1">
      <c r="A53" s="1678"/>
      <c r="C53" s="1674">
        <f>-10000000/40.3399</f>
        <v>-247893.52477323939</v>
      </c>
      <c r="E53" s="1661" t="s">
        <v>5045</v>
      </c>
    </row>
    <row r="54" spans="1:5" s="1661" customFormat="1" ht="12" customHeight="1">
      <c r="A54" s="1678"/>
      <c r="C54" s="1674"/>
    </row>
    <row r="55" spans="1:5" s="1661" customFormat="1" ht="15">
      <c r="A55" s="1678"/>
      <c r="C55" s="1677">
        <f>SUM(C49:C54)</f>
        <v>387246.44830552384</v>
      </c>
    </row>
    <row r="56" spans="1:5" s="1661" customFormat="1" ht="15">
      <c r="A56" s="1678"/>
      <c r="C56" s="1674"/>
    </row>
    <row r="57" spans="1:5" s="1661" customFormat="1" ht="15">
      <c r="A57" s="1873">
        <v>2002</v>
      </c>
      <c r="C57" s="1674">
        <v>461831.45</v>
      </c>
      <c r="D57" s="1677">
        <f>C57</f>
        <v>461831.45</v>
      </c>
      <c r="E57" s="1661" t="s">
        <v>5039</v>
      </c>
    </row>
    <row r="58" spans="1:5" s="1661" customFormat="1" ht="15">
      <c r="A58" s="1873"/>
      <c r="C58" s="1674"/>
    </row>
    <row r="59" spans="1:5" s="1661" customFormat="1" ht="15">
      <c r="A59" s="1873"/>
      <c r="C59" s="1674">
        <v>50000</v>
      </c>
      <c r="E59" s="1661" t="s">
        <v>5041</v>
      </c>
    </row>
    <row r="60" spans="1:5" s="1661" customFormat="1" ht="15">
      <c r="A60" s="1678"/>
      <c r="C60" s="1674"/>
    </row>
    <row r="61" spans="1:5" s="1661" customFormat="1" ht="15">
      <c r="A61" s="1678"/>
      <c r="C61" s="1677">
        <f>SUM(C57:C60)</f>
        <v>511831.45</v>
      </c>
    </row>
    <row r="62" spans="1:5" s="1661" customFormat="1" ht="15">
      <c r="A62" s="1678"/>
      <c r="C62" s="1674"/>
    </row>
    <row r="63" spans="1:5" s="1661" customFormat="1" ht="15">
      <c r="A63" s="1873">
        <v>2003</v>
      </c>
      <c r="C63" s="1674">
        <v>585000</v>
      </c>
      <c r="D63" s="1677">
        <f>C63</f>
        <v>585000</v>
      </c>
      <c r="E63" s="1661" t="s">
        <v>5042</v>
      </c>
    </row>
    <row r="64" spans="1:5" s="1661" customFormat="1" ht="15">
      <c r="A64" s="1873"/>
      <c r="C64" s="1674"/>
    </row>
    <row r="65" spans="1:5" s="1661" customFormat="1" ht="15">
      <c r="A65" s="1678"/>
      <c r="C65" s="1674">
        <v>350000</v>
      </c>
      <c r="E65" s="1661" t="s">
        <v>5046</v>
      </c>
    </row>
    <row r="66" spans="1:5" s="1661" customFormat="1" ht="15">
      <c r="A66" s="1678"/>
      <c r="C66" s="1674">
        <f>1144591+230637.19</f>
        <v>1375228.19</v>
      </c>
      <c r="D66" s="1674"/>
      <c r="E66" s="1661" t="s">
        <v>5039</v>
      </c>
    </row>
    <row r="67" spans="1:5" s="1661" customFormat="1" ht="15">
      <c r="A67" s="1678"/>
      <c r="C67" s="1674"/>
    </row>
    <row r="68" spans="1:5" s="1661" customFormat="1" ht="15">
      <c r="A68" s="1678"/>
      <c r="C68" s="1674">
        <v>200000</v>
      </c>
      <c r="E68" s="1661" t="s">
        <v>5041</v>
      </c>
    </row>
    <row r="69" spans="1:5" s="1661" customFormat="1" ht="15">
      <c r="A69" s="1678"/>
      <c r="C69" s="1674"/>
    </row>
    <row r="70" spans="1:5" s="1661" customFormat="1" ht="15">
      <c r="A70" s="1678"/>
      <c r="C70" s="1677">
        <f>SUM(C63:C69)</f>
        <v>2510228.19</v>
      </c>
    </row>
    <row r="71" spans="1:5" s="1661" customFormat="1" ht="14.25" customHeight="1">
      <c r="A71" s="1678"/>
      <c r="C71" s="1674"/>
    </row>
    <row r="72" spans="1:5" s="1661" customFormat="1" ht="15">
      <c r="A72" s="1873">
        <v>2004</v>
      </c>
      <c r="C72" s="1674">
        <f>400000+250000</f>
        <v>650000</v>
      </c>
      <c r="E72" s="1661" t="s">
        <v>5042</v>
      </c>
    </row>
    <row r="73" spans="1:5" s="1661" customFormat="1" ht="15">
      <c r="A73" s="1678"/>
      <c r="C73" s="1674">
        <v>85000</v>
      </c>
      <c r="D73" s="1677">
        <f>SUM(C72:C73)</f>
        <v>735000</v>
      </c>
      <c r="E73" s="1661" t="s">
        <v>5047</v>
      </c>
    </row>
    <row r="74" spans="1:5" s="1661" customFormat="1" ht="15">
      <c r="A74" s="1678"/>
      <c r="C74" s="1674"/>
    </row>
    <row r="75" spans="1:5" s="1661" customFormat="1" ht="15">
      <c r="A75" s="1678"/>
      <c r="C75" s="1674">
        <v>900000</v>
      </c>
      <c r="E75" s="1661" t="s">
        <v>5046</v>
      </c>
    </row>
    <row r="76" spans="1:5" s="1661" customFormat="1" ht="15">
      <c r="A76" s="1678"/>
      <c r="C76" s="1674">
        <v>238236.31</v>
      </c>
      <c r="E76" s="1661" t="s">
        <v>5039</v>
      </c>
    </row>
    <row r="77" spans="1:5" s="1661" customFormat="1" ht="15">
      <c r="A77" s="1678"/>
      <c r="C77" s="1674"/>
    </row>
    <row r="78" spans="1:5" s="1661" customFormat="1" ht="15">
      <c r="A78" s="1678"/>
      <c r="C78" s="1674">
        <f>1004213-357000</f>
        <v>647213</v>
      </c>
      <c r="E78" s="1661" t="s">
        <v>5041</v>
      </c>
    </row>
    <row r="79" spans="1:5" s="1661" customFormat="1" ht="15">
      <c r="A79" s="1678"/>
      <c r="C79" s="1674"/>
    </row>
    <row r="80" spans="1:5" s="1661" customFormat="1" ht="15">
      <c r="A80" s="1678"/>
      <c r="C80" s="1677">
        <f>SUM(C72:C78)</f>
        <v>2520449.31</v>
      </c>
    </row>
    <row r="81" spans="1:5" s="1661" customFormat="1" ht="15">
      <c r="A81" s="1678"/>
      <c r="C81" s="1674"/>
    </row>
    <row r="82" spans="1:5" s="1661" customFormat="1" ht="15">
      <c r="A82" s="1873">
        <v>2005</v>
      </c>
      <c r="C82" s="1674">
        <v>650000</v>
      </c>
      <c r="E82" s="1661" t="s">
        <v>5048</v>
      </c>
    </row>
    <row r="83" spans="1:5" s="1661" customFormat="1" ht="15">
      <c r="A83" s="1678"/>
      <c r="C83" s="1674">
        <v>500000</v>
      </c>
      <c r="D83" s="1677">
        <f>SUM(C82:C83)</f>
        <v>1150000</v>
      </c>
      <c r="E83" s="1661" t="s">
        <v>5047</v>
      </c>
    </row>
    <row r="84" spans="1:5" s="1661" customFormat="1" ht="15">
      <c r="A84" s="1678"/>
      <c r="C84" s="1674"/>
    </row>
    <row r="85" spans="1:5" s="1661" customFormat="1" ht="15">
      <c r="A85" s="1678"/>
      <c r="C85" s="1674">
        <v>386285</v>
      </c>
      <c r="E85" s="1661" t="s">
        <v>5039</v>
      </c>
    </row>
    <row r="86" spans="1:5" s="1661" customFormat="1" ht="15">
      <c r="A86" s="1678"/>
      <c r="C86" s="1674"/>
    </row>
    <row r="87" spans="1:5" s="1661" customFormat="1" ht="15">
      <c r="A87" s="1678"/>
      <c r="C87" s="1677">
        <f>SUM(C82:C86)</f>
        <v>1536285</v>
      </c>
    </row>
    <row r="88" spans="1:5" s="1661" customFormat="1" ht="15">
      <c r="A88" s="1678"/>
      <c r="C88" s="1674"/>
    </row>
    <row r="89" spans="1:5" s="1661" customFormat="1" ht="15">
      <c r="A89" s="1873">
        <v>2006</v>
      </c>
      <c r="C89" s="1674">
        <v>1350000</v>
      </c>
      <c r="E89" s="1661" t="s">
        <v>5047</v>
      </c>
    </row>
    <row r="90" spans="1:5" s="1661" customFormat="1" ht="15">
      <c r="A90" s="1678"/>
      <c r="C90" s="1674">
        <v>650000</v>
      </c>
      <c r="E90" s="1661" t="s">
        <v>5048</v>
      </c>
    </row>
    <row r="91" spans="1:5" s="1661" customFormat="1" ht="15">
      <c r="A91" s="1678"/>
      <c r="C91" s="1674">
        <v>87333.91</v>
      </c>
      <c r="D91" s="1677">
        <f>SUM(C89:C91)</f>
        <v>2087333.91</v>
      </c>
      <c r="E91" s="1661" t="s">
        <v>3326</v>
      </c>
    </row>
    <row r="92" spans="1:5" s="1661" customFormat="1" ht="15">
      <c r="A92" s="1678"/>
      <c r="C92" s="1674"/>
    </row>
    <row r="93" spans="1:5" s="1661" customFormat="1" ht="15">
      <c r="A93" s="1678"/>
      <c r="C93" s="1674">
        <v>814536.05</v>
      </c>
      <c r="E93" s="1661" t="s">
        <v>5049</v>
      </c>
    </row>
    <row r="94" spans="1:5" s="1661" customFormat="1" ht="15">
      <c r="A94" s="1678"/>
      <c r="C94" s="1674"/>
    </row>
    <row r="95" spans="1:5" s="1661" customFormat="1" ht="15">
      <c r="A95" s="1678"/>
      <c r="C95" s="1677">
        <f>SUM(C89:C94)</f>
        <v>2901869.96</v>
      </c>
    </row>
    <row r="96" spans="1:5" s="1661" customFormat="1" ht="15">
      <c r="A96" s="1678"/>
      <c r="C96" s="1674"/>
    </row>
    <row r="97" spans="1:5" s="1661" customFormat="1" ht="15">
      <c r="A97" s="1873">
        <v>2007</v>
      </c>
      <c r="C97" s="1674">
        <v>1780000</v>
      </c>
      <c r="E97" s="1661" t="s">
        <v>5047</v>
      </c>
    </row>
    <row r="98" spans="1:5" s="1661" customFormat="1" ht="15">
      <c r="A98" s="1678"/>
      <c r="C98" s="1674">
        <v>650000</v>
      </c>
      <c r="D98" s="1677">
        <f>SUM(C97:C98)</f>
        <v>2430000</v>
      </c>
      <c r="E98" s="1661" t="s">
        <v>5048</v>
      </c>
    </row>
    <row r="99" spans="1:5" s="1661" customFormat="1" ht="15">
      <c r="A99" s="1678"/>
      <c r="C99" s="1674"/>
    </row>
    <row r="100" spans="1:5" s="1661" customFormat="1" ht="15">
      <c r="A100" s="1678"/>
      <c r="C100" s="1674">
        <v>750000</v>
      </c>
      <c r="E100" s="1661" t="s">
        <v>5050</v>
      </c>
    </row>
    <row r="101" spans="1:5" s="1661" customFormat="1" ht="15">
      <c r="A101" s="1678"/>
      <c r="C101" s="1674"/>
    </row>
    <row r="102" spans="1:5" s="1661" customFormat="1" ht="15">
      <c r="A102" s="1678"/>
      <c r="C102" s="1674">
        <v>100000</v>
      </c>
      <c r="E102" s="1661" t="s">
        <v>5051</v>
      </c>
    </row>
    <row r="103" spans="1:5" s="1661" customFormat="1" ht="12" customHeight="1">
      <c r="A103" s="1678"/>
      <c r="C103" s="1674"/>
    </row>
    <row r="104" spans="1:5" s="1661" customFormat="1" ht="12" customHeight="1">
      <c r="A104" s="1678"/>
      <c r="C104" s="1677">
        <f>SUM(C97:C103)</f>
        <v>3280000</v>
      </c>
    </row>
    <row r="105" spans="1:5" s="1661" customFormat="1" ht="15">
      <c r="A105" s="1678"/>
      <c r="C105" s="1674"/>
    </row>
    <row r="106" spans="1:5" s="1661" customFormat="1" ht="15">
      <c r="A106" s="1873">
        <v>2008</v>
      </c>
      <c r="C106" s="1674">
        <v>650000</v>
      </c>
      <c r="E106" s="1661" t="s">
        <v>5048</v>
      </c>
    </row>
    <row r="107" spans="1:5" s="1661" customFormat="1" ht="15">
      <c r="A107" s="1873"/>
      <c r="C107" s="1674">
        <v>450000</v>
      </c>
      <c r="E107" s="1661" t="s">
        <v>5047</v>
      </c>
    </row>
    <row r="108" spans="1:5" s="1661" customFormat="1" ht="15">
      <c r="A108" s="1873"/>
      <c r="C108" s="1674">
        <v>57483</v>
      </c>
      <c r="D108" s="1677">
        <f>SUM(C106:C108)</f>
        <v>1157483</v>
      </c>
      <c r="E108" s="1661" t="s">
        <v>5052</v>
      </c>
    </row>
    <row r="109" spans="1:5" s="1661" customFormat="1" ht="15">
      <c r="A109" s="1873"/>
      <c r="C109" s="1674"/>
      <c r="D109" s="1677"/>
    </row>
    <row r="110" spans="1:5" s="1661" customFormat="1" ht="15">
      <c r="A110" s="1873"/>
      <c r="C110" s="1674">
        <v>750000</v>
      </c>
      <c r="D110" s="1677"/>
      <c r="E110" s="1661" t="s">
        <v>5053</v>
      </c>
    </row>
    <row r="111" spans="1:5" s="1661" customFormat="1" ht="15">
      <c r="A111" s="1873"/>
      <c r="C111" s="1674"/>
    </row>
    <row r="112" spans="1:5" s="1661" customFormat="1" ht="15">
      <c r="A112" s="1678"/>
      <c r="C112" s="1674">
        <v>100000</v>
      </c>
      <c r="E112" s="1661" t="s">
        <v>5051</v>
      </c>
    </row>
    <row r="113" spans="1:5" s="1661" customFormat="1" ht="15">
      <c r="A113" s="1678"/>
      <c r="C113" s="1674"/>
    </row>
    <row r="114" spans="1:5" s="1661" customFormat="1" ht="15">
      <c r="A114" s="1678"/>
      <c r="C114" s="1677">
        <f>SUM(C106:C113)</f>
        <v>2007483</v>
      </c>
    </row>
    <row r="115" spans="1:5" s="1661" customFormat="1" ht="15">
      <c r="A115" s="1678"/>
      <c r="C115" s="1674"/>
    </row>
    <row r="116" spans="1:5" s="1661" customFormat="1" ht="15">
      <c r="A116" s="1873">
        <v>2009</v>
      </c>
      <c r="C116" s="1674">
        <v>600000</v>
      </c>
      <c r="E116" s="1661" t="s">
        <v>5048</v>
      </c>
    </row>
    <row r="117" spans="1:5" s="1661" customFormat="1" ht="15">
      <c r="A117" s="1678"/>
      <c r="C117" s="1674">
        <v>861699</v>
      </c>
      <c r="D117" s="1677">
        <f>SUM(C116:C117)</f>
        <v>1461699</v>
      </c>
      <c r="E117" s="1661" t="s">
        <v>5054</v>
      </c>
    </row>
    <row r="118" spans="1:5" s="1661" customFormat="1" ht="15">
      <c r="A118" s="1678"/>
      <c r="C118" s="1674"/>
    </row>
    <row r="119" spans="1:5" s="1661" customFormat="1" ht="15">
      <c r="A119" s="1678"/>
      <c r="C119" s="1677">
        <f>SUM(C116:C118)</f>
        <v>1461699</v>
      </c>
    </row>
    <row r="120" spans="1:5" s="1661" customFormat="1" ht="15">
      <c r="A120" s="1678"/>
      <c r="C120" s="1674"/>
    </row>
    <row r="121" spans="1:5" s="1661" customFormat="1" ht="15">
      <c r="A121" s="1873">
        <v>2010</v>
      </c>
      <c r="C121" s="1674">
        <v>400380</v>
      </c>
      <c r="E121" s="1661" t="s">
        <v>5054</v>
      </c>
    </row>
    <row r="122" spans="1:5" s="1661" customFormat="1" ht="15">
      <c r="A122" s="1678"/>
      <c r="C122" s="1674">
        <v>500000</v>
      </c>
      <c r="D122" s="1677">
        <f>C121+C122</f>
        <v>900380</v>
      </c>
      <c r="E122" s="1661" t="s">
        <v>5048</v>
      </c>
    </row>
    <row r="123" spans="1:5" s="1661" customFormat="1" ht="15">
      <c r="A123" s="1678"/>
      <c r="C123" s="1674">
        <v>200000</v>
      </c>
      <c r="D123" s="1677"/>
      <c r="E123" s="1661" t="s">
        <v>5055</v>
      </c>
    </row>
    <row r="124" spans="1:5" s="1661" customFormat="1" ht="15">
      <c r="A124" s="1678"/>
      <c r="C124" s="1674"/>
    </row>
    <row r="125" spans="1:5" s="1661" customFormat="1" ht="15">
      <c r="A125" s="1678"/>
      <c r="C125" s="1677">
        <f>SUM(C121:C124)</f>
        <v>1100380</v>
      </c>
    </row>
    <row r="126" spans="1:5" s="1661" customFormat="1" ht="15">
      <c r="A126" s="1678"/>
      <c r="C126" s="1674"/>
    </row>
    <row r="127" spans="1:5" s="1661" customFormat="1" ht="15">
      <c r="A127" s="1873">
        <v>2011</v>
      </c>
      <c r="C127" s="1674">
        <v>650000</v>
      </c>
      <c r="E127" s="1661" t="s">
        <v>5048</v>
      </c>
    </row>
    <row r="128" spans="1:5" s="1661" customFormat="1" ht="15">
      <c r="A128" s="1873"/>
      <c r="C128" s="1674">
        <v>550000</v>
      </c>
      <c r="E128" s="1661" t="s">
        <v>5047</v>
      </c>
    </row>
    <row r="129" spans="1:12" s="1661" customFormat="1" ht="15">
      <c r="A129" s="1873"/>
      <c r="C129" s="1674">
        <v>100000</v>
      </c>
      <c r="E129" s="1661" t="s">
        <v>5056</v>
      </c>
    </row>
    <row r="130" spans="1:12" s="1661" customFormat="1" ht="15">
      <c r="A130" s="1678"/>
      <c r="C130" s="1674"/>
    </row>
    <row r="131" spans="1:12" s="1661" customFormat="1" ht="15">
      <c r="A131" s="1678"/>
      <c r="C131" s="1677">
        <f>SUM(C127:C130)</f>
        <v>1300000</v>
      </c>
    </row>
    <row r="132" spans="1:12" s="1661" customFormat="1" ht="15">
      <c r="A132" s="1678"/>
      <c r="C132" s="1677"/>
    </row>
    <row r="133" spans="1:12" s="1661" customFormat="1" ht="15">
      <c r="A133" s="1873">
        <v>2012</v>
      </c>
      <c r="C133" s="1674">
        <v>400000</v>
      </c>
      <c r="E133" s="1661" t="s">
        <v>5057</v>
      </c>
    </row>
    <row r="134" spans="1:12" s="1661" customFormat="1" ht="15">
      <c r="A134" s="1678"/>
      <c r="C134" s="1674">
        <v>600000</v>
      </c>
      <c r="E134" s="1661" t="s">
        <v>5047</v>
      </c>
    </row>
    <row r="135" spans="1:12" s="1661" customFormat="1" ht="15">
      <c r="A135" s="1678"/>
      <c r="C135" s="1677"/>
    </row>
    <row r="136" spans="1:12" s="1661" customFormat="1" ht="15">
      <c r="A136" s="1678"/>
      <c r="C136" s="1677">
        <f>SUM(C133:C135)</f>
        <v>1000000</v>
      </c>
    </row>
    <row r="137" spans="1:12" s="1661" customFormat="1" ht="15.75" thickBot="1">
      <c r="A137" s="1678"/>
      <c r="C137" s="1674"/>
    </row>
    <row r="138" spans="1:12" s="1678" customFormat="1" ht="15.75" thickBot="1">
      <c r="B138" s="1883"/>
      <c r="C138" s="1884" t="s">
        <v>5058</v>
      </c>
      <c r="D138" s="1697" t="s">
        <v>5059</v>
      </c>
      <c r="E138" s="1697" t="s">
        <v>5060</v>
      </c>
      <c r="F138" s="1697" t="s">
        <v>5061</v>
      </c>
      <c r="G138" s="1697" t="s">
        <v>5062</v>
      </c>
      <c r="H138" s="1697" t="s">
        <v>5063</v>
      </c>
      <c r="I138" s="1697" t="s">
        <v>5051</v>
      </c>
      <c r="J138" s="1846" t="s">
        <v>8</v>
      </c>
    </row>
    <row r="139" spans="1:12" s="1678" customFormat="1" ht="15">
      <c r="B139" s="1885">
        <v>1994</v>
      </c>
      <c r="C139" s="1653"/>
      <c r="D139" s="1653"/>
      <c r="E139" s="1653"/>
      <c r="F139" s="1653"/>
      <c r="G139" s="1653"/>
      <c r="H139" s="1640">
        <f>592000/40.3399</f>
        <v>14675.296666575772</v>
      </c>
      <c r="I139" s="1653"/>
      <c r="J139" s="1879">
        <f>SUM(C139:I139)</f>
        <v>14675.296666575772</v>
      </c>
    </row>
    <row r="140" spans="1:12" s="1678" customFormat="1" ht="15">
      <c r="B140" s="1885">
        <v>1995</v>
      </c>
      <c r="C140" s="1640"/>
      <c r="D140" s="1640">
        <f>C4</f>
        <v>133978.0217600936</v>
      </c>
      <c r="E140" s="1674">
        <f>C5</f>
        <v>198314.81981859152</v>
      </c>
      <c r="F140" s="1653"/>
      <c r="G140" s="1653"/>
      <c r="H140" s="1640">
        <f>C7</f>
        <v>74368.057431971814</v>
      </c>
      <c r="I140" s="1653"/>
      <c r="J140" s="1879">
        <f t="shared" ref="J140:J158" si="0">SUM(C140:I140)</f>
        <v>406660.89901065693</v>
      </c>
    </row>
    <row r="141" spans="1:12" s="1661" customFormat="1" ht="15">
      <c r="A141" s="1678"/>
      <c r="B141" s="1885">
        <v>1996</v>
      </c>
      <c r="C141" s="1640">
        <f>D11</f>
        <v>384234.96339852107</v>
      </c>
      <c r="D141" s="1640">
        <f>C13</f>
        <v>281447.99565690546</v>
      </c>
      <c r="F141" s="1653"/>
      <c r="G141" s="1653"/>
      <c r="H141" s="1640">
        <f>C15</f>
        <v>282796.93306131149</v>
      </c>
      <c r="I141" s="1653"/>
      <c r="J141" s="1879">
        <f t="shared" si="0"/>
        <v>948479.89211673802</v>
      </c>
    </row>
    <row r="142" spans="1:12" s="1661" customFormat="1" ht="15">
      <c r="A142" s="1678"/>
      <c r="B142" s="1885">
        <v>1997</v>
      </c>
      <c r="C142" s="1640">
        <f>D20</f>
        <v>811920.16290024447</v>
      </c>
      <c r="D142" s="1640">
        <f>C23</f>
        <v>721563.36</v>
      </c>
      <c r="E142" s="1674">
        <f>C21</f>
        <v>660148.83527227386</v>
      </c>
      <c r="F142" s="1653"/>
      <c r="G142" s="1653"/>
      <c r="H142" s="1640">
        <f>C25</f>
        <v>247893.52477323939</v>
      </c>
      <c r="I142" s="1653"/>
      <c r="J142" s="1879">
        <f t="shared" si="0"/>
        <v>2441525.8829457574</v>
      </c>
    </row>
    <row r="143" spans="1:12" s="1661" customFormat="1" ht="15">
      <c r="A143" s="1678"/>
      <c r="B143" s="1885">
        <v>1998</v>
      </c>
      <c r="C143" s="1640">
        <f>D29</f>
        <v>495787.04954647878</v>
      </c>
      <c r="D143" s="1640">
        <f>C31</f>
        <v>623574.67420593509</v>
      </c>
      <c r="F143" s="1653"/>
      <c r="G143" s="1653"/>
      <c r="H143" s="1640">
        <f>C33</f>
        <v>123946.7623866197</v>
      </c>
      <c r="I143" s="1653"/>
      <c r="J143" s="1879">
        <f t="shared" si="0"/>
        <v>1243308.4861390335</v>
      </c>
      <c r="L143" s="1674"/>
    </row>
    <row r="144" spans="1:12" s="1661" customFormat="1" ht="15">
      <c r="A144" s="1678"/>
      <c r="B144" s="1885">
        <v>1999</v>
      </c>
      <c r="C144" s="1640">
        <f>C37</f>
        <v>632128.48817176046</v>
      </c>
      <c r="D144" s="1640">
        <f>C39</f>
        <v>504588.38519679027</v>
      </c>
      <c r="F144" s="1653"/>
      <c r="G144" s="1653"/>
      <c r="H144" s="1653"/>
      <c r="I144" s="1653"/>
      <c r="J144" s="1879">
        <f t="shared" si="0"/>
        <v>1136716.8733685508</v>
      </c>
    </row>
    <row r="145" spans="1:12" s="1661" customFormat="1" ht="15">
      <c r="A145" s="1678"/>
      <c r="B145" s="1885">
        <v>2000</v>
      </c>
      <c r="C145" s="1640">
        <f>D43</f>
        <v>214839.52612673806</v>
      </c>
      <c r="D145" s="1640">
        <f>C45</f>
        <v>456111.56695975945</v>
      </c>
      <c r="F145" s="1653"/>
      <c r="G145" s="1653"/>
      <c r="H145" s="1653"/>
      <c r="I145" s="1653"/>
      <c r="J145" s="1879">
        <f t="shared" si="0"/>
        <v>670951.09308649751</v>
      </c>
    </row>
    <row r="146" spans="1:12" s="1661" customFormat="1" ht="15">
      <c r="A146" s="1678"/>
      <c r="B146" s="1885">
        <v>2001</v>
      </c>
      <c r="C146" s="1640">
        <f>C49</f>
        <v>17352.546734126758</v>
      </c>
      <c r="D146" s="1640">
        <f>C51</f>
        <v>617787.42634463648</v>
      </c>
      <c r="F146" s="1653"/>
      <c r="G146" s="1653"/>
      <c r="H146" s="1640">
        <f>C53</f>
        <v>-247893.52477323939</v>
      </c>
      <c r="I146" s="1653"/>
      <c r="J146" s="1879">
        <f t="shared" si="0"/>
        <v>387246.44830552384</v>
      </c>
    </row>
    <row r="147" spans="1:12" s="1661" customFormat="1" ht="15">
      <c r="A147" s="1678"/>
      <c r="B147" s="1885">
        <v>2002</v>
      </c>
      <c r="C147" s="1640"/>
      <c r="D147" s="1640">
        <f>C57</f>
        <v>461831.45</v>
      </c>
      <c r="F147" s="1653"/>
      <c r="G147" s="1653"/>
      <c r="H147" s="1640">
        <f>C59</f>
        <v>50000</v>
      </c>
      <c r="I147" s="1653"/>
      <c r="J147" s="1879">
        <f t="shared" si="0"/>
        <v>511831.45</v>
      </c>
    </row>
    <row r="148" spans="1:12" s="1661" customFormat="1" ht="15">
      <c r="A148" s="1678"/>
      <c r="B148" s="1885">
        <v>2003</v>
      </c>
      <c r="C148" s="1640">
        <f>D63</f>
        <v>585000</v>
      </c>
      <c r="D148" s="1640">
        <f>C66</f>
        <v>1375228.19</v>
      </c>
      <c r="F148" s="1640">
        <f>C65</f>
        <v>350000</v>
      </c>
      <c r="G148" s="1653"/>
      <c r="H148" s="1640">
        <f>C68</f>
        <v>200000</v>
      </c>
      <c r="I148" s="1653"/>
      <c r="J148" s="1879">
        <f t="shared" si="0"/>
        <v>2510228.19</v>
      </c>
      <c r="L148" s="1674"/>
    </row>
    <row r="149" spans="1:12" s="1661" customFormat="1" ht="15">
      <c r="A149" s="1678"/>
      <c r="B149" s="1885">
        <v>2004</v>
      </c>
      <c r="C149" s="1640">
        <f>D73</f>
        <v>735000</v>
      </c>
      <c r="D149" s="1640">
        <f>C76</f>
        <v>238236.31</v>
      </c>
      <c r="F149" s="1640">
        <f>C75</f>
        <v>900000</v>
      </c>
      <c r="G149" s="1653"/>
      <c r="H149" s="1640">
        <f>C78</f>
        <v>647213</v>
      </c>
      <c r="I149" s="1653"/>
      <c r="J149" s="1879">
        <f t="shared" si="0"/>
        <v>2520449.31</v>
      </c>
    </row>
    <row r="150" spans="1:12" s="1661" customFormat="1" ht="15">
      <c r="A150" s="1678"/>
      <c r="B150" s="1885">
        <v>2005</v>
      </c>
      <c r="C150" s="1640">
        <f>D83</f>
        <v>1150000</v>
      </c>
      <c r="D150" s="1640">
        <f>C85</f>
        <v>386285</v>
      </c>
      <c r="F150" s="1640"/>
      <c r="G150" s="1653"/>
      <c r="H150" s="1653"/>
      <c r="I150" s="1653"/>
      <c r="J150" s="1879">
        <f t="shared" si="0"/>
        <v>1536285</v>
      </c>
    </row>
    <row r="151" spans="1:12" s="1661" customFormat="1" ht="15">
      <c r="A151" s="1678"/>
      <c r="B151" s="1885">
        <v>2006</v>
      </c>
      <c r="C151" s="1640">
        <f>D91</f>
        <v>2087333.91</v>
      </c>
      <c r="D151" s="1640">
        <f>C93</f>
        <v>814536.05</v>
      </c>
      <c r="F151" s="1653"/>
      <c r="G151" s="1653"/>
      <c r="H151" s="1653"/>
      <c r="I151" s="1653"/>
      <c r="J151" s="1879">
        <f t="shared" si="0"/>
        <v>2901869.96</v>
      </c>
    </row>
    <row r="152" spans="1:12" s="1661" customFormat="1" ht="15">
      <c r="A152" s="1678"/>
      <c r="B152" s="1885">
        <v>2007</v>
      </c>
      <c r="C152" s="1640">
        <f>D98</f>
        <v>2430000</v>
      </c>
      <c r="D152" s="1653"/>
      <c r="F152" s="1653"/>
      <c r="G152" s="1640">
        <f>C100</f>
        <v>750000</v>
      </c>
      <c r="H152" s="1653"/>
      <c r="I152" s="1640">
        <f>C102</f>
        <v>100000</v>
      </c>
      <c r="J152" s="1879">
        <f t="shared" si="0"/>
        <v>3280000</v>
      </c>
    </row>
    <row r="153" spans="1:12" s="1661" customFormat="1" ht="15">
      <c r="A153" s="1678"/>
      <c r="B153" s="1885">
        <v>2008</v>
      </c>
      <c r="C153" s="1640">
        <f>D108</f>
        <v>1157483</v>
      </c>
      <c r="D153" s="1653"/>
      <c r="F153" s="1653"/>
      <c r="G153" s="1640">
        <f>C110</f>
        <v>750000</v>
      </c>
      <c r="H153" s="1653"/>
      <c r="I153" s="1640">
        <f>C112</f>
        <v>100000</v>
      </c>
      <c r="J153" s="1879">
        <f t="shared" si="0"/>
        <v>2007483</v>
      </c>
    </row>
    <row r="154" spans="1:12" s="1661" customFormat="1" ht="15">
      <c r="A154" s="1678"/>
      <c r="B154" s="1885">
        <v>2009</v>
      </c>
      <c r="C154" s="1640">
        <f>D117</f>
        <v>1461699</v>
      </c>
      <c r="D154" s="1653"/>
      <c r="F154" s="1653"/>
      <c r="G154" s="1653"/>
      <c r="H154" s="1653"/>
      <c r="I154" s="1653"/>
      <c r="J154" s="1879">
        <f t="shared" si="0"/>
        <v>1461699</v>
      </c>
    </row>
    <row r="155" spans="1:12" s="1661" customFormat="1" ht="15">
      <c r="B155" s="1885">
        <v>2010</v>
      </c>
      <c r="C155" s="1640">
        <f>C121+C122</f>
        <v>900380</v>
      </c>
      <c r="D155" s="1653"/>
      <c r="F155" s="1653"/>
      <c r="G155" s="1653"/>
      <c r="H155" s="1653"/>
      <c r="I155" s="1640">
        <f>C123</f>
        <v>200000</v>
      </c>
      <c r="J155" s="1879">
        <f t="shared" si="0"/>
        <v>1100380</v>
      </c>
    </row>
    <row r="156" spans="1:12" s="1661" customFormat="1" ht="15">
      <c r="B156" s="1885">
        <v>2011</v>
      </c>
      <c r="C156" s="1640">
        <f>C127+C128</f>
        <v>1200000</v>
      </c>
      <c r="D156" s="1653"/>
      <c r="F156" s="1653"/>
      <c r="G156" s="1653"/>
      <c r="H156" s="1653"/>
      <c r="I156" s="1640">
        <v>100000</v>
      </c>
      <c r="J156" s="1879">
        <f t="shared" si="0"/>
        <v>1300000</v>
      </c>
    </row>
    <row r="157" spans="1:12" s="1661" customFormat="1" ht="15">
      <c r="B157" s="1885">
        <v>2012</v>
      </c>
      <c r="C157" s="1640">
        <v>1000000</v>
      </c>
      <c r="D157" s="1653"/>
      <c r="F157" s="1653"/>
      <c r="G157" s="1653"/>
      <c r="H157" s="1653"/>
      <c r="I157" s="1653"/>
      <c r="J157" s="1879">
        <f t="shared" si="0"/>
        <v>1000000</v>
      </c>
    </row>
    <row r="158" spans="1:12" s="1661" customFormat="1" ht="15.75" thickBot="1">
      <c r="B158" s="1885">
        <v>2013</v>
      </c>
      <c r="C158" s="1640">
        <v>1000000</v>
      </c>
      <c r="D158" s="1653"/>
      <c r="F158" s="1653"/>
      <c r="G158" s="1653"/>
      <c r="H158" s="1653"/>
      <c r="I158" s="1653"/>
      <c r="J158" s="1879">
        <f t="shared" si="0"/>
        <v>1000000</v>
      </c>
    </row>
    <row r="159" spans="1:12" s="1661" customFormat="1" ht="15.75" thickBot="1">
      <c r="B159" s="1880"/>
      <c r="C159" s="1881">
        <f>SUM(C137:C157)</f>
        <v>15263158.64687787</v>
      </c>
      <c r="D159" s="1881">
        <f t="shared" ref="D159:J159" si="1">SUM(D137:D156)</f>
        <v>6615168.4301241199</v>
      </c>
      <c r="E159" s="1881">
        <f t="shared" si="1"/>
        <v>858463.65509086545</v>
      </c>
      <c r="F159" s="1881">
        <f t="shared" si="1"/>
        <v>1250000</v>
      </c>
      <c r="G159" s="1881">
        <f t="shared" si="1"/>
        <v>1500000</v>
      </c>
      <c r="H159" s="1881">
        <f t="shared" si="1"/>
        <v>1393000.0495464788</v>
      </c>
      <c r="I159" s="1881">
        <f t="shared" si="1"/>
        <v>500000</v>
      </c>
      <c r="J159" s="1882">
        <f t="shared" si="1"/>
        <v>26379790.781639334</v>
      </c>
    </row>
    <row r="160" spans="1:12" s="1661" customFormat="1" ht="15">
      <c r="C160" s="1674"/>
    </row>
    <row r="161" spans="1:3" s="1661" customFormat="1" ht="15">
      <c r="C161" s="1674"/>
    </row>
    <row r="162" spans="1:3" ht="15.75">
      <c r="A162" s="693" t="s">
        <v>5064</v>
      </c>
    </row>
    <row r="163" spans="1:3" ht="15.75">
      <c r="A163" s="693" t="s">
        <v>5065</v>
      </c>
    </row>
    <row r="164" spans="1:3" s="1661" customFormat="1" ht="15">
      <c r="C164" s="1674"/>
    </row>
    <row r="165" spans="1:3" s="1661" customFormat="1" ht="15">
      <c r="C165" s="1674"/>
    </row>
    <row r="166" spans="1:3" s="1661" customFormat="1" ht="15">
      <c r="C166" s="1674"/>
    </row>
    <row r="167" spans="1:3" s="1661" customFormat="1" ht="15">
      <c r="C167" s="1674"/>
    </row>
    <row r="168" spans="1:3" s="1661" customFormat="1" ht="15">
      <c r="C168" s="1674"/>
    </row>
    <row r="169" spans="1:3" s="1661" customFormat="1" ht="15">
      <c r="C169" s="1674"/>
    </row>
    <row r="170" spans="1:3" s="1661" customFormat="1" ht="15">
      <c r="C170" s="1674"/>
    </row>
  </sheetData>
  <mergeCells count="1">
    <mergeCell ref="A1:M1"/>
  </mergeCells>
  <hyperlinks>
    <hyperlink ref="A1" location="GLOBAAL!A1" display="FINANCIERING VIA OVERBOEKINGEN" xr:uid="{00000000-0004-0000-5200-000000000000}"/>
    <hyperlink ref="A1:M1" location="FINANCIËN!A1" display="FINANCIERING VIA OVERBOEKINGEN" xr:uid="{00000000-0004-0000-5200-000001000000}"/>
  </hyperlinks>
  <pageMargins left="0.75" right="0.75" top="1" bottom="1" header="0.5" footer="0.5"/>
  <pageSetup paperSize="9" orientation="landscape" copies="2" r:id="rId1"/>
  <headerFooter alignWithMargins="0">
    <oddHeader>&amp;A</oddHeader>
    <oddFooter>Pagina &amp;P</oddFooter>
  </headerFooter>
  <rowBreaks count="2" manualBreakCount="2">
    <brk id="137" max="16383" man="1"/>
    <brk id="16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E0C816"/>
  </sheetPr>
  <dimension ref="A1:L17"/>
  <sheetViews>
    <sheetView workbookViewId="0">
      <selection sqref="A1:L1"/>
    </sheetView>
  </sheetViews>
  <sheetFormatPr defaultColWidth="9.140625" defaultRowHeight="12.75"/>
  <cols>
    <col min="1" max="1" width="7.5703125" style="598" customWidth="1"/>
    <col min="2" max="2" width="18.42578125" style="520" bestFit="1" customWidth="1"/>
    <col min="3" max="3" width="16.5703125" style="520" bestFit="1" customWidth="1"/>
    <col min="4" max="4" width="9.28515625" style="520" bestFit="1" customWidth="1"/>
    <col min="5" max="6" width="9.7109375" style="520" bestFit="1" customWidth="1"/>
    <col min="7" max="7" width="12.7109375" style="520" bestFit="1" customWidth="1"/>
    <col min="8" max="8" width="11.7109375" style="520" customWidth="1"/>
    <col min="9" max="9" width="9.28515625" style="520" bestFit="1" customWidth="1"/>
    <col min="10" max="10" width="10" style="520" bestFit="1" customWidth="1"/>
    <col min="11" max="16384" width="9.140625" style="520"/>
  </cols>
  <sheetData>
    <row r="1" spans="1:12" ht="21">
      <c r="A1" s="4829" t="s">
        <v>4697</v>
      </c>
      <c r="B1" s="4830"/>
      <c r="C1" s="4830"/>
      <c r="D1" s="4830"/>
      <c r="E1" s="4830"/>
      <c r="F1" s="4830"/>
      <c r="G1" s="4830"/>
      <c r="H1" s="4830"/>
      <c r="I1" s="4830"/>
      <c r="J1" s="4830"/>
      <c r="K1" s="4830"/>
      <c r="L1" s="4831"/>
    </row>
    <row r="2" spans="1:12" ht="13.5" thickBot="1"/>
    <row r="3" spans="1:12" s="598" customFormat="1" ht="21" customHeight="1" thickBot="1">
      <c r="A3" s="1627"/>
      <c r="B3" s="1628" t="s">
        <v>4698</v>
      </c>
      <c r="C3" s="1629" t="s">
        <v>4699</v>
      </c>
      <c r="D3" s="358" t="s">
        <v>4700</v>
      </c>
      <c r="E3" s="358" t="s">
        <v>4701</v>
      </c>
      <c r="F3" s="358" t="s">
        <v>4702</v>
      </c>
      <c r="G3" s="358" t="s">
        <v>4703</v>
      </c>
      <c r="H3" s="359" t="s">
        <v>4704</v>
      </c>
      <c r="I3" s="358" t="s">
        <v>4705</v>
      </c>
      <c r="J3" s="357" t="s">
        <v>4706</v>
      </c>
    </row>
    <row r="4" spans="1:12">
      <c r="A4" s="815">
        <v>2002</v>
      </c>
      <c r="B4" s="524">
        <v>883333.48</v>
      </c>
      <c r="C4" s="816">
        <v>332953.25</v>
      </c>
      <c r="D4" s="521">
        <v>70401.539999999994</v>
      </c>
      <c r="E4" s="521">
        <v>-511831.45</v>
      </c>
      <c r="F4" s="521">
        <f>B4+D4+E4</f>
        <v>441903.57</v>
      </c>
      <c r="G4" s="521">
        <v>-25839.279999999999</v>
      </c>
      <c r="H4" s="1630">
        <f>F4+G4</f>
        <v>416064.29000000004</v>
      </c>
      <c r="I4" s="521">
        <v>143586.15</v>
      </c>
      <c r="J4" s="522">
        <f>H4+I4</f>
        <v>559650.44000000006</v>
      </c>
    </row>
    <row r="5" spans="1:12">
      <c r="A5" s="815">
        <v>2003</v>
      </c>
      <c r="B5" s="524">
        <v>4217606.55</v>
      </c>
      <c r="C5" s="816">
        <v>1821318.87</v>
      </c>
      <c r="D5" s="521">
        <v>-104600.91</v>
      </c>
      <c r="E5" s="521">
        <v>-2510228.17</v>
      </c>
      <c r="F5" s="521">
        <f>B5+D5+E5</f>
        <v>1602777.4699999997</v>
      </c>
      <c r="G5" s="521">
        <v>413327.74</v>
      </c>
      <c r="H5" s="1630">
        <f t="shared" ref="H5:H14" si="0">F5+G5</f>
        <v>2016105.2099999997</v>
      </c>
      <c r="I5" s="521">
        <v>154973.82</v>
      </c>
      <c r="J5" s="522">
        <f t="shared" ref="J5:J14" si="1">H5+I5</f>
        <v>2171079.0299999998</v>
      </c>
    </row>
    <row r="6" spans="1:12">
      <c r="A6" s="815">
        <v>2004</v>
      </c>
      <c r="B6" s="524">
        <v>809276.24</v>
      </c>
      <c r="C6" s="816">
        <v>693554.6</v>
      </c>
      <c r="D6" s="521">
        <v>401777.74</v>
      </c>
      <c r="E6" s="521">
        <v>-2520449.31</v>
      </c>
      <c r="F6" s="521">
        <f t="shared" ref="F6:F14" si="2">B6+D6+E6</f>
        <v>-1309395.33</v>
      </c>
      <c r="G6" s="521">
        <v>2016105.21</v>
      </c>
      <c r="H6" s="1630">
        <f t="shared" si="0"/>
        <v>706709.87999999989</v>
      </c>
      <c r="I6" s="521">
        <v>138818.28</v>
      </c>
      <c r="J6" s="522">
        <f t="shared" si="1"/>
        <v>845528.15999999992</v>
      </c>
    </row>
    <row r="7" spans="1:12">
      <c r="A7" s="815">
        <v>2005</v>
      </c>
      <c r="B7" s="524">
        <v>2675300.87</v>
      </c>
      <c r="C7" s="816">
        <v>603952.89</v>
      </c>
      <c r="D7" s="521">
        <v>241148.92</v>
      </c>
      <c r="E7" s="521">
        <v>-1536284.99</v>
      </c>
      <c r="F7" s="521">
        <f t="shared" si="2"/>
        <v>1380164.8</v>
      </c>
      <c r="G7" s="521">
        <v>706709.88</v>
      </c>
      <c r="H7" s="1630">
        <f t="shared" si="0"/>
        <v>2086874.6800000002</v>
      </c>
      <c r="I7" s="521">
        <v>186026.44</v>
      </c>
      <c r="J7" s="522">
        <f t="shared" si="1"/>
        <v>2272901.1200000001</v>
      </c>
    </row>
    <row r="8" spans="1:12">
      <c r="A8" s="815">
        <v>2006</v>
      </c>
      <c r="B8" s="524">
        <v>3364879.86</v>
      </c>
      <c r="C8" s="816">
        <v>350482</v>
      </c>
      <c r="D8" s="521">
        <v>-208357.16</v>
      </c>
      <c r="E8" s="521">
        <v>-2901869.96</v>
      </c>
      <c r="F8" s="521">
        <f t="shared" si="2"/>
        <v>254652.73999999976</v>
      </c>
      <c r="G8" s="521">
        <v>2086874.68</v>
      </c>
      <c r="H8" s="1630">
        <f t="shared" si="0"/>
        <v>2341527.42</v>
      </c>
      <c r="I8" s="521">
        <v>188233.31</v>
      </c>
      <c r="J8" s="522">
        <f t="shared" si="1"/>
        <v>2529760.73</v>
      </c>
    </row>
    <row r="9" spans="1:12">
      <c r="A9" s="815">
        <v>2007</v>
      </c>
      <c r="B9" s="524">
        <v>2892111.16</v>
      </c>
      <c r="C9" s="816">
        <v>1196519</v>
      </c>
      <c r="D9" s="521">
        <v>6902.08</v>
      </c>
      <c r="E9" s="521">
        <v>-3280000</v>
      </c>
      <c r="F9" s="521">
        <f t="shared" si="2"/>
        <v>-380986.75999999978</v>
      </c>
      <c r="G9" s="521">
        <v>2341527.42</v>
      </c>
      <c r="H9" s="1630">
        <f t="shared" si="0"/>
        <v>1960540.6600000001</v>
      </c>
      <c r="I9" s="521">
        <v>222244.26</v>
      </c>
      <c r="J9" s="522">
        <f t="shared" si="1"/>
        <v>2182784.92</v>
      </c>
    </row>
    <row r="10" spans="1:12">
      <c r="A10" s="815">
        <v>2008</v>
      </c>
      <c r="B10" s="524">
        <v>855688.69</v>
      </c>
      <c r="C10" s="816">
        <v>150317</v>
      </c>
      <c r="D10" s="521">
        <v>-12965.26</v>
      </c>
      <c r="E10" s="521">
        <v>-2007483.07</v>
      </c>
      <c r="F10" s="521">
        <f t="shared" si="2"/>
        <v>-1164759.6400000001</v>
      </c>
      <c r="G10" s="521">
        <v>1960540.66</v>
      </c>
      <c r="H10" s="1630">
        <f t="shared" si="0"/>
        <v>795781.01999999979</v>
      </c>
      <c r="I10" s="521">
        <v>293377.53999999998</v>
      </c>
      <c r="J10" s="522">
        <f t="shared" si="1"/>
        <v>1089158.5599999998</v>
      </c>
    </row>
    <row r="11" spans="1:12">
      <c r="A11" s="815">
        <v>2009</v>
      </c>
      <c r="B11" s="524">
        <v>2472892.37</v>
      </c>
      <c r="C11" s="816">
        <v>-58795</v>
      </c>
      <c r="D11" s="521">
        <v>-36339.78</v>
      </c>
      <c r="E11" s="521">
        <v>-1481699.49</v>
      </c>
      <c r="F11" s="521">
        <f t="shared" si="2"/>
        <v>954853.10000000033</v>
      </c>
      <c r="G11" s="521">
        <v>795781.02</v>
      </c>
      <c r="H11" s="1630">
        <f t="shared" si="0"/>
        <v>1750634.1200000003</v>
      </c>
      <c r="I11" s="521">
        <v>282712.32000000001</v>
      </c>
      <c r="J11" s="522">
        <f t="shared" si="1"/>
        <v>2033346.4400000004</v>
      </c>
    </row>
    <row r="12" spans="1:12">
      <c r="A12" s="815">
        <v>2010</v>
      </c>
      <c r="B12" s="524">
        <v>1579577.39</v>
      </c>
      <c r="C12" s="816">
        <v>-143402</v>
      </c>
      <c r="D12" s="521">
        <v>74556.77</v>
      </c>
      <c r="E12" s="521">
        <v>-1100380.8</v>
      </c>
      <c r="F12" s="521">
        <f t="shared" si="2"/>
        <v>553753.35999999987</v>
      </c>
      <c r="G12" s="521">
        <v>1750634.12</v>
      </c>
      <c r="H12" s="1630">
        <f t="shared" si="0"/>
        <v>2304387.48</v>
      </c>
      <c r="I12" s="521">
        <v>257834.77</v>
      </c>
      <c r="J12" s="522">
        <f t="shared" si="1"/>
        <v>2562222.25</v>
      </c>
    </row>
    <row r="13" spans="1:12">
      <c r="A13" s="815">
        <v>2011</v>
      </c>
      <c r="B13" s="524">
        <v>874756.4</v>
      </c>
      <c r="C13" s="816">
        <v>-911562</v>
      </c>
      <c r="D13" s="521">
        <v>607758.06999999995</v>
      </c>
      <c r="E13" s="521">
        <v>-1300000</v>
      </c>
      <c r="F13" s="521">
        <f t="shared" si="2"/>
        <v>182514.46999999997</v>
      </c>
      <c r="G13" s="521">
        <v>2304387.48</v>
      </c>
      <c r="H13" s="1630">
        <f t="shared" si="0"/>
        <v>2486901.9500000002</v>
      </c>
      <c r="I13" s="521">
        <v>521031.82</v>
      </c>
      <c r="J13" s="522">
        <f t="shared" si="1"/>
        <v>3007933.77</v>
      </c>
    </row>
    <row r="14" spans="1:12" s="614" customFormat="1">
      <c r="A14" s="815">
        <v>2012</v>
      </c>
      <c r="B14" s="817">
        <v>1197810.69</v>
      </c>
      <c r="C14" s="602">
        <v>-597740</v>
      </c>
      <c r="D14" s="602">
        <v>268734.14</v>
      </c>
      <c r="E14" s="602">
        <v>-1000000</v>
      </c>
      <c r="F14" s="521">
        <f t="shared" si="2"/>
        <v>466544.83000000007</v>
      </c>
      <c r="G14" s="602">
        <v>2486901.9500000002</v>
      </c>
      <c r="H14" s="1630">
        <f t="shared" si="0"/>
        <v>2953446.7800000003</v>
      </c>
      <c r="I14" s="602">
        <v>483570.3</v>
      </c>
      <c r="J14" s="522">
        <f t="shared" si="1"/>
        <v>3437017.08</v>
      </c>
    </row>
    <row r="15" spans="1:12" s="614" customFormat="1">
      <c r="A15" s="815">
        <v>2013</v>
      </c>
      <c r="B15" s="817">
        <v>2749984.35</v>
      </c>
      <c r="C15" s="602">
        <v>393677</v>
      </c>
      <c r="D15" s="602">
        <v>-43664.78</v>
      </c>
      <c r="E15" s="602">
        <v>-3084000</v>
      </c>
      <c r="F15" s="521">
        <f>B15+D15+E15</f>
        <v>-377680.4299999997</v>
      </c>
      <c r="G15" s="602">
        <v>2953446.78</v>
      </c>
      <c r="H15" s="1630">
        <f>F15+G15</f>
        <v>2575766.35</v>
      </c>
      <c r="I15" s="602">
        <v>132960.18</v>
      </c>
      <c r="J15" s="522">
        <f>H15+I15</f>
        <v>2708726.5300000003</v>
      </c>
    </row>
    <row r="16" spans="1:12" s="614" customFormat="1">
      <c r="A16" s="815">
        <v>2014</v>
      </c>
      <c r="B16" s="817"/>
      <c r="C16" s="602"/>
      <c r="D16" s="602"/>
      <c r="E16" s="602"/>
      <c r="F16" s="521"/>
      <c r="G16" s="602"/>
      <c r="H16" s="1630"/>
      <c r="I16" s="602"/>
      <c r="J16" s="522"/>
    </row>
    <row r="17" spans="1:10" ht="13.5" thickBot="1">
      <c r="A17" s="685"/>
      <c r="B17" s="678"/>
      <c r="C17" s="632"/>
      <c r="D17" s="632"/>
      <c r="E17" s="632"/>
      <c r="F17" s="632"/>
      <c r="G17" s="632"/>
      <c r="H17" s="1631"/>
      <c r="I17" s="632"/>
      <c r="J17" s="634"/>
    </row>
  </sheetData>
  <mergeCells count="1">
    <mergeCell ref="A1:L1"/>
  </mergeCells>
  <hyperlinks>
    <hyperlink ref="A1" location="GLOBAAL!A1" display="Saldi gewone dienst" xr:uid="{00000000-0004-0000-5300-000000000000}"/>
    <hyperlink ref="A1:L1" location="FINANCIËN!A1" display="Saldi eigen dienstjaar/autofinancieringsmarge" xr:uid="{00000000-0004-0000-5300-000001000000}"/>
  </hyperlinks>
  <pageMargins left="0.7" right="0.7" top="0.75" bottom="0.75" header="0.3" footer="0.3"/>
  <pageSetup paperSize="9" scale="95"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EBD531"/>
    <pageSetUpPr fitToPage="1"/>
  </sheetPr>
  <dimension ref="A1:Q136"/>
  <sheetViews>
    <sheetView workbookViewId="0">
      <selection sqref="A1:M1"/>
    </sheetView>
  </sheetViews>
  <sheetFormatPr defaultColWidth="9.140625" defaultRowHeight="12.75"/>
  <cols>
    <col min="1" max="1" width="15" style="520" customWidth="1"/>
    <col min="2" max="2" width="10.28515625" style="520" customWidth="1"/>
    <col min="3" max="3" width="10.140625" style="520" bestFit="1" customWidth="1"/>
    <col min="4" max="4" width="10" style="520" customWidth="1"/>
    <col min="5" max="6" width="9.7109375" style="520" bestFit="1" customWidth="1"/>
    <col min="7" max="7" width="10.28515625" style="520" bestFit="1" customWidth="1"/>
    <col min="8" max="8" width="10.28515625" style="520" customWidth="1"/>
    <col min="9" max="9" width="10.140625" style="520" bestFit="1" customWidth="1"/>
    <col min="10" max="10" width="11.140625" style="520" bestFit="1" customWidth="1"/>
    <col min="11" max="11" width="9.140625" style="520"/>
    <col min="12" max="12" width="8.5703125" style="520" customWidth="1"/>
    <col min="13" max="13" width="9.28515625" style="520" customWidth="1"/>
    <col min="14" max="14" width="9.7109375" style="520" bestFit="1" customWidth="1"/>
    <col min="15" max="15" width="9.7109375" style="601" bestFit="1" customWidth="1"/>
    <col min="16" max="16384" width="9.140625" style="520"/>
  </cols>
  <sheetData>
    <row r="1" spans="1:17" ht="21">
      <c r="A1" s="4929" t="s">
        <v>4770</v>
      </c>
      <c r="B1" s="4930"/>
      <c r="C1" s="4930"/>
      <c r="D1" s="4930"/>
      <c r="E1" s="4930"/>
      <c r="F1" s="4930"/>
      <c r="G1" s="4930"/>
      <c r="H1" s="4930"/>
      <c r="I1" s="4930"/>
      <c r="J1" s="4930"/>
      <c r="K1" s="4930"/>
      <c r="L1" s="4930"/>
      <c r="M1" s="4931"/>
    </row>
    <row r="2" spans="1:17" ht="21" thickBot="1">
      <c r="A2" s="626"/>
    </row>
    <row r="3" spans="1:17" ht="13.5" thickBot="1">
      <c r="A3" s="1624" t="s">
        <v>726</v>
      </c>
      <c r="B3" s="4926" t="s">
        <v>986</v>
      </c>
      <c r="C3" s="4927"/>
      <c r="D3" s="4927"/>
      <c r="E3" s="4927"/>
      <c r="F3" s="4927"/>
      <c r="G3" s="4928"/>
      <c r="H3" s="1626" t="s">
        <v>4771</v>
      </c>
      <c r="I3" s="1598"/>
      <c r="J3" s="1597" t="s">
        <v>987</v>
      </c>
      <c r="K3" s="1597"/>
      <c r="L3" s="1597"/>
      <c r="M3" s="1597"/>
      <c r="N3" s="1702"/>
    </row>
    <row r="4" spans="1:17" s="610" customFormat="1">
      <c r="A4" s="528"/>
      <c r="B4" s="528" t="s">
        <v>4772</v>
      </c>
      <c r="C4" s="628" t="s">
        <v>4773</v>
      </c>
      <c r="D4" s="628" t="s">
        <v>47</v>
      </c>
      <c r="E4" s="823" t="s">
        <v>4774</v>
      </c>
      <c r="F4" s="629" t="s">
        <v>4775</v>
      </c>
      <c r="G4" s="683" t="s">
        <v>8</v>
      </c>
      <c r="H4" s="824"/>
      <c r="I4" s="815" t="s">
        <v>4701</v>
      </c>
      <c r="J4" s="529" t="s">
        <v>8</v>
      </c>
      <c r="K4" s="680" t="s">
        <v>4772</v>
      </c>
      <c r="L4" s="680" t="s">
        <v>4773</v>
      </c>
      <c r="M4" s="680" t="s">
        <v>47</v>
      </c>
      <c r="N4" s="825" t="s">
        <v>4776</v>
      </c>
    </row>
    <row r="5" spans="1:17">
      <c r="A5" s="529">
        <v>2005</v>
      </c>
      <c r="B5" s="524">
        <v>41791.47</v>
      </c>
      <c r="C5" s="521">
        <v>5863009.5</v>
      </c>
      <c r="D5" s="521">
        <v>187.62</v>
      </c>
      <c r="E5" s="816">
        <v>0</v>
      </c>
      <c r="F5" s="826">
        <f>567171.82-628500</f>
        <v>-61328.180000000051</v>
      </c>
      <c r="G5" s="827">
        <f t="shared" ref="G5:G11" si="0">SUM(B5:D5)-E5+F5</f>
        <v>5843660.4100000001</v>
      </c>
      <c r="H5" s="828">
        <f t="shared" ref="H5:H10" si="1">G5-J5-I5</f>
        <v>3853600.8500000006</v>
      </c>
      <c r="I5" s="829">
        <v>2400000</v>
      </c>
      <c r="J5" s="684">
        <f t="shared" ref="J5:J11" si="2">SUM(K5:M5)-N5</f>
        <v>-409940.44</v>
      </c>
      <c r="K5" s="602">
        <v>204617.06</v>
      </c>
      <c r="L5" s="602">
        <v>13942.5</v>
      </c>
      <c r="M5" s="602">
        <v>170000</v>
      </c>
      <c r="N5" s="826">
        <f>170000+628500</f>
        <v>798500</v>
      </c>
      <c r="O5" s="520"/>
      <c r="P5" s="830"/>
      <c r="Q5" s="830"/>
    </row>
    <row r="6" spans="1:17">
      <c r="A6" s="529">
        <v>2006</v>
      </c>
      <c r="B6" s="524">
        <v>13950.7</v>
      </c>
      <c r="C6" s="521">
        <v>6180626.8200000003</v>
      </c>
      <c r="D6" s="521">
        <v>2735199.56</v>
      </c>
      <c r="E6" s="816">
        <v>0</v>
      </c>
      <c r="F6" s="826">
        <v>178310.18</v>
      </c>
      <c r="G6" s="827">
        <f t="shared" si="0"/>
        <v>9108087.2599999998</v>
      </c>
      <c r="H6" s="828">
        <f t="shared" si="1"/>
        <v>3521467.6799999997</v>
      </c>
      <c r="I6" s="829">
        <v>4735001.4000000004</v>
      </c>
      <c r="J6" s="684">
        <f t="shared" si="2"/>
        <v>851618.1799999997</v>
      </c>
      <c r="K6" s="602">
        <v>847155.07</v>
      </c>
      <c r="L6" s="602">
        <v>4463.1099999999997</v>
      </c>
      <c r="M6" s="602">
        <v>1945000</v>
      </c>
      <c r="N6" s="826">
        <v>1945000</v>
      </c>
      <c r="O6" s="520"/>
      <c r="P6" s="830"/>
      <c r="Q6" s="830"/>
    </row>
    <row r="7" spans="1:17">
      <c r="A7" s="529">
        <v>2007</v>
      </c>
      <c r="B7" s="524">
        <v>53677.98</v>
      </c>
      <c r="C7" s="521">
        <v>4201206.4800000004</v>
      </c>
      <c r="D7" s="521">
        <v>787762.65</v>
      </c>
      <c r="E7" s="816">
        <v>150000</v>
      </c>
      <c r="F7" s="826">
        <v>446470.37</v>
      </c>
      <c r="G7" s="827">
        <f t="shared" si="0"/>
        <v>5339117.4800000014</v>
      </c>
      <c r="H7" s="828">
        <f t="shared" si="1"/>
        <v>2042333.5000000014</v>
      </c>
      <c r="I7" s="829">
        <v>3058449.48</v>
      </c>
      <c r="J7" s="684">
        <f t="shared" si="2"/>
        <v>238334.5</v>
      </c>
      <c r="K7" s="602">
        <v>224139.16</v>
      </c>
      <c r="L7" s="602">
        <v>11732.94</v>
      </c>
      <c r="M7" s="602">
        <v>3779462.4</v>
      </c>
      <c r="N7" s="826">
        <v>3777000</v>
      </c>
      <c r="O7" s="520"/>
      <c r="P7" s="830"/>
      <c r="Q7" s="830"/>
    </row>
    <row r="8" spans="1:17">
      <c r="A8" s="529">
        <v>2008</v>
      </c>
      <c r="B8" s="524">
        <v>63314.79</v>
      </c>
      <c r="C8" s="521">
        <v>3881323.72</v>
      </c>
      <c r="D8" s="521">
        <v>82704.11</v>
      </c>
      <c r="E8" s="816">
        <v>25000</v>
      </c>
      <c r="F8" s="826">
        <v>-390462.52</v>
      </c>
      <c r="G8" s="827">
        <f t="shared" si="0"/>
        <v>3611880.1</v>
      </c>
      <c r="H8" s="828">
        <f t="shared" si="1"/>
        <v>1834734.9799999997</v>
      </c>
      <c r="I8" s="829">
        <v>1157483.07</v>
      </c>
      <c r="J8" s="684">
        <f t="shared" si="2"/>
        <v>619662.05000000005</v>
      </c>
      <c r="K8" s="602">
        <v>619510.05000000005</v>
      </c>
      <c r="L8" s="602">
        <v>152</v>
      </c>
      <c r="M8" s="602">
        <v>0</v>
      </c>
      <c r="N8" s="826">
        <v>0</v>
      </c>
      <c r="O8" s="520"/>
      <c r="P8" s="830"/>
      <c r="Q8" s="830"/>
    </row>
    <row r="9" spans="1:17">
      <c r="A9" s="529">
        <v>2009</v>
      </c>
      <c r="B9" s="524">
        <v>71300</v>
      </c>
      <c r="C9" s="521">
        <v>2237270.91</v>
      </c>
      <c r="D9" s="521">
        <f>319033.16</f>
        <v>319033.15999999997</v>
      </c>
      <c r="E9" s="816">
        <f>19916+85000</f>
        <v>104916</v>
      </c>
      <c r="F9" s="831">
        <f>1620531.49-899483-1125442.56</f>
        <v>-404394.07000000007</v>
      </c>
      <c r="G9" s="827">
        <f t="shared" si="0"/>
        <v>2118294</v>
      </c>
      <c r="H9" s="828">
        <f t="shared" si="1"/>
        <v>-284368.82000000007</v>
      </c>
      <c r="I9" s="829">
        <f>1481699.49+7000</f>
        <v>1488699.49</v>
      </c>
      <c r="J9" s="684">
        <f t="shared" si="2"/>
        <v>913963.33000000007</v>
      </c>
      <c r="K9" s="602">
        <v>868520.86</v>
      </c>
      <c r="L9" s="602">
        <v>45442.47</v>
      </c>
      <c r="M9" s="602">
        <v>5440488</v>
      </c>
      <c r="N9" s="826">
        <f>5160572+279916</f>
        <v>5440488</v>
      </c>
      <c r="O9" s="520"/>
      <c r="P9" s="830"/>
      <c r="Q9" s="830"/>
    </row>
    <row r="10" spans="1:17">
      <c r="A10" s="529">
        <v>2010</v>
      </c>
      <c r="B10" s="524">
        <v>613457.68000000005</v>
      </c>
      <c r="C10" s="521">
        <v>4934357.66</v>
      </c>
      <c r="D10" s="521">
        <v>1930612.8</v>
      </c>
      <c r="E10" s="816">
        <f>67000</f>
        <v>67000</v>
      </c>
      <c r="F10" s="831">
        <v>-5085</v>
      </c>
      <c r="G10" s="827">
        <f t="shared" si="0"/>
        <v>7406343.1399999997</v>
      </c>
      <c r="H10" s="828">
        <f t="shared" si="1"/>
        <v>4388283.0299999993</v>
      </c>
      <c r="I10" s="829">
        <f>900380</f>
        <v>900380</v>
      </c>
      <c r="J10" s="684">
        <f t="shared" si="2"/>
        <v>2117680.11</v>
      </c>
      <c r="K10" s="602">
        <v>1423899.88</v>
      </c>
      <c r="L10" s="602">
        <v>0</v>
      </c>
      <c r="M10" s="602">
        <v>1346780.23</v>
      </c>
      <c r="N10" s="826">
        <v>653000</v>
      </c>
      <c r="O10" s="520"/>
      <c r="P10" s="830"/>
      <c r="Q10" s="830"/>
    </row>
    <row r="11" spans="1:17">
      <c r="A11" s="529">
        <v>2011</v>
      </c>
      <c r="B11" s="524">
        <v>209075.77</v>
      </c>
      <c r="C11" s="521">
        <v>5561667.2999999998</v>
      </c>
      <c r="D11" s="521">
        <v>580480.43999999994</v>
      </c>
      <c r="E11" s="816">
        <v>535220</v>
      </c>
      <c r="F11" s="831">
        <v>-43478.04</v>
      </c>
      <c r="G11" s="827">
        <f t="shared" si="0"/>
        <v>5772525.4699999997</v>
      </c>
      <c r="H11" s="828">
        <f>G11-J11-I11</f>
        <v>1854264.7699999996</v>
      </c>
      <c r="I11" s="829">
        <v>1200000</v>
      </c>
      <c r="J11" s="684">
        <f t="shared" si="2"/>
        <v>2718260.7</v>
      </c>
      <c r="K11" s="602">
        <v>1596661.48</v>
      </c>
      <c r="L11" s="602">
        <v>537315.79</v>
      </c>
      <c r="M11" s="602">
        <v>954283.43</v>
      </c>
      <c r="N11" s="826">
        <v>370000</v>
      </c>
      <c r="O11" s="520"/>
      <c r="P11" s="830"/>
      <c r="Q11" s="830"/>
    </row>
    <row r="12" spans="1:17">
      <c r="A12" s="529">
        <v>2012</v>
      </c>
      <c r="B12" s="524">
        <v>344248.56</v>
      </c>
      <c r="C12" s="521">
        <v>4002240.52</v>
      </c>
      <c r="D12" s="521">
        <v>7011998.0800000001</v>
      </c>
      <c r="E12" s="816">
        <v>6818560</v>
      </c>
      <c r="F12" s="831">
        <v>6.46</v>
      </c>
      <c r="G12" s="827">
        <f>SUM(B12:D12)-E12+F12</f>
        <v>4539933.62</v>
      </c>
      <c r="H12" s="828">
        <f>G12-J12-I12</f>
        <v>2437544.7999999998</v>
      </c>
      <c r="I12" s="829">
        <v>1000000</v>
      </c>
      <c r="J12" s="684">
        <f>SUM(K12:M12)-N12</f>
        <v>1102388.8200000003</v>
      </c>
      <c r="K12" s="602">
        <v>1048429.27</v>
      </c>
      <c r="L12" s="602">
        <v>53959.55</v>
      </c>
      <c r="M12" s="602">
        <v>5420000</v>
      </c>
      <c r="N12" s="826">
        <v>5420000</v>
      </c>
      <c r="O12" s="520"/>
      <c r="P12" s="830"/>
      <c r="Q12" s="830"/>
    </row>
    <row r="13" spans="1:17" ht="13.5" thickBot="1">
      <c r="A13" s="532">
        <v>2013</v>
      </c>
      <c r="B13" s="832">
        <v>137533.13</v>
      </c>
      <c r="C13" s="605">
        <v>2521628.5499999998</v>
      </c>
      <c r="D13" s="605">
        <v>509667.86</v>
      </c>
      <c r="E13" s="605">
        <v>509377.29</v>
      </c>
      <c r="F13" s="833">
        <v>570779.59</v>
      </c>
      <c r="G13" s="834">
        <f>SUM(B13:D13)-E13+F13</f>
        <v>3230231.8399999994</v>
      </c>
      <c r="H13" s="835">
        <f>G13-J13-I13</f>
        <v>-2413966.0200000005</v>
      </c>
      <c r="I13" s="813">
        <v>4584000</v>
      </c>
      <c r="J13" s="836">
        <f>SUM(K13:M13)-N13</f>
        <v>1060197.8600000001</v>
      </c>
      <c r="K13" s="605">
        <v>1035043.24</v>
      </c>
      <c r="L13" s="605">
        <v>24345.119999999999</v>
      </c>
      <c r="M13" s="605">
        <v>809.5</v>
      </c>
      <c r="N13" s="837">
        <v>0</v>
      </c>
      <c r="O13" s="520"/>
      <c r="P13" s="830"/>
      <c r="Q13" s="830"/>
    </row>
    <row r="14" spans="1:17">
      <c r="P14" s="830"/>
      <c r="Q14" s="627"/>
    </row>
    <row r="15" spans="1:17">
      <c r="P15" s="830"/>
    </row>
    <row r="16" spans="1:17">
      <c r="F16" s="523" t="s">
        <v>4711</v>
      </c>
      <c r="G16" s="523" t="s">
        <v>2583</v>
      </c>
      <c r="H16" s="523" t="s">
        <v>4777</v>
      </c>
      <c r="I16" s="819">
        <f>SUM(H9:H13)/5</f>
        <v>1196351.5519999994</v>
      </c>
      <c r="P16" s="627"/>
    </row>
    <row r="17" spans="1:17">
      <c r="G17" s="523"/>
      <c r="H17" s="523" t="s">
        <v>4778</v>
      </c>
      <c r="I17" s="819"/>
    </row>
    <row r="18" spans="1:17">
      <c r="Q18" s="627">
        <f>SUM(Q14+P16)</f>
        <v>0</v>
      </c>
    </row>
    <row r="20" spans="1:17" ht="15.75">
      <c r="A20" s="693" t="s">
        <v>4779</v>
      </c>
    </row>
    <row r="21" spans="1:17" ht="13.5" thickBot="1">
      <c r="K21" s="1706"/>
    </row>
    <row r="22" spans="1:17" ht="13.5" thickBot="1">
      <c r="A22" s="1703"/>
      <c r="B22" s="1597" t="s">
        <v>4780</v>
      </c>
      <c r="C22" s="1704" t="s">
        <v>626</v>
      </c>
      <c r="D22" s="1704" t="s">
        <v>4781</v>
      </c>
      <c r="E22" s="1705" t="s">
        <v>4782</v>
      </c>
    </row>
    <row r="23" spans="1:17" ht="15">
      <c r="A23" s="815">
        <v>2005</v>
      </c>
      <c r="B23" s="630">
        <v>9043960</v>
      </c>
      <c r="C23" s="630">
        <v>6045328</v>
      </c>
      <c r="D23" s="630">
        <f t="shared" ref="D23:D31" si="3">B23-C23</f>
        <v>2998632</v>
      </c>
      <c r="E23" s="818">
        <f t="shared" ref="E23:E31" si="4">C23/B23</f>
        <v>0.66843816204406037</v>
      </c>
    </row>
    <row r="24" spans="1:17" ht="15">
      <c r="A24" s="815">
        <v>2006</v>
      </c>
      <c r="B24" s="630">
        <v>8640431</v>
      </c>
      <c r="C24" s="630">
        <f>9108087</f>
        <v>9108087</v>
      </c>
      <c r="D24" s="630">
        <f t="shared" si="3"/>
        <v>-467656</v>
      </c>
      <c r="E24" s="818">
        <f t="shared" si="4"/>
        <v>1.054124151908626</v>
      </c>
    </row>
    <row r="25" spans="1:17" ht="15">
      <c r="A25" s="815">
        <v>2007</v>
      </c>
      <c r="B25" s="630">
        <v>8334346</v>
      </c>
      <c r="C25" s="630">
        <v>5489742</v>
      </c>
      <c r="D25" s="630">
        <f t="shared" si="3"/>
        <v>2844604</v>
      </c>
      <c r="E25" s="818">
        <f t="shared" si="4"/>
        <v>0.65868899611319232</v>
      </c>
    </row>
    <row r="26" spans="1:17" ht="15">
      <c r="A26" s="815">
        <v>2008</v>
      </c>
      <c r="B26" s="630">
        <v>8511820</v>
      </c>
      <c r="C26" s="630">
        <v>3675271</v>
      </c>
      <c r="D26" s="630">
        <f t="shared" si="3"/>
        <v>4836549</v>
      </c>
      <c r="E26" s="818">
        <f t="shared" si="4"/>
        <v>0.43178438923755436</v>
      </c>
    </row>
    <row r="27" spans="1:17" ht="15">
      <c r="A27" s="815">
        <v>2009</v>
      </c>
      <c r="B27" s="630">
        <v>13787281</v>
      </c>
      <c r="C27" s="630">
        <v>4248135</v>
      </c>
      <c r="D27" s="630">
        <f t="shared" si="3"/>
        <v>9539146</v>
      </c>
      <c r="E27" s="818">
        <f t="shared" si="4"/>
        <v>0.30811985336340064</v>
      </c>
    </row>
    <row r="28" spans="1:17" ht="15">
      <c r="A28" s="815">
        <v>2010</v>
      </c>
      <c r="B28" s="630">
        <v>17638902</v>
      </c>
      <c r="C28" s="630">
        <v>7473343</v>
      </c>
      <c r="D28" s="630">
        <f t="shared" si="3"/>
        <v>10165559</v>
      </c>
      <c r="E28" s="818">
        <f t="shared" si="4"/>
        <v>0.42368527247330928</v>
      </c>
    </row>
    <row r="29" spans="1:17" ht="15">
      <c r="A29" s="815">
        <v>2011</v>
      </c>
      <c r="B29" s="630">
        <v>19518252</v>
      </c>
      <c r="C29" s="630">
        <v>6394701.5499999998</v>
      </c>
      <c r="D29" s="630">
        <f t="shared" si="3"/>
        <v>13123550.449999999</v>
      </c>
      <c r="E29" s="818">
        <f t="shared" si="4"/>
        <v>0.32762675417860165</v>
      </c>
    </row>
    <row r="30" spans="1:17" ht="15">
      <c r="A30" s="815">
        <v>2012</v>
      </c>
      <c r="B30" s="630">
        <v>17981814</v>
      </c>
      <c r="C30" s="630">
        <v>11358487</v>
      </c>
      <c r="D30" s="630">
        <f t="shared" si="3"/>
        <v>6623327</v>
      </c>
      <c r="E30" s="818">
        <f t="shared" si="4"/>
        <v>0.63166524801112944</v>
      </c>
    </row>
    <row r="31" spans="1:17" ht="15.75" thickBot="1">
      <c r="A31" s="685">
        <v>2013</v>
      </c>
      <c r="B31" s="633">
        <v>8955510</v>
      </c>
      <c r="C31" s="633">
        <v>3168829.54</v>
      </c>
      <c r="D31" s="633">
        <f t="shared" si="3"/>
        <v>5786680.46</v>
      </c>
      <c r="E31" s="838">
        <f t="shared" si="4"/>
        <v>0.35384132673627744</v>
      </c>
    </row>
    <row r="36" spans="1:17" ht="13.5" thickBot="1"/>
    <row r="37" spans="1:17" ht="15.75" thickBot="1">
      <c r="A37" s="1714" t="s">
        <v>623</v>
      </c>
      <c r="B37" s="4932" t="s">
        <v>4783</v>
      </c>
      <c r="C37" s="4932"/>
      <c r="D37" s="4932"/>
      <c r="E37" s="1720"/>
      <c r="F37" s="1715" t="s">
        <v>986</v>
      </c>
      <c r="G37" s="1716" t="s">
        <v>4784</v>
      </c>
      <c r="H37" s="1717" t="s">
        <v>4785</v>
      </c>
      <c r="I37" s="1718">
        <v>2004</v>
      </c>
      <c r="J37" s="1718">
        <v>2005</v>
      </c>
      <c r="K37" s="1714">
        <v>2006</v>
      </c>
      <c r="L37" s="1718">
        <v>2007</v>
      </c>
      <c r="M37" s="1718">
        <v>2008</v>
      </c>
      <c r="N37" s="1718">
        <v>2009</v>
      </c>
      <c r="O37" s="1718">
        <v>2010</v>
      </c>
      <c r="P37" s="1718">
        <v>2011</v>
      </c>
      <c r="Q37" s="1719">
        <v>2012</v>
      </c>
    </row>
    <row r="38" spans="1:17">
      <c r="A38" s="526"/>
      <c r="B38" s="619"/>
      <c r="C38" s="619"/>
      <c r="D38" s="619"/>
      <c r="E38" s="619"/>
      <c r="F38" s="679"/>
      <c r="G38" s="676"/>
      <c r="H38" s="681"/>
      <c r="I38" s="839"/>
      <c r="J38" s="839"/>
      <c r="K38" s="840"/>
      <c r="L38" s="839"/>
      <c r="M38" s="839"/>
      <c r="N38" s="839"/>
      <c r="O38" s="839"/>
      <c r="P38" s="839"/>
      <c r="Q38" s="841"/>
    </row>
    <row r="39" spans="1:17" ht="15">
      <c r="A39" s="526" t="s">
        <v>4786</v>
      </c>
      <c r="B39" s="631" t="s">
        <v>4787</v>
      </c>
      <c r="C39" s="619"/>
      <c r="D39" s="619"/>
      <c r="E39" s="619"/>
      <c r="F39" s="817">
        <f>SUM(F40:F41)</f>
        <v>7660148.0800000001</v>
      </c>
      <c r="G39" s="602"/>
      <c r="H39" s="842">
        <f>F39-G39</f>
        <v>7660148.0800000001</v>
      </c>
      <c r="I39" s="521">
        <f>SUM(I40:I41)</f>
        <v>247000</v>
      </c>
      <c r="J39" s="521">
        <f t="shared" ref="J39:O39" si="5">SUM(J40:J41)</f>
        <v>3031749.58</v>
      </c>
      <c r="K39" s="524">
        <f t="shared" si="5"/>
        <v>2456641.2199999997</v>
      </c>
      <c r="L39" s="521">
        <f t="shared" si="5"/>
        <v>889508.56</v>
      </c>
      <c r="M39" s="521">
        <f t="shared" si="5"/>
        <v>987046.04</v>
      </c>
      <c r="N39" s="521">
        <f t="shared" si="5"/>
        <v>38670.119999999995</v>
      </c>
      <c r="O39" s="521">
        <f t="shared" si="5"/>
        <v>9532.56</v>
      </c>
      <c r="P39" s="521"/>
      <c r="Q39" s="841"/>
    </row>
    <row r="40" spans="1:17" ht="15">
      <c r="A40" s="843" t="s">
        <v>4788</v>
      </c>
      <c r="B40" s="820" t="s">
        <v>4789</v>
      </c>
      <c r="C40" s="619"/>
      <c r="D40" s="619"/>
      <c r="E40" s="619"/>
      <c r="F40" s="844">
        <f>SUM(I40:P40)</f>
        <v>6903506.8600000003</v>
      </c>
      <c r="G40" s="816"/>
      <c r="H40" s="845">
        <f t="shared" ref="H40:H106" si="6">F40-G40</f>
        <v>6903506.8600000003</v>
      </c>
      <c r="I40" s="816">
        <f>247000</f>
        <v>247000</v>
      </c>
      <c r="J40" s="816">
        <f>3040375.43-8625.85</f>
        <v>3031749.58</v>
      </c>
      <c r="K40" s="844">
        <f>1700000</f>
        <v>1700000</v>
      </c>
      <c r="L40" s="816">
        <f>893137.54-3628.98</f>
        <v>889508.56</v>
      </c>
      <c r="M40" s="816">
        <f>1002750.29-6530.31-9173.94</f>
        <v>987046.04</v>
      </c>
      <c r="N40" s="816">
        <f>38928.2-258.08</f>
        <v>38670.119999999995</v>
      </c>
      <c r="O40" s="816">
        <v>9532.56</v>
      </c>
      <c r="P40" s="816"/>
      <c r="Q40" s="846"/>
    </row>
    <row r="41" spans="1:17" ht="15">
      <c r="A41" s="843" t="s">
        <v>4790</v>
      </c>
      <c r="B41" s="1713" t="s">
        <v>4791</v>
      </c>
      <c r="C41" s="619"/>
      <c r="D41" s="619"/>
      <c r="E41" s="619"/>
      <c r="F41" s="844">
        <f>SUM(I41:Q41)</f>
        <v>756641.22</v>
      </c>
      <c r="G41" s="847">
        <f>414398.14+103599.54</f>
        <v>517997.68</v>
      </c>
      <c r="H41" s="845">
        <f t="shared" si="6"/>
        <v>238643.53999999998</v>
      </c>
      <c r="I41" s="816"/>
      <c r="J41" s="816"/>
      <c r="K41" s="844">
        <v>756641.22</v>
      </c>
      <c r="L41" s="816"/>
      <c r="M41" s="816"/>
      <c r="N41" s="816"/>
      <c r="O41" s="816"/>
      <c r="P41" s="816"/>
      <c r="Q41" s="846"/>
    </row>
    <row r="42" spans="1:17" ht="15">
      <c r="A42" s="526"/>
      <c r="B42" s="619"/>
      <c r="C42" s="619"/>
      <c r="D42" s="619"/>
      <c r="E42" s="619"/>
      <c r="F42" s="817"/>
      <c r="G42" s="602"/>
      <c r="H42" s="842"/>
      <c r="I42" s="521"/>
      <c r="J42" s="521"/>
      <c r="K42" s="524"/>
      <c r="L42" s="521"/>
      <c r="M42" s="521"/>
      <c r="N42" s="521"/>
      <c r="O42" s="521"/>
      <c r="P42" s="521"/>
      <c r="Q42" s="841"/>
    </row>
    <row r="43" spans="1:17" ht="15">
      <c r="A43" s="526" t="s">
        <v>4792</v>
      </c>
      <c r="B43" s="619" t="s">
        <v>4793</v>
      </c>
      <c r="C43" s="619"/>
      <c r="D43" s="619"/>
      <c r="E43" s="619"/>
      <c r="F43" s="817">
        <f>SUM(I43:Q43)</f>
        <v>241475.90999999997</v>
      </c>
      <c r="G43" s="602"/>
      <c r="H43" s="842">
        <f t="shared" si="6"/>
        <v>241475.90999999997</v>
      </c>
      <c r="I43" s="521"/>
      <c r="J43" s="521"/>
      <c r="K43" s="524">
        <v>15297.52</v>
      </c>
      <c r="L43" s="521">
        <f>47138.97-3536.18</f>
        <v>43602.79</v>
      </c>
      <c r="M43" s="521">
        <f>63057.07-2239.67</f>
        <v>60817.4</v>
      </c>
      <c r="N43" s="521">
        <v>10610.92</v>
      </c>
      <c r="O43" s="521">
        <v>38682.1</v>
      </c>
      <c r="P43" s="521">
        <v>72465.179999999993</v>
      </c>
      <c r="Q43" s="841"/>
    </row>
    <row r="44" spans="1:17" ht="15">
      <c r="A44" s="526"/>
      <c r="B44" s="619"/>
      <c r="C44" s="619"/>
      <c r="D44" s="619"/>
      <c r="E44" s="619"/>
      <c r="F44" s="817"/>
      <c r="G44" s="602"/>
      <c r="H44" s="842"/>
      <c r="I44" s="521"/>
      <c r="J44" s="521"/>
      <c r="K44" s="524"/>
      <c r="L44" s="521"/>
      <c r="M44" s="521"/>
      <c r="N44" s="521"/>
      <c r="O44" s="521"/>
      <c r="P44" s="521"/>
      <c r="Q44" s="841"/>
    </row>
    <row r="45" spans="1:17" ht="15">
      <c r="A45" s="526" t="s">
        <v>4794</v>
      </c>
      <c r="B45" s="619" t="s">
        <v>4795</v>
      </c>
      <c r="C45" s="619"/>
      <c r="D45" s="619"/>
      <c r="E45" s="619"/>
      <c r="F45" s="817">
        <f>SUM(I45:Q45)</f>
        <v>309709.97000000003</v>
      </c>
      <c r="G45" s="830">
        <f>150000</f>
        <v>150000</v>
      </c>
      <c r="H45" s="842">
        <f t="shared" si="6"/>
        <v>159709.97000000003</v>
      </c>
      <c r="I45" s="521"/>
      <c r="J45" s="521"/>
      <c r="K45" s="524">
        <f>35461.29-848.64</f>
        <v>34612.65</v>
      </c>
      <c r="L45" s="521"/>
      <c r="M45" s="521">
        <v>249825.07</v>
      </c>
      <c r="N45" s="521"/>
      <c r="O45" s="521"/>
      <c r="P45" s="521">
        <v>25272.25</v>
      </c>
      <c r="Q45" s="841"/>
    </row>
    <row r="46" spans="1:17" ht="15">
      <c r="A46" s="526"/>
      <c r="B46" s="619"/>
      <c r="C46" s="619"/>
      <c r="D46" s="619"/>
      <c r="E46" s="619"/>
      <c r="F46" s="817"/>
      <c r="G46" s="830"/>
      <c r="H46" s="842"/>
      <c r="I46" s="521"/>
      <c r="J46" s="521"/>
      <c r="K46" s="524"/>
      <c r="L46" s="521"/>
      <c r="M46" s="521"/>
      <c r="N46" s="521"/>
      <c r="O46" s="521"/>
      <c r="P46" s="521"/>
      <c r="Q46" s="841"/>
    </row>
    <row r="47" spans="1:17" ht="15">
      <c r="A47" s="526" t="s">
        <v>4796</v>
      </c>
      <c r="B47" s="619" t="s">
        <v>4797</v>
      </c>
      <c r="C47" s="619"/>
      <c r="D47" s="619"/>
      <c r="E47" s="619"/>
      <c r="F47" s="817">
        <f>SUM(I47:Q47)</f>
        <v>534036.52</v>
      </c>
      <c r="G47" s="830">
        <f>4831.53+1013.69+1994.24+31253.57+13956.44+1122.13+5767.6+18154.12+15950.22</f>
        <v>94043.54</v>
      </c>
      <c r="H47" s="842">
        <f t="shared" si="6"/>
        <v>439992.98000000004</v>
      </c>
      <c r="I47" s="521"/>
      <c r="J47" s="521"/>
      <c r="K47" s="524">
        <f>67731.25-497.53</f>
        <v>67233.72</v>
      </c>
      <c r="L47" s="521">
        <v>98556.479999999996</v>
      </c>
      <c r="M47" s="521">
        <f>48158.77-49.23</f>
        <v>48109.539999999994</v>
      </c>
      <c r="N47" s="521">
        <f>69645.23-55.72</f>
        <v>69589.509999999995</v>
      </c>
      <c r="O47" s="521">
        <f>111131.27</f>
        <v>111131.27</v>
      </c>
      <c r="P47" s="521">
        <v>139416</v>
      </c>
      <c r="Q47" s="841"/>
    </row>
    <row r="48" spans="1:17" ht="15">
      <c r="A48" s="526"/>
      <c r="B48" s="619"/>
      <c r="C48" s="619"/>
      <c r="D48" s="619"/>
      <c r="E48" s="619"/>
      <c r="F48" s="817"/>
      <c r="G48" s="602"/>
      <c r="H48" s="842"/>
      <c r="I48" s="521"/>
      <c r="J48" s="521"/>
      <c r="K48" s="524"/>
      <c r="L48" s="521"/>
      <c r="M48" s="521"/>
      <c r="N48" s="521"/>
      <c r="O48" s="521"/>
      <c r="P48" s="521"/>
      <c r="Q48" s="841"/>
    </row>
    <row r="49" spans="1:17" ht="15">
      <c r="A49" s="526" t="s">
        <v>4798</v>
      </c>
      <c r="B49" s="691" t="s">
        <v>4799</v>
      </c>
      <c r="C49" s="619"/>
      <c r="D49" s="619"/>
      <c r="E49" s="619"/>
      <c r="F49" s="817">
        <f t="shared" ref="F49:F54" si="7">SUM(I49:Q49)</f>
        <v>4964383.07</v>
      </c>
      <c r="G49" s="602"/>
      <c r="H49" s="842">
        <f t="shared" si="6"/>
        <v>4964383.07</v>
      </c>
      <c r="I49" s="521"/>
      <c r="J49" s="521"/>
      <c r="K49" s="524"/>
      <c r="L49" s="521">
        <f>SUM(L50:L55)</f>
        <v>1621147.0699999998</v>
      </c>
      <c r="M49" s="521">
        <f>SUM(M50:M55)</f>
        <v>115340</v>
      </c>
      <c r="N49" s="521"/>
      <c r="O49" s="521"/>
      <c r="P49" s="521">
        <f>P54</f>
        <v>3227896</v>
      </c>
      <c r="Q49" s="841"/>
    </row>
    <row r="50" spans="1:17" ht="15">
      <c r="A50" s="843" t="s">
        <v>4800</v>
      </c>
      <c r="B50" s="820" t="s">
        <v>4801</v>
      </c>
      <c r="C50" s="619"/>
      <c r="D50" s="619"/>
      <c r="E50" s="619"/>
      <c r="F50" s="844">
        <f t="shared" si="7"/>
        <v>463345.82</v>
      </c>
      <c r="G50" s="816"/>
      <c r="H50" s="845">
        <f t="shared" si="6"/>
        <v>463345.82</v>
      </c>
      <c r="I50" s="816"/>
      <c r="J50" s="816"/>
      <c r="K50" s="844"/>
      <c r="L50" s="816">
        <v>463345.82</v>
      </c>
      <c r="M50" s="816"/>
      <c r="N50" s="816"/>
      <c r="O50" s="816"/>
      <c r="P50" s="816"/>
      <c r="Q50" s="846"/>
    </row>
    <row r="51" spans="1:17" ht="15">
      <c r="A51" s="843" t="s">
        <v>4802</v>
      </c>
      <c r="B51" s="820" t="s">
        <v>4803</v>
      </c>
      <c r="C51" s="619"/>
      <c r="D51" s="619"/>
      <c r="E51" s="619"/>
      <c r="F51" s="844">
        <f t="shared" si="7"/>
        <v>436755.31</v>
      </c>
      <c r="G51" s="816"/>
      <c r="H51" s="845">
        <f t="shared" si="6"/>
        <v>436755.31</v>
      </c>
      <c r="I51" s="816"/>
      <c r="J51" s="816"/>
      <c r="K51" s="844"/>
      <c r="L51" s="816">
        <v>436755.31</v>
      </c>
      <c r="M51" s="816"/>
      <c r="N51" s="816"/>
      <c r="O51" s="816"/>
      <c r="P51" s="816"/>
      <c r="Q51" s="846"/>
    </row>
    <row r="52" spans="1:17" ht="15">
      <c r="A52" s="843" t="s">
        <v>4804</v>
      </c>
      <c r="B52" s="820" t="s">
        <v>4805</v>
      </c>
      <c r="C52" s="619"/>
      <c r="D52" s="619"/>
      <c r="E52" s="619"/>
      <c r="F52" s="844">
        <f t="shared" si="7"/>
        <v>721045.94</v>
      </c>
      <c r="G52" s="816"/>
      <c r="H52" s="845">
        <f t="shared" si="6"/>
        <v>721045.94</v>
      </c>
      <c r="I52" s="816"/>
      <c r="J52" s="816"/>
      <c r="K52" s="844"/>
      <c r="L52" s="816">
        <v>721045.94</v>
      </c>
      <c r="M52" s="816"/>
      <c r="N52" s="816"/>
      <c r="O52" s="816"/>
      <c r="P52" s="816"/>
      <c r="Q52" s="846"/>
    </row>
    <row r="53" spans="1:17" ht="15">
      <c r="A53" s="843" t="s">
        <v>4806</v>
      </c>
      <c r="B53" s="820" t="s">
        <v>4807</v>
      </c>
      <c r="C53" s="619"/>
      <c r="D53" s="619"/>
      <c r="E53" s="619"/>
      <c r="F53" s="844">
        <f t="shared" si="7"/>
        <v>115340</v>
      </c>
      <c r="G53" s="816"/>
      <c r="H53" s="845">
        <f t="shared" si="6"/>
        <v>115340</v>
      </c>
      <c r="I53" s="816"/>
      <c r="J53" s="816"/>
      <c r="K53" s="844"/>
      <c r="L53" s="816"/>
      <c r="M53" s="816">
        <f>50000+15340+50000</f>
        <v>115340</v>
      </c>
      <c r="N53" s="816"/>
      <c r="O53" s="816"/>
      <c r="P53" s="816"/>
      <c r="Q53" s="846"/>
    </row>
    <row r="54" spans="1:17" ht="15">
      <c r="A54" s="843" t="s">
        <v>4808</v>
      </c>
      <c r="B54" s="1713" t="s">
        <v>4809</v>
      </c>
      <c r="C54" s="619"/>
      <c r="D54" s="619"/>
      <c r="E54" s="619"/>
      <c r="F54" s="844">
        <f t="shared" si="7"/>
        <v>3227896</v>
      </c>
      <c r="G54" s="816"/>
      <c r="H54" s="845">
        <f t="shared" si="6"/>
        <v>3227896</v>
      </c>
      <c r="I54" s="816"/>
      <c r="J54" s="816"/>
      <c r="K54" s="844"/>
      <c r="L54" s="816"/>
      <c r="M54" s="816"/>
      <c r="N54" s="816"/>
      <c r="O54" s="816"/>
      <c r="P54" s="816">
        <v>3227896</v>
      </c>
      <c r="Q54" s="846"/>
    </row>
    <row r="55" spans="1:17" ht="15">
      <c r="A55" s="526"/>
      <c r="B55" s="619"/>
      <c r="C55" s="619"/>
      <c r="D55" s="619"/>
      <c r="E55" s="619"/>
      <c r="F55" s="817"/>
      <c r="G55" s="602"/>
      <c r="H55" s="842"/>
      <c r="I55" s="521"/>
      <c r="J55" s="521"/>
      <c r="K55" s="524"/>
      <c r="L55" s="521"/>
      <c r="M55" s="521"/>
      <c r="N55" s="521"/>
      <c r="O55" s="521"/>
      <c r="P55" s="521"/>
      <c r="Q55" s="841"/>
    </row>
    <row r="56" spans="1:17" ht="15">
      <c r="A56" s="526" t="s">
        <v>4810</v>
      </c>
      <c r="B56" s="619" t="s">
        <v>4811</v>
      </c>
      <c r="C56" s="619"/>
      <c r="D56" s="619"/>
      <c r="E56" s="619"/>
      <c r="F56" s="817">
        <f t="shared" ref="F56:F63" si="8">SUM(I56:Q56)</f>
        <v>3393935.6799999997</v>
      </c>
      <c r="G56" s="602"/>
      <c r="H56" s="842">
        <f t="shared" si="6"/>
        <v>3393935.6799999997</v>
      </c>
      <c r="I56" s="521"/>
      <c r="J56" s="521"/>
      <c r="K56" s="524">
        <f>SUM(K57:K60)</f>
        <v>549347.05000000005</v>
      </c>
      <c r="L56" s="521">
        <f>SUM(L57:L60)</f>
        <v>422883.77</v>
      </c>
      <c r="M56" s="521">
        <f>SUM(M57:M64)</f>
        <v>500990.01</v>
      </c>
      <c r="N56" s="521">
        <f>SUM(N57:N64)</f>
        <v>625005.06999999995</v>
      </c>
      <c r="O56" s="521">
        <f>SUM(O57:O64)</f>
        <v>717762.73</v>
      </c>
      <c r="P56" s="521">
        <f>SUM(P57:P64)</f>
        <v>577947.05000000005</v>
      </c>
      <c r="Q56" s="841"/>
    </row>
    <row r="57" spans="1:17" ht="15">
      <c r="A57" s="843"/>
      <c r="B57" s="820" t="s">
        <v>4812</v>
      </c>
      <c r="C57" s="619"/>
      <c r="D57" s="619"/>
      <c r="E57" s="619"/>
      <c r="F57" s="844">
        <f t="shared" si="8"/>
        <v>166423.82999999999</v>
      </c>
      <c r="G57" s="816"/>
      <c r="H57" s="845">
        <f t="shared" si="6"/>
        <v>166423.82999999999</v>
      </c>
      <c r="I57" s="816"/>
      <c r="J57" s="816"/>
      <c r="K57" s="844">
        <v>83340.429999999993</v>
      </c>
      <c r="L57" s="816">
        <v>0</v>
      </c>
      <c r="M57" s="816">
        <f>8150.92+18004.84+9113.63</f>
        <v>35269.39</v>
      </c>
      <c r="N57" s="816">
        <v>16502.73</v>
      </c>
      <c r="O57" s="816">
        <v>9314.94</v>
      </c>
      <c r="P57" s="816">
        <v>21996.34</v>
      </c>
      <c r="Q57" s="846"/>
    </row>
    <row r="58" spans="1:17" ht="15">
      <c r="A58" s="843"/>
      <c r="B58" s="820" t="s">
        <v>4813</v>
      </c>
      <c r="C58" s="619"/>
      <c r="D58" s="619"/>
      <c r="E58" s="619"/>
      <c r="F58" s="844">
        <f t="shared" si="8"/>
        <v>535595.56000000006</v>
      </c>
      <c r="G58" s="816"/>
      <c r="H58" s="845">
        <f t="shared" si="6"/>
        <v>535595.56000000006</v>
      </c>
      <c r="I58" s="816"/>
      <c r="J58" s="816"/>
      <c r="K58" s="844">
        <v>105302.17</v>
      </c>
      <c r="L58" s="816">
        <v>84252.3</v>
      </c>
      <c r="M58" s="816">
        <v>69919.070000000007</v>
      </c>
      <c r="N58" s="816">
        <f>59507.53+71825.38</f>
        <v>131332.91</v>
      </c>
      <c r="O58" s="816">
        <v>86761.63</v>
      </c>
      <c r="P58" s="816">
        <v>58027.48</v>
      </c>
      <c r="Q58" s="846"/>
    </row>
    <row r="59" spans="1:17" ht="15">
      <c r="A59" s="843"/>
      <c r="B59" s="820" t="s">
        <v>4814</v>
      </c>
      <c r="C59" s="619"/>
      <c r="D59" s="619"/>
      <c r="E59" s="619"/>
      <c r="F59" s="844">
        <f t="shared" si="8"/>
        <v>398807.89</v>
      </c>
      <c r="G59" s="816"/>
      <c r="H59" s="845">
        <f t="shared" si="6"/>
        <v>398807.89</v>
      </c>
      <c r="I59" s="816"/>
      <c r="J59" s="816"/>
      <c r="K59" s="844">
        <v>69788.77</v>
      </c>
      <c r="L59" s="816">
        <v>41891.93</v>
      </c>
      <c r="M59" s="816">
        <v>109047.43</v>
      </c>
      <c r="N59" s="816">
        <v>32963.71</v>
      </c>
      <c r="O59" s="816">
        <v>145116.04999999999</v>
      </c>
      <c r="P59" s="816"/>
      <c r="Q59" s="846"/>
    </row>
    <row r="60" spans="1:17" ht="15">
      <c r="A60" s="843"/>
      <c r="B60" s="820" t="s">
        <v>4815</v>
      </c>
      <c r="C60" s="619"/>
      <c r="D60" s="619"/>
      <c r="E60" s="619"/>
      <c r="F60" s="844">
        <f t="shared" si="8"/>
        <v>1906831.53</v>
      </c>
      <c r="G60" s="816">
        <v>92761</v>
      </c>
      <c r="H60" s="845">
        <f t="shared" si="6"/>
        <v>1814070.53</v>
      </c>
      <c r="I60" s="816"/>
      <c r="J60" s="816"/>
      <c r="K60" s="844">
        <v>290915.68</v>
      </c>
      <c r="L60" s="816">
        <v>296739.53999999998</v>
      </c>
      <c r="M60" s="816">
        <v>4954.95</v>
      </c>
      <c r="N60" s="816">
        <v>444205.72</v>
      </c>
      <c r="O60" s="816">
        <v>451570.11</v>
      </c>
      <c r="P60" s="816">
        <v>418445.53</v>
      </c>
      <c r="Q60" s="846"/>
    </row>
    <row r="61" spans="1:17" ht="15">
      <c r="A61" s="843"/>
      <c r="B61" s="820" t="s">
        <v>4816</v>
      </c>
      <c r="C61" s="619"/>
      <c r="D61" s="619"/>
      <c r="E61" s="619"/>
      <c r="F61" s="844">
        <f t="shared" si="8"/>
        <v>281799.17</v>
      </c>
      <c r="G61" s="816"/>
      <c r="H61" s="845">
        <f t="shared" si="6"/>
        <v>281799.17</v>
      </c>
      <c r="I61" s="816"/>
      <c r="J61" s="816"/>
      <c r="K61" s="844"/>
      <c r="L61" s="816"/>
      <c r="M61" s="816">
        <v>281799.17</v>
      </c>
      <c r="N61" s="816"/>
      <c r="O61" s="816"/>
      <c r="P61" s="816"/>
      <c r="Q61" s="846"/>
    </row>
    <row r="62" spans="1:17" ht="15">
      <c r="A62" s="843"/>
      <c r="B62" s="820" t="s">
        <v>4817</v>
      </c>
      <c r="C62" s="619"/>
      <c r="D62" s="619"/>
      <c r="E62" s="619"/>
      <c r="F62" s="844">
        <f t="shared" si="8"/>
        <v>25000</v>
      </c>
      <c r="G62" s="816"/>
      <c r="H62" s="845">
        <f t="shared" si="6"/>
        <v>25000</v>
      </c>
      <c r="I62" s="816"/>
      <c r="J62" s="816"/>
      <c r="K62" s="844"/>
      <c r="L62" s="816"/>
      <c r="M62" s="816"/>
      <c r="N62" s="816"/>
      <c r="O62" s="816">
        <v>25000</v>
      </c>
      <c r="P62" s="816"/>
      <c r="Q62" s="846"/>
    </row>
    <row r="63" spans="1:17" ht="15">
      <c r="A63" s="843"/>
      <c r="B63" s="820" t="s">
        <v>4818</v>
      </c>
      <c r="C63" s="619"/>
      <c r="D63" s="619"/>
      <c r="E63" s="619"/>
      <c r="F63" s="844">
        <f t="shared" si="8"/>
        <v>79477.7</v>
      </c>
      <c r="G63" s="816"/>
      <c r="H63" s="845">
        <f t="shared" si="6"/>
        <v>79477.7</v>
      </c>
      <c r="I63" s="816"/>
      <c r="J63" s="816"/>
      <c r="K63" s="844"/>
      <c r="L63" s="816"/>
      <c r="M63" s="816"/>
      <c r="N63" s="816"/>
      <c r="O63" s="816"/>
      <c r="P63" s="816">
        <v>79477.7</v>
      </c>
      <c r="Q63" s="846"/>
    </row>
    <row r="64" spans="1:17" ht="15">
      <c r="A64" s="526"/>
      <c r="B64" s="619"/>
      <c r="C64" s="619"/>
      <c r="D64" s="619"/>
      <c r="E64" s="619"/>
      <c r="F64" s="817"/>
      <c r="G64" s="602"/>
      <c r="H64" s="842"/>
      <c r="I64" s="521"/>
      <c r="J64" s="521"/>
      <c r="K64" s="524"/>
      <c r="L64" s="521"/>
      <c r="M64" s="521"/>
      <c r="N64" s="521"/>
      <c r="O64" s="521"/>
      <c r="P64" s="521"/>
      <c r="Q64" s="841"/>
    </row>
    <row r="65" spans="1:17" ht="15">
      <c r="A65" s="526" t="s">
        <v>4819</v>
      </c>
      <c r="B65" s="619" t="s">
        <v>4820</v>
      </c>
      <c r="C65" s="619"/>
      <c r="D65" s="619"/>
      <c r="E65" s="619"/>
      <c r="F65" s="817">
        <f>SUM(I65:Q65)</f>
        <v>145341.44</v>
      </c>
      <c r="G65" s="602"/>
      <c r="H65" s="842">
        <f t="shared" si="6"/>
        <v>145341.44</v>
      </c>
      <c r="I65" s="521"/>
      <c r="J65" s="521"/>
      <c r="K65" s="524">
        <f>20670.43+15700</f>
        <v>36370.43</v>
      </c>
      <c r="L65" s="521">
        <v>6000</v>
      </c>
      <c r="M65" s="521">
        <v>22594.33</v>
      </c>
      <c r="N65" s="521">
        <v>7500</v>
      </c>
      <c r="O65" s="521">
        <v>25000</v>
      </c>
      <c r="P65" s="521">
        <v>47876.68</v>
      </c>
      <c r="Q65" s="841"/>
    </row>
    <row r="66" spans="1:17" ht="15">
      <c r="A66" s="526"/>
      <c r="B66" s="619"/>
      <c r="C66" s="619"/>
      <c r="D66" s="619"/>
      <c r="E66" s="619"/>
      <c r="F66" s="817"/>
      <c r="G66" s="602"/>
      <c r="H66" s="842"/>
      <c r="I66" s="521"/>
      <c r="J66" s="521"/>
      <c r="K66" s="524"/>
      <c r="L66" s="521"/>
      <c r="M66" s="521"/>
      <c r="N66" s="521"/>
      <c r="O66" s="521"/>
      <c r="P66" s="521"/>
      <c r="Q66" s="841"/>
    </row>
    <row r="67" spans="1:17" ht="15">
      <c r="A67" s="526" t="s">
        <v>4821</v>
      </c>
      <c r="B67" s="619" t="s">
        <v>4822</v>
      </c>
      <c r="C67" s="619"/>
      <c r="D67" s="619"/>
      <c r="E67" s="619"/>
      <c r="F67" s="817">
        <f>SUM(I67:Q67)</f>
        <v>156424.53999999998</v>
      </c>
      <c r="G67" s="602"/>
      <c r="H67" s="842">
        <f t="shared" si="6"/>
        <v>156424.53999999998</v>
      </c>
      <c r="I67" s="521"/>
      <c r="J67" s="521"/>
      <c r="K67" s="524">
        <v>20854.95</v>
      </c>
      <c r="L67" s="521">
        <v>9968.2099999999991</v>
      </c>
      <c r="M67" s="521">
        <f>33390.92-109.15</f>
        <v>33281.769999999997</v>
      </c>
      <c r="N67" s="521">
        <v>11438.1</v>
      </c>
      <c r="O67" s="521">
        <v>54319.71</v>
      </c>
      <c r="P67" s="521">
        <v>26561.8</v>
      </c>
      <c r="Q67" s="841"/>
    </row>
    <row r="68" spans="1:17" ht="15">
      <c r="A68" s="526"/>
      <c r="B68" s="619"/>
      <c r="C68" s="619"/>
      <c r="D68" s="619"/>
      <c r="E68" s="619"/>
      <c r="F68" s="817"/>
      <c r="G68" s="602"/>
      <c r="H68" s="842"/>
      <c r="I68" s="521"/>
      <c r="J68" s="521"/>
      <c r="K68" s="524"/>
      <c r="L68" s="521"/>
      <c r="M68" s="521"/>
      <c r="N68" s="521"/>
      <c r="O68" s="521"/>
      <c r="P68" s="521"/>
      <c r="Q68" s="841"/>
    </row>
    <row r="69" spans="1:17" ht="15">
      <c r="A69" s="526" t="s">
        <v>4823</v>
      </c>
      <c r="B69" s="619" t="s">
        <v>4824</v>
      </c>
      <c r="C69" s="619"/>
      <c r="D69" s="619"/>
      <c r="E69" s="619"/>
      <c r="F69" s="817">
        <f>SUM(I69:Q69)</f>
        <v>102355.06</v>
      </c>
      <c r="G69" s="602"/>
      <c r="H69" s="842">
        <f t="shared" si="6"/>
        <v>102355.06</v>
      </c>
      <c r="I69" s="521"/>
      <c r="J69" s="521"/>
      <c r="K69" s="524">
        <v>17396.68</v>
      </c>
      <c r="L69" s="521">
        <v>18634.87</v>
      </c>
      <c r="M69" s="521">
        <v>9558.83</v>
      </c>
      <c r="N69" s="521">
        <v>14831.53</v>
      </c>
      <c r="O69" s="521">
        <v>21001.08</v>
      </c>
      <c r="P69" s="521">
        <v>20932.07</v>
      </c>
      <c r="Q69" s="841"/>
    </row>
    <row r="70" spans="1:17" ht="15">
      <c r="A70" s="526"/>
      <c r="B70" s="619"/>
      <c r="C70" s="619"/>
      <c r="D70" s="619"/>
      <c r="E70" s="619"/>
      <c r="F70" s="817"/>
      <c r="G70" s="602"/>
      <c r="H70" s="842"/>
      <c r="I70" s="521"/>
      <c r="J70" s="521"/>
      <c r="K70" s="524"/>
      <c r="L70" s="521"/>
      <c r="M70" s="521"/>
      <c r="N70" s="521"/>
      <c r="O70" s="521"/>
      <c r="P70" s="521"/>
      <c r="Q70" s="841"/>
    </row>
    <row r="71" spans="1:17" ht="15">
      <c r="A71" s="526" t="s">
        <v>4825</v>
      </c>
      <c r="B71" s="677" t="s">
        <v>4826</v>
      </c>
      <c r="C71" s="619"/>
      <c r="D71" s="619"/>
      <c r="E71" s="619"/>
      <c r="F71" s="817">
        <f>SUM(I71:Q71)</f>
        <v>1936</v>
      </c>
      <c r="G71" s="602"/>
      <c r="H71" s="842">
        <f t="shared" si="6"/>
        <v>1936</v>
      </c>
      <c r="I71" s="521"/>
      <c r="J71" s="521"/>
      <c r="K71" s="524"/>
      <c r="L71" s="521"/>
      <c r="M71" s="521"/>
      <c r="N71" s="521"/>
      <c r="O71" s="521"/>
      <c r="P71" s="521">
        <v>1936</v>
      </c>
      <c r="Q71" s="841"/>
    </row>
    <row r="72" spans="1:17" ht="15">
      <c r="A72" s="526"/>
      <c r="B72" s="619"/>
      <c r="C72" s="619"/>
      <c r="D72" s="619"/>
      <c r="E72" s="619"/>
      <c r="F72" s="817"/>
      <c r="G72" s="602"/>
      <c r="H72" s="842"/>
      <c r="I72" s="521"/>
      <c r="J72" s="521"/>
      <c r="K72" s="524"/>
      <c r="L72" s="521"/>
      <c r="M72" s="521"/>
      <c r="N72" s="521"/>
      <c r="O72" s="521"/>
      <c r="P72" s="521"/>
      <c r="Q72" s="841"/>
    </row>
    <row r="73" spans="1:17" ht="15">
      <c r="A73" s="526" t="s">
        <v>4827</v>
      </c>
      <c r="B73" s="619" t="s">
        <v>4828</v>
      </c>
      <c r="C73" s="619"/>
      <c r="D73" s="619"/>
      <c r="E73" s="619"/>
      <c r="F73" s="817">
        <f>SUM(I73:Q73)</f>
        <v>219204.83</v>
      </c>
      <c r="G73" s="830">
        <f>86000+42000+56575</f>
        <v>184575</v>
      </c>
      <c r="H73" s="842">
        <f t="shared" si="6"/>
        <v>34629.829999999987</v>
      </c>
      <c r="I73" s="521"/>
      <c r="J73" s="521"/>
      <c r="K73" s="524"/>
      <c r="L73" s="521"/>
      <c r="M73" s="521"/>
      <c r="N73" s="521">
        <v>5499.99</v>
      </c>
      <c r="O73" s="521">
        <v>213704.84</v>
      </c>
      <c r="P73" s="521"/>
      <c r="Q73" s="841"/>
    </row>
    <row r="74" spans="1:17" ht="15">
      <c r="A74" s="526"/>
      <c r="B74" s="619"/>
      <c r="C74" s="619"/>
      <c r="D74" s="619"/>
      <c r="E74" s="619"/>
      <c r="F74" s="817"/>
      <c r="G74" s="602"/>
      <c r="H74" s="842"/>
      <c r="I74" s="521"/>
      <c r="J74" s="521"/>
      <c r="K74" s="524"/>
      <c r="L74" s="521"/>
      <c r="M74" s="521"/>
      <c r="N74" s="521"/>
      <c r="O74" s="521"/>
      <c r="P74" s="521"/>
      <c r="Q74" s="841"/>
    </row>
    <row r="75" spans="1:17" ht="15">
      <c r="A75" s="526" t="s">
        <v>4829</v>
      </c>
      <c r="B75" s="619" t="s">
        <v>4830</v>
      </c>
      <c r="C75" s="619"/>
      <c r="D75" s="619"/>
      <c r="E75" s="619"/>
      <c r="F75" s="817">
        <f>SUM(I75:Q75)</f>
        <v>106268.22</v>
      </c>
      <c r="G75" s="602"/>
      <c r="H75" s="842">
        <f t="shared" si="6"/>
        <v>106268.22</v>
      </c>
      <c r="I75" s="521"/>
      <c r="J75" s="521"/>
      <c r="K75" s="524">
        <v>19504.509999999998</v>
      </c>
      <c r="L75" s="521">
        <v>8648.7099999999991</v>
      </c>
      <c r="M75" s="521">
        <v>0</v>
      </c>
      <c r="N75" s="521">
        <v>19575</v>
      </c>
      <c r="O75" s="521">
        <v>41165.86</v>
      </c>
      <c r="P75" s="521">
        <v>17374.14</v>
      </c>
      <c r="Q75" s="841"/>
    </row>
    <row r="76" spans="1:17" ht="15">
      <c r="A76" s="526"/>
      <c r="B76" s="619"/>
      <c r="C76" s="619"/>
      <c r="D76" s="619"/>
      <c r="E76" s="619"/>
      <c r="F76" s="817"/>
      <c r="G76" s="602"/>
      <c r="H76" s="842"/>
      <c r="I76" s="521"/>
      <c r="J76" s="521"/>
      <c r="K76" s="524"/>
      <c r="L76" s="521"/>
      <c r="M76" s="521"/>
      <c r="N76" s="521"/>
      <c r="O76" s="521"/>
      <c r="P76" s="521"/>
      <c r="Q76" s="841"/>
    </row>
    <row r="77" spans="1:17" ht="15">
      <c r="A77" s="526" t="s">
        <v>4831</v>
      </c>
      <c r="B77" s="619" t="s">
        <v>2518</v>
      </c>
      <c r="C77" s="619"/>
      <c r="D77" s="619"/>
      <c r="E77" s="619"/>
      <c r="F77" s="817">
        <f>SUM(I77:Q77)</f>
        <v>385607.88</v>
      </c>
      <c r="G77" s="602"/>
      <c r="H77" s="842">
        <f t="shared" si="6"/>
        <v>385607.88</v>
      </c>
      <c r="I77" s="521"/>
      <c r="J77" s="521"/>
      <c r="K77" s="524">
        <v>385607.88</v>
      </c>
      <c r="L77" s="521"/>
      <c r="M77" s="521"/>
      <c r="N77" s="521"/>
      <c r="O77" s="521"/>
      <c r="P77" s="521"/>
      <c r="Q77" s="841"/>
    </row>
    <row r="78" spans="1:17" ht="15">
      <c r="A78" s="526"/>
      <c r="B78" s="619"/>
      <c r="C78" s="619"/>
      <c r="D78" s="619"/>
      <c r="E78" s="619"/>
      <c r="F78" s="817"/>
      <c r="G78" s="602"/>
      <c r="H78" s="842"/>
      <c r="I78" s="521"/>
      <c r="J78" s="521"/>
      <c r="K78" s="524"/>
      <c r="L78" s="521"/>
      <c r="M78" s="521"/>
      <c r="N78" s="521"/>
      <c r="O78" s="521"/>
      <c r="P78" s="521"/>
      <c r="Q78" s="841"/>
    </row>
    <row r="79" spans="1:17" ht="15">
      <c r="A79" s="526" t="s">
        <v>4832</v>
      </c>
      <c r="B79" s="619" t="s">
        <v>4833</v>
      </c>
      <c r="C79" s="619"/>
      <c r="D79" s="619"/>
      <c r="E79" s="619"/>
      <c r="F79" s="817">
        <f>SUM(I79:Q79)</f>
        <v>103724.94</v>
      </c>
      <c r="G79" s="602"/>
      <c r="H79" s="842">
        <f t="shared" si="6"/>
        <v>103724.94</v>
      </c>
      <c r="I79" s="521"/>
      <c r="J79" s="521"/>
      <c r="K79" s="524"/>
      <c r="L79" s="521"/>
      <c r="M79" s="521"/>
      <c r="N79" s="521"/>
      <c r="O79" s="521"/>
      <c r="P79" s="521">
        <v>103724.94</v>
      </c>
      <c r="Q79" s="841"/>
    </row>
    <row r="80" spans="1:17" ht="15">
      <c r="A80" s="526"/>
      <c r="B80" s="619"/>
      <c r="C80" s="619"/>
      <c r="D80" s="619"/>
      <c r="E80" s="619"/>
      <c r="F80" s="817"/>
      <c r="G80" s="602"/>
      <c r="H80" s="842"/>
      <c r="I80" s="521"/>
      <c r="J80" s="521"/>
      <c r="K80" s="524"/>
      <c r="L80" s="521"/>
      <c r="M80" s="521"/>
      <c r="N80" s="521"/>
      <c r="O80" s="521"/>
      <c r="P80" s="521"/>
      <c r="Q80" s="841"/>
    </row>
    <row r="81" spans="1:17" ht="15">
      <c r="A81" s="526" t="s">
        <v>4834</v>
      </c>
      <c r="B81" s="619" t="s">
        <v>4835</v>
      </c>
      <c r="C81" s="619"/>
      <c r="D81" s="619"/>
      <c r="E81" s="619"/>
      <c r="F81" s="817">
        <f>SUM(I81:Q81)</f>
        <v>538901</v>
      </c>
      <c r="G81" s="602"/>
      <c r="H81" s="842">
        <f t="shared" si="6"/>
        <v>538901</v>
      </c>
      <c r="I81" s="521"/>
      <c r="J81" s="521"/>
      <c r="K81" s="524"/>
      <c r="L81" s="521"/>
      <c r="M81" s="521"/>
      <c r="N81" s="521">
        <v>538901</v>
      </c>
      <c r="O81" s="521"/>
      <c r="P81" s="521"/>
      <c r="Q81" s="841"/>
    </row>
    <row r="82" spans="1:17" ht="15">
      <c r="A82" s="526"/>
      <c r="B82" s="619"/>
      <c r="C82" s="619"/>
      <c r="D82" s="619"/>
      <c r="E82" s="619"/>
      <c r="F82" s="817"/>
      <c r="G82" s="602"/>
      <c r="H82" s="842"/>
      <c r="I82" s="521"/>
      <c r="J82" s="521"/>
      <c r="K82" s="524"/>
      <c r="L82" s="521"/>
      <c r="M82" s="521"/>
      <c r="N82" s="521"/>
      <c r="O82" s="521"/>
      <c r="P82" s="521"/>
      <c r="Q82" s="841"/>
    </row>
    <row r="83" spans="1:17" ht="15">
      <c r="A83" s="526" t="s">
        <v>4836</v>
      </c>
      <c r="B83" s="619" t="s">
        <v>4837</v>
      </c>
      <c r="C83" s="619"/>
      <c r="D83" s="619"/>
      <c r="E83" s="619"/>
      <c r="F83" s="817">
        <f>SUM(I83:Q83)</f>
        <v>144727.45000000001</v>
      </c>
      <c r="G83" s="602"/>
      <c r="H83" s="842">
        <f t="shared" si="6"/>
        <v>144727.45000000001</v>
      </c>
      <c r="I83" s="521"/>
      <c r="J83" s="521"/>
      <c r="K83" s="524">
        <v>87622.46</v>
      </c>
      <c r="L83" s="521">
        <v>33228.93</v>
      </c>
      <c r="M83" s="521">
        <f>13751.67-198.85</f>
        <v>13552.82</v>
      </c>
      <c r="N83" s="521">
        <v>3332.34</v>
      </c>
      <c r="O83" s="521">
        <v>6990.9</v>
      </c>
      <c r="P83" s="521"/>
      <c r="Q83" s="841"/>
    </row>
    <row r="84" spans="1:17" ht="15">
      <c r="A84" s="526"/>
      <c r="B84" s="619"/>
      <c r="C84" s="619"/>
      <c r="D84" s="619"/>
      <c r="E84" s="619"/>
      <c r="F84" s="817"/>
      <c r="G84" s="602"/>
      <c r="H84" s="842"/>
      <c r="I84" s="521"/>
      <c r="J84" s="521"/>
      <c r="K84" s="524"/>
      <c r="L84" s="521"/>
      <c r="M84" s="521"/>
      <c r="N84" s="521"/>
      <c r="O84" s="521"/>
      <c r="P84" s="521"/>
      <c r="Q84" s="841"/>
    </row>
    <row r="85" spans="1:17" ht="15">
      <c r="A85" s="526" t="s">
        <v>2080</v>
      </c>
      <c r="B85" s="619" t="s">
        <v>4838</v>
      </c>
      <c r="C85" s="619"/>
      <c r="D85" s="619"/>
      <c r="E85" s="619"/>
      <c r="F85" s="817">
        <f>SUM(I85:Q85)</f>
        <v>351833.99000000005</v>
      </c>
      <c r="G85" s="602"/>
      <c r="H85" s="842">
        <f t="shared" si="6"/>
        <v>351833.99000000005</v>
      </c>
      <c r="I85" s="521"/>
      <c r="J85" s="521"/>
      <c r="K85" s="524">
        <v>111559.07</v>
      </c>
      <c r="L85" s="521">
        <v>13717.18</v>
      </c>
      <c r="M85" s="521">
        <f>59002.1</f>
        <v>59002.1</v>
      </c>
      <c r="N85" s="521"/>
      <c r="O85" s="521">
        <v>161888.04999999999</v>
      </c>
      <c r="P85" s="521">
        <v>5667.59</v>
      </c>
      <c r="Q85" s="841"/>
    </row>
    <row r="86" spans="1:17" ht="15">
      <c r="A86" s="526"/>
      <c r="B86" s="619"/>
      <c r="C86" s="619"/>
      <c r="D86" s="619"/>
      <c r="E86" s="619"/>
      <c r="F86" s="817"/>
      <c r="G86" s="602"/>
      <c r="H86" s="842"/>
      <c r="I86" s="521"/>
      <c r="J86" s="521"/>
      <c r="K86" s="524"/>
      <c r="L86" s="521"/>
      <c r="M86" s="521"/>
      <c r="N86" s="521"/>
      <c r="O86" s="521"/>
      <c r="P86" s="521"/>
      <c r="Q86" s="841"/>
    </row>
    <row r="87" spans="1:17" ht="15">
      <c r="A87" s="526" t="s">
        <v>4839</v>
      </c>
      <c r="B87" s="619" t="s">
        <v>4840</v>
      </c>
      <c r="C87" s="619"/>
      <c r="D87" s="619"/>
      <c r="E87" s="619"/>
      <c r="F87" s="817">
        <f>SUM(I87:Q87)</f>
        <v>1319831.1599999999</v>
      </c>
      <c r="G87" s="602"/>
      <c r="H87" s="842">
        <f t="shared" si="6"/>
        <v>1319831.1599999999</v>
      </c>
      <c r="I87" s="521"/>
      <c r="J87" s="521"/>
      <c r="K87" s="524">
        <f t="shared" ref="K87:P87" si="9">SUM(K88:K90)</f>
        <v>902743.47</v>
      </c>
      <c r="L87" s="521">
        <f t="shared" si="9"/>
        <v>149650.22</v>
      </c>
      <c r="M87" s="521">
        <f t="shared" si="9"/>
        <v>12000</v>
      </c>
      <c r="N87" s="521">
        <f t="shared" si="9"/>
        <v>0</v>
      </c>
      <c r="O87" s="521">
        <f t="shared" si="9"/>
        <v>23691.53</v>
      </c>
      <c r="P87" s="521">
        <f t="shared" si="9"/>
        <v>231745.94</v>
      </c>
      <c r="Q87" s="841"/>
    </row>
    <row r="88" spans="1:17" ht="15">
      <c r="A88" s="843"/>
      <c r="B88" s="820" t="s">
        <v>4841</v>
      </c>
      <c r="C88" s="619"/>
      <c r="D88" s="619"/>
      <c r="E88" s="619"/>
      <c r="F88" s="844">
        <f>SUM(I88:Q88)</f>
        <v>167437.47</v>
      </c>
      <c r="G88" s="816"/>
      <c r="H88" s="845">
        <f t="shared" si="6"/>
        <v>167437.47</v>
      </c>
      <c r="I88" s="816"/>
      <c r="J88" s="816"/>
      <c r="K88" s="844"/>
      <c r="L88" s="816"/>
      <c r="M88" s="816">
        <f>12000</f>
        <v>12000</v>
      </c>
      <c r="N88" s="816"/>
      <c r="O88" s="816">
        <v>23691.53</v>
      </c>
      <c r="P88" s="816">
        <v>131745.94</v>
      </c>
      <c r="Q88" s="846"/>
    </row>
    <row r="89" spans="1:17" ht="15">
      <c r="A89" s="843"/>
      <c r="B89" s="820" t="s">
        <v>4842</v>
      </c>
      <c r="C89" s="619"/>
      <c r="D89" s="619"/>
      <c r="E89" s="619"/>
      <c r="F89" s="844">
        <f>SUM(I89:Q89)</f>
        <v>100000</v>
      </c>
      <c r="G89" s="816"/>
      <c r="H89" s="845">
        <f t="shared" si="6"/>
        <v>100000</v>
      </c>
      <c r="I89" s="816"/>
      <c r="J89" s="816"/>
      <c r="K89" s="844"/>
      <c r="L89" s="816"/>
      <c r="M89" s="816"/>
      <c r="N89" s="816"/>
      <c r="O89" s="816"/>
      <c r="P89" s="816">
        <v>100000</v>
      </c>
      <c r="Q89" s="846"/>
    </row>
    <row r="90" spans="1:17" ht="15">
      <c r="A90" s="843"/>
      <c r="B90" s="820" t="s">
        <v>4843</v>
      </c>
      <c r="C90" s="619"/>
      <c r="D90" s="619"/>
      <c r="E90" s="619"/>
      <c r="F90" s="844">
        <f>SUM(I90:Q90)</f>
        <v>1052393.69</v>
      </c>
      <c r="G90" s="816"/>
      <c r="H90" s="845">
        <f t="shared" si="6"/>
        <v>1052393.69</v>
      </c>
      <c r="I90" s="816"/>
      <c r="J90" s="816"/>
      <c r="K90" s="844">
        <v>902743.47</v>
      </c>
      <c r="L90" s="816">
        <f>51860.84+97789.38</f>
        <v>149650.22</v>
      </c>
      <c r="M90" s="816"/>
      <c r="N90" s="816"/>
      <c r="O90" s="816"/>
      <c r="P90" s="816"/>
      <c r="Q90" s="846"/>
    </row>
    <row r="91" spans="1:17" ht="15">
      <c r="A91" s="526"/>
      <c r="B91" s="619"/>
      <c r="C91" s="619"/>
      <c r="D91" s="619"/>
      <c r="E91" s="619"/>
      <c r="F91" s="817"/>
      <c r="G91" s="602"/>
      <c r="H91" s="842"/>
      <c r="I91" s="521"/>
      <c r="J91" s="521"/>
      <c r="K91" s="524"/>
      <c r="L91" s="521"/>
      <c r="M91" s="521"/>
      <c r="N91" s="521"/>
      <c r="O91" s="521"/>
      <c r="P91" s="521"/>
      <c r="Q91" s="841"/>
    </row>
    <row r="92" spans="1:17" ht="15">
      <c r="A92" s="526" t="s">
        <v>4844</v>
      </c>
      <c r="B92" s="619" t="s">
        <v>4845</v>
      </c>
      <c r="C92" s="619"/>
      <c r="D92" s="619"/>
      <c r="E92" s="619"/>
      <c r="F92" s="817">
        <f>SUM(I92:Q92)</f>
        <v>100971.97</v>
      </c>
      <c r="G92" s="830">
        <v>10000</v>
      </c>
      <c r="H92" s="842">
        <f t="shared" si="6"/>
        <v>90971.97</v>
      </c>
      <c r="I92" s="521"/>
      <c r="J92" s="521"/>
      <c r="K92" s="524"/>
      <c r="L92" s="521"/>
      <c r="M92" s="521"/>
      <c r="N92" s="521"/>
      <c r="O92" s="521">
        <v>100971.97</v>
      </c>
      <c r="P92" s="521"/>
      <c r="Q92" s="841"/>
    </row>
    <row r="93" spans="1:17" ht="15">
      <c r="A93" s="526"/>
      <c r="B93" s="619"/>
      <c r="C93" s="619"/>
      <c r="D93" s="619"/>
      <c r="E93" s="619"/>
      <c r="F93" s="817"/>
      <c r="G93" s="830"/>
      <c r="H93" s="842"/>
      <c r="I93" s="521"/>
      <c r="J93" s="521"/>
      <c r="K93" s="524"/>
      <c r="L93" s="521"/>
      <c r="M93" s="521"/>
      <c r="N93" s="521"/>
      <c r="O93" s="521"/>
      <c r="P93" s="521"/>
      <c r="Q93" s="841"/>
    </row>
    <row r="94" spans="1:17" ht="15">
      <c r="A94" s="526" t="s">
        <v>4846</v>
      </c>
      <c r="B94" s="619" t="s">
        <v>4847</v>
      </c>
      <c r="C94" s="619"/>
      <c r="D94" s="619"/>
      <c r="E94" s="619"/>
      <c r="F94" s="817">
        <f>SUM(I94:Q94)</f>
        <v>179511.53</v>
      </c>
      <c r="G94" s="830"/>
      <c r="H94" s="842">
        <f t="shared" si="6"/>
        <v>179511.53</v>
      </c>
      <c r="I94" s="521"/>
      <c r="J94" s="521"/>
      <c r="K94" s="524"/>
      <c r="L94" s="521">
        <v>12286.34</v>
      </c>
      <c r="M94" s="521"/>
      <c r="N94" s="521"/>
      <c r="O94" s="521">
        <v>38780.5</v>
      </c>
      <c r="P94" s="521">
        <f>11447.37+116997.32</f>
        <v>128444.69</v>
      </c>
      <c r="Q94" s="841"/>
    </row>
    <row r="95" spans="1:17" ht="15">
      <c r="A95" s="526"/>
      <c r="B95" s="619"/>
      <c r="C95" s="619"/>
      <c r="D95" s="619"/>
      <c r="E95" s="619"/>
      <c r="F95" s="817"/>
      <c r="G95" s="830"/>
      <c r="H95" s="842"/>
      <c r="I95" s="521"/>
      <c r="J95" s="521"/>
      <c r="K95" s="524"/>
      <c r="L95" s="521"/>
      <c r="M95" s="521"/>
      <c r="N95" s="521"/>
      <c r="O95" s="521"/>
      <c r="P95" s="521"/>
      <c r="Q95" s="841"/>
    </row>
    <row r="96" spans="1:17" ht="15">
      <c r="A96" s="526" t="s">
        <v>4848</v>
      </c>
      <c r="B96" s="619" t="s">
        <v>4849</v>
      </c>
      <c r="C96" s="619"/>
      <c r="D96" s="619"/>
      <c r="E96" s="619"/>
      <c r="F96" s="817">
        <f>SUM(I96:Q96)</f>
        <v>230840.72</v>
      </c>
      <c r="G96" s="830"/>
      <c r="H96" s="842">
        <f t="shared" si="6"/>
        <v>230840.72</v>
      </c>
      <c r="I96" s="521"/>
      <c r="J96" s="521"/>
      <c r="K96" s="524">
        <v>53648.800000000003</v>
      </c>
      <c r="L96" s="521">
        <v>15841.16</v>
      </c>
      <c r="M96" s="521">
        <f>32048.71</f>
        <v>32048.71</v>
      </c>
      <c r="N96" s="521">
        <v>19240.62</v>
      </c>
      <c r="O96" s="521">
        <v>81799.44</v>
      </c>
      <c r="P96" s="521">
        <v>28261.99</v>
      </c>
      <c r="Q96" s="841"/>
    </row>
    <row r="97" spans="1:17" ht="15">
      <c r="A97" s="526"/>
      <c r="B97" s="619"/>
      <c r="C97" s="619"/>
      <c r="D97" s="619"/>
      <c r="E97" s="619"/>
      <c r="F97" s="817"/>
      <c r="G97" s="830"/>
      <c r="H97" s="842"/>
      <c r="I97" s="521"/>
      <c r="J97" s="521"/>
      <c r="K97" s="524"/>
      <c r="L97" s="521"/>
      <c r="M97" s="521"/>
      <c r="N97" s="521"/>
      <c r="O97" s="521"/>
      <c r="P97" s="521"/>
      <c r="Q97" s="841"/>
    </row>
    <row r="98" spans="1:17" ht="15">
      <c r="A98" s="526" t="s">
        <v>4850</v>
      </c>
      <c r="B98" s="619" t="s">
        <v>4851</v>
      </c>
      <c r="C98" s="619"/>
      <c r="D98" s="619"/>
      <c r="E98" s="619"/>
      <c r="F98" s="817">
        <f>SUM(I98:Q98)</f>
        <v>142260.97</v>
      </c>
      <c r="G98" s="830">
        <v>16000</v>
      </c>
      <c r="H98" s="842">
        <f t="shared" si="6"/>
        <v>126260.97</v>
      </c>
      <c r="I98" s="521"/>
      <c r="J98" s="521"/>
      <c r="K98" s="524"/>
      <c r="L98" s="521"/>
      <c r="M98" s="521">
        <f>142309.78-48.81</f>
        <v>142260.97</v>
      </c>
      <c r="N98" s="521"/>
      <c r="O98" s="521"/>
      <c r="P98" s="521"/>
      <c r="Q98" s="841"/>
    </row>
    <row r="99" spans="1:17" ht="15">
      <c r="A99" s="526"/>
      <c r="B99" s="619"/>
      <c r="C99" s="619"/>
      <c r="D99" s="619"/>
      <c r="E99" s="619"/>
      <c r="F99" s="817"/>
      <c r="G99" s="602"/>
      <c r="H99" s="842"/>
      <c r="I99" s="521"/>
      <c r="J99" s="521"/>
      <c r="K99" s="524"/>
      <c r="L99" s="521"/>
      <c r="M99" s="521"/>
      <c r="N99" s="521"/>
      <c r="O99" s="521"/>
      <c r="P99" s="521"/>
      <c r="Q99" s="841"/>
    </row>
    <row r="100" spans="1:17" ht="15">
      <c r="A100" s="526" t="s">
        <v>4852</v>
      </c>
      <c r="B100" s="619" t="s">
        <v>4853</v>
      </c>
      <c r="C100" s="619"/>
      <c r="D100" s="619"/>
      <c r="E100" s="619"/>
      <c r="F100" s="817">
        <f>SUM(I100:Q100)</f>
        <v>226257.09</v>
      </c>
      <c r="G100" s="602"/>
      <c r="H100" s="842">
        <f t="shared" si="6"/>
        <v>226257.09</v>
      </c>
      <c r="I100" s="521"/>
      <c r="J100" s="521"/>
      <c r="K100" s="524">
        <f>SUM(K101)</f>
        <v>120938.95</v>
      </c>
      <c r="L100" s="521">
        <f>SUM(L101:L103)</f>
        <v>37555.660000000003</v>
      </c>
      <c r="M100" s="521">
        <f>SUM(M101:M103)</f>
        <v>0</v>
      </c>
      <c r="N100" s="521">
        <f>SUM(N101:N103)</f>
        <v>0</v>
      </c>
      <c r="O100" s="521">
        <f>SUM(O101:O103)</f>
        <v>26121.599999999999</v>
      </c>
      <c r="P100" s="521">
        <f>SUM(P101:P103)</f>
        <v>41640.879999999997</v>
      </c>
      <c r="Q100" s="841"/>
    </row>
    <row r="101" spans="1:17" ht="15">
      <c r="A101" s="843"/>
      <c r="B101" s="820" t="s">
        <v>4854</v>
      </c>
      <c r="C101" s="619"/>
      <c r="D101" s="619"/>
      <c r="E101" s="619"/>
      <c r="F101" s="844">
        <f>SUM(I101:Q101)</f>
        <v>158494.60999999999</v>
      </c>
      <c r="G101" s="816"/>
      <c r="H101" s="845">
        <f t="shared" si="6"/>
        <v>158494.60999999999</v>
      </c>
      <c r="I101" s="816"/>
      <c r="J101" s="816"/>
      <c r="K101" s="844">
        <v>120938.95</v>
      </c>
      <c r="L101" s="816">
        <v>37555.660000000003</v>
      </c>
      <c r="M101" s="816"/>
      <c r="N101" s="816"/>
      <c r="O101" s="816"/>
      <c r="P101" s="816"/>
      <c r="Q101" s="846"/>
    </row>
    <row r="102" spans="1:17" ht="15">
      <c r="A102" s="843"/>
      <c r="B102" s="820" t="s">
        <v>4855</v>
      </c>
      <c r="C102" s="619"/>
      <c r="D102" s="619"/>
      <c r="E102" s="619"/>
      <c r="F102" s="844">
        <f>SUM(I102:Q102)</f>
        <v>41640.879999999997</v>
      </c>
      <c r="G102" s="816"/>
      <c r="H102" s="845">
        <f t="shared" si="6"/>
        <v>41640.879999999997</v>
      </c>
      <c r="I102" s="816"/>
      <c r="J102" s="816"/>
      <c r="K102" s="844"/>
      <c r="L102" s="816"/>
      <c r="M102" s="816"/>
      <c r="N102" s="816"/>
      <c r="O102" s="816"/>
      <c r="P102" s="816">
        <v>41640.879999999997</v>
      </c>
      <c r="Q102" s="846"/>
    </row>
    <row r="103" spans="1:17" ht="15">
      <c r="A103" s="843"/>
      <c r="B103" s="820" t="s">
        <v>4856</v>
      </c>
      <c r="C103" s="619"/>
      <c r="D103" s="619"/>
      <c r="E103" s="619"/>
      <c r="F103" s="844">
        <f>SUM(I103:Q103)</f>
        <v>26121.599999999999</v>
      </c>
      <c r="G103" s="816"/>
      <c r="H103" s="845">
        <f t="shared" si="6"/>
        <v>26121.599999999999</v>
      </c>
      <c r="I103" s="816"/>
      <c r="J103" s="816"/>
      <c r="K103" s="844"/>
      <c r="L103" s="816"/>
      <c r="M103" s="816"/>
      <c r="N103" s="816"/>
      <c r="O103" s="816">
        <v>26121.599999999999</v>
      </c>
      <c r="P103" s="816"/>
      <c r="Q103" s="846"/>
    </row>
    <row r="104" spans="1:17" ht="15">
      <c r="A104" s="526"/>
      <c r="B104" s="619"/>
      <c r="C104" s="619"/>
      <c r="D104" s="619"/>
      <c r="E104" s="619"/>
      <c r="F104" s="817"/>
      <c r="G104" s="602"/>
      <c r="H104" s="842"/>
      <c r="I104" s="521"/>
      <c r="J104" s="521"/>
      <c r="K104" s="524"/>
      <c r="L104" s="521"/>
      <c r="M104" s="521"/>
      <c r="N104" s="521"/>
      <c r="O104" s="521"/>
      <c r="P104" s="521"/>
      <c r="Q104" s="841"/>
    </row>
    <row r="105" spans="1:17" ht="15">
      <c r="A105" s="526" t="s">
        <v>4857</v>
      </c>
      <c r="B105" s="619" t="s">
        <v>4858</v>
      </c>
      <c r="C105" s="619"/>
      <c r="D105" s="619"/>
      <c r="E105" s="619"/>
      <c r="F105" s="817">
        <f>SUM(I105:Q105)</f>
        <v>2250556.4699999997</v>
      </c>
      <c r="G105" s="830">
        <f>SUM(G106:G117)</f>
        <v>1104291.25</v>
      </c>
      <c r="H105" s="842">
        <f>F105-G105</f>
        <v>1146265.2199999997</v>
      </c>
      <c r="I105" s="521"/>
      <c r="J105" s="521"/>
      <c r="K105" s="524">
        <f t="shared" ref="K105:P105" si="10">SUM(K106:K118)</f>
        <v>82697.119999999995</v>
      </c>
      <c r="L105" s="521">
        <f t="shared" si="10"/>
        <v>206025.22</v>
      </c>
      <c r="M105" s="521">
        <f t="shared" si="10"/>
        <v>258824.35</v>
      </c>
      <c r="N105" s="521">
        <f>SUM(N106:N118)</f>
        <v>474444.48</v>
      </c>
      <c r="O105" s="521">
        <f>SUM(O106:O118)</f>
        <v>798594.84</v>
      </c>
      <c r="P105" s="521">
        <f t="shared" si="10"/>
        <v>429970.45999999996</v>
      </c>
      <c r="Q105" s="841"/>
    </row>
    <row r="106" spans="1:17" ht="15">
      <c r="A106" s="843"/>
      <c r="B106" s="820" t="s">
        <v>4859</v>
      </c>
      <c r="C106" s="619"/>
      <c r="D106" s="619"/>
      <c r="E106" s="619"/>
      <c r="F106" s="844">
        <f t="shared" ref="F106:F117" si="11">SUM(I106:Q106)</f>
        <v>39000.049999999996</v>
      </c>
      <c r="G106" s="847">
        <v>14520</v>
      </c>
      <c r="H106" s="845">
        <f t="shared" si="6"/>
        <v>24480.049999999996</v>
      </c>
      <c r="I106" s="816"/>
      <c r="J106" s="816"/>
      <c r="K106" s="844">
        <f>33913.09+5086.96</f>
        <v>39000.049999999996</v>
      </c>
      <c r="L106" s="816"/>
      <c r="M106" s="816"/>
      <c r="N106" s="816"/>
      <c r="O106" s="816"/>
      <c r="P106" s="816"/>
      <c r="Q106" s="846"/>
    </row>
    <row r="107" spans="1:17" ht="15">
      <c r="A107" s="843"/>
      <c r="B107" s="820" t="s">
        <v>4860</v>
      </c>
      <c r="C107" s="619"/>
      <c r="D107" s="619"/>
      <c r="E107" s="619"/>
      <c r="F107" s="844">
        <f t="shared" si="11"/>
        <v>31772.89</v>
      </c>
      <c r="G107" s="847"/>
      <c r="H107" s="845">
        <f t="shared" ref="H107:H134" si="12">F107-G107</f>
        <v>31772.89</v>
      </c>
      <c r="I107" s="816"/>
      <c r="J107" s="816"/>
      <c r="K107" s="844">
        <v>28697.07</v>
      </c>
      <c r="L107" s="816"/>
      <c r="M107" s="816">
        <v>3075.82</v>
      </c>
      <c r="N107" s="816"/>
      <c r="O107" s="816"/>
      <c r="P107" s="816"/>
      <c r="Q107" s="846"/>
    </row>
    <row r="108" spans="1:17" ht="15">
      <c r="A108" s="843"/>
      <c r="B108" s="820" t="s">
        <v>4861</v>
      </c>
      <c r="C108" s="619"/>
      <c r="D108" s="619"/>
      <c r="E108" s="619"/>
      <c r="F108" s="844">
        <f t="shared" si="11"/>
        <v>450000</v>
      </c>
      <c r="G108" s="847">
        <f>265268+88422</f>
        <v>353690</v>
      </c>
      <c r="H108" s="845">
        <f t="shared" si="12"/>
        <v>96310</v>
      </c>
      <c r="I108" s="816"/>
      <c r="J108" s="816"/>
      <c r="K108" s="844">
        <v>5000</v>
      </c>
      <c r="L108" s="816">
        <v>31000</v>
      </c>
      <c r="M108" s="816"/>
      <c r="N108" s="816"/>
      <c r="O108" s="816">
        <v>414000</v>
      </c>
      <c r="P108" s="816"/>
      <c r="Q108" s="846"/>
    </row>
    <row r="109" spans="1:17" ht="15">
      <c r="A109" s="843"/>
      <c r="B109" s="820" t="s">
        <v>4862</v>
      </c>
      <c r="C109" s="619"/>
      <c r="D109" s="619"/>
      <c r="E109" s="619"/>
      <c r="F109" s="844">
        <f t="shared" si="11"/>
        <v>26457.989999999998</v>
      </c>
      <c r="G109" s="847"/>
      <c r="H109" s="845">
        <f t="shared" si="12"/>
        <v>26457.989999999998</v>
      </c>
      <c r="I109" s="816"/>
      <c r="J109" s="816"/>
      <c r="K109" s="844">
        <v>5000</v>
      </c>
      <c r="L109" s="816">
        <f>7724.47+1587.52+12146</f>
        <v>21457.989999999998</v>
      </c>
      <c r="M109" s="816"/>
      <c r="N109" s="816"/>
      <c r="O109" s="816"/>
      <c r="P109" s="816"/>
      <c r="Q109" s="846"/>
    </row>
    <row r="110" spans="1:17" ht="15">
      <c r="A110" s="843"/>
      <c r="B110" s="820" t="s">
        <v>4863</v>
      </c>
      <c r="C110" s="619"/>
      <c r="D110" s="619"/>
      <c r="E110" s="619"/>
      <c r="F110" s="844">
        <f t="shared" si="11"/>
        <v>223025.22</v>
      </c>
      <c r="G110" s="847">
        <f>25290+40200</f>
        <v>65490</v>
      </c>
      <c r="H110" s="845">
        <f t="shared" si="12"/>
        <v>157535.22</v>
      </c>
      <c r="I110" s="816"/>
      <c r="J110" s="816"/>
      <c r="K110" s="844">
        <v>5000</v>
      </c>
      <c r="L110" s="816"/>
      <c r="M110" s="816">
        <f>7215.71+210809.51</f>
        <v>218025.22</v>
      </c>
      <c r="N110" s="816"/>
      <c r="O110" s="816"/>
      <c r="P110" s="816"/>
      <c r="Q110" s="846"/>
    </row>
    <row r="111" spans="1:17" ht="15">
      <c r="A111" s="843"/>
      <c r="B111" s="820" t="s">
        <v>4864</v>
      </c>
      <c r="C111" s="619"/>
      <c r="D111" s="619"/>
      <c r="E111" s="619"/>
      <c r="F111" s="844">
        <f t="shared" si="11"/>
        <v>153567.23000000001</v>
      </c>
      <c r="G111" s="847">
        <f>21840.41+7280.14+65519.32+21839.77</f>
        <v>116479.64</v>
      </c>
      <c r="H111" s="845">
        <f t="shared" si="12"/>
        <v>37087.590000000011</v>
      </c>
      <c r="I111" s="816"/>
      <c r="J111" s="816"/>
      <c r="K111" s="844"/>
      <c r="L111" s="816">
        <v>153567.23000000001</v>
      </c>
      <c r="M111" s="816"/>
      <c r="N111" s="816"/>
      <c r="O111" s="816"/>
      <c r="P111" s="816"/>
      <c r="Q111" s="846"/>
    </row>
    <row r="112" spans="1:17" ht="15">
      <c r="A112" s="843"/>
      <c r="B112" s="820" t="s">
        <v>4865</v>
      </c>
      <c r="C112" s="619"/>
      <c r="D112" s="619"/>
      <c r="E112" s="619"/>
      <c r="F112" s="844">
        <f t="shared" si="11"/>
        <v>411870.24</v>
      </c>
      <c r="G112" s="847">
        <f>236530+78843</f>
        <v>315373</v>
      </c>
      <c r="H112" s="845">
        <f t="shared" si="12"/>
        <v>96497.239999999991</v>
      </c>
      <c r="I112" s="816"/>
      <c r="J112" s="816"/>
      <c r="K112" s="844"/>
      <c r="L112" s="816"/>
      <c r="M112" s="816">
        <v>22159.32</v>
      </c>
      <c r="N112" s="816"/>
      <c r="O112" s="816"/>
      <c r="P112" s="816">
        <v>389710.92</v>
      </c>
      <c r="Q112" s="846"/>
    </row>
    <row r="113" spans="1:17" ht="15">
      <c r="A113" s="843"/>
      <c r="B113" s="820" t="s">
        <v>4866</v>
      </c>
      <c r="C113" s="619"/>
      <c r="D113" s="619"/>
      <c r="E113" s="619"/>
      <c r="F113" s="844">
        <f t="shared" si="11"/>
        <v>16773.989999999998</v>
      </c>
      <c r="G113" s="847">
        <f>8220.62</f>
        <v>8220.6200000000008</v>
      </c>
      <c r="H113" s="845">
        <f t="shared" si="12"/>
        <v>8553.3699999999972</v>
      </c>
      <c r="I113" s="816"/>
      <c r="J113" s="816"/>
      <c r="K113" s="844"/>
      <c r="L113" s="816"/>
      <c r="M113" s="816">
        <f>15563.99</f>
        <v>15563.99</v>
      </c>
      <c r="N113" s="816"/>
      <c r="O113" s="816">
        <v>1210</v>
      </c>
      <c r="P113" s="816"/>
      <c r="Q113" s="846"/>
    </row>
    <row r="114" spans="1:17" ht="15">
      <c r="A114" s="843"/>
      <c r="B114" s="820" t="s">
        <v>4867</v>
      </c>
      <c r="C114" s="619"/>
      <c r="D114" s="619"/>
      <c r="E114" s="619"/>
      <c r="F114" s="844">
        <f t="shared" si="11"/>
        <v>293472.2</v>
      </c>
      <c r="G114" s="847">
        <f>37707.19+37707.18+25138.13+12569.06+12569.06+75414.37</f>
        <v>201104.99</v>
      </c>
      <c r="H114" s="845">
        <f t="shared" si="12"/>
        <v>92367.210000000021</v>
      </c>
      <c r="I114" s="816"/>
      <c r="J114" s="816"/>
      <c r="K114" s="844"/>
      <c r="L114" s="816"/>
      <c r="M114" s="816"/>
      <c r="N114" s="816">
        <v>293472.2</v>
      </c>
      <c r="O114" s="816"/>
      <c r="P114" s="816"/>
      <c r="Q114" s="846"/>
    </row>
    <row r="115" spans="1:17" ht="15">
      <c r="A115" s="843"/>
      <c r="B115" s="820" t="s">
        <v>4868</v>
      </c>
      <c r="C115" s="619"/>
      <c r="D115" s="619"/>
      <c r="E115" s="619"/>
      <c r="F115" s="844">
        <f t="shared" si="11"/>
        <v>513163.04000000004</v>
      </c>
      <c r="G115" s="847"/>
      <c r="H115" s="845">
        <f t="shared" si="12"/>
        <v>513163.04000000004</v>
      </c>
      <c r="I115" s="816"/>
      <c r="J115" s="816"/>
      <c r="K115" s="844"/>
      <c r="L115" s="816"/>
      <c r="M115" s="816"/>
      <c r="N115" s="816">
        <f>156550.29+24421.99</f>
        <v>180972.28</v>
      </c>
      <c r="O115" s="816">
        <v>332190.76</v>
      </c>
      <c r="P115" s="816"/>
      <c r="Q115" s="846"/>
    </row>
    <row r="116" spans="1:17" ht="15">
      <c r="A116" s="843"/>
      <c r="B116" s="820" t="s">
        <v>4869</v>
      </c>
      <c r="C116" s="619"/>
      <c r="D116" s="619"/>
      <c r="E116" s="619"/>
      <c r="F116" s="844">
        <f t="shared" si="11"/>
        <v>31963.01</v>
      </c>
      <c r="G116" s="847">
        <v>10533</v>
      </c>
      <c r="H116" s="845">
        <f t="shared" si="12"/>
        <v>21430.01</v>
      </c>
      <c r="I116" s="816"/>
      <c r="J116" s="816"/>
      <c r="K116" s="844"/>
      <c r="L116" s="816"/>
      <c r="M116" s="816"/>
      <c r="N116" s="816"/>
      <c r="O116" s="816">
        <v>31963.01</v>
      </c>
      <c r="P116" s="816"/>
      <c r="Q116" s="846"/>
    </row>
    <row r="117" spans="1:17" ht="15">
      <c r="A117" s="843"/>
      <c r="B117" s="820" t="s">
        <v>4870</v>
      </c>
      <c r="C117" s="619"/>
      <c r="D117" s="619"/>
      <c r="E117" s="619"/>
      <c r="F117" s="844">
        <f t="shared" si="11"/>
        <v>59490.61</v>
      </c>
      <c r="G117" s="847">
        <f>12650+6230</f>
        <v>18880</v>
      </c>
      <c r="H117" s="845">
        <f t="shared" si="12"/>
        <v>40610.61</v>
      </c>
      <c r="I117" s="816"/>
      <c r="J117" s="816"/>
      <c r="K117" s="844"/>
      <c r="L117" s="816"/>
      <c r="M117" s="816"/>
      <c r="N117" s="816"/>
      <c r="O117" s="816">
        <v>19231.07</v>
      </c>
      <c r="P117" s="816">
        <v>40259.54</v>
      </c>
      <c r="Q117" s="846"/>
    </row>
    <row r="118" spans="1:17" ht="15">
      <c r="A118" s="526"/>
      <c r="B118" s="619"/>
      <c r="C118" s="619"/>
      <c r="D118" s="619"/>
      <c r="E118" s="619"/>
      <c r="F118" s="817"/>
      <c r="G118" s="602"/>
      <c r="H118" s="842"/>
      <c r="I118" s="521"/>
      <c r="J118" s="521"/>
      <c r="K118" s="524"/>
      <c r="L118" s="521"/>
      <c r="M118" s="521"/>
      <c r="N118" s="521"/>
      <c r="O118" s="521"/>
      <c r="P118" s="521"/>
      <c r="Q118" s="841"/>
    </row>
    <row r="119" spans="1:17" ht="15">
      <c r="A119" s="526" t="s">
        <v>4871</v>
      </c>
      <c r="B119" s="619" t="s">
        <v>4872</v>
      </c>
      <c r="C119" s="619"/>
      <c r="D119" s="619"/>
      <c r="E119" s="619"/>
      <c r="F119" s="817">
        <f>SUM(I119:Q119)</f>
        <v>296676</v>
      </c>
      <c r="G119" s="602"/>
      <c r="H119" s="842">
        <f t="shared" si="12"/>
        <v>296676</v>
      </c>
      <c r="I119" s="521"/>
      <c r="J119" s="521"/>
      <c r="K119" s="524"/>
      <c r="L119" s="521"/>
      <c r="M119" s="521"/>
      <c r="N119" s="521">
        <v>50000</v>
      </c>
      <c r="O119" s="521">
        <v>123338</v>
      </c>
      <c r="P119" s="521">
        <v>123338</v>
      </c>
      <c r="Q119" s="841"/>
    </row>
    <row r="120" spans="1:17" ht="15">
      <c r="A120" s="526"/>
      <c r="B120" s="619"/>
      <c r="C120" s="619"/>
      <c r="D120" s="619"/>
      <c r="E120" s="619"/>
      <c r="F120" s="817"/>
      <c r="G120" s="602"/>
      <c r="H120" s="842"/>
      <c r="I120" s="521"/>
      <c r="J120" s="521"/>
      <c r="K120" s="524"/>
      <c r="L120" s="521"/>
      <c r="M120" s="521"/>
      <c r="N120" s="521"/>
      <c r="O120" s="521"/>
      <c r="P120" s="521"/>
      <c r="Q120" s="841"/>
    </row>
    <row r="121" spans="1:17" ht="15">
      <c r="A121" s="526" t="s">
        <v>4873</v>
      </c>
      <c r="B121" s="619" t="s">
        <v>4874</v>
      </c>
      <c r="C121" s="619"/>
      <c r="D121" s="619"/>
      <c r="E121" s="619"/>
      <c r="F121" s="817">
        <f>SUM(I121:Q121)</f>
        <v>393527.32</v>
      </c>
      <c r="G121" s="602"/>
      <c r="H121" s="842">
        <f t="shared" si="12"/>
        <v>393527.32</v>
      </c>
      <c r="I121" s="521"/>
      <c r="J121" s="521"/>
      <c r="K121" s="524"/>
      <c r="L121" s="521"/>
      <c r="M121" s="521"/>
      <c r="N121" s="521"/>
      <c r="O121" s="521">
        <v>393527.32</v>
      </c>
      <c r="P121" s="521"/>
      <c r="Q121" s="841"/>
    </row>
    <row r="122" spans="1:17" ht="15">
      <c r="A122" s="526"/>
      <c r="B122" s="619"/>
      <c r="C122" s="619"/>
      <c r="D122" s="619"/>
      <c r="E122" s="619"/>
      <c r="F122" s="817"/>
      <c r="G122" s="602"/>
      <c r="H122" s="842"/>
      <c r="I122" s="521"/>
      <c r="J122" s="521"/>
      <c r="K122" s="524"/>
      <c r="L122" s="521"/>
      <c r="M122" s="521"/>
      <c r="N122" s="521"/>
      <c r="O122" s="521"/>
      <c r="P122" s="521"/>
      <c r="Q122" s="841"/>
    </row>
    <row r="123" spans="1:17" ht="15">
      <c r="A123" s="526" t="s">
        <v>4875</v>
      </c>
      <c r="B123" s="619" t="s">
        <v>4876</v>
      </c>
      <c r="C123" s="619"/>
      <c r="D123" s="619"/>
      <c r="E123" s="619"/>
      <c r="F123" s="817">
        <f>SUM(I123:Q123)</f>
        <v>4075156.3000000003</v>
      </c>
      <c r="G123" s="830">
        <f>SUM(G124:G132)</f>
        <v>1101553.3700000001</v>
      </c>
      <c r="H123" s="842">
        <f t="shared" si="12"/>
        <v>2973602.93</v>
      </c>
      <c r="I123" s="521"/>
      <c r="J123" s="521"/>
      <c r="K123" s="524">
        <f t="shared" ref="K123:P123" si="13">SUM(K124:K133)</f>
        <v>803951.44</v>
      </c>
      <c r="L123" s="521">
        <f t="shared" si="13"/>
        <v>107000</v>
      </c>
      <c r="M123" s="521">
        <f t="shared" si="13"/>
        <v>478854</v>
      </c>
      <c r="N123" s="521">
        <f t="shared" si="13"/>
        <v>223671.1</v>
      </c>
      <c r="O123" s="521">
        <f t="shared" si="13"/>
        <v>2093405.31</v>
      </c>
      <c r="P123" s="521">
        <f t="shared" si="13"/>
        <v>368274.45</v>
      </c>
      <c r="Q123" s="841"/>
    </row>
    <row r="124" spans="1:17" ht="15">
      <c r="A124" s="843"/>
      <c r="B124" s="820" t="s">
        <v>4877</v>
      </c>
      <c r="C124" s="619"/>
      <c r="D124" s="619"/>
      <c r="E124" s="619"/>
      <c r="F124" s="844">
        <f t="shared" ref="F124:F132" si="14">SUM(I124:Q124)</f>
        <v>113578.61</v>
      </c>
      <c r="G124" s="847"/>
      <c r="H124" s="845">
        <f t="shared" si="12"/>
        <v>113578.61</v>
      </c>
      <c r="I124" s="816"/>
      <c r="J124" s="816"/>
      <c r="K124" s="844">
        <v>113578.61</v>
      </c>
      <c r="L124" s="816"/>
      <c r="M124" s="816"/>
      <c r="N124" s="816"/>
      <c r="O124" s="816"/>
      <c r="P124" s="816"/>
      <c r="Q124" s="846"/>
    </row>
    <row r="125" spans="1:17" ht="15">
      <c r="A125" s="843"/>
      <c r="B125" s="820" t="s">
        <v>4878</v>
      </c>
      <c r="C125" s="619"/>
      <c r="D125" s="619"/>
      <c r="E125" s="619"/>
      <c r="F125" s="844">
        <f t="shared" si="14"/>
        <v>663372.82999999996</v>
      </c>
      <c r="G125" s="847">
        <f>97000+25282.37</f>
        <v>122282.37</v>
      </c>
      <c r="H125" s="845">
        <f t="shared" si="12"/>
        <v>541090.46</v>
      </c>
      <c r="I125" s="816"/>
      <c r="J125" s="816"/>
      <c r="K125" s="844">
        <v>663372.82999999996</v>
      </c>
      <c r="L125" s="816"/>
      <c r="M125" s="816"/>
      <c r="N125" s="816"/>
      <c r="O125" s="816"/>
      <c r="P125" s="816"/>
      <c r="Q125" s="846"/>
    </row>
    <row r="126" spans="1:17" ht="15">
      <c r="A126" s="843"/>
      <c r="B126" s="820" t="s">
        <v>4879</v>
      </c>
      <c r="C126" s="619"/>
      <c r="D126" s="619"/>
      <c r="E126" s="619"/>
      <c r="F126" s="844">
        <f t="shared" si="14"/>
        <v>454724.12</v>
      </c>
      <c r="G126" s="847">
        <v>273000</v>
      </c>
      <c r="H126" s="845">
        <f t="shared" si="12"/>
        <v>181724.12</v>
      </c>
      <c r="I126" s="816"/>
      <c r="J126" s="816"/>
      <c r="K126" s="844">
        <v>27000</v>
      </c>
      <c r="L126" s="816"/>
      <c r="M126" s="816">
        <f>487000-59275.88</f>
        <v>427724.12</v>
      </c>
      <c r="N126" s="816"/>
      <c r="O126" s="816"/>
      <c r="P126" s="816"/>
      <c r="Q126" s="846"/>
    </row>
    <row r="127" spans="1:17" ht="15">
      <c r="A127" s="843"/>
      <c r="B127" s="820" t="s">
        <v>4880</v>
      </c>
      <c r="C127" s="619"/>
      <c r="D127" s="619"/>
      <c r="E127" s="619"/>
      <c r="F127" s="844">
        <f t="shared" si="14"/>
        <v>2157124.54</v>
      </c>
      <c r="G127" s="847">
        <v>706271</v>
      </c>
      <c r="H127" s="845">
        <f t="shared" si="12"/>
        <v>1450853.54</v>
      </c>
      <c r="I127" s="816"/>
      <c r="J127" s="816"/>
      <c r="K127" s="844"/>
      <c r="L127" s="816">
        <f>62000</f>
        <v>62000</v>
      </c>
      <c r="M127" s="816">
        <f>1621.46+9508.42</f>
        <v>11129.880000000001</v>
      </c>
      <c r="N127" s="816">
        <f>12463+173213</f>
        <v>185676</v>
      </c>
      <c r="O127" s="816">
        <v>1843201.83</v>
      </c>
      <c r="P127" s="816">
        <f>50000+5116.83</f>
        <v>55116.83</v>
      </c>
      <c r="Q127" s="846"/>
    </row>
    <row r="128" spans="1:17" ht="15">
      <c r="A128" s="843"/>
      <c r="B128" s="820" t="s">
        <v>4881</v>
      </c>
      <c r="C128" s="619"/>
      <c r="D128" s="619"/>
      <c r="E128" s="619"/>
      <c r="F128" s="844">
        <f t="shared" si="14"/>
        <v>176096.6</v>
      </c>
      <c r="G128" s="847"/>
      <c r="H128" s="845">
        <f t="shared" si="12"/>
        <v>176096.6</v>
      </c>
      <c r="I128" s="816"/>
      <c r="J128" s="816"/>
      <c r="K128" s="844"/>
      <c r="L128" s="816"/>
      <c r="M128" s="816">
        <v>40000</v>
      </c>
      <c r="N128" s="816"/>
      <c r="O128" s="816"/>
      <c r="P128" s="816">
        <v>136096.6</v>
      </c>
      <c r="Q128" s="846"/>
    </row>
    <row r="129" spans="1:17" ht="15">
      <c r="A129" s="843"/>
      <c r="B129" s="820" t="s">
        <v>4882</v>
      </c>
      <c r="C129" s="619"/>
      <c r="D129" s="619"/>
      <c r="E129" s="619"/>
      <c r="F129" s="844">
        <f t="shared" si="14"/>
        <v>45000</v>
      </c>
      <c r="G129" s="847"/>
      <c r="H129" s="845">
        <f t="shared" si="12"/>
        <v>45000</v>
      </c>
      <c r="I129" s="816"/>
      <c r="J129" s="816"/>
      <c r="K129" s="844"/>
      <c r="L129" s="816">
        <v>45000</v>
      </c>
      <c r="M129" s="816"/>
      <c r="N129" s="816"/>
      <c r="O129" s="816"/>
      <c r="P129" s="816"/>
      <c r="Q129" s="846"/>
    </row>
    <row r="130" spans="1:17" ht="15">
      <c r="A130" s="843"/>
      <c r="B130" s="820" t="s">
        <v>4883</v>
      </c>
      <c r="C130" s="619"/>
      <c r="D130" s="619"/>
      <c r="E130" s="619"/>
      <c r="F130" s="844">
        <f t="shared" si="14"/>
        <v>173959.99</v>
      </c>
      <c r="G130" s="847"/>
      <c r="H130" s="845">
        <f t="shared" si="12"/>
        <v>173959.99</v>
      </c>
      <c r="I130" s="816"/>
      <c r="J130" s="816"/>
      <c r="K130" s="844"/>
      <c r="L130" s="816"/>
      <c r="M130" s="816"/>
      <c r="N130" s="816">
        <v>37995.1</v>
      </c>
      <c r="O130" s="816">
        <v>10674.5</v>
      </c>
      <c r="P130" s="816">
        <v>125290.39</v>
      </c>
      <c r="Q130" s="846"/>
    </row>
    <row r="131" spans="1:17" ht="15">
      <c r="A131" s="843"/>
      <c r="B131" s="820" t="s">
        <v>2609</v>
      </c>
      <c r="C131" s="619"/>
      <c r="D131" s="619"/>
      <c r="E131" s="619"/>
      <c r="F131" s="844">
        <f t="shared" si="14"/>
        <v>266299.61</v>
      </c>
      <c r="G131" s="847"/>
      <c r="H131" s="845">
        <f t="shared" si="12"/>
        <v>266299.61</v>
      </c>
      <c r="I131" s="816"/>
      <c r="J131" s="816"/>
      <c r="K131" s="844"/>
      <c r="L131" s="816"/>
      <c r="M131" s="816"/>
      <c r="N131" s="816"/>
      <c r="O131" s="816">
        <v>214528.98</v>
      </c>
      <c r="P131" s="816">
        <v>51770.63</v>
      </c>
      <c r="Q131" s="846"/>
    </row>
    <row r="132" spans="1:17" ht="15">
      <c r="A132" s="843"/>
      <c r="B132" s="820" t="s">
        <v>748</v>
      </c>
      <c r="C132" s="619"/>
      <c r="D132" s="619"/>
      <c r="E132" s="619"/>
      <c r="F132" s="844">
        <f t="shared" si="14"/>
        <v>25000</v>
      </c>
      <c r="G132" s="847"/>
      <c r="H132" s="845">
        <f t="shared" si="12"/>
        <v>25000</v>
      </c>
      <c r="I132" s="816"/>
      <c r="J132" s="816"/>
      <c r="K132" s="844"/>
      <c r="L132" s="816"/>
      <c r="M132" s="816"/>
      <c r="N132" s="816"/>
      <c r="O132" s="816">
        <v>25000</v>
      </c>
      <c r="P132" s="816"/>
      <c r="Q132" s="846"/>
    </row>
    <row r="133" spans="1:17" ht="15">
      <c r="A133" s="526"/>
      <c r="B133" s="619"/>
      <c r="C133" s="619"/>
      <c r="D133" s="619"/>
      <c r="E133" s="619"/>
      <c r="F133" s="817"/>
      <c r="G133" s="602"/>
      <c r="H133" s="842"/>
      <c r="I133" s="521"/>
      <c r="J133" s="521"/>
      <c r="K133" s="524"/>
      <c r="L133" s="521"/>
      <c r="M133" s="521"/>
      <c r="N133" s="521"/>
      <c r="O133" s="521"/>
      <c r="P133" s="521"/>
      <c r="Q133" s="841"/>
    </row>
    <row r="134" spans="1:17" ht="15">
      <c r="A134" s="526" t="s">
        <v>4884</v>
      </c>
      <c r="B134" s="619" t="s">
        <v>4885</v>
      </c>
      <c r="C134" s="619"/>
      <c r="D134" s="619"/>
      <c r="E134" s="619"/>
      <c r="F134" s="817">
        <f>SUM(I134:Q134)</f>
        <v>193238.08</v>
      </c>
      <c r="G134" s="830">
        <v>26000</v>
      </c>
      <c r="H134" s="842">
        <f t="shared" si="12"/>
        <v>167238.07999999999</v>
      </c>
      <c r="I134" s="521"/>
      <c r="J134" s="521"/>
      <c r="K134" s="524">
        <v>21887.46</v>
      </c>
      <c r="L134" s="521">
        <v>30584.85</v>
      </c>
      <c r="M134" s="521">
        <v>42130.27</v>
      </c>
      <c r="N134" s="521">
        <v>94385.46</v>
      </c>
      <c r="O134" s="521">
        <v>3503.88</v>
      </c>
      <c r="P134" s="521">
        <v>746.16</v>
      </c>
      <c r="Q134" s="841"/>
    </row>
    <row r="135" spans="1:17" ht="13.5" thickBot="1">
      <c r="A135" s="526"/>
      <c r="B135" s="632"/>
      <c r="C135" s="619"/>
      <c r="D135" s="619"/>
      <c r="E135" s="619"/>
      <c r="F135" s="817"/>
      <c r="G135" s="602"/>
      <c r="H135" s="603"/>
      <c r="I135" s="521"/>
      <c r="J135" s="521"/>
      <c r="K135" s="524"/>
      <c r="L135" s="521"/>
      <c r="M135" s="521"/>
      <c r="N135" s="521"/>
      <c r="O135" s="521"/>
      <c r="P135" s="521"/>
      <c r="Q135" s="841"/>
    </row>
    <row r="136" spans="1:17" ht="15.75" thickBot="1">
      <c r="A136" s="1707"/>
      <c r="B136" s="1708" t="s">
        <v>165</v>
      </c>
      <c r="C136" s="1712"/>
      <c r="D136" s="1712"/>
      <c r="E136" s="1712"/>
      <c r="F136" s="1709">
        <f>SUM(F134+F123+F121+F119+F105+F100+F98+F96+F94+F92+F87+F85+F83+F81+F79+F77+F75+F73+F71+F69+F67+F65+F56+F49+F47+F45+F39+F43)</f>
        <v>28768842.190000001</v>
      </c>
      <c r="G136" s="1710">
        <f>SUM(G134+G123+G121+G119+G105+G100+G98+G96+G94+G92+G87+G85+G83+G81+G79+G77+G75+G73+G71+G69+G67+G65+G56+G49+G47+G45+G39+G43)</f>
        <v>2686463.16</v>
      </c>
      <c r="H136" s="1711">
        <f>SUM(H134+H123+H121+H119+H105+H100+H98+H96+H94+H92+H87+H85+H83+H81+H79+H77+H75+H73+H71+H69+H67+H65+H56+H49+H47+H45+H39+H43)</f>
        <v>26082379.029999997</v>
      </c>
      <c r="I136" s="1710">
        <f>SUM(I38:I135)</f>
        <v>494000</v>
      </c>
      <c r="J136" s="1710">
        <f>SUM(J38:J135)</f>
        <v>6063499.1600000001</v>
      </c>
      <c r="K136" s="1709">
        <f>K39+K43+K45+K47+K49+K56+K65+K67+K69+K71+K73+K75+K77+K79+K81+K83+K85+K92+K94+K96+K98+K105+K119+K121+K123+K134+K100+K87</f>
        <v>5787915.3799999999</v>
      </c>
      <c r="L136" s="1710">
        <f t="shared" ref="L136:Q136" si="15">L39+L43+L45+L47+L49+L56+L65+L67+L69+L71+L73+L75+L77+L79+L81+L83+L85+L92+L94+L96+L98+L105+L119+L121+L123+L134+L100+L87</f>
        <v>3724840.0200000009</v>
      </c>
      <c r="M136" s="1710">
        <f t="shared" si="15"/>
        <v>3066236.2100000004</v>
      </c>
      <c r="N136" s="1710">
        <f t="shared" si="15"/>
        <v>2206695.2399999998</v>
      </c>
      <c r="O136" s="1710">
        <f t="shared" si="15"/>
        <v>5084913.4899999993</v>
      </c>
      <c r="P136" s="1710">
        <f t="shared" si="15"/>
        <v>5619492.2700000014</v>
      </c>
      <c r="Q136" s="1711">
        <f t="shared" si="15"/>
        <v>0</v>
      </c>
    </row>
  </sheetData>
  <mergeCells count="3">
    <mergeCell ref="B3:G3"/>
    <mergeCell ref="A1:M1"/>
    <mergeCell ref="B37:D37"/>
  </mergeCells>
  <hyperlinks>
    <hyperlink ref="A1" location="GLOBAAL!A1" display="Eigen aandeel investeringen" xr:uid="{00000000-0004-0000-5400-000000000000}"/>
    <hyperlink ref="A1:M1" location="FINANCIËN!A1" display="Eigen aandeel investeringen" xr:uid="{00000000-0004-0000-5400-000001000000}"/>
  </hyperlinks>
  <pageMargins left="0.75" right="0.75" top="1" bottom="1" header="0.5" footer="0.5"/>
  <pageSetup paperSize="9" scale="75" fitToHeight="0"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EBD531"/>
  </sheetPr>
  <dimension ref="A1:M52"/>
  <sheetViews>
    <sheetView workbookViewId="0">
      <selection sqref="A1:H1"/>
    </sheetView>
  </sheetViews>
  <sheetFormatPr defaultColWidth="9.140625" defaultRowHeight="12.75"/>
  <cols>
    <col min="1" max="1" width="18.28515625" style="520" customWidth="1"/>
    <col min="2" max="2" width="9.140625" style="520"/>
    <col min="3" max="3" width="30.28515625" style="520" bestFit="1" customWidth="1"/>
    <col min="4" max="4" width="9.140625" style="520"/>
    <col min="5" max="5" width="32.42578125" style="520" bestFit="1" customWidth="1"/>
    <col min="6" max="6" width="9.140625" style="520"/>
    <col min="7" max="7" width="20.28515625" style="520" bestFit="1" customWidth="1"/>
    <col min="8" max="8" width="9.140625" style="520"/>
    <col min="9" max="9" width="23.85546875" style="520" customWidth="1"/>
    <col min="10" max="10" width="9.140625" style="520"/>
    <col min="11" max="11" width="21.28515625" style="520" customWidth="1"/>
    <col min="12" max="16384" width="9.140625" style="520"/>
  </cols>
  <sheetData>
    <row r="1" spans="1:13" ht="21">
      <c r="A1" s="4935" t="s">
        <v>7120</v>
      </c>
      <c r="B1" s="4935"/>
      <c r="C1" s="4935"/>
      <c r="D1" s="4935"/>
      <c r="E1" s="4935"/>
      <c r="F1" s="4935"/>
      <c r="G1" s="4935"/>
      <c r="H1" s="4935"/>
      <c r="I1" s="981"/>
      <c r="J1" s="981"/>
      <c r="K1" s="981"/>
      <c r="L1" s="981"/>
      <c r="M1" s="981"/>
    </row>
    <row r="2" spans="1:13" ht="15">
      <c r="A2" s="981"/>
      <c r="B2" s="981"/>
      <c r="C2" s="981"/>
      <c r="D2" s="981"/>
      <c r="E2" s="981"/>
      <c r="F2" s="981"/>
      <c r="G2" s="981"/>
      <c r="H2" s="981"/>
      <c r="I2" s="981"/>
      <c r="J2" s="981"/>
      <c r="K2" s="981"/>
      <c r="L2" s="981"/>
      <c r="M2" s="981"/>
    </row>
    <row r="3" spans="1:13" ht="21">
      <c r="A3" s="4933" t="s">
        <v>5416</v>
      </c>
      <c r="B3" s="4933"/>
      <c r="C3" s="4933"/>
      <c r="D3" s="4933"/>
      <c r="E3" s="4933"/>
      <c r="F3" s="4933"/>
      <c r="G3" s="4933"/>
      <c r="H3" s="4933"/>
      <c r="I3" s="4933"/>
      <c r="J3" s="4933"/>
      <c r="K3" s="4933"/>
      <c r="L3" s="4933"/>
      <c r="M3" s="981"/>
    </row>
    <row r="4" spans="1:13" ht="15">
      <c r="A4" s="982"/>
      <c r="B4" s="982"/>
      <c r="C4" s="982"/>
      <c r="D4" s="982"/>
      <c r="E4" s="982"/>
      <c r="F4" s="982"/>
      <c r="G4" s="982"/>
      <c r="H4" s="982"/>
      <c r="I4" s="982"/>
      <c r="J4" s="982"/>
      <c r="K4" s="982"/>
      <c r="L4" s="982"/>
      <c r="M4" s="982"/>
    </row>
    <row r="5" spans="1:13" ht="21">
      <c r="A5" s="2611" t="s">
        <v>5417</v>
      </c>
      <c r="B5" s="983"/>
      <c r="C5" s="4934" t="s">
        <v>5418</v>
      </c>
      <c r="D5" s="4934"/>
      <c r="E5" s="4934"/>
      <c r="F5" s="4934"/>
      <c r="G5" s="4934"/>
      <c r="H5" s="4934"/>
      <c r="I5" s="4934"/>
      <c r="J5" s="4934"/>
      <c r="K5" s="4934"/>
      <c r="L5" s="4934"/>
      <c r="M5" s="981"/>
    </row>
    <row r="6" spans="1:13" ht="15">
      <c r="A6" s="981"/>
      <c r="B6" s="981"/>
      <c r="C6" s="981"/>
      <c r="D6" s="981"/>
      <c r="E6" s="981"/>
      <c r="F6" s="981"/>
      <c r="G6" s="981"/>
      <c r="H6" s="981"/>
      <c r="I6" s="981"/>
      <c r="J6" s="981"/>
      <c r="K6" s="981"/>
      <c r="L6" s="981"/>
      <c r="M6" s="981"/>
    </row>
    <row r="7" spans="1:13" ht="47.25">
      <c r="A7" s="984" t="s">
        <v>5419</v>
      </c>
      <c r="B7" s="985"/>
      <c r="C7" s="986" t="s">
        <v>5420</v>
      </c>
      <c r="D7" s="985"/>
      <c r="E7" s="986" t="s">
        <v>5421</v>
      </c>
      <c r="F7" s="985"/>
      <c r="G7" s="986" t="s">
        <v>5422</v>
      </c>
      <c r="H7" s="987">
        <v>1</v>
      </c>
      <c r="I7" s="988" t="s">
        <v>5423</v>
      </c>
      <c r="J7" s="985"/>
      <c r="K7" s="989"/>
      <c r="L7" s="985"/>
      <c r="M7" s="981"/>
    </row>
    <row r="8" spans="1:13" ht="15.75">
      <c r="A8" s="985"/>
      <c r="B8" s="985"/>
      <c r="C8" s="990"/>
      <c r="D8" s="985"/>
      <c r="E8" s="990"/>
      <c r="F8" s="985"/>
      <c r="G8" s="990"/>
      <c r="H8" s="985"/>
      <c r="I8" s="990"/>
      <c r="J8" s="985"/>
      <c r="K8" s="985"/>
      <c r="L8" s="985"/>
      <c r="M8" s="981"/>
    </row>
    <row r="9" spans="1:13" ht="55.5" customHeight="1">
      <c r="A9" s="984" t="s">
        <v>5424</v>
      </c>
      <c r="B9" s="985"/>
      <c r="C9" s="991" t="s">
        <v>5425</v>
      </c>
      <c r="D9" s="985"/>
      <c r="E9" s="991" t="s">
        <v>5426</v>
      </c>
      <c r="F9" s="985"/>
      <c r="G9" s="991" t="s">
        <v>5427</v>
      </c>
      <c r="H9" s="985"/>
      <c r="I9" s="988" t="s">
        <v>5428</v>
      </c>
      <c r="J9" s="992"/>
      <c r="K9" s="991" t="s">
        <v>5429</v>
      </c>
      <c r="L9" s="985"/>
      <c r="M9" s="985"/>
    </row>
    <row r="10" spans="1:13" ht="15.75">
      <c r="A10" s="985"/>
      <c r="B10" s="985"/>
      <c r="C10" s="990"/>
      <c r="D10" s="985"/>
      <c r="E10" s="990"/>
      <c r="F10" s="985"/>
      <c r="G10" s="990"/>
      <c r="H10" s="985"/>
      <c r="I10" s="990"/>
      <c r="J10" s="985"/>
      <c r="K10" s="985"/>
      <c r="L10" s="985"/>
      <c r="M10" s="981"/>
    </row>
    <row r="11" spans="1:13" ht="61.5" customHeight="1">
      <c r="A11" s="984" t="s">
        <v>5430</v>
      </c>
      <c r="B11" s="985"/>
      <c r="C11" s="993" t="s">
        <v>5431</v>
      </c>
      <c r="D11" s="981"/>
      <c r="E11" s="991" t="s">
        <v>5432</v>
      </c>
      <c r="F11" s="981"/>
      <c r="G11" s="991" t="s">
        <v>5433</v>
      </c>
      <c r="H11" s="985"/>
      <c r="I11" s="994"/>
      <c r="J11" s="981"/>
      <c r="K11" s="995"/>
      <c r="L11" s="981"/>
      <c r="M11" s="981"/>
    </row>
    <row r="12" spans="1:13" ht="15.75">
      <c r="A12" s="995"/>
      <c r="B12" s="992"/>
      <c r="C12" s="995"/>
      <c r="D12" s="996"/>
      <c r="E12" s="995"/>
      <c r="F12" s="996"/>
      <c r="G12" s="995"/>
      <c r="H12" s="992"/>
      <c r="I12" s="996"/>
      <c r="J12" s="996"/>
      <c r="K12" s="995"/>
      <c r="L12" s="996"/>
      <c r="M12" s="996"/>
    </row>
    <row r="13" spans="1:13" ht="15.75">
      <c r="A13" s="985"/>
      <c r="B13" s="985"/>
      <c r="C13" s="990"/>
      <c r="D13" s="985"/>
      <c r="E13" s="990"/>
      <c r="F13" s="985"/>
      <c r="G13" s="990"/>
      <c r="H13" s="985"/>
      <c r="I13" s="990"/>
      <c r="J13" s="985"/>
      <c r="K13" s="985"/>
      <c r="L13" s="985"/>
      <c r="M13" s="981"/>
    </row>
    <row r="14" spans="1:13" ht="107.25" customHeight="1">
      <c r="A14" s="984" t="s">
        <v>5434</v>
      </c>
      <c r="B14" s="985"/>
      <c r="C14" s="991" t="s">
        <v>5435</v>
      </c>
      <c r="D14" s="981"/>
      <c r="E14" s="991" t="s">
        <v>5436</v>
      </c>
      <c r="F14" s="985"/>
      <c r="G14" s="991" t="s">
        <v>5437</v>
      </c>
      <c r="H14" s="981"/>
      <c r="I14" s="989"/>
      <c r="J14" s="981"/>
      <c r="K14" s="985"/>
      <c r="L14" s="981"/>
      <c r="M14" s="981"/>
    </row>
    <row r="15" spans="1:13" ht="15.75">
      <c r="A15" s="985"/>
      <c r="B15" s="985"/>
      <c r="C15" s="990"/>
      <c r="D15" s="985"/>
      <c r="E15" s="990"/>
      <c r="F15" s="985"/>
      <c r="G15" s="990"/>
      <c r="H15" s="985"/>
      <c r="I15" s="990"/>
      <c r="J15" s="985"/>
      <c r="K15" s="985"/>
      <c r="L15" s="985"/>
      <c r="M15" s="981"/>
    </row>
    <row r="16" spans="1:13" ht="106.5" customHeight="1">
      <c r="A16" s="984" t="s">
        <v>5438</v>
      </c>
      <c r="B16" s="985"/>
      <c r="C16" s="991" t="s">
        <v>5439</v>
      </c>
      <c r="D16" s="985"/>
      <c r="E16" s="991" t="s">
        <v>5440</v>
      </c>
      <c r="F16" s="985"/>
      <c r="G16" s="995"/>
      <c r="H16" s="985"/>
      <c r="I16" s="990"/>
      <c r="J16" s="985"/>
      <c r="K16" s="985"/>
      <c r="L16" s="985"/>
      <c r="M16" s="981"/>
    </row>
    <row r="17" spans="1:13" ht="15">
      <c r="A17" s="981"/>
      <c r="B17" s="981"/>
      <c r="C17" s="981"/>
      <c r="D17" s="981"/>
      <c r="E17" s="981"/>
      <c r="F17" s="981"/>
      <c r="G17" s="981"/>
      <c r="H17" s="981"/>
      <c r="I17" s="981"/>
      <c r="J17" s="981"/>
      <c r="K17" s="981"/>
      <c r="L17" s="981"/>
      <c r="M17" s="981"/>
    </row>
    <row r="18" spans="1:13" ht="31.5">
      <c r="A18" s="984" t="s">
        <v>5441</v>
      </c>
      <c r="B18" s="985"/>
      <c r="C18" s="991" t="s">
        <v>5442</v>
      </c>
      <c r="D18" s="985"/>
      <c r="E18" s="991" t="s">
        <v>5443</v>
      </c>
      <c r="F18" s="992"/>
      <c r="G18" s="995"/>
      <c r="H18" s="992"/>
      <c r="I18" s="995"/>
      <c r="J18" s="996"/>
      <c r="K18" s="995"/>
      <c r="L18" s="981"/>
      <c r="M18" s="985"/>
    </row>
    <row r="19" spans="1:13" ht="15.75">
      <c r="A19" s="995"/>
      <c r="B19" s="992"/>
      <c r="C19" s="995"/>
      <c r="D19" s="992"/>
      <c r="E19" s="995"/>
      <c r="F19" s="992"/>
      <c r="G19" s="995"/>
      <c r="H19" s="992"/>
      <c r="I19" s="995"/>
      <c r="J19" s="996"/>
      <c r="K19" s="995"/>
      <c r="L19" s="996"/>
      <c r="M19" s="992"/>
    </row>
    <row r="20" spans="1:13" ht="15.75">
      <c r="A20" s="995"/>
      <c r="B20" s="992"/>
      <c r="C20" s="996"/>
      <c r="D20" s="992"/>
      <c r="E20" s="995"/>
      <c r="F20" s="992"/>
      <c r="G20" s="995"/>
      <c r="H20" s="992"/>
      <c r="I20" s="995"/>
      <c r="J20" s="996"/>
      <c r="K20" s="995"/>
      <c r="L20" s="996"/>
      <c r="M20" s="992"/>
    </row>
    <row r="21" spans="1:13" ht="15.75">
      <c r="A21" s="995"/>
      <c r="B21" s="992"/>
      <c r="C21" s="995"/>
      <c r="D21" s="992"/>
      <c r="E21" s="995"/>
      <c r="F21" s="992"/>
      <c r="G21" s="995"/>
      <c r="H21" s="992"/>
      <c r="I21" s="995"/>
      <c r="J21" s="996"/>
      <c r="K21" s="995"/>
      <c r="L21" s="996"/>
      <c r="M21" s="992"/>
    </row>
    <row r="22" spans="1:13" ht="78.75" customHeight="1">
      <c r="A22" s="984" t="s">
        <v>5444</v>
      </c>
      <c r="B22" s="985"/>
      <c r="C22" s="991" t="s">
        <v>5445</v>
      </c>
      <c r="D22" s="985"/>
      <c r="E22" s="991" t="s">
        <v>5446</v>
      </c>
      <c r="F22" s="992"/>
      <c r="G22" s="991" t="s">
        <v>5447</v>
      </c>
      <c r="H22" s="992"/>
      <c r="I22" s="991" t="s">
        <v>5448</v>
      </c>
      <c r="J22" s="996"/>
      <c r="K22" s="995"/>
      <c r="L22" s="994"/>
      <c r="M22" s="985"/>
    </row>
    <row r="23" spans="1:13" ht="15.75">
      <c r="A23" s="995"/>
      <c r="B23" s="992"/>
      <c r="C23" s="995"/>
      <c r="D23" s="992"/>
      <c r="E23" s="995"/>
      <c r="F23" s="992"/>
      <c r="G23" s="995"/>
      <c r="H23" s="992"/>
      <c r="I23" s="995"/>
      <c r="J23" s="996"/>
      <c r="K23" s="995"/>
      <c r="L23" s="996"/>
      <c r="M23" s="992"/>
    </row>
    <row r="24" spans="1:13" ht="47.25">
      <c r="A24" s="984" t="s">
        <v>5449</v>
      </c>
      <c r="B24" s="985"/>
      <c r="C24" s="991" t="s">
        <v>5450</v>
      </c>
      <c r="D24" s="985"/>
      <c r="E24" s="994"/>
      <c r="F24" s="992"/>
      <c r="G24" s="995"/>
      <c r="H24" s="992"/>
      <c r="I24" s="995"/>
      <c r="J24" s="996"/>
      <c r="K24" s="995"/>
      <c r="L24" s="994"/>
      <c r="M24" s="985"/>
    </row>
    <row r="25" spans="1:13" ht="15.75">
      <c r="A25" s="995"/>
      <c r="B25" s="992"/>
      <c r="C25" s="995"/>
      <c r="D25" s="992"/>
      <c r="E25" s="995"/>
      <c r="F25" s="992"/>
      <c r="G25" s="995"/>
      <c r="H25" s="992"/>
      <c r="I25" s="995"/>
      <c r="J25" s="996"/>
      <c r="K25" s="995"/>
      <c r="L25" s="996"/>
      <c r="M25" s="992"/>
    </row>
    <row r="26" spans="1:13" ht="15.75">
      <c r="A26" s="985"/>
      <c r="B26" s="985"/>
      <c r="C26" s="990"/>
      <c r="D26" s="985"/>
      <c r="E26" s="990"/>
      <c r="F26" s="985"/>
      <c r="G26" s="990"/>
      <c r="H26" s="985"/>
      <c r="I26" s="990"/>
      <c r="J26" s="985"/>
      <c r="K26" s="985"/>
      <c r="L26" s="985"/>
      <c r="M26" s="981"/>
    </row>
    <row r="27" spans="1:13" ht="113.25" customHeight="1">
      <c r="A27" s="984" t="s">
        <v>5451</v>
      </c>
      <c r="B27" s="985"/>
      <c r="C27" s="991" t="s">
        <v>5452</v>
      </c>
      <c r="D27" s="985"/>
      <c r="E27" s="991" t="s">
        <v>5453</v>
      </c>
      <c r="F27" s="985"/>
      <c r="G27" s="991" t="s">
        <v>5454</v>
      </c>
      <c r="H27" s="981"/>
      <c r="I27" s="994"/>
      <c r="J27" s="992"/>
      <c r="K27" s="989"/>
      <c r="L27" s="992"/>
      <c r="M27" s="985"/>
    </row>
    <row r="28" spans="1:13" ht="15.75">
      <c r="A28" s="985"/>
      <c r="B28" s="985"/>
      <c r="C28" s="990"/>
      <c r="D28" s="985"/>
      <c r="E28" s="990"/>
      <c r="F28" s="985"/>
      <c r="G28" s="990"/>
      <c r="H28" s="985"/>
      <c r="I28" s="990"/>
      <c r="J28" s="985"/>
      <c r="K28" s="985"/>
      <c r="L28" s="985"/>
      <c r="M28" s="981"/>
    </row>
    <row r="29" spans="1:13" ht="76.5" customHeight="1">
      <c r="A29" s="984" t="s">
        <v>5455</v>
      </c>
      <c r="B29" s="985"/>
      <c r="C29" s="986" t="s">
        <v>5456</v>
      </c>
      <c r="D29" s="981"/>
      <c r="E29" s="986" t="s">
        <v>5457</v>
      </c>
      <c r="F29" s="981"/>
      <c r="G29" s="986" t="s">
        <v>5458</v>
      </c>
      <c r="H29" s="994"/>
      <c r="I29" s="997" t="s">
        <v>5459</v>
      </c>
      <c r="J29" s="981"/>
      <c r="K29" s="981"/>
      <c r="L29" s="994"/>
      <c r="M29" s="985"/>
    </row>
    <row r="30" spans="1:13" ht="15.75">
      <c r="A30" s="985"/>
      <c r="B30" s="985"/>
      <c r="C30" s="990"/>
      <c r="D30" s="985"/>
      <c r="E30" s="990"/>
      <c r="F30" s="985"/>
      <c r="G30" s="990"/>
      <c r="H30" s="985"/>
      <c r="I30" s="990"/>
      <c r="J30" s="985"/>
      <c r="K30" s="985"/>
      <c r="L30" s="985"/>
      <c r="M30" s="981"/>
    </row>
    <row r="31" spans="1:13" ht="15.75">
      <c r="A31" s="985"/>
      <c r="B31" s="985"/>
      <c r="C31" s="990"/>
      <c r="D31" s="985"/>
      <c r="E31" s="990"/>
      <c r="F31" s="985"/>
      <c r="G31" s="990"/>
      <c r="H31" s="985"/>
      <c r="I31" s="990"/>
      <c r="J31" s="985"/>
      <c r="K31" s="985"/>
      <c r="L31" s="985"/>
      <c r="M31" s="981"/>
    </row>
    <row r="32" spans="1:13" ht="82.5" customHeight="1">
      <c r="A32" s="984" t="s">
        <v>5460</v>
      </c>
      <c r="B32" s="985"/>
      <c r="C32" s="991" t="s">
        <v>5461</v>
      </c>
      <c r="D32" s="985"/>
      <c r="E32" s="991" t="s">
        <v>5462</v>
      </c>
      <c r="F32" s="985"/>
      <c r="G32" s="991" t="s">
        <v>5463</v>
      </c>
      <c r="H32" s="985"/>
      <c r="I32" s="991" t="s">
        <v>5464</v>
      </c>
      <c r="J32" s="992"/>
      <c r="K32" s="989"/>
      <c r="L32" s="996"/>
      <c r="M32" s="981"/>
    </row>
    <row r="33" spans="1:13" ht="15.75">
      <c r="A33" s="985"/>
      <c r="B33" s="985"/>
      <c r="C33" s="990"/>
      <c r="D33" s="985"/>
      <c r="E33" s="990"/>
      <c r="F33" s="985"/>
      <c r="G33" s="990"/>
      <c r="H33" s="985"/>
      <c r="I33" s="990"/>
      <c r="J33" s="985"/>
      <c r="K33" s="985"/>
      <c r="L33" s="985"/>
      <c r="M33" s="981"/>
    </row>
    <row r="34" spans="1:13" ht="76.5" customHeight="1">
      <c r="A34" s="984" t="s">
        <v>4776</v>
      </c>
      <c r="B34" s="985"/>
      <c r="C34" s="991" t="s">
        <v>5465</v>
      </c>
      <c r="D34" s="985"/>
      <c r="E34" s="991" t="s">
        <v>5466</v>
      </c>
      <c r="F34" s="981"/>
      <c r="G34" s="986" t="s">
        <v>5467</v>
      </c>
      <c r="H34" s="981"/>
      <c r="I34" s="994"/>
      <c r="J34" s="981"/>
      <c r="K34" s="995"/>
      <c r="L34" s="981"/>
    </row>
    <row r="35" spans="1:13" ht="15.75">
      <c r="A35" s="985"/>
      <c r="B35" s="985"/>
      <c r="C35" s="990"/>
      <c r="D35" s="985"/>
      <c r="E35" s="990"/>
      <c r="F35" s="985"/>
      <c r="G35" s="990"/>
      <c r="H35" s="985"/>
      <c r="I35" s="990"/>
      <c r="J35" s="985"/>
      <c r="K35" s="985"/>
      <c r="L35" s="985"/>
    </row>
    <row r="36" spans="1:13" ht="15.75">
      <c r="A36" s="984" t="s">
        <v>5468</v>
      </c>
      <c r="B36" s="985"/>
      <c r="C36" s="993" t="s">
        <v>5469</v>
      </c>
      <c r="D36" s="985"/>
      <c r="E36" s="991" t="s">
        <v>5470</v>
      </c>
      <c r="F36" s="985"/>
      <c r="G36" s="995"/>
      <c r="H36" s="985"/>
      <c r="I36" s="990"/>
      <c r="J36" s="985"/>
      <c r="K36" s="985"/>
      <c r="L36" s="985"/>
    </row>
    <row r="37" spans="1:13" ht="15.75">
      <c r="A37" s="985"/>
      <c r="B37" s="985"/>
      <c r="C37" s="990"/>
      <c r="D37" s="985"/>
      <c r="E37" s="990"/>
      <c r="F37" s="985"/>
      <c r="G37" s="990"/>
      <c r="H37" s="985"/>
      <c r="I37" s="990"/>
      <c r="J37" s="985"/>
      <c r="K37" s="985"/>
      <c r="L37" s="985"/>
    </row>
    <row r="38" spans="1:13" ht="31.5">
      <c r="A38" s="984" t="s">
        <v>5471</v>
      </c>
      <c r="B38" s="985"/>
      <c r="C38" s="991" t="s">
        <v>5472</v>
      </c>
      <c r="D38" s="985"/>
      <c r="E38" s="990"/>
      <c r="F38" s="985"/>
      <c r="G38" s="990"/>
      <c r="H38" s="985"/>
      <c r="I38" s="990"/>
      <c r="J38" s="985"/>
      <c r="K38" s="985"/>
      <c r="L38" s="985"/>
    </row>
    <row r="39" spans="1:13" ht="15.75">
      <c r="A39" s="985"/>
      <c r="B39" s="985"/>
      <c r="C39" s="990"/>
      <c r="D39" s="985"/>
      <c r="E39" s="990"/>
      <c r="F39" s="985"/>
      <c r="G39" s="990"/>
      <c r="H39" s="985"/>
      <c r="I39" s="990"/>
      <c r="J39" s="985"/>
      <c r="K39" s="985"/>
      <c r="L39" s="985"/>
    </row>
    <row r="40" spans="1:13" ht="15.75">
      <c r="A40" s="984" t="s">
        <v>5473</v>
      </c>
      <c r="B40" s="985"/>
      <c r="C40" s="991" t="s">
        <v>5474</v>
      </c>
      <c r="D40" s="985"/>
      <c r="E40" s="994"/>
      <c r="F40" s="985"/>
      <c r="G40" s="990"/>
      <c r="H40" s="985"/>
      <c r="I40" s="990"/>
      <c r="J40" s="985"/>
      <c r="K40" s="985"/>
      <c r="L40" s="985"/>
    </row>
    <row r="41" spans="1:13" ht="15.75">
      <c r="A41" s="985"/>
      <c r="B41" s="985"/>
      <c r="C41" s="985"/>
      <c r="D41" s="985"/>
      <c r="E41" s="985"/>
      <c r="F41" s="985"/>
      <c r="G41" s="985"/>
      <c r="H41" s="985"/>
      <c r="I41" s="985"/>
      <c r="J41" s="985"/>
      <c r="K41" s="985"/>
      <c r="L41" s="985"/>
    </row>
    <row r="42" spans="1:13" ht="72" customHeight="1">
      <c r="A42" s="984" t="s">
        <v>5475</v>
      </c>
      <c r="B42" s="985"/>
      <c r="C42" s="991" t="s">
        <v>5476</v>
      </c>
      <c r="D42" s="985"/>
      <c r="E42" s="988" t="s">
        <v>5477</v>
      </c>
      <c r="F42" s="985"/>
      <c r="G42" s="991" t="s">
        <v>5478</v>
      </c>
      <c r="H42" s="985"/>
      <c r="I42" s="990"/>
      <c r="J42" s="985"/>
      <c r="K42" s="985"/>
      <c r="L42" s="985"/>
    </row>
    <row r="43" spans="1:13" ht="15.75">
      <c r="A43" s="985"/>
      <c r="B43" s="985"/>
      <c r="C43" s="990"/>
      <c r="D43" s="985"/>
      <c r="E43" s="990"/>
      <c r="F43" s="985"/>
      <c r="G43" s="990"/>
      <c r="H43" s="985"/>
      <c r="I43" s="990"/>
      <c r="J43" s="985"/>
      <c r="K43" s="985"/>
      <c r="L43" s="985"/>
    </row>
    <row r="44" spans="1:13" ht="99" customHeight="1">
      <c r="A44" s="984" t="s">
        <v>5479</v>
      </c>
      <c r="B44" s="985"/>
      <c r="C44" s="991" t="s">
        <v>5480</v>
      </c>
      <c r="D44" s="985"/>
      <c r="E44" s="991" t="s">
        <v>5481</v>
      </c>
      <c r="F44" s="985"/>
      <c r="G44" s="991" t="s">
        <v>5482</v>
      </c>
      <c r="H44" s="985"/>
      <c r="I44" s="985"/>
      <c r="J44" s="985"/>
      <c r="K44" s="985" t="s">
        <v>5483</v>
      </c>
      <c r="L44" s="985"/>
    </row>
    <row r="45" spans="1:13" ht="15">
      <c r="A45" s="998"/>
      <c r="B45" s="998"/>
      <c r="C45" s="999"/>
      <c r="D45" s="998"/>
      <c r="E45" s="999"/>
      <c r="F45" s="998"/>
      <c r="G45" s="999"/>
      <c r="H45" s="998"/>
      <c r="I45" s="999"/>
      <c r="J45" s="981"/>
      <c r="K45" s="981"/>
      <c r="L45" s="981"/>
    </row>
    <row r="46" spans="1:13" ht="15">
      <c r="A46" s="998"/>
      <c r="B46" s="998"/>
      <c r="C46" s="1000"/>
      <c r="D46" s="998"/>
      <c r="E46" s="999"/>
      <c r="F46" s="998"/>
      <c r="G46" s="999"/>
      <c r="H46" s="998"/>
      <c r="I46" s="999"/>
      <c r="J46" s="998"/>
      <c r="K46" s="998"/>
      <c r="L46" s="998"/>
    </row>
    <row r="47" spans="1:13" ht="15">
      <c r="A47" s="998"/>
      <c r="B47" s="998"/>
      <c r="C47" s="1000"/>
      <c r="D47" s="998"/>
      <c r="E47" s="999"/>
      <c r="F47" s="998"/>
      <c r="G47" s="999"/>
      <c r="H47" s="998"/>
      <c r="I47" s="999"/>
      <c r="J47" s="981"/>
      <c r="K47" s="981"/>
      <c r="L47" s="981"/>
    </row>
    <row r="48" spans="1:13" ht="15">
      <c r="A48" s="998"/>
      <c r="B48" s="998"/>
      <c r="C48" s="1000"/>
      <c r="D48" s="998"/>
      <c r="E48" s="999"/>
      <c r="F48" s="998"/>
      <c r="G48" s="999"/>
      <c r="H48" s="998"/>
      <c r="I48" s="999"/>
      <c r="J48" s="981"/>
      <c r="K48" s="981"/>
      <c r="L48" s="981"/>
    </row>
    <row r="49" spans="1:12" ht="15">
      <c r="A49" s="998"/>
      <c r="B49" s="998"/>
      <c r="C49" s="1001"/>
      <c r="D49" s="998"/>
      <c r="E49" s="999"/>
      <c r="F49" s="998"/>
      <c r="G49" s="999"/>
      <c r="H49" s="998"/>
      <c r="I49" s="999"/>
      <c r="J49" s="981"/>
      <c r="K49" s="981"/>
      <c r="L49" s="981"/>
    </row>
    <row r="50" spans="1:12" ht="15">
      <c r="A50" s="998"/>
      <c r="B50" s="998"/>
      <c r="C50" s="1000"/>
      <c r="D50" s="998"/>
      <c r="E50" s="999"/>
      <c r="F50" s="998"/>
      <c r="G50" s="999"/>
      <c r="H50" s="998"/>
      <c r="I50" s="999"/>
    </row>
    <row r="51" spans="1:12" ht="15">
      <c r="A51" s="998"/>
      <c r="B51" s="998"/>
      <c r="C51" s="1000"/>
      <c r="D51" s="998"/>
      <c r="E51" s="999"/>
      <c r="F51" s="998"/>
      <c r="G51" s="999"/>
      <c r="H51" s="998"/>
      <c r="I51" s="999"/>
    </row>
    <row r="52" spans="1:12" ht="15">
      <c r="A52" s="998"/>
      <c r="B52" s="998"/>
      <c r="C52" s="999"/>
      <c r="D52" s="998"/>
      <c r="E52" s="999"/>
      <c r="F52" s="998"/>
      <c r="G52" s="999"/>
      <c r="H52" s="998"/>
      <c r="I52" s="999"/>
    </row>
  </sheetData>
  <mergeCells count="3">
    <mergeCell ref="A3:L3"/>
    <mergeCell ref="C5:L5"/>
    <mergeCell ref="A1:H1"/>
  </mergeCells>
  <hyperlinks>
    <hyperlink ref="A1:H1" location="FINANCIËN!A1" display="Processen Financiële dienst" xr:uid="{00000000-0004-0000-5500-000000000000}"/>
  </hyperlink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EBD531"/>
  </sheetPr>
  <dimension ref="A1:AC622"/>
  <sheetViews>
    <sheetView workbookViewId="0">
      <pane ySplit="5" topLeftCell="A6" activePane="bottomLeft" state="frozen"/>
      <selection activeCell="E37" sqref="E37"/>
      <selection pane="bottomLeft" sqref="A1:H1"/>
    </sheetView>
  </sheetViews>
  <sheetFormatPr defaultColWidth="9.140625" defaultRowHeight="12.75"/>
  <cols>
    <col min="1" max="1" width="30.7109375" style="395" customWidth="1"/>
    <col min="2" max="2" width="8.85546875" style="395" hidden="1" customWidth="1"/>
    <col min="3" max="3" width="9.7109375" style="395" customWidth="1"/>
    <col min="4" max="4" width="10.5703125" style="395" customWidth="1"/>
    <col min="5" max="5" width="13.5703125" style="395" customWidth="1"/>
    <col min="6" max="6" width="10.42578125" style="395" customWidth="1"/>
    <col min="7" max="7" width="12.7109375" style="395" customWidth="1"/>
    <col min="8" max="8" width="12.28515625" style="395" customWidth="1"/>
    <col min="9" max="9" width="13.7109375" style="395" customWidth="1"/>
    <col min="10" max="10" width="12.140625" style="395" customWidth="1"/>
    <col min="11" max="11" width="13.85546875" style="395" customWidth="1"/>
    <col min="12" max="12" width="12.28515625" style="395" customWidth="1"/>
    <col min="13" max="13" width="12.5703125" style="395" customWidth="1"/>
    <col min="14" max="14" width="10.7109375" style="395" customWidth="1"/>
    <col min="15" max="15" width="10.5703125" style="395" customWidth="1"/>
    <col min="16" max="16" width="14" style="395" customWidth="1"/>
    <col min="17" max="17" width="13" style="395" customWidth="1"/>
    <col min="18" max="18" width="14.42578125" style="395" customWidth="1"/>
    <col min="19" max="19" width="10.5703125" style="395" customWidth="1"/>
    <col min="20" max="20" width="12" style="395" customWidth="1"/>
    <col min="21" max="21" width="10.5703125" style="395" customWidth="1"/>
    <col min="22" max="22" width="9.85546875" style="395" customWidth="1"/>
    <col min="23" max="23" width="12.5703125" style="395" customWidth="1"/>
    <col min="24" max="24" width="11.85546875" style="395" customWidth="1"/>
    <col min="25" max="25" width="12.7109375" style="395" customWidth="1"/>
    <col min="26" max="26" width="10.7109375" style="395" customWidth="1"/>
    <col min="27" max="27" width="12.7109375" style="395" customWidth="1"/>
    <col min="28" max="28" width="12" style="395" customWidth="1"/>
    <col min="29" max="29" width="13.140625" style="395" customWidth="1"/>
    <col min="30" max="16384" width="9.140625" style="395"/>
  </cols>
  <sheetData>
    <row r="1" spans="1:29" ht="21">
      <c r="A1" s="4935" t="s">
        <v>7134</v>
      </c>
      <c r="B1" s="4935"/>
      <c r="C1" s="4935"/>
      <c r="D1" s="4935"/>
      <c r="E1" s="4935"/>
      <c r="F1" s="4935"/>
      <c r="G1" s="4935"/>
      <c r="H1" s="4935"/>
    </row>
    <row r="3" spans="1:29" ht="41.25" customHeight="1">
      <c r="A3" s="2886"/>
      <c r="B3" s="2886"/>
      <c r="C3" s="4954" t="s">
        <v>4047</v>
      </c>
      <c r="D3" s="4955"/>
      <c r="E3" s="4954" t="s">
        <v>4048</v>
      </c>
      <c r="F3" s="4958"/>
      <c r="G3" s="4958"/>
      <c r="H3" s="4955"/>
      <c r="I3" s="4960" t="s">
        <v>4049</v>
      </c>
      <c r="J3" s="4961"/>
      <c r="K3" s="4961"/>
      <c r="L3" s="4961"/>
      <c r="M3" s="4961"/>
      <c r="N3" s="4961"/>
      <c r="O3" s="4962"/>
      <c r="P3" s="4963" t="s">
        <v>4050</v>
      </c>
      <c r="Q3" s="4964"/>
      <c r="R3" s="4965"/>
      <c r="S3" s="4938" t="s">
        <v>4051</v>
      </c>
      <c r="T3" s="4939"/>
      <c r="U3" s="4939"/>
      <c r="V3" s="4951" t="s">
        <v>4052</v>
      </c>
      <c r="W3" s="4952"/>
      <c r="X3" s="4952"/>
      <c r="Y3" s="4953"/>
      <c r="Z3" s="4938" t="s">
        <v>4053</v>
      </c>
      <c r="AA3" s="4939"/>
      <c r="AB3" s="4939"/>
      <c r="AC3" s="4940"/>
    </row>
    <row r="4" spans="1:29" ht="31.5" customHeight="1">
      <c r="A4" s="2886"/>
      <c r="B4" s="2886"/>
      <c r="C4" s="4956"/>
      <c r="D4" s="4957"/>
      <c r="E4" s="4956"/>
      <c r="F4" s="4959"/>
      <c r="G4" s="4959"/>
      <c r="H4" s="4957"/>
      <c r="I4" s="2887" t="s">
        <v>4054</v>
      </c>
      <c r="J4" s="4966" t="s">
        <v>4055</v>
      </c>
      <c r="K4" s="4967"/>
      <c r="L4" s="2888" t="s">
        <v>4056</v>
      </c>
      <c r="M4" s="4968" t="s">
        <v>4057</v>
      </c>
      <c r="N4" s="4970" t="s">
        <v>4058</v>
      </c>
      <c r="O4" s="4941" t="s">
        <v>4054</v>
      </c>
      <c r="P4" s="4943" t="s">
        <v>4054</v>
      </c>
      <c r="Q4" s="4947" t="s">
        <v>4048</v>
      </c>
      <c r="R4" s="2889"/>
      <c r="S4" s="4945" t="s">
        <v>4054</v>
      </c>
      <c r="T4" s="4949" t="s">
        <v>4048</v>
      </c>
      <c r="U4" s="2889"/>
      <c r="V4" s="4945" t="s">
        <v>4054</v>
      </c>
      <c r="W4" s="4947" t="s">
        <v>4055</v>
      </c>
      <c r="X4" s="4947" t="s">
        <v>4056</v>
      </c>
      <c r="Y4" s="4936" t="s">
        <v>8</v>
      </c>
      <c r="Z4" s="4945" t="s">
        <v>4054</v>
      </c>
      <c r="AA4" s="4947" t="s">
        <v>4055</v>
      </c>
      <c r="AB4" s="4947" t="s">
        <v>4056</v>
      </c>
      <c r="AC4" s="4936" t="s">
        <v>8</v>
      </c>
    </row>
    <row r="5" spans="1:29" ht="54.75" customHeight="1" thickBot="1">
      <c r="A5" s="2890" t="s">
        <v>3387</v>
      </c>
      <c r="B5" s="2891" t="s">
        <v>4059</v>
      </c>
      <c r="C5" s="2892" t="s">
        <v>4060</v>
      </c>
      <c r="D5" s="2893" t="s">
        <v>4058</v>
      </c>
      <c r="E5" s="2894" t="s">
        <v>4061</v>
      </c>
      <c r="F5" s="2894" t="s">
        <v>636</v>
      </c>
      <c r="G5" s="2894" t="s">
        <v>4062</v>
      </c>
      <c r="H5" s="2894" t="s">
        <v>4063</v>
      </c>
      <c r="I5" s="2895" t="s">
        <v>4064</v>
      </c>
      <c r="J5" s="2896" t="s">
        <v>4065</v>
      </c>
      <c r="K5" s="2897" t="s">
        <v>4066</v>
      </c>
      <c r="L5" s="2894" t="s">
        <v>4067</v>
      </c>
      <c r="M5" s="4969"/>
      <c r="N5" s="4971"/>
      <c r="O5" s="4942"/>
      <c r="P5" s="4944"/>
      <c r="Q5" s="4948"/>
      <c r="R5" s="2898" t="s">
        <v>8</v>
      </c>
      <c r="S5" s="4946"/>
      <c r="T5" s="4950"/>
      <c r="U5" s="2898" t="s">
        <v>8</v>
      </c>
      <c r="V5" s="4946"/>
      <c r="W5" s="4948"/>
      <c r="X5" s="4948"/>
      <c r="Y5" s="4937"/>
      <c r="Z5" s="4946"/>
      <c r="AA5" s="4948"/>
      <c r="AB5" s="4948"/>
      <c r="AC5" s="4937"/>
    </row>
    <row r="6" spans="1:29">
      <c r="A6" s="2899" t="s">
        <v>4068</v>
      </c>
      <c r="B6" s="2900" t="s">
        <v>4069</v>
      </c>
      <c r="C6" s="2901">
        <v>1895</v>
      </c>
      <c r="D6" s="2902">
        <f t="shared" ref="D6:D69" si="0">C6/349958</f>
        <v>5.4149355065465001E-3</v>
      </c>
      <c r="E6" s="2903">
        <v>0</v>
      </c>
      <c r="F6" s="2904">
        <f t="shared" ref="F6:F69" si="1">E6/$E$612</f>
        <v>0</v>
      </c>
      <c r="G6" s="2903">
        <f t="shared" ref="G6:G69" si="2">C6*90</f>
        <v>170550</v>
      </c>
      <c r="H6" s="2903">
        <f t="shared" ref="H6:H69" si="3">E6-G6</f>
        <v>-170550</v>
      </c>
      <c r="I6" s="2905">
        <f t="shared" ref="I6:I69" si="4">C6*57</f>
        <v>108015</v>
      </c>
      <c r="J6" s="1096">
        <v>0</v>
      </c>
      <c r="K6" s="2479">
        <f>J6*40.96</f>
        <v>0</v>
      </c>
      <c r="L6" s="398">
        <f t="shared" ref="L6:L69" si="5">E6/5</f>
        <v>0</v>
      </c>
      <c r="M6" s="1095">
        <f t="shared" ref="M6:M69" si="6">I6+J6+L6</f>
        <v>108015</v>
      </c>
      <c r="N6" s="2906">
        <f t="shared" ref="N6:N69" si="7">M6/$M$612</f>
        <v>3.3996822216955267E-3</v>
      </c>
      <c r="O6" s="2907">
        <f>N6-D6</f>
        <v>-2.0152532848509734E-3</v>
      </c>
      <c r="P6" s="2908">
        <f>C6*300</f>
        <v>568500</v>
      </c>
      <c r="Q6" s="1095">
        <f>E6*0.91</f>
        <v>0</v>
      </c>
      <c r="R6" s="2909">
        <f>SUM(P6:Q6)</f>
        <v>568500</v>
      </c>
      <c r="S6" s="2905">
        <f>C6*0</f>
        <v>0</v>
      </c>
      <c r="T6" s="1095">
        <f>E6*0</f>
        <v>0</v>
      </c>
      <c r="U6" s="2910">
        <f>SUM(S6:T6)</f>
        <v>0</v>
      </c>
      <c r="V6" s="2911">
        <v>0</v>
      </c>
      <c r="W6" s="2072">
        <f t="shared" ref="W6:W69" si="8">J6*5.32</f>
        <v>0</v>
      </c>
      <c r="X6" s="2072">
        <f t="shared" ref="X6:X69" si="9">L6*1</f>
        <v>0</v>
      </c>
      <c r="Y6" s="2912">
        <f>SUM(V6:X6)</f>
        <v>0</v>
      </c>
      <c r="Z6" s="2913">
        <v>0</v>
      </c>
      <c r="AA6" s="1095">
        <f t="shared" ref="AA6:AA69" si="10">J6*2.87</f>
        <v>0</v>
      </c>
      <c r="AB6" s="1095">
        <f t="shared" ref="AB6:AB69" si="11">L6*0</f>
        <v>0</v>
      </c>
      <c r="AC6" s="2909">
        <f>SUM(Z6:AB6)</f>
        <v>0</v>
      </c>
    </row>
    <row r="7" spans="1:29">
      <c r="A7" s="2899" t="s">
        <v>4070</v>
      </c>
      <c r="B7" s="2900" t="s">
        <v>4071</v>
      </c>
      <c r="C7" s="2901">
        <v>275</v>
      </c>
      <c r="D7" s="2902">
        <f t="shared" si="0"/>
        <v>7.8580858274421501E-4</v>
      </c>
      <c r="E7" s="2903">
        <v>24750</v>
      </c>
      <c r="F7" s="2904">
        <f t="shared" si="1"/>
        <v>8.6519158085743178E-4</v>
      </c>
      <c r="G7" s="2903">
        <f t="shared" si="2"/>
        <v>24750</v>
      </c>
      <c r="H7" s="2903">
        <f t="shared" si="3"/>
        <v>0</v>
      </c>
      <c r="I7" s="2905">
        <f t="shared" si="4"/>
        <v>15675</v>
      </c>
      <c r="J7" s="1096">
        <v>4796</v>
      </c>
      <c r="K7" s="2479">
        <f t="shared" ref="K7:K70" si="12">J7*40.96</f>
        <v>196444.16</v>
      </c>
      <c r="L7" s="398">
        <f t="shared" si="5"/>
        <v>4950</v>
      </c>
      <c r="M7" s="1095">
        <f t="shared" si="6"/>
        <v>25421</v>
      </c>
      <c r="N7" s="2906">
        <f t="shared" si="7"/>
        <v>8.0010481653216669E-4</v>
      </c>
      <c r="O7" s="2907">
        <f t="shared" ref="O7:O70" si="13">N7-D7</f>
        <v>1.4296233787951685E-5</v>
      </c>
      <c r="P7" s="2908">
        <f t="shared" ref="P7:P70" si="14">C7*300</f>
        <v>82500</v>
      </c>
      <c r="Q7" s="1095">
        <f t="shared" ref="Q7:Q70" si="15">E7*0.91</f>
        <v>22522.5</v>
      </c>
      <c r="R7" s="2909">
        <f t="shared" ref="R7:R70" si="16">SUM(P7:Q7)</f>
        <v>105022.5</v>
      </c>
      <c r="S7" s="398">
        <f t="shared" ref="S7:S70" si="17">C7*0</f>
        <v>0</v>
      </c>
      <c r="T7" s="1095">
        <f t="shared" ref="T7:T70" si="18">E7*0</f>
        <v>0</v>
      </c>
      <c r="U7" s="398">
        <f t="shared" ref="U7:U70" si="19">SUM(S7:T7)</f>
        <v>0</v>
      </c>
      <c r="V7" s="2913">
        <v>0</v>
      </c>
      <c r="W7" s="1095">
        <f t="shared" si="8"/>
        <v>25514.720000000001</v>
      </c>
      <c r="X7" s="1095">
        <f t="shared" si="9"/>
        <v>4950</v>
      </c>
      <c r="Y7" s="2909">
        <f t="shared" ref="Y7:Y70" si="20">SUM(V7:X7)</f>
        <v>30464.720000000001</v>
      </c>
      <c r="Z7" s="2913">
        <v>0</v>
      </c>
      <c r="AA7" s="1095">
        <f t="shared" si="10"/>
        <v>13764.52</v>
      </c>
      <c r="AB7" s="1095">
        <f t="shared" si="11"/>
        <v>0</v>
      </c>
      <c r="AC7" s="2909">
        <f t="shared" ref="AC7:AC70" si="21">SUM(Z7:AB7)</f>
        <v>13764.52</v>
      </c>
    </row>
    <row r="8" spans="1:29">
      <c r="A8" s="2899" t="s">
        <v>4072</v>
      </c>
      <c r="B8" s="2900" t="s">
        <v>4073</v>
      </c>
      <c r="C8" s="2901">
        <v>490</v>
      </c>
      <c r="D8" s="2902">
        <f t="shared" si="0"/>
        <v>1.4001680201624195E-3</v>
      </c>
      <c r="E8" s="2903">
        <v>44100</v>
      </c>
      <c r="F8" s="2904">
        <f t="shared" si="1"/>
        <v>1.5416140895277875E-3</v>
      </c>
      <c r="G8" s="2903">
        <f t="shared" si="2"/>
        <v>44100</v>
      </c>
      <c r="H8" s="2903">
        <f t="shared" si="3"/>
        <v>0</v>
      </c>
      <c r="I8" s="2905">
        <f t="shared" si="4"/>
        <v>27930</v>
      </c>
      <c r="J8" s="1096">
        <v>17090</v>
      </c>
      <c r="K8" s="2479">
        <f t="shared" si="12"/>
        <v>700006.40000000002</v>
      </c>
      <c r="L8" s="398">
        <f t="shared" si="5"/>
        <v>8820</v>
      </c>
      <c r="M8" s="1095">
        <f t="shared" si="6"/>
        <v>53840</v>
      </c>
      <c r="N8" s="2906">
        <f t="shared" si="7"/>
        <v>1.6945691877617659E-3</v>
      </c>
      <c r="O8" s="2907">
        <f t="shared" si="13"/>
        <v>2.9440116759934642E-4</v>
      </c>
      <c r="P8" s="2908">
        <f t="shared" si="14"/>
        <v>147000</v>
      </c>
      <c r="Q8" s="1095">
        <f t="shared" si="15"/>
        <v>40131</v>
      </c>
      <c r="R8" s="2909">
        <f t="shared" si="16"/>
        <v>187131</v>
      </c>
      <c r="S8" s="398">
        <f t="shared" si="17"/>
        <v>0</v>
      </c>
      <c r="T8" s="1095">
        <f t="shared" si="18"/>
        <v>0</v>
      </c>
      <c r="U8" s="398">
        <f t="shared" si="19"/>
        <v>0</v>
      </c>
      <c r="V8" s="2913">
        <v>0</v>
      </c>
      <c r="W8" s="1095">
        <f t="shared" si="8"/>
        <v>90918.8</v>
      </c>
      <c r="X8" s="1095">
        <f t="shared" si="9"/>
        <v>8820</v>
      </c>
      <c r="Y8" s="2909">
        <f t="shared" si="20"/>
        <v>99738.8</v>
      </c>
      <c r="Z8" s="2913">
        <v>0</v>
      </c>
      <c r="AA8" s="1095">
        <f t="shared" si="10"/>
        <v>49048.3</v>
      </c>
      <c r="AB8" s="1095">
        <f t="shared" si="11"/>
        <v>0</v>
      </c>
      <c r="AC8" s="2909">
        <f t="shared" si="21"/>
        <v>49048.3</v>
      </c>
    </row>
    <row r="9" spans="1:29">
      <c r="A9" s="2899" t="s">
        <v>4074</v>
      </c>
      <c r="B9" s="2900" t="s">
        <v>4075</v>
      </c>
      <c r="C9" s="2901">
        <v>100</v>
      </c>
      <c r="D9" s="2902">
        <f t="shared" si="0"/>
        <v>2.8574857554335094E-4</v>
      </c>
      <c r="E9" s="2903">
        <v>9000</v>
      </c>
      <c r="F9" s="2904">
        <f t="shared" si="1"/>
        <v>3.1461512031179337E-4</v>
      </c>
      <c r="G9" s="2903">
        <f t="shared" si="2"/>
        <v>9000</v>
      </c>
      <c r="H9" s="2903">
        <f t="shared" si="3"/>
        <v>0</v>
      </c>
      <c r="I9" s="2905">
        <f t="shared" si="4"/>
        <v>5700</v>
      </c>
      <c r="J9" s="1096">
        <v>2616</v>
      </c>
      <c r="K9" s="2479">
        <f t="shared" si="12"/>
        <v>107151.36</v>
      </c>
      <c r="L9" s="398">
        <f t="shared" si="5"/>
        <v>1800</v>
      </c>
      <c r="M9" s="1095">
        <f t="shared" si="6"/>
        <v>10116</v>
      </c>
      <c r="N9" s="2906">
        <f t="shared" si="7"/>
        <v>3.1839268022656065E-4</v>
      </c>
      <c r="O9" s="2907">
        <f t="shared" si="13"/>
        <v>3.2644104683209713E-5</v>
      </c>
      <c r="P9" s="2908">
        <f t="shared" si="14"/>
        <v>30000</v>
      </c>
      <c r="Q9" s="1095">
        <f t="shared" si="15"/>
        <v>8190</v>
      </c>
      <c r="R9" s="2909">
        <f t="shared" si="16"/>
        <v>38190</v>
      </c>
      <c r="S9" s="398">
        <f t="shared" si="17"/>
        <v>0</v>
      </c>
      <c r="T9" s="1095">
        <f t="shared" si="18"/>
        <v>0</v>
      </c>
      <c r="U9" s="398">
        <f t="shared" si="19"/>
        <v>0</v>
      </c>
      <c r="V9" s="2913">
        <v>0</v>
      </c>
      <c r="W9" s="1095">
        <f t="shared" si="8"/>
        <v>13917.12</v>
      </c>
      <c r="X9" s="1095">
        <f t="shared" si="9"/>
        <v>1800</v>
      </c>
      <c r="Y9" s="2909">
        <f t="shared" si="20"/>
        <v>15717.12</v>
      </c>
      <c r="Z9" s="2913">
        <v>0</v>
      </c>
      <c r="AA9" s="1095">
        <f t="shared" si="10"/>
        <v>7507.92</v>
      </c>
      <c r="AB9" s="1095">
        <f t="shared" si="11"/>
        <v>0</v>
      </c>
      <c r="AC9" s="2909">
        <f t="shared" si="21"/>
        <v>7507.92</v>
      </c>
    </row>
    <row r="10" spans="1:29">
      <c r="A10" s="2899" t="s">
        <v>4076</v>
      </c>
      <c r="B10" s="2900" t="s">
        <v>4077</v>
      </c>
      <c r="C10" s="2901">
        <v>220</v>
      </c>
      <c r="D10" s="2902">
        <f t="shared" si="0"/>
        <v>6.2864686619537201E-4</v>
      </c>
      <c r="E10" s="2903">
        <v>19800</v>
      </c>
      <c r="F10" s="2904">
        <f t="shared" si="1"/>
        <v>6.921532646859454E-4</v>
      </c>
      <c r="G10" s="2903">
        <f t="shared" si="2"/>
        <v>19800</v>
      </c>
      <c r="H10" s="2903">
        <f t="shared" si="3"/>
        <v>0</v>
      </c>
      <c r="I10" s="2905">
        <f t="shared" si="4"/>
        <v>12540</v>
      </c>
      <c r="J10" s="1096">
        <v>3836</v>
      </c>
      <c r="K10" s="2479">
        <f t="shared" si="12"/>
        <v>157122.56</v>
      </c>
      <c r="L10" s="398">
        <f t="shared" si="5"/>
        <v>3960</v>
      </c>
      <c r="M10" s="1095">
        <f t="shared" si="6"/>
        <v>20336</v>
      </c>
      <c r="N10" s="2906">
        <f t="shared" si="7"/>
        <v>6.4005867389159128E-4</v>
      </c>
      <c r="O10" s="2907">
        <f t="shared" si="13"/>
        <v>1.1411807696219277E-5</v>
      </c>
      <c r="P10" s="2908">
        <f t="shared" si="14"/>
        <v>66000</v>
      </c>
      <c r="Q10" s="1095">
        <f t="shared" si="15"/>
        <v>18018</v>
      </c>
      <c r="R10" s="2909">
        <f t="shared" si="16"/>
        <v>84018</v>
      </c>
      <c r="S10" s="398">
        <f t="shared" si="17"/>
        <v>0</v>
      </c>
      <c r="T10" s="1095">
        <f t="shared" si="18"/>
        <v>0</v>
      </c>
      <c r="U10" s="398">
        <f t="shared" si="19"/>
        <v>0</v>
      </c>
      <c r="V10" s="2913">
        <v>0</v>
      </c>
      <c r="W10" s="1095">
        <f t="shared" si="8"/>
        <v>20407.52</v>
      </c>
      <c r="X10" s="1095">
        <f t="shared" si="9"/>
        <v>3960</v>
      </c>
      <c r="Y10" s="2909">
        <f t="shared" si="20"/>
        <v>24367.52</v>
      </c>
      <c r="Z10" s="2913">
        <v>0</v>
      </c>
      <c r="AA10" s="1095">
        <f t="shared" si="10"/>
        <v>11009.32</v>
      </c>
      <c r="AB10" s="1095">
        <f t="shared" si="11"/>
        <v>0</v>
      </c>
      <c r="AC10" s="2909">
        <f t="shared" si="21"/>
        <v>11009.32</v>
      </c>
    </row>
    <row r="11" spans="1:29">
      <c r="A11" s="2899" t="s">
        <v>4078</v>
      </c>
      <c r="B11" s="2900" t="s">
        <v>4079</v>
      </c>
      <c r="C11" s="2901">
        <v>150</v>
      </c>
      <c r="D11" s="2902">
        <f t="shared" si="0"/>
        <v>4.2862286331502638E-4</v>
      </c>
      <c r="E11" s="2903">
        <v>13500</v>
      </c>
      <c r="F11" s="2904">
        <f t="shared" si="1"/>
        <v>4.7192268046769006E-4</v>
      </c>
      <c r="G11" s="2903">
        <f t="shared" si="2"/>
        <v>13500</v>
      </c>
      <c r="H11" s="2903">
        <f t="shared" si="3"/>
        <v>0</v>
      </c>
      <c r="I11" s="2905">
        <f t="shared" si="4"/>
        <v>8550</v>
      </c>
      <c r="J11" s="1096">
        <v>2616</v>
      </c>
      <c r="K11" s="2479">
        <f t="shared" si="12"/>
        <v>107151.36</v>
      </c>
      <c r="L11" s="398">
        <f t="shared" si="5"/>
        <v>2700</v>
      </c>
      <c r="M11" s="1095">
        <f t="shared" si="6"/>
        <v>13866</v>
      </c>
      <c r="N11" s="2906">
        <f t="shared" si="7"/>
        <v>4.3642080901754547E-4</v>
      </c>
      <c r="O11" s="2907">
        <f t="shared" si="13"/>
        <v>7.797945702519096E-6</v>
      </c>
      <c r="P11" s="2908">
        <f t="shared" si="14"/>
        <v>45000</v>
      </c>
      <c r="Q11" s="1095">
        <f t="shared" si="15"/>
        <v>12285</v>
      </c>
      <c r="R11" s="2909">
        <f t="shared" si="16"/>
        <v>57285</v>
      </c>
      <c r="S11" s="398">
        <f t="shared" si="17"/>
        <v>0</v>
      </c>
      <c r="T11" s="1095">
        <f t="shared" si="18"/>
        <v>0</v>
      </c>
      <c r="U11" s="398">
        <f t="shared" si="19"/>
        <v>0</v>
      </c>
      <c r="V11" s="2913">
        <v>0</v>
      </c>
      <c r="W11" s="1095">
        <f t="shared" si="8"/>
        <v>13917.12</v>
      </c>
      <c r="X11" s="1095">
        <f t="shared" si="9"/>
        <v>2700</v>
      </c>
      <c r="Y11" s="2909">
        <f t="shared" si="20"/>
        <v>16617.120000000003</v>
      </c>
      <c r="Z11" s="2913">
        <v>0</v>
      </c>
      <c r="AA11" s="1095">
        <f t="shared" si="10"/>
        <v>7507.92</v>
      </c>
      <c r="AB11" s="1095">
        <f t="shared" si="11"/>
        <v>0</v>
      </c>
      <c r="AC11" s="2909">
        <f t="shared" si="21"/>
        <v>7507.92</v>
      </c>
    </row>
    <row r="12" spans="1:29">
      <c r="A12" s="2899" t="s">
        <v>3105</v>
      </c>
      <c r="B12" s="2900" t="s">
        <v>4080</v>
      </c>
      <c r="C12" s="2901">
        <v>165</v>
      </c>
      <c r="D12" s="2902">
        <f t="shared" si="0"/>
        <v>4.71485149646529E-4</v>
      </c>
      <c r="E12" s="2903">
        <v>14850</v>
      </c>
      <c r="F12" s="2904">
        <f t="shared" si="1"/>
        <v>5.1911494851445902E-4</v>
      </c>
      <c r="G12" s="2903">
        <f t="shared" si="2"/>
        <v>14850</v>
      </c>
      <c r="H12" s="2903">
        <f t="shared" si="3"/>
        <v>0</v>
      </c>
      <c r="I12" s="2905">
        <f t="shared" si="4"/>
        <v>9405</v>
      </c>
      <c r="J12" s="1096">
        <v>0</v>
      </c>
      <c r="K12" s="2479">
        <f t="shared" si="12"/>
        <v>0</v>
      </c>
      <c r="L12" s="398">
        <f t="shared" si="5"/>
        <v>2970</v>
      </c>
      <c r="M12" s="1095">
        <f t="shared" si="6"/>
        <v>12375</v>
      </c>
      <c r="N12" s="2906">
        <f t="shared" si="7"/>
        <v>3.8949282501024991E-4</v>
      </c>
      <c r="O12" s="2907">
        <f t="shared" si="13"/>
        <v>-8.1992324636279092E-5</v>
      </c>
      <c r="P12" s="2908">
        <f t="shared" si="14"/>
        <v>49500</v>
      </c>
      <c r="Q12" s="1095">
        <f t="shared" si="15"/>
        <v>13513.5</v>
      </c>
      <c r="R12" s="2909">
        <f t="shared" si="16"/>
        <v>63013.5</v>
      </c>
      <c r="S12" s="398">
        <f t="shared" si="17"/>
        <v>0</v>
      </c>
      <c r="T12" s="1095">
        <f t="shared" si="18"/>
        <v>0</v>
      </c>
      <c r="U12" s="398">
        <f t="shared" si="19"/>
        <v>0</v>
      </c>
      <c r="V12" s="2913">
        <v>0</v>
      </c>
      <c r="W12" s="1095">
        <f t="shared" si="8"/>
        <v>0</v>
      </c>
      <c r="X12" s="1095">
        <f t="shared" si="9"/>
        <v>2970</v>
      </c>
      <c r="Y12" s="2909">
        <f t="shared" si="20"/>
        <v>2970</v>
      </c>
      <c r="Z12" s="2913">
        <v>0</v>
      </c>
      <c r="AA12" s="1095">
        <f t="shared" si="10"/>
        <v>0</v>
      </c>
      <c r="AB12" s="1095">
        <f t="shared" si="11"/>
        <v>0</v>
      </c>
      <c r="AC12" s="2909">
        <f t="shared" si="21"/>
        <v>0</v>
      </c>
    </row>
    <row r="13" spans="1:29">
      <c r="A13" s="2914" t="s">
        <v>4081</v>
      </c>
      <c r="B13" s="2900" t="s">
        <v>4075</v>
      </c>
      <c r="C13" s="2901">
        <v>22423</v>
      </c>
      <c r="D13" s="2902">
        <f t="shared" si="0"/>
        <v>6.4073403094085574E-2</v>
      </c>
      <c r="E13" s="2903">
        <v>2018070</v>
      </c>
      <c r="F13" s="2904">
        <f t="shared" si="1"/>
        <v>7.054614842751343E-2</v>
      </c>
      <c r="G13" s="2903">
        <f t="shared" si="2"/>
        <v>2018070</v>
      </c>
      <c r="H13" s="2903">
        <f t="shared" si="3"/>
        <v>0</v>
      </c>
      <c r="I13" s="2905">
        <f t="shared" si="4"/>
        <v>1278111</v>
      </c>
      <c r="J13" s="1096">
        <v>497851</v>
      </c>
      <c r="K13" s="2479">
        <f t="shared" si="12"/>
        <v>20391976.960000001</v>
      </c>
      <c r="L13" s="398">
        <f t="shared" si="5"/>
        <v>403614</v>
      </c>
      <c r="M13" s="1095">
        <f t="shared" si="6"/>
        <v>2179576</v>
      </c>
      <c r="N13" s="2906">
        <f t="shared" si="7"/>
        <v>6.8600340490063874E-2</v>
      </c>
      <c r="O13" s="2907">
        <f t="shared" si="13"/>
        <v>4.5269373959783005E-3</v>
      </c>
      <c r="P13" s="2908">
        <f t="shared" si="14"/>
        <v>6726900</v>
      </c>
      <c r="Q13" s="1095">
        <f t="shared" si="15"/>
        <v>1836443.7</v>
      </c>
      <c r="R13" s="2909">
        <f t="shared" si="16"/>
        <v>8563343.6999999993</v>
      </c>
      <c r="S13" s="398">
        <f t="shared" si="17"/>
        <v>0</v>
      </c>
      <c r="T13" s="1095">
        <f t="shared" si="18"/>
        <v>0</v>
      </c>
      <c r="U13" s="398">
        <f t="shared" si="19"/>
        <v>0</v>
      </c>
      <c r="V13" s="2913">
        <v>0</v>
      </c>
      <c r="W13" s="1095">
        <f t="shared" si="8"/>
        <v>2648567.3200000003</v>
      </c>
      <c r="X13" s="1095">
        <f t="shared" si="9"/>
        <v>403614</v>
      </c>
      <c r="Y13" s="2909">
        <f t="shared" si="20"/>
        <v>3052181.3200000003</v>
      </c>
      <c r="Z13" s="2913">
        <v>0</v>
      </c>
      <c r="AA13" s="1095">
        <f t="shared" si="10"/>
        <v>1428832.37</v>
      </c>
      <c r="AB13" s="1095">
        <f t="shared" si="11"/>
        <v>0</v>
      </c>
      <c r="AC13" s="2909">
        <f t="shared" si="21"/>
        <v>1428832.37</v>
      </c>
    </row>
    <row r="14" spans="1:29">
      <c r="A14" s="2899" t="s">
        <v>4082</v>
      </c>
      <c r="B14" s="2900" t="s">
        <v>4083</v>
      </c>
      <c r="C14" s="2901">
        <v>280</v>
      </c>
      <c r="D14" s="2902">
        <f t="shared" si="0"/>
        <v>8.0009601152138251E-4</v>
      </c>
      <c r="E14" s="2903">
        <v>25200</v>
      </c>
      <c r="F14" s="2904">
        <f t="shared" si="1"/>
        <v>8.8092233687302147E-4</v>
      </c>
      <c r="G14" s="2903">
        <f t="shared" si="2"/>
        <v>25200</v>
      </c>
      <c r="H14" s="2903">
        <f t="shared" si="3"/>
        <v>0</v>
      </c>
      <c r="I14" s="2905">
        <f t="shared" si="4"/>
        <v>15960</v>
      </c>
      <c r="J14" s="1096">
        <v>4883</v>
      </c>
      <c r="K14" s="2479">
        <f t="shared" si="12"/>
        <v>200007.67999999999</v>
      </c>
      <c r="L14" s="398">
        <f t="shared" si="5"/>
        <v>5040</v>
      </c>
      <c r="M14" s="1095">
        <f t="shared" si="6"/>
        <v>25883</v>
      </c>
      <c r="N14" s="2906">
        <f t="shared" si="7"/>
        <v>8.1464588199921598E-4</v>
      </c>
      <c r="O14" s="2907">
        <f t="shared" si="13"/>
        <v>1.4549870477833463E-5</v>
      </c>
      <c r="P14" s="2908">
        <f t="shared" si="14"/>
        <v>84000</v>
      </c>
      <c r="Q14" s="1095">
        <f t="shared" si="15"/>
        <v>22932</v>
      </c>
      <c r="R14" s="2909">
        <f t="shared" si="16"/>
        <v>106932</v>
      </c>
      <c r="S14" s="398">
        <f t="shared" si="17"/>
        <v>0</v>
      </c>
      <c r="T14" s="1095">
        <f t="shared" si="18"/>
        <v>0</v>
      </c>
      <c r="U14" s="398">
        <f t="shared" si="19"/>
        <v>0</v>
      </c>
      <c r="V14" s="2913">
        <v>0</v>
      </c>
      <c r="W14" s="1095">
        <f t="shared" si="8"/>
        <v>25977.56</v>
      </c>
      <c r="X14" s="1095">
        <f t="shared" si="9"/>
        <v>5040</v>
      </c>
      <c r="Y14" s="2909">
        <f t="shared" si="20"/>
        <v>31017.56</v>
      </c>
      <c r="Z14" s="2913">
        <v>0</v>
      </c>
      <c r="AA14" s="1095">
        <f t="shared" si="10"/>
        <v>14014.210000000001</v>
      </c>
      <c r="AB14" s="1095">
        <f t="shared" si="11"/>
        <v>0</v>
      </c>
      <c r="AC14" s="2909">
        <f t="shared" si="21"/>
        <v>14014.210000000001</v>
      </c>
    </row>
    <row r="15" spans="1:29">
      <c r="A15" s="2899" t="s">
        <v>4084</v>
      </c>
      <c r="B15" s="2900" t="s">
        <v>4085</v>
      </c>
      <c r="C15" s="2901">
        <v>225</v>
      </c>
      <c r="D15" s="2902">
        <f t="shared" si="0"/>
        <v>6.4293429497253951E-4</v>
      </c>
      <c r="E15" s="2903">
        <v>20250</v>
      </c>
      <c r="F15" s="2904">
        <f t="shared" si="1"/>
        <v>7.0788402070153509E-4</v>
      </c>
      <c r="G15" s="2903">
        <f t="shared" si="2"/>
        <v>20250</v>
      </c>
      <c r="H15" s="2903">
        <f t="shared" si="3"/>
        <v>0</v>
      </c>
      <c r="I15" s="2905">
        <f t="shared" si="4"/>
        <v>12825</v>
      </c>
      <c r="J15" s="1096">
        <v>7848</v>
      </c>
      <c r="K15" s="2479">
        <f t="shared" si="12"/>
        <v>321454.08000000002</v>
      </c>
      <c r="L15" s="398">
        <f t="shared" si="5"/>
        <v>4050</v>
      </c>
      <c r="M15" s="1095">
        <f t="shared" si="6"/>
        <v>24723</v>
      </c>
      <c r="N15" s="2906">
        <f t="shared" si="7"/>
        <v>7.7813584749320463E-4</v>
      </c>
      <c r="O15" s="2907">
        <f t="shared" si="13"/>
        <v>1.3520155252066512E-4</v>
      </c>
      <c r="P15" s="2908">
        <f t="shared" si="14"/>
        <v>67500</v>
      </c>
      <c r="Q15" s="1095">
        <f t="shared" si="15"/>
        <v>18427.5</v>
      </c>
      <c r="R15" s="2909">
        <f t="shared" si="16"/>
        <v>85927.5</v>
      </c>
      <c r="S15" s="398">
        <f t="shared" si="17"/>
        <v>0</v>
      </c>
      <c r="T15" s="1095">
        <f t="shared" si="18"/>
        <v>0</v>
      </c>
      <c r="U15" s="398">
        <f t="shared" si="19"/>
        <v>0</v>
      </c>
      <c r="V15" s="2913">
        <v>0</v>
      </c>
      <c r="W15" s="1095">
        <f t="shared" si="8"/>
        <v>41751.360000000001</v>
      </c>
      <c r="X15" s="1095">
        <f t="shared" si="9"/>
        <v>4050</v>
      </c>
      <c r="Y15" s="2909">
        <f t="shared" si="20"/>
        <v>45801.36</v>
      </c>
      <c r="Z15" s="2913">
        <v>0</v>
      </c>
      <c r="AA15" s="1095">
        <f t="shared" si="10"/>
        <v>22523.760000000002</v>
      </c>
      <c r="AB15" s="1095">
        <f t="shared" si="11"/>
        <v>0</v>
      </c>
      <c r="AC15" s="2909">
        <f t="shared" si="21"/>
        <v>22523.760000000002</v>
      </c>
    </row>
    <row r="16" spans="1:29">
      <c r="A16" s="2899" t="s">
        <v>4086</v>
      </c>
      <c r="B16" s="2900" t="s">
        <v>4087</v>
      </c>
      <c r="C16" s="2901">
        <v>200</v>
      </c>
      <c r="D16" s="2902">
        <f t="shared" si="0"/>
        <v>5.7149715108670187E-4</v>
      </c>
      <c r="E16" s="2903">
        <v>18000</v>
      </c>
      <c r="F16" s="2904">
        <f t="shared" si="1"/>
        <v>6.2923024062358675E-4</v>
      </c>
      <c r="G16" s="2903">
        <f t="shared" si="2"/>
        <v>18000</v>
      </c>
      <c r="H16" s="2903">
        <f t="shared" si="3"/>
        <v>0</v>
      </c>
      <c r="I16" s="2905">
        <f t="shared" si="4"/>
        <v>11400</v>
      </c>
      <c r="J16" s="1096">
        <v>3488</v>
      </c>
      <c r="K16" s="2479">
        <f t="shared" si="12"/>
        <v>142868.48000000001</v>
      </c>
      <c r="L16" s="398">
        <f t="shared" si="5"/>
        <v>3600</v>
      </c>
      <c r="M16" s="1095">
        <f t="shared" si="6"/>
        <v>18488</v>
      </c>
      <c r="N16" s="2906">
        <f t="shared" si="7"/>
        <v>5.8189441202339393E-4</v>
      </c>
      <c r="O16" s="2907">
        <f t="shared" si="13"/>
        <v>1.0397260936692056E-5</v>
      </c>
      <c r="P16" s="2908">
        <f t="shared" si="14"/>
        <v>60000</v>
      </c>
      <c r="Q16" s="1095">
        <f t="shared" si="15"/>
        <v>16380</v>
      </c>
      <c r="R16" s="2909">
        <f t="shared" si="16"/>
        <v>76380</v>
      </c>
      <c r="S16" s="398">
        <f t="shared" si="17"/>
        <v>0</v>
      </c>
      <c r="T16" s="1095">
        <f t="shared" si="18"/>
        <v>0</v>
      </c>
      <c r="U16" s="398">
        <f t="shared" si="19"/>
        <v>0</v>
      </c>
      <c r="V16" s="2913">
        <v>0</v>
      </c>
      <c r="W16" s="1095">
        <f t="shared" si="8"/>
        <v>18556.16</v>
      </c>
      <c r="X16" s="1095">
        <f t="shared" si="9"/>
        <v>3600</v>
      </c>
      <c r="Y16" s="2909">
        <f t="shared" si="20"/>
        <v>22156.16</v>
      </c>
      <c r="Z16" s="2913">
        <v>0</v>
      </c>
      <c r="AA16" s="1095">
        <f t="shared" si="10"/>
        <v>10010.56</v>
      </c>
      <c r="AB16" s="1095">
        <f t="shared" si="11"/>
        <v>0</v>
      </c>
      <c r="AC16" s="2909">
        <f t="shared" si="21"/>
        <v>10010.56</v>
      </c>
    </row>
    <row r="17" spans="1:29">
      <c r="A17" s="2899" t="s">
        <v>4088</v>
      </c>
      <c r="B17" s="2900" t="s">
        <v>4089</v>
      </c>
      <c r="C17" s="2901">
        <v>95</v>
      </c>
      <c r="D17" s="2902">
        <f t="shared" si="0"/>
        <v>2.7146114676618338E-4</v>
      </c>
      <c r="E17" s="2903">
        <v>8550</v>
      </c>
      <c r="F17" s="2904">
        <f t="shared" si="1"/>
        <v>2.9888436429620368E-4</v>
      </c>
      <c r="G17" s="2903">
        <f t="shared" si="2"/>
        <v>8550</v>
      </c>
      <c r="H17" s="2903">
        <f t="shared" si="3"/>
        <v>0</v>
      </c>
      <c r="I17" s="2905">
        <f t="shared" si="4"/>
        <v>5415</v>
      </c>
      <c r="J17" s="1096">
        <v>3311.9999999999995</v>
      </c>
      <c r="K17" s="2479">
        <f t="shared" si="12"/>
        <v>135659.51999999999</v>
      </c>
      <c r="L17" s="398">
        <f t="shared" si="5"/>
        <v>1710</v>
      </c>
      <c r="M17" s="1095">
        <f t="shared" si="6"/>
        <v>10437</v>
      </c>
      <c r="N17" s="2906">
        <f t="shared" si="7"/>
        <v>3.2849588805106892E-4</v>
      </c>
      <c r="O17" s="2907">
        <f t="shared" si="13"/>
        <v>5.7034741284885549E-5</v>
      </c>
      <c r="P17" s="2908">
        <f t="shared" si="14"/>
        <v>28500</v>
      </c>
      <c r="Q17" s="1095">
        <f t="shared" si="15"/>
        <v>7780.5</v>
      </c>
      <c r="R17" s="2909">
        <f t="shared" si="16"/>
        <v>36280.5</v>
      </c>
      <c r="S17" s="398">
        <f t="shared" si="17"/>
        <v>0</v>
      </c>
      <c r="T17" s="1095">
        <f t="shared" si="18"/>
        <v>0</v>
      </c>
      <c r="U17" s="398">
        <f t="shared" si="19"/>
        <v>0</v>
      </c>
      <c r="V17" s="2913">
        <v>0</v>
      </c>
      <c r="W17" s="1095">
        <f t="shared" si="8"/>
        <v>17619.84</v>
      </c>
      <c r="X17" s="1095">
        <f t="shared" si="9"/>
        <v>1710</v>
      </c>
      <c r="Y17" s="2909">
        <f t="shared" si="20"/>
        <v>19329.84</v>
      </c>
      <c r="Z17" s="2913">
        <v>0</v>
      </c>
      <c r="AA17" s="1095">
        <f t="shared" si="10"/>
        <v>9505.4399999999987</v>
      </c>
      <c r="AB17" s="1095">
        <f t="shared" si="11"/>
        <v>0</v>
      </c>
      <c r="AC17" s="2909">
        <f t="shared" si="21"/>
        <v>9505.4399999999987</v>
      </c>
    </row>
    <row r="18" spans="1:29">
      <c r="A18" s="2899" t="s">
        <v>4090</v>
      </c>
      <c r="B18" s="2900" t="s">
        <v>4077</v>
      </c>
      <c r="C18" s="2901">
        <v>420</v>
      </c>
      <c r="D18" s="2902">
        <f t="shared" si="0"/>
        <v>1.2001440172820738E-3</v>
      </c>
      <c r="E18" s="2903">
        <v>37800</v>
      </c>
      <c r="F18" s="2904">
        <f t="shared" si="1"/>
        <v>1.3213835053095323E-3</v>
      </c>
      <c r="G18" s="2903">
        <f t="shared" si="2"/>
        <v>37800</v>
      </c>
      <c r="H18" s="2903">
        <f t="shared" si="3"/>
        <v>0</v>
      </c>
      <c r="I18" s="2905">
        <f t="shared" si="4"/>
        <v>23940</v>
      </c>
      <c r="J18" s="1096">
        <v>7325</v>
      </c>
      <c r="K18" s="2479">
        <f t="shared" si="12"/>
        <v>300032</v>
      </c>
      <c r="L18" s="398">
        <f t="shared" si="5"/>
        <v>7560</v>
      </c>
      <c r="M18" s="1095">
        <f t="shared" si="6"/>
        <v>38825</v>
      </c>
      <c r="N18" s="2906">
        <f t="shared" si="7"/>
        <v>1.2219845600826627E-3</v>
      </c>
      <c r="O18" s="2907">
        <f t="shared" si="13"/>
        <v>2.1840542800588949E-5</v>
      </c>
      <c r="P18" s="2908">
        <f t="shared" si="14"/>
        <v>126000</v>
      </c>
      <c r="Q18" s="1095">
        <f t="shared" si="15"/>
        <v>34398</v>
      </c>
      <c r="R18" s="2909">
        <f t="shared" si="16"/>
        <v>160398</v>
      </c>
      <c r="S18" s="398">
        <f t="shared" si="17"/>
        <v>0</v>
      </c>
      <c r="T18" s="1095">
        <f t="shared" si="18"/>
        <v>0</v>
      </c>
      <c r="U18" s="398">
        <f t="shared" si="19"/>
        <v>0</v>
      </c>
      <c r="V18" s="2913">
        <v>0</v>
      </c>
      <c r="W18" s="1095">
        <f t="shared" si="8"/>
        <v>38969</v>
      </c>
      <c r="X18" s="1095">
        <f t="shared" si="9"/>
        <v>7560</v>
      </c>
      <c r="Y18" s="2909">
        <f t="shared" si="20"/>
        <v>46529</v>
      </c>
      <c r="Z18" s="2913">
        <v>0</v>
      </c>
      <c r="AA18" s="1095">
        <f t="shared" si="10"/>
        <v>21022.75</v>
      </c>
      <c r="AB18" s="1095">
        <f t="shared" si="11"/>
        <v>0</v>
      </c>
      <c r="AC18" s="2909">
        <f t="shared" si="21"/>
        <v>21022.75</v>
      </c>
    </row>
    <row r="19" spans="1:29">
      <c r="A19" s="2899" t="s">
        <v>4091</v>
      </c>
      <c r="B19" s="2900" t="s">
        <v>4092</v>
      </c>
      <c r="C19" s="2901">
        <v>310</v>
      </c>
      <c r="D19" s="2902">
        <f t="shared" si="0"/>
        <v>8.8582058418438788E-4</v>
      </c>
      <c r="E19" s="2903">
        <v>27900</v>
      </c>
      <c r="F19" s="2904">
        <f t="shared" si="1"/>
        <v>9.753068729665595E-4</v>
      </c>
      <c r="G19" s="2903">
        <f t="shared" si="2"/>
        <v>27900</v>
      </c>
      <c r="H19" s="2903">
        <f t="shared" si="3"/>
        <v>0</v>
      </c>
      <c r="I19" s="2905">
        <f t="shared" si="4"/>
        <v>17670</v>
      </c>
      <c r="J19" s="1096">
        <v>5406</v>
      </c>
      <c r="K19" s="2479">
        <f t="shared" si="12"/>
        <v>221429.76000000001</v>
      </c>
      <c r="L19" s="398">
        <f t="shared" si="5"/>
        <v>5580</v>
      </c>
      <c r="M19" s="1095">
        <f t="shared" si="6"/>
        <v>28656</v>
      </c>
      <c r="N19" s="2906">
        <f t="shared" si="7"/>
        <v>9.0192374896918952E-4</v>
      </c>
      <c r="O19" s="2907">
        <f t="shared" si="13"/>
        <v>1.610316478480164E-5</v>
      </c>
      <c r="P19" s="2908">
        <f t="shared" si="14"/>
        <v>93000</v>
      </c>
      <c r="Q19" s="1095">
        <f t="shared" si="15"/>
        <v>25389</v>
      </c>
      <c r="R19" s="2909">
        <f t="shared" si="16"/>
        <v>118389</v>
      </c>
      <c r="S19" s="398">
        <f t="shared" si="17"/>
        <v>0</v>
      </c>
      <c r="T19" s="1095">
        <f t="shared" si="18"/>
        <v>0</v>
      </c>
      <c r="U19" s="398">
        <f t="shared" si="19"/>
        <v>0</v>
      </c>
      <c r="V19" s="2913">
        <v>0</v>
      </c>
      <c r="W19" s="1095">
        <f t="shared" si="8"/>
        <v>28759.920000000002</v>
      </c>
      <c r="X19" s="1095">
        <f t="shared" si="9"/>
        <v>5580</v>
      </c>
      <c r="Y19" s="2909">
        <f t="shared" si="20"/>
        <v>34339.919999999998</v>
      </c>
      <c r="Z19" s="2913">
        <v>0</v>
      </c>
      <c r="AA19" s="1095">
        <f t="shared" si="10"/>
        <v>15515.220000000001</v>
      </c>
      <c r="AB19" s="1095">
        <f t="shared" si="11"/>
        <v>0</v>
      </c>
      <c r="AC19" s="2909">
        <f t="shared" si="21"/>
        <v>15515.220000000001</v>
      </c>
    </row>
    <row r="20" spans="1:29">
      <c r="A20" s="2899" t="s">
        <v>4093</v>
      </c>
      <c r="B20" s="2900" t="s">
        <v>4083</v>
      </c>
      <c r="C20" s="2901">
        <v>195</v>
      </c>
      <c r="D20" s="2902">
        <f t="shared" si="0"/>
        <v>5.5720972230953426E-4</v>
      </c>
      <c r="E20" s="2903">
        <v>17550</v>
      </c>
      <c r="F20" s="2904">
        <f t="shared" si="1"/>
        <v>6.1349948460799706E-4</v>
      </c>
      <c r="G20" s="2903">
        <f t="shared" si="2"/>
        <v>17550</v>
      </c>
      <c r="H20" s="2903">
        <f t="shared" si="3"/>
        <v>0</v>
      </c>
      <c r="I20" s="2905">
        <f t="shared" si="4"/>
        <v>11115</v>
      </c>
      <c r="J20" s="1096">
        <v>0</v>
      </c>
      <c r="K20" s="2479">
        <f t="shared" si="12"/>
        <v>0</v>
      </c>
      <c r="L20" s="398">
        <f t="shared" si="5"/>
        <v>3510</v>
      </c>
      <c r="M20" s="1095">
        <f t="shared" si="6"/>
        <v>14625</v>
      </c>
      <c r="N20" s="2906">
        <f t="shared" si="7"/>
        <v>4.603097022848408E-4</v>
      </c>
      <c r="O20" s="2907">
        <f t="shared" si="13"/>
        <v>-9.6900020024693462E-5</v>
      </c>
      <c r="P20" s="2908">
        <f t="shared" si="14"/>
        <v>58500</v>
      </c>
      <c r="Q20" s="1095">
        <f t="shared" si="15"/>
        <v>15970.5</v>
      </c>
      <c r="R20" s="2909">
        <f t="shared" si="16"/>
        <v>74470.5</v>
      </c>
      <c r="S20" s="398">
        <f t="shared" si="17"/>
        <v>0</v>
      </c>
      <c r="T20" s="1095">
        <f t="shared" si="18"/>
        <v>0</v>
      </c>
      <c r="U20" s="398">
        <f t="shared" si="19"/>
        <v>0</v>
      </c>
      <c r="V20" s="2913">
        <v>0</v>
      </c>
      <c r="W20" s="1095">
        <f t="shared" si="8"/>
        <v>0</v>
      </c>
      <c r="X20" s="1095">
        <f t="shared" si="9"/>
        <v>3510</v>
      </c>
      <c r="Y20" s="2909">
        <f t="shared" si="20"/>
        <v>3510</v>
      </c>
      <c r="Z20" s="2913">
        <v>0</v>
      </c>
      <c r="AA20" s="1095">
        <f t="shared" si="10"/>
        <v>0</v>
      </c>
      <c r="AB20" s="1095">
        <f t="shared" si="11"/>
        <v>0</v>
      </c>
      <c r="AC20" s="2909">
        <f t="shared" si="21"/>
        <v>0</v>
      </c>
    </row>
    <row r="21" spans="1:29">
      <c r="A21" s="2899" t="s">
        <v>4094</v>
      </c>
      <c r="B21" s="2900" t="s">
        <v>4087</v>
      </c>
      <c r="C21" s="2901">
        <v>45</v>
      </c>
      <c r="D21" s="2902">
        <f t="shared" si="0"/>
        <v>1.2858685899450791E-4</v>
      </c>
      <c r="E21" s="2903">
        <v>4050</v>
      </c>
      <c r="F21" s="2904">
        <f t="shared" si="1"/>
        <v>1.4157680414030702E-4</v>
      </c>
      <c r="G21" s="2903">
        <f t="shared" si="2"/>
        <v>4050</v>
      </c>
      <c r="H21" s="2903">
        <f t="shared" si="3"/>
        <v>0</v>
      </c>
      <c r="I21" s="2905">
        <f t="shared" si="4"/>
        <v>2565</v>
      </c>
      <c r="J21" s="1096">
        <v>909</v>
      </c>
      <c r="K21" s="2479">
        <f t="shared" si="12"/>
        <v>37232.639999999999</v>
      </c>
      <c r="L21" s="398">
        <f t="shared" si="5"/>
        <v>810</v>
      </c>
      <c r="M21" s="1095">
        <f t="shared" si="6"/>
        <v>4284</v>
      </c>
      <c r="N21" s="2906">
        <f t="shared" si="7"/>
        <v>1.3483533433082106E-4</v>
      </c>
      <c r="O21" s="2907">
        <f t="shared" si="13"/>
        <v>6.2484753363131556E-6</v>
      </c>
      <c r="P21" s="2908">
        <f t="shared" si="14"/>
        <v>13500</v>
      </c>
      <c r="Q21" s="1095">
        <f t="shared" si="15"/>
        <v>3685.5</v>
      </c>
      <c r="R21" s="2909">
        <f t="shared" si="16"/>
        <v>17185.5</v>
      </c>
      <c r="S21" s="398">
        <f t="shared" si="17"/>
        <v>0</v>
      </c>
      <c r="T21" s="1095">
        <f t="shared" si="18"/>
        <v>0</v>
      </c>
      <c r="U21" s="398">
        <f t="shared" si="19"/>
        <v>0</v>
      </c>
      <c r="V21" s="2913">
        <v>0</v>
      </c>
      <c r="W21" s="1095">
        <f t="shared" si="8"/>
        <v>4835.88</v>
      </c>
      <c r="X21" s="1095">
        <f t="shared" si="9"/>
        <v>810</v>
      </c>
      <c r="Y21" s="2909">
        <f t="shared" si="20"/>
        <v>5645.88</v>
      </c>
      <c r="Z21" s="2913">
        <v>0</v>
      </c>
      <c r="AA21" s="1095">
        <f t="shared" si="10"/>
        <v>2608.83</v>
      </c>
      <c r="AB21" s="1095">
        <f t="shared" si="11"/>
        <v>0</v>
      </c>
      <c r="AC21" s="2909">
        <f t="shared" si="21"/>
        <v>2608.83</v>
      </c>
    </row>
    <row r="22" spans="1:29">
      <c r="A22" s="2899" t="s">
        <v>4095</v>
      </c>
      <c r="B22" s="2900" t="s">
        <v>4087</v>
      </c>
      <c r="C22" s="2901">
        <v>355</v>
      </c>
      <c r="D22" s="2902">
        <f t="shared" si="0"/>
        <v>1.0144074431788956E-3</v>
      </c>
      <c r="E22" s="2903">
        <v>31950</v>
      </c>
      <c r="F22" s="2904">
        <f t="shared" si="1"/>
        <v>1.1168836771068664E-3</v>
      </c>
      <c r="G22" s="2903">
        <f t="shared" si="2"/>
        <v>31950</v>
      </c>
      <c r="H22" s="2903">
        <f t="shared" si="3"/>
        <v>0</v>
      </c>
      <c r="I22" s="2905">
        <f t="shared" si="4"/>
        <v>20235</v>
      </c>
      <c r="J22" s="1096">
        <v>6191</v>
      </c>
      <c r="K22" s="2479">
        <f t="shared" si="12"/>
        <v>253583.36000000002</v>
      </c>
      <c r="L22" s="398">
        <f t="shared" si="5"/>
        <v>6390</v>
      </c>
      <c r="M22" s="1095">
        <f t="shared" si="6"/>
        <v>32816</v>
      </c>
      <c r="N22" s="2906">
        <f t="shared" si="7"/>
        <v>1.0328562865079887E-3</v>
      </c>
      <c r="O22" s="2907">
        <f t="shared" si="13"/>
        <v>1.8448843329093093E-5</v>
      </c>
      <c r="P22" s="2908">
        <f t="shared" si="14"/>
        <v>106500</v>
      </c>
      <c r="Q22" s="1095">
        <f t="shared" si="15"/>
        <v>29074.5</v>
      </c>
      <c r="R22" s="2909">
        <f t="shared" si="16"/>
        <v>135574.5</v>
      </c>
      <c r="S22" s="398">
        <f t="shared" si="17"/>
        <v>0</v>
      </c>
      <c r="T22" s="1095">
        <f t="shared" si="18"/>
        <v>0</v>
      </c>
      <c r="U22" s="398">
        <f t="shared" si="19"/>
        <v>0</v>
      </c>
      <c r="V22" s="2913">
        <v>0</v>
      </c>
      <c r="W22" s="1095">
        <f t="shared" si="8"/>
        <v>32936.120000000003</v>
      </c>
      <c r="X22" s="1095">
        <f t="shared" si="9"/>
        <v>6390</v>
      </c>
      <c r="Y22" s="2909">
        <f t="shared" si="20"/>
        <v>39326.120000000003</v>
      </c>
      <c r="Z22" s="2913">
        <v>0</v>
      </c>
      <c r="AA22" s="1095">
        <f t="shared" si="10"/>
        <v>17768.170000000002</v>
      </c>
      <c r="AB22" s="1095">
        <f t="shared" si="11"/>
        <v>0</v>
      </c>
      <c r="AC22" s="2909">
        <f t="shared" si="21"/>
        <v>17768.170000000002</v>
      </c>
    </row>
    <row r="23" spans="1:29">
      <c r="A23" s="2899" t="s">
        <v>4096</v>
      </c>
      <c r="B23" s="2900" t="s">
        <v>4097</v>
      </c>
      <c r="C23" s="2901">
        <v>290</v>
      </c>
      <c r="D23" s="2902">
        <f t="shared" si="0"/>
        <v>8.2867086907571763E-4</v>
      </c>
      <c r="E23" s="2903">
        <v>26100</v>
      </c>
      <c r="F23" s="2904">
        <f t="shared" si="1"/>
        <v>9.1238384890420074E-4</v>
      </c>
      <c r="G23" s="2903">
        <f t="shared" si="2"/>
        <v>26100</v>
      </c>
      <c r="H23" s="2903">
        <f t="shared" si="3"/>
        <v>0</v>
      </c>
      <c r="I23" s="2905">
        <f t="shared" si="4"/>
        <v>16530</v>
      </c>
      <c r="J23" s="1096">
        <v>5057</v>
      </c>
      <c r="K23" s="2479">
        <f t="shared" si="12"/>
        <v>207134.72</v>
      </c>
      <c r="L23" s="398">
        <f t="shared" si="5"/>
        <v>5220</v>
      </c>
      <c r="M23" s="1095">
        <f t="shared" si="6"/>
        <v>26807</v>
      </c>
      <c r="N23" s="2906">
        <f t="shared" si="7"/>
        <v>8.4372801293331465E-4</v>
      </c>
      <c r="O23" s="2907">
        <f t="shared" si="13"/>
        <v>1.505714385759702E-5</v>
      </c>
      <c r="P23" s="2908">
        <f t="shared" si="14"/>
        <v>87000</v>
      </c>
      <c r="Q23" s="1095">
        <f t="shared" si="15"/>
        <v>23751</v>
      </c>
      <c r="R23" s="2909">
        <f t="shared" si="16"/>
        <v>110751</v>
      </c>
      <c r="S23" s="398">
        <f t="shared" si="17"/>
        <v>0</v>
      </c>
      <c r="T23" s="1095">
        <f t="shared" si="18"/>
        <v>0</v>
      </c>
      <c r="U23" s="398">
        <f t="shared" si="19"/>
        <v>0</v>
      </c>
      <c r="V23" s="2913">
        <v>0</v>
      </c>
      <c r="W23" s="1095">
        <f t="shared" si="8"/>
        <v>26903.24</v>
      </c>
      <c r="X23" s="1095">
        <f t="shared" si="9"/>
        <v>5220</v>
      </c>
      <c r="Y23" s="2909">
        <f t="shared" si="20"/>
        <v>32123.24</v>
      </c>
      <c r="Z23" s="2913">
        <v>0</v>
      </c>
      <c r="AA23" s="1095">
        <f t="shared" si="10"/>
        <v>14513.59</v>
      </c>
      <c r="AB23" s="1095">
        <f t="shared" si="11"/>
        <v>0</v>
      </c>
      <c r="AC23" s="2909">
        <f t="shared" si="21"/>
        <v>14513.59</v>
      </c>
    </row>
    <row r="24" spans="1:29">
      <c r="A24" s="2899" t="s">
        <v>4098</v>
      </c>
      <c r="B24" s="2900" t="s">
        <v>4087</v>
      </c>
      <c r="C24" s="2901">
        <v>205</v>
      </c>
      <c r="D24" s="2902">
        <f t="shared" si="0"/>
        <v>5.8578457986386938E-4</v>
      </c>
      <c r="E24" s="2903">
        <v>18450</v>
      </c>
      <c r="F24" s="2904">
        <f t="shared" si="1"/>
        <v>6.4496099663917644E-4</v>
      </c>
      <c r="G24" s="2903">
        <f t="shared" si="2"/>
        <v>18450</v>
      </c>
      <c r="H24" s="2903">
        <f t="shared" si="3"/>
        <v>0</v>
      </c>
      <c r="I24" s="2905">
        <f t="shared" si="4"/>
        <v>11685</v>
      </c>
      <c r="J24" s="1096">
        <v>3575</v>
      </c>
      <c r="K24" s="2479">
        <f t="shared" si="12"/>
        <v>146432</v>
      </c>
      <c r="L24" s="398">
        <f t="shared" si="5"/>
        <v>3690</v>
      </c>
      <c r="M24" s="1095">
        <f t="shared" si="6"/>
        <v>18950</v>
      </c>
      <c r="N24" s="2906">
        <f t="shared" si="7"/>
        <v>5.9643547749044321E-4</v>
      </c>
      <c r="O24" s="2907">
        <f t="shared" si="13"/>
        <v>1.0650897626573834E-5</v>
      </c>
      <c r="P24" s="2908">
        <f t="shared" si="14"/>
        <v>61500</v>
      </c>
      <c r="Q24" s="1095">
        <f t="shared" si="15"/>
        <v>16789.5</v>
      </c>
      <c r="R24" s="2909">
        <f t="shared" si="16"/>
        <v>78289.5</v>
      </c>
      <c r="S24" s="398">
        <f t="shared" si="17"/>
        <v>0</v>
      </c>
      <c r="T24" s="1095">
        <f t="shared" si="18"/>
        <v>0</v>
      </c>
      <c r="U24" s="398">
        <f t="shared" si="19"/>
        <v>0</v>
      </c>
      <c r="V24" s="2913">
        <v>0</v>
      </c>
      <c r="W24" s="1095">
        <f t="shared" si="8"/>
        <v>19019</v>
      </c>
      <c r="X24" s="1095">
        <f t="shared" si="9"/>
        <v>3690</v>
      </c>
      <c r="Y24" s="2909">
        <f t="shared" si="20"/>
        <v>22709</v>
      </c>
      <c r="Z24" s="2913">
        <v>0</v>
      </c>
      <c r="AA24" s="1095">
        <f t="shared" si="10"/>
        <v>10260.25</v>
      </c>
      <c r="AB24" s="1095">
        <f t="shared" si="11"/>
        <v>0</v>
      </c>
      <c r="AC24" s="2909">
        <f t="shared" si="21"/>
        <v>10260.25</v>
      </c>
    </row>
    <row r="25" spans="1:29">
      <c r="A25" s="2899" t="s">
        <v>4099</v>
      </c>
      <c r="B25" s="2900" t="s">
        <v>4077</v>
      </c>
      <c r="C25" s="2901">
        <v>360</v>
      </c>
      <c r="D25" s="2902">
        <f t="shared" si="0"/>
        <v>1.0286948719560633E-3</v>
      </c>
      <c r="E25" s="2903">
        <v>32400</v>
      </c>
      <c r="F25" s="2904">
        <f t="shared" si="1"/>
        <v>1.1326144331224562E-3</v>
      </c>
      <c r="G25" s="2903">
        <f t="shared" si="2"/>
        <v>32400</v>
      </c>
      <c r="H25" s="2903">
        <f t="shared" si="3"/>
        <v>0</v>
      </c>
      <c r="I25" s="2905">
        <f t="shared" si="4"/>
        <v>20520</v>
      </c>
      <c r="J25" s="1096">
        <v>0</v>
      </c>
      <c r="K25" s="2479">
        <f t="shared" si="12"/>
        <v>0</v>
      </c>
      <c r="L25" s="398">
        <f t="shared" si="5"/>
        <v>6480</v>
      </c>
      <c r="M25" s="1095">
        <f t="shared" si="6"/>
        <v>27000</v>
      </c>
      <c r="N25" s="2906">
        <f t="shared" si="7"/>
        <v>8.4980252729509071E-4</v>
      </c>
      <c r="O25" s="2907">
        <f t="shared" si="13"/>
        <v>-1.7889234466097255E-4</v>
      </c>
      <c r="P25" s="2908">
        <f t="shared" si="14"/>
        <v>108000</v>
      </c>
      <c r="Q25" s="1095">
        <f t="shared" si="15"/>
        <v>29484</v>
      </c>
      <c r="R25" s="2909">
        <f t="shared" si="16"/>
        <v>137484</v>
      </c>
      <c r="S25" s="398">
        <f t="shared" si="17"/>
        <v>0</v>
      </c>
      <c r="T25" s="1095">
        <f t="shared" si="18"/>
        <v>0</v>
      </c>
      <c r="U25" s="398">
        <f t="shared" si="19"/>
        <v>0</v>
      </c>
      <c r="V25" s="2913">
        <v>0</v>
      </c>
      <c r="W25" s="1095">
        <f t="shared" si="8"/>
        <v>0</v>
      </c>
      <c r="X25" s="1095">
        <f t="shared" si="9"/>
        <v>6480</v>
      </c>
      <c r="Y25" s="2909">
        <f t="shared" si="20"/>
        <v>6480</v>
      </c>
      <c r="Z25" s="2913">
        <v>0</v>
      </c>
      <c r="AA25" s="1095">
        <f t="shared" si="10"/>
        <v>0</v>
      </c>
      <c r="AB25" s="1095">
        <f t="shared" si="11"/>
        <v>0</v>
      </c>
      <c r="AC25" s="2909">
        <f t="shared" si="21"/>
        <v>0</v>
      </c>
    </row>
    <row r="26" spans="1:29">
      <c r="A26" s="2899" t="s">
        <v>4100</v>
      </c>
      <c r="B26" s="2900" t="s">
        <v>4073</v>
      </c>
      <c r="C26" s="2901">
        <v>150</v>
      </c>
      <c r="D26" s="2902">
        <f t="shared" si="0"/>
        <v>4.2862286331502638E-4</v>
      </c>
      <c r="E26" s="2903">
        <v>13500</v>
      </c>
      <c r="F26" s="2904">
        <f t="shared" si="1"/>
        <v>4.7192268046769006E-4</v>
      </c>
      <c r="G26" s="2903">
        <f t="shared" si="2"/>
        <v>13500</v>
      </c>
      <c r="H26" s="2903">
        <f t="shared" si="3"/>
        <v>0</v>
      </c>
      <c r="I26" s="2905">
        <f t="shared" si="4"/>
        <v>8550</v>
      </c>
      <c r="J26" s="1096">
        <v>2616</v>
      </c>
      <c r="K26" s="2479">
        <f t="shared" si="12"/>
        <v>107151.36</v>
      </c>
      <c r="L26" s="398">
        <f t="shared" si="5"/>
        <v>2700</v>
      </c>
      <c r="M26" s="1095">
        <f t="shared" si="6"/>
        <v>13866</v>
      </c>
      <c r="N26" s="2906">
        <f t="shared" si="7"/>
        <v>4.3642080901754547E-4</v>
      </c>
      <c r="O26" s="2907">
        <f t="shared" si="13"/>
        <v>7.797945702519096E-6</v>
      </c>
      <c r="P26" s="2908">
        <f t="shared" si="14"/>
        <v>45000</v>
      </c>
      <c r="Q26" s="1095">
        <f t="shared" si="15"/>
        <v>12285</v>
      </c>
      <c r="R26" s="2909">
        <f t="shared" si="16"/>
        <v>57285</v>
      </c>
      <c r="S26" s="398">
        <f t="shared" si="17"/>
        <v>0</v>
      </c>
      <c r="T26" s="1095">
        <f t="shared" si="18"/>
        <v>0</v>
      </c>
      <c r="U26" s="398">
        <f t="shared" si="19"/>
        <v>0</v>
      </c>
      <c r="V26" s="2913">
        <v>0</v>
      </c>
      <c r="W26" s="1095">
        <f t="shared" si="8"/>
        <v>13917.12</v>
      </c>
      <c r="X26" s="1095">
        <f t="shared" si="9"/>
        <v>2700</v>
      </c>
      <c r="Y26" s="2909">
        <f t="shared" si="20"/>
        <v>16617.120000000003</v>
      </c>
      <c r="Z26" s="2913">
        <v>0</v>
      </c>
      <c r="AA26" s="1095">
        <f t="shared" si="10"/>
        <v>7507.92</v>
      </c>
      <c r="AB26" s="1095">
        <f t="shared" si="11"/>
        <v>0</v>
      </c>
      <c r="AC26" s="2909">
        <f t="shared" si="21"/>
        <v>7507.92</v>
      </c>
    </row>
    <row r="27" spans="1:29">
      <c r="A27" s="2899" t="s">
        <v>4101</v>
      </c>
      <c r="B27" s="2900" t="s">
        <v>4073</v>
      </c>
      <c r="C27" s="2901">
        <v>120</v>
      </c>
      <c r="D27" s="2902">
        <f t="shared" si="0"/>
        <v>3.4289829065202112E-4</v>
      </c>
      <c r="E27" s="2903">
        <v>10800</v>
      </c>
      <c r="F27" s="2904">
        <f t="shared" si="1"/>
        <v>3.7753814437415203E-4</v>
      </c>
      <c r="G27" s="2903">
        <f t="shared" si="2"/>
        <v>10800</v>
      </c>
      <c r="H27" s="2903">
        <f t="shared" si="3"/>
        <v>0</v>
      </c>
      <c r="I27" s="2905">
        <f t="shared" si="4"/>
        <v>6840</v>
      </c>
      <c r="J27" s="1096">
        <v>4184</v>
      </c>
      <c r="K27" s="2479">
        <f t="shared" si="12"/>
        <v>171376.64000000001</v>
      </c>
      <c r="L27" s="398">
        <f t="shared" si="5"/>
        <v>2160</v>
      </c>
      <c r="M27" s="1095">
        <f t="shared" si="6"/>
        <v>13184</v>
      </c>
      <c r="N27" s="2906">
        <f t="shared" si="7"/>
        <v>4.14955426661425E-4</v>
      </c>
      <c r="O27" s="2907">
        <f t="shared" si="13"/>
        <v>7.2057136009403872E-5</v>
      </c>
      <c r="P27" s="2908">
        <f t="shared" si="14"/>
        <v>36000</v>
      </c>
      <c r="Q27" s="1095">
        <f t="shared" si="15"/>
        <v>9828</v>
      </c>
      <c r="R27" s="2909">
        <f t="shared" si="16"/>
        <v>45828</v>
      </c>
      <c r="S27" s="398">
        <f t="shared" si="17"/>
        <v>0</v>
      </c>
      <c r="T27" s="1095">
        <f t="shared" si="18"/>
        <v>0</v>
      </c>
      <c r="U27" s="398">
        <f t="shared" si="19"/>
        <v>0</v>
      </c>
      <c r="V27" s="2913">
        <v>0</v>
      </c>
      <c r="W27" s="1095">
        <f t="shared" si="8"/>
        <v>22258.880000000001</v>
      </c>
      <c r="X27" s="1095">
        <f t="shared" si="9"/>
        <v>2160</v>
      </c>
      <c r="Y27" s="2909">
        <f t="shared" si="20"/>
        <v>24418.880000000001</v>
      </c>
      <c r="Z27" s="2913">
        <v>0</v>
      </c>
      <c r="AA27" s="1095">
        <f t="shared" si="10"/>
        <v>12008.08</v>
      </c>
      <c r="AB27" s="1095">
        <f t="shared" si="11"/>
        <v>0</v>
      </c>
      <c r="AC27" s="2909">
        <f t="shared" si="21"/>
        <v>12008.08</v>
      </c>
    </row>
    <row r="28" spans="1:29">
      <c r="A28" s="2899" t="s">
        <v>4102</v>
      </c>
      <c r="B28" s="2900" t="s">
        <v>4089</v>
      </c>
      <c r="C28" s="2901">
        <v>550</v>
      </c>
      <c r="D28" s="2902">
        <f t="shared" si="0"/>
        <v>1.57161716548843E-3</v>
      </c>
      <c r="E28" s="2903">
        <v>49500</v>
      </c>
      <c r="F28" s="2904">
        <f t="shared" si="1"/>
        <v>1.7303831617148636E-3</v>
      </c>
      <c r="G28" s="2903">
        <f t="shared" si="2"/>
        <v>49500</v>
      </c>
      <c r="H28" s="2903">
        <f t="shared" si="3"/>
        <v>0</v>
      </c>
      <c r="I28" s="2905">
        <f t="shared" si="4"/>
        <v>31350</v>
      </c>
      <c r="J28" s="1096">
        <v>0</v>
      </c>
      <c r="K28" s="2479">
        <f t="shared" si="12"/>
        <v>0</v>
      </c>
      <c r="L28" s="398">
        <f t="shared" si="5"/>
        <v>9900</v>
      </c>
      <c r="M28" s="1095">
        <f t="shared" si="6"/>
        <v>41250</v>
      </c>
      <c r="N28" s="2906">
        <f t="shared" si="7"/>
        <v>1.298309416700833E-3</v>
      </c>
      <c r="O28" s="2907">
        <f t="shared" si="13"/>
        <v>-2.7330774878759701E-4</v>
      </c>
      <c r="P28" s="2908">
        <f t="shared" si="14"/>
        <v>165000</v>
      </c>
      <c r="Q28" s="1095">
        <f t="shared" si="15"/>
        <v>45045</v>
      </c>
      <c r="R28" s="2909">
        <f t="shared" si="16"/>
        <v>210045</v>
      </c>
      <c r="S28" s="398">
        <f t="shared" si="17"/>
        <v>0</v>
      </c>
      <c r="T28" s="1095">
        <f t="shared" si="18"/>
        <v>0</v>
      </c>
      <c r="U28" s="398">
        <f t="shared" si="19"/>
        <v>0</v>
      </c>
      <c r="V28" s="2913">
        <v>0</v>
      </c>
      <c r="W28" s="1095">
        <f t="shared" si="8"/>
        <v>0</v>
      </c>
      <c r="X28" s="1095">
        <f t="shared" si="9"/>
        <v>9900</v>
      </c>
      <c r="Y28" s="2909">
        <f t="shared" si="20"/>
        <v>9900</v>
      </c>
      <c r="Z28" s="2913">
        <v>0</v>
      </c>
      <c r="AA28" s="1095">
        <f t="shared" si="10"/>
        <v>0</v>
      </c>
      <c r="AB28" s="1095">
        <f t="shared" si="11"/>
        <v>0</v>
      </c>
      <c r="AC28" s="2909">
        <f t="shared" si="21"/>
        <v>0</v>
      </c>
    </row>
    <row r="29" spans="1:29">
      <c r="A29" s="2899" t="s">
        <v>4103</v>
      </c>
      <c r="B29" s="2900" t="s">
        <v>4104</v>
      </c>
      <c r="C29" s="2901">
        <v>205</v>
      </c>
      <c r="D29" s="2902">
        <f t="shared" si="0"/>
        <v>5.8578457986386938E-4</v>
      </c>
      <c r="E29" s="2903">
        <v>18450</v>
      </c>
      <c r="F29" s="2904">
        <f t="shared" si="1"/>
        <v>6.4496099663917644E-4</v>
      </c>
      <c r="G29" s="2903">
        <f t="shared" si="2"/>
        <v>18450</v>
      </c>
      <c r="H29" s="2903">
        <f t="shared" si="3"/>
        <v>0</v>
      </c>
      <c r="I29" s="2905">
        <f t="shared" si="4"/>
        <v>11685</v>
      </c>
      <c r="J29" s="1096">
        <v>3575</v>
      </c>
      <c r="K29" s="2479">
        <f t="shared" si="12"/>
        <v>146432</v>
      </c>
      <c r="L29" s="398">
        <f t="shared" si="5"/>
        <v>3690</v>
      </c>
      <c r="M29" s="1095">
        <f t="shared" si="6"/>
        <v>18950</v>
      </c>
      <c r="N29" s="2906">
        <f t="shared" si="7"/>
        <v>5.9643547749044321E-4</v>
      </c>
      <c r="O29" s="2907">
        <f t="shared" si="13"/>
        <v>1.0650897626573834E-5</v>
      </c>
      <c r="P29" s="2908">
        <f t="shared" si="14"/>
        <v>61500</v>
      </c>
      <c r="Q29" s="1095">
        <f t="shared" si="15"/>
        <v>16789.5</v>
      </c>
      <c r="R29" s="2909">
        <f t="shared" si="16"/>
        <v>78289.5</v>
      </c>
      <c r="S29" s="398">
        <f t="shared" si="17"/>
        <v>0</v>
      </c>
      <c r="T29" s="1095">
        <f t="shared" si="18"/>
        <v>0</v>
      </c>
      <c r="U29" s="398">
        <f t="shared" si="19"/>
        <v>0</v>
      </c>
      <c r="V29" s="2913">
        <v>0</v>
      </c>
      <c r="W29" s="1095">
        <f t="shared" si="8"/>
        <v>19019</v>
      </c>
      <c r="X29" s="1095">
        <f t="shared" si="9"/>
        <v>3690</v>
      </c>
      <c r="Y29" s="2909">
        <f t="shared" si="20"/>
        <v>22709</v>
      </c>
      <c r="Z29" s="2913">
        <v>0</v>
      </c>
      <c r="AA29" s="1095">
        <f t="shared" si="10"/>
        <v>10260.25</v>
      </c>
      <c r="AB29" s="1095">
        <f t="shared" si="11"/>
        <v>0</v>
      </c>
      <c r="AC29" s="2909">
        <f t="shared" si="21"/>
        <v>10260.25</v>
      </c>
    </row>
    <row r="30" spans="1:29">
      <c r="A30" s="2899" t="s">
        <v>4105</v>
      </c>
      <c r="B30" s="2900" t="s">
        <v>4106</v>
      </c>
      <c r="C30" s="2901">
        <v>235</v>
      </c>
      <c r="D30" s="2902">
        <f t="shared" si="0"/>
        <v>6.7150915252687463E-4</v>
      </c>
      <c r="E30" s="2903">
        <v>21150</v>
      </c>
      <c r="F30" s="2904">
        <f t="shared" si="1"/>
        <v>7.3934553273271447E-4</v>
      </c>
      <c r="G30" s="2903">
        <f t="shared" si="2"/>
        <v>21150</v>
      </c>
      <c r="H30" s="2903">
        <f t="shared" si="3"/>
        <v>0</v>
      </c>
      <c r="I30" s="2905">
        <f t="shared" si="4"/>
        <v>13395</v>
      </c>
      <c r="J30" s="1096">
        <v>4098</v>
      </c>
      <c r="K30" s="2479">
        <f t="shared" si="12"/>
        <v>167854.08000000002</v>
      </c>
      <c r="L30" s="398">
        <f t="shared" si="5"/>
        <v>4230</v>
      </c>
      <c r="M30" s="1095">
        <f t="shared" si="6"/>
        <v>21723</v>
      </c>
      <c r="N30" s="2906">
        <f t="shared" si="7"/>
        <v>6.8371334446041686E-4</v>
      </c>
      <c r="O30" s="2907">
        <f t="shared" si="13"/>
        <v>1.2204191933542228E-5</v>
      </c>
      <c r="P30" s="2908">
        <f t="shared" si="14"/>
        <v>70500</v>
      </c>
      <c r="Q30" s="1095">
        <f t="shared" si="15"/>
        <v>19246.5</v>
      </c>
      <c r="R30" s="2909">
        <f t="shared" si="16"/>
        <v>89746.5</v>
      </c>
      <c r="S30" s="398">
        <f t="shared" si="17"/>
        <v>0</v>
      </c>
      <c r="T30" s="1095">
        <f t="shared" si="18"/>
        <v>0</v>
      </c>
      <c r="U30" s="398">
        <f t="shared" si="19"/>
        <v>0</v>
      </c>
      <c r="V30" s="2913">
        <v>0</v>
      </c>
      <c r="W30" s="1095">
        <f t="shared" si="8"/>
        <v>21801.360000000001</v>
      </c>
      <c r="X30" s="1095">
        <f t="shared" si="9"/>
        <v>4230</v>
      </c>
      <c r="Y30" s="2909">
        <f t="shared" si="20"/>
        <v>26031.360000000001</v>
      </c>
      <c r="Z30" s="2913">
        <v>0</v>
      </c>
      <c r="AA30" s="1095">
        <f t="shared" si="10"/>
        <v>11761.26</v>
      </c>
      <c r="AB30" s="1095">
        <f t="shared" si="11"/>
        <v>0</v>
      </c>
      <c r="AC30" s="2909">
        <f t="shared" si="21"/>
        <v>11761.26</v>
      </c>
    </row>
    <row r="31" spans="1:29">
      <c r="A31" s="2899" t="s">
        <v>4107</v>
      </c>
      <c r="B31" s="2900" t="s">
        <v>4073</v>
      </c>
      <c r="C31" s="2901">
        <v>145</v>
      </c>
      <c r="D31" s="2902">
        <f t="shared" si="0"/>
        <v>4.1433543453785882E-4</v>
      </c>
      <c r="E31" s="2903">
        <v>13050</v>
      </c>
      <c r="F31" s="2904">
        <f t="shared" si="1"/>
        <v>4.5619192445210037E-4</v>
      </c>
      <c r="G31" s="2903">
        <f t="shared" si="2"/>
        <v>13050</v>
      </c>
      <c r="H31" s="2903">
        <f t="shared" si="3"/>
        <v>0</v>
      </c>
      <c r="I31" s="2905">
        <f t="shared" si="4"/>
        <v>8265</v>
      </c>
      <c r="J31" s="1096">
        <v>2528</v>
      </c>
      <c r="K31" s="2479">
        <f t="shared" si="12"/>
        <v>103546.88</v>
      </c>
      <c r="L31" s="398">
        <f t="shared" si="5"/>
        <v>2610</v>
      </c>
      <c r="M31" s="1095">
        <f t="shared" si="6"/>
        <v>13403</v>
      </c>
      <c r="N31" s="2906">
        <f t="shared" si="7"/>
        <v>4.2184826938281852E-4</v>
      </c>
      <c r="O31" s="2907">
        <f t="shared" si="13"/>
        <v>7.512834844959702E-6</v>
      </c>
      <c r="P31" s="2908">
        <f t="shared" si="14"/>
        <v>43500</v>
      </c>
      <c r="Q31" s="1095">
        <f t="shared" si="15"/>
        <v>11875.5</v>
      </c>
      <c r="R31" s="2909">
        <f t="shared" si="16"/>
        <v>55375.5</v>
      </c>
      <c r="S31" s="398">
        <f t="shared" si="17"/>
        <v>0</v>
      </c>
      <c r="T31" s="1095">
        <f t="shared" si="18"/>
        <v>0</v>
      </c>
      <c r="U31" s="398">
        <f t="shared" si="19"/>
        <v>0</v>
      </c>
      <c r="V31" s="2913">
        <v>0</v>
      </c>
      <c r="W31" s="1095">
        <f t="shared" si="8"/>
        <v>13448.960000000001</v>
      </c>
      <c r="X31" s="1095">
        <f t="shared" si="9"/>
        <v>2610</v>
      </c>
      <c r="Y31" s="2909">
        <f t="shared" si="20"/>
        <v>16058.960000000001</v>
      </c>
      <c r="Z31" s="2913">
        <v>0</v>
      </c>
      <c r="AA31" s="1095">
        <f t="shared" si="10"/>
        <v>7255.3600000000006</v>
      </c>
      <c r="AB31" s="1095">
        <f t="shared" si="11"/>
        <v>0</v>
      </c>
      <c r="AC31" s="2909">
        <f t="shared" si="21"/>
        <v>7255.3600000000006</v>
      </c>
    </row>
    <row r="32" spans="1:29">
      <c r="A32" s="2899" t="s">
        <v>4108</v>
      </c>
      <c r="B32" s="2900" t="s">
        <v>4077</v>
      </c>
      <c r="C32" s="2901">
        <v>40</v>
      </c>
      <c r="D32" s="2902">
        <f t="shared" si="0"/>
        <v>1.1429943021734036E-4</v>
      </c>
      <c r="E32" s="2903">
        <v>3600</v>
      </c>
      <c r="F32" s="2904">
        <f t="shared" si="1"/>
        <v>1.2584604812471736E-4</v>
      </c>
      <c r="G32" s="2903">
        <f t="shared" si="2"/>
        <v>3600</v>
      </c>
      <c r="H32" s="2903">
        <f t="shared" si="3"/>
        <v>0</v>
      </c>
      <c r="I32" s="2905">
        <f t="shared" si="4"/>
        <v>2280</v>
      </c>
      <c r="J32" s="1096">
        <v>1394</v>
      </c>
      <c r="K32" s="2479">
        <f t="shared" si="12"/>
        <v>57098.239999999998</v>
      </c>
      <c r="L32" s="398">
        <f t="shared" si="5"/>
        <v>720</v>
      </c>
      <c r="M32" s="1095">
        <f t="shared" si="6"/>
        <v>4394</v>
      </c>
      <c r="N32" s="2906">
        <f t="shared" si="7"/>
        <v>1.3829749277535661E-4</v>
      </c>
      <c r="O32" s="2907">
        <f t="shared" si="13"/>
        <v>2.3998062558016245E-5</v>
      </c>
      <c r="P32" s="2908">
        <f t="shared" si="14"/>
        <v>12000</v>
      </c>
      <c r="Q32" s="1095">
        <f t="shared" si="15"/>
        <v>3276</v>
      </c>
      <c r="R32" s="2909">
        <f t="shared" si="16"/>
        <v>15276</v>
      </c>
      <c r="S32" s="398">
        <f t="shared" si="17"/>
        <v>0</v>
      </c>
      <c r="T32" s="1095">
        <f t="shared" si="18"/>
        <v>0</v>
      </c>
      <c r="U32" s="398">
        <f t="shared" si="19"/>
        <v>0</v>
      </c>
      <c r="V32" s="2913">
        <v>0</v>
      </c>
      <c r="W32" s="1095">
        <f t="shared" si="8"/>
        <v>7416.0800000000008</v>
      </c>
      <c r="X32" s="1095">
        <f t="shared" si="9"/>
        <v>720</v>
      </c>
      <c r="Y32" s="2909">
        <f t="shared" si="20"/>
        <v>8136.0800000000008</v>
      </c>
      <c r="Z32" s="2913">
        <v>0</v>
      </c>
      <c r="AA32" s="1095">
        <f t="shared" si="10"/>
        <v>4000.78</v>
      </c>
      <c r="AB32" s="1095">
        <f t="shared" si="11"/>
        <v>0</v>
      </c>
      <c r="AC32" s="2909">
        <f t="shared" si="21"/>
        <v>4000.78</v>
      </c>
    </row>
    <row r="33" spans="1:29">
      <c r="A33" s="2899" t="s">
        <v>4109</v>
      </c>
      <c r="B33" s="2900" t="s">
        <v>4110</v>
      </c>
      <c r="C33" s="2901">
        <v>875</v>
      </c>
      <c r="D33" s="2902">
        <f t="shared" si="0"/>
        <v>2.5003000360043206E-3</v>
      </c>
      <c r="E33" s="2903">
        <v>78750</v>
      </c>
      <c r="F33" s="2904">
        <f t="shared" si="1"/>
        <v>2.7528823027281918E-3</v>
      </c>
      <c r="G33" s="2903">
        <f t="shared" si="2"/>
        <v>78750</v>
      </c>
      <c r="H33" s="2903">
        <f t="shared" si="3"/>
        <v>0</v>
      </c>
      <c r="I33" s="2905">
        <f t="shared" si="4"/>
        <v>49875</v>
      </c>
      <c r="J33" s="1096">
        <v>15260</v>
      </c>
      <c r="K33" s="2479">
        <f t="shared" si="12"/>
        <v>625049.59999999998</v>
      </c>
      <c r="L33" s="398">
        <f t="shared" si="5"/>
        <v>15750</v>
      </c>
      <c r="M33" s="1095">
        <f t="shared" si="6"/>
        <v>80885</v>
      </c>
      <c r="N33" s="2906">
        <f t="shared" si="7"/>
        <v>2.5457880526023485E-3</v>
      </c>
      <c r="O33" s="2907">
        <f t="shared" si="13"/>
        <v>4.5488016598027852E-5</v>
      </c>
      <c r="P33" s="2908">
        <f t="shared" si="14"/>
        <v>262500</v>
      </c>
      <c r="Q33" s="1095">
        <f t="shared" si="15"/>
        <v>71662.5</v>
      </c>
      <c r="R33" s="2909">
        <f t="shared" si="16"/>
        <v>334162.5</v>
      </c>
      <c r="S33" s="398">
        <f t="shared" si="17"/>
        <v>0</v>
      </c>
      <c r="T33" s="1095">
        <f t="shared" si="18"/>
        <v>0</v>
      </c>
      <c r="U33" s="398">
        <f t="shared" si="19"/>
        <v>0</v>
      </c>
      <c r="V33" s="2913">
        <v>0</v>
      </c>
      <c r="W33" s="1095">
        <f t="shared" si="8"/>
        <v>81183.199999999997</v>
      </c>
      <c r="X33" s="1095">
        <f t="shared" si="9"/>
        <v>15750</v>
      </c>
      <c r="Y33" s="2909">
        <f t="shared" si="20"/>
        <v>96933.2</v>
      </c>
      <c r="Z33" s="2913">
        <v>0</v>
      </c>
      <c r="AA33" s="1095">
        <f t="shared" si="10"/>
        <v>43796.200000000004</v>
      </c>
      <c r="AB33" s="1095">
        <f t="shared" si="11"/>
        <v>0</v>
      </c>
      <c r="AC33" s="2909">
        <f t="shared" si="21"/>
        <v>43796.200000000004</v>
      </c>
    </row>
    <row r="34" spans="1:29">
      <c r="A34" s="2899" t="s">
        <v>4111</v>
      </c>
      <c r="B34" s="2900" t="s">
        <v>4073</v>
      </c>
      <c r="C34" s="2901">
        <v>170</v>
      </c>
      <c r="D34" s="2902">
        <f t="shared" si="0"/>
        <v>4.8577257842369656E-4</v>
      </c>
      <c r="E34" s="2903">
        <v>15300</v>
      </c>
      <c r="F34" s="2904">
        <f t="shared" si="1"/>
        <v>5.3484570453004871E-4</v>
      </c>
      <c r="G34" s="2903">
        <f t="shared" si="2"/>
        <v>15300</v>
      </c>
      <c r="H34" s="2903">
        <f t="shared" si="3"/>
        <v>0</v>
      </c>
      <c r="I34" s="2905">
        <f t="shared" si="4"/>
        <v>9690</v>
      </c>
      <c r="J34" s="1096">
        <v>2964</v>
      </c>
      <c r="K34" s="2479">
        <f t="shared" si="12"/>
        <v>121405.44</v>
      </c>
      <c r="L34" s="398">
        <f t="shared" si="5"/>
        <v>3060</v>
      </c>
      <c r="M34" s="1095">
        <f t="shared" si="6"/>
        <v>15714</v>
      </c>
      <c r="N34" s="2906">
        <f t="shared" si="7"/>
        <v>4.9458507088574277E-4</v>
      </c>
      <c r="O34" s="2907">
        <f t="shared" si="13"/>
        <v>8.8124924620462089E-6</v>
      </c>
      <c r="P34" s="2908">
        <f t="shared" si="14"/>
        <v>51000</v>
      </c>
      <c r="Q34" s="1095">
        <f t="shared" si="15"/>
        <v>13923</v>
      </c>
      <c r="R34" s="2909">
        <f t="shared" si="16"/>
        <v>64923</v>
      </c>
      <c r="S34" s="398">
        <f t="shared" si="17"/>
        <v>0</v>
      </c>
      <c r="T34" s="1095">
        <f t="shared" si="18"/>
        <v>0</v>
      </c>
      <c r="U34" s="398">
        <f t="shared" si="19"/>
        <v>0</v>
      </c>
      <c r="V34" s="2913">
        <v>0</v>
      </c>
      <c r="W34" s="1095">
        <f t="shared" si="8"/>
        <v>15768.480000000001</v>
      </c>
      <c r="X34" s="1095">
        <f t="shared" si="9"/>
        <v>3060</v>
      </c>
      <c r="Y34" s="2909">
        <f t="shared" si="20"/>
        <v>18828.480000000003</v>
      </c>
      <c r="Z34" s="2913">
        <v>0</v>
      </c>
      <c r="AA34" s="1095">
        <f t="shared" si="10"/>
        <v>8506.68</v>
      </c>
      <c r="AB34" s="1095">
        <f t="shared" si="11"/>
        <v>0</v>
      </c>
      <c r="AC34" s="2909">
        <f t="shared" si="21"/>
        <v>8506.68</v>
      </c>
    </row>
    <row r="35" spans="1:29">
      <c r="A35" s="2899" t="s">
        <v>4112</v>
      </c>
      <c r="B35" s="2900" t="s">
        <v>4079</v>
      </c>
      <c r="C35" s="2901">
        <v>475</v>
      </c>
      <c r="D35" s="2902">
        <f t="shared" si="0"/>
        <v>1.3573057338309169E-3</v>
      </c>
      <c r="E35" s="2903">
        <v>42750</v>
      </c>
      <c r="F35" s="2904">
        <f t="shared" si="1"/>
        <v>1.4944218214810185E-3</v>
      </c>
      <c r="G35" s="2903">
        <f t="shared" si="2"/>
        <v>42750</v>
      </c>
      <c r="H35" s="2903">
        <f t="shared" si="3"/>
        <v>0</v>
      </c>
      <c r="I35" s="2905">
        <f t="shared" si="4"/>
        <v>27075</v>
      </c>
      <c r="J35" s="1096">
        <v>8284</v>
      </c>
      <c r="K35" s="2479">
        <f t="shared" si="12"/>
        <v>339312.64000000001</v>
      </c>
      <c r="L35" s="398">
        <f t="shared" si="5"/>
        <v>8550</v>
      </c>
      <c r="M35" s="1095">
        <f t="shared" si="6"/>
        <v>43909</v>
      </c>
      <c r="N35" s="2906">
        <f t="shared" si="7"/>
        <v>1.3819992285555606E-3</v>
      </c>
      <c r="O35" s="2907">
        <f t="shared" si="13"/>
        <v>2.4693494724643741E-5</v>
      </c>
      <c r="P35" s="2908">
        <f t="shared" si="14"/>
        <v>142500</v>
      </c>
      <c r="Q35" s="1095">
        <f t="shared" si="15"/>
        <v>38902.5</v>
      </c>
      <c r="R35" s="2909">
        <f t="shared" si="16"/>
        <v>181402.5</v>
      </c>
      <c r="S35" s="398">
        <f t="shared" si="17"/>
        <v>0</v>
      </c>
      <c r="T35" s="1095">
        <f t="shared" si="18"/>
        <v>0</v>
      </c>
      <c r="U35" s="398">
        <f t="shared" si="19"/>
        <v>0</v>
      </c>
      <c r="V35" s="2913">
        <v>0</v>
      </c>
      <c r="W35" s="1095">
        <f t="shared" si="8"/>
        <v>44070.880000000005</v>
      </c>
      <c r="X35" s="1095">
        <f t="shared" si="9"/>
        <v>8550</v>
      </c>
      <c r="Y35" s="2909">
        <f t="shared" si="20"/>
        <v>52620.880000000005</v>
      </c>
      <c r="Z35" s="2913">
        <v>0</v>
      </c>
      <c r="AA35" s="1095">
        <f t="shared" si="10"/>
        <v>23775.08</v>
      </c>
      <c r="AB35" s="1095">
        <f t="shared" si="11"/>
        <v>0</v>
      </c>
      <c r="AC35" s="2909">
        <f t="shared" si="21"/>
        <v>23775.08</v>
      </c>
    </row>
    <row r="36" spans="1:29">
      <c r="A36" s="2899" t="s">
        <v>4113</v>
      </c>
      <c r="B36" s="2900" t="s">
        <v>4097</v>
      </c>
      <c r="C36" s="2901">
        <v>2130</v>
      </c>
      <c r="D36" s="2902">
        <f t="shared" si="0"/>
        <v>6.0864446590733748E-3</v>
      </c>
      <c r="E36" s="2903">
        <v>0</v>
      </c>
      <c r="F36" s="2904">
        <f t="shared" si="1"/>
        <v>0</v>
      </c>
      <c r="G36" s="2903">
        <f t="shared" si="2"/>
        <v>191700</v>
      </c>
      <c r="H36" s="2903">
        <f t="shared" si="3"/>
        <v>-191700</v>
      </c>
      <c r="I36" s="2905">
        <f t="shared" si="4"/>
        <v>121410</v>
      </c>
      <c r="J36" s="1096">
        <v>37148</v>
      </c>
      <c r="K36" s="2479">
        <f t="shared" si="12"/>
        <v>1521582.0800000001</v>
      </c>
      <c r="L36" s="398">
        <f t="shared" si="5"/>
        <v>0</v>
      </c>
      <c r="M36" s="1095">
        <f t="shared" si="6"/>
        <v>158558</v>
      </c>
      <c r="N36" s="2906">
        <f t="shared" si="7"/>
        <v>4.9904810786242587E-3</v>
      </c>
      <c r="O36" s="2907">
        <f t="shared" si="13"/>
        <v>-1.095963580449116E-3</v>
      </c>
      <c r="P36" s="2908">
        <f t="shared" si="14"/>
        <v>639000</v>
      </c>
      <c r="Q36" s="1095">
        <f t="shared" si="15"/>
        <v>0</v>
      </c>
      <c r="R36" s="2909">
        <f t="shared" si="16"/>
        <v>639000</v>
      </c>
      <c r="S36" s="398">
        <f t="shared" si="17"/>
        <v>0</v>
      </c>
      <c r="T36" s="1095">
        <f t="shared" si="18"/>
        <v>0</v>
      </c>
      <c r="U36" s="398">
        <f t="shared" si="19"/>
        <v>0</v>
      </c>
      <c r="V36" s="2913">
        <v>0</v>
      </c>
      <c r="W36" s="1095">
        <f t="shared" si="8"/>
        <v>197627.36000000002</v>
      </c>
      <c r="X36" s="1095">
        <f t="shared" si="9"/>
        <v>0</v>
      </c>
      <c r="Y36" s="2909">
        <f t="shared" si="20"/>
        <v>197627.36000000002</v>
      </c>
      <c r="Z36" s="2913">
        <v>0</v>
      </c>
      <c r="AA36" s="1095">
        <f t="shared" si="10"/>
        <v>106614.76000000001</v>
      </c>
      <c r="AB36" s="1095">
        <f t="shared" si="11"/>
        <v>0</v>
      </c>
      <c r="AC36" s="2909">
        <f t="shared" si="21"/>
        <v>106614.76000000001</v>
      </c>
    </row>
    <row r="37" spans="1:29">
      <c r="A37" s="2899" t="s">
        <v>4114</v>
      </c>
      <c r="B37" s="2900" t="s">
        <v>4115</v>
      </c>
      <c r="C37" s="2901">
        <v>190</v>
      </c>
      <c r="D37" s="2902">
        <f t="shared" si="0"/>
        <v>5.4292229353236675E-4</v>
      </c>
      <c r="E37" s="2903">
        <v>17100</v>
      </c>
      <c r="F37" s="2904">
        <f t="shared" si="1"/>
        <v>5.9776872859240737E-4</v>
      </c>
      <c r="G37" s="2903">
        <f t="shared" si="2"/>
        <v>17100</v>
      </c>
      <c r="H37" s="2903">
        <f t="shared" si="3"/>
        <v>0</v>
      </c>
      <c r="I37" s="2905">
        <f t="shared" si="4"/>
        <v>10830</v>
      </c>
      <c r="J37" s="1096">
        <v>4882</v>
      </c>
      <c r="K37" s="2479">
        <f t="shared" si="12"/>
        <v>199966.72</v>
      </c>
      <c r="L37" s="398">
        <f t="shared" si="5"/>
        <v>3420</v>
      </c>
      <c r="M37" s="1095">
        <f t="shared" si="6"/>
        <v>19132</v>
      </c>
      <c r="N37" s="2906">
        <f t="shared" si="7"/>
        <v>6.0216377600776571E-4</v>
      </c>
      <c r="O37" s="2907">
        <f t="shared" si="13"/>
        <v>5.9241482475398959E-5</v>
      </c>
      <c r="P37" s="2908">
        <f t="shared" si="14"/>
        <v>57000</v>
      </c>
      <c r="Q37" s="1095">
        <f t="shared" si="15"/>
        <v>15561</v>
      </c>
      <c r="R37" s="2909">
        <f t="shared" si="16"/>
        <v>72561</v>
      </c>
      <c r="S37" s="398">
        <f t="shared" si="17"/>
        <v>0</v>
      </c>
      <c r="T37" s="1095">
        <f t="shared" si="18"/>
        <v>0</v>
      </c>
      <c r="U37" s="398">
        <f t="shared" si="19"/>
        <v>0</v>
      </c>
      <c r="V37" s="2913">
        <v>0</v>
      </c>
      <c r="W37" s="1095">
        <f t="shared" si="8"/>
        <v>25972.240000000002</v>
      </c>
      <c r="X37" s="1095">
        <f t="shared" si="9"/>
        <v>3420</v>
      </c>
      <c r="Y37" s="2909">
        <f t="shared" si="20"/>
        <v>29392.240000000002</v>
      </c>
      <c r="Z37" s="2913">
        <v>0</v>
      </c>
      <c r="AA37" s="1095">
        <f t="shared" si="10"/>
        <v>14011.34</v>
      </c>
      <c r="AB37" s="1095">
        <f t="shared" si="11"/>
        <v>0</v>
      </c>
      <c r="AC37" s="2909">
        <f t="shared" si="21"/>
        <v>14011.34</v>
      </c>
    </row>
    <row r="38" spans="1:29">
      <c r="A38" s="2899" t="s">
        <v>4116</v>
      </c>
      <c r="B38" s="2900" t="s">
        <v>4075</v>
      </c>
      <c r="C38" s="2901">
        <v>205</v>
      </c>
      <c r="D38" s="2902">
        <f t="shared" si="0"/>
        <v>5.8578457986386938E-4</v>
      </c>
      <c r="E38" s="2903">
        <v>18450</v>
      </c>
      <c r="F38" s="2904">
        <f t="shared" si="1"/>
        <v>6.4496099663917644E-4</v>
      </c>
      <c r="G38" s="2903">
        <f t="shared" si="2"/>
        <v>18450</v>
      </c>
      <c r="H38" s="2903">
        <f t="shared" si="3"/>
        <v>0</v>
      </c>
      <c r="I38" s="2905">
        <f t="shared" si="4"/>
        <v>11685</v>
      </c>
      <c r="J38" s="1096">
        <v>3575</v>
      </c>
      <c r="K38" s="2479">
        <f t="shared" si="12"/>
        <v>146432</v>
      </c>
      <c r="L38" s="398">
        <f t="shared" si="5"/>
        <v>3690</v>
      </c>
      <c r="M38" s="1095">
        <f t="shared" si="6"/>
        <v>18950</v>
      </c>
      <c r="N38" s="2906">
        <f t="shared" si="7"/>
        <v>5.9643547749044321E-4</v>
      </c>
      <c r="O38" s="2907">
        <f t="shared" si="13"/>
        <v>1.0650897626573834E-5</v>
      </c>
      <c r="P38" s="2908">
        <f t="shared" si="14"/>
        <v>61500</v>
      </c>
      <c r="Q38" s="1095">
        <f t="shared" si="15"/>
        <v>16789.5</v>
      </c>
      <c r="R38" s="2909">
        <f t="shared" si="16"/>
        <v>78289.5</v>
      </c>
      <c r="S38" s="398">
        <f t="shared" si="17"/>
        <v>0</v>
      </c>
      <c r="T38" s="1095">
        <f t="shared" si="18"/>
        <v>0</v>
      </c>
      <c r="U38" s="398">
        <f t="shared" si="19"/>
        <v>0</v>
      </c>
      <c r="V38" s="2913">
        <v>0</v>
      </c>
      <c r="W38" s="1095">
        <f t="shared" si="8"/>
        <v>19019</v>
      </c>
      <c r="X38" s="1095">
        <f t="shared" si="9"/>
        <v>3690</v>
      </c>
      <c r="Y38" s="2909">
        <f t="shared" si="20"/>
        <v>22709</v>
      </c>
      <c r="Z38" s="2913">
        <v>0</v>
      </c>
      <c r="AA38" s="1095">
        <f t="shared" si="10"/>
        <v>10260.25</v>
      </c>
      <c r="AB38" s="1095">
        <f t="shared" si="11"/>
        <v>0</v>
      </c>
      <c r="AC38" s="2909">
        <f t="shared" si="21"/>
        <v>10260.25</v>
      </c>
    </row>
    <row r="39" spans="1:29">
      <c r="A39" s="2899" t="s">
        <v>4117</v>
      </c>
      <c r="B39" s="2900" t="s">
        <v>4104</v>
      </c>
      <c r="C39" s="2901">
        <v>225</v>
      </c>
      <c r="D39" s="2902">
        <f t="shared" si="0"/>
        <v>6.4293429497253951E-4</v>
      </c>
      <c r="E39" s="2903">
        <v>20250</v>
      </c>
      <c r="F39" s="2904">
        <f t="shared" si="1"/>
        <v>7.0788402070153509E-4</v>
      </c>
      <c r="G39" s="2903">
        <f t="shared" si="2"/>
        <v>20250</v>
      </c>
      <c r="H39" s="2903">
        <f t="shared" si="3"/>
        <v>0</v>
      </c>
      <c r="I39" s="2905">
        <f t="shared" si="4"/>
        <v>12825</v>
      </c>
      <c r="J39" s="1096">
        <v>3924</v>
      </c>
      <c r="K39" s="2479">
        <f t="shared" si="12"/>
        <v>160727.04000000001</v>
      </c>
      <c r="L39" s="398">
        <f t="shared" si="5"/>
        <v>4050</v>
      </c>
      <c r="M39" s="1095">
        <f t="shared" si="6"/>
        <v>20799</v>
      </c>
      <c r="N39" s="2906">
        <f t="shared" si="7"/>
        <v>6.5463121352631818E-4</v>
      </c>
      <c r="O39" s="2907">
        <f t="shared" si="13"/>
        <v>1.1696918553778671E-5</v>
      </c>
      <c r="P39" s="2908">
        <f t="shared" si="14"/>
        <v>67500</v>
      </c>
      <c r="Q39" s="1095">
        <f t="shared" si="15"/>
        <v>18427.5</v>
      </c>
      <c r="R39" s="2909">
        <f t="shared" si="16"/>
        <v>85927.5</v>
      </c>
      <c r="S39" s="398">
        <f t="shared" si="17"/>
        <v>0</v>
      </c>
      <c r="T39" s="1095">
        <f t="shared" si="18"/>
        <v>0</v>
      </c>
      <c r="U39" s="398">
        <f t="shared" si="19"/>
        <v>0</v>
      </c>
      <c r="V39" s="2913">
        <v>0</v>
      </c>
      <c r="W39" s="1095">
        <f t="shared" si="8"/>
        <v>20875.68</v>
      </c>
      <c r="X39" s="1095">
        <f t="shared" si="9"/>
        <v>4050</v>
      </c>
      <c r="Y39" s="2909">
        <f t="shared" si="20"/>
        <v>24925.68</v>
      </c>
      <c r="Z39" s="2913">
        <v>0</v>
      </c>
      <c r="AA39" s="1095">
        <f t="shared" si="10"/>
        <v>11261.880000000001</v>
      </c>
      <c r="AB39" s="1095">
        <f t="shared" si="11"/>
        <v>0</v>
      </c>
      <c r="AC39" s="2909">
        <f t="shared" si="21"/>
        <v>11261.880000000001</v>
      </c>
    </row>
    <row r="40" spans="1:29">
      <c r="A40" s="2899" t="s">
        <v>4118</v>
      </c>
      <c r="B40" s="2900" t="s">
        <v>4075</v>
      </c>
      <c r="C40" s="2901">
        <v>450</v>
      </c>
      <c r="D40" s="2902">
        <f t="shared" si="0"/>
        <v>1.285868589945079E-3</v>
      </c>
      <c r="E40" s="2903">
        <v>40500</v>
      </c>
      <c r="F40" s="2904">
        <f t="shared" si="1"/>
        <v>1.4157680414030702E-3</v>
      </c>
      <c r="G40" s="2903">
        <f t="shared" si="2"/>
        <v>40500</v>
      </c>
      <c r="H40" s="2903">
        <f t="shared" si="3"/>
        <v>0</v>
      </c>
      <c r="I40" s="2905">
        <f t="shared" si="4"/>
        <v>25650</v>
      </c>
      <c r="J40" s="1096">
        <v>7848</v>
      </c>
      <c r="K40" s="2479">
        <f t="shared" si="12"/>
        <v>321454.08000000002</v>
      </c>
      <c r="L40" s="398">
        <f t="shared" si="5"/>
        <v>8100</v>
      </c>
      <c r="M40" s="1095">
        <f t="shared" si="6"/>
        <v>41598</v>
      </c>
      <c r="N40" s="2906">
        <f t="shared" si="7"/>
        <v>1.3092624270526364E-3</v>
      </c>
      <c r="O40" s="2907">
        <f t="shared" si="13"/>
        <v>2.3393837107557342E-5</v>
      </c>
      <c r="P40" s="2908">
        <f t="shared" si="14"/>
        <v>135000</v>
      </c>
      <c r="Q40" s="1095">
        <f t="shared" si="15"/>
        <v>36855</v>
      </c>
      <c r="R40" s="2909">
        <f t="shared" si="16"/>
        <v>171855</v>
      </c>
      <c r="S40" s="398">
        <f t="shared" si="17"/>
        <v>0</v>
      </c>
      <c r="T40" s="1095">
        <f t="shared" si="18"/>
        <v>0</v>
      </c>
      <c r="U40" s="398">
        <f t="shared" si="19"/>
        <v>0</v>
      </c>
      <c r="V40" s="2913">
        <v>0</v>
      </c>
      <c r="W40" s="1095">
        <f t="shared" si="8"/>
        <v>41751.360000000001</v>
      </c>
      <c r="X40" s="1095">
        <f t="shared" si="9"/>
        <v>8100</v>
      </c>
      <c r="Y40" s="2909">
        <f t="shared" si="20"/>
        <v>49851.360000000001</v>
      </c>
      <c r="Z40" s="2913">
        <v>0</v>
      </c>
      <c r="AA40" s="1095">
        <f t="shared" si="10"/>
        <v>22523.760000000002</v>
      </c>
      <c r="AB40" s="1095">
        <f t="shared" si="11"/>
        <v>0</v>
      </c>
      <c r="AC40" s="2909">
        <f t="shared" si="21"/>
        <v>22523.760000000002</v>
      </c>
    </row>
    <row r="41" spans="1:29">
      <c r="A41" s="2899" t="s">
        <v>4119</v>
      </c>
      <c r="B41" s="2900" t="s">
        <v>4073</v>
      </c>
      <c r="C41" s="2901">
        <v>135</v>
      </c>
      <c r="D41" s="2902">
        <f t="shared" si="0"/>
        <v>3.8576057698352375E-4</v>
      </c>
      <c r="E41" s="2903">
        <v>12150</v>
      </c>
      <c r="F41" s="2904">
        <f t="shared" si="1"/>
        <v>4.2473041242092104E-4</v>
      </c>
      <c r="G41" s="2903">
        <f t="shared" si="2"/>
        <v>12150</v>
      </c>
      <c r="H41" s="2903">
        <f t="shared" si="3"/>
        <v>0</v>
      </c>
      <c r="I41" s="2905">
        <f t="shared" si="4"/>
        <v>7695</v>
      </c>
      <c r="J41" s="1096">
        <v>4708</v>
      </c>
      <c r="K41" s="2479">
        <f t="shared" si="12"/>
        <v>192839.67999999999</v>
      </c>
      <c r="L41" s="398">
        <f t="shared" si="5"/>
        <v>2430</v>
      </c>
      <c r="M41" s="1095">
        <f t="shared" si="6"/>
        <v>14833</v>
      </c>
      <c r="N41" s="2906">
        <f t="shared" si="7"/>
        <v>4.6685632916178071E-4</v>
      </c>
      <c r="O41" s="2907">
        <f t="shared" si="13"/>
        <v>8.1095752178256958E-5</v>
      </c>
      <c r="P41" s="2908">
        <f t="shared" si="14"/>
        <v>40500</v>
      </c>
      <c r="Q41" s="1095">
        <f t="shared" si="15"/>
        <v>11056.5</v>
      </c>
      <c r="R41" s="2909">
        <f t="shared" si="16"/>
        <v>51556.5</v>
      </c>
      <c r="S41" s="398">
        <f t="shared" si="17"/>
        <v>0</v>
      </c>
      <c r="T41" s="1095">
        <f t="shared" si="18"/>
        <v>0</v>
      </c>
      <c r="U41" s="398">
        <f t="shared" si="19"/>
        <v>0</v>
      </c>
      <c r="V41" s="2913">
        <v>0</v>
      </c>
      <c r="W41" s="1095">
        <f t="shared" si="8"/>
        <v>25046.560000000001</v>
      </c>
      <c r="X41" s="1095">
        <f t="shared" si="9"/>
        <v>2430</v>
      </c>
      <c r="Y41" s="2909">
        <f t="shared" si="20"/>
        <v>27476.560000000001</v>
      </c>
      <c r="Z41" s="2913">
        <v>0</v>
      </c>
      <c r="AA41" s="1095">
        <f t="shared" si="10"/>
        <v>13511.960000000001</v>
      </c>
      <c r="AB41" s="1095">
        <f t="shared" si="11"/>
        <v>0</v>
      </c>
      <c r="AC41" s="2909">
        <f t="shared" si="21"/>
        <v>13511.960000000001</v>
      </c>
    </row>
    <row r="42" spans="1:29">
      <c r="A42" s="2899" t="s">
        <v>4120</v>
      </c>
      <c r="B42" s="2900" t="s">
        <v>4079</v>
      </c>
      <c r="C42" s="2901">
        <v>190</v>
      </c>
      <c r="D42" s="2902">
        <f t="shared" si="0"/>
        <v>5.4292229353236675E-4</v>
      </c>
      <c r="E42" s="2903">
        <v>17100</v>
      </c>
      <c r="F42" s="2904">
        <f t="shared" si="1"/>
        <v>5.9776872859240737E-4</v>
      </c>
      <c r="G42" s="2903">
        <f t="shared" si="2"/>
        <v>17100</v>
      </c>
      <c r="H42" s="2903">
        <f t="shared" si="3"/>
        <v>0</v>
      </c>
      <c r="I42" s="2905">
        <f t="shared" si="4"/>
        <v>10830</v>
      </c>
      <c r="J42" s="1096">
        <v>3313</v>
      </c>
      <c r="K42" s="2479">
        <f t="shared" si="12"/>
        <v>135700.48000000001</v>
      </c>
      <c r="L42" s="398">
        <f t="shared" si="5"/>
        <v>3420</v>
      </c>
      <c r="M42" s="1095">
        <f t="shared" si="6"/>
        <v>17563</v>
      </c>
      <c r="N42" s="2906">
        <f t="shared" si="7"/>
        <v>5.5278080692161764E-4</v>
      </c>
      <c r="O42" s="2907">
        <f t="shared" si="13"/>
        <v>9.8585133892508834E-6</v>
      </c>
      <c r="P42" s="2908">
        <f t="shared" si="14"/>
        <v>57000</v>
      </c>
      <c r="Q42" s="1095">
        <f t="shared" si="15"/>
        <v>15561</v>
      </c>
      <c r="R42" s="2909">
        <f t="shared" si="16"/>
        <v>72561</v>
      </c>
      <c r="S42" s="398">
        <f t="shared" si="17"/>
        <v>0</v>
      </c>
      <c r="T42" s="1095">
        <f t="shared" si="18"/>
        <v>0</v>
      </c>
      <c r="U42" s="398">
        <f t="shared" si="19"/>
        <v>0</v>
      </c>
      <c r="V42" s="2913">
        <v>0</v>
      </c>
      <c r="W42" s="1095">
        <f t="shared" si="8"/>
        <v>17625.16</v>
      </c>
      <c r="X42" s="1095">
        <f t="shared" si="9"/>
        <v>3420</v>
      </c>
      <c r="Y42" s="2909">
        <f t="shared" si="20"/>
        <v>21045.16</v>
      </c>
      <c r="Z42" s="2913">
        <v>0</v>
      </c>
      <c r="AA42" s="1095">
        <f t="shared" si="10"/>
        <v>9508.31</v>
      </c>
      <c r="AB42" s="1095">
        <f t="shared" si="11"/>
        <v>0</v>
      </c>
      <c r="AC42" s="2909">
        <f t="shared" si="21"/>
        <v>9508.31</v>
      </c>
    </row>
    <row r="43" spans="1:29">
      <c r="A43" s="2899" t="s">
        <v>4121</v>
      </c>
      <c r="B43" s="2900" t="s">
        <v>4104</v>
      </c>
      <c r="C43" s="2901">
        <v>355</v>
      </c>
      <c r="D43" s="2902">
        <f t="shared" si="0"/>
        <v>1.0144074431788956E-3</v>
      </c>
      <c r="E43" s="2903">
        <v>31950</v>
      </c>
      <c r="F43" s="2904">
        <f t="shared" si="1"/>
        <v>1.1168836771068664E-3</v>
      </c>
      <c r="G43" s="2903">
        <f t="shared" si="2"/>
        <v>31950</v>
      </c>
      <c r="H43" s="2903">
        <f t="shared" si="3"/>
        <v>0</v>
      </c>
      <c r="I43" s="2905">
        <f t="shared" si="4"/>
        <v>20235</v>
      </c>
      <c r="J43" s="1096">
        <v>6191</v>
      </c>
      <c r="K43" s="2479">
        <f t="shared" si="12"/>
        <v>253583.36000000002</v>
      </c>
      <c r="L43" s="398">
        <f t="shared" si="5"/>
        <v>6390</v>
      </c>
      <c r="M43" s="1095">
        <f t="shared" si="6"/>
        <v>32816</v>
      </c>
      <c r="N43" s="2906">
        <f t="shared" si="7"/>
        <v>1.0328562865079887E-3</v>
      </c>
      <c r="O43" s="2907">
        <f t="shared" si="13"/>
        <v>1.8448843329093093E-5</v>
      </c>
      <c r="P43" s="2908">
        <f t="shared" si="14"/>
        <v>106500</v>
      </c>
      <c r="Q43" s="1095">
        <f t="shared" si="15"/>
        <v>29074.5</v>
      </c>
      <c r="R43" s="2909">
        <f t="shared" si="16"/>
        <v>135574.5</v>
      </c>
      <c r="S43" s="398">
        <f t="shared" si="17"/>
        <v>0</v>
      </c>
      <c r="T43" s="1095">
        <f t="shared" si="18"/>
        <v>0</v>
      </c>
      <c r="U43" s="398">
        <f t="shared" si="19"/>
        <v>0</v>
      </c>
      <c r="V43" s="2913">
        <v>0</v>
      </c>
      <c r="W43" s="1095">
        <f t="shared" si="8"/>
        <v>32936.120000000003</v>
      </c>
      <c r="X43" s="1095">
        <f t="shared" si="9"/>
        <v>6390</v>
      </c>
      <c r="Y43" s="2909">
        <f t="shared" si="20"/>
        <v>39326.120000000003</v>
      </c>
      <c r="Z43" s="2913">
        <v>0</v>
      </c>
      <c r="AA43" s="1095">
        <f t="shared" si="10"/>
        <v>17768.170000000002</v>
      </c>
      <c r="AB43" s="1095">
        <f t="shared" si="11"/>
        <v>0</v>
      </c>
      <c r="AC43" s="2909">
        <f t="shared" si="21"/>
        <v>17768.170000000002</v>
      </c>
    </row>
    <row r="44" spans="1:29">
      <c r="A44" s="2899" t="s">
        <v>4122</v>
      </c>
      <c r="B44" s="2900" t="s">
        <v>4075</v>
      </c>
      <c r="C44" s="2901">
        <v>125</v>
      </c>
      <c r="D44" s="2902">
        <f t="shared" si="0"/>
        <v>3.5718571942918863E-4</v>
      </c>
      <c r="E44" s="2903">
        <v>11250</v>
      </c>
      <c r="F44" s="2904">
        <f t="shared" si="1"/>
        <v>3.9326890038974172E-4</v>
      </c>
      <c r="G44" s="2903">
        <f t="shared" si="2"/>
        <v>11250</v>
      </c>
      <c r="H44" s="2903">
        <f t="shared" si="3"/>
        <v>0</v>
      </c>
      <c r="I44" s="2905">
        <f t="shared" si="4"/>
        <v>7125</v>
      </c>
      <c r="J44" s="1096">
        <v>2180</v>
      </c>
      <c r="K44" s="2479">
        <f t="shared" si="12"/>
        <v>89292.800000000003</v>
      </c>
      <c r="L44" s="398">
        <f t="shared" si="5"/>
        <v>2250</v>
      </c>
      <c r="M44" s="1095">
        <f t="shared" si="6"/>
        <v>11555</v>
      </c>
      <c r="N44" s="2906">
        <f t="shared" si="7"/>
        <v>3.6368400751462122E-4</v>
      </c>
      <c r="O44" s="2907">
        <f t="shared" si="13"/>
        <v>6.498288085432589E-6</v>
      </c>
      <c r="P44" s="2908">
        <f t="shared" si="14"/>
        <v>37500</v>
      </c>
      <c r="Q44" s="1095">
        <f t="shared" si="15"/>
        <v>10237.5</v>
      </c>
      <c r="R44" s="2909">
        <f t="shared" si="16"/>
        <v>47737.5</v>
      </c>
      <c r="S44" s="398">
        <f t="shared" si="17"/>
        <v>0</v>
      </c>
      <c r="T44" s="1095">
        <f t="shared" si="18"/>
        <v>0</v>
      </c>
      <c r="U44" s="398">
        <f t="shared" si="19"/>
        <v>0</v>
      </c>
      <c r="V44" s="2913">
        <v>0</v>
      </c>
      <c r="W44" s="1095">
        <f t="shared" si="8"/>
        <v>11597.6</v>
      </c>
      <c r="X44" s="1095">
        <f t="shared" si="9"/>
        <v>2250</v>
      </c>
      <c r="Y44" s="2909">
        <f t="shared" si="20"/>
        <v>13847.6</v>
      </c>
      <c r="Z44" s="2913">
        <v>0</v>
      </c>
      <c r="AA44" s="1095">
        <f t="shared" si="10"/>
        <v>6256.6</v>
      </c>
      <c r="AB44" s="1095">
        <f t="shared" si="11"/>
        <v>0</v>
      </c>
      <c r="AC44" s="2909">
        <f t="shared" si="21"/>
        <v>6256.6</v>
      </c>
    </row>
    <row r="45" spans="1:29">
      <c r="A45" s="2899" t="s">
        <v>4123</v>
      </c>
      <c r="B45" s="2900" t="s">
        <v>4073</v>
      </c>
      <c r="C45" s="2901">
        <v>190</v>
      </c>
      <c r="D45" s="2902">
        <f t="shared" si="0"/>
        <v>5.4292229353236675E-4</v>
      </c>
      <c r="E45" s="2903">
        <v>17100</v>
      </c>
      <c r="F45" s="2904">
        <f t="shared" si="1"/>
        <v>5.9776872859240737E-4</v>
      </c>
      <c r="G45" s="2903">
        <f t="shared" si="2"/>
        <v>17100</v>
      </c>
      <c r="H45" s="2903">
        <f t="shared" si="3"/>
        <v>0</v>
      </c>
      <c r="I45" s="2905">
        <f t="shared" si="4"/>
        <v>10830</v>
      </c>
      <c r="J45" s="1096">
        <v>3313</v>
      </c>
      <c r="K45" s="2479">
        <f t="shared" si="12"/>
        <v>135700.48000000001</v>
      </c>
      <c r="L45" s="398">
        <f t="shared" si="5"/>
        <v>3420</v>
      </c>
      <c r="M45" s="1095">
        <f t="shared" si="6"/>
        <v>17563</v>
      </c>
      <c r="N45" s="2906">
        <f t="shared" si="7"/>
        <v>5.5278080692161764E-4</v>
      </c>
      <c r="O45" s="2907">
        <f t="shared" si="13"/>
        <v>9.8585133892508834E-6</v>
      </c>
      <c r="P45" s="2908">
        <f t="shared" si="14"/>
        <v>57000</v>
      </c>
      <c r="Q45" s="1095">
        <f t="shared" si="15"/>
        <v>15561</v>
      </c>
      <c r="R45" s="2909">
        <f t="shared" si="16"/>
        <v>72561</v>
      </c>
      <c r="S45" s="398">
        <f t="shared" si="17"/>
        <v>0</v>
      </c>
      <c r="T45" s="1095">
        <f t="shared" si="18"/>
        <v>0</v>
      </c>
      <c r="U45" s="398">
        <f t="shared" si="19"/>
        <v>0</v>
      </c>
      <c r="V45" s="2913">
        <v>0</v>
      </c>
      <c r="W45" s="1095">
        <f t="shared" si="8"/>
        <v>17625.16</v>
      </c>
      <c r="X45" s="1095">
        <f t="shared" si="9"/>
        <v>3420</v>
      </c>
      <c r="Y45" s="2909">
        <f t="shared" si="20"/>
        <v>21045.16</v>
      </c>
      <c r="Z45" s="2913">
        <v>0</v>
      </c>
      <c r="AA45" s="1095">
        <f t="shared" si="10"/>
        <v>9508.31</v>
      </c>
      <c r="AB45" s="1095">
        <f t="shared" si="11"/>
        <v>0</v>
      </c>
      <c r="AC45" s="2909">
        <f t="shared" si="21"/>
        <v>9508.31</v>
      </c>
    </row>
    <row r="46" spans="1:29">
      <c r="A46" s="2899" t="s">
        <v>4124</v>
      </c>
      <c r="B46" s="2900" t="s">
        <v>4125</v>
      </c>
      <c r="C46" s="2901">
        <v>335</v>
      </c>
      <c r="D46" s="2902">
        <f t="shared" si="0"/>
        <v>9.5725772807022562E-4</v>
      </c>
      <c r="E46" s="2903">
        <v>30150</v>
      </c>
      <c r="F46" s="2904">
        <f t="shared" si="1"/>
        <v>1.0539606530445078E-3</v>
      </c>
      <c r="G46" s="2903">
        <f t="shared" si="2"/>
        <v>30150</v>
      </c>
      <c r="H46" s="2903">
        <f t="shared" si="3"/>
        <v>0</v>
      </c>
      <c r="I46" s="2905">
        <f t="shared" si="4"/>
        <v>19095</v>
      </c>
      <c r="J46" s="1096">
        <v>0</v>
      </c>
      <c r="K46" s="2479">
        <f t="shared" si="12"/>
        <v>0</v>
      </c>
      <c r="L46" s="398">
        <f t="shared" si="5"/>
        <v>6030</v>
      </c>
      <c r="M46" s="1095">
        <f t="shared" si="6"/>
        <v>25125</v>
      </c>
      <c r="N46" s="2906">
        <f t="shared" si="7"/>
        <v>7.9078846289959827E-4</v>
      </c>
      <c r="O46" s="2907">
        <f t="shared" si="13"/>
        <v>-1.6646926517062735E-4</v>
      </c>
      <c r="P46" s="2908">
        <f t="shared" si="14"/>
        <v>100500</v>
      </c>
      <c r="Q46" s="1095">
        <f t="shared" si="15"/>
        <v>27436.5</v>
      </c>
      <c r="R46" s="2909">
        <f t="shared" si="16"/>
        <v>127936.5</v>
      </c>
      <c r="S46" s="398">
        <f t="shared" si="17"/>
        <v>0</v>
      </c>
      <c r="T46" s="1095">
        <f t="shared" si="18"/>
        <v>0</v>
      </c>
      <c r="U46" s="398">
        <f t="shared" si="19"/>
        <v>0</v>
      </c>
      <c r="V46" s="2913">
        <v>0</v>
      </c>
      <c r="W46" s="1095">
        <f t="shared" si="8"/>
        <v>0</v>
      </c>
      <c r="X46" s="1095">
        <f t="shared" si="9"/>
        <v>6030</v>
      </c>
      <c r="Y46" s="2909">
        <f t="shared" si="20"/>
        <v>6030</v>
      </c>
      <c r="Z46" s="2913">
        <v>0</v>
      </c>
      <c r="AA46" s="1095">
        <f t="shared" si="10"/>
        <v>0</v>
      </c>
      <c r="AB46" s="1095">
        <f t="shared" si="11"/>
        <v>0</v>
      </c>
      <c r="AC46" s="2909">
        <f t="shared" si="21"/>
        <v>0</v>
      </c>
    </row>
    <row r="47" spans="1:29">
      <c r="A47" s="2899" t="s">
        <v>4126</v>
      </c>
      <c r="B47" s="2900" t="s">
        <v>4075</v>
      </c>
      <c r="C47" s="2901">
        <v>550</v>
      </c>
      <c r="D47" s="2902">
        <f t="shared" si="0"/>
        <v>1.57161716548843E-3</v>
      </c>
      <c r="E47" s="2903">
        <v>49500</v>
      </c>
      <c r="F47" s="2904">
        <f t="shared" si="1"/>
        <v>1.7303831617148636E-3</v>
      </c>
      <c r="G47" s="2903">
        <f t="shared" si="2"/>
        <v>49500</v>
      </c>
      <c r="H47" s="2903">
        <f t="shared" si="3"/>
        <v>0</v>
      </c>
      <c r="I47" s="2905">
        <f t="shared" si="4"/>
        <v>31350</v>
      </c>
      <c r="J47" s="1096">
        <v>9592</v>
      </c>
      <c r="K47" s="2479">
        <f t="shared" si="12"/>
        <v>392888.32000000001</v>
      </c>
      <c r="L47" s="398">
        <f t="shared" si="5"/>
        <v>9900</v>
      </c>
      <c r="M47" s="1095">
        <f t="shared" si="6"/>
        <v>50842</v>
      </c>
      <c r="N47" s="2906">
        <f t="shared" si="7"/>
        <v>1.6002096330643334E-3</v>
      </c>
      <c r="O47" s="2907">
        <f t="shared" si="13"/>
        <v>2.859246757590337E-5</v>
      </c>
      <c r="P47" s="2908">
        <f t="shared" si="14"/>
        <v>165000</v>
      </c>
      <c r="Q47" s="1095">
        <f t="shared" si="15"/>
        <v>45045</v>
      </c>
      <c r="R47" s="2909">
        <f t="shared" si="16"/>
        <v>210045</v>
      </c>
      <c r="S47" s="398">
        <f t="shared" si="17"/>
        <v>0</v>
      </c>
      <c r="T47" s="1095">
        <f t="shared" si="18"/>
        <v>0</v>
      </c>
      <c r="U47" s="398">
        <f t="shared" si="19"/>
        <v>0</v>
      </c>
      <c r="V47" s="2913">
        <v>0</v>
      </c>
      <c r="W47" s="1095">
        <f t="shared" si="8"/>
        <v>51029.440000000002</v>
      </c>
      <c r="X47" s="1095">
        <f t="shared" si="9"/>
        <v>9900</v>
      </c>
      <c r="Y47" s="2909">
        <f t="shared" si="20"/>
        <v>60929.440000000002</v>
      </c>
      <c r="Z47" s="2913">
        <v>0</v>
      </c>
      <c r="AA47" s="1095">
        <f t="shared" si="10"/>
        <v>27529.040000000001</v>
      </c>
      <c r="AB47" s="1095">
        <f t="shared" si="11"/>
        <v>0</v>
      </c>
      <c r="AC47" s="2909">
        <f t="shared" si="21"/>
        <v>27529.040000000001</v>
      </c>
    </row>
    <row r="48" spans="1:29">
      <c r="A48" s="2899" t="s">
        <v>4127</v>
      </c>
      <c r="B48" s="2900" t="s">
        <v>4075</v>
      </c>
      <c r="C48" s="2901">
        <v>305</v>
      </c>
      <c r="D48" s="2902">
        <f t="shared" si="0"/>
        <v>8.7153315540722026E-4</v>
      </c>
      <c r="E48" s="2903">
        <v>27450</v>
      </c>
      <c r="F48" s="2904">
        <f t="shared" si="1"/>
        <v>9.5957611695096981E-4</v>
      </c>
      <c r="G48" s="2903">
        <f t="shared" si="2"/>
        <v>27450</v>
      </c>
      <c r="H48" s="2903">
        <f t="shared" si="3"/>
        <v>0</v>
      </c>
      <c r="I48" s="2905">
        <f t="shared" si="4"/>
        <v>17385</v>
      </c>
      <c r="J48" s="1096">
        <v>5319</v>
      </c>
      <c r="K48" s="2479">
        <f t="shared" si="12"/>
        <v>217866.23999999999</v>
      </c>
      <c r="L48" s="398">
        <f t="shared" si="5"/>
        <v>5490</v>
      </c>
      <c r="M48" s="1095">
        <f t="shared" si="6"/>
        <v>28194</v>
      </c>
      <c r="N48" s="2906">
        <f t="shared" si="7"/>
        <v>8.8738268350214023E-4</v>
      </c>
      <c r="O48" s="2907">
        <f t="shared" si="13"/>
        <v>1.584952809491997E-5</v>
      </c>
      <c r="P48" s="2908">
        <f t="shared" si="14"/>
        <v>91500</v>
      </c>
      <c r="Q48" s="1095">
        <f t="shared" si="15"/>
        <v>24979.5</v>
      </c>
      <c r="R48" s="2909">
        <f t="shared" si="16"/>
        <v>116479.5</v>
      </c>
      <c r="S48" s="398">
        <f t="shared" si="17"/>
        <v>0</v>
      </c>
      <c r="T48" s="1095">
        <f t="shared" si="18"/>
        <v>0</v>
      </c>
      <c r="U48" s="398">
        <f t="shared" si="19"/>
        <v>0</v>
      </c>
      <c r="V48" s="2913">
        <v>0</v>
      </c>
      <c r="W48" s="1095">
        <f t="shared" si="8"/>
        <v>28297.08</v>
      </c>
      <c r="X48" s="1095">
        <f t="shared" si="9"/>
        <v>5490</v>
      </c>
      <c r="Y48" s="2909">
        <f t="shared" si="20"/>
        <v>33787.08</v>
      </c>
      <c r="Z48" s="2913">
        <v>0</v>
      </c>
      <c r="AA48" s="1095">
        <f t="shared" si="10"/>
        <v>15265.53</v>
      </c>
      <c r="AB48" s="1095">
        <f t="shared" si="11"/>
        <v>0</v>
      </c>
      <c r="AC48" s="2909">
        <f t="shared" si="21"/>
        <v>15265.53</v>
      </c>
    </row>
    <row r="49" spans="1:29">
      <c r="A49" s="2899" t="s">
        <v>4128</v>
      </c>
      <c r="B49" s="2900" t="s">
        <v>4129</v>
      </c>
      <c r="C49" s="2901">
        <v>200</v>
      </c>
      <c r="D49" s="2902">
        <f t="shared" si="0"/>
        <v>5.7149715108670187E-4</v>
      </c>
      <c r="E49" s="2903">
        <v>18000</v>
      </c>
      <c r="F49" s="2904">
        <f t="shared" si="1"/>
        <v>6.2923024062358675E-4</v>
      </c>
      <c r="G49" s="2903">
        <f t="shared" si="2"/>
        <v>18000</v>
      </c>
      <c r="H49" s="2903">
        <f t="shared" si="3"/>
        <v>0</v>
      </c>
      <c r="I49" s="2905">
        <f t="shared" si="4"/>
        <v>11400</v>
      </c>
      <c r="J49" s="1096">
        <v>0</v>
      </c>
      <c r="K49" s="2479">
        <f t="shared" si="12"/>
        <v>0</v>
      </c>
      <c r="L49" s="398">
        <f t="shared" si="5"/>
        <v>3600</v>
      </c>
      <c r="M49" s="1095">
        <f t="shared" si="6"/>
        <v>15000</v>
      </c>
      <c r="N49" s="2906">
        <f t="shared" si="7"/>
        <v>4.7211251516393924E-4</v>
      </c>
      <c r="O49" s="2907">
        <f t="shared" si="13"/>
        <v>-9.9384635922762632E-5</v>
      </c>
      <c r="P49" s="2908">
        <f t="shared" si="14"/>
        <v>60000</v>
      </c>
      <c r="Q49" s="1095">
        <f t="shared" si="15"/>
        <v>16380</v>
      </c>
      <c r="R49" s="2909">
        <f t="shared" si="16"/>
        <v>76380</v>
      </c>
      <c r="S49" s="398">
        <f t="shared" si="17"/>
        <v>0</v>
      </c>
      <c r="T49" s="1095">
        <f t="shared" si="18"/>
        <v>0</v>
      </c>
      <c r="U49" s="398">
        <f t="shared" si="19"/>
        <v>0</v>
      </c>
      <c r="V49" s="2913">
        <v>0</v>
      </c>
      <c r="W49" s="1095">
        <f t="shared" si="8"/>
        <v>0</v>
      </c>
      <c r="X49" s="1095">
        <f t="shared" si="9"/>
        <v>3600</v>
      </c>
      <c r="Y49" s="2909">
        <f t="shared" si="20"/>
        <v>3600</v>
      </c>
      <c r="Z49" s="2913">
        <v>0</v>
      </c>
      <c r="AA49" s="1095">
        <f t="shared" si="10"/>
        <v>0</v>
      </c>
      <c r="AB49" s="1095">
        <f t="shared" si="11"/>
        <v>0</v>
      </c>
      <c r="AC49" s="2909">
        <f t="shared" si="21"/>
        <v>0</v>
      </c>
    </row>
    <row r="50" spans="1:29">
      <c r="A50" s="2899" t="s">
        <v>4130</v>
      </c>
      <c r="B50" s="2900" t="s">
        <v>4115</v>
      </c>
      <c r="C50" s="2901">
        <v>255</v>
      </c>
      <c r="D50" s="2902">
        <f t="shared" si="0"/>
        <v>7.2865886763554487E-4</v>
      </c>
      <c r="E50" s="2903">
        <v>22950</v>
      </c>
      <c r="F50" s="2904">
        <f t="shared" si="1"/>
        <v>8.0226855679507313E-4</v>
      </c>
      <c r="G50" s="2903">
        <f t="shared" si="2"/>
        <v>22950</v>
      </c>
      <c r="H50" s="2903">
        <f t="shared" si="3"/>
        <v>0</v>
      </c>
      <c r="I50" s="2905">
        <f t="shared" si="4"/>
        <v>14535</v>
      </c>
      <c r="J50" s="1096">
        <v>4447</v>
      </c>
      <c r="K50" s="2479">
        <f t="shared" si="12"/>
        <v>182149.12</v>
      </c>
      <c r="L50" s="398">
        <f t="shared" si="5"/>
        <v>4590</v>
      </c>
      <c r="M50" s="1095">
        <f t="shared" si="6"/>
        <v>23572</v>
      </c>
      <c r="N50" s="2906">
        <f t="shared" si="7"/>
        <v>7.4190908049629172E-4</v>
      </c>
      <c r="O50" s="2907">
        <f t="shared" si="13"/>
        <v>1.3250212860746848E-5</v>
      </c>
      <c r="P50" s="2908">
        <f t="shared" si="14"/>
        <v>76500</v>
      </c>
      <c r="Q50" s="1095">
        <f t="shared" si="15"/>
        <v>20884.5</v>
      </c>
      <c r="R50" s="2909">
        <f t="shared" si="16"/>
        <v>97384.5</v>
      </c>
      <c r="S50" s="398">
        <f t="shared" si="17"/>
        <v>0</v>
      </c>
      <c r="T50" s="1095">
        <f t="shared" si="18"/>
        <v>0</v>
      </c>
      <c r="U50" s="398">
        <f t="shared" si="19"/>
        <v>0</v>
      </c>
      <c r="V50" s="2913">
        <v>0</v>
      </c>
      <c r="W50" s="1095">
        <f t="shared" si="8"/>
        <v>23658.04</v>
      </c>
      <c r="X50" s="1095">
        <f t="shared" si="9"/>
        <v>4590</v>
      </c>
      <c r="Y50" s="2909">
        <f t="shared" si="20"/>
        <v>28248.04</v>
      </c>
      <c r="Z50" s="2913">
        <v>0</v>
      </c>
      <c r="AA50" s="1095">
        <f t="shared" si="10"/>
        <v>12762.890000000001</v>
      </c>
      <c r="AB50" s="1095">
        <f t="shared" si="11"/>
        <v>0</v>
      </c>
      <c r="AC50" s="2909">
        <f t="shared" si="21"/>
        <v>12762.890000000001</v>
      </c>
    </row>
    <row r="51" spans="1:29">
      <c r="A51" s="2899" t="s">
        <v>3391</v>
      </c>
      <c r="B51" s="2900" t="s">
        <v>4097</v>
      </c>
      <c r="C51" s="2901">
        <v>3176</v>
      </c>
      <c r="D51" s="2902">
        <f t="shared" si="0"/>
        <v>9.0753747592568247E-3</v>
      </c>
      <c r="E51" s="2903">
        <v>253375</v>
      </c>
      <c r="F51" s="2904">
        <f t="shared" si="1"/>
        <v>8.8572895676667391E-3</v>
      </c>
      <c r="G51" s="2903">
        <f t="shared" si="2"/>
        <v>285840</v>
      </c>
      <c r="H51" s="2903">
        <f t="shared" si="3"/>
        <v>-32465</v>
      </c>
      <c r="I51" s="2905">
        <f t="shared" si="4"/>
        <v>181032</v>
      </c>
      <c r="J51" s="1096">
        <v>0</v>
      </c>
      <c r="K51" s="2479">
        <f t="shared" si="12"/>
        <v>0</v>
      </c>
      <c r="L51" s="398">
        <f t="shared" si="5"/>
        <v>50675</v>
      </c>
      <c r="M51" s="1095">
        <f t="shared" si="6"/>
        <v>231707</v>
      </c>
      <c r="N51" s="2906">
        <f t="shared" si="7"/>
        <v>7.2927849700727245E-3</v>
      </c>
      <c r="O51" s="2907">
        <f t="shared" si="13"/>
        <v>-1.7825897891841002E-3</v>
      </c>
      <c r="P51" s="2908">
        <f t="shared" si="14"/>
        <v>952800</v>
      </c>
      <c r="Q51" s="1095">
        <f t="shared" si="15"/>
        <v>230571.25</v>
      </c>
      <c r="R51" s="2909">
        <f t="shared" si="16"/>
        <v>1183371.25</v>
      </c>
      <c r="S51" s="398">
        <f t="shared" si="17"/>
        <v>0</v>
      </c>
      <c r="T51" s="1095">
        <f t="shared" si="18"/>
        <v>0</v>
      </c>
      <c r="U51" s="398">
        <f t="shared" si="19"/>
        <v>0</v>
      </c>
      <c r="V51" s="2913">
        <v>0</v>
      </c>
      <c r="W51" s="1095">
        <f t="shared" si="8"/>
        <v>0</v>
      </c>
      <c r="X51" s="1095">
        <f t="shared" si="9"/>
        <v>50675</v>
      </c>
      <c r="Y51" s="2909">
        <f t="shared" si="20"/>
        <v>50675</v>
      </c>
      <c r="Z51" s="2913">
        <v>0</v>
      </c>
      <c r="AA51" s="1095">
        <f t="shared" si="10"/>
        <v>0</v>
      </c>
      <c r="AB51" s="1095">
        <f t="shared" si="11"/>
        <v>0</v>
      </c>
      <c r="AC51" s="2909">
        <f t="shared" si="21"/>
        <v>0</v>
      </c>
    </row>
    <row r="52" spans="1:29">
      <c r="A52" s="2899" t="s">
        <v>4131</v>
      </c>
      <c r="B52" s="2900" t="s">
        <v>4106</v>
      </c>
      <c r="C52" s="2901">
        <v>240</v>
      </c>
      <c r="D52" s="2902">
        <f t="shared" si="0"/>
        <v>6.8579658130404225E-4</v>
      </c>
      <c r="E52" s="2903">
        <v>21600</v>
      </c>
      <c r="F52" s="2904">
        <f t="shared" si="1"/>
        <v>7.5507628874830405E-4</v>
      </c>
      <c r="G52" s="2903">
        <f t="shared" si="2"/>
        <v>21600</v>
      </c>
      <c r="H52" s="2903">
        <f t="shared" si="3"/>
        <v>0</v>
      </c>
      <c r="I52" s="2905">
        <f t="shared" si="4"/>
        <v>13680</v>
      </c>
      <c r="J52" s="1096">
        <v>4185</v>
      </c>
      <c r="K52" s="2479">
        <f t="shared" si="12"/>
        <v>171417.60000000001</v>
      </c>
      <c r="L52" s="398">
        <f t="shared" si="5"/>
        <v>4320</v>
      </c>
      <c r="M52" s="1095">
        <f t="shared" si="6"/>
        <v>22185</v>
      </c>
      <c r="N52" s="2906">
        <f t="shared" si="7"/>
        <v>6.9825440992746614E-4</v>
      </c>
      <c r="O52" s="2907">
        <f t="shared" si="13"/>
        <v>1.2457828623423897E-5</v>
      </c>
      <c r="P52" s="2908">
        <f t="shared" si="14"/>
        <v>72000</v>
      </c>
      <c r="Q52" s="1095">
        <f t="shared" si="15"/>
        <v>19656</v>
      </c>
      <c r="R52" s="2909">
        <f t="shared" si="16"/>
        <v>91656</v>
      </c>
      <c r="S52" s="398">
        <f t="shared" si="17"/>
        <v>0</v>
      </c>
      <c r="T52" s="1095">
        <f t="shared" si="18"/>
        <v>0</v>
      </c>
      <c r="U52" s="398">
        <f t="shared" si="19"/>
        <v>0</v>
      </c>
      <c r="V52" s="2913">
        <v>0</v>
      </c>
      <c r="W52" s="1095">
        <f t="shared" si="8"/>
        <v>22264.2</v>
      </c>
      <c r="X52" s="1095">
        <f t="shared" si="9"/>
        <v>4320</v>
      </c>
      <c r="Y52" s="2909">
        <f t="shared" si="20"/>
        <v>26584.2</v>
      </c>
      <c r="Z52" s="2913">
        <v>0</v>
      </c>
      <c r="AA52" s="1095">
        <f t="shared" si="10"/>
        <v>12010.95</v>
      </c>
      <c r="AB52" s="1095">
        <f t="shared" si="11"/>
        <v>0</v>
      </c>
      <c r="AC52" s="2909">
        <f t="shared" si="21"/>
        <v>12010.95</v>
      </c>
    </row>
    <row r="53" spans="1:29">
      <c r="A53" s="2899" t="s">
        <v>4132</v>
      </c>
      <c r="B53" s="2900" t="s">
        <v>4097</v>
      </c>
      <c r="C53" s="2901">
        <v>265</v>
      </c>
      <c r="D53" s="2902">
        <f t="shared" si="0"/>
        <v>7.5723372518987989E-4</v>
      </c>
      <c r="E53" s="2903">
        <v>23850</v>
      </c>
      <c r="F53" s="2904">
        <f t="shared" si="1"/>
        <v>8.337300688262524E-4</v>
      </c>
      <c r="G53" s="2903">
        <f t="shared" si="2"/>
        <v>23850</v>
      </c>
      <c r="H53" s="2903">
        <f t="shared" si="3"/>
        <v>0</v>
      </c>
      <c r="I53" s="2905">
        <f t="shared" si="4"/>
        <v>15105</v>
      </c>
      <c r="J53" s="1096">
        <v>4621</v>
      </c>
      <c r="K53" s="2479">
        <f t="shared" si="12"/>
        <v>189276.16</v>
      </c>
      <c r="L53" s="398">
        <f t="shared" si="5"/>
        <v>4770</v>
      </c>
      <c r="M53" s="1095">
        <f t="shared" si="6"/>
        <v>24496</v>
      </c>
      <c r="N53" s="2906">
        <f t="shared" si="7"/>
        <v>7.709912114303904E-4</v>
      </c>
      <c r="O53" s="2907">
        <f t="shared" si="13"/>
        <v>1.3757486240510513E-5</v>
      </c>
      <c r="P53" s="2908">
        <f t="shared" si="14"/>
        <v>79500</v>
      </c>
      <c r="Q53" s="1095">
        <f t="shared" si="15"/>
        <v>21703.5</v>
      </c>
      <c r="R53" s="2909">
        <f t="shared" si="16"/>
        <v>101203.5</v>
      </c>
      <c r="S53" s="398">
        <f t="shared" si="17"/>
        <v>0</v>
      </c>
      <c r="T53" s="1095">
        <f t="shared" si="18"/>
        <v>0</v>
      </c>
      <c r="U53" s="398">
        <f t="shared" si="19"/>
        <v>0</v>
      </c>
      <c r="V53" s="2913">
        <v>0</v>
      </c>
      <c r="W53" s="1095">
        <f t="shared" si="8"/>
        <v>24583.72</v>
      </c>
      <c r="X53" s="1095">
        <f t="shared" si="9"/>
        <v>4770</v>
      </c>
      <c r="Y53" s="2909">
        <f t="shared" si="20"/>
        <v>29353.72</v>
      </c>
      <c r="Z53" s="2913">
        <v>0</v>
      </c>
      <c r="AA53" s="1095">
        <f t="shared" si="10"/>
        <v>13262.27</v>
      </c>
      <c r="AB53" s="1095">
        <f t="shared" si="11"/>
        <v>0</v>
      </c>
      <c r="AC53" s="2909">
        <f t="shared" si="21"/>
        <v>13262.27</v>
      </c>
    </row>
    <row r="54" spans="1:29">
      <c r="A54" s="2899" t="s">
        <v>4133</v>
      </c>
      <c r="B54" s="2900" t="s">
        <v>4129</v>
      </c>
      <c r="C54" s="2901">
        <v>235</v>
      </c>
      <c r="D54" s="2902">
        <f t="shared" si="0"/>
        <v>6.7150915252687463E-4</v>
      </c>
      <c r="E54" s="2903">
        <v>21150</v>
      </c>
      <c r="F54" s="2904">
        <f t="shared" si="1"/>
        <v>7.3934553273271447E-4</v>
      </c>
      <c r="G54" s="2903">
        <f t="shared" si="2"/>
        <v>21150</v>
      </c>
      <c r="H54" s="2903">
        <f t="shared" si="3"/>
        <v>0</v>
      </c>
      <c r="I54" s="2905">
        <f t="shared" si="4"/>
        <v>13395</v>
      </c>
      <c r="J54" s="1096">
        <v>4098</v>
      </c>
      <c r="K54" s="2479">
        <f t="shared" si="12"/>
        <v>167854.08000000002</v>
      </c>
      <c r="L54" s="398">
        <f t="shared" si="5"/>
        <v>4230</v>
      </c>
      <c r="M54" s="1095">
        <f t="shared" si="6"/>
        <v>21723</v>
      </c>
      <c r="N54" s="2906">
        <f t="shared" si="7"/>
        <v>6.8371334446041686E-4</v>
      </c>
      <c r="O54" s="2907">
        <f t="shared" si="13"/>
        <v>1.2204191933542228E-5</v>
      </c>
      <c r="P54" s="2908">
        <f t="shared" si="14"/>
        <v>70500</v>
      </c>
      <c r="Q54" s="1095">
        <f t="shared" si="15"/>
        <v>19246.5</v>
      </c>
      <c r="R54" s="2909">
        <f t="shared" si="16"/>
        <v>89746.5</v>
      </c>
      <c r="S54" s="398">
        <f t="shared" si="17"/>
        <v>0</v>
      </c>
      <c r="T54" s="1095">
        <f t="shared" si="18"/>
        <v>0</v>
      </c>
      <c r="U54" s="398">
        <f t="shared" si="19"/>
        <v>0</v>
      </c>
      <c r="V54" s="2913">
        <v>0</v>
      </c>
      <c r="W54" s="1095">
        <f t="shared" si="8"/>
        <v>21801.360000000001</v>
      </c>
      <c r="X54" s="1095">
        <f t="shared" si="9"/>
        <v>4230</v>
      </c>
      <c r="Y54" s="2909">
        <f t="shared" si="20"/>
        <v>26031.360000000001</v>
      </c>
      <c r="Z54" s="2913">
        <v>0</v>
      </c>
      <c r="AA54" s="1095">
        <f t="shared" si="10"/>
        <v>11761.26</v>
      </c>
      <c r="AB54" s="1095">
        <f t="shared" si="11"/>
        <v>0</v>
      </c>
      <c r="AC54" s="2909">
        <f t="shared" si="21"/>
        <v>11761.26</v>
      </c>
    </row>
    <row r="55" spans="1:29">
      <c r="A55" s="2899" t="s">
        <v>3106</v>
      </c>
      <c r="B55" s="2900" t="s">
        <v>4080</v>
      </c>
      <c r="C55" s="2901">
        <v>335</v>
      </c>
      <c r="D55" s="2902">
        <f t="shared" si="0"/>
        <v>9.5725772807022562E-4</v>
      </c>
      <c r="E55" s="2903">
        <v>30150</v>
      </c>
      <c r="F55" s="2904">
        <f t="shared" si="1"/>
        <v>1.0539606530445078E-3</v>
      </c>
      <c r="G55" s="2903">
        <f t="shared" si="2"/>
        <v>30150</v>
      </c>
      <c r="H55" s="2903">
        <f t="shared" si="3"/>
        <v>0</v>
      </c>
      <c r="I55" s="2905">
        <f t="shared" si="4"/>
        <v>19095</v>
      </c>
      <c r="J55" s="1096">
        <v>5842</v>
      </c>
      <c r="K55" s="2479">
        <f t="shared" si="12"/>
        <v>239288.32000000001</v>
      </c>
      <c r="L55" s="398">
        <f t="shared" si="5"/>
        <v>6030</v>
      </c>
      <c r="M55" s="1095">
        <f t="shared" si="6"/>
        <v>30967</v>
      </c>
      <c r="N55" s="2906">
        <f t="shared" si="7"/>
        <v>9.7466055047211377E-4</v>
      </c>
      <c r="O55" s="2907">
        <f t="shared" si="13"/>
        <v>1.7402822401888147E-5</v>
      </c>
      <c r="P55" s="2908">
        <f t="shared" si="14"/>
        <v>100500</v>
      </c>
      <c r="Q55" s="1095">
        <f t="shared" si="15"/>
        <v>27436.5</v>
      </c>
      <c r="R55" s="2909">
        <f t="shared" si="16"/>
        <v>127936.5</v>
      </c>
      <c r="S55" s="398">
        <f t="shared" si="17"/>
        <v>0</v>
      </c>
      <c r="T55" s="1095">
        <f t="shared" si="18"/>
        <v>0</v>
      </c>
      <c r="U55" s="398">
        <f t="shared" si="19"/>
        <v>0</v>
      </c>
      <c r="V55" s="2913">
        <v>0</v>
      </c>
      <c r="W55" s="1095">
        <f t="shared" si="8"/>
        <v>31079.440000000002</v>
      </c>
      <c r="X55" s="1095">
        <f t="shared" si="9"/>
        <v>6030</v>
      </c>
      <c r="Y55" s="2909">
        <f t="shared" si="20"/>
        <v>37109.440000000002</v>
      </c>
      <c r="Z55" s="2913">
        <v>0</v>
      </c>
      <c r="AA55" s="1095">
        <f t="shared" si="10"/>
        <v>16766.54</v>
      </c>
      <c r="AB55" s="1095">
        <f t="shared" si="11"/>
        <v>0</v>
      </c>
      <c r="AC55" s="2909">
        <f t="shared" si="21"/>
        <v>16766.54</v>
      </c>
    </row>
    <row r="56" spans="1:29">
      <c r="A56" s="2899" t="s">
        <v>4134</v>
      </c>
      <c r="B56" s="2900" t="s">
        <v>4071</v>
      </c>
      <c r="C56" s="2901">
        <v>105</v>
      </c>
      <c r="D56" s="2902">
        <f t="shared" si="0"/>
        <v>3.0003600432051844E-4</v>
      </c>
      <c r="E56" s="2903">
        <v>9450</v>
      </c>
      <c r="F56" s="2904">
        <f t="shared" si="1"/>
        <v>3.3034587632738306E-4</v>
      </c>
      <c r="G56" s="2903">
        <f t="shared" si="2"/>
        <v>9450</v>
      </c>
      <c r="H56" s="2903">
        <f t="shared" si="3"/>
        <v>0</v>
      </c>
      <c r="I56" s="2905">
        <f t="shared" si="4"/>
        <v>5985</v>
      </c>
      <c r="J56" s="1096">
        <v>1830.9999999999998</v>
      </c>
      <c r="K56" s="2479">
        <f t="shared" si="12"/>
        <v>74997.759999999995</v>
      </c>
      <c r="L56" s="398">
        <f t="shared" si="5"/>
        <v>1890</v>
      </c>
      <c r="M56" s="1095">
        <f t="shared" si="6"/>
        <v>9706</v>
      </c>
      <c r="N56" s="2906">
        <f t="shared" si="7"/>
        <v>3.054882714787463E-4</v>
      </c>
      <c r="O56" s="2907">
        <f t="shared" si="13"/>
        <v>5.4522671582278603E-6</v>
      </c>
      <c r="P56" s="2908">
        <f t="shared" si="14"/>
        <v>31500</v>
      </c>
      <c r="Q56" s="1095">
        <f t="shared" si="15"/>
        <v>8599.5</v>
      </c>
      <c r="R56" s="2909">
        <f t="shared" si="16"/>
        <v>40099.5</v>
      </c>
      <c r="S56" s="398">
        <f t="shared" si="17"/>
        <v>0</v>
      </c>
      <c r="T56" s="1095">
        <f t="shared" si="18"/>
        <v>0</v>
      </c>
      <c r="U56" s="398">
        <f t="shared" si="19"/>
        <v>0</v>
      </c>
      <c r="V56" s="2913">
        <v>0</v>
      </c>
      <c r="W56" s="1095">
        <f t="shared" si="8"/>
        <v>9740.92</v>
      </c>
      <c r="X56" s="1095">
        <f t="shared" si="9"/>
        <v>1890</v>
      </c>
      <c r="Y56" s="2909">
        <f t="shared" si="20"/>
        <v>11630.92</v>
      </c>
      <c r="Z56" s="2913">
        <v>0</v>
      </c>
      <c r="AA56" s="1095">
        <f t="shared" si="10"/>
        <v>5254.9699999999993</v>
      </c>
      <c r="AB56" s="1095">
        <f t="shared" si="11"/>
        <v>0</v>
      </c>
      <c r="AC56" s="2909">
        <f t="shared" si="21"/>
        <v>5254.9699999999993</v>
      </c>
    </row>
    <row r="57" spans="1:29">
      <c r="A57" s="2899" t="s">
        <v>4135</v>
      </c>
      <c r="B57" s="2900" t="s">
        <v>4083</v>
      </c>
      <c r="C57" s="2901">
        <v>200</v>
      </c>
      <c r="D57" s="2902">
        <f t="shared" si="0"/>
        <v>5.7149715108670187E-4</v>
      </c>
      <c r="E57" s="2903">
        <v>18000</v>
      </c>
      <c r="F57" s="2904">
        <f t="shared" si="1"/>
        <v>6.2923024062358675E-4</v>
      </c>
      <c r="G57" s="2903">
        <f t="shared" si="2"/>
        <v>18000</v>
      </c>
      <c r="H57" s="2903">
        <f t="shared" si="3"/>
        <v>0</v>
      </c>
      <c r="I57" s="2905">
        <f t="shared" si="4"/>
        <v>11400</v>
      </c>
      <c r="J57" s="1096">
        <v>0</v>
      </c>
      <c r="K57" s="2479">
        <f t="shared" si="12"/>
        <v>0</v>
      </c>
      <c r="L57" s="398">
        <f t="shared" si="5"/>
        <v>3600</v>
      </c>
      <c r="M57" s="1095">
        <f t="shared" si="6"/>
        <v>15000</v>
      </c>
      <c r="N57" s="2906">
        <f t="shared" si="7"/>
        <v>4.7211251516393924E-4</v>
      </c>
      <c r="O57" s="2907">
        <f t="shared" si="13"/>
        <v>-9.9384635922762632E-5</v>
      </c>
      <c r="P57" s="2908">
        <f t="shared" si="14"/>
        <v>60000</v>
      </c>
      <c r="Q57" s="1095">
        <f t="shared" si="15"/>
        <v>16380</v>
      </c>
      <c r="R57" s="2909">
        <f t="shared" si="16"/>
        <v>76380</v>
      </c>
      <c r="S57" s="398">
        <f t="shared" si="17"/>
        <v>0</v>
      </c>
      <c r="T57" s="1095">
        <f t="shared" si="18"/>
        <v>0</v>
      </c>
      <c r="U57" s="398">
        <f t="shared" si="19"/>
        <v>0</v>
      </c>
      <c r="V57" s="2913">
        <v>0</v>
      </c>
      <c r="W57" s="1095">
        <f t="shared" si="8"/>
        <v>0</v>
      </c>
      <c r="X57" s="1095">
        <f t="shared" si="9"/>
        <v>3600</v>
      </c>
      <c r="Y57" s="2909">
        <f t="shared" si="20"/>
        <v>3600</v>
      </c>
      <c r="Z57" s="2913">
        <v>0</v>
      </c>
      <c r="AA57" s="1095">
        <f t="shared" si="10"/>
        <v>0</v>
      </c>
      <c r="AB57" s="1095">
        <f t="shared" si="11"/>
        <v>0</v>
      </c>
      <c r="AC57" s="2909">
        <f t="shared" si="21"/>
        <v>0</v>
      </c>
    </row>
    <row r="58" spans="1:29">
      <c r="A58" s="2899" t="s">
        <v>4136</v>
      </c>
      <c r="B58" s="2900" t="s">
        <v>4071</v>
      </c>
      <c r="C58" s="2901">
        <v>455</v>
      </c>
      <c r="D58" s="2902">
        <f t="shared" si="0"/>
        <v>1.3001560187222466E-3</v>
      </c>
      <c r="E58" s="2903">
        <v>40950</v>
      </c>
      <c r="F58" s="2904">
        <f t="shared" si="1"/>
        <v>1.4314987974186598E-3</v>
      </c>
      <c r="G58" s="2903">
        <f t="shared" si="2"/>
        <v>40950</v>
      </c>
      <c r="H58" s="2903">
        <f t="shared" si="3"/>
        <v>0</v>
      </c>
      <c r="I58" s="2905">
        <f t="shared" si="4"/>
        <v>25935</v>
      </c>
      <c r="J58" s="1096">
        <v>7935.0000000000009</v>
      </c>
      <c r="K58" s="2479">
        <f t="shared" si="12"/>
        <v>325017.60000000003</v>
      </c>
      <c r="L58" s="398">
        <f t="shared" si="5"/>
        <v>8190</v>
      </c>
      <c r="M58" s="1095">
        <f t="shared" si="6"/>
        <v>42060</v>
      </c>
      <c r="N58" s="2906">
        <f t="shared" si="7"/>
        <v>1.3238034925196858E-3</v>
      </c>
      <c r="O58" s="2907">
        <f t="shared" si="13"/>
        <v>2.364747379743912E-5</v>
      </c>
      <c r="P58" s="2908">
        <f t="shared" si="14"/>
        <v>136500</v>
      </c>
      <c r="Q58" s="1095">
        <f t="shared" si="15"/>
        <v>37264.5</v>
      </c>
      <c r="R58" s="2909">
        <f t="shared" si="16"/>
        <v>173764.5</v>
      </c>
      <c r="S58" s="398">
        <f t="shared" si="17"/>
        <v>0</v>
      </c>
      <c r="T58" s="1095">
        <f t="shared" si="18"/>
        <v>0</v>
      </c>
      <c r="U58" s="398">
        <f t="shared" si="19"/>
        <v>0</v>
      </c>
      <c r="V58" s="2913">
        <v>0</v>
      </c>
      <c r="W58" s="1095">
        <f t="shared" si="8"/>
        <v>42214.200000000004</v>
      </c>
      <c r="X58" s="1095">
        <f t="shared" si="9"/>
        <v>8190</v>
      </c>
      <c r="Y58" s="2909">
        <f t="shared" si="20"/>
        <v>50404.200000000004</v>
      </c>
      <c r="Z58" s="2913">
        <v>0</v>
      </c>
      <c r="AA58" s="1095">
        <f t="shared" si="10"/>
        <v>22773.450000000004</v>
      </c>
      <c r="AB58" s="1095">
        <f t="shared" si="11"/>
        <v>0</v>
      </c>
      <c r="AC58" s="2909">
        <f t="shared" si="21"/>
        <v>22773.450000000004</v>
      </c>
    </row>
    <row r="59" spans="1:29">
      <c r="A59" s="2899" t="s">
        <v>4137</v>
      </c>
      <c r="B59" s="2900" t="s">
        <v>4069</v>
      </c>
      <c r="C59" s="2901">
        <v>310</v>
      </c>
      <c r="D59" s="2902">
        <f t="shared" si="0"/>
        <v>8.8582058418438788E-4</v>
      </c>
      <c r="E59" s="2903">
        <v>27900</v>
      </c>
      <c r="F59" s="2904">
        <f t="shared" si="1"/>
        <v>9.753068729665595E-4</v>
      </c>
      <c r="G59" s="2903">
        <f t="shared" si="2"/>
        <v>27900</v>
      </c>
      <c r="H59" s="2903">
        <f t="shared" si="3"/>
        <v>0</v>
      </c>
      <c r="I59" s="2905">
        <f t="shared" si="4"/>
        <v>17670</v>
      </c>
      <c r="J59" s="1096">
        <v>10812</v>
      </c>
      <c r="K59" s="2479">
        <f t="shared" si="12"/>
        <v>442859.52000000002</v>
      </c>
      <c r="L59" s="398">
        <f t="shared" si="5"/>
        <v>5580</v>
      </c>
      <c r="M59" s="1095">
        <f t="shared" si="6"/>
        <v>34062</v>
      </c>
      <c r="N59" s="2906">
        <f t="shared" si="7"/>
        <v>1.0720730994342733E-3</v>
      </c>
      <c r="O59" s="2907">
        <f t="shared" si="13"/>
        <v>1.8625251524988543E-4</v>
      </c>
      <c r="P59" s="2908">
        <f t="shared" si="14"/>
        <v>93000</v>
      </c>
      <c r="Q59" s="1095">
        <f t="shared" si="15"/>
        <v>25389</v>
      </c>
      <c r="R59" s="2909">
        <f t="shared" si="16"/>
        <v>118389</v>
      </c>
      <c r="S59" s="398">
        <f t="shared" si="17"/>
        <v>0</v>
      </c>
      <c r="T59" s="1095">
        <f t="shared" si="18"/>
        <v>0</v>
      </c>
      <c r="U59" s="398">
        <f t="shared" si="19"/>
        <v>0</v>
      </c>
      <c r="V59" s="2913">
        <v>0</v>
      </c>
      <c r="W59" s="1095">
        <f t="shared" si="8"/>
        <v>57519.840000000004</v>
      </c>
      <c r="X59" s="1095">
        <f t="shared" si="9"/>
        <v>5580</v>
      </c>
      <c r="Y59" s="2909">
        <f t="shared" si="20"/>
        <v>63099.840000000004</v>
      </c>
      <c r="Z59" s="2913">
        <v>0</v>
      </c>
      <c r="AA59" s="1095">
        <f t="shared" si="10"/>
        <v>31030.440000000002</v>
      </c>
      <c r="AB59" s="1095">
        <f t="shared" si="11"/>
        <v>0</v>
      </c>
      <c r="AC59" s="2909">
        <f t="shared" si="21"/>
        <v>31030.440000000002</v>
      </c>
    </row>
    <row r="60" spans="1:29">
      <c r="A60" s="2899" t="s">
        <v>4138</v>
      </c>
      <c r="B60" s="2900" t="s">
        <v>4106</v>
      </c>
      <c r="C60" s="2901">
        <v>950</v>
      </c>
      <c r="D60" s="2902">
        <f t="shared" si="0"/>
        <v>2.7146114676618338E-3</v>
      </c>
      <c r="E60" s="2903">
        <v>85500</v>
      </c>
      <c r="F60" s="2904">
        <f t="shared" si="1"/>
        <v>2.9888436429620371E-3</v>
      </c>
      <c r="G60" s="2903">
        <f t="shared" si="2"/>
        <v>85500</v>
      </c>
      <c r="H60" s="2903">
        <f t="shared" si="3"/>
        <v>0</v>
      </c>
      <c r="I60" s="2905">
        <f t="shared" si="4"/>
        <v>54150</v>
      </c>
      <c r="J60" s="1096">
        <v>16568</v>
      </c>
      <c r="K60" s="2479">
        <f t="shared" si="12"/>
        <v>678625.28000000003</v>
      </c>
      <c r="L60" s="398">
        <f t="shared" si="5"/>
        <v>17100</v>
      </c>
      <c r="M60" s="1095">
        <f t="shared" si="6"/>
        <v>87818</v>
      </c>
      <c r="N60" s="2906">
        <f t="shared" si="7"/>
        <v>2.7639984571111212E-3</v>
      </c>
      <c r="O60" s="2907">
        <f t="shared" si="13"/>
        <v>4.9386989449287481E-5</v>
      </c>
      <c r="P60" s="2908">
        <f t="shared" si="14"/>
        <v>285000</v>
      </c>
      <c r="Q60" s="1095">
        <f t="shared" si="15"/>
        <v>77805</v>
      </c>
      <c r="R60" s="2909">
        <f t="shared" si="16"/>
        <v>362805</v>
      </c>
      <c r="S60" s="398">
        <f t="shared" si="17"/>
        <v>0</v>
      </c>
      <c r="T60" s="1095">
        <f t="shared" si="18"/>
        <v>0</v>
      </c>
      <c r="U60" s="398">
        <f t="shared" si="19"/>
        <v>0</v>
      </c>
      <c r="V60" s="2913">
        <v>0</v>
      </c>
      <c r="W60" s="1095">
        <f t="shared" si="8"/>
        <v>88141.760000000009</v>
      </c>
      <c r="X60" s="1095">
        <f t="shared" si="9"/>
        <v>17100</v>
      </c>
      <c r="Y60" s="2909">
        <f t="shared" si="20"/>
        <v>105241.76000000001</v>
      </c>
      <c r="Z60" s="2913">
        <v>0</v>
      </c>
      <c r="AA60" s="1095">
        <f t="shared" si="10"/>
        <v>47550.16</v>
      </c>
      <c r="AB60" s="1095">
        <f t="shared" si="11"/>
        <v>0</v>
      </c>
      <c r="AC60" s="2909">
        <f t="shared" si="21"/>
        <v>47550.16</v>
      </c>
    </row>
    <row r="61" spans="1:29">
      <c r="A61" s="2899" t="s">
        <v>4139</v>
      </c>
      <c r="B61" s="2900" t="s">
        <v>4085</v>
      </c>
      <c r="C61" s="2901">
        <v>160</v>
      </c>
      <c r="D61" s="2902">
        <f t="shared" si="0"/>
        <v>4.5719772086936144E-4</v>
      </c>
      <c r="E61" s="2903">
        <v>14400</v>
      </c>
      <c r="F61" s="2904">
        <f t="shared" si="1"/>
        <v>5.0338419249886944E-4</v>
      </c>
      <c r="G61" s="2903">
        <f t="shared" si="2"/>
        <v>14400</v>
      </c>
      <c r="H61" s="2903">
        <f t="shared" si="3"/>
        <v>0</v>
      </c>
      <c r="I61" s="2905">
        <f t="shared" si="4"/>
        <v>9120</v>
      </c>
      <c r="J61" s="1096">
        <v>1984</v>
      </c>
      <c r="K61" s="2479">
        <f t="shared" si="12"/>
        <v>81264.639999999999</v>
      </c>
      <c r="L61" s="398">
        <f t="shared" si="5"/>
        <v>2880</v>
      </c>
      <c r="M61" s="1095">
        <f t="shared" si="6"/>
        <v>13984</v>
      </c>
      <c r="N61" s="2906">
        <f t="shared" si="7"/>
        <v>4.4013476080350175E-4</v>
      </c>
      <c r="O61" s="2907">
        <f t="shared" si="13"/>
        <v>-1.7062960065859691E-5</v>
      </c>
      <c r="P61" s="2908">
        <f t="shared" si="14"/>
        <v>48000</v>
      </c>
      <c r="Q61" s="1095">
        <f t="shared" si="15"/>
        <v>13104</v>
      </c>
      <c r="R61" s="2909">
        <f t="shared" si="16"/>
        <v>61104</v>
      </c>
      <c r="S61" s="398">
        <f t="shared" si="17"/>
        <v>0</v>
      </c>
      <c r="T61" s="1095">
        <f t="shared" si="18"/>
        <v>0</v>
      </c>
      <c r="U61" s="398">
        <f t="shared" si="19"/>
        <v>0</v>
      </c>
      <c r="V61" s="2913">
        <v>0</v>
      </c>
      <c r="W61" s="1095">
        <f t="shared" si="8"/>
        <v>10554.880000000001</v>
      </c>
      <c r="X61" s="1095">
        <f t="shared" si="9"/>
        <v>2880</v>
      </c>
      <c r="Y61" s="2909">
        <f t="shared" si="20"/>
        <v>13434.880000000001</v>
      </c>
      <c r="Z61" s="2913">
        <v>0</v>
      </c>
      <c r="AA61" s="1095">
        <f t="shared" si="10"/>
        <v>5694.08</v>
      </c>
      <c r="AB61" s="1095">
        <f t="shared" si="11"/>
        <v>0</v>
      </c>
      <c r="AC61" s="2909">
        <f t="shared" si="21"/>
        <v>5694.08</v>
      </c>
    </row>
    <row r="62" spans="1:29">
      <c r="A62" s="2899" t="s">
        <v>4140</v>
      </c>
      <c r="B62" s="2900" t="s">
        <v>4087</v>
      </c>
      <c r="C62" s="2901">
        <v>150</v>
      </c>
      <c r="D62" s="2902">
        <f t="shared" si="0"/>
        <v>4.2862286331502638E-4</v>
      </c>
      <c r="E62" s="2903">
        <v>13500</v>
      </c>
      <c r="F62" s="2904">
        <f t="shared" si="1"/>
        <v>4.7192268046769006E-4</v>
      </c>
      <c r="G62" s="2903">
        <f t="shared" si="2"/>
        <v>13500</v>
      </c>
      <c r="H62" s="2903">
        <f t="shared" si="3"/>
        <v>0</v>
      </c>
      <c r="I62" s="2905">
        <f t="shared" si="4"/>
        <v>8550</v>
      </c>
      <c r="J62" s="1096">
        <v>2616</v>
      </c>
      <c r="K62" s="2479">
        <f t="shared" si="12"/>
        <v>107151.36</v>
      </c>
      <c r="L62" s="398">
        <f t="shared" si="5"/>
        <v>2700</v>
      </c>
      <c r="M62" s="1095">
        <f t="shared" si="6"/>
        <v>13866</v>
      </c>
      <c r="N62" s="2906">
        <f t="shared" si="7"/>
        <v>4.3642080901754547E-4</v>
      </c>
      <c r="O62" s="2907">
        <f t="shared" si="13"/>
        <v>7.797945702519096E-6</v>
      </c>
      <c r="P62" s="2908">
        <f t="shared" si="14"/>
        <v>45000</v>
      </c>
      <c r="Q62" s="1095">
        <f t="shared" si="15"/>
        <v>12285</v>
      </c>
      <c r="R62" s="2909">
        <f t="shared" si="16"/>
        <v>57285</v>
      </c>
      <c r="S62" s="398">
        <f t="shared" si="17"/>
        <v>0</v>
      </c>
      <c r="T62" s="1095">
        <f t="shared" si="18"/>
        <v>0</v>
      </c>
      <c r="U62" s="398">
        <f t="shared" si="19"/>
        <v>0</v>
      </c>
      <c r="V62" s="2913">
        <v>0</v>
      </c>
      <c r="W62" s="1095">
        <f t="shared" si="8"/>
        <v>13917.12</v>
      </c>
      <c r="X62" s="1095">
        <f t="shared" si="9"/>
        <v>2700</v>
      </c>
      <c r="Y62" s="2909">
        <f t="shared" si="20"/>
        <v>16617.120000000003</v>
      </c>
      <c r="Z62" s="2913">
        <v>0</v>
      </c>
      <c r="AA62" s="1095">
        <f t="shared" si="10"/>
        <v>7507.92</v>
      </c>
      <c r="AB62" s="1095">
        <f t="shared" si="11"/>
        <v>0</v>
      </c>
      <c r="AC62" s="2909">
        <f t="shared" si="21"/>
        <v>7507.92</v>
      </c>
    </row>
    <row r="63" spans="1:29">
      <c r="A63" s="2899" t="s">
        <v>4141</v>
      </c>
      <c r="B63" s="2900" t="s">
        <v>4071</v>
      </c>
      <c r="C63" s="2901">
        <v>275</v>
      </c>
      <c r="D63" s="2902">
        <f t="shared" si="0"/>
        <v>7.8580858274421501E-4</v>
      </c>
      <c r="E63" s="2903">
        <v>24750</v>
      </c>
      <c r="F63" s="2904">
        <f t="shared" si="1"/>
        <v>8.6519158085743178E-4</v>
      </c>
      <c r="G63" s="2903">
        <f t="shared" si="2"/>
        <v>24750</v>
      </c>
      <c r="H63" s="2903">
        <f t="shared" si="3"/>
        <v>0</v>
      </c>
      <c r="I63" s="2905">
        <f t="shared" si="4"/>
        <v>15675</v>
      </c>
      <c r="J63" s="1096">
        <v>4796</v>
      </c>
      <c r="K63" s="2479">
        <f t="shared" si="12"/>
        <v>196444.16</v>
      </c>
      <c r="L63" s="398">
        <f t="shared" si="5"/>
        <v>4950</v>
      </c>
      <c r="M63" s="1095">
        <f t="shared" si="6"/>
        <v>25421</v>
      </c>
      <c r="N63" s="2906">
        <f t="shared" si="7"/>
        <v>8.0010481653216669E-4</v>
      </c>
      <c r="O63" s="2907">
        <f t="shared" si="13"/>
        <v>1.4296233787951685E-5</v>
      </c>
      <c r="P63" s="2908">
        <f t="shared" si="14"/>
        <v>82500</v>
      </c>
      <c r="Q63" s="1095">
        <f t="shared" si="15"/>
        <v>22522.5</v>
      </c>
      <c r="R63" s="2909">
        <f t="shared" si="16"/>
        <v>105022.5</v>
      </c>
      <c r="S63" s="398">
        <f t="shared" si="17"/>
        <v>0</v>
      </c>
      <c r="T63" s="1095">
        <f t="shared" si="18"/>
        <v>0</v>
      </c>
      <c r="U63" s="398">
        <f t="shared" si="19"/>
        <v>0</v>
      </c>
      <c r="V63" s="2913">
        <v>0</v>
      </c>
      <c r="W63" s="1095">
        <f t="shared" si="8"/>
        <v>25514.720000000001</v>
      </c>
      <c r="X63" s="1095">
        <f t="shared" si="9"/>
        <v>4950</v>
      </c>
      <c r="Y63" s="2909">
        <f t="shared" si="20"/>
        <v>30464.720000000001</v>
      </c>
      <c r="Z63" s="2913">
        <v>0</v>
      </c>
      <c r="AA63" s="1095">
        <f t="shared" si="10"/>
        <v>13764.52</v>
      </c>
      <c r="AB63" s="1095">
        <f t="shared" si="11"/>
        <v>0</v>
      </c>
      <c r="AC63" s="2909">
        <f t="shared" si="21"/>
        <v>13764.52</v>
      </c>
    </row>
    <row r="64" spans="1:29">
      <c r="A64" s="2899" t="s">
        <v>4142</v>
      </c>
      <c r="B64" s="2900" t="s">
        <v>4089</v>
      </c>
      <c r="C64" s="2901">
        <v>200</v>
      </c>
      <c r="D64" s="2902">
        <f t="shared" si="0"/>
        <v>5.7149715108670187E-4</v>
      </c>
      <c r="E64" s="2903">
        <v>18000</v>
      </c>
      <c r="F64" s="2904">
        <f t="shared" si="1"/>
        <v>6.2923024062358675E-4</v>
      </c>
      <c r="G64" s="2903">
        <f t="shared" si="2"/>
        <v>18000</v>
      </c>
      <c r="H64" s="2903">
        <f t="shared" si="3"/>
        <v>0</v>
      </c>
      <c r="I64" s="2905">
        <f t="shared" si="4"/>
        <v>11400</v>
      </c>
      <c r="J64" s="1096">
        <v>6976</v>
      </c>
      <c r="K64" s="2479">
        <f t="shared" si="12"/>
        <v>285736.96000000002</v>
      </c>
      <c r="L64" s="398">
        <f t="shared" si="5"/>
        <v>3600</v>
      </c>
      <c r="M64" s="1095">
        <f t="shared" si="6"/>
        <v>21976</v>
      </c>
      <c r="N64" s="2906">
        <f t="shared" si="7"/>
        <v>6.9167630888284856E-4</v>
      </c>
      <c r="O64" s="2907">
        <f t="shared" si="13"/>
        <v>1.2017915779614669E-4</v>
      </c>
      <c r="P64" s="2908">
        <f t="shared" si="14"/>
        <v>60000</v>
      </c>
      <c r="Q64" s="1095">
        <f t="shared" si="15"/>
        <v>16380</v>
      </c>
      <c r="R64" s="2909">
        <f t="shared" si="16"/>
        <v>76380</v>
      </c>
      <c r="S64" s="398">
        <f t="shared" si="17"/>
        <v>0</v>
      </c>
      <c r="T64" s="1095">
        <f t="shared" si="18"/>
        <v>0</v>
      </c>
      <c r="U64" s="398">
        <f t="shared" si="19"/>
        <v>0</v>
      </c>
      <c r="V64" s="2913">
        <v>0</v>
      </c>
      <c r="W64" s="1095">
        <f t="shared" si="8"/>
        <v>37112.32</v>
      </c>
      <c r="X64" s="1095">
        <f t="shared" si="9"/>
        <v>3600</v>
      </c>
      <c r="Y64" s="2909">
        <f t="shared" si="20"/>
        <v>40712.32</v>
      </c>
      <c r="Z64" s="2913">
        <v>0</v>
      </c>
      <c r="AA64" s="1095">
        <f t="shared" si="10"/>
        <v>20021.12</v>
      </c>
      <c r="AB64" s="1095">
        <f t="shared" si="11"/>
        <v>0</v>
      </c>
      <c r="AC64" s="2909">
        <f t="shared" si="21"/>
        <v>20021.12</v>
      </c>
    </row>
    <row r="65" spans="1:29">
      <c r="A65" s="2899" t="s">
        <v>4143</v>
      </c>
      <c r="B65" s="2900" t="s">
        <v>4073</v>
      </c>
      <c r="C65" s="2901">
        <v>385</v>
      </c>
      <c r="D65" s="2902">
        <f t="shared" si="0"/>
        <v>1.1001320158419011E-3</v>
      </c>
      <c r="E65" s="2903">
        <v>34650</v>
      </c>
      <c r="F65" s="2904">
        <f t="shared" si="1"/>
        <v>1.2112682132004045E-3</v>
      </c>
      <c r="G65" s="2903">
        <f t="shared" si="2"/>
        <v>34650</v>
      </c>
      <c r="H65" s="2903">
        <f t="shared" si="3"/>
        <v>0</v>
      </c>
      <c r="I65" s="2905">
        <f t="shared" si="4"/>
        <v>21945</v>
      </c>
      <c r="J65" s="1096">
        <v>13428</v>
      </c>
      <c r="K65" s="2479">
        <f t="shared" si="12"/>
        <v>550010.88</v>
      </c>
      <c r="L65" s="398">
        <f t="shared" si="5"/>
        <v>6930</v>
      </c>
      <c r="M65" s="1095">
        <f t="shared" si="6"/>
        <v>42303</v>
      </c>
      <c r="N65" s="2906">
        <f t="shared" si="7"/>
        <v>1.3314517152653415E-3</v>
      </c>
      <c r="O65" s="2907">
        <f t="shared" si="13"/>
        <v>2.313196994234404E-4</v>
      </c>
      <c r="P65" s="2908">
        <f t="shared" si="14"/>
        <v>115500</v>
      </c>
      <c r="Q65" s="1095">
        <f t="shared" si="15"/>
        <v>31531.5</v>
      </c>
      <c r="R65" s="2909">
        <f t="shared" si="16"/>
        <v>147031.5</v>
      </c>
      <c r="S65" s="398">
        <f t="shared" si="17"/>
        <v>0</v>
      </c>
      <c r="T65" s="1095">
        <f t="shared" si="18"/>
        <v>0</v>
      </c>
      <c r="U65" s="398">
        <f t="shared" si="19"/>
        <v>0</v>
      </c>
      <c r="V65" s="2913">
        <v>0</v>
      </c>
      <c r="W65" s="1095">
        <f t="shared" si="8"/>
        <v>71436.960000000006</v>
      </c>
      <c r="X65" s="1095">
        <f t="shared" si="9"/>
        <v>6930</v>
      </c>
      <c r="Y65" s="2909">
        <f t="shared" si="20"/>
        <v>78366.960000000006</v>
      </c>
      <c r="Z65" s="2913">
        <v>0</v>
      </c>
      <c r="AA65" s="1095">
        <f t="shared" si="10"/>
        <v>38538.36</v>
      </c>
      <c r="AB65" s="1095">
        <f t="shared" si="11"/>
        <v>0</v>
      </c>
      <c r="AC65" s="2909">
        <f t="shared" si="21"/>
        <v>38538.36</v>
      </c>
    </row>
    <row r="66" spans="1:29">
      <c r="A66" s="2899" t="s">
        <v>3107</v>
      </c>
      <c r="B66" s="2900" t="s">
        <v>4144</v>
      </c>
      <c r="C66" s="2901">
        <v>405</v>
      </c>
      <c r="D66" s="2902">
        <f t="shared" si="0"/>
        <v>1.1572817309505711E-3</v>
      </c>
      <c r="E66" s="2903">
        <v>36450</v>
      </c>
      <c r="F66" s="2904">
        <f t="shared" si="1"/>
        <v>1.2741912372627631E-3</v>
      </c>
      <c r="G66" s="2903">
        <f t="shared" si="2"/>
        <v>36450</v>
      </c>
      <c r="H66" s="2903">
        <f t="shared" si="3"/>
        <v>0</v>
      </c>
      <c r="I66" s="2905">
        <f t="shared" si="4"/>
        <v>23085</v>
      </c>
      <c r="J66" s="1096">
        <v>14125.999999999998</v>
      </c>
      <c r="K66" s="2479">
        <f t="shared" si="12"/>
        <v>578600.95999999996</v>
      </c>
      <c r="L66" s="398">
        <f t="shared" si="5"/>
        <v>7290</v>
      </c>
      <c r="M66" s="1095">
        <f t="shared" si="6"/>
        <v>44501</v>
      </c>
      <c r="N66" s="2906">
        <f t="shared" si="7"/>
        <v>1.4006319358206975E-3</v>
      </c>
      <c r="O66" s="2907">
        <f t="shared" si="13"/>
        <v>2.4335020487012632E-4</v>
      </c>
      <c r="P66" s="2908">
        <f t="shared" si="14"/>
        <v>121500</v>
      </c>
      <c r="Q66" s="1095">
        <f t="shared" si="15"/>
        <v>33169.5</v>
      </c>
      <c r="R66" s="2909">
        <f t="shared" si="16"/>
        <v>154669.5</v>
      </c>
      <c r="S66" s="398">
        <f t="shared" si="17"/>
        <v>0</v>
      </c>
      <c r="T66" s="1095">
        <f t="shared" si="18"/>
        <v>0</v>
      </c>
      <c r="U66" s="398">
        <f t="shared" si="19"/>
        <v>0</v>
      </c>
      <c r="V66" s="2913">
        <v>0</v>
      </c>
      <c r="W66" s="1095">
        <f t="shared" si="8"/>
        <v>75150.319999999992</v>
      </c>
      <c r="X66" s="1095">
        <f t="shared" si="9"/>
        <v>7290</v>
      </c>
      <c r="Y66" s="2909">
        <f t="shared" si="20"/>
        <v>82440.319999999992</v>
      </c>
      <c r="Z66" s="2913">
        <v>0</v>
      </c>
      <c r="AA66" s="1095">
        <f t="shared" si="10"/>
        <v>40541.619999999995</v>
      </c>
      <c r="AB66" s="1095">
        <f t="shared" si="11"/>
        <v>0</v>
      </c>
      <c r="AC66" s="2909">
        <f t="shared" si="21"/>
        <v>40541.619999999995</v>
      </c>
    </row>
    <row r="67" spans="1:29">
      <c r="A67" s="2899" t="s">
        <v>4145</v>
      </c>
      <c r="B67" s="2900" t="s">
        <v>4077</v>
      </c>
      <c r="C67" s="2901">
        <v>565</v>
      </c>
      <c r="D67" s="2902">
        <f t="shared" si="0"/>
        <v>1.6144794518199326E-3</v>
      </c>
      <c r="E67" s="2903">
        <v>50850</v>
      </c>
      <c r="F67" s="2904">
        <f t="shared" si="1"/>
        <v>1.7775754297616325E-3</v>
      </c>
      <c r="G67" s="2903">
        <f t="shared" si="2"/>
        <v>50850</v>
      </c>
      <c r="H67" s="2903">
        <f t="shared" si="3"/>
        <v>0</v>
      </c>
      <c r="I67" s="2905">
        <f t="shared" si="4"/>
        <v>32205</v>
      </c>
      <c r="J67" s="1096">
        <v>19708</v>
      </c>
      <c r="K67" s="2479">
        <f t="shared" si="12"/>
        <v>807239.68000000005</v>
      </c>
      <c r="L67" s="398">
        <f t="shared" si="5"/>
        <v>10170</v>
      </c>
      <c r="M67" s="1095">
        <f t="shared" si="6"/>
        <v>62083</v>
      </c>
      <c r="N67" s="2906">
        <f t="shared" si="7"/>
        <v>1.9540107519281894E-3</v>
      </c>
      <c r="O67" s="2907">
        <f t="shared" si="13"/>
        <v>3.3953130010825673E-4</v>
      </c>
      <c r="P67" s="2908">
        <f t="shared" si="14"/>
        <v>169500</v>
      </c>
      <c r="Q67" s="1095">
        <f t="shared" si="15"/>
        <v>46273.5</v>
      </c>
      <c r="R67" s="2909">
        <f t="shared" si="16"/>
        <v>215773.5</v>
      </c>
      <c r="S67" s="398">
        <f t="shared" si="17"/>
        <v>0</v>
      </c>
      <c r="T67" s="1095">
        <f t="shared" si="18"/>
        <v>0</v>
      </c>
      <c r="U67" s="398">
        <f t="shared" si="19"/>
        <v>0</v>
      </c>
      <c r="V67" s="2913">
        <v>0</v>
      </c>
      <c r="W67" s="1095">
        <f t="shared" si="8"/>
        <v>104846.56000000001</v>
      </c>
      <c r="X67" s="1095">
        <f t="shared" si="9"/>
        <v>10170</v>
      </c>
      <c r="Y67" s="2909">
        <f t="shared" si="20"/>
        <v>115016.56000000001</v>
      </c>
      <c r="Z67" s="2913">
        <v>0</v>
      </c>
      <c r="AA67" s="1095">
        <f t="shared" si="10"/>
        <v>56561.96</v>
      </c>
      <c r="AB67" s="1095">
        <f t="shared" si="11"/>
        <v>0</v>
      </c>
      <c r="AC67" s="2909">
        <f t="shared" si="21"/>
        <v>56561.96</v>
      </c>
    </row>
    <row r="68" spans="1:29">
      <c r="A68" s="2899" t="s">
        <v>4146</v>
      </c>
      <c r="B68" s="2900" t="s">
        <v>4115</v>
      </c>
      <c r="C68" s="2901">
        <v>310</v>
      </c>
      <c r="D68" s="2902">
        <f t="shared" si="0"/>
        <v>8.8582058418438788E-4</v>
      </c>
      <c r="E68" s="2903">
        <v>27900</v>
      </c>
      <c r="F68" s="2904">
        <f t="shared" si="1"/>
        <v>9.753068729665595E-4</v>
      </c>
      <c r="G68" s="2903">
        <f t="shared" si="2"/>
        <v>27900</v>
      </c>
      <c r="H68" s="2903">
        <f t="shared" si="3"/>
        <v>0</v>
      </c>
      <c r="I68" s="2905">
        <f t="shared" si="4"/>
        <v>17670</v>
      </c>
      <c r="J68" s="1096">
        <v>2442</v>
      </c>
      <c r="K68" s="2479">
        <f t="shared" si="12"/>
        <v>100024.32000000001</v>
      </c>
      <c r="L68" s="398">
        <f t="shared" si="5"/>
        <v>5580</v>
      </c>
      <c r="M68" s="1095">
        <f t="shared" si="6"/>
        <v>25692</v>
      </c>
      <c r="N68" s="2906">
        <f t="shared" si="7"/>
        <v>8.0863431597279515E-4</v>
      </c>
      <c r="O68" s="2907">
        <f t="shared" si="13"/>
        <v>-7.7186268211592722E-5</v>
      </c>
      <c r="P68" s="2908">
        <f t="shared" si="14"/>
        <v>93000</v>
      </c>
      <c r="Q68" s="1095">
        <f t="shared" si="15"/>
        <v>25389</v>
      </c>
      <c r="R68" s="2909">
        <f t="shared" si="16"/>
        <v>118389</v>
      </c>
      <c r="S68" s="398">
        <f t="shared" si="17"/>
        <v>0</v>
      </c>
      <c r="T68" s="1095">
        <f t="shared" si="18"/>
        <v>0</v>
      </c>
      <c r="U68" s="398">
        <f t="shared" si="19"/>
        <v>0</v>
      </c>
      <c r="V68" s="2913">
        <v>0</v>
      </c>
      <c r="W68" s="1095">
        <f t="shared" si="8"/>
        <v>12991.44</v>
      </c>
      <c r="X68" s="1095">
        <f t="shared" si="9"/>
        <v>5580</v>
      </c>
      <c r="Y68" s="2909">
        <f t="shared" si="20"/>
        <v>18571.440000000002</v>
      </c>
      <c r="Z68" s="2913">
        <v>0</v>
      </c>
      <c r="AA68" s="1095">
        <f t="shared" si="10"/>
        <v>7008.54</v>
      </c>
      <c r="AB68" s="1095">
        <f t="shared" si="11"/>
        <v>0</v>
      </c>
      <c r="AC68" s="2909">
        <f t="shared" si="21"/>
        <v>7008.54</v>
      </c>
    </row>
    <row r="69" spans="1:29">
      <c r="A69" s="2899" t="s">
        <v>4147</v>
      </c>
      <c r="B69" s="2900" t="s">
        <v>4077</v>
      </c>
      <c r="C69" s="2901">
        <v>100</v>
      </c>
      <c r="D69" s="2902">
        <f t="shared" si="0"/>
        <v>2.8574857554335094E-4</v>
      </c>
      <c r="E69" s="2903">
        <v>9000</v>
      </c>
      <c r="F69" s="2904">
        <f t="shared" si="1"/>
        <v>3.1461512031179337E-4</v>
      </c>
      <c r="G69" s="2903">
        <f t="shared" si="2"/>
        <v>9000</v>
      </c>
      <c r="H69" s="2903">
        <f t="shared" si="3"/>
        <v>0</v>
      </c>
      <c r="I69" s="2905">
        <f t="shared" si="4"/>
        <v>5700</v>
      </c>
      <c r="J69" s="1096">
        <v>1744</v>
      </c>
      <c r="K69" s="2479">
        <f t="shared" si="12"/>
        <v>71434.240000000005</v>
      </c>
      <c r="L69" s="398">
        <f t="shared" si="5"/>
        <v>1800</v>
      </c>
      <c r="M69" s="1095">
        <f t="shared" si="6"/>
        <v>9244</v>
      </c>
      <c r="N69" s="2906">
        <f t="shared" si="7"/>
        <v>2.9094720601169696E-4</v>
      </c>
      <c r="O69" s="2907">
        <f t="shared" si="13"/>
        <v>5.1986304683460278E-6</v>
      </c>
      <c r="P69" s="2908">
        <f t="shared" si="14"/>
        <v>30000</v>
      </c>
      <c r="Q69" s="1095">
        <f t="shared" si="15"/>
        <v>8190</v>
      </c>
      <c r="R69" s="2909">
        <f t="shared" si="16"/>
        <v>38190</v>
      </c>
      <c r="S69" s="398">
        <f t="shared" si="17"/>
        <v>0</v>
      </c>
      <c r="T69" s="1095">
        <f t="shared" si="18"/>
        <v>0</v>
      </c>
      <c r="U69" s="398">
        <f t="shared" si="19"/>
        <v>0</v>
      </c>
      <c r="V69" s="2913">
        <v>0</v>
      </c>
      <c r="W69" s="1095">
        <f t="shared" si="8"/>
        <v>9278.08</v>
      </c>
      <c r="X69" s="1095">
        <f t="shared" si="9"/>
        <v>1800</v>
      </c>
      <c r="Y69" s="2909">
        <f t="shared" si="20"/>
        <v>11078.08</v>
      </c>
      <c r="Z69" s="2913">
        <v>0</v>
      </c>
      <c r="AA69" s="1095">
        <f t="shared" si="10"/>
        <v>5005.28</v>
      </c>
      <c r="AB69" s="1095">
        <f t="shared" si="11"/>
        <v>0</v>
      </c>
      <c r="AC69" s="2909">
        <f t="shared" si="21"/>
        <v>5005.28</v>
      </c>
    </row>
    <row r="70" spans="1:29">
      <c r="A70" s="2899" t="s">
        <v>4148</v>
      </c>
      <c r="B70" s="2900" t="s">
        <v>4104</v>
      </c>
      <c r="C70" s="2901">
        <v>300</v>
      </c>
      <c r="D70" s="2902">
        <f t="shared" ref="D70:D133" si="22">C70/349958</f>
        <v>8.5724572663005275E-4</v>
      </c>
      <c r="E70" s="2903">
        <v>27000</v>
      </c>
      <c r="F70" s="2904">
        <f t="shared" ref="F70:F133" si="23">E70/$E$612</f>
        <v>9.4384536093538012E-4</v>
      </c>
      <c r="G70" s="2903">
        <f t="shared" ref="G70:G133" si="24">C70*90</f>
        <v>27000</v>
      </c>
      <c r="H70" s="2903">
        <f t="shared" ref="H70:H133" si="25">E70-G70</f>
        <v>0</v>
      </c>
      <c r="I70" s="2905">
        <f t="shared" ref="I70:I133" si="26">C70*57</f>
        <v>17100</v>
      </c>
      <c r="J70" s="1096">
        <v>5232</v>
      </c>
      <c r="K70" s="2479">
        <f t="shared" si="12"/>
        <v>214302.72</v>
      </c>
      <c r="L70" s="398">
        <f t="shared" ref="L70:L133" si="27">E70/5</f>
        <v>5400</v>
      </c>
      <c r="M70" s="1095">
        <f t="shared" ref="M70:M133" si="28">I70+J70+L70</f>
        <v>27732</v>
      </c>
      <c r="N70" s="2906">
        <f t="shared" ref="N70:N133" si="29">M70/$M$612</f>
        <v>8.7284161803509095E-4</v>
      </c>
      <c r="O70" s="2907">
        <f t="shared" si="13"/>
        <v>1.5595891405038192E-5</v>
      </c>
      <c r="P70" s="2908">
        <f t="shared" si="14"/>
        <v>90000</v>
      </c>
      <c r="Q70" s="1095">
        <f t="shared" si="15"/>
        <v>24570</v>
      </c>
      <c r="R70" s="2909">
        <f t="shared" si="16"/>
        <v>114570</v>
      </c>
      <c r="S70" s="398">
        <f t="shared" si="17"/>
        <v>0</v>
      </c>
      <c r="T70" s="1095">
        <f t="shared" si="18"/>
        <v>0</v>
      </c>
      <c r="U70" s="398">
        <f t="shared" si="19"/>
        <v>0</v>
      </c>
      <c r="V70" s="2913">
        <v>0</v>
      </c>
      <c r="W70" s="1095">
        <f t="shared" ref="W70:W133" si="30">J70*5.32</f>
        <v>27834.240000000002</v>
      </c>
      <c r="X70" s="1095">
        <f t="shared" ref="X70:X133" si="31">L70*1</f>
        <v>5400</v>
      </c>
      <c r="Y70" s="2909">
        <f t="shared" si="20"/>
        <v>33234.240000000005</v>
      </c>
      <c r="Z70" s="2913">
        <v>0</v>
      </c>
      <c r="AA70" s="1095">
        <f t="shared" ref="AA70:AA133" si="32">J70*2.87</f>
        <v>15015.84</v>
      </c>
      <c r="AB70" s="1095">
        <f t="shared" ref="AB70:AB133" si="33">L70*0</f>
        <v>0</v>
      </c>
      <c r="AC70" s="2909">
        <f t="shared" si="21"/>
        <v>15015.84</v>
      </c>
    </row>
    <row r="71" spans="1:29">
      <c r="A71" s="2899" t="s">
        <v>4149</v>
      </c>
      <c r="B71" s="2900" t="s">
        <v>4075</v>
      </c>
      <c r="C71" s="2901">
        <v>250</v>
      </c>
      <c r="D71" s="2902">
        <f t="shared" si="22"/>
        <v>7.1437143885837726E-4</v>
      </c>
      <c r="E71" s="2903">
        <v>22500</v>
      </c>
      <c r="F71" s="2904">
        <f t="shared" si="23"/>
        <v>7.8653780077948343E-4</v>
      </c>
      <c r="G71" s="2903">
        <f t="shared" si="24"/>
        <v>22500</v>
      </c>
      <c r="H71" s="2903">
        <f t="shared" si="25"/>
        <v>0</v>
      </c>
      <c r="I71" s="2905">
        <f t="shared" si="26"/>
        <v>14250</v>
      </c>
      <c r="J71" s="1096">
        <v>8720</v>
      </c>
      <c r="K71" s="2479">
        <f t="shared" ref="K71:K134" si="34">J71*40.96</f>
        <v>357171.20000000001</v>
      </c>
      <c r="L71" s="398">
        <f t="shared" si="27"/>
        <v>4500</v>
      </c>
      <c r="M71" s="1095">
        <f t="shared" si="28"/>
        <v>27470</v>
      </c>
      <c r="N71" s="2906">
        <f t="shared" si="29"/>
        <v>8.6459538610356081E-4</v>
      </c>
      <c r="O71" s="2907">
        <f t="shared" ref="O71:O134" si="35">N71-D71</f>
        <v>1.5022394724518355E-4</v>
      </c>
      <c r="P71" s="2908">
        <f t="shared" ref="P71:P134" si="36">C71*300</f>
        <v>75000</v>
      </c>
      <c r="Q71" s="1095">
        <f t="shared" ref="Q71:Q134" si="37">E71*0.91</f>
        <v>20475</v>
      </c>
      <c r="R71" s="2909">
        <f t="shared" ref="R71:R134" si="38">SUM(P71:Q71)</f>
        <v>95475</v>
      </c>
      <c r="S71" s="398">
        <f t="shared" ref="S71:S134" si="39">C71*0</f>
        <v>0</v>
      </c>
      <c r="T71" s="1095">
        <f t="shared" ref="T71:T134" si="40">E71*0</f>
        <v>0</v>
      </c>
      <c r="U71" s="398">
        <f t="shared" ref="U71:U134" si="41">SUM(S71:T71)</f>
        <v>0</v>
      </c>
      <c r="V71" s="2913">
        <v>0</v>
      </c>
      <c r="W71" s="1095">
        <f t="shared" si="30"/>
        <v>46390.400000000001</v>
      </c>
      <c r="X71" s="1095">
        <f t="shared" si="31"/>
        <v>4500</v>
      </c>
      <c r="Y71" s="2909">
        <f t="shared" ref="Y71:Y134" si="42">SUM(V71:X71)</f>
        <v>50890.400000000001</v>
      </c>
      <c r="Z71" s="2913">
        <v>0</v>
      </c>
      <c r="AA71" s="1095">
        <f t="shared" si="32"/>
        <v>25026.400000000001</v>
      </c>
      <c r="AB71" s="1095">
        <f t="shared" si="33"/>
        <v>0</v>
      </c>
      <c r="AC71" s="2909">
        <f t="shared" ref="AC71:AC134" si="43">SUM(Z71:AB71)</f>
        <v>25026.400000000001</v>
      </c>
    </row>
    <row r="72" spans="1:29">
      <c r="A72" s="2899" t="s">
        <v>4150</v>
      </c>
      <c r="B72" s="2900" t="s">
        <v>4092</v>
      </c>
      <c r="C72" s="2901">
        <v>450</v>
      </c>
      <c r="D72" s="2902">
        <f t="shared" si="22"/>
        <v>1.285868589945079E-3</v>
      </c>
      <c r="E72" s="2903">
        <v>40500</v>
      </c>
      <c r="F72" s="2904">
        <f t="shared" si="23"/>
        <v>1.4157680414030702E-3</v>
      </c>
      <c r="G72" s="2903">
        <f t="shared" si="24"/>
        <v>40500</v>
      </c>
      <c r="H72" s="2903">
        <f t="shared" si="25"/>
        <v>0</v>
      </c>
      <c r="I72" s="2905">
        <f t="shared" si="26"/>
        <v>25650</v>
      </c>
      <c r="J72" s="1096">
        <v>5000</v>
      </c>
      <c r="K72" s="2479">
        <f t="shared" si="34"/>
        <v>204800</v>
      </c>
      <c r="L72" s="398">
        <f t="shared" si="27"/>
        <v>8100</v>
      </c>
      <c r="M72" s="1095">
        <f t="shared" si="28"/>
        <v>38750</v>
      </c>
      <c r="N72" s="2906">
        <f t="shared" si="29"/>
        <v>1.2196239975068432E-3</v>
      </c>
      <c r="O72" s="2907">
        <f t="shared" si="35"/>
        <v>-6.6244592438235864E-5</v>
      </c>
      <c r="P72" s="2908">
        <f t="shared" si="36"/>
        <v>135000</v>
      </c>
      <c r="Q72" s="1095">
        <f t="shared" si="37"/>
        <v>36855</v>
      </c>
      <c r="R72" s="2909">
        <f t="shared" si="38"/>
        <v>171855</v>
      </c>
      <c r="S72" s="398">
        <f t="shared" si="39"/>
        <v>0</v>
      </c>
      <c r="T72" s="1095">
        <f t="shared" si="40"/>
        <v>0</v>
      </c>
      <c r="U72" s="398">
        <f t="shared" si="41"/>
        <v>0</v>
      </c>
      <c r="V72" s="2913">
        <v>0</v>
      </c>
      <c r="W72" s="1095">
        <f t="shared" si="30"/>
        <v>26600</v>
      </c>
      <c r="X72" s="1095">
        <f t="shared" si="31"/>
        <v>8100</v>
      </c>
      <c r="Y72" s="2909">
        <f t="shared" si="42"/>
        <v>34700</v>
      </c>
      <c r="Z72" s="2913">
        <v>0</v>
      </c>
      <c r="AA72" s="1095">
        <f t="shared" si="32"/>
        <v>14350</v>
      </c>
      <c r="AB72" s="1095">
        <f t="shared" si="33"/>
        <v>0</v>
      </c>
      <c r="AC72" s="2909">
        <f t="shared" si="43"/>
        <v>14350</v>
      </c>
    </row>
    <row r="73" spans="1:29">
      <c r="A73" s="2899" t="s">
        <v>4151</v>
      </c>
      <c r="B73" s="2900" t="s">
        <v>4069</v>
      </c>
      <c r="C73" s="2901">
        <v>385</v>
      </c>
      <c r="D73" s="2902">
        <f t="shared" si="22"/>
        <v>1.1001320158419011E-3</v>
      </c>
      <c r="E73" s="2903">
        <v>34650</v>
      </c>
      <c r="F73" s="2904">
        <f t="shared" si="23"/>
        <v>1.2112682132004045E-3</v>
      </c>
      <c r="G73" s="2903">
        <f t="shared" si="24"/>
        <v>34650</v>
      </c>
      <c r="H73" s="2903">
        <f t="shared" si="25"/>
        <v>0</v>
      </c>
      <c r="I73" s="2905">
        <f t="shared" si="26"/>
        <v>21945</v>
      </c>
      <c r="J73" s="1096">
        <v>6714</v>
      </c>
      <c r="K73" s="2479">
        <f t="shared" si="34"/>
        <v>275005.44</v>
      </c>
      <c r="L73" s="398">
        <f t="shared" si="27"/>
        <v>6930</v>
      </c>
      <c r="M73" s="1095">
        <f t="shared" si="28"/>
        <v>35589</v>
      </c>
      <c r="N73" s="2906">
        <f t="shared" si="29"/>
        <v>1.1201341534779624E-3</v>
      </c>
      <c r="O73" s="2907">
        <f t="shared" si="35"/>
        <v>2.0002137636061269E-5</v>
      </c>
      <c r="P73" s="2908">
        <f t="shared" si="36"/>
        <v>115500</v>
      </c>
      <c r="Q73" s="1095">
        <f t="shared" si="37"/>
        <v>31531.5</v>
      </c>
      <c r="R73" s="2909">
        <f t="shared" si="38"/>
        <v>147031.5</v>
      </c>
      <c r="S73" s="398">
        <f t="shared" si="39"/>
        <v>0</v>
      </c>
      <c r="T73" s="1095">
        <f t="shared" si="40"/>
        <v>0</v>
      </c>
      <c r="U73" s="398">
        <f t="shared" si="41"/>
        <v>0</v>
      </c>
      <c r="V73" s="2913">
        <v>0</v>
      </c>
      <c r="W73" s="1095">
        <f t="shared" si="30"/>
        <v>35718.480000000003</v>
      </c>
      <c r="X73" s="1095">
        <f t="shared" si="31"/>
        <v>6930</v>
      </c>
      <c r="Y73" s="2909">
        <f t="shared" si="42"/>
        <v>42648.480000000003</v>
      </c>
      <c r="Z73" s="2913">
        <v>0</v>
      </c>
      <c r="AA73" s="1095">
        <f t="shared" si="32"/>
        <v>19269.18</v>
      </c>
      <c r="AB73" s="1095">
        <f t="shared" si="33"/>
        <v>0</v>
      </c>
      <c r="AC73" s="2909">
        <f t="shared" si="43"/>
        <v>19269.18</v>
      </c>
    </row>
    <row r="74" spans="1:29">
      <c r="A74" s="2899" t="s">
        <v>4152</v>
      </c>
      <c r="B74" s="2900" t="s">
        <v>4075</v>
      </c>
      <c r="C74" s="2901">
        <v>200</v>
      </c>
      <c r="D74" s="2902">
        <f t="shared" si="22"/>
        <v>5.7149715108670187E-4</v>
      </c>
      <c r="E74" s="2903">
        <v>18000</v>
      </c>
      <c r="F74" s="2904">
        <f t="shared" si="23"/>
        <v>6.2923024062358675E-4</v>
      </c>
      <c r="G74" s="2903">
        <f t="shared" si="24"/>
        <v>18000</v>
      </c>
      <c r="H74" s="2903">
        <f t="shared" si="25"/>
        <v>0</v>
      </c>
      <c r="I74" s="2905">
        <f t="shared" si="26"/>
        <v>11400</v>
      </c>
      <c r="J74" s="1096">
        <v>3488</v>
      </c>
      <c r="K74" s="2479">
        <f t="shared" si="34"/>
        <v>142868.48000000001</v>
      </c>
      <c r="L74" s="398">
        <f t="shared" si="27"/>
        <v>3600</v>
      </c>
      <c r="M74" s="1095">
        <f t="shared" si="28"/>
        <v>18488</v>
      </c>
      <c r="N74" s="2906">
        <f t="shared" si="29"/>
        <v>5.8189441202339393E-4</v>
      </c>
      <c r="O74" s="2907">
        <f t="shared" si="35"/>
        <v>1.0397260936692056E-5</v>
      </c>
      <c r="P74" s="2908">
        <f t="shared" si="36"/>
        <v>60000</v>
      </c>
      <c r="Q74" s="1095">
        <f t="shared" si="37"/>
        <v>16380</v>
      </c>
      <c r="R74" s="2909">
        <f t="shared" si="38"/>
        <v>76380</v>
      </c>
      <c r="S74" s="398">
        <f t="shared" si="39"/>
        <v>0</v>
      </c>
      <c r="T74" s="1095">
        <f t="shared" si="40"/>
        <v>0</v>
      </c>
      <c r="U74" s="398">
        <f t="shared" si="41"/>
        <v>0</v>
      </c>
      <c r="V74" s="2913">
        <v>0</v>
      </c>
      <c r="W74" s="1095">
        <f t="shared" si="30"/>
        <v>18556.16</v>
      </c>
      <c r="X74" s="1095">
        <f t="shared" si="31"/>
        <v>3600</v>
      </c>
      <c r="Y74" s="2909">
        <f t="shared" si="42"/>
        <v>22156.16</v>
      </c>
      <c r="Z74" s="2913">
        <v>0</v>
      </c>
      <c r="AA74" s="1095">
        <f t="shared" si="32"/>
        <v>10010.56</v>
      </c>
      <c r="AB74" s="1095">
        <f t="shared" si="33"/>
        <v>0</v>
      </c>
      <c r="AC74" s="2909">
        <f t="shared" si="43"/>
        <v>10010.56</v>
      </c>
    </row>
    <row r="75" spans="1:29">
      <c r="A75" s="2899" t="s">
        <v>4153</v>
      </c>
      <c r="B75" s="2900" t="s">
        <v>4071</v>
      </c>
      <c r="C75" s="2901">
        <v>510</v>
      </c>
      <c r="D75" s="2902">
        <f t="shared" si="22"/>
        <v>1.4573177352710897E-3</v>
      </c>
      <c r="E75" s="2903">
        <v>45900</v>
      </c>
      <c r="F75" s="2904">
        <f t="shared" si="23"/>
        <v>1.6045371135901463E-3</v>
      </c>
      <c r="G75" s="2903">
        <f t="shared" si="24"/>
        <v>45900</v>
      </c>
      <c r="H75" s="2903">
        <f t="shared" si="25"/>
        <v>0</v>
      </c>
      <c r="I75" s="2905">
        <f t="shared" si="26"/>
        <v>29070</v>
      </c>
      <c r="J75" s="1096">
        <v>8894</v>
      </c>
      <c r="K75" s="2479">
        <f t="shared" si="34"/>
        <v>364298.23999999999</v>
      </c>
      <c r="L75" s="398">
        <f t="shared" si="27"/>
        <v>9180</v>
      </c>
      <c r="M75" s="1095">
        <f t="shared" si="28"/>
        <v>47144</v>
      </c>
      <c r="N75" s="2906">
        <f t="shared" si="29"/>
        <v>1.4838181609925834E-3</v>
      </c>
      <c r="O75" s="2907">
        <f t="shared" si="35"/>
        <v>2.6500425721493696E-5</v>
      </c>
      <c r="P75" s="2908">
        <f t="shared" si="36"/>
        <v>153000</v>
      </c>
      <c r="Q75" s="1095">
        <f t="shared" si="37"/>
        <v>41769</v>
      </c>
      <c r="R75" s="2909">
        <f t="shared" si="38"/>
        <v>194769</v>
      </c>
      <c r="S75" s="398">
        <f t="shared" si="39"/>
        <v>0</v>
      </c>
      <c r="T75" s="1095">
        <f t="shared" si="40"/>
        <v>0</v>
      </c>
      <c r="U75" s="398">
        <f t="shared" si="41"/>
        <v>0</v>
      </c>
      <c r="V75" s="2913">
        <v>0</v>
      </c>
      <c r="W75" s="1095">
        <f t="shared" si="30"/>
        <v>47316.08</v>
      </c>
      <c r="X75" s="1095">
        <f t="shared" si="31"/>
        <v>9180</v>
      </c>
      <c r="Y75" s="2909">
        <f t="shared" si="42"/>
        <v>56496.08</v>
      </c>
      <c r="Z75" s="2913">
        <v>0</v>
      </c>
      <c r="AA75" s="1095">
        <f t="shared" si="32"/>
        <v>25525.780000000002</v>
      </c>
      <c r="AB75" s="1095">
        <f t="shared" si="33"/>
        <v>0</v>
      </c>
      <c r="AC75" s="2909">
        <f t="shared" si="43"/>
        <v>25525.780000000002</v>
      </c>
    </row>
    <row r="76" spans="1:29">
      <c r="A76" s="2899" t="s">
        <v>4154</v>
      </c>
      <c r="B76" s="2900" t="s">
        <v>4077</v>
      </c>
      <c r="C76" s="2901">
        <v>160</v>
      </c>
      <c r="D76" s="2902">
        <f t="shared" si="22"/>
        <v>4.5719772086936144E-4</v>
      </c>
      <c r="E76" s="2903">
        <v>14400</v>
      </c>
      <c r="F76" s="2904">
        <f t="shared" si="23"/>
        <v>5.0338419249886944E-4</v>
      </c>
      <c r="G76" s="2903">
        <f t="shared" si="24"/>
        <v>14400</v>
      </c>
      <c r="H76" s="2903">
        <f t="shared" si="25"/>
        <v>0</v>
      </c>
      <c r="I76" s="2905">
        <f t="shared" si="26"/>
        <v>9120</v>
      </c>
      <c r="J76" s="1096">
        <v>0</v>
      </c>
      <c r="K76" s="2479">
        <f t="shared" si="34"/>
        <v>0</v>
      </c>
      <c r="L76" s="398">
        <f t="shared" si="27"/>
        <v>2880</v>
      </c>
      <c r="M76" s="1095">
        <f t="shared" si="28"/>
        <v>12000</v>
      </c>
      <c r="N76" s="2906">
        <f t="shared" si="29"/>
        <v>3.7769001213115141E-4</v>
      </c>
      <c r="O76" s="2907">
        <f t="shared" si="35"/>
        <v>-7.950770873821003E-5</v>
      </c>
      <c r="P76" s="2908">
        <f t="shared" si="36"/>
        <v>48000</v>
      </c>
      <c r="Q76" s="1095">
        <f t="shared" si="37"/>
        <v>13104</v>
      </c>
      <c r="R76" s="2909">
        <f t="shared" si="38"/>
        <v>61104</v>
      </c>
      <c r="S76" s="398">
        <f t="shared" si="39"/>
        <v>0</v>
      </c>
      <c r="T76" s="1095">
        <f t="shared" si="40"/>
        <v>0</v>
      </c>
      <c r="U76" s="398">
        <f t="shared" si="41"/>
        <v>0</v>
      </c>
      <c r="V76" s="2913">
        <v>0</v>
      </c>
      <c r="W76" s="1095">
        <f t="shared" si="30"/>
        <v>0</v>
      </c>
      <c r="X76" s="1095">
        <f t="shared" si="31"/>
        <v>2880</v>
      </c>
      <c r="Y76" s="2909">
        <f t="shared" si="42"/>
        <v>2880</v>
      </c>
      <c r="Z76" s="2913">
        <v>0</v>
      </c>
      <c r="AA76" s="1095">
        <f t="shared" si="32"/>
        <v>0</v>
      </c>
      <c r="AB76" s="1095">
        <f t="shared" si="33"/>
        <v>0</v>
      </c>
      <c r="AC76" s="2909">
        <f t="shared" si="43"/>
        <v>0</v>
      </c>
    </row>
    <row r="77" spans="1:29">
      <c r="A77" s="2899" t="s">
        <v>4155</v>
      </c>
      <c r="B77" s="2900" t="s">
        <v>4071</v>
      </c>
      <c r="C77" s="2901">
        <v>205</v>
      </c>
      <c r="D77" s="2902">
        <f t="shared" si="22"/>
        <v>5.8578457986386938E-4</v>
      </c>
      <c r="E77" s="2903">
        <v>18450</v>
      </c>
      <c r="F77" s="2904">
        <f t="shared" si="23"/>
        <v>6.4496099663917644E-4</v>
      </c>
      <c r="G77" s="2903">
        <f t="shared" si="24"/>
        <v>18450</v>
      </c>
      <c r="H77" s="2903">
        <f t="shared" si="25"/>
        <v>0</v>
      </c>
      <c r="I77" s="2905">
        <f t="shared" si="26"/>
        <v>11685</v>
      </c>
      <c r="J77" s="1096">
        <v>3575</v>
      </c>
      <c r="K77" s="2479">
        <f t="shared" si="34"/>
        <v>146432</v>
      </c>
      <c r="L77" s="398">
        <f t="shared" si="27"/>
        <v>3690</v>
      </c>
      <c r="M77" s="1095">
        <f t="shared" si="28"/>
        <v>18950</v>
      </c>
      <c r="N77" s="2906">
        <f t="shared" si="29"/>
        <v>5.9643547749044321E-4</v>
      </c>
      <c r="O77" s="2907">
        <f t="shared" si="35"/>
        <v>1.0650897626573834E-5</v>
      </c>
      <c r="P77" s="2908">
        <f t="shared" si="36"/>
        <v>61500</v>
      </c>
      <c r="Q77" s="1095">
        <f t="shared" si="37"/>
        <v>16789.5</v>
      </c>
      <c r="R77" s="2909">
        <f t="shared" si="38"/>
        <v>78289.5</v>
      </c>
      <c r="S77" s="398">
        <f t="shared" si="39"/>
        <v>0</v>
      </c>
      <c r="T77" s="1095">
        <f t="shared" si="40"/>
        <v>0</v>
      </c>
      <c r="U77" s="398">
        <f t="shared" si="41"/>
        <v>0</v>
      </c>
      <c r="V77" s="2913">
        <v>0</v>
      </c>
      <c r="W77" s="1095">
        <f t="shared" si="30"/>
        <v>19019</v>
      </c>
      <c r="X77" s="1095">
        <f t="shared" si="31"/>
        <v>3690</v>
      </c>
      <c r="Y77" s="2909">
        <f t="shared" si="42"/>
        <v>22709</v>
      </c>
      <c r="Z77" s="2913">
        <v>0</v>
      </c>
      <c r="AA77" s="1095">
        <f t="shared" si="32"/>
        <v>10260.25</v>
      </c>
      <c r="AB77" s="1095">
        <f t="shared" si="33"/>
        <v>0</v>
      </c>
      <c r="AC77" s="2909">
        <f t="shared" si="43"/>
        <v>10260.25</v>
      </c>
    </row>
    <row r="78" spans="1:29">
      <c r="A78" s="2899" t="s">
        <v>4156</v>
      </c>
      <c r="B78" s="2900" t="s">
        <v>4087</v>
      </c>
      <c r="C78" s="2901">
        <v>600</v>
      </c>
      <c r="D78" s="2902">
        <f t="shared" si="22"/>
        <v>1.7144914532601055E-3</v>
      </c>
      <c r="E78" s="2903">
        <v>54000</v>
      </c>
      <c r="F78" s="2904">
        <f t="shared" si="23"/>
        <v>1.8876907218707602E-3</v>
      </c>
      <c r="G78" s="2903">
        <f t="shared" si="24"/>
        <v>54000</v>
      </c>
      <c r="H78" s="2903">
        <f t="shared" si="25"/>
        <v>0</v>
      </c>
      <c r="I78" s="2905">
        <f t="shared" si="26"/>
        <v>34200</v>
      </c>
      <c r="J78" s="1096">
        <v>10464</v>
      </c>
      <c r="K78" s="2479">
        <f t="shared" si="34"/>
        <v>428605.44</v>
      </c>
      <c r="L78" s="398">
        <f t="shared" si="27"/>
        <v>10800</v>
      </c>
      <c r="M78" s="1095">
        <f t="shared" si="28"/>
        <v>55464</v>
      </c>
      <c r="N78" s="2906">
        <f t="shared" si="29"/>
        <v>1.7456832360701819E-3</v>
      </c>
      <c r="O78" s="2907">
        <f t="shared" si="35"/>
        <v>3.1191782810076384E-5</v>
      </c>
      <c r="P78" s="2908">
        <f t="shared" si="36"/>
        <v>180000</v>
      </c>
      <c r="Q78" s="1095">
        <f t="shared" si="37"/>
        <v>49140</v>
      </c>
      <c r="R78" s="2909">
        <f t="shared" si="38"/>
        <v>229140</v>
      </c>
      <c r="S78" s="398">
        <f t="shared" si="39"/>
        <v>0</v>
      </c>
      <c r="T78" s="1095">
        <f t="shared" si="40"/>
        <v>0</v>
      </c>
      <c r="U78" s="398">
        <f t="shared" si="41"/>
        <v>0</v>
      </c>
      <c r="V78" s="2913">
        <v>0</v>
      </c>
      <c r="W78" s="1095">
        <f t="shared" si="30"/>
        <v>55668.480000000003</v>
      </c>
      <c r="X78" s="1095">
        <f t="shared" si="31"/>
        <v>10800</v>
      </c>
      <c r="Y78" s="2909">
        <f t="shared" si="42"/>
        <v>66468.48000000001</v>
      </c>
      <c r="Z78" s="2913">
        <v>0</v>
      </c>
      <c r="AA78" s="1095">
        <f t="shared" si="32"/>
        <v>30031.68</v>
      </c>
      <c r="AB78" s="1095">
        <f t="shared" si="33"/>
        <v>0</v>
      </c>
      <c r="AC78" s="2909">
        <f t="shared" si="43"/>
        <v>30031.68</v>
      </c>
    </row>
    <row r="79" spans="1:29">
      <c r="A79" s="2899" t="s">
        <v>4157</v>
      </c>
      <c r="B79" s="2900" t="s">
        <v>4073</v>
      </c>
      <c r="C79" s="2901">
        <v>145</v>
      </c>
      <c r="D79" s="2902">
        <f t="shared" si="22"/>
        <v>4.1433543453785882E-4</v>
      </c>
      <c r="E79" s="2903">
        <v>13050</v>
      </c>
      <c r="F79" s="2904">
        <f t="shared" si="23"/>
        <v>4.5619192445210037E-4</v>
      </c>
      <c r="G79" s="2903">
        <f t="shared" si="24"/>
        <v>13050</v>
      </c>
      <c r="H79" s="2903">
        <f t="shared" si="25"/>
        <v>0</v>
      </c>
      <c r="I79" s="2905">
        <f t="shared" si="26"/>
        <v>8265</v>
      </c>
      <c r="J79" s="1096">
        <v>2528</v>
      </c>
      <c r="K79" s="2479">
        <f t="shared" si="34"/>
        <v>103546.88</v>
      </c>
      <c r="L79" s="398">
        <f t="shared" si="27"/>
        <v>2610</v>
      </c>
      <c r="M79" s="1095">
        <f t="shared" si="28"/>
        <v>13403</v>
      </c>
      <c r="N79" s="2906">
        <f t="shared" si="29"/>
        <v>4.2184826938281852E-4</v>
      </c>
      <c r="O79" s="2907">
        <f t="shared" si="35"/>
        <v>7.512834844959702E-6</v>
      </c>
      <c r="P79" s="2908">
        <f t="shared" si="36"/>
        <v>43500</v>
      </c>
      <c r="Q79" s="1095">
        <f t="shared" si="37"/>
        <v>11875.5</v>
      </c>
      <c r="R79" s="2909">
        <f t="shared" si="38"/>
        <v>55375.5</v>
      </c>
      <c r="S79" s="398">
        <f t="shared" si="39"/>
        <v>0</v>
      </c>
      <c r="T79" s="1095">
        <f t="shared" si="40"/>
        <v>0</v>
      </c>
      <c r="U79" s="398">
        <f t="shared" si="41"/>
        <v>0</v>
      </c>
      <c r="V79" s="2913">
        <v>0</v>
      </c>
      <c r="W79" s="1095">
        <f t="shared" si="30"/>
        <v>13448.960000000001</v>
      </c>
      <c r="X79" s="1095">
        <f t="shared" si="31"/>
        <v>2610</v>
      </c>
      <c r="Y79" s="2909">
        <f t="shared" si="42"/>
        <v>16058.960000000001</v>
      </c>
      <c r="Z79" s="2913">
        <v>0</v>
      </c>
      <c r="AA79" s="1095">
        <f t="shared" si="32"/>
        <v>7255.3600000000006</v>
      </c>
      <c r="AB79" s="1095">
        <f t="shared" si="33"/>
        <v>0</v>
      </c>
      <c r="AC79" s="2909">
        <f t="shared" si="43"/>
        <v>7255.3600000000006</v>
      </c>
    </row>
    <row r="80" spans="1:29">
      <c r="A80" s="2899" t="s">
        <v>4158</v>
      </c>
      <c r="B80" s="2900" t="s">
        <v>4089</v>
      </c>
      <c r="C80" s="2901">
        <v>1160</v>
      </c>
      <c r="D80" s="2902">
        <f t="shared" si="22"/>
        <v>3.3146834763028705E-3</v>
      </c>
      <c r="E80" s="2903">
        <v>104400</v>
      </c>
      <c r="F80" s="2904">
        <f t="shared" si="23"/>
        <v>3.649535395616803E-3</v>
      </c>
      <c r="G80" s="2903">
        <f t="shared" si="24"/>
        <v>104400</v>
      </c>
      <c r="H80" s="2903">
        <f t="shared" si="25"/>
        <v>0</v>
      </c>
      <c r="I80" s="2905">
        <f t="shared" si="26"/>
        <v>66120</v>
      </c>
      <c r="J80" s="1096">
        <v>40462</v>
      </c>
      <c r="K80" s="2479">
        <f t="shared" si="34"/>
        <v>1657323.52</v>
      </c>
      <c r="L80" s="398">
        <f t="shared" si="27"/>
        <v>20880</v>
      </c>
      <c r="M80" s="1095">
        <f t="shared" si="28"/>
        <v>127462</v>
      </c>
      <c r="N80" s="2906">
        <f t="shared" si="29"/>
        <v>4.0117603605217354E-3</v>
      </c>
      <c r="O80" s="2907">
        <f t="shared" si="35"/>
        <v>6.9707688421886483E-4</v>
      </c>
      <c r="P80" s="2908">
        <f t="shared" si="36"/>
        <v>348000</v>
      </c>
      <c r="Q80" s="1095">
        <f t="shared" si="37"/>
        <v>95004</v>
      </c>
      <c r="R80" s="2909">
        <f t="shared" si="38"/>
        <v>443004</v>
      </c>
      <c r="S80" s="398">
        <f t="shared" si="39"/>
        <v>0</v>
      </c>
      <c r="T80" s="1095">
        <f t="shared" si="40"/>
        <v>0</v>
      </c>
      <c r="U80" s="398">
        <f t="shared" si="41"/>
        <v>0</v>
      </c>
      <c r="V80" s="2913">
        <v>0</v>
      </c>
      <c r="W80" s="1095">
        <f t="shared" si="30"/>
        <v>215257.84000000003</v>
      </c>
      <c r="X80" s="1095">
        <f t="shared" si="31"/>
        <v>20880</v>
      </c>
      <c r="Y80" s="2909">
        <f t="shared" si="42"/>
        <v>236137.84000000003</v>
      </c>
      <c r="Z80" s="2913">
        <v>0</v>
      </c>
      <c r="AA80" s="1095">
        <f t="shared" si="32"/>
        <v>116125.94</v>
      </c>
      <c r="AB80" s="1095">
        <f t="shared" si="33"/>
        <v>0</v>
      </c>
      <c r="AC80" s="2909">
        <f t="shared" si="43"/>
        <v>116125.94</v>
      </c>
    </row>
    <row r="81" spans="1:29">
      <c r="A81" s="2899" t="s">
        <v>4159</v>
      </c>
      <c r="B81" s="2900" t="s">
        <v>4071</v>
      </c>
      <c r="C81" s="2901">
        <v>6676</v>
      </c>
      <c r="D81" s="2902">
        <f t="shared" si="22"/>
        <v>1.9076574903274107E-2</v>
      </c>
      <c r="E81" s="2903">
        <v>600840</v>
      </c>
      <c r="F81" s="2904">
        <f t="shared" si="23"/>
        <v>2.1003705432015324E-2</v>
      </c>
      <c r="G81" s="2903">
        <f t="shared" si="24"/>
        <v>600840</v>
      </c>
      <c r="H81" s="2903">
        <f t="shared" si="25"/>
        <v>0</v>
      </c>
      <c r="I81" s="2905">
        <f t="shared" si="26"/>
        <v>380532</v>
      </c>
      <c r="J81" s="1096">
        <v>0</v>
      </c>
      <c r="K81" s="2479">
        <f t="shared" si="34"/>
        <v>0</v>
      </c>
      <c r="L81" s="398">
        <f t="shared" si="27"/>
        <v>120168</v>
      </c>
      <c r="M81" s="1095">
        <f t="shared" si="28"/>
        <v>500700</v>
      </c>
      <c r="N81" s="2906">
        <f t="shared" si="29"/>
        <v>1.5759115756172292E-2</v>
      </c>
      <c r="O81" s="2907">
        <f t="shared" si="35"/>
        <v>-3.3174591471018151E-3</v>
      </c>
      <c r="P81" s="2908">
        <f t="shared" si="36"/>
        <v>2002800</v>
      </c>
      <c r="Q81" s="1095">
        <f t="shared" si="37"/>
        <v>546764.4</v>
      </c>
      <c r="R81" s="2909">
        <f t="shared" si="38"/>
        <v>2549564.4</v>
      </c>
      <c r="S81" s="398">
        <f t="shared" si="39"/>
        <v>0</v>
      </c>
      <c r="T81" s="1095">
        <f t="shared" si="40"/>
        <v>0</v>
      </c>
      <c r="U81" s="398">
        <f t="shared" si="41"/>
        <v>0</v>
      </c>
      <c r="V81" s="2913">
        <v>0</v>
      </c>
      <c r="W81" s="1095">
        <f t="shared" si="30"/>
        <v>0</v>
      </c>
      <c r="X81" s="1095">
        <f t="shared" si="31"/>
        <v>120168</v>
      </c>
      <c r="Y81" s="2909">
        <f t="shared" si="42"/>
        <v>120168</v>
      </c>
      <c r="Z81" s="2913">
        <v>0</v>
      </c>
      <c r="AA81" s="1095">
        <f t="shared" si="32"/>
        <v>0</v>
      </c>
      <c r="AB81" s="1095">
        <f t="shared" si="33"/>
        <v>0</v>
      </c>
      <c r="AC81" s="2909">
        <f t="shared" si="43"/>
        <v>0</v>
      </c>
    </row>
    <row r="82" spans="1:29">
      <c r="A82" s="2899" t="s">
        <v>4160</v>
      </c>
      <c r="B82" s="2900" t="s">
        <v>4069</v>
      </c>
      <c r="C82" s="2901">
        <v>740</v>
      </c>
      <c r="D82" s="2902">
        <f t="shared" si="22"/>
        <v>2.114539459020797E-3</v>
      </c>
      <c r="E82" s="2903">
        <v>66600</v>
      </c>
      <c r="F82" s="2904">
        <f t="shared" si="23"/>
        <v>2.3281518903072711E-3</v>
      </c>
      <c r="G82" s="2903">
        <f t="shared" si="24"/>
        <v>66600</v>
      </c>
      <c r="H82" s="2903">
        <f t="shared" si="25"/>
        <v>0</v>
      </c>
      <c r="I82" s="2905">
        <f t="shared" si="26"/>
        <v>42180</v>
      </c>
      <c r="J82" s="1096">
        <v>12906</v>
      </c>
      <c r="K82" s="2479">
        <f t="shared" si="34"/>
        <v>528629.76000000001</v>
      </c>
      <c r="L82" s="398">
        <f t="shared" si="27"/>
        <v>13320</v>
      </c>
      <c r="M82" s="1095">
        <f t="shared" si="28"/>
        <v>68406</v>
      </c>
      <c r="N82" s="2906">
        <f t="shared" si="29"/>
        <v>2.1530219141536284E-3</v>
      </c>
      <c r="O82" s="2907">
        <f t="shared" si="35"/>
        <v>3.8482455132831436E-5</v>
      </c>
      <c r="P82" s="2908">
        <f t="shared" si="36"/>
        <v>222000</v>
      </c>
      <c r="Q82" s="1095">
        <f t="shared" si="37"/>
        <v>60606</v>
      </c>
      <c r="R82" s="2909">
        <f t="shared" si="38"/>
        <v>282606</v>
      </c>
      <c r="S82" s="398">
        <f t="shared" si="39"/>
        <v>0</v>
      </c>
      <c r="T82" s="1095">
        <f t="shared" si="40"/>
        <v>0</v>
      </c>
      <c r="U82" s="398">
        <f t="shared" si="41"/>
        <v>0</v>
      </c>
      <c r="V82" s="2913">
        <v>0</v>
      </c>
      <c r="W82" s="1095">
        <f t="shared" si="30"/>
        <v>68659.92</v>
      </c>
      <c r="X82" s="1095">
        <f t="shared" si="31"/>
        <v>13320</v>
      </c>
      <c r="Y82" s="2909">
        <f t="shared" si="42"/>
        <v>81979.92</v>
      </c>
      <c r="Z82" s="2913">
        <v>0</v>
      </c>
      <c r="AA82" s="1095">
        <f t="shared" si="32"/>
        <v>37040.22</v>
      </c>
      <c r="AB82" s="1095">
        <f t="shared" si="33"/>
        <v>0</v>
      </c>
      <c r="AC82" s="2909">
        <f t="shared" si="43"/>
        <v>37040.22</v>
      </c>
    </row>
    <row r="83" spans="1:29">
      <c r="A83" s="2899" t="s">
        <v>4161</v>
      </c>
      <c r="B83" s="2900" t="s">
        <v>4089</v>
      </c>
      <c r="C83" s="2901">
        <v>190</v>
      </c>
      <c r="D83" s="2902">
        <f t="shared" si="22"/>
        <v>5.4292229353236675E-4</v>
      </c>
      <c r="E83" s="2903">
        <v>17100</v>
      </c>
      <c r="F83" s="2904">
        <f t="shared" si="23"/>
        <v>5.9776872859240737E-4</v>
      </c>
      <c r="G83" s="2903">
        <f t="shared" si="24"/>
        <v>17100</v>
      </c>
      <c r="H83" s="2903">
        <f t="shared" si="25"/>
        <v>0</v>
      </c>
      <c r="I83" s="2905">
        <f t="shared" si="26"/>
        <v>10830</v>
      </c>
      <c r="J83" s="1096">
        <v>0</v>
      </c>
      <c r="K83" s="2479">
        <f t="shared" si="34"/>
        <v>0</v>
      </c>
      <c r="L83" s="398">
        <f t="shared" si="27"/>
        <v>3420</v>
      </c>
      <c r="M83" s="1095">
        <f t="shared" si="28"/>
        <v>14250</v>
      </c>
      <c r="N83" s="2906">
        <f t="shared" si="29"/>
        <v>4.485068894057423E-4</v>
      </c>
      <c r="O83" s="2907">
        <f t="shared" si="35"/>
        <v>-9.4415404126624454E-5</v>
      </c>
      <c r="P83" s="2908">
        <f t="shared" si="36"/>
        <v>57000</v>
      </c>
      <c r="Q83" s="1095">
        <f t="shared" si="37"/>
        <v>15561</v>
      </c>
      <c r="R83" s="2909">
        <f t="shared" si="38"/>
        <v>72561</v>
      </c>
      <c r="S83" s="398">
        <f t="shared" si="39"/>
        <v>0</v>
      </c>
      <c r="T83" s="1095">
        <f t="shared" si="40"/>
        <v>0</v>
      </c>
      <c r="U83" s="398">
        <f t="shared" si="41"/>
        <v>0</v>
      </c>
      <c r="V83" s="2913">
        <v>0</v>
      </c>
      <c r="W83" s="1095">
        <f t="shared" si="30"/>
        <v>0</v>
      </c>
      <c r="X83" s="1095">
        <f t="shared" si="31"/>
        <v>3420</v>
      </c>
      <c r="Y83" s="2909">
        <f t="shared" si="42"/>
        <v>3420</v>
      </c>
      <c r="Z83" s="2913">
        <v>0</v>
      </c>
      <c r="AA83" s="1095">
        <f t="shared" si="32"/>
        <v>0</v>
      </c>
      <c r="AB83" s="1095">
        <f t="shared" si="33"/>
        <v>0</v>
      </c>
      <c r="AC83" s="2909">
        <f t="shared" si="43"/>
        <v>0</v>
      </c>
    </row>
    <row r="84" spans="1:29">
      <c r="A84" s="2899" t="s">
        <v>4162</v>
      </c>
      <c r="B84" s="2900" t="s">
        <v>4129</v>
      </c>
      <c r="C84" s="2901">
        <v>220</v>
      </c>
      <c r="D84" s="2902">
        <f t="shared" si="22"/>
        <v>6.2864686619537201E-4</v>
      </c>
      <c r="E84" s="2903">
        <v>19800</v>
      </c>
      <c r="F84" s="2904">
        <f t="shared" si="23"/>
        <v>6.921532646859454E-4</v>
      </c>
      <c r="G84" s="2903">
        <f t="shared" si="24"/>
        <v>19800</v>
      </c>
      <c r="H84" s="2903">
        <f t="shared" si="25"/>
        <v>0</v>
      </c>
      <c r="I84" s="2905">
        <f t="shared" si="26"/>
        <v>12540</v>
      </c>
      <c r="J84" s="1096">
        <v>3835</v>
      </c>
      <c r="K84" s="2479">
        <f t="shared" si="34"/>
        <v>157081.60000000001</v>
      </c>
      <c r="L84" s="398">
        <f t="shared" si="27"/>
        <v>3960</v>
      </c>
      <c r="M84" s="1095">
        <f t="shared" si="28"/>
        <v>20335</v>
      </c>
      <c r="N84" s="2906">
        <f t="shared" si="29"/>
        <v>6.4002719972391367E-4</v>
      </c>
      <c r="O84" s="2907">
        <f t="shared" si="35"/>
        <v>1.1380333528541661E-5</v>
      </c>
      <c r="P84" s="2908">
        <f t="shared" si="36"/>
        <v>66000</v>
      </c>
      <c r="Q84" s="1095">
        <f t="shared" si="37"/>
        <v>18018</v>
      </c>
      <c r="R84" s="2909">
        <f t="shared" si="38"/>
        <v>84018</v>
      </c>
      <c r="S84" s="398">
        <f t="shared" si="39"/>
        <v>0</v>
      </c>
      <c r="T84" s="1095">
        <f t="shared" si="40"/>
        <v>0</v>
      </c>
      <c r="U84" s="398">
        <f t="shared" si="41"/>
        <v>0</v>
      </c>
      <c r="V84" s="2913">
        <v>0</v>
      </c>
      <c r="W84" s="1095">
        <f t="shared" si="30"/>
        <v>20402.2</v>
      </c>
      <c r="X84" s="1095">
        <f t="shared" si="31"/>
        <v>3960</v>
      </c>
      <c r="Y84" s="2909">
        <f t="shared" si="42"/>
        <v>24362.2</v>
      </c>
      <c r="Z84" s="2913">
        <v>0</v>
      </c>
      <c r="AA84" s="1095">
        <f t="shared" si="32"/>
        <v>11006.45</v>
      </c>
      <c r="AB84" s="1095">
        <f t="shared" si="33"/>
        <v>0</v>
      </c>
      <c r="AC84" s="2909">
        <f t="shared" si="43"/>
        <v>11006.45</v>
      </c>
    </row>
    <row r="85" spans="1:29">
      <c r="A85" s="2899" t="s">
        <v>4163</v>
      </c>
      <c r="B85" s="2900" t="s">
        <v>4073</v>
      </c>
      <c r="C85" s="2901">
        <v>125</v>
      </c>
      <c r="D85" s="2902">
        <f t="shared" si="22"/>
        <v>3.5718571942918863E-4</v>
      </c>
      <c r="E85" s="2903">
        <v>11250</v>
      </c>
      <c r="F85" s="2904">
        <f t="shared" si="23"/>
        <v>3.9326890038974172E-4</v>
      </c>
      <c r="G85" s="2903">
        <f t="shared" si="24"/>
        <v>11250</v>
      </c>
      <c r="H85" s="2903">
        <f t="shared" si="25"/>
        <v>0</v>
      </c>
      <c r="I85" s="2905">
        <f t="shared" si="26"/>
        <v>7125</v>
      </c>
      <c r="J85" s="1096">
        <v>0</v>
      </c>
      <c r="K85" s="2479">
        <f t="shared" si="34"/>
        <v>0</v>
      </c>
      <c r="L85" s="398">
        <f t="shared" si="27"/>
        <v>2250</v>
      </c>
      <c r="M85" s="1095">
        <f t="shared" si="28"/>
        <v>9375</v>
      </c>
      <c r="N85" s="2906">
        <f t="shared" si="29"/>
        <v>2.9507032197746203E-4</v>
      </c>
      <c r="O85" s="2907">
        <f t="shared" si="35"/>
        <v>-6.2115397451726598E-5</v>
      </c>
      <c r="P85" s="2908">
        <f t="shared" si="36"/>
        <v>37500</v>
      </c>
      <c r="Q85" s="1095">
        <f t="shared" si="37"/>
        <v>10237.5</v>
      </c>
      <c r="R85" s="2909">
        <f t="shared" si="38"/>
        <v>47737.5</v>
      </c>
      <c r="S85" s="398">
        <f t="shared" si="39"/>
        <v>0</v>
      </c>
      <c r="T85" s="1095">
        <f t="shared" si="40"/>
        <v>0</v>
      </c>
      <c r="U85" s="398">
        <f t="shared" si="41"/>
        <v>0</v>
      </c>
      <c r="V85" s="2913">
        <v>0</v>
      </c>
      <c r="W85" s="1095">
        <f t="shared" si="30"/>
        <v>0</v>
      </c>
      <c r="X85" s="1095">
        <f t="shared" si="31"/>
        <v>2250</v>
      </c>
      <c r="Y85" s="2909">
        <f t="shared" si="42"/>
        <v>2250</v>
      </c>
      <c r="Z85" s="2913">
        <v>0</v>
      </c>
      <c r="AA85" s="1095">
        <f t="shared" si="32"/>
        <v>0</v>
      </c>
      <c r="AB85" s="1095">
        <f t="shared" si="33"/>
        <v>0</v>
      </c>
      <c r="AC85" s="2909">
        <f t="shared" si="43"/>
        <v>0</v>
      </c>
    </row>
    <row r="86" spans="1:29">
      <c r="A86" s="2899" t="s">
        <v>4164</v>
      </c>
      <c r="B86" s="2900" t="s">
        <v>4077</v>
      </c>
      <c r="C86" s="2901">
        <v>195</v>
      </c>
      <c r="D86" s="2902">
        <f t="shared" si="22"/>
        <v>5.5720972230953426E-4</v>
      </c>
      <c r="E86" s="2903">
        <v>17550</v>
      </c>
      <c r="F86" s="2904">
        <f t="shared" si="23"/>
        <v>6.1349948460799706E-4</v>
      </c>
      <c r="G86" s="2903">
        <f t="shared" si="24"/>
        <v>17550</v>
      </c>
      <c r="H86" s="2903">
        <f t="shared" si="25"/>
        <v>0</v>
      </c>
      <c r="I86" s="2905">
        <f t="shared" si="26"/>
        <v>11115</v>
      </c>
      <c r="J86" s="1096">
        <v>3400</v>
      </c>
      <c r="K86" s="2479">
        <f t="shared" si="34"/>
        <v>139264</v>
      </c>
      <c r="L86" s="398">
        <f t="shared" si="27"/>
        <v>3510</v>
      </c>
      <c r="M86" s="1095">
        <f t="shared" si="28"/>
        <v>18025</v>
      </c>
      <c r="N86" s="2906">
        <f t="shared" si="29"/>
        <v>5.6732187238866703E-4</v>
      </c>
      <c r="O86" s="2907">
        <f t="shared" si="35"/>
        <v>1.011215007913277E-5</v>
      </c>
      <c r="P86" s="2908">
        <f t="shared" si="36"/>
        <v>58500</v>
      </c>
      <c r="Q86" s="1095">
        <f t="shared" si="37"/>
        <v>15970.5</v>
      </c>
      <c r="R86" s="2909">
        <f t="shared" si="38"/>
        <v>74470.5</v>
      </c>
      <c r="S86" s="398">
        <f t="shared" si="39"/>
        <v>0</v>
      </c>
      <c r="T86" s="1095">
        <f t="shared" si="40"/>
        <v>0</v>
      </c>
      <c r="U86" s="398">
        <f t="shared" si="41"/>
        <v>0</v>
      </c>
      <c r="V86" s="2913">
        <v>0</v>
      </c>
      <c r="W86" s="1095">
        <f t="shared" si="30"/>
        <v>18088</v>
      </c>
      <c r="X86" s="1095">
        <f t="shared" si="31"/>
        <v>3510</v>
      </c>
      <c r="Y86" s="2909">
        <f t="shared" si="42"/>
        <v>21598</v>
      </c>
      <c r="Z86" s="2913">
        <v>0</v>
      </c>
      <c r="AA86" s="1095">
        <f t="shared" si="32"/>
        <v>9758</v>
      </c>
      <c r="AB86" s="1095">
        <f t="shared" si="33"/>
        <v>0</v>
      </c>
      <c r="AC86" s="2909">
        <f t="shared" si="43"/>
        <v>9758</v>
      </c>
    </row>
    <row r="87" spans="1:29">
      <c r="A87" s="2899" t="s">
        <v>4165</v>
      </c>
      <c r="B87" s="2900" t="s">
        <v>4077</v>
      </c>
      <c r="C87" s="2901">
        <v>475</v>
      </c>
      <c r="D87" s="2902">
        <f t="shared" si="22"/>
        <v>1.3573057338309169E-3</v>
      </c>
      <c r="E87" s="2903">
        <v>42750</v>
      </c>
      <c r="F87" s="2904">
        <f t="shared" si="23"/>
        <v>1.4944218214810185E-3</v>
      </c>
      <c r="G87" s="2903">
        <f t="shared" si="24"/>
        <v>42750</v>
      </c>
      <c r="H87" s="2903">
        <f t="shared" si="25"/>
        <v>0</v>
      </c>
      <c r="I87" s="2905">
        <f t="shared" si="26"/>
        <v>27075</v>
      </c>
      <c r="J87" s="1096">
        <v>8284</v>
      </c>
      <c r="K87" s="2479">
        <f t="shared" si="34"/>
        <v>339312.64000000001</v>
      </c>
      <c r="L87" s="398">
        <f t="shared" si="27"/>
        <v>8550</v>
      </c>
      <c r="M87" s="1095">
        <f t="shared" si="28"/>
        <v>43909</v>
      </c>
      <c r="N87" s="2906">
        <f t="shared" si="29"/>
        <v>1.3819992285555606E-3</v>
      </c>
      <c r="O87" s="2907">
        <f t="shared" si="35"/>
        <v>2.4693494724643741E-5</v>
      </c>
      <c r="P87" s="2908">
        <f t="shared" si="36"/>
        <v>142500</v>
      </c>
      <c r="Q87" s="1095">
        <f t="shared" si="37"/>
        <v>38902.5</v>
      </c>
      <c r="R87" s="2909">
        <f t="shared" si="38"/>
        <v>181402.5</v>
      </c>
      <c r="S87" s="398">
        <f t="shared" si="39"/>
        <v>0</v>
      </c>
      <c r="T87" s="1095">
        <f t="shared" si="40"/>
        <v>0</v>
      </c>
      <c r="U87" s="398">
        <f t="shared" si="41"/>
        <v>0</v>
      </c>
      <c r="V87" s="2913">
        <v>0</v>
      </c>
      <c r="W87" s="1095">
        <f t="shared" si="30"/>
        <v>44070.880000000005</v>
      </c>
      <c r="X87" s="1095">
        <f t="shared" si="31"/>
        <v>8550</v>
      </c>
      <c r="Y87" s="2909">
        <f t="shared" si="42"/>
        <v>52620.880000000005</v>
      </c>
      <c r="Z87" s="2913">
        <v>0</v>
      </c>
      <c r="AA87" s="1095">
        <f t="shared" si="32"/>
        <v>23775.08</v>
      </c>
      <c r="AB87" s="1095">
        <f t="shared" si="33"/>
        <v>0</v>
      </c>
      <c r="AC87" s="2909">
        <f t="shared" si="43"/>
        <v>23775.08</v>
      </c>
    </row>
    <row r="88" spans="1:29">
      <c r="A88" s="2899" t="s">
        <v>4166</v>
      </c>
      <c r="B88" s="2900" t="s">
        <v>4087</v>
      </c>
      <c r="C88" s="2901">
        <v>140</v>
      </c>
      <c r="D88" s="2902">
        <f t="shared" si="22"/>
        <v>4.0004800576069126E-4</v>
      </c>
      <c r="E88" s="2903">
        <v>12600</v>
      </c>
      <c r="F88" s="2904">
        <f t="shared" si="23"/>
        <v>4.4046116843651073E-4</v>
      </c>
      <c r="G88" s="2903">
        <f t="shared" si="24"/>
        <v>12600</v>
      </c>
      <c r="H88" s="2903">
        <f t="shared" si="25"/>
        <v>0</v>
      </c>
      <c r="I88" s="2905">
        <f t="shared" si="26"/>
        <v>7980</v>
      </c>
      <c r="J88" s="1096">
        <v>2441</v>
      </c>
      <c r="K88" s="2479">
        <f t="shared" si="34"/>
        <v>99983.360000000001</v>
      </c>
      <c r="L88" s="398">
        <f t="shared" si="27"/>
        <v>2520</v>
      </c>
      <c r="M88" s="1095">
        <f t="shared" si="28"/>
        <v>12941</v>
      </c>
      <c r="N88" s="2906">
        <f t="shared" si="29"/>
        <v>4.0730720391576918E-4</v>
      </c>
      <c r="O88" s="2907">
        <f t="shared" si="35"/>
        <v>7.2591981550779237E-6</v>
      </c>
      <c r="P88" s="2908">
        <f t="shared" si="36"/>
        <v>42000</v>
      </c>
      <c r="Q88" s="1095">
        <f t="shared" si="37"/>
        <v>11466</v>
      </c>
      <c r="R88" s="2909">
        <f t="shared" si="38"/>
        <v>53466</v>
      </c>
      <c r="S88" s="398">
        <f t="shared" si="39"/>
        <v>0</v>
      </c>
      <c r="T88" s="1095">
        <f t="shared" si="40"/>
        <v>0</v>
      </c>
      <c r="U88" s="398">
        <f t="shared" si="41"/>
        <v>0</v>
      </c>
      <c r="V88" s="2913">
        <v>0</v>
      </c>
      <c r="W88" s="1095">
        <f t="shared" si="30"/>
        <v>12986.12</v>
      </c>
      <c r="X88" s="1095">
        <f t="shared" si="31"/>
        <v>2520</v>
      </c>
      <c r="Y88" s="2909">
        <f t="shared" si="42"/>
        <v>15506.12</v>
      </c>
      <c r="Z88" s="2913">
        <v>0</v>
      </c>
      <c r="AA88" s="1095">
        <f t="shared" si="32"/>
        <v>7005.67</v>
      </c>
      <c r="AB88" s="1095">
        <f t="shared" si="33"/>
        <v>0</v>
      </c>
      <c r="AC88" s="2909">
        <f t="shared" si="43"/>
        <v>7005.67</v>
      </c>
    </row>
    <row r="89" spans="1:29">
      <c r="A89" s="2899" t="s">
        <v>4167</v>
      </c>
      <c r="B89" s="2900" t="s">
        <v>4073</v>
      </c>
      <c r="C89" s="2901">
        <v>180</v>
      </c>
      <c r="D89" s="2902">
        <f t="shared" si="22"/>
        <v>5.1434743597803163E-4</v>
      </c>
      <c r="E89" s="2903">
        <v>16200</v>
      </c>
      <c r="F89" s="2904">
        <f t="shared" si="23"/>
        <v>5.6630721656122809E-4</v>
      </c>
      <c r="G89" s="2903">
        <f t="shared" si="24"/>
        <v>16200</v>
      </c>
      <c r="H89" s="2903">
        <f t="shared" si="25"/>
        <v>0</v>
      </c>
      <c r="I89" s="2905">
        <f t="shared" si="26"/>
        <v>10260</v>
      </c>
      <c r="J89" s="1096">
        <v>0</v>
      </c>
      <c r="K89" s="2479">
        <f t="shared" si="34"/>
        <v>0</v>
      </c>
      <c r="L89" s="398">
        <f t="shared" si="27"/>
        <v>3240</v>
      </c>
      <c r="M89" s="1095">
        <f t="shared" si="28"/>
        <v>13500</v>
      </c>
      <c r="N89" s="2906">
        <f t="shared" si="29"/>
        <v>4.2490126364754535E-4</v>
      </c>
      <c r="O89" s="2907">
        <f t="shared" si="35"/>
        <v>-8.9446172330486277E-5</v>
      </c>
      <c r="P89" s="2908">
        <f t="shared" si="36"/>
        <v>54000</v>
      </c>
      <c r="Q89" s="1095">
        <f t="shared" si="37"/>
        <v>14742</v>
      </c>
      <c r="R89" s="2909">
        <f t="shared" si="38"/>
        <v>68742</v>
      </c>
      <c r="S89" s="398">
        <f t="shared" si="39"/>
        <v>0</v>
      </c>
      <c r="T89" s="1095">
        <f t="shared" si="40"/>
        <v>0</v>
      </c>
      <c r="U89" s="398">
        <f t="shared" si="41"/>
        <v>0</v>
      </c>
      <c r="V89" s="2913">
        <v>0</v>
      </c>
      <c r="W89" s="1095">
        <f t="shared" si="30"/>
        <v>0</v>
      </c>
      <c r="X89" s="1095">
        <f t="shared" si="31"/>
        <v>3240</v>
      </c>
      <c r="Y89" s="2909">
        <f t="shared" si="42"/>
        <v>3240</v>
      </c>
      <c r="Z89" s="2913">
        <v>0</v>
      </c>
      <c r="AA89" s="1095">
        <f t="shared" si="32"/>
        <v>0</v>
      </c>
      <c r="AB89" s="1095">
        <f t="shared" si="33"/>
        <v>0</v>
      </c>
      <c r="AC89" s="2909">
        <f t="shared" si="43"/>
        <v>0</v>
      </c>
    </row>
    <row r="90" spans="1:29">
      <c r="A90" s="2899" t="s">
        <v>4168</v>
      </c>
      <c r="B90" s="2900" t="s">
        <v>4069</v>
      </c>
      <c r="C90" s="2901">
        <v>350</v>
      </c>
      <c r="D90" s="2902">
        <f t="shared" si="22"/>
        <v>1.0001200144017282E-3</v>
      </c>
      <c r="E90" s="2903">
        <v>31500</v>
      </c>
      <c r="F90" s="2904">
        <f t="shared" si="23"/>
        <v>1.1011529210912768E-3</v>
      </c>
      <c r="G90" s="2903">
        <f t="shared" si="24"/>
        <v>31500</v>
      </c>
      <c r="H90" s="2903">
        <f t="shared" si="25"/>
        <v>0</v>
      </c>
      <c r="I90" s="2905">
        <f t="shared" si="26"/>
        <v>19950</v>
      </c>
      <c r="J90" s="1096">
        <v>12208</v>
      </c>
      <c r="K90" s="2479">
        <f t="shared" si="34"/>
        <v>500039.67999999999</v>
      </c>
      <c r="L90" s="398">
        <f t="shared" si="27"/>
        <v>6300</v>
      </c>
      <c r="M90" s="1095">
        <f t="shared" si="28"/>
        <v>38458</v>
      </c>
      <c r="N90" s="2906">
        <f t="shared" si="29"/>
        <v>1.210433540544985E-3</v>
      </c>
      <c r="O90" s="2907">
        <f t="shared" si="35"/>
        <v>2.1031352614325673E-4</v>
      </c>
      <c r="P90" s="2908">
        <f t="shared" si="36"/>
        <v>105000</v>
      </c>
      <c r="Q90" s="1095">
        <f t="shared" si="37"/>
        <v>28665</v>
      </c>
      <c r="R90" s="2909">
        <f t="shared" si="38"/>
        <v>133665</v>
      </c>
      <c r="S90" s="398">
        <f t="shared" si="39"/>
        <v>0</v>
      </c>
      <c r="T90" s="1095">
        <f t="shared" si="40"/>
        <v>0</v>
      </c>
      <c r="U90" s="398">
        <f t="shared" si="41"/>
        <v>0</v>
      </c>
      <c r="V90" s="2913">
        <v>0</v>
      </c>
      <c r="W90" s="1095">
        <f t="shared" si="30"/>
        <v>64946.560000000005</v>
      </c>
      <c r="X90" s="1095">
        <f t="shared" si="31"/>
        <v>6300</v>
      </c>
      <c r="Y90" s="2909">
        <f t="shared" si="42"/>
        <v>71246.559999999998</v>
      </c>
      <c r="Z90" s="2913">
        <v>0</v>
      </c>
      <c r="AA90" s="1095">
        <f t="shared" si="32"/>
        <v>35036.959999999999</v>
      </c>
      <c r="AB90" s="1095">
        <f t="shared" si="33"/>
        <v>0</v>
      </c>
      <c r="AC90" s="2909">
        <f t="shared" si="43"/>
        <v>35036.959999999999</v>
      </c>
    </row>
    <row r="91" spans="1:29">
      <c r="A91" s="2899" t="s">
        <v>4169</v>
      </c>
      <c r="B91" s="2900" t="s">
        <v>4089</v>
      </c>
      <c r="C91" s="2901">
        <v>160</v>
      </c>
      <c r="D91" s="2902">
        <f t="shared" si="22"/>
        <v>4.5719772086936144E-4</v>
      </c>
      <c r="E91" s="2903">
        <v>14400</v>
      </c>
      <c r="F91" s="2904">
        <f t="shared" si="23"/>
        <v>5.0338419249886944E-4</v>
      </c>
      <c r="G91" s="2903">
        <f t="shared" si="24"/>
        <v>14400</v>
      </c>
      <c r="H91" s="2903">
        <f t="shared" si="25"/>
        <v>0</v>
      </c>
      <c r="I91" s="2905">
        <f t="shared" si="26"/>
        <v>9120</v>
      </c>
      <c r="J91" s="1096">
        <v>0</v>
      </c>
      <c r="K91" s="2479">
        <f t="shared" si="34"/>
        <v>0</v>
      </c>
      <c r="L91" s="398">
        <f t="shared" si="27"/>
        <v>2880</v>
      </c>
      <c r="M91" s="1095">
        <f t="shared" si="28"/>
        <v>12000</v>
      </c>
      <c r="N91" s="2906">
        <f t="shared" si="29"/>
        <v>3.7769001213115141E-4</v>
      </c>
      <c r="O91" s="2907">
        <f t="shared" si="35"/>
        <v>-7.950770873821003E-5</v>
      </c>
      <c r="P91" s="2908">
        <f t="shared" si="36"/>
        <v>48000</v>
      </c>
      <c r="Q91" s="1095">
        <f t="shared" si="37"/>
        <v>13104</v>
      </c>
      <c r="R91" s="2909">
        <f t="shared" si="38"/>
        <v>61104</v>
      </c>
      <c r="S91" s="398">
        <f t="shared" si="39"/>
        <v>0</v>
      </c>
      <c r="T91" s="1095">
        <f t="shared" si="40"/>
        <v>0</v>
      </c>
      <c r="U91" s="398">
        <f t="shared" si="41"/>
        <v>0</v>
      </c>
      <c r="V91" s="2913">
        <v>0</v>
      </c>
      <c r="W91" s="1095">
        <f t="shared" si="30"/>
        <v>0</v>
      </c>
      <c r="X91" s="1095">
        <f t="shared" si="31"/>
        <v>2880</v>
      </c>
      <c r="Y91" s="2909">
        <f t="shared" si="42"/>
        <v>2880</v>
      </c>
      <c r="Z91" s="2913">
        <v>0</v>
      </c>
      <c r="AA91" s="1095">
        <f t="shared" si="32"/>
        <v>0</v>
      </c>
      <c r="AB91" s="1095">
        <f t="shared" si="33"/>
        <v>0</v>
      </c>
      <c r="AC91" s="2909">
        <f t="shared" si="43"/>
        <v>0</v>
      </c>
    </row>
    <row r="92" spans="1:29">
      <c r="A92" s="2899" t="s">
        <v>4170</v>
      </c>
      <c r="B92" s="2900" t="s">
        <v>4077</v>
      </c>
      <c r="C92" s="2901">
        <v>859</v>
      </c>
      <c r="D92" s="2902">
        <f t="shared" si="22"/>
        <v>2.4545802639173845E-3</v>
      </c>
      <c r="E92" s="2903">
        <v>77310</v>
      </c>
      <c r="F92" s="2904">
        <f t="shared" si="23"/>
        <v>2.7025438834783052E-3</v>
      </c>
      <c r="G92" s="2903">
        <f t="shared" si="24"/>
        <v>77310</v>
      </c>
      <c r="H92" s="2903">
        <f t="shared" si="25"/>
        <v>0</v>
      </c>
      <c r="I92" s="2905">
        <f t="shared" si="26"/>
        <v>48963</v>
      </c>
      <c r="J92" s="1096">
        <v>0</v>
      </c>
      <c r="K92" s="2479">
        <f t="shared" si="34"/>
        <v>0</v>
      </c>
      <c r="L92" s="398">
        <f t="shared" si="27"/>
        <v>15462</v>
      </c>
      <c r="M92" s="1095">
        <f t="shared" si="28"/>
        <v>64425</v>
      </c>
      <c r="N92" s="2906">
        <f t="shared" si="29"/>
        <v>2.027723252629119E-3</v>
      </c>
      <c r="O92" s="2907">
        <f t="shared" si="35"/>
        <v>-4.2685701128826557E-4</v>
      </c>
      <c r="P92" s="2908">
        <f t="shared" si="36"/>
        <v>257700</v>
      </c>
      <c r="Q92" s="1095">
        <f t="shared" si="37"/>
        <v>70352.100000000006</v>
      </c>
      <c r="R92" s="2909">
        <f t="shared" si="38"/>
        <v>328052.09999999998</v>
      </c>
      <c r="S92" s="398">
        <f t="shared" si="39"/>
        <v>0</v>
      </c>
      <c r="T92" s="1095">
        <f t="shared" si="40"/>
        <v>0</v>
      </c>
      <c r="U92" s="398">
        <f t="shared" si="41"/>
        <v>0</v>
      </c>
      <c r="V92" s="2913">
        <v>0</v>
      </c>
      <c r="W92" s="1095">
        <f t="shared" si="30"/>
        <v>0</v>
      </c>
      <c r="X92" s="1095">
        <f t="shared" si="31"/>
        <v>15462</v>
      </c>
      <c r="Y92" s="2909">
        <f t="shared" si="42"/>
        <v>15462</v>
      </c>
      <c r="Z92" s="2913">
        <v>0</v>
      </c>
      <c r="AA92" s="1095">
        <f t="shared" si="32"/>
        <v>0</v>
      </c>
      <c r="AB92" s="1095">
        <f t="shared" si="33"/>
        <v>0</v>
      </c>
      <c r="AC92" s="2909">
        <f t="shared" si="43"/>
        <v>0</v>
      </c>
    </row>
    <row r="93" spans="1:29">
      <c r="A93" s="2899" t="s">
        <v>4171</v>
      </c>
      <c r="B93" s="2900" t="s">
        <v>4089</v>
      </c>
      <c r="C93" s="2901">
        <v>135</v>
      </c>
      <c r="D93" s="2902">
        <f t="shared" si="22"/>
        <v>3.8576057698352375E-4</v>
      </c>
      <c r="E93" s="2903">
        <v>12150</v>
      </c>
      <c r="F93" s="2904">
        <f t="shared" si="23"/>
        <v>4.2473041242092104E-4</v>
      </c>
      <c r="G93" s="2903">
        <f t="shared" si="24"/>
        <v>12150</v>
      </c>
      <c r="H93" s="2903">
        <f t="shared" si="25"/>
        <v>0</v>
      </c>
      <c r="I93" s="2905">
        <f t="shared" si="26"/>
        <v>7695</v>
      </c>
      <c r="J93" s="1096">
        <v>2354</v>
      </c>
      <c r="K93" s="2479">
        <f t="shared" si="34"/>
        <v>96419.839999999997</v>
      </c>
      <c r="L93" s="398">
        <f t="shared" si="27"/>
        <v>2430</v>
      </c>
      <c r="M93" s="1095">
        <f t="shared" si="28"/>
        <v>12479</v>
      </c>
      <c r="N93" s="2906">
        <f t="shared" si="29"/>
        <v>3.9276613844871984E-4</v>
      </c>
      <c r="O93" s="2907">
        <f t="shared" si="35"/>
        <v>7.0055614651960913E-6</v>
      </c>
      <c r="P93" s="2908">
        <f t="shared" si="36"/>
        <v>40500</v>
      </c>
      <c r="Q93" s="1095">
        <f t="shared" si="37"/>
        <v>11056.5</v>
      </c>
      <c r="R93" s="2909">
        <f t="shared" si="38"/>
        <v>51556.5</v>
      </c>
      <c r="S93" s="398">
        <f t="shared" si="39"/>
        <v>0</v>
      </c>
      <c r="T93" s="1095">
        <f t="shared" si="40"/>
        <v>0</v>
      </c>
      <c r="U93" s="398">
        <f t="shared" si="41"/>
        <v>0</v>
      </c>
      <c r="V93" s="2913">
        <v>0</v>
      </c>
      <c r="W93" s="1095">
        <f t="shared" si="30"/>
        <v>12523.28</v>
      </c>
      <c r="X93" s="1095">
        <f t="shared" si="31"/>
        <v>2430</v>
      </c>
      <c r="Y93" s="2909">
        <f t="shared" si="42"/>
        <v>14953.28</v>
      </c>
      <c r="Z93" s="2913">
        <v>0</v>
      </c>
      <c r="AA93" s="1095">
        <f t="shared" si="32"/>
        <v>6755.9800000000005</v>
      </c>
      <c r="AB93" s="1095">
        <f t="shared" si="33"/>
        <v>0</v>
      </c>
      <c r="AC93" s="2909">
        <f t="shared" si="43"/>
        <v>6755.9800000000005</v>
      </c>
    </row>
    <row r="94" spans="1:29">
      <c r="A94" s="2899" t="s">
        <v>4172</v>
      </c>
      <c r="B94" s="2900" t="s">
        <v>4106</v>
      </c>
      <c r="C94" s="2901">
        <v>500</v>
      </c>
      <c r="D94" s="2902">
        <f t="shared" si="22"/>
        <v>1.4287428777167545E-3</v>
      </c>
      <c r="E94" s="2903">
        <v>45000</v>
      </c>
      <c r="F94" s="2904">
        <f t="shared" si="23"/>
        <v>1.5730756015589669E-3</v>
      </c>
      <c r="G94" s="2903">
        <f t="shared" si="24"/>
        <v>45000</v>
      </c>
      <c r="H94" s="2903">
        <f t="shared" si="25"/>
        <v>0</v>
      </c>
      <c r="I94" s="2905">
        <f t="shared" si="26"/>
        <v>28500</v>
      </c>
      <c r="J94" s="1096">
        <v>9592</v>
      </c>
      <c r="K94" s="2479">
        <f t="shared" si="34"/>
        <v>392888.32000000001</v>
      </c>
      <c r="L94" s="398">
        <f t="shared" si="27"/>
        <v>9000</v>
      </c>
      <c r="M94" s="1095">
        <f t="shared" si="28"/>
        <v>47092</v>
      </c>
      <c r="N94" s="2906">
        <f t="shared" si="29"/>
        <v>1.4821815042733485E-3</v>
      </c>
      <c r="O94" s="2907">
        <f t="shared" si="35"/>
        <v>5.3438626556593987E-5</v>
      </c>
      <c r="P94" s="2908">
        <f t="shared" si="36"/>
        <v>150000</v>
      </c>
      <c r="Q94" s="1095">
        <f t="shared" si="37"/>
        <v>40950</v>
      </c>
      <c r="R94" s="2909">
        <f t="shared" si="38"/>
        <v>190950</v>
      </c>
      <c r="S94" s="398">
        <f t="shared" si="39"/>
        <v>0</v>
      </c>
      <c r="T94" s="1095">
        <f t="shared" si="40"/>
        <v>0</v>
      </c>
      <c r="U94" s="398">
        <f t="shared" si="41"/>
        <v>0</v>
      </c>
      <c r="V94" s="2913">
        <v>0</v>
      </c>
      <c r="W94" s="1095">
        <f t="shared" si="30"/>
        <v>51029.440000000002</v>
      </c>
      <c r="X94" s="1095">
        <f t="shared" si="31"/>
        <v>9000</v>
      </c>
      <c r="Y94" s="2909">
        <f t="shared" si="42"/>
        <v>60029.440000000002</v>
      </c>
      <c r="Z94" s="2913">
        <v>0</v>
      </c>
      <c r="AA94" s="1095">
        <f t="shared" si="32"/>
        <v>27529.040000000001</v>
      </c>
      <c r="AB94" s="1095">
        <f t="shared" si="33"/>
        <v>0</v>
      </c>
      <c r="AC94" s="2909">
        <f t="shared" si="43"/>
        <v>27529.040000000001</v>
      </c>
    </row>
    <row r="95" spans="1:29">
      <c r="A95" s="2899" t="s">
        <v>4173</v>
      </c>
      <c r="B95" s="2900" t="s">
        <v>4115</v>
      </c>
      <c r="C95" s="2901">
        <v>200</v>
      </c>
      <c r="D95" s="2902">
        <f t="shared" si="22"/>
        <v>5.7149715108670187E-4</v>
      </c>
      <c r="E95" s="2903">
        <v>18000</v>
      </c>
      <c r="F95" s="2904">
        <f t="shared" si="23"/>
        <v>6.2923024062358675E-4</v>
      </c>
      <c r="G95" s="2903">
        <f t="shared" si="24"/>
        <v>18000</v>
      </c>
      <c r="H95" s="2903">
        <f t="shared" si="25"/>
        <v>0</v>
      </c>
      <c r="I95" s="2905">
        <f t="shared" si="26"/>
        <v>11400</v>
      </c>
      <c r="J95" s="1096">
        <v>3488</v>
      </c>
      <c r="K95" s="2479">
        <f t="shared" si="34"/>
        <v>142868.48000000001</v>
      </c>
      <c r="L95" s="398">
        <f t="shared" si="27"/>
        <v>3600</v>
      </c>
      <c r="M95" s="1095">
        <f t="shared" si="28"/>
        <v>18488</v>
      </c>
      <c r="N95" s="2906">
        <f t="shared" si="29"/>
        <v>5.8189441202339393E-4</v>
      </c>
      <c r="O95" s="2907">
        <f t="shared" si="35"/>
        <v>1.0397260936692056E-5</v>
      </c>
      <c r="P95" s="2908">
        <f t="shared" si="36"/>
        <v>60000</v>
      </c>
      <c r="Q95" s="1095">
        <f t="shared" si="37"/>
        <v>16380</v>
      </c>
      <c r="R95" s="2909">
        <f t="shared" si="38"/>
        <v>76380</v>
      </c>
      <c r="S95" s="398">
        <f t="shared" si="39"/>
        <v>0</v>
      </c>
      <c r="T95" s="1095">
        <f t="shared" si="40"/>
        <v>0</v>
      </c>
      <c r="U95" s="398">
        <f t="shared" si="41"/>
        <v>0</v>
      </c>
      <c r="V95" s="2913">
        <v>0</v>
      </c>
      <c r="W95" s="1095">
        <f t="shared" si="30"/>
        <v>18556.16</v>
      </c>
      <c r="X95" s="1095">
        <f t="shared" si="31"/>
        <v>3600</v>
      </c>
      <c r="Y95" s="2909">
        <f t="shared" si="42"/>
        <v>22156.16</v>
      </c>
      <c r="Z95" s="2913">
        <v>0</v>
      </c>
      <c r="AA95" s="1095">
        <f t="shared" si="32"/>
        <v>10010.56</v>
      </c>
      <c r="AB95" s="1095">
        <f t="shared" si="33"/>
        <v>0</v>
      </c>
      <c r="AC95" s="2909">
        <f t="shared" si="43"/>
        <v>10010.56</v>
      </c>
    </row>
    <row r="96" spans="1:29">
      <c r="A96" s="2899" t="s">
        <v>4174</v>
      </c>
      <c r="B96" s="2900" t="s">
        <v>4083</v>
      </c>
      <c r="C96" s="2901">
        <v>460</v>
      </c>
      <c r="D96" s="2902">
        <f t="shared" si="22"/>
        <v>1.3144434474994143E-3</v>
      </c>
      <c r="E96" s="2903">
        <v>41400</v>
      </c>
      <c r="F96" s="2904">
        <f t="shared" si="23"/>
        <v>1.4472295534342496E-3</v>
      </c>
      <c r="G96" s="2903">
        <f t="shared" si="24"/>
        <v>41400</v>
      </c>
      <c r="H96" s="2903">
        <f t="shared" si="25"/>
        <v>0</v>
      </c>
      <c r="I96" s="2905">
        <f t="shared" si="26"/>
        <v>26220</v>
      </c>
      <c r="J96" s="1096">
        <v>0</v>
      </c>
      <c r="K96" s="2479">
        <f t="shared" si="34"/>
        <v>0</v>
      </c>
      <c r="L96" s="398">
        <f t="shared" si="27"/>
        <v>8280</v>
      </c>
      <c r="M96" s="1095">
        <f t="shared" si="28"/>
        <v>34500</v>
      </c>
      <c r="N96" s="2906">
        <f t="shared" si="29"/>
        <v>1.0858587848770604E-3</v>
      </c>
      <c r="O96" s="2907">
        <f t="shared" si="35"/>
        <v>-2.285846626223539E-4</v>
      </c>
      <c r="P96" s="2908">
        <f t="shared" si="36"/>
        <v>138000</v>
      </c>
      <c r="Q96" s="1095">
        <f t="shared" si="37"/>
        <v>37674</v>
      </c>
      <c r="R96" s="2909">
        <f t="shared" si="38"/>
        <v>175674</v>
      </c>
      <c r="S96" s="398">
        <f t="shared" si="39"/>
        <v>0</v>
      </c>
      <c r="T96" s="1095">
        <f t="shared" si="40"/>
        <v>0</v>
      </c>
      <c r="U96" s="398">
        <f t="shared" si="41"/>
        <v>0</v>
      </c>
      <c r="V96" s="2913">
        <v>0</v>
      </c>
      <c r="W96" s="1095">
        <f t="shared" si="30"/>
        <v>0</v>
      </c>
      <c r="X96" s="1095">
        <f t="shared" si="31"/>
        <v>8280</v>
      </c>
      <c r="Y96" s="2909">
        <f t="shared" si="42"/>
        <v>8280</v>
      </c>
      <c r="Z96" s="2913">
        <v>0</v>
      </c>
      <c r="AA96" s="1095">
        <f t="shared" si="32"/>
        <v>0</v>
      </c>
      <c r="AB96" s="1095">
        <f t="shared" si="33"/>
        <v>0</v>
      </c>
      <c r="AC96" s="2909">
        <f t="shared" si="43"/>
        <v>0</v>
      </c>
    </row>
    <row r="97" spans="1:29">
      <c r="A97" s="2899" t="s">
        <v>4175</v>
      </c>
      <c r="B97" s="2900" t="s">
        <v>4089</v>
      </c>
      <c r="C97" s="2901">
        <v>1392</v>
      </c>
      <c r="D97" s="2902">
        <f t="shared" si="22"/>
        <v>3.9776201715634452E-3</v>
      </c>
      <c r="E97" s="2903">
        <v>125280</v>
      </c>
      <c r="F97" s="2904">
        <f t="shared" si="23"/>
        <v>4.3794424747401637E-3</v>
      </c>
      <c r="G97" s="2903">
        <f t="shared" si="24"/>
        <v>125280</v>
      </c>
      <c r="H97" s="2903">
        <f t="shared" si="25"/>
        <v>0</v>
      </c>
      <c r="I97" s="2905">
        <f t="shared" si="26"/>
        <v>79344</v>
      </c>
      <c r="J97" s="1096">
        <v>0</v>
      </c>
      <c r="K97" s="2479">
        <f t="shared" si="34"/>
        <v>0</v>
      </c>
      <c r="L97" s="398">
        <f t="shared" si="27"/>
        <v>25056</v>
      </c>
      <c r="M97" s="1095">
        <f t="shared" si="28"/>
        <v>104400</v>
      </c>
      <c r="N97" s="2906">
        <f t="shared" si="29"/>
        <v>3.2859031055410171E-3</v>
      </c>
      <c r="O97" s="2907">
        <f t="shared" si="35"/>
        <v>-6.9171706602242809E-4</v>
      </c>
      <c r="P97" s="2908">
        <f t="shared" si="36"/>
        <v>417600</v>
      </c>
      <c r="Q97" s="1095">
        <f t="shared" si="37"/>
        <v>114004.8</v>
      </c>
      <c r="R97" s="2909">
        <f t="shared" si="38"/>
        <v>531604.80000000005</v>
      </c>
      <c r="S97" s="398">
        <f t="shared" si="39"/>
        <v>0</v>
      </c>
      <c r="T97" s="1095">
        <f t="shared" si="40"/>
        <v>0</v>
      </c>
      <c r="U97" s="398">
        <f t="shared" si="41"/>
        <v>0</v>
      </c>
      <c r="V97" s="2913">
        <v>0</v>
      </c>
      <c r="W97" s="1095">
        <f t="shared" si="30"/>
        <v>0</v>
      </c>
      <c r="X97" s="1095">
        <f t="shared" si="31"/>
        <v>25056</v>
      </c>
      <c r="Y97" s="2909">
        <f t="shared" si="42"/>
        <v>25056</v>
      </c>
      <c r="Z97" s="2913">
        <v>0</v>
      </c>
      <c r="AA97" s="1095">
        <f t="shared" si="32"/>
        <v>0</v>
      </c>
      <c r="AB97" s="1095">
        <f t="shared" si="33"/>
        <v>0</v>
      </c>
      <c r="AC97" s="2909">
        <f t="shared" si="43"/>
        <v>0</v>
      </c>
    </row>
    <row r="98" spans="1:29">
      <c r="A98" s="2899" t="s">
        <v>4176</v>
      </c>
      <c r="B98" s="2900" t="s">
        <v>4115</v>
      </c>
      <c r="C98" s="2901">
        <v>135</v>
      </c>
      <c r="D98" s="2902">
        <f t="shared" si="22"/>
        <v>3.8576057698352375E-4</v>
      </c>
      <c r="E98" s="2903">
        <v>12150</v>
      </c>
      <c r="F98" s="2904">
        <f t="shared" si="23"/>
        <v>4.2473041242092104E-4</v>
      </c>
      <c r="G98" s="2903">
        <f t="shared" si="24"/>
        <v>12150</v>
      </c>
      <c r="H98" s="2903">
        <f t="shared" si="25"/>
        <v>0</v>
      </c>
      <c r="I98" s="2905">
        <f t="shared" si="26"/>
        <v>7695</v>
      </c>
      <c r="J98" s="1096">
        <v>4708</v>
      </c>
      <c r="K98" s="2479">
        <f t="shared" si="34"/>
        <v>192839.67999999999</v>
      </c>
      <c r="L98" s="398">
        <f t="shared" si="27"/>
        <v>2430</v>
      </c>
      <c r="M98" s="1095">
        <f t="shared" si="28"/>
        <v>14833</v>
      </c>
      <c r="N98" s="2906">
        <f t="shared" si="29"/>
        <v>4.6685632916178071E-4</v>
      </c>
      <c r="O98" s="2907">
        <f t="shared" si="35"/>
        <v>8.1095752178256958E-5</v>
      </c>
      <c r="P98" s="2908">
        <f t="shared" si="36"/>
        <v>40500</v>
      </c>
      <c r="Q98" s="1095">
        <f t="shared" si="37"/>
        <v>11056.5</v>
      </c>
      <c r="R98" s="2909">
        <f t="shared" si="38"/>
        <v>51556.5</v>
      </c>
      <c r="S98" s="398">
        <f t="shared" si="39"/>
        <v>0</v>
      </c>
      <c r="T98" s="1095">
        <f t="shared" si="40"/>
        <v>0</v>
      </c>
      <c r="U98" s="398">
        <f t="shared" si="41"/>
        <v>0</v>
      </c>
      <c r="V98" s="2913">
        <v>0</v>
      </c>
      <c r="W98" s="1095">
        <f t="shared" si="30"/>
        <v>25046.560000000001</v>
      </c>
      <c r="X98" s="1095">
        <f t="shared" si="31"/>
        <v>2430</v>
      </c>
      <c r="Y98" s="2909">
        <f t="shared" si="42"/>
        <v>27476.560000000001</v>
      </c>
      <c r="Z98" s="2913">
        <v>0</v>
      </c>
      <c r="AA98" s="1095">
        <f t="shared" si="32"/>
        <v>13511.960000000001</v>
      </c>
      <c r="AB98" s="1095">
        <f t="shared" si="33"/>
        <v>0</v>
      </c>
      <c r="AC98" s="2909">
        <f t="shared" si="43"/>
        <v>13511.960000000001</v>
      </c>
    </row>
    <row r="99" spans="1:29">
      <c r="A99" s="2899" t="s">
        <v>4177</v>
      </c>
      <c r="B99" s="2900" t="s">
        <v>4079</v>
      </c>
      <c r="C99" s="2901">
        <v>185</v>
      </c>
      <c r="D99" s="2902">
        <f t="shared" si="22"/>
        <v>5.2863486475519925E-4</v>
      </c>
      <c r="E99" s="2903">
        <v>16650</v>
      </c>
      <c r="F99" s="2904">
        <f t="shared" si="23"/>
        <v>5.8203797257681779E-4</v>
      </c>
      <c r="G99" s="2903">
        <f t="shared" si="24"/>
        <v>16650</v>
      </c>
      <c r="H99" s="2903">
        <f t="shared" si="25"/>
        <v>0</v>
      </c>
      <c r="I99" s="2905">
        <f t="shared" si="26"/>
        <v>10545</v>
      </c>
      <c r="J99" s="1096">
        <v>6451.9999999999991</v>
      </c>
      <c r="K99" s="2479">
        <f t="shared" si="34"/>
        <v>264273.91999999998</v>
      </c>
      <c r="L99" s="398">
        <f t="shared" si="27"/>
        <v>3330</v>
      </c>
      <c r="M99" s="1095">
        <f t="shared" si="28"/>
        <v>20327</v>
      </c>
      <c r="N99" s="2906">
        <f t="shared" si="29"/>
        <v>6.3977540638249285E-4</v>
      </c>
      <c r="O99" s="2907">
        <f t="shared" si="35"/>
        <v>1.111405416272936E-4</v>
      </c>
      <c r="P99" s="2908">
        <f t="shared" si="36"/>
        <v>55500</v>
      </c>
      <c r="Q99" s="1095">
        <f t="shared" si="37"/>
        <v>15151.5</v>
      </c>
      <c r="R99" s="2909">
        <f t="shared" si="38"/>
        <v>70651.5</v>
      </c>
      <c r="S99" s="398">
        <f t="shared" si="39"/>
        <v>0</v>
      </c>
      <c r="T99" s="1095">
        <f t="shared" si="40"/>
        <v>0</v>
      </c>
      <c r="U99" s="398">
        <f t="shared" si="41"/>
        <v>0</v>
      </c>
      <c r="V99" s="2913">
        <v>0</v>
      </c>
      <c r="W99" s="1095">
        <f t="shared" si="30"/>
        <v>34324.639999999999</v>
      </c>
      <c r="X99" s="1095">
        <f t="shared" si="31"/>
        <v>3330</v>
      </c>
      <c r="Y99" s="2909">
        <f t="shared" si="42"/>
        <v>37654.639999999999</v>
      </c>
      <c r="Z99" s="2913">
        <v>0</v>
      </c>
      <c r="AA99" s="1095">
        <f t="shared" si="32"/>
        <v>18517.239999999998</v>
      </c>
      <c r="AB99" s="1095">
        <f t="shared" si="33"/>
        <v>0</v>
      </c>
      <c r="AC99" s="2909">
        <f t="shared" si="43"/>
        <v>18517.239999999998</v>
      </c>
    </row>
    <row r="100" spans="1:29">
      <c r="A100" s="2899" t="s">
        <v>4178</v>
      </c>
      <c r="B100" s="2900" t="s">
        <v>4104</v>
      </c>
      <c r="C100" s="2901">
        <v>690</v>
      </c>
      <c r="D100" s="2902">
        <f t="shared" si="22"/>
        <v>1.9716651712491213E-3</v>
      </c>
      <c r="E100" s="2903">
        <v>62100</v>
      </c>
      <c r="F100" s="2904">
        <f t="shared" si="23"/>
        <v>2.1708443301513745E-3</v>
      </c>
      <c r="G100" s="2903">
        <f t="shared" si="24"/>
        <v>62100</v>
      </c>
      <c r="H100" s="2903">
        <f t="shared" si="25"/>
        <v>0</v>
      </c>
      <c r="I100" s="2905">
        <f t="shared" si="26"/>
        <v>39330</v>
      </c>
      <c r="J100" s="1096">
        <v>12034</v>
      </c>
      <c r="K100" s="2479">
        <f t="shared" si="34"/>
        <v>492912.64000000001</v>
      </c>
      <c r="L100" s="398">
        <f t="shared" si="27"/>
        <v>12420</v>
      </c>
      <c r="M100" s="1095">
        <f t="shared" si="28"/>
        <v>63784</v>
      </c>
      <c r="N100" s="2906">
        <f t="shared" si="29"/>
        <v>2.0075483111477799E-3</v>
      </c>
      <c r="O100" s="2907">
        <f t="shared" si="35"/>
        <v>3.5883139898658638E-5</v>
      </c>
      <c r="P100" s="2908">
        <f t="shared" si="36"/>
        <v>207000</v>
      </c>
      <c r="Q100" s="1095">
        <f t="shared" si="37"/>
        <v>56511</v>
      </c>
      <c r="R100" s="2909">
        <f t="shared" si="38"/>
        <v>263511</v>
      </c>
      <c r="S100" s="398">
        <f t="shared" si="39"/>
        <v>0</v>
      </c>
      <c r="T100" s="1095">
        <f t="shared" si="40"/>
        <v>0</v>
      </c>
      <c r="U100" s="398">
        <f t="shared" si="41"/>
        <v>0</v>
      </c>
      <c r="V100" s="2913">
        <v>0</v>
      </c>
      <c r="W100" s="1095">
        <f t="shared" si="30"/>
        <v>64020.880000000005</v>
      </c>
      <c r="X100" s="1095">
        <f t="shared" si="31"/>
        <v>12420</v>
      </c>
      <c r="Y100" s="2909">
        <f t="shared" si="42"/>
        <v>76440.88</v>
      </c>
      <c r="Z100" s="2913">
        <v>0</v>
      </c>
      <c r="AA100" s="1095">
        <f t="shared" si="32"/>
        <v>34537.58</v>
      </c>
      <c r="AB100" s="1095">
        <f t="shared" si="33"/>
        <v>0</v>
      </c>
      <c r="AC100" s="2909">
        <f t="shared" si="43"/>
        <v>34537.58</v>
      </c>
    </row>
    <row r="101" spans="1:29">
      <c r="A101" s="2899" t="s">
        <v>4179</v>
      </c>
      <c r="B101" s="2900" t="s">
        <v>4075</v>
      </c>
      <c r="C101" s="2901">
        <v>265</v>
      </c>
      <c r="D101" s="2902">
        <f t="shared" si="22"/>
        <v>7.5723372518987989E-4</v>
      </c>
      <c r="E101" s="2903">
        <v>23850</v>
      </c>
      <c r="F101" s="2904">
        <f t="shared" si="23"/>
        <v>8.337300688262524E-4</v>
      </c>
      <c r="G101" s="2903">
        <f t="shared" si="24"/>
        <v>23850</v>
      </c>
      <c r="H101" s="2903">
        <f t="shared" si="25"/>
        <v>0</v>
      </c>
      <c r="I101" s="2905">
        <f t="shared" si="26"/>
        <v>15105</v>
      </c>
      <c r="J101" s="1096">
        <v>0</v>
      </c>
      <c r="K101" s="2479">
        <f t="shared" si="34"/>
        <v>0</v>
      </c>
      <c r="L101" s="398">
        <f t="shared" si="27"/>
        <v>4770</v>
      </c>
      <c r="M101" s="1095">
        <f t="shared" si="28"/>
        <v>19875</v>
      </c>
      <c r="N101" s="2906">
        <f t="shared" si="29"/>
        <v>6.2554908259221951E-4</v>
      </c>
      <c r="O101" s="2907">
        <f t="shared" si="35"/>
        <v>-1.3168464259766038E-4</v>
      </c>
      <c r="P101" s="2908">
        <f t="shared" si="36"/>
        <v>79500</v>
      </c>
      <c r="Q101" s="1095">
        <f t="shared" si="37"/>
        <v>21703.5</v>
      </c>
      <c r="R101" s="2909">
        <f t="shared" si="38"/>
        <v>101203.5</v>
      </c>
      <c r="S101" s="398">
        <f t="shared" si="39"/>
        <v>0</v>
      </c>
      <c r="T101" s="1095">
        <f t="shared" si="40"/>
        <v>0</v>
      </c>
      <c r="U101" s="398">
        <f t="shared" si="41"/>
        <v>0</v>
      </c>
      <c r="V101" s="2913">
        <v>0</v>
      </c>
      <c r="W101" s="1095">
        <f t="shared" si="30"/>
        <v>0</v>
      </c>
      <c r="X101" s="1095">
        <f t="shared" si="31"/>
        <v>4770</v>
      </c>
      <c r="Y101" s="2909">
        <f t="shared" si="42"/>
        <v>4770</v>
      </c>
      <c r="Z101" s="2913">
        <v>0</v>
      </c>
      <c r="AA101" s="1095">
        <f t="shared" si="32"/>
        <v>0</v>
      </c>
      <c r="AB101" s="1095">
        <f t="shared" si="33"/>
        <v>0</v>
      </c>
      <c r="AC101" s="2909">
        <f t="shared" si="43"/>
        <v>0</v>
      </c>
    </row>
    <row r="102" spans="1:29">
      <c r="A102" s="2899" t="s">
        <v>4180</v>
      </c>
      <c r="B102" s="2900" t="s">
        <v>4073</v>
      </c>
      <c r="C102" s="2901">
        <v>300</v>
      </c>
      <c r="D102" s="2902">
        <f t="shared" si="22"/>
        <v>8.5724572663005275E-4</v>
      </c>
      <c r="E102" s="2903">
        <v>27000</v>
      </c>
      <c r="F102" s="2904">
        <f t="shared" si="23"/>
        <v>9.4384536093538012E-4</v>
      </c>
      <c r="G102" s="2903">
        <f t="shared" si="24"/>
        <v>27000</v>
      </c>
      <c r="H102" s="2903">
        <f t="shared" si="25"/>
        <v>0</v>
      </c>
      <c r="I102" s="2905">
        <f t="shared" si="26"/>
        <v>17100</v>
      </c>
      <c r="J102" s="1096">
        <v>5232</v>
      </c>
      <c r="K102" s="2479">
        <f t="shared" si="34"/>
        <v>214302.72</v>
      </c>
      <c r="L102" s="398">
        <f t="shared" si="27"/>
        <v>5400</v>
      </c>
      <c r="M102" s="1095">
        <f t="shared" si="28"/>
        <v>27732</v>
      </c>
      <c r="N102" s="2906">
        <f t="shared" si="29"/>
        <v>8.7284161803509095E-4</v>
      </c>
      <c r="O102" s="2907">
        <f t="shared" si="35"/>
        <v>1.5595891405038192E-5</v>
      </c>
      <c r="P102" s="2908">
        <f t="shared" si="36"/>
        <v>90000</v>
      </c>
      <c r="Q102" s="1095">
        <f t="shared" si="37"/>
        <v>24570</v>
      </c>
      <c r="R102" s="2909">
        <f t="shared" si="38"/>
        <v>114570</v>
      </c>
      <c r="S102" s="398">
        <f t="shared" si="39"/>
        <v>0</v>
      </c>
      <c r="T102" s="1095">
        <f t="shared" si="40"/>
        <v>0</v>
      </c>
      <c r="U102" s="398">
        <f t="shared" si="41"/>
        <v>0</v>
      </c>
      <c r="V102" s="2913">
        <v>0</v>
      </c>
      <c r="W102" s="1095">
        <f t="shared" si="30"/>
        <v>27834.240000000002</v>
      </c>
      <c r="X102" s="1095">
        <f t="shared" si="31"/>
        <v>5400</v>
      </c>
      <c r="Y102" s="2909">
        <f t="shared" si="42"/>
        <v>33234.240000000005</v>
      </c>
      <c r="Z102" s="2913">
        <v>0</v>
      </c>
      <c r="AA102" s="1095">
        <f t="shared" si="32"/>
        <v>15015.84</v>
      </c>
      <c r="AB102" s="1095">
        <f t="shared" si="33"/>
        <v>0</v>
      </c>
      <c r="AC102" s="2909">
        <f t="shared" si="43"/>
        <v>15015.84</v>
      </c>
    </row>
    <row r="103" spans="1:29">
      <c r="A103" s="2899" t="s">
        <v>4181</v>
      </c>
      <c r="B103" s="2900" t="s">
        <v>4087</v>
      </c>
      <c r="C103" s="2901">
        <v>480</v>
      </c>
      <c r="D103" s="2902">
        <f t="shared" si="22"/>
        <v>1.3715931626080845E-3</v>
      </c>
      <c r="E103" s="2903">
        <v>43200</v>
      </c>
      <c r="F103" s="2904">
        <f t="shared" si="23"/>
        <v>1.5101525774966081E-3</v>
      </c>
      <c r="G103" s="2903">
        <f t="shared" si="24"/>
        <v>43200</v>
      </c>
      <c r="H103" s="2903">
        <f t="shared" si="25"/>
        <v>0</v>
      </c>
      <c r="I103" s="2905">
        <f t="shared" si="26"/>
        <v>27360</v>
      </c>
      <c r="J103" s="1096">
        <v>8371</v>
      </c>
      <c r="K103" s="2479">
        <f t="shared" si="34"/>
        <v>342876.16000000003</v>
      </c>
      <c r="L103" s="398">
        <f t="shared" si="27"/>
        <v>8640</v>
      </c>
      <c r="M103" s="1095">
        <f t="shared" si="28"/>
        <v>44371</v>
      </c>
      <c r="N103" s="2906">
        <f t="shared" si="29"/>
        <v>1.39654029402261E-3</v>
      </c>
      <c r="O103" s="2907">
        <f t="shared" si="35"/>
        <v>2.4947131414525519E-5</v>
      </c>
      <c r="P103" s="2908">
        <f t="shared" si="36"/>
        <v>144000</v>
      </c>
      <c r="Q103" s="1095">
        <f t="shared" si="37"/>
        <v>39312</v>
      </c>
      <c r="R103" s="2909">
        <f t="shared" si="38"/>
        <v>183312</v>
      </c>
      <c r="S103" s="398">
        <f t="shared" si="39"/>
        <v>0</v>
      </c>
      <c r="T103" s="1095">
        <f t="shared" si="40"/>
        <v>0</v>
      </c>
      <c r="U103" s="398">
        <f t="shared" si="41"/>
        <v>0</v>
      </c>
      <c r="V103" s="2913">
        <v>0</v>
      </c>
      <c r="W103" s="1095">
        <f t="shared" si="30"/>
        <v>44533.72</v>
      </c>
      <c r="X103" s="1095">
        <f t="shared" si="31"/>
        <v>8640</v>
      </c>
      <c r="Y103" s="2909">
        <f t="shared" si="42"/>
        <v>53173.72</v>
      </c>
      <c r="Z103" s="2913">
        <v>0</v>
      </c>
      <c r="AA103" s="1095">
        <f t="shared" si="32"/>
        <v>24024.77</v>
      </c>
      <c r="AB103" s="1095">
        <f t="shared" si="33"/>
        <v>0</v>
      </c>
      <c r="AC103" s="2909">
        <f t="shared" si="43"/>
        <v>24024.77</v>
      </c>
    </row>
    <row r="104" spans="1:29">
      <c r="A104" s="2899" t="s">
        <v>4182</v>
      </c>
      <c r="B104" s="2900" t="s">
        <v>4087</v>
      </c>
      <c r="C104" s="2901">
        <v>125</v>
      </c>
      <c r="D104" s="2902">
        <f t="shared" si="22"/>
        <v>3.5718571942918863E-4</v>
      </c>
      <c r="E104" s="2903">
        <v>11250</v>
      </c>
      <c r="F104" s="2904">
        <f t="shared" si="23"/>
        <v>3.9326890038974172E-4</v>
      </c>
      <c r="G104" s="2903">
        <f t="shared" si="24"/>
        <v>11250</v>
      </c>
      <c r="H104" s="2903">
        <f t="shared" si="25"/>
        <v>0</v>
      </c>
      <c r="I104" s="2905">
        <f t="shared" si="26"/>
        <v>7125</v>
      </c>
      <c r="J104" s="1096">
        <v>2441</v>
      </c>
      <c r="K104" s="2479">
        <f t="shared" si="34"/>
        <v>99983.360000000001</v>
      </c>
      <c r="L104" s="398">
        <f t="shared" si="27"/>
        <v>2250</v>
      </c>
      <c r="M104" s="1095">
        <f t="shared" si="28"/>
        <v>11816</v>
      </c>
      <c r="N104" s="2906">
        <f t="shared" si="29"/>
        <v>3.7189876527847374E-4</v>
      </c>
      <c r="O104" s="2907">
        <f t="shared" si="35"/>
        <v>1.4713045849285109E-5</v>
      </c>
      <c r="P104" s="2908">
        <f t="shared" si="36"/>
        <v>37500</v>
      </c>
      <c r="Q104" s="1095">
        <f t="shared" si="37"/>
        <v>10237.5</v>
      </c>
      <c r="R104" s="2909">
        <f t="shared" si="38"/>
        <v>47737.5</v>
      </c>
      <c r="S104" s="398">
        <f t="shared" si="39"/>
        <v>0</v>
      </c>
      <c r="T104" s="1095">
        <f t="shared" si="40"/>
        <v>0</v>
      </c>
      <c r="U104" s="398">
        <f t="shared" si="41"/>
        <v>0</v>
      </c>
      <c r="V104" s="2913">
        <v>0</v>
      </c>
      <c r="W104" s="1095">
        <f t="shared" si="30"/>
        <v>12986.12</v>
      </c>
      <c r="X104" s="1095">
        <f t="shared" si="31"/>
        <v>2250</v>
      </c>
      <c r="Y104" s="2909">
        <f t="shared" si="42"/>
        <v>15236.12</v>
      </c>
      <c r="Z104" s="2913">
        <v>0</v>
      </c>
      <c r="AA104" s="1095">
        <f t="shared" si="32"/>
        <v>7005.67</v>
      </c>
      <c r="AB104" s="1095">
        <f t="shared" si="33"/>
        <v>0</v>
      </c>
      <c r="AC104" s="2909">
        <f t="shared" si="43"/>
        <v>7005.67</v>
      </c>
    </row>
    <row r="105" spans="1:29">
      <c r="A105" s="2899" t="s">
        <v>4183</v>
      </c>
      <c r="B105" s="2900" t="s">
        <v>4089</v>
      </c>
      <c r="C105" s="2901">
        <v>170</v>
      </c>
      <c r="D105" s="2902">
        <f t="shared" si="22"/>
        <v>4.8577257842369656E-4</v>
      </c>
      <c r="E105" s="2903">
        <v>15300</v>
      </c>
      <c r="F105" s="2904">
        <f t="shared" si="23"/>
        <v>5.3484570453004871E-4</v>
      </c>
      <c r="G105" s="2903">
        <f t="shared" si="24"/>
        <v>15300</v>
      </c>
      <c r="H105" s="2903">
        <f t="shared" si="25"/>
        <v>0</v>
      </c>
      <c r="I105" s="2905">
        <f t="shared" si="26"/>
        <v>9690</v>
      </c>
      <c r="J105" s="1096">
        <v>2964</v>
      </c>
      <c r="K105" s="2479">
        <f t="shared" si="34"/>
        <v>121405.44</v>
      </c>
      <c r="L105" s="398">
        <f t="shared" si="27"/>
        <v>3060</v>
      </c>
      <c r="M105" s="1095">
        <f t="shared" si="28"/>
        <v>15714</v>
      </c>
      <c r="N105" s="2906">
        <f t="shared" si="29"/>
        <v>4.9458507088574277E-4</v>
      </c>
      <c r="O105" s="2907">
        <f t="shared" si="35"/>
        <v>8.8124924620462089E-6</v>
      </c>
      <c r="P105" s="2908">
        <f t="shared" si="36"/>
        <v>51000</v>
      </c>
      <c r="Q105" s="1095">
        <f t="shared" si="37"/>
        <v>13923</v>
      </c>
      <c r="R105" s="2909">
        <f t="shared" si="38"/>
        <v>64923</v>
      </c>
      <c r="S105" s="398">
        <f t="shared" si="39"/>
        <v>0</v>
      </c>
      <c r="T105" s="1095">
        <f t="shared" si="40"/>
        <v>0</v>
      </c>
      <c r="U105" s="398">
        <f t="shared" si="41"/>
        <v>0</v>
      </c>
      <c r="V105" s="2913">
        <v>0</v>
      </c>
      <c r="W105" s="1095">
        <f t="shared" si="30"/>
        <v>15768.480000000001</v>
      </c>
      <c r="X105" s="1095">
        <f t="shared" si="31"/>
        <v>3060</v>
      </c>
      <c r="Y105" s="2909">
        <f t="shared" si="42"/>
        <v>18828.480000000003</v>
      </c>
      <c r="Z105" s="2913">
        <v>0</v>
      </c>
      <c r="AA105" s="1095">
        <f t="shared" si="32"/>
        <v>8506.68</v>
      </c>
      <c r="AB105" s="1095">
        <f t="shared" si="33"/>
        <v>0</v>
      </c>
      <c r="AC105" s="2909">
        <f t="shared" si="43"/>
        <v>8506.68</v>
      </c>
    </row>
    <row r="106" spans="1:29">
      <c r="A106" s="2899" t="s">
        <v>4184</v>
      </c>
      <c r="B106" s="2900" t="s">
        <v>4077</v>
      </c>
      <c r="C106" s="2901">
        <v>160</v>
      </c>
      <c r="D106" s="2902">
        <f t="shared" si="22"/>
        <v>4.5719772086936144E-4</v>
      </c>
      <c r="E106" s="2903">
        <v>14400</v>
      </c>
      <c r="F106" s="2904">
        <f t="shared" si="23"/>
        <v>5.0338419249886944E-4</v>
      </c>
      <c r="G106" s="2903">
        <f t="shared" si="24"/>
        <v>14400</v>
      </c>
      <c r="H106" s="2903">
        <f t="shared" si="25"/>
        <v>0</v>
      </c>
      <c r="I106" s="2905">
        <f t="shared" si="26"/>
        <v>9120</v>
      </c>
      <c r="J106" s="1096">
        <v>5580</v>
      </c>
      <c r="K106" s="2479">
        <f t="shared" si="34"/>
        <v>228556.80000000002</v>
      </c>
      <c r="L106" s="398">
        <f t="shared" si="27"/>
        <v>2880</v>
      </c>
      <c r="M106" s="1095">
        <f t="shared" si="28"/>
        <v>17580</v>
      </c>
      <c r="N106" s="2906">
        <f t="shared" si="29"/>
        <v>5.5331586777213678E-4</v>
      </c>
      <c r="O106" s="2907">
        <f t="shared" si="35"/>
        <v>9.6118146902775335E-5</v>
      </c>
      <c r="P106" s="2908">
        <f t="shared" si="36"/>
        <v>48000</v>
      </c>
      <c r="Q106" s="1095">
        <f t="shared" si="37"/>
        <v>13104</v>
      </c>
      <c r="R106" s="2909">
        <f t="shared" si="38"/>
        <v>61104</v>
      </c>
      <c r="S106" s="398">
        <f t="shared" si="39"/>
        <v>0</v>
      </c>
      <c r="T106" s="1095">
        <f t="shared" si="40"/>
        <v>0</v>
      </c>
      <c r="U106" s="398">
        <f t="shared" si="41"/>
        <v>0</v>
      </c>
      <c r="V106" s="2913">
        <v>0</v>
      </c>
      <c r="W106" s="1095">
        <f t="shared" si="30"/>
        <v>29685.600000000002</v>
      </c>
      <c r="X106" s="1095">
        <f t="shared" si="31"/>
        <v>2880</v>
      </c>
      <c r="Y106" s="2909">
        <f t="shared" si="42"/>
        <v>32565.600000000002</v>
      </c>
      <c r="Z106" s="2913">
        <v>0</v>
      </c>
      <c r="AA106" s="1095">
        <f t="shared" si="32"/>
        <v>16014.6</v>
      </c>
      <c r="AB106" s="1095">
        <f t="shared" si="33"/>
        <v>0</v>
      </c>
      <c r="AC106" s="2909">
        <f t="shared" si="43"/>
        <v>16014.6</v>
      </c>
    </row>
    <row r="107" spans="1:29">
      <c r="A107" s="2899" t="s">
        <v>4185</v>
      </c>
      <c r="B107" s="2900" t="s">
        <v>4087</v>
      </c>
      <c r="C107" s="2901">
        <v>225</v>
      </c>
      <c r="D107" s="2902">
        <f t="shared" si="22"/>
        <v>6.4293429497253951E-4</v>
      </c>
      <c r="E107" s="2903">
        <v>20250</v>
      </c>
      <c r="F107" s="2904">
        <f t="shared" si="23"/>
        <v>7.0788402070153509E-4</v>
      </c>
      <c r="G107" s="2903">
        <f t="shared" si="24"/>
        <v>20250</v>
      </c>
      <c r="H107" s="2903">
        <f t="shared" si="25"/>
        <v>0</v>
      </c>
      <c r="I107" s="2905">
        <f t="shared" si="26"/>
        <v>12825</v>
      </c>
      <c r="J107" s="1096">
        <v>7848</v>
      </c>
      <c r="K107" s="2479">
        <f t="shared" si="34"/>
        <v>321454.08000000002</v>
      </c>
      <c r="L107" s="398">
        <f t="shared" si="27"/>
        <v>4050</v>
      </c>
      <c r="M107" s="1095">
        <f t="shared" si="28"/>
        <v>24723</v>
      </c>
      <c r="N107" s="2906">
        <f t="shared" si="29"/>
        <v>7.7813584749320463E-4</v>
      </c>
      <c r="O107" s="2907">
        <f t="shared" si="35"/>
        <v>1.3520155252066512E-4</v>
      </c>
      <c r="P107" s="2908">
        <f t="shared" si="36"/>
        <v>67500</v>
      </c>
      <c r="Q107" s="1095">
        <f t="shared" si="37"/>
        <v>18427.5</v>
      </c>
      <c r="R107" s="2909">
        <f t="shared" si="38"/>
        <v>85927.5</v>
      </c>
      <c r="S107" s="398">
        <f t="shared" si="39"/>
        <v>0</v>
      </c>
      <c r="T107" s="1095">
        <f t="shared" si="40"/>
        <v>0</v>
      </c>
      <c r="U107" s="398">
        <f t="shared" si="41"/>
        <v>0</v>
      </c>
      <c r="V107" s="2913">
        <v>0</v>
      </c>
      <c r="W107" s="1095">
        <f t="shared" si="30"/>
        <v>41751.360000000001</v>
      </c>
      <c r="X107" s="1095">
        <f t="shared" si="31"/>
        <v>4050</v>
      </c>
      <c r="Y107" s="2909">
        <f t="shared" si="42"/>
        <v>45801.36</v>
      </c>
      <c r="Z107" s="2913">
        <v>0</v>
      </c>
      <c r="AA107" s="1095">
        <f t="shared" si="32"/>
        <v>22523.760000000002</v>
      </c>
      <c r="AB107" s="1095">
        <f t="shared" si="33"/>
        <v>0</v>
      </c>
      <c r="AC107" s="2909">
        <f t="shared" si="43"/>
        <v>22523.760000000002</v>
      </c>
    </row>
    <row r="108" spans="1:29">
      <c r="A108" s="2914" t="s">
        <v>4186</v>
      </c>
      <c r="B108" s="2900" t="s">
        <v>4079</v>
      </c>
      <c r="C108" s="2901">
        <v>5</v>
      </c>
      <c r="D108" s="2902">
        <f t="shared" si="22"/>
        <v>1.4287428777167545E-5</v>
      </c>
      <c r="E108" s="2903">
        <v>450</v>
      </c>
      <c r="F108" s="2904">
        <f t="shared" si="23"/>
        <v>1.573075601558967E-5</v>
      </c>
      <c r="G108" s="2903">
        <f t="shared" si="24"/>
        <v>450</v>
      </c>
      <c r="H108" s="2903">
        <f t="shared" si="25"/>
        <v>0</v>
      </c>
      <c r="I108" s="2905">
        <f t="shared" si="26"/>
        <v>285</v>
      </c>
      <c r="J108" s="1096">
        <v>0</v>
      </c>
      <c r="K108" s="2479">
        <f t="shared" si="34"/>
        <v>0</v>
      </c>
      <c r="L108" s="398">
        <f t="shared" si="27"/>
        <v>90</v>
      </c>
      <c r="M108" s="1095">
        <f t="shared" si="28"/>
        <v>375</v>
      </c>
      <c r="N108" s="2906">
        <f t="shared" si="29"/>
        <v>1.1802812879098482E-5</v>
      </c>
      <c r="O108" s="2907">
        <f t="shared" si="35"/>
        <v>-2.4846158980690634E-6</v>
      </c>
      <c r="P108" s="2908">
        <f t="shared" si="36"/>
        <v>1500</v>
      </c>
      <c r="Q108" s="1095">
        <f t="shared" si="37"/>
        <v>409.5</v>
      </c>
      <c r="R108" s="2909">
        <f t="shared" si="38"/>
        <v>1909.5</v>
      </c>
      <c r="S108" s="398">
        <f t="shared" si="39"/>
        <v>0</v>
      </c>
      <c r="T108" s="1095">
        <f t="shared" si="40"/>
        <v>0</v>
      </c>
      <c r="U108" s="398">
        <f t="shared" si="41"/>
        <v>0</v>
      </c>
      <c r="V108" s="2913">
        <v>0</v>
      </c>
      <c r="W108" s="1095">
        <f t="shared" si="30"/>
        <v>0</v>
      </c>
      <c r="X108" s="1095">
        <f t="shared" si="31"/>
        <v>90</v>
      </c>
      <c r="Y108" s="2909">
        <f t="shared" si="42"/>
        <v>90</v>
      </c>
      <c r="Z108" s="2913">
        <v>0</v>
      </c>
      <c r="AA108" s="1095">
        <f t="shared" si="32"/>
        <v>0</v>
      </c>
      <c r="AB108" s="1095">
        <f t="shared" si="33"/>
        <v>0</v>
      </c>
      <c r="AC108" s="2909">
        <f t="shared" si="43"/>
        <v>0</v>
      </c>
    </row>
    <row r="109" spans="1:29">
      <c r="A109" s="2899" t="s">
        <v>4187</v>
      </c>
      <c r="B109" s="2900" t="s">
        <v>4069</v>
      </c>
      <c r="C109" s="2901">
        <v>355</v>
      </c>
      <c r="D109" s="2902">
        <f t="shared" si="22"/>
        <v>1.0144074431788956E-3</v>
      </c>
      <c r="E109" s="2903">
        <v>31950</v>
      </c>
      <c r="F109" s="2904">
        <f t="shared" si="23"/>
        <v>1.1168836771068664E-3</v>
      </c>
      <c r="G109" s="2903">
        <f t="shared" si="24"/>
        <v>31950</v>
      </c>
      <c r="H109" s="2903">
        <f t="shared" si="25"/>
        <v>0</v>
      </c>
      <c r="I109" s="2905">
        <f t="shared" si="26"/>
        <v>20235</v>
      </c>
      <c r="J109" s="1096">
        <v>0</v>
      </c>
      <c r="K109" s="2479">
        <f t="shared" si="34"/>
        <v>0</v>
      </c>
      <c r="L109" s="398">
        <f t="shared" si="27"/>
        <v>6390</v>
      </c>
      <c r="M109" s="1095">
        <f t="shared" si="28"/>
        <v>26625</v>
      </c>
      <c r="N109" s="2906">
        <f t="shared" si="29"/>
        <v>8.3799971441599216E-4</v>
      </c>
      <c r="O109" s="2907">
        <f t="shared" si="35"/>
        <v>-1.7640772876290349E-4</v>
      </c>
      <c r="P109" s="2908">
        <f t="shared" si="36"/>
        <v>106500</v>
      </c>
      <c r="Q109" s="1095">
        <f t="shared" si="37"/>
        <v>29074.5</v>
      </c>
      <c r="R109" s="2909">
        <f t="shared" si="38"/>
        <v>135574.5</v>
      </c>
      <c r="S109" s="398">
        <f t="shared" si="39"/>
        <v>0</v>
      </c>
      <c r="T109" s="1095">
        <f t="shared" si="40"/>
        <v>0</v>
      </c>
      <c r="U109" s="398">
        <f t="shared" si="41"/>
        <v>0</v>
      </c>
      <c r="V109" s="2913">
        <v>0</v>
      </c>
      <c r="W109" s="1095">
        <f t="shared" si="30"/>
        <v>0</v>
      </c>
      <c r="X109" s="1095">
        <f t="shared" si="31"/>
        <v>6390</v>
      </c>
      <c r="Y109" s="2909">
        <f t="shared" si="42"/>
        <v>6390</v>
      </c>
      <c r="Z109" s="2913">
        <v>0</v>
      </c>
      <c r="AA109" s="1095">
        <f t="shared" si="32"/>
        <v>0</v>
      </c>
      <c r="AB109" s="1095">
        <f t="shared" si="33"/>
        <v>0</v>
      </c>
      <c r="AC109" s="2909">
        <f t="shared" si="43"/>
        <v>0</v>
      </c>
    </row>
    <row r="110" spans="1:29">
      <c r="A110" s="2899" t="s">
        <v>4188</v>
      </c>
      <c r="B110" s="2900" t="s">
        <v>4089</v>
      </c>
      <c r="C110" s="2901">
        <v>375</v>
      </c>
      <c r="D110" s="2902">
        <f t="shared" si="22"/>
        <v>1.0715571582875659E-3</v>
      </c>
      <c r="E110" s="2903">
        <v>33750</v>
      </c>
      <c r="F110" s="2904">
        <f t="shared" si="23"/>
        <v>1.1798067011692252E-3</v>
      </c>
      <c r="G110" s="2903">
        <f t="shared" si="24"/>
        <v>33750</v>
      </c>
      <c r="H110" s="2903">
        <f t="shared" si="25"/>
        <v>0</v>
      </c>
      <c r="I110" s="2905">
        <f t="shared" si="26"/>
        <v>21375</v>
      </c>
      <c r="J110" s="1096">
        <v>13080</v>
      </c>
      <c r="K110" s="2479">
        <f t="shared" si="34"/>
        <v>535756.80000000005</v>
      </c>
      <c r="L110" s="398">
        <f t="shared" si="27"/>
        <v>6750</v>
      </c>
      <c r="M110" s="1095">
        <f t="shared" si="28"/>
        <v>41205</v>
      </c>
      <c r="N110" s="2906">
        <f t="shared" si="29"/>
        <v>1.2968930791553411E-3</v>
      </c>
      <c r="O110" s="2907">
        <f t="shared" si="35"/>
        <v>2.2533592086777516E-4</v>
      </c>
      <c r="P110" s="2908">
        <f t="shared" si="36"/>
        <v>112500</v>
      </c>
      <c r="Q110" s="1095">
        <f t="shared" si="37"/>
        <v>30712.5</v>
      </c>
      <c r="R110" s="2909">
        <f t="shared" si="38"/>
        <v>143212.5</v>
      </c>
      <c r="S110" s="398">
        <f t="shared" si="39"/>
        <v>0</v>
      </c>
      <c r="T110" s="1095">
        <f t="shared" si="40"/>
        <v>0</v>
      </c>
      <c r="U110" s="398">
        <f t="shared" si="41"/>
        <v>0</v>
      </c>
      <c r="V110" s="2913">
        <v>0</v>
      </c>
      <c r="W110" s="1095">
        <f t="shared" si="30"/>
        <v>69585.600000000006</v>
      </c>
      <c r="X110" s="1095">
        <f t="shared" si="31"/>
        <v>6750</v>
      </c>
      <c r="Y110" s="2909">
        <f t="shared" si="42"/>
        <v>76335.600000000006</v>
      </c>
      <c r="Z110" s="2913">
        <v>0</v>
      </c>
      <c r="AA110" s="1095">
        <f t="shared" si="32"/>
        <v>37539.599999999999</v>
      </c>
      <c r="AB110" s="1095">
        <f t="shared" si="33"/>
        <v>0</v>
      </c>
      <c r="AC110" s="2909">
        <f t="shared" si="43"/>
        <v>37539.599999999999</v>
      </c>
    </row>
    <row r="111" spans="1:29">
      <c r="A111" s="2899" t="s">
        <v>4189</v>
      </c>
      <c r="B111" s="2900" t="s">
        <v>4190</v>
      </c>
      <c r="C111" s="2901">
        <v>205</v>
      </c>
      <c r="D111" s="2902">
        <f t="shared" si="22"/>
        <v>5.8578457986386938E-4</v>
      </c>
      <c r="E111" s="2903">
        <v>18450</v>
      </c>
      <c r="F111" s="2904">
        <f t="shared" si="23"/>
        <v>6.4496099663917644E-4</v>
      </c>
      <c r="G111" s="2903">
        <f t="shared" si="24"/>
        <v>18450</v>
      </c>
      <c r="H111" s="2903">
        <f t="shared" si="25"/>
        <v>0</v>
      </c>
      <c r="I111" s="2905">
        <f t="shared" si="26"/>
        <v>11685</v>
      </c>
      <c r="J111" s="1096">
        <v>0</v>
      </c>
      <c r="K111" s="2479">
        <f t="shared" si="34"/>
        <v>0</v>
      </c>
      <c r="L111" s="398">
        <f t="shared" si="27"/>
        <v>3690</v>
      </c>
      <c r="M111" s="1095">
        <f t="shared" si="28"/>
        <v>15375</v>
      </c>
      <c r="N111" s="2906">
        <f t="shared" si="29"/>
        <v>4.8391532804303774E-4</v>
      </c>
      <c r="O111" s="2907">
        <f t="shared" si="35"/>
        <v>-1.0186925182083164E-4</v>
      </c>
      <c r="P111" s="2908">
        <f t="shared" si="36"/>
        <v>61500</v>
      </c>
      <c r="Q111" s="1095">
        <f t="shared" si="37"/>
        <v>16789.5</v>
      </c>
      <c r="R111" s="2909">
        <f t="shared" si="38"/>
        <v>78289.5</v>
      </c>
      <c r="S111" s="398">
        <f t="shared" si="39"/>
        <v>0</v>
      </c>
      <c r="T111" s="1095">
        <f t="shared" si="40"/>
        <v>0</v>
      </c>
      <c r="U111" s="398">
        <f t="shared" si="41"/>
        <v>0</v>
      </c>
      <c r="V111" s="2913">
        <v>0</v>
      </c>
      <c r="W111" s="1095">
        <f t="shared" si="30"/>
        <v>0</v>
      </c>
      <c r="X111" s="1095">
        <f t="shared" si="31"/>
        <v>3690</v>
      </c>
      <c r="Y111" s="2909">
        <f t="shared" si="42"/>
        <v>3690</v>
      </c>
      <c r="Z111" s="2913">
        <v>0</v>
      </c>
      <c r="AA111" s="1095">
        <f t="shared" si="32"/>
        <v>0</v>
      </c>
      <c r="AB111" s="1095">
        <f t="shared" si="33"/>
        <v>0</v>
      </c>
      <c r="AC111" s="2909">
        <f t="shared" si="43"/>
        <v>0</v>
      </c>
    </row>
    <row r="112" spans="1:29">
      <c r="A112" s="2899" t="s">
        <v>4191</v>
      </c>
      <c r="B112" s="2900" t="s">
        <v>4073</v>
      </c>
      <c r="C112" s="2901">
        <v>115</v>
      </c>
      <c r="D112" s="2902">
        <f t="shared" si="22"/>
        <v>3.2861086187485356E-4</v>
      </c>
      <c r="E112" s="2903">
        <v>10350</v>
      </c>
      <c r="F112" s="2904">
        <f t="shared" si="23"/>
        <v>3.6180738835856239E-4</v>
      </c>
      <c r="G112" s="2903">
        <f t="shared" si="24"/>
        <v>10350</v>
      </c>
      <c r="H112" s="2903">
        <f t="shared" si="25"/>
        <v>0</v>
      </c>
      <c r="I112" s="2905">
        <f t="shared" si="26"/>
        <v>6555</v>
      </c>
      <c r="J112" s="1096">
        <v>2005</v>
      </c>
      <c r="K112" s="2479">
        <f t="shared" si="34"/>
        <v>82124.800000000003</v>
      </c>
      <c r="L112" s="398">
        <f t="shared" si="27"/>
        <v>2070</v>
      </c>
      <c r="M112" s="1095">
        <f t="shared" si="28"/>
        <v>10630</v>
      </c>
      <c r="N112" s="2906">
        <f t="shared" si="29"/>
        <v>3.3457040241284498E-4</v>
      </c>
      <c r="O112" s="2907">
        <f t="shared" si="35"/>
        <v>5.9595405379914168E-6</v>
      </c>
      <c r="P112" s="2908">
        <f t="shared" si="36"/>
        <v>34500</v>
      </c>
      <c r="Q112" s="1095">
        <f t="shared" si="37"/>
        <v>9418.5</v>
      </c>
      <c r="R112" s="2909">
        <f t="shared" si="38"/>
        <v>43918.5</v>
      </c>
      <c r="S112" s="398">
        <f t="shared" si="39"/>
        <v>0</v>
      </c>
      <c r="T112" s="1095">
        <f t="shared" si="40"/>
        <v>0</v>
      </c>
      <c r="U112" s="398">
        <f t="shared" si="41"/>
        <v>0</v>
      </c>
      <c r="V112" s="2913">
        <v>0</v>
      </c>
      <c r="W112" s="1095">
        <f t="shared" si="30"/>
        <v>10666.6</v>
      </c>
      <c r="X112" s="1095">
        <f t="shared" si="31"/>
        <v>2070</v>
      </c>
      <c r="Y112" s="2909">
        <f t="shared" si="42"/>
        <v>12736.6</v>
      </c>
      <c r="Z112" s="2913">
        <v>0</v>
      </c>
      <c r="AA112" s="1095">
        <f t="shared" si="32"/>
        <v>5754.35</v>
      </c>
      <c r="AB112" s="1095">
        <f t="shared" si="33"/>
        <v>0</v>
      </c>
      <c r="AC112" s="2909">
        <f t="shared" si="43"/>
        <v>5754.35</v>
      </c>
    </row>
    <row r="113" spans="1:29">
      <c r="A113" s="2899" t="s">
        <v>4192</v>
      </c>
      <c r="B113" s="2900" t="s">
        <v>4077</v>
      </c>
      <c r="C113" s="2901">
        <v>300</v>
      </c>
      <c r="D113" s="2902">
        <f t="shared" si="22"/>
        <v>8.5724572663005275E-4</v>
      </c>
      <c r="E113" s="2903">
        <v>27000</v>
      </c>
      <c r="F113" s="2904">
        <f t="shared" si="23"/>
        <v>9.4384536093538012E-4</v>
      </c>
      <c r="G113" s="2903">
        <f t="shared" si="24"/>
        <v>27000</v>
      </c>
      <c r="H113" s="2903">
        <f t="shared" si="25"/>
        <v>0</v>
      </c>
      <c r="I113" s="2905">
        <f t="shared" si="26"/>
        <v>17100</v>
      </c>
      <c r="J113" s="1096">
        <v>0</v>
      </c>
      <c r="K113" s="2479">
        <f t="shared" si="34"/>
        <v>0</v>
      </c>
      <c r="L113" s="398">
        <f t="shared" si="27"/>
        <v>5400</v>
      </c>
      <c r="M113" s="1095">
        <f t="shared" si="28"/>
        <v>22500</v>
      </c>
      <c r="N113" s="2906">
        <f t="shared" si="29"/>
        <v>7.0816877274590883E-4</v>
      </c>
      <c r="O113" s="2907">
        <f t="shared" si="35"/>
        <v>-1.4907695388414392E-4</v>
      </c>
      <c r="P113" s="2908">
        <f t="shared" si="36"/>
        <v>90000</v>
      </c>
      <c r="Q113" s="1095">
        <f t="shared" si="37"/>
        <v>24570</v>
      </c>
      <c r="R113" s="2909">
        <f t="shared" si="38"/>
        <v>114570</v>
      </c>
      <c r="S113" s="398">
        <f t="shared" si="39"/>
        <v>0</v>
      </c>
      <c r="T113" s="1095">
        <f t="shared" si="40"/>
        <v>0</v>
      </c>
      <c r="U113" s="398">
        <f t="shared" si="41"/>
        <v>0</v>
      </c>
      <c r="V113" s="2913">
        <v>0</v>
      </c>
      <c r="W113" s="1095">
        <f t="shared" si="30"/>
        <v>0</v>
      </c>
      <c r="X113" s="1095">
        <f t="shared" si="31"/>
        <v>5400</v>
      </c>
      <c r="Y113" s="2909">
        <f t="shared" si="42"/>
        <v>5400</v>
      </c>
      <c r="Z113" s="2913">
        <v>0</v>
      </c>
      <c r="AA113" s="1095">
        <f t="shared" si="32"/>
        <v>0</v>
      </c>
      <c r="AB113" s="1095">
        <f t="shared" si="33"/>
        <v>0</v>
      </c>
      <c r="AC113" s="2909">
        <f t="shared" si="43"/>
        <v>0</v>
      </c>
    </row>
    <row r="114" spans="1:29">
      <c r="A114" s="2899" t="s">
        <v>4193</v>
      </c>
      <c r="B114" s="2900" t="s">
        <v>4079</v>
      </c>
      <c r="C114" s="2901">
        <v>135</v>
      </c>
      <c r="D114" s="2902">
        <f t="shared" si="22"/>
        <v>3.8576057698352375E-4</v>
      </c>
      <c r="E114" s="2903">
        <v>12150</v>
      </c>
      <c r="F114" s="2904">
        <f t="shared" si="23"/>
        <v>4.2473041242092104E-4</v>
      </c>
      <c r="G114" s="2903">
        <f t="shared" si="24"/>
        <v>12150</v>
      </c>
      <c r="H114" s="2903">
        <f t="shared" si="25"/>
        <v>0</v>
      </c>
      <c r="I114" s="2905">
        <f t="shared" si="26"/>
        <v>7695</v>
      </c>
      <c r="J114" s="1096">
        <v>2354</v>
      </c>
      <c r="K114" s="2479">
        <f t="shared" si="34"/>
        <v>96419.839999999997</v>
      </c>
      <c r="L114" s="398">
        <f t="shared" si="27"/>
        <v>2430</v>
      </c>
      <c r="M114" s="1095">
        <f t="shared" si="28"/>
        <v>12479</v>
      </c>
      <c r="N114" s="2906">
        <f t="shared" si="29"/>
        <v>3.9276613844871984E-4</v>
      </c>
      <c r="O114" s="2907">
        <f t="shared" si="35"/>
        <v>7.0055614651960913E-6</v>
      </c>
      <c r="P114" s="2908">
        <f t="shared" si="36"/>
        <v>40500</v>
      </c>
      <c r="Q114" s="1095">
        <f t="shared" si="37"/>
        <v>11056.5</v>
      </c>
      <c r="R114" s="2909">
        <f t="shared" si="38"/>
        <v>51556.5</v>
      </c>
      <c r="S114" s="398">
        <f t="shared" si="39"/>
        <v>0</v>
      </c>
      <c r="T114" s="1095">
        <f t="shared" si="40"/>
        <v>0</v>
      </c>
      <c r="U114" s="398">
        <f t="shared" si="41"/>
        <v>0</v>
      </c>
      <c r="V114" s="2913">
        <v>0</v>
      </c>
      <c r="W114" s="1095">
        <f t="shared" si="30"/>
        <v>12523.28</v>
      </c>
      <c r="X114" s="1095">
        <f t="shared" si="31"/>
        <v>2430</v>
      </c>
      <c r="Y114" s="2909">
        <f t="shared" si="42"/>
        <v>14953.28</v>
      </c>
      <c r="Z114" s="2913">
        <v>0</v>
      </c>
      <c r="AA114" s="1095">
        <f t="shared" si="32"/>
        <v>6755.9800000000005</v>
      </c>
      <c r="AB114" s="1095">
        <f t="shared" si="33"/>
        <v>0</v>
      </c>
      <c r="AC114" s="2909">
        <f t="shared" si="43"/>
        <v>6755.9800000000005</v>
      </c>
    </row>
    <row r="115" spans="1:29">
      <c r="A115" s="2899" t="s">
        <v>4194</v>
      </c>
      <c r="B115" s="2900" t="s">
        <v>4073</v>
      </c>
      <c r="C115" s="2901">
        <v>160</v>
      </c>
      <c r="D115" s="2902">
        <f t="shared" si="22"/>
        <v>4.5719772086936144E-4</v>
      </c>
      <c r="E115" s="2903">
        <v>14400</v>
      </c>
      <c r="F115" s="2904">
        <f t="shared" si="23"/>
        <v>5.0338419249886944E-4</v>
      </c>
      <c r="G115" s="2903">
        <f t="shared" si="24"/>
        <v>14400</v>
      </c>
      <c r="H115" s="2903">
        <f t="shared" si="25"/>
        <v>0</v>
      </c>
      <c r="I115" s="2905">
        <f t="shared" si="26"/>
        <v>9120</v>
      </c>
      <c r="J115" s="1096">
        <v>4185</v>
      </c>
      <c r="K115" s="2479">
        <f t="shared" si="34"/>
        <v>171417.60000000001</v>
      </c>
      <c r="L115" s="398">
        <f t="shared" si="27"/>
        <v>2880</v>
      </c>
      <c r="M115" s="1095">
        <f t="shared" si="28"/>
        <v>16185</v>
      </c>
      <c r="N115" s="2906">
        <f t="shared" si="29"/>
        <v>5.0940940386189049E-4</v>
      </c>
      <c r="O115" s="2907">
        <f t="shared" si="35"/>
        <v>5.2211682992529048E-5</v>
      </c>
      <c r="P115" s="2908">
        <f t="shared" si="36"/>
        <v>48000</v>
      </c>
      <c r="Q115" s="1095">
        <f t="shared" si="37"/>
        <v>13104</v>
      </c>
      <c r="R115" s="2909">
        <f t="shared" si="38"/>
        <v>61104</v>
      </c>
      <c r="S115" s="398">
        <f t="shared" si="39"/>
        <v>0</v>
      </c>
      <c r="T115" s="1095">
        <f t="shared" si="40"/>
        <v>0</v>
      </c>
      <c r="U115" s="398">
        <f t="shared" si="41"/>
        <v>0</v>
      </c>
      <c r="V115" s="2913">
        <v>0</v>
      </c>
      <c r="W115" s="1095">
        <f t="shared" si="30"/>
        <v>22264.2</v>
      </c>
      <c r="X115" s="1095">
        <f t="shared" si="31"/>
        <v>2880</v>
      </c>
      <c r="Y115" s="2909">
        <f t="shared" si="42"/>
        <v>25144.2</v>
      </c>
      <c r="Z115" s="2913">
        <v>0</v>
      </c>
      <c r="AA115" s="1095">
        <f t="shared" si="32"/>
        <v>12010.95</v>
      </c>
      <c r="AB115" s="1095">
        <f t="shared" si="33"/>
        <v>0</v>
      </c>
      <c r="AC115" s="2909">
        <f t="shared" si="43"/>
        <v>12010.95</v>
      </c>
    </row>
    <row r="116" spans="1:29">
      <c r="A116" s="2899" t="s">
        <v>4195</v>
      </c>
      <c r="B116" s="2900" t="s">
        <v>4196</v>
      </c>
      <c r="C116" s="2901">
        <v>175</v>
      </c>
      <c r="D116" s="2902">
        <f t="shared" si="22"/>
        <v>5.0006000720086412E-4</v>
      </c>
      <c r="E116" s="2903">
        <v>15750</v>
      </c>
      <c r="F116" s="2904">
        <f t="shared" si="23"/>
        <v>5.505764605456384E-4</v>
      </c>
      <c r="G116" s="2903">
        <f t="shared" si="24"/>
        <v>15750</v>
      </c>
      <c r="H116" s="2903">
        <f t="shared" si="25"/>
        <v>0</v>
      </c>
      <c r="I116" s="2905">
        <f t="shared" si="26"/>
        <v>9975</v>
      </c>
      <c r="J116" s="1096">
        <v>0</v>
      </c>
      <c r="K116" s="2479">
        <f t="shared" si="34"/>
        <v>0</v>
      </c>
      <c r="L116" s="398">
        <f t="shared" si="27"/>
        <v>3150</v>
      </c>
      <c r="M116" s="1095">
        <f t="shared" si="28"/>
        <v>13125</v>
      </c>
      <c r="N116" s="2906">
        <f t="shared" si="29"/>
        <v>4.1309845076844686E-4</v>
      </c>
      <c r="O116" s="2907">
        <f t="shared" si="35"/>
        <v>-8.6961556432417269E-5</v>
      </c>
      <c r="P116" s="2908">
        <f t="shared" si="36"/>
        <v>52500</v>
      </c>
      <c r="Q116" s="1095">
        <f t="shared" si="37"/>
        <v>14332.5</v>
      </c>
      <c r="R116" s="2909">
        <f t="shared" si="38"/>
        <v>66832.5</v>
      </c>
      <c r="S116" s="398">
        <f t="shared" si="39"/>
        <v>0</v>
      </c>
      <c r="T116" s="1095">
        <f t="shared" si="40"/>
        <v>0</v>
      </c>
      <c r="U116" s="398">
        <f t="shared" si="41"/>
        <v>0</v>
      </c>
      <c r="V116" s="2913">
        <v>0</v>
      </c>
      <c r="W116" s="1095">
        <f t="shared" si="30"/>
        <v>0</v>
      </c>
      <c r="X116" s="1095">
        <f t="shared" si="31"/>
        <v>3150</v>
      </c>
      <c r="Y116" s="2909">
        <f t="shared" si="42"/>
        <v>3150</v>
      </c>
      <c r="Z116" s="2913">
        <v>0</v>
      </c>
      <c r="AA116" s="1095">
        <f t="shared" si="32"/>
        <v>0</v>
      </c>
      <c r="AB116" s="1095">
        <f t="shared" si="33"/>
        <v>0</v>
      </c>
      <c r="AC116" s="2909">
        <f t="shared" si="43"/>
        <v>0</v>
      </c>
    </row>
    <row r="117" spans="1:29">
      <c r="A117" s="2899" t="s">
        <v>4197</v>
      </c>
      <c r="B117" s="2900" t="s">
        <v>4087</v>
      </c>
      <c r="C117" s="2901">
        <v>285</v>
      </c>
      <c r="D117" s="2902">
        <f t="shared" si="22"/>
        <v>8.1438344029855013E-4</v>
      </c>
      <c r="E117" s="2903">
        <v>25650</v>
      </c>
      <c r="F117" s="2904">
        <f t="shared" si="23"/>
        <v>8.9665309288861116E-4</v>
      </c>
      <c r="G117" s="2903">
        <f t="shared" si="24"/>
        <v>25650</v>
      </c>
      <c r="H117" s="2903">
        <f t="shared" si="25"/>
        <v>0</v>
      </c>
      <c r="I117" s="2905">
        <f t="shared" si="26"/>
        <v>16245</v>
      </c>
      <c r="J117" s="1096">
        <v>0</v>
      </c>
      <c r="K117" s="2479">
        <f t="shared" si="34"/>
        <v>0</v>
      </c>
      <c r="L117" s="398">
        <f t="shared" si="27"/>
        <v>5130</v>
      </c>
      <c r="M117" s="1095">
        <f t="shared" si="28"/>
        <v>21375</v>
      </c>
      <c r="N117" s="2906">
        <f t="shared" si="29"/>
        <v>6.7276033410861339E-4</v>
      </c>
      <c r="O117" s="2907">
        <f t="shared" si="35"/>
        <v>-1.4162310618993674E-4</v>
      </c>
      <c r="P117" s="2908">
        <f t="shared" si="36"/>
        <v>85500</v>
      </c>
      <c r="Q117" s="1095">
        <f t="shared" si="37"/>
        <v>23341.5</v>
      </c>
      <c r="R117" s="2909">
        <f t="shared" si="38"/>
        <v>108841.5</v>
      </c>
      <c r="S117" s="398">
        <f t="shared" si="39"/>
        <v>0</v>
      </c>
      <c r="T117" s="1095">
        <f t="shared" si="40"/>
        <v>0</v>
      </c>
      <c r="U117" s="398">
        <f t="shared" si="41"/>
        <v>0</v>
      </c>
      <c r="V117" s="2913">
        <v>0</v>
      </c>
      <c r="W117" s="1095">
        <f t="shared" si="30"/>
        <v>0</v>
      </c>
      <c r="X117" s="1095">
        <f t="shared" si="31"/>
        <v>5130</v>
      </c>
      <c r="Y117" s="2909">
        <f t="shared" si="42"/>
        <v>5130</v>
      </c>
      <c r="Z117" s="2913">
        <v>0</v>
      </c>
      <c r="AA117" s="1095">
        <f t="shared" si="32"/>
        <v>0</v>
      </c>
      <c r="AB117" s="1095">
        <f t="shared" si="33"/>
        <v>0</v>
      </c>
      <c r="AC117" s="2909">
        <f t="shared" si="43"/>
        <v>0</v>
      </c>
    </row>
    <row r="118" spans="1:29">
      <c r="A118" s="2899" t="s">
        <v>4198</v>
      </c>
      <c r="B118" s="2900" t="s">
        <v>4125</v>
      </c>
      <c r="C118" s="2901">
        <v>50</v>
      </c>
      <c r="D118" s="2902">
        <f t="shared" si="22"/>
        <v>1.4287428777167547E-4</v>
      </c>
      <c r="E118" s="2903">
        <v>4500</v>
      </c>
      <c r="F118" s="2904">
        <f t="shared" si="23"/>
        <v>1.5730756015589669E-4</v>
      </c>
      <c r="G118" s="2903">
        <f t="shared" si="24"/>
        <v>4500</v>
      </c>
      <c r="H118" s="2903">
        <f t="shared" si="25"/>
        <v>0</v>
      </c>
      <c r="I118" s="2905">
        <f t="shared" si="26"/>
        <v>2850</v>
      </c>
      <c r="J118" s="1096">
        <v>1744</v>
      </c>
      <c r="K118" s="2479">
        <f t="shared" si="34"/>
        <v>71434.240000000005</v>
      </c>
      <c r="L118" s="398">
        <f t="shared" si="27"/>
        <v>900</v>
      </c>
      <c r="M118" s="1095">
        <f t="shared" si="28"/>
        <v>5494</v>
      </c>
      <c r="N118" s="2906">
        <f t="shared" si="29"/>
        <v>1.7291907722071214E-4</v>
      </c>
      <c r="O118" s="2907">
        <f t="shared" si="35"/>
        <v>3.0044789449036672E-5</v>
      </c>
      <c r="P118" s="2908">
        <f t="shared" si="36"/>
        <v>15000</v>
      </c>
      <c r="Q118" s="1095">
        <f t="shared" si="37"/>
        <v>4095</v>
      </c>
      <c r="R118" s="2909">
        <f t="shared" si="38"/>
        <v>19095</v>
      </c>
      <c r="S118" s="398">
        <f t="shared" si="39"/>
        <v>0</v>
      </c>
      <c r="T118" s="1095">
        <f t="shared" si="40"/>
        <v>0</v>
      </c>
      <c r="U118" s="398">
        <f t="shared" si="41"/>
        <v>0</v>
      </c>
      <c r="V118" s="2913">
        <v>0</v>
      </c>
      <c r="W118" s="1095">
        <f t="shared" si="30"/>
        <v>9278.08</v>
      </c>
      <c r="X118" s="1095">
        <f t="shared" si="31"/>
        <v>900</v>
      </c>
      <c r="Y118" s="2909">
        <f t="shared" si="42"/>
        <v>10178.08</v>
      </c>
      <c r="Z118" s="2913">
        <v>0</v>
      </c>
      <c r="AA118" s="1095">
        <f t="shared" si="32"/>
        <v>5005.28</v>
      </c>
      <c r="AB118" s="1095">
        <f t="shared" si="33"/>
        <v>0</v>
      </c>
      <c r="AC118" s="2909">
        <f t="shared" si="43"/>
        <v>5005.28</v>
      </c>
    </row>
    <row r="119" spans="1:29">
      <c r="A119" s="2899" t="s">
        <v>4199</v>
      </c>
      <c r="B119" s="2900" t="s">
        <v>4115</v>
      </c>
      <c r="C119" s="2901">
        <v>325</v>
      </c>
      <c r="D119" s="2902">
        <f t="shared" si="22"/>
        <v>9.286828705158905E-4</v>
      </c>
      <c r="E119" s="2903">
        <v>29250</v>
      </c>
      <c r="F119" s="2904">
        <f t="shared" si="23"/>
        <v>1.0224991410133285E-3</v>
      </c>
      <c r="G119" s="2903">
        <f t="shared" si="24"/>
        <v>29250</v>
      </c>
      <c r="H119" s="2903">
        <f t="shared" si="25"/>
        <v>0</v>
      </c>
      <c r="I119" s="2905">
        <f t="shared" si="26"/>
        <v>18525</v>
      </c>
      <c r="J119" s="1096">
        <v>0</v>
      </c>
      <c r="K119" s="2479">
        <f t="shared" si="34"/>
        <v>0</v>
      </c>
      <c r="L119" s="398">
        <f t="shared" si="27"/>
        <v>5850</v>
      </c>
      <c r="M119" s="1095">
        <f t="shared" si="28"/>
        <v>24375</v>
      </c>
      <c r="N119" s="2906">
        <f t="shared" si="29"/>
        <v>7.6718283714140127E-4</v>
      </c>
      <c r="O119" s="2907">
        <f t="shared" si="35"/>
        <v>-1.6150003337448923E-4</v>
      </c>
      <c r="P119" s="2908">
        <f t="shared" si="36"/>
        <v>97500</v>
      </c>
      <c r="Q119" s="1095">
        <f t="shared" si="37"/>
        <v>26617.5</v>
      </c>
      <c r="R119" s="2909">
        <f t="shared" si="38"/>
        <v>124117.5</v>
      </c>
      <c r="S119" s="398">
        <f t="shared" si="39"/>
        <v>0</v>
      </c>
      <c r="T119" s="1095">
        <f t="shared" si="40"/>
        <v>0</v>
      </c>
      <c r="U119" s="398">
        <f t="shared" si="41"/>
        <v>0</v>
      </c>
      <c r="V119" s="2913">
        <v>0</v>
      </c>
      <c r="W119" s="1095">
        <f t="shared" si="30"/>
        <v>0</v>
      </c>
      <c r="X119" s="1095">
        <f t="shared" si="31"/>
        <v>5850</v>
      </c>
      <c r="Y119" s="2909">
        <f t="shared" si="42"/>
        <v>5850</v>
      </c>
      <c r="Z119" s="2913">
        <v>0</v>
      </c>
      <c r="AA119" s="1095">
        <f t="shared" si="32"/>
        <v>0</v>
      </c>
      <c r="AB119" s="1095">
        <f t="shared" si="33"/>
        <v>0</v>
      </c>
      <c r="AC119" s="2909">
        <f t="shared" si="43"/>
        <v>0</v>
      </c>
    </row>
    <row r="120" spans="1:29">
      <c r="A120" s="2899" t="s">
        <v>3108</v>
      </c>
      <c r="B120" s="2900" t="s">
        <v>4144</v>
      </c>
      <c r="C120" s="2901">
        <v>165</v>
      </c>
      <c r="D120" s="2902">
        <f t="shared" si="22"/>
        <v>4.71485149646529E-4</v>
      </c>
      <c r="E120" s="2903">
        <v>14850</v>
      </c>
      <c r="F120" s="2904">
        <f t="shared" si="23"/>
        <v>5.1911494851445902E-4</v>
      </c>
      <c r="G120" s="2903">
        <f t="shared" si="24"/>
        <v>14850</v>
      </c>
      <c r="H120" s="2903">
        <f t="shared" si="25"/>
        <v>0</v>
      </c>
      <c r="I120" s="2905">
        <f t="shared" si="26"/>
        <v>9405</v>
      </c>
      <c r="J120" s="1096">
        <v>2877</v>
      </c>
      <c r="K120" s="2479">
        <f t="shared" si="34"/>
        <v>117841.92</v>
      </c>
      <c r="L120" s="398">
        <f t="shared" si="27"/>
        <v>2970</v>
      </c>
      <c r="M120" s="1095">
        <f t="shared" si="28"/>
        <v>15252</v>
      </c>
      <c r="N120" s="2906">
        <f t="shared" si="29"/>
        <v>4.8004400541869343E-4</v>
      </c>
      <c r="O120" s="2907">
        <f t="shared" si="35"/>
        <v>8.5588557721644307E-6</v>
      </c>
      <c r="P120" s="2908">
        <f t="shared" si="36"/>
        <v>49500</v>
      </c>
      <c r="Q120" s="1095">
        <f t="shared" si="37"/>
        <v>13513.5</v>
      </c>
      <c r="R120" s="2909">
        <f t="shared" si="38"/>
        <v>63013.5</v>
      </c>
      <c r="S120" s="398">
        <f t="shared" si="39"/>
        <v>0</v>
      </c>
      <c r="T120" s="1095">
        <f t="shared" si="40"/>
        <v>0</v>
      </c>
      <c r="U120" s="398">
        <f t="shared" si="41"/>
        <v>0</v>
      </c>
      <c r="V120" s="2913">
        <v>0</v>
      </c>
      <c r="W120" s="1095">
        <f t="shared" si="30"/>
        <v>15305.640000000001</v>
      </c>
      <c r="X120" s="1095">
        <f t="shared" si="31"/>
        <v>2970</v>
      </c>
      <c r="Y120" s="2909">
        <f t="shared" si="42"/>
        <v>18275.64</v>
      </c>
      <c r="Z120" s="2913">
        <v>0</v>
      </c>
      <c r="AA120" s="1095">
        <f t="shared" si="32"/>
        <v>8256.99</v>
      </c>
      <c r="AB120" s="1095">
        <f t="shared" si="33"/>
        <v>0</v>
      </c>
      <c r="AC120" s="2909">
        <f t="shared" si="43"/>
        <v>8256.99</v>
      </c>
    </row>
    <row r="121" spans="1:29">
      <c r="A121" s="2899" t="s">
        <v>4200</v>
      </c>
      <c r="B121" s="2900" t="s">
        <v>4075</v>
      </c>
      <c r="C121" s="2901">
        <v>125</v>
      </c>
      <c r="D121" s="2902">
        <f t="shared" si="22"/>
        <v>3.5718571942918863E-4</v>
      </c>
      <c r="E121" s="2903">
        <v>11250</v>
      </c>
      <c r="F121" s="2904">
        <f t="shared" si="23"/>
        <v>3.9326890038974172E-4</v>
      </c>
      <c r="G121" s="2903">
        <f t="shared" si="24"/>
        <v>11250</v>
      </c>
      <c r="H121" s="2903">
        <f t="shared" si="25"/>
        <v>0</v>
      </c>
      <c r="I121" s="2905">
        <f t="shared" si="26"/>
        <v>7125</v>
      </c>
      <c r="J121" s="1096">
        <v>2180</v>
      </c>
      <c r="K121" s="2479">
        <f t="shared" si="34"/>
        <v>89292.800000000003</v>
      </c>
      <c r="L121" s="398">
        <f t="shared" si="27"/>
        <v>2250</v>
      </c>
      <c r="M121" s="1095">
        <f t="shared" si="28"/>
        <v>11555</v>
      </c>
      <c r="N121" s="2906">
        <f t="shared" si="29"/>
        <v>3.6368400751462122E-4</v>
      </c>
      <c r="O121" s="2907">
        <f t="shared" si="35"/>
        <v>6.498288085432589E-6</v>
      </c>
      <c r="P121" s="2908">
        <f t="shared" si="36"/>
        <v>37500</v>
      </c>
      <c r="Q121" s="1095">
        <f t="shared" si="37"/>
        <v>10237.5</v>
      </c>
      <c r="R121" s="2909">
        <f t="shared" si="38"/>
        <v>47737.5</v>
      </c>
      <c r="S121" s="398">
        <f t="shared" si="39"/>
        <v>0</v>
      </c>
      <c r="T121" s="1095">
        <f t="shared" si="40"/>
        <v>0</v>
      </c>
      <c r="U121" s="398">
        <f t="shared" si="41"/>
        <v>0</v>
      </c>
      <c r="V121" s="2913">
        <v>0</v>
      </c>
      <c r="W121" s="1095">
        <f t="shared" si="30"/>
        <v>11597.6</v>
      </c>
      <c r="X121" s="1095">
        <f t="shared" si="31"/>
        <v>2250</v>
      </c>
      <c r="Y121" s="2909">
        <f t="shared" si="42"/>
        <v>13847.6</v>
      </c>
      <c r="Z121" s="2913">
        <v>0</v>
      </c>
      <c r="AA121" s="1095">
        <f t="shared" si="32"/>
        <v>6256.6</v>
      </c>
      <c r="AB121" s="1095">
        <f t="shared" si="33"/>
        <v>0</v>
      </c>
      <c r="AC121" s="2909">
        <f t="shared" si="43"/>
        <v>6256.6</v>
      </c>
    </row>
    <row r="122" spans="1:29">
      <c r="A122" s="2899" t="s">
        <v>4201</v>
      </c>
      <c r="B122" s="2900" t="s">
        <v>4073</v>
      </c>
      <c r="C122" s="2901">
        <v>180</v>
      </c>
      <c r="D122" s="2902">
        <f t="shared" si="22"/>
        <v>5.1434743597803163E-4</v>
      </c>
      <c r="E122" s="2903">
        <v>16200</v>
      </c>
      <c r="F122" s="2904">
        <f t="shared" si="23"/>
        <v>5.6630721656122809E-4</v>
      </c>
      <c r="G122" s="2903">
        <f t="shared" si="24"/>
        <v>16200</v>
      </c>
      <c r="H122" s="2903">
        <f t="shared" si="25"/>
        <v>0</v>
      </c>
      <c r="I122" s="2905">
        <f t="shared" si="26"/>
        <v>10260</v>
      </c>
      <c r="J122" s="1096">
        <v>3139</v>
      </c>
      <c r="K122" s="2479">
        <f t="shared" si="34"/>
        <v>128573.44</v>
      </c>
      <c r="L122" s="398">
        <f t="shared" si="27"/>
        <v>3240</v>
      </c>
      <c r="M122" s="1095">
        <f t="shared" si="28"/>
        <v>16639</v>
      </c>
      <c r="N122" s="2906">
        <f t="shared" si="29"/>
        <v>5.2369867598751907E-4</v>
      </c>
      <c r="O122" s="2907">
        <f t="shared" si="35"/>
        <v>9.3512400094874354E-6</v>
      </c>
      <c r="P122" s="2908">
        <f t="shared" si="36"/>
        <v>54000</v>
      </c>
      <c r="Q122" s="1095">
        <f t="shared" si="37"/>
        <v>14742</v>
      </c>
      <c r="R122" s="2909">
        <f t="shared" si="38"/>
        <v>68742</v>
      </c>
      <c r="S122" s="398">
        <f t="shared" si="39"/>
        <v>0</v>
      </c>
      <c r="T122" s="1095">
        <f t="shared" si="40"/>
        <v>0</v>
      </c>
      <c r="U122" s="398">
        <f t="shared" si="41"/>
        <v>0</v>
      </c>
      <c r="V122" s="2913">
        <v>0</v>
      </c>
      <c r="W122" s="1095">
        <f t="shared" si="30"/>
        <v>16699.48</v>
      </c>
      <c r="X122" s="1095">
        <f t="shared" si="31"/>
        <v>3240</v>
      </c>
      <c r="Y122" s="2909">
        <f t="shared" si="42"/>
        <v>19939.48</v>
      </c>
      <c r="Z122" s="2913">
        <v>0</v>
      </c>
      <c r="AA122" s="1095">
        <f t="shared" si="32"/>
        <v>9008.93</v>
      </c>
      <c r="AB122" s="1095">
        <f t="shared" si="33"/>
        <v>0</v>
      </c>
      <c r="AC122" s="2909">
        <f t="shared" si="43"/>
        <v>9008.93</v>
      </c>
    </row>
    <row r="123" spans="1:29">
      <c r="A123" s="2899" t="s">
        <v>4202</v>
      </c>
      <c r="B123" s="2900" t="s">
        <v>4087</v>
      </c>
      <c r="C123" s="2901">
        <v>120</v>
      </c>
      <c r="D123" s="2902">
        <f t="shared" si="22"/>
        <v>3.4289829065202112E-4</v>
      </c>
      <c r="E123" s="2903">
        <v>10800</v>
      </c>
      <c r="F123" s="2904">
        <f t="shared" si="23"/>
        <v>3.7753814437415203E-4</v>
      </c>
      <c r="G123" s="2903">
        <f t="shared" si="24"/>
        <v>10800</v>
      </c>
      <c r="H123" s="2903">
        <f t="shared" si="25"/>
        <v>0</v>
      </c>
      <c r="I123" s="2905">
        <f t="shared" si="26"/>
        <v>6840</v>
      </c>
      <c r="J123" s="1096">
        <v>0</v>
      </c>
      <c r="K123" s="2479">
        <f t="shared" si="34"/>
        <v>0</v>
      </c>
      <c r="L123" s="398">
        <f t="shared" si="27"/>
        <v>2160</v>
      </c>
      <c r="M123" s="1095">
        <f t="shared" si="28"/>
        <v>9000</v>
      </c>
      <c r="N123" s="2906">
        <f t="shared" si="29"/>
        <v>2.8326750909836353E-4</v>
      </c>
      <c r="O123" s="2907">
        <f t="shared" si="35"/>
        <v>-5.963078155365759E-5</v>
      </c>
      <c r="P123" s="2908">
        <f t="shared" si="36"/>
        <v>36000</v>
      </c>
      <c r="Q123" s="1095">
        <f t="shared" si="37"/>
        <v>9828</v>
      </c>
      <c r="R123" s="2909">
        <f t="shared" si="38"/>
        <v>45828</v>
      </c>
      <c r="S123" s="398">
        <f t="shared" si="39"/>
        <v>0</v>
      </c>
      <c r="T123" s="1095">
        <f t="shared" si="40"/>
        <v>0</v>
      </c>
      <c r="U123" s="398">
        <f t="shared" si="41"/>
        <v>0</v>
      </c>
      <c r="V123" s="2913">
        <v>0</v>
      </c>
      <c r="W123" s="1095">
        <f t="shared" si="30"/>
        <v>0</v>
      </c>
      <c r="X123" s="1095">
        <f t="shared" si="31"/>
        <v>2160</v>
      </c>
      <c r="Y123" s="2909">
        <f t="shared" si="42"/>
        <v>2160</v>
      </c>
      <c r="Z123" s="2913">
        <v>0</v>
      </c>
      <c r="AA123" s="1095">
        <f t="shared" si="32"/>
        <v>0</v>
      </c>
      <c r="AB123" s="1095">
        <f t="shared" si="33"/>
        <v>0</v>
      </c>
      <c r="AC123" s="2909">
        <f t="shared" si="43"/>
        <v>0</v>
      </c>
    </row>
    <row r="124" spans="1:29">
      <c r="A124" s="2899" t="s">
        <v>4203</v>
      </c>
      <c r="B124" s="2900" t="s">
        <v>4129</v>
      </c>
      <c r="C124" s="2901">
        <v>275</v>
      </c>
      <c r="D124" s="2902">
        <f t="shared" si="22"/>
        <v>7.8580858274421501E-4</v>
      </c>
      <c r="E124" s="2903">
        <v>24750</v>
      </c>
      <c r="F124" s="2904">
        <f t="shared" si="23"/>
        <v>8.6519158085743178E-4</v>
      </c>
      <c r="G124" s="2903">
        <f t="shared" si="24"/>
        <v>24750</v>
      </c>
      <c r="H124" s="2903">
        <f t="shared" si="25"/>
        <v>0</v>
      </c>
      <c r="I124" s="2905">
        <f t="shared" si="26"/>
        <v>15675</v>
      </c>
      <c r="J124" s="1096">
        <v>4796</v>
      </c>
      <c r="K124" s="2479">
        <f t="shared" si="34"/>
        <v>196444.16</v>
      </c>
      <c r="L124" s="398">
        <f t="shared" si="27"/>
        <v>4950</v>
      </c>
      <c r="M124" s="1095">
        <f t="shared" si="28"/>
        <v>25421</v>
      </c>
      <c r="N124" s="2906">
        <f t="shared" si="29"/>
        <v>8.0010481653216669E-4</v>
      </c>
      <c r="O124" s="2907">
        <f t="shared" si="35"/>
        <v>1.4296233787951685E-5</v>
      </c>
      <c r="P124" s="2908">
        <f t="shared" si="36"/>
        <v>82500</v>
      </c>
      <c r="Q124" s="1095">
        <f t="shared" si="37"/>
        <v>22522.5</v>
      </c>
      <c r="R124" s="2909">
        <f t="shared" si="38"/>
        <v>105022.5</v>
      </c>
      <c r="S124" s="398">
        <f t="shared" si="39"/>
        <v>0</v>
      </c>
      <c r="T124" s="1095">
        <f t="shared" si="40"/>
        <v>0</v>
      </c>
      <c r="U124" s="398">
        <f t="shared" si="41"/>
        <v>0</v>
      </c>
      <c r="V124" s="2913">
        <v>0</v>
      </c>
      <c r="W124" s="1095">
        <f t="shared" si="30"/>
        <v>25514.720000000001</v>
      </c>
      <c r="X124" s="1095">
        <f t="shared" si="31"/>
        <v>4950</v>
      </c>
      <c r="Y124" s="2909">
        <f t="shared" si="42"/>
        <v>30464.720000000001</v>
      </c>
      <c r="Z124" s="2913">
        <v>0</v>
      </c>
      <c r="AA124" s="1095">
        <f t="shared" si="32"/>
        <v>13764.52</v>
      </c>
      <c r="AB124" s="1095">
        <f t="shared" si="33"/>
        <v>0</v>
      </c>
      <c r="AC124" s="2909">
        <f t="shared" si="43"/>
        <v>13764.52</v>
      </c>
    </row>
    <row r="125" spans="1:29">
      <c r="A125" s="2899" t="s">
        <v>4204</v>
      </c>
      <c r="B125" s="2900" t="s">
        <v>4190</v>
      </c>
      <c r="C125" s="2901">
        <v>705</v>
      </c>
      <c r="D125" s="2902">
        <f t="shared" si="22"/>
        <v>2.0145274575806239E-3</v>
      </c>
      <c r="E125" s="2903">
        <v>63450</v>
      </c>
      <c r="F125" s="2904">
        <f t="shared" si="23"/>
        <v>2.2180365981981434E-3</v>
      </c>
      <c r="G125" s="2903">
        <f t="shared" si="24"/>
        <v>63450</v>
      </c>
      <c r="H125" s="2903">
        <f t="shared" si="25"/>
        <v>0</v>
      </c>
      <c r="I125" s="2905">
        <f t="shared" si="26"/>
        <v>40185</v>
      </c>
      <c r="J125" s="1096">
        <v>0</v>
      </c>
      <c r="K125" s="2479">
        <f t="shared" si="34"/>
        <v>0</v>
      </c>
      <c r="L125" s="398">
        <f t="shared" si="27"/>
        <v>12690</v>
      </c>
      <c r="M125" s="1095">
        <f t="shared" si="28"/>
        <v>52875</v>
      </c>
      <c r="N125" s="2906">
        <f t="shared" si="29"/>
        <v>1.6641966159528859E-3</v>
      </c>
      <c r="O125" s="2907">
        <f t="shared" si="35"/>
        <v>-3.5033084162773803E-4</v>
      </c>
      <c r="P125" s="2908">
        <f t="shared" si="36"/>
        <v>211500</v>
      </c>
      <c r="Q125" s="1095">
        <f t="shared" si="37"/>
        <v>57739.5</v>
      </c>
      <c r="R125" s="2909">
        <f t="shared" si="38"/>
        <v>269239.5</v>
      </c>
      <c r="S125" s="398">
        <f t="shared" si="39"/>
        <v>0</v>
      </c>
      <c r="T125" s="1095">
        <f t="shared" si="40"/>
        <v>0</v>
      </c>
      <c r="U125" s="398">
        <f t="shared" si="41"/>
        <v>0</v>
      </c>
      <c r="V125" s="2913">
        <v>0</v>
      </c>
      <c r="W125" s="1095">
        <f t="shared" si="30"/>
        <v>0</v>
      </c>
      <c r="X125" s="1095">
        <f t="shared" si="31"/>
        <v>12690</v>
      </c>
      <c r="Y125" s="2909">
        <f t="shared" si="42"/>
        <v>12690</v>
      </c>
      <c r="Z125" s="2913">
        <v>0</v>
      </c>
      <c r="AA125" s="1095">
        <f t="shared" si="32"/>
        <v>0</v>
      </c>
      <c r="AB125" s="1095">
        <f t="shared" si="33"/>
        <v>0</v>
      </c>
      <c r="AC125" s="2909">
        <f t="shared" si="43"/>
        <v>0</v>
      </c>
    </row>
    <row r="126" spans="1:29">
      <c r="A126" s="2899" t="s">
        <v>4205</v>
      </c>
      <c r="B126" s="2900" t="s">
        <v>4196</v>
      </c>
      <c r="C126" s="2901">
        <v>200</v>
      </c>
      <c r="D126" s="2902">
        <f t="shared" si="22"/>
        <v>5.7149715108670187E-4</v>
      </c>
      <c r="E126" s="2903">
        <v>18000</v>
      </c>
      <c r="F126" s="2904">
        <f t="shared" si="23"/>
        <v>6.2923024062358675E-4</v>
      </c>
      <c r="G126" s="2903">
        <f t="shared" si="24"/>
        <v>18000</v>
      </c>
      <c r="H126" s="2903">
        <f t="shared" si="25"/>
        <v>0</v>
      </c>
      <c r="I126" s="2905">
        <f t="shared" si="26"/>
        <v>11400</v>
      </c>
      <c r="J126" s="1096">
        <v>3488</v>
      </c>
      <c r="K126" s="2479">
        <f t="shared" si="34"/>
        <v>142868.48000000001</v>
      </c>
      <c r="L126" s="398">
        <f t="shared" si="27"/>
        <v>3600</v>
      </c>
      <c r="M126" s="1095">
        <f t="shared" si="28"/>
        <v>18488</v>
      </c>
      <c r="N126" s="2906">
        <f t="shared" si="29"/>
        <v>5.8189441202339393E-4</v>
      </c>
      <c r="O126" s="2907">
        <f t="shared" si="35"/>
        <v>1.0397260936692056E-5</v>
      </c>
      <c r="P126" s="2908">
        <f t="shared" si="36"/>
        <v>60000</v>
      </c>
      <c r="Q126" s="1095">
        <f t="shared" si="37"/>
        <v>16380</v>
      </c>
      <c r="R126" s="2909">
        <f t="shared" si="38"/>
        <v>76380</v>
      </c>
      <c r="S126" s="398">
        <f t="shared" si="39"/>
        <v>0</v>
      </c>
      <c r="T126" s="1095">
        <f t="shared" si="40"/>
        <v>0</v>
      </c>
      <c r="U126" s="398">
        <f t="shared" si="41"/>
        <v>0</v>
      </c>
      <c r="V126" s="2913">
        <v>0</v>
      </c>
      <c r="W126" s="1095">
        <f t="shared" si="30"/>
        <v>18556.16</v>
      </c>
      <c r="X126" s="1095">
        <f t="shared" si="31"/>
        <v>3600</v>
      </c>
      <c r="Y126" s="2909">
        <f t="shared" si="42"/>
        <v>22156.16</v>
      </c>
      <c r="Z126" s="2913">
        <v>0</v>
      </c>
      <c r="AA126" s="1095">
        <f t="shared" si="32"/>
        <v>10010.56</v>
      </c>
      <c r="AB126" s="1095">
        <f t="shared" si="33"/>
        <v>0</v>
      </c>
      <c r="AC126" s="2909">
        <f t="shared" si="43"/>
        <v>10010.56</v>
      </c>
    </row>
    <row r="127" spans="1:29">
      <c r="A127" s="2899" t="s">
        <v>4206</v>
      </c>
      <c r="B127" s="2900" t="s">
        <v>4196</v>
      </c>
      <c r="C127" s="2901">
        <v>545</v>
      </c>
      <c r="D127" s="2902">
        <f t="shared" si="22"/>
        <v>1.5573297367112624E-3</v>
      </c>
      <c r="E127" s="2903">
        <v>49050</v>
      </c>
      <c r="F127" s="2904">
        <f t="shared" si="23"/>
        <v>1.714652405699274E-3</v>
      </c>
      <c r="G127" s="2903">
        <f t="shared" si="24"/>
        <v>49050</v>
      </c>
      <c r="H127" s="2903">
        <f t="shared" si="25"/>
        <v>0</v>
      </c>
      <c r="I127" s="2905">
        <f t="shared" si="26"/>
        <v>31065</v>
      </c>
      <c r="J127" s="1096">
        <v>19010</v>
      </c>
      <c r="K127" s="2479">
        <f t="shared" si="34"/>
        <v>778649.59999999998</v>
      </c>
      <c r="L127" s="398">
        <f t="shared" si="27"/>
        <v>9810</v>
      </c>
      <c r="M127" s="1095">
        <f t="shared" si="28"/>
        <v>59885</v>
      </c>
      <c r="N127" s="2906">
        <f t="shared" si="29"/>
        <v>1.8848305313728334E-3</v>
      </c>
      <c r="O127" s="2907">
        <f t="shared" si="35"/>
        <v>3.2750079466157102E-4</v>
      </c>
      <c r="P127" s="2908">
        <f t="shared" si="36"/>
        <v>163500</v>
      </c>
      <c r="Q127" s="1095">
        <f t="shared" si="37"/>
        <v>44635.5</v>
      </c>
      <c r="R127" s="2909">
        <f t="shared" si="38"/>
        <v>208135.5</v>
      </c>
      <c r="S127" s="398">
        <f t="shared" si="39"/>
        <v>0</v>
      </c>
      <c r="T127" s="1095">
        <f t="shared" si="40"/>
        <v>0</v>
      </c>
      <c r="U127" s="398">
        <f t="shared" si="41"/>
        <v>0</v>
      </c>
      <c r="V127" s="2913">
        <v>0</v>
      </c>
      <c r="W127" s="1095">
        <f t="shared" si="30"/>
        <v>101133.20000000001</v>
      </c>
      <c r="X127" s="1095">
        <f t="shared" si="31"/>
        <v>9810</v>
      </c>
      <c r="Y127" s="2909">
        <f t="shared" si="42"/>
        <v>110943.20000000001</v>
      </c>
      <c r="Z127" s="2913">
        <v>0</v>
      </c>
      <c r="AA127" s="1095">
        <f t="shared" si="32"/>
        <v>54558.700000000004</v>
      </c>
      <c r="AB127" s="1095">
        <f t="shared" si="33"/>
        <v>0</v>
      </c>
      <c r="AC127" s="2909">
        <f t="shared" si="43"/>
        <v>54558.700000000004</v>
      </c>
    </row>
    <row r="128" spans="1:29">
      <c r="A128" s="2899" t="s">
        <v>4207</v>
      </c>
      <c r="B128" s="2900" t="s">
        <v>4097</v>
      </c>
      <c r="C128" s="2901">
        <v>190</v>
      </c>
      <c r="D128" s="2902">
        <f t="shared" si="22"/>
        <v>5.4292229353236675E-4</v>
      </c>
      <c r="E128" s="2903">
        <v>17100</v>
      </c>
      <c r="F128" s="2904">
        <f t="shared" si="23"/>
        <v>5.9776872859240737E-4</v>
      </c>
      <c r="G128" s="2903">
        <f t="shared" si="24"/>
        <v>17100</v>
      </c>
      <c r="H128" s="2903">
        <f t="shared" si="25"/>
        <v>0</v>
      </c>
      <c r="I128" s="2905">
        <f t="shared" si="26"/>
        <v>10830</v>
      </c>
      <c r="J128" s="1096">
        <v>3313</v>
      </c>
      <c r="K128" s="2479">
        <f t="shared" si="34"/>
        <v>135700.48000000001</v>
      </c>
      <c r="L128" s="398">
        <f t="shared" si="27"/>
        <v>3420</v>
      </c>
      <c r="M128" s="1095">
        <f t="shared" si="28"/>
        <v>17563</v>
      </c>
      <c r="N128" s="2906">
        <f t="shared" si="29"/>
        <v>5.5278080692161764E-4</v>
      </c>
      <c r="O128" s="2907">
        <f t="shared" si="35"/>
        <v>9.8585133892508834E-6</v>
      </c>
      <c r="P128" s="2908">
        <f t="shared" si="36"/>
        <v>57000</v>
      </c>
      <c r="Q128" s="1095">
        <f t="shared" si="37"/>
        <v>15561</v>
      </c>
      <c r="R128" s="2909">
        <f t="shared" si="38"/>
        <v>72561</v>
      </c>
      <c r="S128" s="398">
        <f t="shared" si="39"/>
        <v>0</v>
      </c>
      <c r="T128" s="1095">
        <f t="shared" si="40"/>
        <v>0</v>
      </c>
      <c r="U128" s="398">
        <f t="shared" si="41"/>
        <v>0</v>
      </c>
      <c r="V128" s="2913">
        <v>0</v>
      </c>
      <c r="W128" s="1095">
        <f t="shared" si="30"/>
        <v>17625.16</v>
      </c>
      <c r="X128" s="1095">
        <f t="shared" si="31"/>
        <v>3420</v>
      </c>
      <c r="Y128" s="2909">
        <f t="shared" si="42"/>
        <v>21045.16</v>
      </c>
      <c r="Z128" s="2913">
        <v>0</v>
      </c>
      <c r="AA128" s="1095">
        <f t="shared" si="32"/>
        <v>9508.31</v>
      </c>
      <c r="AB128" s="1095">
        <f t="shared" si="33"/>
        <v>0</v>
      </c>
      <c r="AC128" s="2909">
        <f t="shared" si="43"/>
        <v>9508.31</v>
      </c>
    </row>
    <row r="129" spans="1:29">
      <c r="A129" s="2899" t="s">
        <v>4208</v>
      </c>
      <c r="B129" s="2900" t="s">
        <v>4075</v>
      </c>
      <c r="C129" s="2901">
        <v>250</v>
      </c>
      <c r="D129" s="2902">
        <f t="shared" si="22"/>
        <v>7.1437143885837726E-4</v>
      </c>
      <c r="E129" s="2903">
        <v>22500</v>
      </c>
      <c r="F129" s="2904">
        <f t="shared" si="23"/>
        <v>7.8653780077948343E-4</v>
      </c>
      <c r="G129" s="2903">
        <f t="shared" si="24"/>
        <v>22500</v>
      </c>
      <c r="H129" s="2903">
        <f t="shared" si="25"/>
        <v>0</v>
      </c>
      <c r="I129" s="2905">
        <f t="shared" si="26"/>
        <v>14250</v>
      </c>
      <c r="J129" s="1096">
        <v>4360</v>
      </c>
      <c r="K129" s="2479">
        <f t="shared" si="34"/>
        <v>178585.60000000001</v>
      </c>
      <c r="L129" s="398">
        <f t="shared" si="27"/>
        <v>4500</v>
      </c>
      <c r="M129" s="1095">
        <f t="shared" si="28"/>
        <v>23110</v>
      </c>
      <c r="N129" s="2906">
        <f t="shared" si="29"/>
        <v>7.2736801502924244E-4</v>
      </c>
      <c r="O129" s="2907">
        <f t="shared" si="35"/>
        <v>1.2996576170865178E-5</v>
      </c>
      <c r="P129" s="2908">
        <f t="shared" si="36"/>
        <v>75000</v>
      </c>
      <c r="Q129" s="1095">
        <f t="shared" si="37"/>
        <v>20475</v>
      </c>
      <c r="R129" s="2909">
        <f t="shared" si="38"/>
        <v>95475</v>
      </c>
      <c r="S129" s="398">
        <f t="shared" si="39"/>
        <v>0</v>
      </c>
      <c r="T129" s="1095">
        <f t="shared" si="40"/>
        <v>0</v>
      </c>
      <c r="U129" s="398">
        <f t="shared" si="41"/>
        <v>0</v>
      </c>
      <c r="V129" s="2913">
        <v>0</v>
      </c>
      <c r="W129" s="1095">
        <f t="shared" si="30"/>
        <v>23195.200000000001</v>
      </c>
      <c r="X129" s="1095">
        <f t="shared" si="31"/>
        <v>4500</v>
      </c>
      <c r="Y129" s="2909">
        <f t="shared" si="42"/>
        <v>27695.200000000001</v>
      </c>
      <c r="Z129" s="2913">
        <v>0</v>
      </c>
      <c r="AA129" s="1095">
        <f t="shared" si="32"/>
        <v>12513.2</v>
      </c>
      <c r="AB129" s="1095">
        <f t="shared" si="33"/>
        <v>0</v>
      </c>
      <c r="AC129" s="2909">
        <f t="shared" si="43"/>
        <v>12513.2</v>
      </c>
    </row>
    <row r="130" spans="1:29">
      <c r="A130" s="2899" t="s">
        <v>4209</v>
      </c>
      <c r="B130" s="2900" t="s">
        <v>4077</v>
      </c>
      <c r="C130" s="2901">
        <v>175</v>
      </c>
      <c r="D130" s="2902">
        <f t="shared" si="22"/>
        <v>5.0006000720086412E-4</v>
      </c>
      <c r="E130" s="2903">
        <v>15750</v>
      </c>
      <c r="F130" s="2904">
        <f t="shared" si="23"/>
        <v>5.505764605456384E-4</v>
      </c>
      <c r="G130" s="2903">
        <f t="shared" si="24"/>
        <v>15750</v>
      </c>
      <c r="H130" s="2903">
        <f t="shared" si="25"/>
        <v>0</v>
      </c>
      <c r="I130" s="2905">
        <f t="shared" si="26"/>
        <v>9975</v>
      </c>
      <c r="J130" s="1096">
        <v>0</v>
      </c>
      <c r="K130" s="2479">
        <f t="shared" si="34"/>
        <v>0</v>
      </c>
      <c r="L130" s="398">
        <f t="shared" si="27"/>
        <v>3150</v>
      </c>
      <c r="M130" s="1095">
        <f t="shared" si="28"/>
        <v>13125</v>
      </c>
      <c r="N130" s="2906">
        <f t="shared" si="29"/>
        <v>4.1309845076844686E-4</v>
      </c>
      <c r="O130" s="2907">
        <f t="shared" si="35"/>
        <v>-8.6961556432417269E-5</v>
      </c>
      <c r="P130" s="2908">
        <f t="shared" si="36"/>
        <v>52500</v>
      </c>
      <c r="Q130" s="1095">
        <f t="shared" si="37"/>
        <v>14332.5</v>
      </c>
      <c r="R130" s="2909">
        <f t="shared" si="38"/>
        <v>66832.5</v>
      </c>
      <c r="S130" s="398">
        <f t="shared" si="39"/>
        <v>0</v>
      </c>
      <c r="T130" s="1095">
        <f t="shared" si="40"/>
        <v>0</v>
      </c>
      <c r="U130" s="398">
        <f t="shared" si="41"/>
        <v>0</v>
      </c>
      <c r="V130" s="2913">
        <v>0</v>
      </c>
      <c r="W130" s="1095">
        <f t="shared" si="30"/>
        <v>0</v>
      </c>
      <c r="X130" s="1095">
        <f t="shared" si="31"/>
        <v>3150</v>
      </c>
      <c r="Y130" s="2909">
        <f t="shared" si="42"/>
        <v>3150</v>
      </c>
      <c r="Z130" s="2913">
        <v>0</v>
      </c>
      <c r="AA130" s="1095">
        <f t="shared" si="32"/>
        <v>0</v>
      </c>
      <c r="AB130" s="1095">
        <f t="shared" si="33"/>
        <v>0</v>
      </c>
      <c r="AC130" s="2909">
        <f t="shared" si="43"/>
        <v>0</v>
      </c>
    </row>
    <row r="131" spans="1:29">
      <c r="A131" s="2899" t="s">
        <v>4210</v>
      </c>
      <c r="B131" s="2900" t="s">
        <v>4075</v>
      </c>
      <c r="C131" s="2901">
        <v>250</v>
      </c>
      <c r="D131" s="2902">
        <f t="shared" si="22"/>
        <v>7.1437143885837726E-4</v>
      </c>
      <c r="E131" s="2903">
        <v>22500</v>
      </c>
      <c r="F131" s="2904">
        <f t="shared" si="23"/>
        <v>7.8653780077948343E-4</v>
      </c>
      <c r="G131" s="2903">
        <f t="shared" si="24"/>
        <v>22500</v>
      </c>
      <c r="H131" s="2903">
        <f t="shared" si="25"/>
        <v>0</v>
      </c>
      <c r="I131" s="2905">
        <f t="shared" si="26"/>
        <v>14250</v>
      </c>
      <c r="J131" s="1096">
        <v>4360</v>
      </c>
      <c r="K131" s="2479">
        <f t="shared" si="34"/>
        <v>178585.60000000001</v>
      </c>
      <c r="L131" s="398">
        <f t="shared" si="27"/>
        <v>4500</v>
      </c>
      <c r="M131" s="1095">
        <f t="shared" si="28"/>
        <v>23110</v>
      </c>
      <c r="N131" s="2906">
        <f t="shared" si="29"/>
        <v>7.2736801502924244E-4</v>
      </c>
      <c r="O131" s="2907">
        <f t="shared" si="35"/>
        <v>1.2996576170865178E-5</v>
      </c>
      <c r="P131" s="2908">
        <f t="shared" si="36"/>
        <v>75000</v>
      </c>
      <c r="Q131" s="1095">
        <f t="shared" si="37"/>
        <v>20475</v>
      </c>
      <c r="R131" s="2909">
        <f t="shared" si="38"/>
        <v>95475</v>
      </c>
      <c r="S131" s="398">
        <f t="shared" si="39"/>
        <v>0</v>
      </c>
      <c r="T131" s="1095">
        <f t="shared" si="40"/>
        <v>0</v>
      </c>
      <c r="U131" s="398">
        <f t="shared" si="41"/>
        <v>0</v>
      </c>
      <c r="V131" s="2913">
        <v>0</v>
      </c>
      <c r="W131" s="1095">
        <f t="shared" si="30"/>
        <v>23195.200000000001</v>
      </c>
      <c r="X131" s="1095">
        <f t="shared" si="31"/>
        <v>4500</v>
      </c>
      <c r="Y131" s="2909">
        <f t="shared" si="42"/>
        <v>27695.200000000001</v>
      </c>
      <c r="Z131" s="2913">
        <v>0</v>
      </c>
      <c r="AA131" s="1095">
        <f t="shared" si="32"/>
        <v>12513.2</v>
      </c>
      <c r="AB131" s="1095">
        <f t="shared" si="33"/>
        <v>0</v>
      </c>
      <c r="AC131" s="2909">
        <f t="shared" si="43"/>
        <v>12513.2</v>
      </c>
    </row>
    <row r="132" spans="1:29">
      <c r="A132" s="2899" t="s">
        <v>4211</v>
      </c>
      <c r="B132" s="2900" t="s">
        <v>4077</v>
      </c>
      <c r="C132" s="2901">
        <v>155</v>
      </c>
      <c r="D132" s="2902">
        <f t="shared" si="22"/>
        <v>4.4291029209219394E-4</v>
      </c>
      <c r="E132" s="2903">
        <v>13950</v>
      </c>
      <c r="F132" s="2904">
        <f t="shared" si="23"/>
        <v>4.8765343648327975E-4</v>
      </c>
      <c r="G132" s="2903">
        <f t="shared" si="24"/>
        <v>13950</v>
      </c>
      <c r="H132" s="2903">
        <f t="shared" si="25"/>
        <v>0</v>
      </c>
      <c r="I132" s="2905">
        <f t="shared" si="26"/>
        <v>8835</v>
      </c>
      <c r="J132" s="1096">
        <v>0</v>
      </c>
      <c r="K132" s="2479">
        <f t="shared" si="34"/>
        <v>0</v>
      </c>
      <c r="L132" s="398">
        <f t="shared" si="27"/>
        <v>2790</v>
      </c>
      <c r="M132" s="1095">
        <f t="shared" si="28"/>
        <v>11625</v>
      </c>
      <c r="N132" s="2906">
        <f t="shared" si="29"/>
        <v>3.6588719925205292E-4</v>
      </c>
      <c r="O132" s="2907">
        <f t="shared" si="35"/>
        <v>-7.7023092840141022E-5</v>
      </c>
      <c r="P132" s="2908">
        <f t="shared" si="36"/>
        <v>46500</v>
      </c>
      <c r="Q132" s="1095">
        <f t="shared" si="37"/>
        <v>12694.5</v>
      </c>
      <c r="R132" s="2909">
        <f t="shared" si="38"/>
        <v>59194.5</v>
      </c>
      <c r="S132" s="398">
        <f t="shared" si="39"/>
        <v>0</v>
      </c>
      <c r="T132" s="1095">
        <f t="shared" si="40"/>
        <v>0</v>
      </c>
      <c r="U132" s="398">
        <f t="shared" si="41"/>
        <v>0</v>
      </c>
      <c r="V132" s="2913">
        <v>0</v>
      </c>
      <c r="W132" s="1095">
        <f t="shared" si="30"/>
        <v>0</v>
      </c>
      <c r="X132" s="1095">
        <f t="shared" si="31"/>
        <v>2790</v>
      </c>
      <c r="Y132" s="2909">
        <f t="shared" si="42"/>
        <v>2790</v>
      </c>
      <c r="Z132" s="2913">
        <v>0</v>
      </c>
      <c r="AA132" s="1095">
        <f t="shared" si="32"/>
        <v>0</v>
      </c>
      <c r="AB132" s="1095">
        <f t="shared" si="33"/>
        <v>0</v>
      </c>
      <c r="AC132" s="2909">
        <f t="shared" si="43"/>
        <v>0</v>
      </c>
    </row>
    <row r="133" spans="1:29">
      <c r="A133" s="2899" t="s">
        <v>4212</v>
      </c>
      <c r="B133" s="2900" t="s">
        <v>4092</v>
      </c>
      <c r="C133" s="2901">
        <v>135</v>
      </c>
      <c r="D133" s="2902">
        <f t="shared" si="22"/>
        <v>3.8576057698352375E-4</v>
      </c>
      <c r="E133" s="2903">
        <v>12150</v>
      </c>
      <c r="F133" s="2904">
        <f t="shared" si="23"/>
        <v>4.2473041242092104E-4</v>
      </c>
      <c r="G133" s="2903">
        <f t="shared" si="24"/>
        <v>12150</v>
      </c>
      <c r="H133" s="2903">
        <f t="shared" si="25"/>
        <v>0</v>
      </c>
      <c r="I133" s="2905">
        <f t="shared" si="26"/>
        <v>7695</v>
      </c>
      <c r="J133" s="1096">
        <v>2354</v>
      </c>
      <c r="K133" s="2479">
        <f t="shared" si="34"/>
        <v>96419.839999999997</v>
      </c>
      <c r="L133" s="398">
        <f t="shared" si="27"/>
        <v>2430</v>
      </c>
      <c r="M133" s="1095">
        <f t="shared" si="28"/>
        <v>12479</v>
      </c>
      <c r="N133" s="2906">
        <f t="shared" si="29"/>
        <v>3.9276613844871984E-4</v>
      </c>
      <c r="O133" s="2907">
        <f t="shared" si="35"/>
        <v>7.0055614651960913E-6</v>
      </c>
      <c r="P133" s="2908">
        <f t="shared" si="36"/>
        <v>40500</v>
      </c>
      <c r="Q133" s="1095">
        <f t="shared" si="37"/>
        <v>11056.5</v>
      </c>
      <c r="R133" s="2909">
        <f t="shared" si="38"/>
        <v>51556.5</v>
      </c>
      <c r="S133" s="398">
        <f t="shared" si="39"/>
        <v>0</v>
      </c>
      <c r="T133" s="1095">
        <f t="shared" si="40"/>
        <v>0</v>
      </c>
      <c r="U133" s="398">
        <f t="shared" si="41"/>
        <v>0</v>
      </c>
      <c r="V133" s="2913">
        <v>0</v>
      </c>
      <c r="W133" s="1095">
        <f t="shared" si="30"/>
        <v>12523.28</v>
      </c>
      <c r="X133" s="1095">
        <f t="shared" si="31"/>
        <v>2430</v>
      </c>
      <c r="Y133" s="2909">
        <f t="shared" si="42"/>
        <v>14953.28</v>
      </c>
      <c r="Z133" s="2913">
        <v>0</v>
      </c>
      <c r="AA133" s="1095">
        <f t="shared" si="32"/>
        <v>6755.9800000000005</v>
      </c>
      <c r="AB133" s="1095">
        <f t="shared" si="33"/>
        <v>0</v>
      </c>
      <c r="AC133" s="2909">
        <f t="shared" si="43"/>
        <v>6755.9800000000005</v>
      </c>
    </row>
    <row r="134" spans="1:29">
      <c r="A134" s="2899" t="s">
        <v>4213</v>
      </c>
      <c r="B134" s="2900" t="s">
        <v>4087</v>
      </c>
      <c r="C134" s="2901">
        <v>215</v>
      </c>
      <c r="D134" s="2902">
        <f t="shared" ref="D134:D197" si="44">C134/349958</f>
        <v>6.143594374182045E-4</v>
      </c>
      <c r="E134" s="2903">
        <v>19350</v>
      </c>
      <c r="F134" s="2904">
        <f t="shared" ref="F134:F197" si="45">E134/$E$612</f>
        <v>6.7642250867035571E-4</v>
      </c>
      <c r="G134" s="2903">
        <f t="shared" ref="G134:G197" si="46">C134*90</f>
        <v>19350</v>
      </c>
      <c r="H134" s="2903">
        <f t="shared" ref="H134:H197" si="47">E134-G134</f>
        <v>0</v>
      </c>
      <c r="I134" s="2905">
        <f t="shared" ref="I134:I197" si="48">C134*57</f>
        <v>12255</v>
      </c>
      <c r="J134" s="1096">
        <v>7498</v>
      </c>
      <c r="K134" s="2479">
        <f t="shared" si="34"/>
        <v>307118.08000000002</v>
      </c>
      <c r="L134" s="398">
        <f t="shared" ref="L134:L197" si="49">E134/5</f>
        <v>3870</v>
      </c>
      <c r="M134" s="1095">
        <f t="shared" ref="M134:M197" si="50">I134+J134+L134</f>
        <v>23623</v>
      </c>
      <c r="N134" s="2906">
        <f t="shared" ref="N134:N197" si="51">M134/$M$612</f>
        <v>7.4351426304784915E-4</v>
      </c>
      <c r="O134" s="2907">
        <f t="shared" si="35"/>
        <v>1.2915482562964465E-4</v>
      </c>
      <c r="P134" s="2908">
        <f t="shared" si="36"/>
        <v>64500</v>
      </c>
      <c r="Q134" s="1095">
        <f t="shared" si="37"/>
        <v>17608.5</v>
      </c>
      <c r="R134" s="2909">
        <f t="shared" si="38"/>
        <v>82108.5</v>
      </c>
      <c r="S134" s="398">
        <f t="shared" si="39"/>
        <v>0</v>
      </c>
      <c r="T134" s="1095">
        <f t="shared" si="40"/>
        <v>0</v>
      </c>
      <c r="U134" s="398">
        <f t="shared" si="41"/>
        <v>0</v>
      </c>
      <c r="V134" s="2913">
        <v>0</v>
      </c>
      <c r="W134" s="1095">
        <f t="shared" ref="W134:W197" si="52">J134*5.32</f>
        <v>39889.360000000001</v>
      </c>
      <c r="X134" s="1095">
        <f t="shared" ref="X134:X197" si="53">L134*1</f>
        <v>3870</v>
      </c>
      <c r="Y134" s="2909">
        <f t="shared" si="42"/>
        <v>43759.360000000001</v>
      </c>
      <c r="Z134" s="2913">
        <v>0</v>
      </c>
      <c r="AA134" s="1095">
        <f t="shared" ref="AA134:AA197" si="54">J134*2.87</f>
        <v>21519.260000000002</v>
      </c>
      <c r="AB134" s="1095">
        <f t="shared" ref="AB134:AB197" si="55">L134*0</f>
        <v>0</v>
      </c>
      <c r="AC134" s="2909">
        <f t="shared" si="43"/>
        <v>21519.260000000002</v>
      </c>
    </row>
    <row r="135" spans="1:29">
      <c r="A135" s="2899" t="s">
        <v>4214</v>
      </c>
      <c r="B135" s="2900" t="s">
        <v>4073</v>
      </c>
      <c r="C135" s="2901">
        <v>125</v>
      </c>
      <c r="D135" s="2902">
        <f t="shared" si="44"/>
        <v>3.5718571942918863E-4</v>
      </c>
      <c r="E135" s="2903">
        <v>11250</v>
      </c>
      <c r="F135" s="2904">
        <f t="shared" si="45"/>
        <v>3.9326890038974172E-4</v>
      </c>
      <c r="G135" s="2903">
        <f t="shared" si="46"/>
        <v>11250</v>
      </c>
      <c r="H135" s="2903">
        <f t="shared" si="47"/>
        <v>0</v>
      </c>
      <c r="I135" s="2905">
        <f t="shared" si="48"/>
        <v>7125</v>
      </c>
      <c r="J135" s="1096">
        <v>4359</v>
      </c>
      <c r="K135" s="2479">
        <f t="shared" ref="K135:K198" si="56">J135*40.96</f>
        <v>178544.64000000001</v>
      </c>
      <c r="L135" s="398">
        <f t="shared" si="49"/>
        <v>2250</v>
      </c>
      <c r="M135" s="1095">
        <f t="shared" si="50"/>
        <v>13734</v>
      </c>
      <c r="N135" s="2906">
        <f t="shared" si="51"/>
        <v>4.3226621888410279E-4</v>
      </c>
      <c r="O135" s="2907">
        <f t="shared" ref="O135:O198" si="57">N135-D135</f>
        <v>7.508049945491416E-5</v>
      </c>
      <c r="P135" s="2908">
        <f t="shared" ref="P135:P198" si="58">C135*300</f>
        <v>37500</v>
      </c>
      <c r="Q135" s="1095">
        <f t="shared" ref="Q135:Q198" si="59">E135*0.91</f>
        <v>10237.5</v>
      </c>
      <c r="R135" s="2909">
        <f t="shared" ref="R135:R198" si="60">SUM(P135:Q135)</f>
        <v>47737.5</v>
      </c>
      <c r="S135" s="398">
        <f t="shared" ref="S135:S198" si="61">C135*0</f>
        <v>0</v>
      </c>
      <c r="T135" s="1095">
        <f t="shared" ref="T135:T198" si="62">E135*0</f>
        <v>0</v>
      </c>
      <c r="U135" s="398">
        <f t="shared" ref="U135:U198" si="63">SUM(S135:T135)</f>
        <v>0</v>
      </c>
      <c r="V135" s="2913">
        <v>0</v>
      </c>
      <c r="W135" s="1095">
        <f t="shared" si="52"/>
        <v>23189.88</v>
      </c>
      <c r="X135" s="1095">
        <f t="shared" si="53"/>
        <v>2250</v>
      </c>
      <c r="Y135" s="2909">
        <f t="shared" ref="Y135:Y198" si="64">SUM(V135:X135)</f>
        <v>25439.88</v>
      </c>
      <c r="Z135" s="2913">
        <v>0</v>
      </c>
      <c r="AA135" s="1095">
        <f t="shared" si="54"/>
        <v>12510.33</v>
      </c>
      <c r="AB135" s="1095">
        <f t="shared" si="55"/>
        <v>0</v>
      </c>
      <c r="AC135" s="2909">
        <f t="shared" ref="AC135:AC198" si="65">SUM(Z135:AB135)</f>
        <v>12510.33</v>
      </c>
    </row>
    <row r="136" spans="1:29">
      <c r="A136" s="2899" t="s">
        <v>4215</v>
      </c>
      <c r="B136" s="2900" t="s">
        <v>4115</v>
      </c>
      <c r="C136" s="2901">
        <v>175</v>
      </c>
      <c r="D136" s="2902">
        <f t="shared" si="44"/>
        <v>5.0006000720086412E-4</v>
      </c>
      <c r="E136" s="2903">
        <v>15750</v>
      </c>
      <c r="F136" s="2904">
        <f t="shared" si="45"/>
        <v>5.505764605456384E-4</v>
      </c>
      <c r="G136" s="2903">
        <f t="shared" si="46"/>
        <v>15750</v>
      </c>
      <c r="H136" s="2903">
        <f t="shared" si="47"/>
        <v>0</v>
      </c>
      <c r="I136" s="2905">
        <f t="shared" si="48"/>
        <v>9975</v>
      </c>
      <c r="J136" s="1096">
        <v>6104</v>
      </c>
      <c r="K136" s="2479">
        <f t="shared" si="56"/>
        <v>250019.84</v>
      </c>
      <c r="L136" s="398">
        <f t="shared" si="49"/>
        <v>3150</v>
      </c>
      <c r="M136" s="1095">
        <f t="shared" si="50"/>
        <v>19229</v>
      </c>
      <c r="N136" s="2906">
        <f t="shared" si="51"/>
        <v>6.0521677027249249E-4</v>
      </c>
      <c r="O136" s="2907">
        <f t="shared" si="57"/>
        <v>1.0515676307162837E-4</v>
      </c>
      <c r="P136" s="2908">
        <f t="shared" si="58"/>
        <v>52500</v>
      </c>
      <c r="Q136" s="1095">
        <f t="shared" si="59"/>
        <v>14332.5</v>
      </c>
      <c r="R136" s="2909">
        <f t="shared" si="60"/>
        <v>66832.5</v>
      </c>
      <c r="S136" s="398">
        <f t="shared" si="61"/>
        <v>0</v>
      </c>
      <c r="T136" s="1095">
        <f t="shared" si="62"/>
        <v>0</v>
      </c>
      <c r="U136" s="398">
        <f t="shared" si="63"/>
        <v>0</v>
      </c>
      <c r="V136" s="2913">
        <v>0</v>
      </c>
      <c r="W136" s="1095">
        <f t="shared" si="52"/>
        <v>32473.280000000002</v>
      </c>
      <c r="X136" s="1095">
        <f t="shared" si="53"/>
        <v>3150</v>
      </c>
      <c r="Y136" s="2909">
        <f t="shared" si="64"/>
        <v>35623.279999999999</v>
      </c>
      <c r="Z136" s="2913">
        <v>0</v>
      </c>
      <c r="AA136" s="1095">
        <f t="shared" si="54"/>
        <v>17518.48</v>
      </c>
      <c r="AB136" s="1095">
        <f t="shared" si="55"/>
        <v>0</v>
      </c>
      <c r="AC136" s="2909">
        <f t="shared" si="65"/>
        <v>17518.48</v>
      </c>
    </row>
    <row r="137" spans="1:29">
      <c r="A137" s="2899" t="s">
        <v>4216</v>
      </c>
      <c r="B137" s="2900" t="s">
        <v>4125</v>
      </c>
      <c r="C137" s="2901">
        <v>150</v>
      </c>
      <c r="D137" s="2902">
        <f t="shared" si="44"/>
        <v>4.2862286331502638E-4</v>
      </c>
      <c r="E137" s="2903">
        <v>13500</v>
      </c>
      <c r="F137" s="2904">
        <f t="shared" si="45"/>
        <v>4.7192268046769006E-4</v>
      </c>
      <c r="G137" s="2903">
        <f t="shared" si="46"/>
        <v>13500</v>
      </c>
      <c r="H137" s="2903">
        <f t="shared" si="47"/>
        <v>0</v>
      </c>
      <c r="I137" s="2905">
        <f t="shared" si="48"/>
        <v>8550</v>
      </c>
      <c r="J137" s="1096">
        <v>0</v>
      </c>
      <c r="K137" s="2479">
        <f t="shared" si="56"/>
        <v>0</v>
      </c>
      <c r="L137" s="398">
        <f t="shared" si="49"/>
        <v>2700</v>
      </c>
      <c r="M137" s="1095">
        <f t="shared" si="50"/>
        <v>11250</v>
      </c>
      <c r="N137" s="2906">
        <f t="shared" si="51"/>
        <v>3.5408438637295442E-4</v>
      </c>
      <c r="O137" s="2907">
        <f t="shared" si="57"/>
        <v>-7.4538476942071961E-5</v>
      </c>
      <c r="P137" s="2908">
        <f t="shared" si="58"/>
        <v>45000</v>
      </c>
      <c r="Q137" s="1095">
        <f t="shared" si="59"/>
        <v>12285</v>
      </c>
      <c r="R137" s="2909">
        <f t="shared" si="60"/>
        <v>57285</v>
      </c>
      <c r="S137" s="398">
        <f t="shared" si="61"/>
        <v>0</v>
      </c>
      <c r="T137" s="1095">
        <f t="shared" si="62"/>
        <v>0</v>
      </c>
      <c r="U137" s="398">
        <f t="shared" si="63"/>
        <v>0</v>
      </c>
      <c r="V137" s="2913">
        <v>0</v>
      </c>
      <c r="W137" s="1095">
        <f t="shared" si="52"/>
        <v>0</v>
      </c>
      <c r="X137" s="1095">
        <f t="shared" si="53"/>
        <v>2700</v>
      </c>
      <c r="Y137" s="2909">
        <f t="shared" si="64"/>
        <v>2700</v>
      </c>
      <c r="Z137" s="2913">
        <v>0</v>
      </c>
      <c r="AA137" s="1095">
        <f t="shared" si="54"/>
        <v>0</v>
      </c>
      <c r="AB137" s="1095">
        <f t="shared" si="55"/>
        <v>0</v>
      </c>
      <c r="AC137" s="2909">
        <f t="shared" si="65"/>
        <v>0</v>
      </c>
    </row>
    <row r="138" spans="1:29">
      <c r="A138" s="2899" t="s">
        <v>4217</v>
      </c>
      <c r="B138" s="2900" t="s">
        <v>4071</v>
      </c>
      <c r="C138" s="2901">
        <v>160</v>
      </c>
      <c r="D138" s="2902">
        <f t="shared" si="44"/>
        <v>4.5719772086936144E-4</v>
      </c>
      <c r="E138" s="2903">
        <v>14400</v>
      </c>
      <c r="F138" s="2904">
        <f t="shared" si="45"/>
        <v>5.0338419249886944E-4</v>
      </c>
      <c r="G138" s="2903">
        <f t="shared" si="46"/>
        <v>14400</v>
      </c>
      <c r="H138" s="2903">
        <f t="shared" si="47"/>
        <v>0</v>
      </c>
      <c r="I138" s="2905">
        <f t="shared" si="48"/>
        <v>9120</v>
      </c>
      <c r="J138" s="1096">
        <v>2790</v>
      </c>
      <c r="K138" s="2479">
        <f t="shared" si="56"/>
        <v>114278.40000000001</v>
      </c>
      <c r="L138" s="398">
        <f t="shared" si="49"/>
        <v>2880</v>
      </c>
      <c r="M138" s="1095">
        <f t="shared" si="50"/>
        <v>14790</v>
      </c>
      <c r="N138" s="2906">
        <f t="shared" si="51"/>
        <v>4.655029399516441E-4</v>
      </c>
      <c r="O138" s="2907">
        <f t="shared" si="57"/>
        <v>8.3052190822826524E-6</v>
      </c>
      <c r="P138" s="2908">
        <f t="shared" si="58"/>
        <v>48000</v>
      </c>
      <c r="Q138" s="1095">
        <f t="shared" si="59"/>
        <v>13104</v>
      </c>
      <c r="R138" s="2909">
        <f t="shared" si="60"/>
        <v>61104</v>
      </c>
      <c r="S138" s="398">
        <f t="shared" si="61"/>
        <v>0</v>
      </c>
      <c r="T138" s="1095">
        <f t="shared" si="62"/>
        <v>0</v>
      </c>
      <c r="U138" s="398">
        <f t="shared" si="63"/>
        <v>0</v>
      </c>
      <c r="V138" s="2913">
        <v>0</v>
      </c>
      <c r="W138" s="1095">
        <f t="shared" si="52"/>
        <v>14842.800000000001</v>
      </c>
      <c r="X138" s="1095">
        <f t="shared" si="53"/>
        <v>2880</v>
      </c>
      <c r="Y138" s="2909">
        <f t="shared" si="64"/>
        <v>17722.800000000003</v>
      </c>
      <c r="Z138" s="2913">
        <v>0</v>
      </c>
      <c r="AA138" s="1095">
        <f t="shared" si="54"/>
        <v>8007.3</v>
      </c>
      <c r="AB138" s="1095">
        <f t="shared" si="55"/>
        <v>0</v>
      </c>
      <c r="AC138" s="2909">
        <f t="shared" si="65"/>
        <v>8007.3</v>
      </c>
    </row>
    <row r="139" spans="1:29">
      <c r="A139" s="2899" t="s">
        <v>4218</v>
      </c>
      <c r="B139" s="2900" t="s">
        <v>4097</v>
      </c>
      <c r="C139" s="2901">
        <v>1915</v>
      </c>
      <c r="D139" s="2902">
        <f t="shared" si="44"/>
        <v>5.4720852216551697E-3</v>
      </c>
      <c r="E139" s="2903">
        <v>172350</v>
      </c>
      <c r="F139" s="2904">
        <f t="shared" si="45"/>
        <v>6.0248795539708435E-3</v>
      </c>
      <c r="G139" s="2903">
        <f t="shared" si="46"/>
        <v>172350</v>
      </c>
      <c r="H139" s="2903">
        <f t="shared" si="47"/>
        <v>0</v>
      </c>
      <c r="I139" s="2905">
        <f t="shared" si="48"/>
        <v>109155</v>
      </c>
      <c r="J139" s="1096">
        <v>35552</v>
      </c>
      <c r="K139" s="2479">
        <f t="shared" si="56"/>
        <v>1456209.9199999999</v>
      </c>
      <c r="L139" s="398">
        <f t="shared" si="49"/>
        <v>34470</v>
      </c>
      <c r="M139" s="1095">
        <f t="shared" si="50"/>
        <v>179177</v>
      </c>
      <c r="N139" s="2906">
        <f t="shared" si="51"/>
        <v>5.6394469419686092E-3</v>
      </c>
      <c r="O139" s="2907">
        <f t="shared" si="57"/>
        <v>1.6736172031343952E-4</v>
      </c>
      <c r="P139" s="2908">
        <f t="shared" si="58"/>
        <v>574500</v>
      </c>
      <c r="Q139" s="1095">
        <f t="shared" si="59"/>
        <v>156838.5</v>
      </c>
      <c r="R139" s="2909">
        <f t="shared" si="60"/>
        <v>731338.5</v>
      </c>
      <c r="S139" s="398">
        <f t="shared" si="61"/>
        <v>0</v>
      </c>
      <c r="T139" s="1095">
        <f t="shared" si="62"/>
        <v>0</v>
      </c>
      <c r="U139" s="398">
        <f t="shared" si="63"/>
        <v>0</v>
      </c>
      <c r="V139" s="2913">
        <v>0</v>
      </c>
      <c r="W139" s="1095">
        <f t="shared" si="52"/>
        <v>189136.64000000001</v>
      </c>
      <c r="X139" s="1095">
        <f t="shared" si="53"/>
        <v>34470</v>
      </c>
      <c r="Y139" s="2909">
        <f t="shared" si="64"/>
        <v>223606.64</v>
      </c>
      <c r="Z139" s="2913">
        <v>0</v>
      </c>
      <c r="AA139" s="1095">
        <f t="shared" si="54"/>
        <v>102034.24000000001</v>
      </c>
      <c r="AB139" s="1095">
        <f t="shared" si="55"/>
        <v>0</v>
      </c>
      <c r="AC139" s="2909">
        <f t="shared" si="65"/>
        <v>102034.24000000001</v>
      </c>
    </row>
    <row r="140" spans="1:29">
      <c r="A140" s="2899" t="s">
        <v>3109</v>
      </c>
      <c r="B140" s="2900" t="s">
        <v>4144</v>
      </c>
      <c r="C140" s="2901">
        <v>190</v>
      </c>
      <c r="D140" s="2902">
        <f t="shared" si="44"/>
        <v>5.4292229353236675E-4</v>
      </c>
      <c r="E140" s="2903">
        <v>17100</v>
      </c>
      <c r="F140" s="2904">
        <f t="shared" si="45"/>
        <v>5.9776872859240737E-4</v>
      </c>
      <c r="G140" s="2903">
        <f t="shared" si="46"/>
        <v>17100</v>
      </c>
      <c r="H140" s="2903">
        <f t="shared" si="47"/>
        <v>0</v>
      </c>
      <c r="I140" s="2905">
        <f t="shared" si="48"/>
        <v>10830</v>
      </c>
      <c r="J140" s="1096">
        <v>3313</v>
      </c>
      <c r="K140" s="2479">
        <f t="shared" si="56"/>
        <v>135700.48000000001</v>
      </c>
      <c r="L140" s="398">
        <f t="shared" si="49"/>
        <v>3420</v>
      </c>
      <c r="M140" s="1095">
        <f t="shared" si="50"/>
        <v>17563</v>
      </c>
      <c r="N140" s="2906">
        <f t="shared" si="51"/>
        <v>5.5278080692161764E-4</v>
      </c>
      <c r="O140" s="2907">
        <f t="shared" si="57"/>
        <v>9.8585133892508834E-6</v>
      </c>
      <c r="P140" s="2908">
        <f t="shared" si="58"/>
        <v>57000</v>
      </c>
      <c r="Q140" s="1095">
        <f t="shared" si="59"/>
        <v>15561</v>
      </c>
      <c r="R140" s="2909">
        <f t="shared" si="60"/>
        <v>72561</v>
      </c>
      <c r="S140" s="398">
        <f t="shared" si="61"/>
        <v>0</v>
      </c>
      <c r="T140" s="1095">
        <f t="shared" si="62"/>
        <v>0</v>
      </c>
      <c r="U140" s="398">
        <f t="shared" si="63"/>
        <v>0</v>
      </c>
      <c r="V140" s="2913">
        <v>0</v>
      </c>
      <c r="W140" s="1095">
        <f t="shared" si="52"/>
        <v>17625.16</v>
      </c>
      <c r="X140" s="1095">
        <f t="shared" si="53"/>
        <v>3420</v>
      </c>
      <c r="Y140" s="2909">
        <f t="shared" si="64"/>
        <v>21045.16</v>
      </c>
      <c r="Z140" s="2913">
        <v>0</v>
      </c>
      <c r="AA140" s="1095">
        <f t="shared" si="54"/>
        <v>9508.31</v>
      </c>
      <c r="AB140" s="1095">
        <f t="shared" si="55"/>
        <v>0</v>
      </c>
      <c r="AC140" s="2909">
        <f t="shared" si="65"/>
        <v>9508.31</v>
      </c>
    </row>
    <row r="141" spans="1:29">
      <c r="A141" s="2899" t="s">
        <v>3111</v>
      </c>
      <c r="B141" s="2900" t="s">
        <v>4080</v>
      </c>
      <c r="C141" s="2901">
        <v>520</v>
      </c>
      <c r="D141" s="2902">
        <f t="shared" si="44"/>
        <v>1.4858925928254248E-3</v>
      </c>
      <c r="E141" s="2903">
        <v>46800</v>
      </c>
      <c r="F141" s="2904">
        <f t="shared" si="45"/>
        <v>1.6359986256213256E-3</v>
      </c>
      <c r="G141" s="2903">
        <f t="shared" si="46"/>
        <v>46800</v>
      </c>
      <c r="H141" s="2903">
        <f t="shared" si="47"/>
        <v>0</v>
      </c>
      <c r="I141" s="2905">
        <f t="shared" si="48"/>
        <v>29640</v>
      </c>
      <c r="J141" s="1096">
        <v>9069</v>
      </c>
      <c r="K141" s="2479">
        <f t="shared" si="56"/>
        <v>371466.23999999999</v>
      </c>
      <c r="L141" s="398">
        <f t="shared" si="49"/>
        <v>9360</v>
      </c>
      <c r="M141" s="1095">
        <f t="shared" si="50"/>
        <v>48069</v>
      </c>
      <c r="N141" s="2906">
        <f t="shared" si="51"/>
        <v>1.5129317660943597E-3</v>
      </c>
      <c r="O141" s="2907">
        <f t="shared" si="57"/>
        <v>2.7039173268934976E-5</v>
      </c>
      <c r="P141" s="2908">
        <f t="shared" si="58"/>
        <v>156000</v>
      </c>
      <c r="Q141" s="1095">
        <f t="shared" si="59"/>
        <v>42588</v>
      </c>
      <c r="R141" s="2909">
        <f t="shared" si="60"/>
        <v>198588</v>
      </c>
      <c r="S141" s="398">
        <f t="shared" si="61"/>
        <v>0</v>
      </c>
      <c r="T141" s="1095">
        <f t="shared" si="62"/>
        <v>0</v>
      </c>
      <c r="U141" s="398">
        <f t="shared" si="63"/>
        <v>0</v>
      </c>
      <c r="V141" s="2913">
        <v>0</v>
      </c>
      <c r="W141" s="1095">
        <f t="shared" si="52"/>
        <v>48247.08</v>
      </c>
      <c r="X141" s="1095">
        <f t="shared" si="53"/>
        <v>9360</v>
      </c>
      <c r="Y141" s="2909">
        <f t="shared" si="64"/>
        <v>57607.08</v>
      </c>
      <c r="Z141" s="2913">
        <v>0</v>
      </c>
      <c r="AA141" s="1095">
        <f t="shared" si="54"/>
        <v>26028.030000000002</v>
      </c>
      <c r="AB141" s="1095">
        <f t="shared" si="55"/>
        <v>0</v>
      </c>
      <c r="AC141" s="2909">
        <f t="shared" si="65"/>
        <v>26028.030000000002</v>
      </c>
    </row>
    <row r="142" spans="1:29">
      <c r="A142" s="2899" t="s">
        <v>4219</v>
      </c>
      <c r="B142" s="2900" t="s">
        <v>4075</v>
      </c>
      <c r="C142" s="2901">
        <v>285</v>
      </c>
      <c r="D142" s="2902">
        <f t="shared" si="44"/>
        <v>8.1438344029855013E-4</v>
      </c>
      <c r="E142" s="2903">
        <v>25650</v>
      </c>
      <c r="F142" s="2904">
        <f t="shared" si="45"/>
        <v>8.9665309288861116E-4</v>
      </c>
      <c r="G142" s="2903">
        <f t="shared" si="46"/>
        <v>25650</v>
      </c>
      <c r="H142" s="2903">
        <f t="shared" si="47"/>
        <v>0</v>
      </c>
      <c r="I142" s="2905">
        <f t="shared" si="48"/>
        <v>16245</v>
      </c>
      <c r="J142" s="1096">
        <v>4970</v>
      </c>
      <c r="K142" s="2479">
        <f t="shared" si="56"/>
        <v>203571.20000000001</v>
      </c>
      <c r="L142" s="398">
        <f t="shared" si="49"/>
        <v>5130</v>
      </c>
      <c r="M142" s="1095">
        <f t="shared" si="50"/>
        <v>26345</v>
      </c>
      <c r="N142" s="2906">
        <f t="shared" si="51"/>
        <v>8.2918694746626526E-4</v>
      </c>
      <c r="O142" s="2907">
        <f t="shared" si="57"/>
        <v>1.4803507167715133E-5</v>
      </c>
      <c r="P142" s="2908">
        <f t="shared" si="58"/>
        <v>85500</v>
      </c>
      <c r="Q142" s="1095">
        <f t="shared" si="59"/>
        <v>23341.5</v>
      </c>
      <c r="R142" s="2909">
        <f t="shared" si="60"/>
        <v>108841.5</v>
      </c>
      <c r="S142" s="398">
        <f t="shared" si="61"/>
        <v>0</v>
      </c>
      <c r="T142" s="1095">
        <f t="shared" si="62"/>
        <v>0</v>
      </c>
      <c r="U142" s="398">
        <f t="shared" si="63"/>
        <v>0</v>
      </c>
      <c r="V142" s="2913">
        <v>0</v>
      </c>
      <c r="W142" s="1095">
        <f t="shared" si="52"/>
        <v>26440.400000000001</v>
      </c>
      <c r="X142" s="1095">
        <f t="shared" si="53"/>
        <v>5130</v>
      </c>
      <c r="Y142" s="2909">
        <f t="shared" si="64"/>
        <v>31570.400000000001</v>
      </c>
      <c r="Z142" s="2913">
        <v>0</v>
      </c>
      <c r="AA142" s="1095">
        <f t="shared" si="54"/>
        <v>14263.9</v>
      </c>
      <c r="AB142" s="1095">
        <f t="shared" si="55"/>
        <v>0</v>
      </c>
      <c r="AC142" s="2909">
        <f t="shared" si="65"/>
        <v>14263.9</v>
      </c>
    </row>
    <row r="143" spans="1:29">
      <c r="A143" s="2899" t="s">
        <v>4220</v>
      </c>
      <c r="B143" s="2900" t="s">
        <v>4144</v>
      </c>
      <c r="C143" s="2901">
        <v>295</v>
      </c>
      <c r="D143" s="2902">
        <f t="shared" si="44"/>
        <v>8.4295829785288525E-4</v>
      </c>
      <c r="E143" s="2903">
        <v>26550</v>
      </c>
      <c r="F143" s="2904">
        <f t="shared" si="45"/>
        <v>9.2811460491979043E-4</v>
      </c>
      <c r="G143" s="2903">
        <f t="shared" si="46"/>
        <v>26550</v>
      </c>
      <c r="H143" s="2903">
        <f t="shared" si="47"/>
        <v>0</v>
      </c>
      <c r="I143" s="2905">
        <f t="shared" si="48"/>
        <v>16815</v>
      </c>
      <c r="J143" s="1096">
        <v>0</v>
      </c>
      <c r="K143" s="2479">
        <f t="shared" si="56"/>
        <v>0</v>
      </c>
      <c r="L143" s="398">
        <f t="shared" si="49"/>
        <v>5310</v>
      </c>
      <c r="M143" s="1095">
        <f t="shared" si="50"/>
        <v>22125</v>
      </c>
      <c r="N143" s="2906">
        <f t="shared" si="51"/>
        <v>6.9636595986681039E-4</v>
      </c>
      <c r="O143" s="2907">
        <f t="shared" si="57"/>
        <v>-1.4659233798607486E-4</v>
      </c>
      <c r="P143" s="2908">
        <f t="shared" si="58"/>
        <v>88500</v>
      </c>
      <c r="Q143" s="1095">
        <f t="shared" si="59"/>
        <v>24160.5</v>
      </c>
      <c r="R143" s="2909">
        <f t="shared" si="60"/>
        <v>112660.5</v>
      </c>
      <c r="S143" s="398">
        <f t="shared" si="61"/>
        <v>0</v>
      </c>
      <c r="T143" s="1095">
        <f t="shared" si="62"/>
        <v>0</v>
      </c>
      <c r="U143" s="398">
        <f t="shared" si="63"/>
        <v>0</v>
      </c>
      <c r="V143" s="2913">
        <v>0</v>
      </c>
      <c r="W143" s="1095">
        <f t="shared" si="52"/>
        <v>0</v>
      </c>
      <c r="X143" s="1095">
        <f t="shared" si="53"/>
        <v>5310</v>
      </c>
      <c r="Y143" s="2909">
        <f t="shared" si="64"/>
        <v>5310</v>
      </c>
      <c r="Z143" s="2913">
        <v>0</v>
      </c>
      <c r="AA143" s="1095">
        <f t="shared" si="54"/>
        <v>0</v>
      </c>
      <c r="AB143" s="1095">
        <f t="shared" si="55"/>
        <v>0</v>
      </c>
      <c r="AC143" s="2909">
        <f t="shared" si="65"/>
        <v>0</v>
      </c>
    </row>
    <row r="144" spans="1:29">
      <c r="A144" s="2899" t="s">
        <v>4221</v>
      </c>
      <c r="B144" s="2900" t="s">
        <v>4073</v>
      </c>
      <c r="C144" s="2901">
        <v>185</v>
      </c>
      <c r="D144" s="2902">
        <f t="shared" si="44"/>
        <v>5.2863486475519925E-4</v>
      </c>
      <c r="E144" s="2903">
        <v>16650</v>
      </c>
      <c r="F144" s="2904">
        <f t="shared" si="45"/>
        <v>5.8203797257681779E-4</v>
      </c>
      <c r="G144" s="2903">
        <f t="shared" si="46"/>
        <v>16650</v>
      </c>
      <c r="H144" s="2903">
        <f t="shared" si="47"/>
        <v>0</v>
      </c>
      <c r="I144" s="2905">
        <f t="shared" si="48"/>
        <v>10545</v>
      </c>
      <c r="J144" s="1096">
        <v>2441</v>
      </c>
      <c r="K144" s="2479">
        <f t="shared" si="56"/>
        <v>99983.360000000001</v>
      </c>
      <c r="L144" s="398">
        <f t="shared" si="49"/>
        <v>3330</v>
      </c>
      <c r="M144" s="1095">
        <f t="shared" si="50"/>
        <v>16316</v>
      </c>
      <c r="N144" s="2906">
        <f t="shared" si="51"/>
        <v>5.1353251982765556E-4</v>
      </c>
      <c r="O144" s="2907">
        <f t="shared" si="57"/>
        <v>-1.5102344927543686E-5</v>
      </c>
      <c r="P144" s="2908">
        <f t="shared" si="58"/>
        <v>55500</v>
      </c>
      <c r="Q144" s="1095">
        <f t="shared" si="59"/>
        <v>15151.5</v>
      </c>
      <c r="R144" s="2909">
        <f t="shared" si="60"/>
        <v>70651.5</v>
      </c>
      <c r="S144" s="398">
        <f t="shared" si="61"/>
        <v>0</v>
      </c>
      <c r="T144" s="1095">
        <f t="shared" si="62"/>
        <v>0</v>
      </c>
      <c r="U144" s="398">
        <f t="shared" si="63"/>
        <v>0</v>
      </c>
      <c r="V144" s="2913">
        <v>0</v>
      </c>
      <c r="W144" s="1095">
        <f t="shared" si="52"/>
        <v>12986.12</v>
      </c>
      <c r="X144" s="1095">
        <f t="shared" si="53"/>
        <v>3330</v>
      </c>
      <c r="Y144" s="2909">
        <f t="shared" si="64"/>
        <v>16316.12</v>
      </c>
      <c r="Z144" s="2913">
        <v>0</v>
      </c>
      <c r="AA144" s="1095">
        <f t="shared" si="54"/>
        <v>7005.67</v>
      </c>
      <c r="AB144" s="1095">
        <f t="shared" si="55"/>
        <v>0</v>
      </c>
      <c r="AC144" s="2909">
        <f t="shared" si="65"/>
        <v>7005.67</v>
      </c>
    </row>
    <row r="145" spans="1:29">
      <c r="A145" s="2899" t="s">
        <v>4222</v>
      </c>
      <c r="B145" s="2900" t="s">
        <v>4073</v>
      </c>
      <c r="C145" s="2901">
        <v>240</v>
      </c>
      <c r="D145" s="2902">
        <f t="shared" si="44"/>
        <v>6.8579658130404225E-4</v>
      </c>
      <c r="E145" s="2903">
        <v>21600</v>
      </c>
      <c r="F145" s="2904">
        <f t="shared" si="45"/>
        <v>7.5507628874830405E-4</v>
      </c>
      <c r="G145" s="2903">
        <f t="shared" si="46"/>
        <v>21600</v>
      </c>
      <c r="H145" s="2903">
        <f t="shared" si="47"/>
        <v>0</v>
      </c>
      <c r="I145" s="2905">
        <f t="shared" si="48"/>
        <v>13680</v>
      </c>
      <c r="J145" s="1096">
        <v>0</v>
      </c>
      <c r="K145" s="2479">
        <f t="shared" si="56"/>
        <v>0</v>
      </c>
      <c r="L145" s="398">
        <f t="shared" si="49"/>
        <v>4320</v>
      </c>
      <c r="M145" s="1095">
        <f t="shared" si="50"/>
        <v>18000</v>
      </c>
      <c r="N145" s="2906">
        <f t="shared" si="51"/>
        <v>5.6653501819672707E-4</v>
      </c>
      <c r="O145" s="2907">
        <f t="shared" si="57"/>
        <v>-1.1926156310731518E-4</v>
      </c>
      <c r="P145" s="2908">
        <f t="shared" si="58"/>
        <v>72000</v>
      </c>
      <c r="Q145" s="1095">
        <f t="shared" si="59"/>
        <v>19656</v>
      </c>
      <c r="R145" s="2909">
        <f t="shared" si="60"/>
        <v>91656</v>
      </c>
      <c r="S145" s="398">
        <f t="shared" si="61"/>
        <v>0</v>
      </c>
      <c r="T145" s="1095">
        <f t="shared" si="62"/>
        <v>0</v>
      </c>
      <c r="U145" s="398">
        <f t="shared" si="63"/>
        <v>0</v>
      </c>
      <c r="V145" s="2913">
        <v>0</v>
      </c>
      <c r="W145" s="1095">
        <f t="shared" si="52"/>
        <v>0</v>
      </c>
      <c r="X145" s="1095">
        <f t="shared" si="53"/>
        <v>4320</v>
      </c>
      <c r="Y145" s="2909">
        <f t="shared" si="64"/>
        <v>4320</v>
      </c>
      <c r="Z145" s="2913">
        <v>0</v>
      </c>
      <c r="AA145" s="1095">
        <f t="shared" si="54"/>
        <v>0</v>
      </c>
      <c r="AB145" s="1095">
        <f t="shared" si="55"/>
        <v>0</v>
      </c>
      <c r="AC145" s="2909">
        <f t="shared" si="65"/>
        <v>0</v>
      </c>
    </row>
    <row r="146" spans="1:29">
      <c r="A146" s="2899" t="s">
        <v>4223</v>
      </c>
      <c r="B146" s="2900" t="s">
        <v>4079</v>
      </c>
      <c r="C146" s="2901">
        <v>135</v>
      </c>
      <c r="D146" s="2902">
        <f t="shared" si="44"/>
        <v>3.8576057698352375E-4</v>
      </c>
      <c r="E146" s="2903">
        <v>12150</v>
      </c>
      <c r="F146" s="2904">
        <f t="shared" si="45"/>
        <v>4.2473041242092104E-4</v>
      </c>
      <c r="G146" s="2903">
        <f t="shared" si="46"/>
        <v>12150</v>
      </c>
      <c r="H146" s="2903">
        <f t="shared" si="47"/>
        <v>0</v>
      </c>
      <c r="I146" s="2905">
        <f t="shared" si="48"/>
        <v>7695</v>
      </c>
      <c r="J146" s="1096">
        <v>4708</v>
      </c>
      <c r="K146" s="2479">
        <f t="shared" si="56"/>
        <v>192839.67999999999</v>
      </c>
      <c r="L146" s="398">
        <f t="shared" si="49"/>
        <v>2430</v>
      </c>
      <c r="M146" s="1095">
        <f t="shared" si="50"/>
        <v>14833</v>
      </c>
      <c r="N146" s="2906">
        <f t="shared" si="51"/>
        <v>4.6685632916178071E-4</v>
      </c>
      <c r="O146" s="2907">
        <f t="shared" si="57"/>
        <v>8.1095752178256958E-5</v>
      </c>
      <c r="P146" s="2908">
        <f t="shared" si="58"/>
        <v>40500</v>
      </c>
      <c r="Q146" s="1095">
        <f t="shared" si="59"/>
        <v>11056.5</v>
      </c>
      <c r="R146" s="2909">
        <f t="shared" si="60"/>
        <v>51556.5</v>
      </c>
      <c r="S146" s="398">
        <f t="shared" si="61"/>
        <v>0</v>
      </c>
      <c r="T146" s="1095">
        <f t="shared" si="62"/>
        <v>0</v>
      </c>
      <c r="U146" s="398">
        <f t="shared" si="63"/>
        <v>0</v>
      </c>
      <c r="V146" s="2913">
        <v>0</v>
      </c>
      <c r="W146" s="1095">
        <f t="shared" si="52"/>
        <v>25046.560000000001</v>
      </c>
      <c r="X146" s="1095">
        <f t="shared" si="53"/>
        <v>2430</v>
      </c>
      <c r="Y146" s="2909">
        <f t="shared" si="64"/>
        <v>27476.560000000001</v>
      </c>
      <c r="Z146" s="2913">
        <v>0</v>
      </c>
      <c r="AA146" s="1095">
        <f t="shared" si="54"/>
        <v>13511.960000000001</v>
      </c>
      <c r="AB146" s="1095">
        <f t="shared" si="55"/>
        <v>0</v>
      </c>
      <c r="AC146" s="2909">
        <f t="shared" si="65"/>
        <v>13511.960000000001</v>
      </c>
    </row>
    <row r="147" spans="1:29">
      <c r="A147" s="2899" t="s">
        <v>4224</v>
      </c>
      <c r="B147" s="2900" t="s">
        <v>4083</v>
      </c>
      <c r="C147" s="2901">
        <v>2030</v>
      </c>
      <c r="D147" s="2902">
        <f t="shared" si="44"/>
        <v>5.8006960835300233E-3</v>
      </c>
      <c r="E147" s="2903">
        <v>182700</v>
      </c>
      <c r="F147" s="2904">
        <f t="shared" si="45"/>
        <v>6.3866869423294054E-3</v>
      </c>
      <c r="G147" s="2903">
        <f t="shared" si="46"/>
        <v>182700</v>
      </c>
      <c r="H147" s="2903">
        <f t="shared" si="47"/>
        <v>0</v>
      </c>
      <c r="I147" s="2905">
        <f t="shared" si="48"/>
        <v>115710</v>
      </c>
      <c r="J147" s="1096">
        <v>35404</v>
      </c>
      <c r="K147" s="2479">
        <f t="shared" si="56"/>
        <v>1450147.8400000001</v>
      </c>
      <c r="L147" s="398">
        <f t="shared" si="49"/>
        <v>36540</v>
      </c>
      <c r="M147" s="1095">
        <f t="shared" si="50"/>
        <v>187654</v>
      </c>
      <c r="N147" s="2906">
        <f t="shared" si="51"/>
        <v>5.9062534613715904E-3</v>
      </c>
      <c r="O147" s="2907">
        <f t="shared" si="57"/>
        <v>1.0555737784156711E-4</v>
      </c>
      <c r="P147" s="2908">
        <f t="shared" si="58"/>
        <v>609000</v>
      </c>
      <c r="Q147" s="1095">
        <f t="shared" si="59"/>
        <v>166257</v>
      </c>
      <c r="R147" s="2909">
        <f t="shared" si="60"/>
        <v>775257</v>
      </c>
      <c r="S147" s="398">
        <f t="shared" si="61"/>
        <v>0</v>
      </c>
      <c r="T147" s="1095">
        <f t="shared" si="62"/>
        <v>0</v>
      </c>
      <c r="U147" s="398">
        <f t="shared" si="63"/>
        <v>0</v>
      </c>
      <c r="V147" s="2913">
        <v>0</v>
      </c>
      <c r="W147" s="1095">
        <f t="shared" si="52"/>
        <v>188349.28</v>
      </c>
      <c r="X147" s="1095">
        <f t="shared" si="53"/>
        <v>36540</v>
      </c>
      <c r="Y147" s="2909">
        <f t="shared" si="64"/>
        <v>224889.28</v>
      </c>
      <c r="Z147" s="2913">
        <v>0</v>
      </c>
      <c r="AA147" s="1095">
        <f t="shared" si="54"/>
        <v>101609.48000000001</v>
      </c>
      <c r="AB147" s="1095">
        <f t="shared" si="55"/>
        <v>0</v>
      </c>
      <c r="AC147" s="2909">
        <f t="shared" si="65"/>
        <v>101609.48000000001</v>
      </c>
    </row>
    <row r="148" spans="1:29">
      <c r="A148" s="2899" t="s">
        <v>4225</v>
      </c>
      <c r="B148" s="2900" t="s">
        <v>4077</v>
      </c>
      <c r="C148" s="2901">
        <v>175</v>
      </c>
      <c r="D148" s="2902">
        <f t="shared" si="44"/>
        <v>5.0006000720086412E-4</v>
      </c>
      <c r="E148" s="2903">
        <v>15750</v>
      </c>
      <c r="F148" s="2904">
        <f t="shared" si="45"/>
        <v>5.505764605456384E-4</v>
      </c>
      <c r="G148" s="2903">
        <f t="shared" si="46"/>
        <v>15750</v>
      </c>
      <c r="H148" s="2903">
        <f t="shared" si="47"/>
        <v>0</v>
      </c>
      <c r="I148" s="2905">
        <f t="shared" si="48"/>
        <v>9975</v>
      </c>
      <c r="J148" s="1096">
        <v>0</v>
      </c>
      <c r="K148" s="2479">
        <f t="shared" si="56"/>
        <v>0</v>
      </c>
      <c r="L148" s="398">
        <f t="shared" si="49"/>
        <v>3150</v>
      </c>
      <c r="M148" s="1095">
        <f t="shared" si="50"/>
        <v>13125</v>
      </c>
      <c r="N148" s="2906">
        <f t="shared" si="51"/>
        <v>4.1309845076844686E-4</v>
      </c>
      <c r="O148" s="2907">
        <f t="shared" si="57"/>
        <v>-8.6961556432417269E-5</v>
      </c>
      <c r="P148" s="2908">
        <f t="shared" si="58"/>
        <v>52500</v>
      </c>
      <c r="Q148" s="1095">
        <f t="shared" si="59"/>
        <v>14332.5</v>
      </c>
      <c r="R148" s="2909">
        <f t="shared" si="60"/>
        <v>66832.5</v>
      </c>
      <c r="S148" s="398">
        <f t="shared" si="61"/>
        <v>0</v>
      </c>
      <c r="T148" s="1095">
        <f t="shared" si="62"/>
        <v>0</v>
      </c>
      <c r="U148" s="398">
        <f t="shared" si="63"/>
        <v>0</v>
      </c>
      <c r="V148" s="2913">
        <v>0</v>
      </c>
      <c r="W148" s="1095">
        <f t="shared" si="52"/>
        <v>0</v>
      </c>
      <c r="X148" s="1095">
        <f t="shared" si="53"/>
        <v>3150</v>
      </c>
      <c r="Y148" s="2909">
        <f t="shared" si="64"/>
        <v>3150</v>
      </c>
      <c r="Z148" s="2913">
        <v>0</v>
      </c>
      <c r="AA148" s="1095">
        <f t="shared" si="54"/>
        <v>0</v>
      </c>
      <c r="AB148" s="1095">
        <f t="shared" si="55"/>
        <v>0</v>
      </c>
      <c r="AC148" s="2909">
        <f t="shared" si="65"/>
        <v>0</v>
      </c>
    </row>
    <row r="149" spans="1:29">
      <c r="A149" s="2899" t="s">
        <v>4226</v>
      </c>
      <c r="B149" s="2900" t="s">
        <v>4110</v>
      </c>
      <c r="C149" s="2901">
        <v>325</v>
      </c>
      <c r="D149" s="2902">
        <f t="shared" si="44"/>
        <v>9.286828705158905E-4</v>
      </c>
      <c r="E149" s="2903">
        <v>29250</v>
      </c>
      <c r="F149" s="2904">
        <f t="shared" si="45"/>
        <v>1.0224991410133285E-3</v>
      </c>
      <c r="G149" s="2903">
        <f t="shared" si="46"/>
        <v>29250</v>
      </c>
      <c r="H149" s="2903">
        <f t="shared" si="47"/>
        <v>0</v>
      </c>
      <c r="I149" s="2905">
        <f t="shared" si="48"/>
        <v>18525</v>
      </c>
      <c r="J149" s="1096">
        <v>5668</v>
      </c>
      <c r="K149" s="2479">
        <f t="shared" si="56"/>
        <v>232161.28</v>
      </c>
      <c r="L149" s="398">
        <f t="shared" si="49"/>
        <v>5850</v>
      </c>
      <c r="M149" s="1095">
        <f t="shared" si="50"/>
        <v>30043</v>
      </c>
      <c r="N149" s="2906">
        <f t="shared" si="51"/>
        <v>9.4557841953801509E-4</v>
      </c>
      <c r="O149" s="2907">
        <f t="shared" si="57"/>
        <v>1.6895549022124591E-5</v>
      </c>
      <c r="P149" s="2908">
        <f t="shared" si="58"/>
        <v>97500</v>
      </c>
      <c r="Q149" s="1095">
        <f t="shared" si="59"/>
        <v>26617.5</v>
      </c>
      <c r="R149" s="2909">
        <f t="shared" si="60"/>
        <v>124117.5</v>
      </c>
      <c r="S149" s="398">
        <f t="shared" si="61"/>
        <v>0</v>
      </c>
      <c r="T149" s="1095">
        <f t="shared" si="62"/>
        <v>0</v>
      </c>
      <c r="U149" s="398">
        <f t="shared" si="63"/>
        <v>0</v>
      </c>
      <c r="V149" s="2913">
        <v>0</v>
      </c>
      <c r="W149" s="1095">
        <f t="shared" si="52"/>
        <v>30153.760000000002</v>
      </c>
      <c r="X149" s="1095">
        <f t="shared" si="53"/>
        <v>5850</v>
      </c>
      <c r="Y149" s="2909">
        <f t="shared" si="64"/>
        <v>36003.760000000002</v>
      </c>
      <c r="Z149" s="2913">
        <v>0</v>
      </c>
      <c r="AA149" s="1095">
        <f t="shared" si="54"/>
        <v>16267.16</v>
      </c>
      <c r="AB149" s="1095">
        <f t="shared" si="55"/>
        <v>0</v>
      </c>
      <c r="AC149" s="2909">
        <f t="shared" si="65"/>
        <v>16267.16</v>
      </c>
    </row>
    <row r="150" spans="1:29">
      <c r="A150" s="2899" t="s">
        <v>4227</v>
      </c>
      <c r="B150" s="2900" t="s">
        <v>4125</v>
      </c>
      <c r="C150" s="2901">
        <v>145</v>
      </c>
      <c r="D150" s="2902">
        <f t="shared" si="44"/>
        <v>4.1433543453785882E-4</v>
      </c>
      <c r="E150" s="2903">
        <v>13050</v>
      </c>
      <c r="F150" s="2904">
        <f t="shared" si="45"/>
        <v>4.5619192445210037E-4</v>
      </c>
      <c r="G150" s="2903">
        <f t="shared" si="46"/>
        <v>13050</v>
      </c>
      <c r="H150" s="2903">
        <f t="shared" si="47"/>
        <v>0</v>
      </c>
      <c r="I150" s="2905">
        <f t="shared" si="48"/>
        <v>8265</v>
      </c>
      <c r="J150" s="1096">
        <v>5056</v>
      </c>
      <c r="K150" s="2479">
        <f t="shared" si="56"/>
        <v>207093.76000000001</v>
      </c>
      <c r="L150" s="398">
        <f t="shared" si="49"/>
        <v>2610</v>
      </c>
      <c r="M150" s="1095">
        <f t="shared" si="50"/>
        <v>15931</v>
      </c>
      <c r="N150" s="2906">
        <f t="shared" si="51"/>
        <v>5.0141496527178107E-4</v>
      </c>
      <c r="O150" s="2907">
        <f t="shared" si="57"/>
        <v>8.7079530733922249E-5</v>
      </c>
      <c r="P150" s="2908">
        <f t="shared" si="58"/>
        <v>43500</v>
      </c>
      <c r="Q150" s="1095">
        <f t="shared" si="59"/>
        <v>11875.5</v>
      </c>
      <c r="R150" s="2909">
        <f t="shared" si="60"/>
        <v>55375.5</v>
      </c>
      <c r="S150" s="398">
        <f t="shared" si="61"/>
        <v>0</v>
      </c>
      <c r="T150" s="1095">
        <f t="shared" si="62"/>
        <v>0</v>
      </c>
      <c r="U150" s="398">
        <f t="shared" si="63"/>
        <v>0</v>
      </c>
      <c r="V150" s="2913">
        <v>0</v>
      </c>
      <c r="W150" s="1095">
        <f t="shared" si="52"/>
        <v>26897.920000000002</v>
      </c>
      <c r="X150" s="1095">
        <f t="shared" si="53"/>
        <v>2610</v>
      </c>
      <c r="Y150" s="2909">
        <f t="shared" si="64"/>
        <v>29507.920000000002</v>
      </c>
      <c r="Z150" s="2913">
        <v>0</v>
      </c>
      <c r="AA150" s="1095">
        <f t="shared" si="54"/>
        <v>14510.720000000001</v>
      </c>
      <c r="AB150" s="1095">
        <f t="shared" si="55"/>
        <v>0</v>
      </c>
      <c r="AC150" s="2909">
        <f t="shared" si="65"/>
        <v>14510.720000000001</v>
      </c>
    </row>
    <row r="151" spans="1:29">
      <c r="A151" s="2899" t="s">
        <v>4228</v>
      </c>
      <c r="B151" s="2900" t="s">
        <v>4083</v>
      </c>
      <c r="C151" s="2901">
        <v>250</v>
      </c>
      <c r="D151" s="2902">
        <f t="shared" si="44"/>
        <v>7.1437143885837726E-4</v>
      </c>
      <c r="E151" s="2903">
        <v>22500</v>
      </c>
      <c r="F151" s="2904">
        <f t="shared" si="45"/>
        <v>7.8653780077948343E-4</v>
      </c>
      <c r="G151" s="2903">
        <f t="shared" si="46"/>
        <v>22500</v>
      </c>
      <c r="H151" s="2903">
        <f t="shared" si="47"/>
        <v>0</v>
      </c>
      <c r="I151" s="2905">
        <f t="shared" si="48"/>
        <v>14250</v>
      </c>
      <c r="J151" s="1096">
        <v>0</v>
      </c>
      <c r="K151" s="2479">
        <f t="shared" si="56"/>
        <v>0</v>
      </c>
      <c r="L151" s="398">
        <f t="shared" si="49"/>
        <v>4500</v>
      </c>
      <c r="M151" s="1095">
        <f t="shared" si="50"/>
        <v>18750</v>
      </c>
      <c r="N151" s="2906">
        <f t="shared" si="51"/>
        <v>5.9014064395492406E-4</v>
      </c>
      <c r="O151" s="2907">
        <f t="shared" si="57"/>
        <v>-1.242307949034532E-4</v>
      </c>
      <c r="P151" s="2908">
        <f t="shared" si="58"/>
        <v>75000</v>
      </c>
      <c r="Q151" s="1095">
        <f t="shared" si="59"/>
        <v>20475</v>
      </c>
      <c r="R151" s="2909">
        <f t="shared" si="60"/>
        <v>95475</v>
      </c>
      <c r="S151" s="398">
        <f t="shared" si="61"/>
        <v>0</v>
      </c>
      <c r="T151" s="1095">
        <f t="shared" si="62"/>
        <v>0</v>
      </c>
      <c r="U151" s="398">
        <f t="shared" si="63"/>
        <v>0</v>
      </c>
      <c r="V151" s="2913">
        <v>0</v>
      </c>
      <c r="W151" s="1095">
        <f t="shared" si="52"/>
        <v>0</v>
      </c>
      <c r="X151" s="1095">
        <f t="shared" si="53"/>
        <v>4500</v>
      </c>
      <c r="Y151" s="2909">
        <f t="shared" si="64"/>
        <v>4500</v>
      </c>
      <c r="Z151" s="2913">
        <v>0</v>
      </c>
      <c r="AA151" s="1095">
        <f t="shared" si="54"/>
        <v>0</v>
      </c>
      <c r="AB151" s="1095">
        <f t="shared" si="55"/>
        <v>0</v>
      </c>
      <c r="AC151" s="2909">
        <f t="shared" si="65"/>
        <v>0</v>
      </c>
    </row>
    <row r="152" spans="1:29">
      <c r="A152" s="2899" t="s">
        <v>4229</v>
      </c>
      <c r="B152" s="2900" t="s">
        <v>4087</v>
      </c>
      <c r="C152" s="2901">
        <v>235</v>
      </c>
      <c r="D152" s="2902">
        <f t="shared" si="44"/>
        <v>6.7150915252687463E-4</v>
      </c>
      <c r="E152" s="2903">
        <v>21150</v>
      </c>
      <c r="F152" s="2904">
        <f t="shared" si="45"/>
        <v>7.3934553273271447E-4</v>
      </c>
      <c r="G152" s="2903">
        <f t="shared" si="46"/>
        <v>21150</v>
      </c>
      <c r="H152" s="2903">
        <f t="shared" si="47"/>
        <v>0</v>
      </c>
      <c r="I152" s="2905">
        <f t="shared" si="48"/>
        <v>13395</v>
      </c>
      <c r="J152" s="1096">
        <v>4098</v>
      </c>
      <c r="K152" s="2479">
        <f t="shared" si="56"/>
        <v>167854.08000000002</v>
      </c>
      <c r="L152" s="398">
        <f t="shared" si="49"/>
        <v>4230</v>
      </c>
      <c r="M152" s="1095">
        <f t="shared" si="50"/>
        <v>21723</v>
      </c>
      <c r="N152" s="2906">
        <f t="shared" si="51"/>
        <v>6.8371334446041686E-4</v>
      </c>
      <c r="O152" s="2907">
        <f t="shared" si="57"/>
        <v>1.2204191933542228E-5</v>
      </c>
      <c r="P152" s="2908">
        <f t="shared" si="58"/>
        <v>70500</v>
      </c>
      <c r="Q152" s="1095">
        <f t="shared" si="59"/>
        <v>19246.5</v>
      </c>
      <c r="R152" s="2909">
        <f t="shared" si="60"/>
        <v>89746.5</v>
      </c>
      <c r="S152" s="398">
        <f t="shared" si="61"/>
        <v>0</v>
      </c>
      <c r="T152" s="1095">
        <f t="shared" si="62"/>
        <v>0</v>
      </c>
      <c r="U152" s="398">
        <f t="shared" si="63"/>
        <v>0</v>
      </c>
      <c r="V152" s="2913">
        <v>0</v>
      </c>
      <c r="W152" s="1095">
        <f t="shared" si="52"/>
        <v>21801.360000000001</v>
      </c>
      <c r="X152" s="1095">
        <f t="shared" si="53"/>
        <v>4230</v>
      </c>
      <c r="Y152" s="2909">
        <f t="shared" si="64"/>
        <v>26031.360000000001</v>
      </c>
      <c r="Z152" s="2913">
        <v>0</v>
      </c>
      <c r="AA152" s="1095">
        <f t="shared" si="54"/>
        <v>11761.26</v>
      </c>
      <c r="AB152" s="1095">
        <f t="shared" si="55"/>
        <v>0</v>
      </c>
      <c r="AC152" s="2909">
        <f t="shared" si="65"/>
        <v>11761.26</v>
      </c>
    </row>
    <row r="153" spans="1:29">
      <c r="A153" s="2899" t="s">
        <v>4230</v>
      </c>
      <c r="B153" s="2900" t="s">
        <v>4106</v>
      </c>
      <c r="C153" s="2901">
        <v>200</v>
      </c>
      <c r="D153" s="2902">
        <f t="shared" si="44"/>
        <v>5.7149715108670187E-4</v>
      </c>
      <c r="E153" s="2903">
        <v>18000</v>
      </c>
      <c r="F153" s="2904">
        <f t="shared" si="45"/>
        <v>6.2923024062358675E-4</v>
      </c>
      <c r="G153" s="2903">
        <f t="shared" si="46"/>
        <v>18000</v>
      </c>
      <c r="H153" s="2903">
        <f t="shared" si="47"/>
        <v>0</v>
      </c>
      <c r="I153" s="2905">
        <f t="shared" si="48"/>
        <v>11400</v>
      </c>
      <c r="J153" s="1096">
        <v>3488</v>
      </c>
      <c r="K153" s="2479">
        <f t="shared" si="56"/>
        <v>142868.48000000001</v>
      </c>
      <c r="L153" s="398">
        <f t="shared" si="49"/>
        <v>3600</v>
      </c>
      <c r="M153" s="1095">
        <f t="shared" si="50"/>
        <v>18488</v>
      </c>
      <c r="N153" s="2906">
        <f t="shared" si="51"/>
        <v>5.8189441202339393E-4</v>
      </c>
      <c r="O153" s="2907">
        <f t="shared" si="57"/>
        <v>1.0397260936692056E-5</v>
      </c>
      <c r="P153" s="2908">
        <f t="shared" si="58"/>
        <v>60000</v>
      </c>
      <c r="Q153" s="1095">
        <f t="shared" si="59"/>
        <v>16380</v>
      </c>
      <c r="R153" s="2909">
        <f t="shared" si="60"/>
        <v>76380</v>
      </c>
      <c r="S153" s="398">
        <f t="shared" si="61"/>
        <v>0</v>
      </c>
      <c r="T153" s="1095">
        <f t="shared" si="62"/>
        <v>0</v>
      </c>
      <c r="U153" s="398">
        <f t="shared" si="63"/>
        <v>0</v>
      </c>
      <c r="V153" s="2913">
        <v>0</v>
      </c>
      <c r="W153" s="1095">
        <f t="shared" si="52"/>
        <v>18556.16</v>
      </c>
      <c r="X153" s="1095">
        <f t="shared" si="53"/>
        <v>3600</v>
      </c>
      <c r="Y153" s="2909">
        <f t="shared" si="64"/>
        <v>22156.16</v>
      </c>
      <c r="Z153" s="2913">
        <v>0</v>
      </c>
      <c r="AA153" s="1095">
        <f t="shared" si="54"/>
        <v>10010.56</v>
      </c>
      <c r="AB153" s="1095">
        <f t="shared" si="55"/>
        <v>0</v>
      </c>
      <c r="AC153" s="2909">
        <f t="shared" si="65"/>
        <v>10010.56</v>
      </c>
    </row>
    <row r="154" spans="1:29">
      <c r="A154" s="2899" t="s">
        <v>4231</v>
      </c>
      <c r="B154" s="2900" t="s">
        <v>4079</v>
      </c>
      <c r="C154" s="2901">
        <v>360</v>
      </c>
      <c r="D154" s="2902">
        <f t="shared" si="44"/>
        <v>1.0286948719560633E-3</v>
      </c>
      <c r="E154" s="2903">
        <v>32400</v>
      </c>
      <c r="F154" s="2904">
        <f t="shared" si="45"/>
        <v>1.1326144331224562E-3</v>
      </c>
      <c r="G154" s="2903">
        <f t="shared" si="46"/>
        <v>32400</v>
      </c>
      <c r="H154" s="2903">
        <f t="shared" si="47"/>
        <v>0</v>
      </c>
      <c r="I154" s="2905">
        <f t="shared" si="48"/>
        <v>20520</v>
      </c>
      <c r="J154" s="1096">
        <v>12556</v>
      </c>
      <c r="K154" s="2479">
        <f t="shared" si="56"/>
        <v>514293.76000000001</v>
      </c>
      <c r="L154" s="398">
        <f t="shared" si="49"/>
        <v>6480</v>
      </c>
      <c r="M154" s="1095">
        <f t="shared" si="50"/>
        <v>39556</v>
      </c>
      <c r="N154" s="2906">
        <f t="shared" si="51"/>
        <v>1.2449921766549854E-3</v>
      </c>
      <c r="O154" s="2907">
        <f t="shared" si="57"/>
        <v>2.1629730469892219E-4</v>
      </c>
      <c r="P154" s="2908">
        <f t="shared" si="58"/>
        <v>108000</v>
      </c>
      <c r="Q154" s="1095">
        <f t="shared" si="59"/>
        <v>29484</v>
      </c>
      <c r="R154" s="2909">
        <f t="shared" si="60"/>
        <v>137484</v>
      </c>
      <c r="S154" s="398">
        <f t="shared" si="61"/>
        <v>0</v>
      </c>
      <c r="T154" s="1095">
        <f t="shared" si="62"/>
        <v>0</v>
      </c>
      <c r="U154" s="398">
        <f t="shared" si="63"/>
        <v>0</v>
      </c>
      <c r="V154" s="2913">
        <v>0</v>
      </c>
      <c r="W154" s="1095">
        <f t="shared" si="52"/>
        <v>66797.919999999998</v>
      </c>
      <c r="X154" s="1095">
        <f t="shared" si="53"/>
        <v>6480</v>
      </c>
      <c r="Y154" s="2909">
        <f t="shared" si="64"/>
        <v>73277.919999999998</v>
      </c>
      <c r="Z154" s="2913">
        <v>0</v>
      </c>
      <c r="AA154" s="1095">
        <f t="shared" si="54"/>
        <v>36035.72</v>
      </c>
      <c r="AB154" s="1095">
        <f t="shared" si="55"/>
        <v>0</v>
      </c>
      <c r="AC154" s="2909">
        <f t="shared" si="65"/>
        <v>36035.72</v>
      </c>
    </row>
    <row r="155" spans="1:29">
      <c r="A155" s="2899" t="s">
        <v>4232</v>
      </c>
      <c r="B155" s="2900" t="s">
        <v>4073</v>
      </c>
      <c r="C155" s="2901">
        <v>290</v>
      </c>
      <c r="D155" s="2902">
        <f t="shared" si="44"/>
        <v>8.2867086907571763E-4</v>
      </c>
      <c r="E155" s="2903">
        <v>26100</v>
      </c>
      <c r="F155" s="2904">
        <f t="shared" si="45"/>
        <v>9.1238384890420074E-4</v>
      </c>
      <c r="G155" s="2903">
        <f t="shared" si="46"/>
        <v>26100</v>
      </c>
      <c r="H155" s="2903">
        <f t="shared" si="47"/>
        <v>0</v>
      </c>
      <c r="I155" s="2905">
        <f t="shared" si="48"/>
        <v>16530</v>
      </c>
      <c r="J155" s="1096">
        <v>5057</v>
      </c>
      <c r="K155" s="2479">
        <f t="shared" si="56"/>
        <v>207134.72</v>
      </c>
      <c r="L155" s="398">
        <f t="shared" si="49"/>
        <v>5220</v>
      </c>
      <c r="M155" s="1095">
        <f t="shared" si="50"/>
        <v>26807</v>
      </c>
      <c r="N155" s="2906">
        <f t="shared" si="51"/>
        <v>8.4372801293331465E-4</v>
      </c>
      <c r="O155" s="2907">
        <f t="shared" si="57"/>
        <v>1.505714385759702E-5</v>
      </c>
      <c r="P155" s="2908">
        <f t="shared" si="58"/>
        <v>87000</v>
      </c>
      <c r="Q155" s="1095">
        <f t="shared" si="59"/>
        <v>23751</v>
      </c>
      <c r="R155" s="2909">
        <f t="shared" si="60"/>
        <v>110751</v>
      </c>
      <c r="S155" s="398">
        <f t="shared" si="61"/>
        <v>0</v>
      </c>
      <c r="T155" s="1095">
        <f t="shared" si="62"/>
        <v>0</v>
      </c>
      <c r="U155" s="398">
        <f t="shared" si="63"/>
        <v>0</v>
      </c>
      <c r="V155" s="2913">
        <v>0</v>
      </c>
      <c r="W155" s="1095">
        <f t="shared" si="52"/>
        <v>26903.24</v>
      </c>
      <c r="X155" s="1095">
        <f t="shared" si="53"/>
        <v>5220</v>
      </c>
      <c r="Y155" s="2909">
        <f t="shared" si="64"/>
        <v>32123.24</v>
      </c>
      <c r="Z155" s="2913">
        <v>0</v>
      </c>
      <c r="AA155" s="1095">
        <f t="shared" si="54"/>
        <v>14513.59</v>
      </c>
      <c r="AB155" s="1095">
        <f t="shared" si="55"/>
        <v>0</v>
      </c>
      <c r="AC155" s="2909">
        <f t="shared" si="65"/>
        <v>14513.59</v>
      </c>
    </row>
    <row r="156" spans="1:29">
      <c r="A156" s="2899" t="s">
        <v>4233</v>
      </c>
      <c r="B156" s="2900" t="s">
        <v>4190</v>
      </c>
      <c r="C156" s="2901">
        <v>165</v>
      </c>
      <c r="D156" s="2902">
        <f t="shared" si="44"/>
        <v>4.71485149646529E-4</v>
      </c>
      <c r="E156" s="2903">
        <v>14850</v>
      </c>
      <c r="F156" s="2904">
        <f t="shared" si="45"/>
        <v>5.1911494851445902E-4</v>
      </c>
      <c r="G156" s="2903">
        <f t="shared" si="46"/>
        <v>14850</v>
      </c>
      <c r="H156" s="2903">
        <f t="shared" si="47"/>
        <v>0</v>
      </c>
      <c r="I156" s="2905">
        <f t="shared" si="48"/>
        <v>9405</v>
      </c>
      <c r="J156" s="1096">
        <v>0</v>
      </c>
      <c r="K156" s="2479">
        <f t="shared" si="56"/>
        <v>0</v>
      </c>
      <c r="L156" s="398">
        <f t="shared" si="49"/>
        <v>2970</v>
      </c>
      <c r="M156" s="1095">
        <f t="shared" si="50"/>
        <v>12375</v>
      </c>
      <c r="N156" s="2906">
        <f t="shared" si="51"/>
        <v>3.8949282501024991E-4</v>
      </c>
      <c r="O156" s="2907">
        <f t="shared" si="57"/>
        <v>-8.1992324636279092E-5</v>
      </c>
      <c r="P156" s="2908">
        <f t="shared" si="58"/>
        <v>49500</v>
      </c>
      <c r="Q156" s="1095">
        <f t="shared" si="59"/>
        <v>13513.5</v>
      </c>
      <c r="R156" s="2909">
        <f t="shared" si="60"/>
        <v>63013.5</v>
      </c>
      <c r="S156" s="398">
        <f t="shared" si="61"/>
        <v>0</v>
      </c>
      <c r="T156" s="1095">
        <f t="shared" si="62"/>
        <v>0</v>
      </c>
      <c r="U156" s="398">
        <f t="shared" si="63"/>
        <v>0</v>
      </c>
      <c r="V156" s="2913">
        <v>0</v>
      </c>
      <c r="W156" s="1095">
        <f t="shared" si="52"/>
        <v>0</v>
      </c>
      <c r="X156" s="1095">
        <f t="shared" si="53"/>
        <v>2970</v>
      </c>
      <c r="Y156" s="2909">
        <f t="shared" si="64"/>
        <v>2970</v>
      </c>
      <c r="Z156" s="2913">
        <v>0</v>
      </c>
      <c r="AA156" s="1095">
        <f t="shared" si="54"/>
        <v>0</v>
      </c>
      <c r="AB156" s="1095">
        <f t="shared" si="55"/>
        <v>0</v>
      </c>
      <c r="AC156" s="2909">
        <f t="shared" si="65"/>
        <v>0</v>
      </c>
    </row>
    <row r="157" spans="1:29">
      <c r="A157" s="2899" t="s">
        <v>4234</v>
      </c>
      <c r="B157" s="2900" t="s">
        <v>4106</v>
      </c>
      <c r="C157" s="2901">
        <v>405</v>
      </c>
      <c r="D157" s="2902">
        <f t="shared" si="44"/>
        <v>1.1572817309505711E-3</v>
      </c>
      <c r="E157" s="2903">
        <v>36450</v>
      </c>
      <c r="F157" s="2904">
        <f t="shared" si="45"/>
        <v>1.2741912372627631E-3</v>
      </c>
      <c r="G157" s="2903">
        <f t="shared" si="46"/>
        <v>36450</v>
      </c>
      <c r="H157" s="2903">
        <f t="shared" si="47"/>
        <v>0</v>
      </c>
      <c r="I157" s="2905">
        <f t="shared" si="48"/>
        <v>23085</v>
      </c>
      <c r="J157" s="1096">
        <v>9765</v>
      </c>
      <c r="K157" s="2479">
        <f t="shared" si="56"/>
        <v>399974.40000000002</v>
      </c>
      <c r="L157" s="398">
        <f t="shared" si="49"/>
        <v>7290</v>
      </c>
      <c r="M157" s="1095">
        <f t="shared" si="50"/>
        <v>40140</v>
      </c>
      <c r="N157" s="2906">
        <f t="shared" si="51"/>
        <v>1.2633730905787014E-3</v>
      </c>
      <c r="O157" s="2907">
        <f t="shared" si="57"/>
        <v>1.0609135962813022E-4</v>
      </c>
      <c r="P157" s="2908">
        <f t="shared" si="58"/>
        <v>121500</v>
      </c>
      <c r="Q157" s="1095">
        <f t="shared" si="59"/>
        <v>33169.5</v>
      </c>
      <c r="R157" s="2909">
        <f t="shared" si="60"/>
        <v>154669.5</v>
      </c>
      <c r="S157" s="398">
        <f t="shared" si="61"/>
        <v>0</v>
      </c>
      <c r="T157" s="1095">
        <f t="shared" si="62"/>
        <v>0</v>
      </c>
      <c r="U157" s="398">
        <f t="shared" si="63"/>
        <v>0</v>
      </c>
      <c r="V157" s="2913">
        <v>0</v>
      </c>
      <c r="W157" s="1095">
        <f t="shared" si="52"/>
        <v>51949.8</v>
      </c>
      <c r="X157" s="1095">
        <f t="shared" si="53"/>
        <v>7290</v>
      </c>
      <c r="Y157" s="2909">
        <f t="shared" si="64"/>
        <v>59239.8</v>
      </c>
      <c r="Z157" s="2913">
        <v>0</v>
      </c>
      <c r="AA157" s="1095">
        <f t="shared" si="54"/>
        <v>28025.55</v>
      </c>
      <c r="AB157" s="1095">
        <f t="shared" si="55"/>
        <v>0</v>
      </c>
      <c r="AC157" s="2909">
        <f t="shared" si="65"/>
        <v>28025.55</v>
      </c>
    </row>
    <row r="158" spans="1:29">
      <c r="A158" s="2899" t="s">
        <v>4235</v>
      </c>
      <c r="B158" s="2900" t="s">
        <v>4069</v>
      </c>
      <c r="C158" s="2901">
        <v>325</v>
      </c>
      <c r="D158" s="2902">
        <f t="shared" si="44"/>
        <v>9.286828705158905E-4</v>
      </c>
      <c r="E158" s="2903">
        <v>29250</v>
      </c>
      <c r="F158" s="2904">
        <f t="shared" si="45"/>
        <v>1.0224991410133285E-3</v>
      </c>
      <c r="G158" s="2903">
        <f t="shared" si="46"/>
        <v>29250</v>
      </c>
      <c r="H158" s="2903">
        <f t="shared" si="47"/>
        <v>0</v>
      </c>
      <c r="I158" s="2905">
        <f t="shared" si="48"/>
        <v>18525</v>
      </c>
      <c r="J158" s="1096">
        <v>5668</v>
      </c>
      <c r="K158" s="2479">
        <f t="shared" si="56"/>
        <v>232161.28</v>
      </c>
      <c r="L158" s="398">
        <f t="shared" si="49"/>
        <v>5850</v>
      </c>
      <c r="M158" s="1095">
        <f t="shared" si="50"/>
        <v>30043</v>
      </c>
      <c r="N158" s="2906">
        <f t="shared" si="51"/>
        <v>9.4557841953801509E-4</v>
      </c>
      <c r="O158" s="2907">
        <f t="shared" si="57"/>
        <v>1.6895549022124591E-5</v>
      </c>
      <c r="P158" s="2908">
        <f t="shared" si="58"/>
        <v>97500</v>
      </c>
      <c r="Q158" s="1095">
        <f t="shared" si="59"/>
        <v>26617.5</v>
      </c>
      <c r="R158" s="2909">
        <f t="shared" si="60"/>
        <v>124117.5</v>
      </c>
      <c r="S158" s="398">
        <f t="shared" si="61"/>
        <v>0</v>
      </c>
      <c r="T158" s="1095">
        <f t="shared" si="62"/>
        <v>0</v>
      </c>
      <c r="U158" s="398">
        <f t="shared" si="63"/>
        <v>0</v>
      </c>
      <c r="V158" s="2913">
        <v>0</v>
      </c>
      <c r="W158" s="1095">
        <f t="shared" si="52"/>
        <v>30153.760000000002</v>
      </c>
      <c r="X158" s="1095">
        <f t="shared" si="53"/>
        <v>5850</v>
      </c>
      <c r="Y158" s="2909">
        <f t="shared" si="64"/>
        <v>36003.760000000002</v>
      </c>
      <c r="Z158" s="2913">
        <v>0</v>
      </c>
      <c r="AA158" s="1095">
        <f t="shared" si="54"/>
        <v>16267.16</v>
      </c>
      <c r="AB158" s="1095">
        <f t="shared" si="55"/>
        <v>0</v>
      </c>
      <c r="AC158" s="2909">
        <f t="shared" si="65"/>
        <v>16267.16</v>
      </c>
    </row>
    <row r="159" spans="1:29">
      <c r="A159" s="2899" t="s">
        <v>4236</v>
      </c>
      <c r="B159" s="2900" t="s">
        <v>4196</v>
      </c>
      <c r="C159" s="2901">
        <v>205</v>
      </c>
      <c r="D159" s="2902">
        <f t="shared" si="44"/>
        <v>5.8578457986386938E-4</v>
      </c>
      <c r="E159" s="2903">
        <v>18450</v>
      </c>
      <c r="F159" s="2904">
        <f t="shared" si="45"/>
        <v>6.4496099663917644E-4</v>
      </c>
      <c r="G159" s="2903">
        <f t="shared" si="46"/>
        <v>18450</v>
      </c>
      <c r="H159" s="2903">
        <f t="shared" si="47"/>
        <v>0</v>
      </c>
      <c r="I159" s="2905">
        <f t="shared" si="48"/>
        <v>11685</v>
      </c>
      <c r="J159" s="1096">
        <v>0</v>
      </c>
      <c r="K159" s="2479">
        <f t="shared" si="56"/>
        <v>0</v>
      </c>
      <c r="L159" s="398">
        <f t="shared" si="49"/>
        <v>3690</v>
      </c>
      <c r="M159" s="1095">
        <f t="shared" si="50"/>
        <v>15375</v>
      </c>
      <c r="N159" s="2906">
        <f t="shared" si="51"/>
        <v>4.8391532804303774E-4</v>
      </c>
      <c r="O159" s="2907">
        <f t="shared" si="57"/>
        <v>-1.0186925182083164E-4</v>
      </c>
      <c r="P159" s="2908">
        <f t="shared" si="58"/>
        <v>61500</v>
      </c>
      <c r="Q159" s="1095">
        <f t="shared" si="59"/>
        <v>16789.5</v>
      </c>
      <c r="R159" s="2909">
        <f t="shared" si="60"/>
        <v>78289.5</v>
      </c>
      <c r="S159" s="398">
        <f t="shared" si="61"/>
        <v>0</v>
      </c>
      <c r="T159" s="1095">
        <f t="shared" si="62"/>
        <v>0</v>
      </c>
      <c r="U159" s="398">
        <f t="shared" si="63"/>
        <v>0</v>
      </c>
      <c r="V159" s="2913">
        <v>0</v>
      </c>
      <c r="W159" s="1095">
        <f t="shared" si="52"/>
        <v>0</v>
      </c>
      <c r="X159" s="1095">
        <f t="shared" si="53"/>
        <v>3690</v>
      </c>
      <c r="Y159" s="2909">
        <f t="shared" si="64"/>
        <v>3690</v>
      </c>
      <c r="Z159" s="2913">
        <v>0</v>
      </c>
      <c r="AA159" s="1095">
        <f t="shared" si="54"/>
        <v>0</v>
      </c>
      <c r="AB159" s="1095">
        <f t="shared" si="55"/>
        <v>0</v>
      </c>
      <c r="AC159" s="2909">
        <f t="shared" si="65"/>
        <v>0</v>
      </c>
    </row>
    <row r="160" spans="1:29">
      <c r="A160" s="2899" t="s">
        <v>4237</v>
      </c>
      <c r="B160" s="2900" t="s">
        <v>4083</v>
      </c>
      <c r="C160" s="2901">
        <v>100</v>
      </c>
      <c r="D160" s="2902">
        <f t="shared" si="44"/>
        <v>2.8574857554335094E-4</v>
      </c>
      <c r="E160" s="2903">
        <v>9000</v>
      </c>
      <c r="F160" s="2904">
        <f t="shared" si="45"/>
        <v>3.1461512031179337E-4</v>
      </c>
      <c r="G160" s="2903">
        <f t="shared" si="46"/>
        <v>9000</v>
      </c>
      <c r="H160" s="2903">
        <f t="shared" si="47"/>
        <v>0</v>
      </c>
      <c r="I160" s="2905">
        <f t="shared" si="48"/>
        <v>5700</v>
      </c>
      <c r="J160" s="1096">
        <v>0</v>
      </c>
      <c r="K160" s="2479">
        <f t="shared" si="56"/>
        <v>0</v>
      </c>
      <c r="L160" s="398">
        <f t="shared" si="49"/>
        <v>1800</v>
      </c>
      <c r="M160" s="1095">
        <f t="shared" si="50"/>
        <v>7500</v>
      </c>
      <c r="N160" s="2906">
        <f t="shared" si="51"/>
        <v>2.3605625758196962E-4</v>
      </c>
      <c r="O160" s="2907">
        <f t="shared" si="57"/>
        <v>-4.9692317961381316E-5</v>
      </c>
      <c r="P160" s="2908">
        <f t="shared" si="58"/>
        <v>30000</v>
      </c>
      <c r="Q160" s="1095">
        <f t="shared" si="59"/>
        <v>8190</v>
      </c>
      <c r="R160" s="2909">
        <f t="shared" si="60"/>
        <v>38190</v>
      </c>
      <c r="S160" s="398">
        <f t="shared" si="61"/>
        <v>0</v>
      </c>
      <c r="T160" s="1095">
        <f t="shared" si="62"/>
        <v>0</v>
      </c>
      <c r="U160" s="398">
        <f t="shared" si="63"/>
        <v>0</v>
      </c>
      <c r="V160" s="2913">
        <v>0</v>
      </c>
      <c r="W160" s="1095">
        <f t="shared" si="52"/>
        <v>0</v>
      </c>
      <c r="X160" s="1095">
        <f t="shared" si="53"/>
        <v>1800</v>
      </c>
      <c r="Y160" s="2909">
        <f t="shared" si="64"/>
        <v>1800</v>
      </c>
      <c r="Z160" s="2913">
        <v>0</v>
      </c>
      <c r="AA160" s="1095">
        <f t="shared" si="54"/>
        <v>0</v>
      </c>
      <c r="AB160" s="1095">
        <f t="shared" si="55"/>
        <v>0</v>
      </c>
      <c r="AC160" s="2909">
        <f t="shared" si="65"/>
        <v>0</v>
      </c>
    </row>
    <row r="161" spans="1:29">
      <c r="A161" s="2899" t="s">
        <v>4238</v>
      </c>
      <c r="B161" s="2900" t="s">
        <v>4077</v>
      </c>
      <c r="C161" s="2901">
        <v>145</v>
      </c>
      <c r="D161" s="2902">
        <f t="shared" si="44"/>
        <v>4.1433543453785882E-4</v>
      </c>
      <c r="E161" s="2903">
        <v>13050</v>
      </c>
      <c r="F161" s="2904">
        <f t="shared" si="45"/>
        <v>4.5619192445210037E-4</v>
      </c>
      <c r="G161" s="2903">
        <f t="shared" si="46"/>
        <v>13050</v>
      </c>
      <c r="H161" s="2903">
        <f t="shared" si="47"/>
        <v>0</v>
      </c>
      <c r="I161" s="2905">
        <f t="shared" si="48"/>
        <v>8265</v>
      </c>
      <c r="J161" s="1096">
        <v>2528</v>
      </c>
      <c r="K161" s="2479">
        <f t="shared" si="56"/>
        <v>103546.88</v>
      </c>
      <c r="L161" s="398">
        <f t="shared" si="49"/>
        <v>2610</v>
      </c>
      <c r="M161" s="1095">
        <f t="shared" si="50"/>
        <v>13403</v>
      </c>
      <c r="N161" s="2906">
        <f t="shared" si="51"/>
        <v>4.2184826938281852E-4</v>
      </c>
      <c r="O161" s="2907">
        <f t="shared" si="57"/>
        <v>7.512834844959702E-6</v>
      </c>
      <c r="P161" s="2908">
        <f t="shared" si="58"/>
        <v>43500</v>
      </c>
      <c r="Q161" s="1095">
        <f t="shared" si="59"/>
        <v>11875.5</v>
      </c>
      <c r="R161" s="2909">
        <f t="shared" si="60"/>
        <v>55375.5</v>
      </c>
      <c r="S161" s="398">
        <f t="shared" si="61"/>
        <v>0</v>
      </c>
      <c r="T161" s="1095">
        <f t="shared" si="62"/>
        <v>0</v>
      </c>
      <c r="U161" s="398">
        <f t="shared" si="63"/>
        <v>0</v>
      </c>
      <c r="V161" s="2913">
        <v>0</v>
      </c>
      <c r="W161" s="1095">
        <f t="shared" si="52"/>
        <v>13448.960000000001</v>
      </c>
      <c r="X161" s="1095">
        <f t="shared" si="53"/>
        <v>2610</v>
      </c>
      <c r="Y161" s="2909">
        <f t="shared" si="64"/>
        <v>16058.960000000001</v>
      </c>
      <c r="Z161" s="2913">
        <v>0</v>
      </c>
      <c r="AA161" s="1095">
        <f t="shared" si="54"/>
        <v>7255.3600000000006</v>
      </c>
      <c r="AB161" s="1095">
        <f t="shared" si="55"/>
        <v>0</v>
      </c>
      <c r="AC161" s="2909">
        <f t="shared" si="65"/>
        <v>7255.3600000000006</v>
      </c>
    </row>
    <row r="162" spans="1:29">
      <c r="A162" s="2899" t="s">
        <v>4239</v>
      </c>
      <c r="B162" s="2900" t="s">
        <v>4089</v>
      </c>
      <c r="C162" s="2901">
        <v>250</v>
      </c>
      <c r="D162" s="2902">
        <f t="shared" si="44"/>
        <v>7.1437143885837726E-4</v>
      </c>
      <c r="E162" s="2903">
        <v>22500</v>
      </c>
      <c r="F162" s="2904">
        <f t="shared" si="45"/>
        <v>7.8653780077948343E-4</v>
      </c>
      <c r="G162" s="2903">
        <f t="shared" si="46"/>
        <v>22500</v>
      </c>
      <c r="H162" s="2903">
        <f t="shared" si="47"/>
        <v>0</v>
      </c>
      <c r="I162" s="2905">
        <f t="shared" si="48"/>
        <v>14250</v>
      </c>
      <c r="J162" s="1096">
        <v>4360</v>
      </c>
      <c r="K162" s="2479">
        <f t="shared" si="56"/>
        <v>178585.60000000001</v>
      </c>
      <c r="L162" s="398">
        <f t="shared" si="49"/>
        <v>4500</v>
      </c>
      <c r="M162" s="1095">
        <f t="shared" si="50"/>
        <v>23110</v>
      </c>
      <c r="N162" s="2906">
        <f t="shared" si="51"/>
        <v>7.2736801502924244E-4</v>
      </c>
      <c r="O162" s="2907">
        <f t="shared" si="57"/>
        <v>1.2996576170865178E-5</v>
      </c>
      <c r="P162" s="2908">
        <f t="shared" si="58"/>
        <v>75000</v>
      </c>
      <c r="Q162" s="1095">
        <f t="shared" si="59"/>
        <v>20475</v>
      </c>
      <c r="R162" s="2909">
        <f t="shared" si="60"/>
        <v>95475</v>
      </c>
      <c r="S162" s="398">
        <f t="shared" si="61"/>
        <v>0</v>
      </c>
      <c r="T162" s="1095">
        <f t="shared" si="62"/>
        <v>0</v>
      </c>
      <c r="U162" s="398">
        <f t="shared" si="63"/>
        <v>0</v>
      </c>
      <c r="V162" s="2913">
        <v>0</v>
      </c>
      <c r="W162" s="1095">
        <f t="shared" si="52"/>
        <v>23195.200000000001</v>
      </c>
      <c r="X162" s="1095">
        <f t="shared" si="53"/>
        <v>4500</v>
      </c>
      <c r="Y162" s="2909">
        <f t="shared" si="64"/>
        <v>27695.200000000001</v>
      </c>
      <c r="Z162" s="2913">
        <v>0</v>
      </c>
      <c r="AA162" s="1095">
        <f t="shared" si="54"/>
        <v>12513.2</v>
      </c>
      <c r="AB162" s="1095">
        <f t="shared" si="55"/>
        <v>0</v>
      </c>
      <c r="AC162" s="2909">
        <f t="shared" si="65"/>
        <v>12513.2</v>
      </c>
    </row>
    <row r="163" spans="1:29">
      <c r="A163" s="2899" t="s">
        <v>4240</v>
      </c>
      <c r="B163" s="2900" t="s">
        <v>4073</v>
      </c>
      <c r="C163" s="2901">
        <v>2917</v>
      </c>
      <c r="D163" s="2902">
        <f t="shared" si="44"/>
        <v>8.3352859485995457E-3</v>
      </c>
      <c r="E163" s="2903">
        <v>131266</v>
      </c>
      <c r="F163" s="2904">
        <f t="shared" si="45"/>
        <v>4.5886964869830968E-3</v>
      </c>
      <c r="G163" s="2903">
        <f t="shared" si="46"/>
        <v>262530</v>
      </c>
      <c r="H163" s="2903">
        <f t="shared" si="47"/>
        <v>-131264</v>
      </c>
      <c r="I163" s="2905">
        <f t="shared" si="48"/>
        <v>166269</v>
      </c>
      <c r="J163" s="1096">
        <v>50874</v>
      </c>
      <c r="K163" s="2479">
        <f t="shared" si="56"/>
        <v>2083799.04</v>
      </c>
      <c r="L163" s="398">
        <f t="shared" si="49"/>
        <v>26253.200000000001</v>
      </c>
      <c r="M163" s="1095">
        <f t="shared" si="50"/>
        <v>243396.2</v>
      </c>
      <c r="N163" s="2906">
        <f t="shared" si="51"/>
        <v>7.6606928108896803E-3</v>
      </c>
      <c r="O163" s="2907">
        <f t="shared" si="57"/>
        <v>-6.7459313770986545E-4</v>
      </c>
      <c r="P163" s="2908">
        <f t="shared" si="58"/>
        <v>875100</v>
      </c>
      <c r="Q163" s="1095">
        <f t="shared" si="59"/>
        <v>119452.06</v>
      </c>
      <c r="R163" s="2909">
        <f t="shared" si="60"/>
        <v>994552.06</v>
      </c>
      <c r="S163" s="398">
        <f t="shared" si="61"/>
        <v>0</v>
      </c>
      <c r="T163" s="1095">
        <f t="shared" si="62"/>
        <v>0</v>
      </c>
      <c r="U163" s="398">
        <f t="shared" si="63"/>
        <v>0</v>
      </c>
      <c r="V163" s="2913">
        <v>0</v>
      </c>
      <c r="W163" s="1095">
        <f t="shared" si="52"/>
        <v>270649.68</v>
      </c>
      <c r="X163" s="1095">
        <f t="shared" si="53"/>
        <v>26253.200000000001</v>
      </c>
      <c r="Y163" s="2909">
        <f t="shared" si="64"/>
        <v>296902.88</v>
      </c>
      <c r="Z163" s="2913">
        <v>0</v>
      </c>
      <c r="AA163" s="1095">
        <f t="shared" si="54"/>
        <v>146008.38</v>
      </c>
      <c r="AB163" s="1095">
        <f t="shared" si="55"/>
        <v>0</v>
      </c>
      <c r="AC163" s="2909">
        <f t="shared" si="65"/>
        <v>146008.38</v>
      </c>
    </row>
    <row r="164" spans="1:29">
      <c r="A164" s="2899" t="s">
        <v>4241</v>
      </c>
      <c r="B164" s="2900" t="s">
        <v>4196</v>
      </c>
      <c r="C164" s="2901">
        <v>150</v>
      </c>
      <c r="D164" s="2902">
        <f t="shared" si="44"/>
        <v>4.2862286331502638E-4</v>
      </c>
      <c r="E164" s="2903">
        <v>13500</v>
      </c>
      <c r="F164" s="2904">
        <f t="shared" si="45"/>
        <v>4.7192268046769006E-4</v>
      </c>
      <c r="G164" s="2903">
        <f t="shared" si="46"/>
        <v>13500</v>
      </c>
      <c r="H164" s="2903">
        <f t="shared" si="47"/>
        <v>0</v>
      </c>
      <c r="I164" s="2905">
        <f t="shared" si="48"/>
        <v>8550</v>
      </c>
      <c r="J164" s="1096">
        <v>0</v>
      </c>
      <c r="K164" s="2479">
        <f t="shared" si="56"/>
        <v>0</v>
      </c>
      <c r="L164" s="398">
        <f t="shared" si="49"/>
        <v>2700</v>
      </c>
      <c r="M164" s="1095">
        <f t="shared" si="50"/>
        <v>11250</v>
      </c>
      <c r="N164" s="2906">
        <f t="shared" si="51"/>
        <v>3.5408438637295442E-4</v>
      </c>
      <c r="O164" s="2907">
        <f t="shared" si="57"/>
        <v>-7.4538476942071961E-5</v>
      </c>
      <c r="P164" s="2908">
        <f t="shared" si="58"/>
        <v>45000</v>
      </c>
      <c r="Q164" s="1095">
        <f t="shared" si="59"/>
        <v>12285</v>
      </c>
      <c r="R164" s="2909">
        <f t="shared" si="60"/>
        <v>57285</v>
      </c>
      <c r="S164" s="398">
        <f t="shared" si="61"/>
        <v>0</v>
      </c>
      <c r="T164" s="1095">
        <f t="shared" si="62"/>
        <v>0</v>
      </c>
      <c r="U164" s="398">
        <f t="shared" si="63"/>
        <v>0</v>
      </c>
      <c r="V164" s="2913">
        <v>0</v>
      </c>
      <c r="W164" s="1095">
        <f t="shared" si="52"/>
        <v>0</v>
      </c>
      <c r="X164" s="1095">
        <f t="shared" si="53"/>
        <v>2700</v>
      </c>
      <c r="Y164" s="2909">
        <f t="shared" si="64"/>
        <v>2700</v>
      </c>
      <c r="Z164" s="2913">
        <v>0</v>
      </c>
      <c r="AA164" s="1095">
        <f t="shared" si="54"/>
        <v>0</v>
      </c>
      <c r="AB164" s="1095">
        <f t="shared" si="55"/>
        <v>0</v>
      </c>
      <c r="AC164" s="2909">
        <f t="shared" si="65"/>
        <v>0</v>
      </c>
    </row>
    <row r="165" spans="1:29">
      <c r="A165" s="2899" t="s">
        <v>4242</v>
      </c>
      <c r="B165" s="2900" t="s">
        <v>4077</v>
      </c>
      <c r="C165" s="2901">
        <v>200</v>
      </c>
      <c r="D165" s="2902">
        <f t="shared" si="44"/>
        <v>5.7149715108670187E-4</v>
      </c>
      <c r="E165" s="2903">
        <v>18000</v>
      </c>
      <c r="F165" s="2904">
        <f t="shared" si="45"/>
        <v>6.2923024062358675E-4</v>
      </c>
      <c r="G165" s="2903">
        <f t="shared" si="46"/>
        <v>18000</v>
      </c>
      <c r="H165" s="2903">
        <f t="shared" si="47"/>
        <v>0</v>
      </c>
      <c r="I165" s="2905">
        <f t="shared" si="48"/>
        <v>11400</v>
      </c>
      <c r="J165" s="1096">
        <v>6976</v>
      </c>
      <c r="K165" s="2479">
        <f t="shared" si="56"/>
        <v>285736.96000000002</v>
      </c>
      <c r="L165" s="398">
        <f t="shared" si="49"/>
        <v>3600</v>
      </c>
      <c r="M165" s="1095">
        <f t="shared" si="50"/>
        <v>21976</v>
      </c>
      <c r="N165" s="2906">
        <f t="shared" si="51"/>
        <v>6.9167630888284856E-4</v>
      </c>
      <c r="O165" s="2907">
        <f t="shared" si="57"/>
        <v>1.2017915779614669E-4</v>
      </c>
      <c r="P165" s="2908">
        <f t="shared" si="58"/>
        <v>60000</v>
      </c>
      <c r="Q165" s="1095">
        <f t="shared" si="59"/>
        <v>16380</v>
      </c>
      <c r="R165" s="2909">
        <f t="shared" si="60"/>
        <v>76380</v>
      </c>
      <c r="S165" s="398">
        <f t="shared" si="61"/>
        <v>0</v>
      </c>
      <c r="T165" s="1095">
        <f t="shared" si="62"/>
        <v>0</v>
      </c>
      <c r="U165" s="398">
        <f t="shared" si="63"/>
        <v>0</v>
      </c>
      <c r="V165" s="2913">
        <v>0</v>
      </c>
      <c r="W165" s="1095">
        <f t="shared" si="52"/>
        <v>37112.32</v>
      </c>
      <c r="X165" s="1095">
        <f t="shared" si="53"/>
        <v>3600</v>
      </c>
      <c r="Y165" s="2909">
        <f t="shared" si="64"/>
        <v>40712.32</v>
      </c>
      <c r="Z165" s="2913">
        <v>0</v>
      </c>
      <c r="AA165" s="1095">
        <f t="shared" si="54"/>
        <v>20021.12</v>
      </c>
      <c r="AB165" s="1095">
        <f t="shared" si="55"/>
        <v>0</v>
      </c>
      <c r="AC165" s="2909">
        <f t="shared" si="65"/>
        <v>20021.12</v>
      </c>
    </row>
    <row r="166" spans="1:29">
      <c r="A166" s="2899" t="s">
        <v>4243</v>
      </c>
      <c r="B166" s="2900" t="s">
        <v>4104</v>
      </c>
      <c r="C166" s="2901">
        <v>775</v>
      </c>
      <c r="D166" s="2902">
        <f t="shared" si="44"/>
        <v>2.2145514604609696E-3</v>
      </c>
      <c r="E166" s="2903">
        <v>69750</v>
      </c>
      <c r="F166" s="2904">
        <f t="shared" si="45"/>
        <v>2.4382671824163984E-3</v>
      </c>
      <c r="G166" s="2903">
        <f t="shared" si="46"/>
        <v>69750</v>
      </c>
      <c r="H166" s="2903">
        <f t="shared" si="47"/>
        <v>0</v>
      </c>
      <c r="I166" s="2905">
        <f t="shared" si="48"/>
        <v>44175</v>
      </c>
      <c r="J166" s="1096">
        <v>13516</v>
      </c>
      <c r="K166" s="2479">
        <f t="shared" si="56"/>
        <v>553615.35999999999</v>
      </c>
      <c r="L166" s="398">
        <f t="shared" si="49"/>
        <v>13950</v>
      </c>
      <c r="M166" s="1095">
        <f t="shared" si="50"/>
        <v>71641</v>
      </c>
      <c r="N166" s="2906">
        <f t="shared" si="51"/>
        <v>2.2548408465906515E-3</v>
      </c>
      <c r="O166" s="2907">
        <f t="shared" si="57"/>
        <v>4.0289386129681824E-5</v>
      </c>
      <c r="P166" s="2908">
        <f t="shared" si="58"/>
        <v>232500</v>
      </c>
      <c r="Q166" s="1095">
        <f t="shared" si="59"/>
        <v>63472.5</v>
      </c>
      <c r="R166" s="2909">
        <f t="shared" si="60"/>
        <v>295972.5</v>
      </c>
      <c r="S166" s="398">
        <f t="shared" si="61"/>
        <v>0</v>
      </c>
      <c r="T166" s="1095">
        <f t="shared" si="62"/>
        <v>0</v>
      </c>
      <c r="U166" s="398">
        <f t="shared" si="63"/>
        <v>0</v>
      </c>
      <c r="V166" s="2913">
        <v>0</v>
      </c>
      <c r="W166" s="1095">
        <f t="shared" si="52"/>
        <v>71905.12000000001</v>
      </c>
      <c r="X166" s="1095">
        <f t="shared" si="53"/>
        <v>13950</v>
      </c>
      <c r="Y166" s="2909">
        <f t="shared" si="64"/>
        <v>85855.12000000001</v>
      </c>
      <c r="Z166" s="2913">
        <v>0</v>
      </c>
      <c r="AA166" s="1095">
        <f t="shared" si="54"/>
        <v>38790.92</v>
      </c>
      <c r="AB166" s="1095">
        <f t="shared" si="55"/>
        <v>0</v>
      </c>
      <c r="AC166" s="2909">
        <f t="shared" si="65"/>
        <v>38790.92</v>
      </c>
    </row>
    <row r="167" spans="1:29">
      <c r="A167" s="2899" t="s">
        <v>4244</v>
      </c>
      <c r="B167" s="2900" t="s">
        <v>4125</v>
      </c>
      <c r="C167" s="2901">
        <v>145</v>
      </c>
      <c r="D167" s="2902">
        <f t="shared" si="44"/>
        <v>4.1433543453785882E-4</v>
      </c>
      <c r="E167" s="2903">
        <v>13050</v>
      </c>
      <c r="F167" s="2904">
        <f t="shared" si="45"/>
        <v>4.5619192445210037E-4</v>
      </c>
      <c r="G167" s="2903">
        <f t="shared" si="46"/>
        <v>13050</v>
      </c>
      <c r="H167" s="2903">
        <f t="shared" si="47"/>
        <v>0</v>
      </c>
      <c r="I167" s="2905">
        <f t="shared" si="48"/>
        <v>8265</v>
      </c>
      <c r="J167" s="1096">
        <v>2528</v>
      </c>
      <c r="K167" s="2479">
        <f t="shared" si="56"/>
        <v>103546.88</v>
      </c>
      <c r="L167" s="398">
        <f t="shared" si="49"/>
        <v>2610</v>
      </c>
      <c r="M167" s="1095">
        <f t="shared" si="50"/>
        <v>13403</v>
      </c>
      <c r="N167" s="2906">
        <f t="shared" si="51"/>
        <v>4.2184826938281852E-4</v>
      </c>
      <c r="O167" s="2907">
        <f t="shared" si="57"/>
        <v>7.512834844959702E-6</v>
      </c>
      <c r="P167" s="2908">
        <f t="shared" si="58"/>
        <v>43500</v>
      </c>
      <c r="Q167" s="1095">
        <f t="shared" si="59"/>
        <v>11875.5</v>
      </c>
      <c r="R167" s="2909">
        <f t="shared" si="60"/>
        <v>55375.5</v>
      </c>
      <c r="S167" s="398">
        <f t="shared" si="61"/>
        <v>0</v>
      </c>
      <c r="T167" s="1095">
        <f t="shared" si="62"/>
        <v>0</v>
      </c>
      <c r="U167" s="398">
        <f t="shared" si="63"/>
        <v>0</v>
      </c>
      <c r="V167" s="2913">
        <v>0</v>
      </c>
      <c r="W167" s="1095">
        <f t="shared" si="52"/>
        <v>13448.960000000001</v>
      </c>
      <c r="X167" s="1095">
        <f t="shared" si="53"/>
        <v>2610</v>
      </c>
      <c r="Y167" s="2909">
        <f t="shared" si="64"/>
        <v>16058.960000000001</v>
      </c>
      <c r="Z167" s="2913">
        <v>0</v>
      </c>
      <c r="AA167" s="1095">
        <f t="shared" si="54"/>
        <v>7255.3600000000006</v>
      </c>
      <c r="AB167" s="1095">
        <f t="shared" si="55"/>
        <v>0</v>
      </c>
      <c r="AC167" s="2909">
        <f t="shared" si="65"/>
        <v>7255.3600000000006</v>
      </c>
    </row>
    <row r="168" spans="1:29">
      <c r="A168" s="2899" t="s">
        <v>4245</v>
      </c>
      <c r="B168" s="2900" t="s">
        <v>4087</v>
      </c>
      <c r="C168" s="2901">
        <v>175</v>
      </c>
      <c r="D168" s="2902">
        <f t="shared" si="44"/>
        <v>5.0006000720086412E-4</v>
      </c>
      <c r="E168" s="2903">
        <v>15750</v>
      </c>
      <c r="F168" s="2904">
        <f t="shared" si="45"/>
        <v>5.505764605456384E-4</v>
      </c>
      <c r="G168" s="2903">
        <f t="shared" si="46"/>
        <v>15750</v>
      </c>
      <c r="H168" s="2903">
        <f t="shared" si="47"/>
        <v>0</v>
      </c>
      <c r="I168" s="2905">
        <f t="shared" si="48"/>
        <v>9975</v>
      </c>
      <c r="J168" s="1096">
        <v>6104</v>
      </c>
      <c r="K168" s="2479">
        <f t="shared" si="56"/>
        <v>250019.84</v>
      </c>
      <c r="L168" s="398">
        <f t="shared" si="49"/>
        <v>3150</v>
      </c>
      <c r="M168" s="1095">
        <f t="shared" si="50"/>
        <v>19229</v>
      </c>
      <c r="N168" s="2906">
        <f t="shared" si="51"/>
        <v>6.0521677027249249E-4</v>
      </c>
      <c r="O168" s="2907">
        <f t="shared" si="57"/>
        <v>1.0515676307162837E-4</v>
      </c>
      <c r="P168" s="2908">
        <f t="shared" si="58"/>
        <v>52500</v>
      </c>
      <c r="Q168" s="1095">
        <f t="shared" si="59"/>
        <v>14332.5</v>
      </c>
      <c r="R168" s="2909">
        <f t="shared" si="60"/>
        <v>66832.5</v>
      </c>
      <c r="S168" s="398">
        <f t="shared" si="61"/>
        <v>0</v>
      </c>
      <c r="T168" s="1095">
        <f t="shared" si="62"/>
        <v>0</v>
      </c>
      <c r="U168" s="398">
        <f t="shared" si="63"/>
        <v>0</v>
      </c>
      <c r="V168" s="2913">
        <v>0</v>
      </c>
      <c r="W168" s="1095">
        <f t="shared" si="52"/>
        <v>32473.280000000002</v>
      </c>
      <c r="X168" s="1095">
        <f t="shared" si="53"/>
        <v>3150</v>
      </c>
      <c r="Y168" s="2909">
        <f t="shared" si="64"/>
        <v>35623.279999999999</v>
      </c>
      <c r="Z168" s="2913">
        <v>0</v>
      </c>
      <c r="AA168" s="1095">
        <f t="shared" si="54"/>
        <v>17518.48</v>
      </c>
      <c r="AB168" s="1095">
        <f t="shared" si="55"/>
        <v>0</v>
      </c>
      <c r="AC168" s="2909">
        <f t="shared" si="65"/>
        <v>17518.48</v>
      </c>
    </row>
    <row r="169" spans="1:29">
      <c r="A169" s="2899" t="s">
        <v>4246</v>
      </c>
      <c r="B169" s="2900" t="s">
        <v>4077</v>
      </c>
      <c r="C169" s="2901">
        <v>75</v>
      </c>
      <c r="D169" s="2902">
        <f t="shared" si="44"/>
        <v>2.1431143165751319E-4</v>
      </c>
      <c r="E169" s="2903">
        <v>6750</v>
      </c>
      <c r="F169" s="2904">
        <f t="shared" si="45"/>
        <v>2.3596134023384503E-4</v>
      </c>
      <c r="G169" s="2903">
        <f t="shared" si="46"/>
        <v>6750</v>
      </c>
      <c r="H169" s="2903">
        <f t="shared" si="47"/>
        <v>0</v>
      </c>
      <c r="I169" s="2905">
        <f t="shared" si="48"/>
        <v>4275</v>
      </c>
      <c r="J169" s="1096">
        <v>2616</v>
      </c>
      <c r="K169" s="2479">
        <f t="shared" si="56"/>
        <v>107151.36</v>
      </c>
      <c r="L169" s="398">
        <f t="shared" si="49"/>
        <v>1350</v>
      </c>
      <c r="M169" s="1095">
        <f t="shared" si="50"/>
        <v>8241</v>
      </c>
      <c r="N169" s="2906">
        <f t="shared" si="51"/>
        <v>2.5937861583106821E-4</v>
      </c>
      <c r="O169" s="2907">
        <f t="shared" si="57"/>
        <v>4.5067184173555022E-5</v>
      </c>
      <c r="P169" s="2908">
        <f t="shared" si="58"/>
        <v>22500</v>
      </c>
      <c r="Q169" s="1095">
        <f t="shared" si="59"/>
        <v>6142.5</v>
      </c>
      <c r="R169" s="2909">
        <f t="shared" si="60"/>
        <v>28642.5</v>
      </c>
      <c r="S169" s="398">
        <f t="shared" si="61"/>
        <v>0</v>
      </c>
      <c r="T169" s="1095">
        <f t="shared" si="62"/>
        <v>0</v>
      </c>
      <c r="U169" s="398">
        <f t="shared" si="63"/>
        <v>0</v>
      </c>
      <c r="V169" s="2913">
        <v>0</v>
      </c>
      <c r="W169" s="1095">
        <f t="shared" si="52"/>
        <v>13917.12</v>
      </c>
      <c r="X169" s="1095">
        <f t="shared" si="53"/>
        <v>1350</v>
      </c>
      <c r="Y169" s="2909">
        <f t="shared" si="64"/>
        <v>15267.12</v>
      </c>
      <c r="Z169" s="2913">
        <v>0</v>
      </c>
      <c r="AA169" s="1095">
        <f t="shared" si="54"/>
        <v>7507.92</v>
      </c>
      <c r="AB169" s="1095">
        <f t="shared" si="55"/>
        <v>0</v>
      </c>
      <c r="AC169" s="2909">
        <f t="shared" si="65"/>
        <v>7507.92</v>
      </c>
    </row>
    <row r="170" spans="1:29">
      <c r="A170" s="2899" t="s">
        <v>4247</v>
      </c>
      <c r="B170" s="2900" t="s">
        <v>4075</v>
      </c>
      <c r="C170" s="2901">
        <v>75</v>
      </c>
      <c r="D170" s="2902">
        <f t="shared" si="44"/>
        <v>2.1431143165751319E-4</v>
      </c>
      <c r="E170" s="2903">
        <v>6750</v>
      </c>
      <c r="F170" s="2904">
        <f t="shared" si="45"/>
        <v>2.3596134023384503E-4</v>
      </c>
      <c r="G170" s="2903">
        <f t="shared" si="46"/>
        <v>6750</v>
      </c>
      <c r="H170" s="2903">
        <f t="shared" si="47"/>
        <v>0</v>
      </c>
      <c r="I170" s="2905">
        <f t="shared" si="48"/>
        <v>4275</v>
      </c>
      <c r="J170" s="1096">
        <v>1308</v>
      </c>
      <c r="K170" s="2479">
        <f t="shared" si="56"/>
        <v>53575.68</v>
      </c>
      <c r="L170" s="398">
        <f t="shared" si="49"/>
        <v>1350</v>
      </c>
      <c r="M170" s="1095">
        <f t="shared" si="50"/>
        <v>6933</v>
      </c>
      <c r="N170" s="2906">
        <f t="shared" si="51"/>
        <v>2.1821040450877274E-4</v>
      </c>
      <c r="O170" s="2907">
        <f t="shared" si="57"/>
        <v>3.898972851259548E-6</v>
      </c>
      <c r="P170" s="2908">
        <f t="shared" si="58"/>
        <v>22500</v>
      </c>
      <c r="Q170" s="1095">
        <f t="shared" si="59"/>
        <v>6142.5</v>
      </c>
      <c r="R170" s="2909">
        <f t="shared" si="60"/>
        <v>28642.5</v>
      </c>
      <c r="S170" s="398">
        <f t="shared" si="61"/>
        <v>0</v>
      </c>
      <c r="T170" s="1095">
        <f t="shared" si="62"/>
        <v>0</v>
      </c>
      <c r="U170" s="398">
        <f t="shared" si="63"/>
        <v>0</v>
      </c>
      <c r="V170" s="2913">
        <v>0</v>
      </c>
      <c r="W170" s="1095">
        <f t="shared" si="52"/>
        <v>6958.56</v>
      </c>
      <c r="X170" s="1095">
        <f t="shared" si="53"/>
        <v>1350</v>
      </c>
      <c r="Y170" s="2909">
        <f t="shared" si="64"/>
        <v>8308.5600000000013</v>
      </c>
      <c r="Z170" s="2913">
        <v>0</v>
      </c>
      <c r="AA170" s="1095">
        <f t="shared" si="54"/>
        <v>3753.96</v>
      </c>
      <c r="AB170" s="1095">
        <f t="shared" si="55"/>
        <v>0</v>
      </c>
      <c r="AC170" s="2909">
        <f t="shared" si="65"/>
        <v>3753.96</v>
      </c>
    </row>
    <row r="171" spans="1:29">
      <c r="A171" s="2899" t="s">
        <v>4248</v>
      </c>
      <c r="B171" s="2900" t="s">
        <v>4073</v>
      </c>
      <c r="C171" s="2901">
        <v>180</v>
      </c>
      <c r="D171" s="2902">
        <f t="shared" si="44"/>
        <v>5.1434743597803163E-4</v>
      </c>
      <c r="E171" s="2903">
        <v>16200</v>
      </c>
      <c r="F171" s="2904">
        <f t="shared" si="45"/>
        <v>5.6630721656122809E-4</v>
      </c>
      <c r="G171" s="2903">
        <f t="shared" si="46"/>
        <v>16200</v>
      </c>
      <c r="H171" s="2903">
        <f t="shared" si="47"/>
        <v>0</v>
      </c>
      <c r="I171" s="2905">
        <f t="shared" si="48"/>
        <v>10260</v>
      </c>
      <c r="J171" s="1096">
        <v>3139</v>
      </c>
      <c r="K171" s="2479">
        <f t="shared" si="56"/>
        <v>128573.44</v>
      </c>
      <c r="L171" s="398">
        <f t="shared" si="49"/>
        <v>3240</v>
      </c>
      <c r="M171" s="1095">
        <f t="shared" si="50"/>
        <v>16639</v>
      </c>
      <c r="N171" s="2906">
        <f t="shared" si="51"/>
        <v>5.2369867598751907E-4</v>
      </c>
      <c r="O171" s="2907">
        <f t="shared" si="57"/>
        <v>9.3512400094874354E-6</v>
      </c>
      <c r="P171" s="2908">
        <f t="shared" si="58"/>
        <v>54000</v>
      </c>
      <c r="Q171" s="1095">
        <f t="shared" si="59"/>
        <v>14742</v>
      </c>
      <c r="R171" s="2909">
        <f t="shared" si="60"/>
        <v>68742</v>
      </c>
      <c r="S171" s="398">
        <f t="shared" si="61"/>
        <v>0</v>
      </c>
      <c r="T171" s="1095">
        <f t="shared" si="62"/>
        <v>0</v>
      </c>
      <c r="U171" s="398">
        <f t="shared" si="63"/>
        <v>0</v>
      </c>
      <c r="V171" s="2913">
        <v>0</v>
      </c>
      <c r="W171" s="1095">
        <f t="shared" si="52"/>
        <v>16699.48</v>
      </c>
      <c r="X171" s="1095">
        <f t="shared" si="53"/>
        <v>3240</v>
      </c>
      <c r="Y171" s="2909">
        <f t="shared" si="64"/>
        <v>19939.48</v>
      </c>
      <c r="Z171" s="2913">
        <v>0</v>
      </c>
      <c r="AA171" s="1095">
        <f t="shared" si="54"/>
        <v>9008.93</v>
      </c>
      <c r="AB171" s="1095">
        <f t="shared" si="55"/>
        <v>0</v>
      </c>
      <c r="AC171" s="2909">
        <f t="shared" si="65"/>
        <v>9008.93</v>
      </c>
    </row>
    <row r="172" spans="1:29">
      <c r="A172" s="2899" t="s">
        <v>4249</v>
      </c>
      <c r="B172" s="2900" t="s">
        <v>4071</v>
      </c>
      <c r="C172" s="2901">
        <v>310</v>
      </c>
      <c r="D172" s="2902">
        <f t="shared" si="44"/>
        <v>8.8582058418438788E-4</v>
      </c>
      <c r="E172" s="2903">
        <v>27900</v>
      </c>
      <c r="F172" s="2904">
        <f t="shared" si="45"/>
        <v>9.753068729665595E-4</v>
      </c>
      <c r="G172" s="2903">
        <f t="shared" si="46"/>
        <v>27900</v>
      </c>
      <c r="H172" s="2903">
        <f t="shared" si="47"/>
        <v>0</v>
      </c>
      <c r="I172" s="2905">
        <f t="shared" si="48"/>
        <v>17670</v>
      </c>
      <c r="J172" s="1096">
        <v>5406</v>
      </c>
      <c r="K172" s="2479">
        <f t="shared" si="56"/>
        <v>221429.76000000001</v>
      </c>
      <c r="L172" s="398">
        <f t="shared" si="49"/>
        <v>5580</v>
      </c>
      <c r="M172" s="1095">
        <f t="shared" si="50"/>
        <v>28656</v>
      </c>
      <c r="N172" s="2906">
        <f t="shared" si="51"/>
        <v>9.0192374896918952E-4</v>
      </c>
      <c r="O172" s="2907">
        <f t="shared" si="57"/>
        <v>1.610316478480164E-5</v>
      </c>
      <c r="P172" s="2908">
        <f t="shared" si="58"/>
        <v>93000</v>
      </c>
      <c r="Q172" s="1095">
        <f t="shared" si="59"/>
        <v>25389</v>
      </c>
      <c r="R172" s="2909">
        <f t="shared" si="60"/>
        <v>118389</v>
      </c>
      <c r="S172" s="398">
        <f t="shared" si="61"/>
        <v>0</v>
      </c>
      <c r="T172" s="1095">
        <f t="shared" si="62"/>
        <v>0</v>
      </c>
      <c r="U172" s="398">
        <f t="shared" si="63"/>
        <v>0</v>
      </c>
      <c r="V172" s="2913">
        <v>0</v>
      </c>
      <c r="W172" s="1095">
        <f t="shared" si="52"/>
        <v>28759.920000000002</v>
      </c>
      <c r="X172" s="1095">
        <f t="shared" si="53"/>
        <v>5580</v>
      </c>
      <c r="Y172" s="2909">
        <f t="shared" si="64"/>
        <v>34339.919999999998</v>
      </c>
      <c r="Z172" s="2913">
        <v>0</v>
      </c>
      <c r="AA172" s="1095">
        <f t="shared" si="54"/>
        <v>15515.220000000001</v>
      </c>
      <c r="AB172" s="1095">
        <f t="shared" si="55"/>
        <v>0</v>
      </c>
      <c r="AC172" s="2909">
        <f t="shared" si="65"/>
        <v>15515.220000000001</v>
      </c>
    </row>
    <row r="173" spans="1:29">
      <c r="A173" s="2899" t="s">
        <v>4250</v>
      </c>
      <c r="B173" s="2900" t="s">
        <v>4110</v>
      </c>
      <c r="C173" s="2901">
        <v>715</v>
      </c>
      <c r="D173" s="2902">
        <f t="shared" si="44"/>
        <v>2.0431023151349591E-3</v>
      </c>
      <c r="E173" s="2903">
        <v>64350</v>
      </c>
      <c r="F173" s="2904">
        <f t="shared" si="45"/>
        <v>2.2494981102293226E-3</v>
      </c>
      <c r="G173" s="2903">
        <f t="shared" si="46"/>
        <v>64350</v>
      </c>
      <c r="H173" s="2903">
        <f t="shared" si="47"/>
        <v>0</v>
      </c>
      <c r="I173" s="2905">
        <f t="shared" si="48"/>
        <v>40755</v>
      </c>
      <c r="J173" s="1096">
        <v>0</v>
      </c>
      <c r="K173" s="2479">
        <f t="shared" si="56"/>
        <v>0</v>
      </c>
      <c r="L173" s="398">
        <f t="shared" si="49"/>
        <v>12870</v>
      </c>
      <c r="M173" s="1095">
        <f t="shared" si="50"/>
        <v>53625</v>
      </c>
      <c r="N173" s="2906">
        <f t="shared" si="51"/>
        <v>1.6878022417110828E-3</v>
      </c>
      <c r="O173" s="2907">
        <f t="shared" si="57"/>
        <v>-3.5530007342387637E-4</v>
      </c>
      <c r="P173" s="2908">
        <f t="shared" si="58"/>
        <v>214500</v>
      </c>
      <c r="Q173" s="1095">
        <f t="shared" si="59"/>
        <v>58558.5</v>
      </c>
      <c r="R173" s="2909">
        <f t="shared" si="60"/>
        <v>273058.5</v>
      </c>
      <c r="S173" s="398">
        <f t="shared" si="61"/>
        <v>0</v>
      </c>
      <c r="T173" s="1095">
        <f t="shared" si="62"/>
        <v>0</v>
      </c>
      <c r="U173" s="398">
        <f t="shared" si="63"/>
        <v>0</v>
      </c>
      <c r="V173" s="2913">
        <v>0</v>
      </c>
      <c r="W173" s="1095">
        <f t="shared" si="52"/>
        <v>0</v>
      </c>
      <c r="X173" s="1095">
        <f t="shared" si="53"/>
        <v>12870</v>
      </c>
      <c r="Y173" s="2909">
        <f t="shared" si="64"/>
        <v>12870</v>
      </c>
      <c r="Z173" s="2913">
        <v>0</v>
      </c>
      <c r="AA173" s="1095">
        <f t="shared" si="54"/>
        <v>0</v>
      </c>
      <c r="AB173" s="1095">
        <f t="shared" si="55"/>
        <v>0</v>
      </c>
      <c r="AC173" s="2909">
        <f t="shared" si="65"/>
        <v>0</v>
      </c>
    </row>
    <row r="174" spans="1:29">
      <c r="A174" s="2899" t="s">
        <v>4251</v>
      </c>
      <c r="B174" s="2900" t="s">
        <v>4115</v>
      </c>
      <c r="C174" s="2901">
        <v>400</v>
      </c>
      <c r="D174" s="2902">
        <f t="shared" si="44"/>
        <v>1.1429943021734037E-3</v>
      </c>
      <c r="E174" s="2903">
        <v>36000</v>
      </c>
      <c r="F174" s="2904">
        <f t="shared" si="45"/>
        <v>1.2584604812471735E-3</v>
      </c>
      <c r="G174" s="2903">
        <f t="shared" si="46"/>
        <v>36000</v>
      </c>
      <c r="H174" s="2903">
        <f t="shared" si="47"/>
        <v>0</v>
      </c>
      <c r="I174" s="2905">
        <f t="shared" si="48"/>
        <v>22800</v>
      </c>
      <c r="J174" s="1096">
        <v>6976</v>
      </c>
      <c r="K174" s="2479">
        <f t="shared" si="56"/>
        <v>285736.96000000002</v>
      </c>
      <c r="L174" s="398">
        <f t="shared" si="49"/>
        <v>7200</v>
      </c>
      <c r="M174" s="1095">
        <f t="shared" si="50"/>
        <v>36976</v>
      </c>
      <c r="N174" s="2906">
        <f t="shared" si="51"/>
        <v>1.1637888240467879E-3</v>
      </c>
      <c r="O174" s="2907">
        <f t="shared" si="57"/>
        <v>2.0794521873384111E-5</v>
      </c>
      <c r="P174" s="2908">
        <f t="shared" si="58"/>
        <v>120000</v>
      </c>
      <c r="Q174" s="1095">
        <f t="shared" si="59"/>
        <v>32760</v>
      </c>
      <c r="R174" s="2909">
        <f t="shared" si="60"/>
        <v>152760</v>
      </c>
      <c r="S174" s="398">
        <f t="shared" si="61"/>
        <v>0</v>
      </c>
      <c r="T174" s="1095">
        <f t="shared" si="62"/>
        <v>0</v>
      </c>
      <c r="U174" s="398">
        <f t="shared" si="63"/>
        <v>0</v>
      </c>
      <c r="V174" s="2913">
        <v>0</v>
      </c>
      <c r="W174" s="1095">
        <f t="shared" si="52"/>
        <v>37112.32</v>
      </c>
      <c r="X174" s="1095">
        <f t="shared" si="53"/>
        <v>7200</v>
      </c>
      <c r="Y174" s="2909">
        <f t="shared" si="64"/>
        <v>44312.32</v>
      </c>
      <c r="Z174" s="2913">
        <v>0</v>
      </c>
      <c r="AA174" s="1095">
        <f t="shared" si="54"/>
        <v>20021.12</v>
      </c>
      <c r="AB174" s="1095">
        <f t="shared" si="55"/>
        <v>0</v>
      </c>
      <c r="AC174" s="2909">
        <f t="shared" si="65"/>
        <v>20021.12</v>
      </c>
    </row>
    <row r="175" spans="1:29">
      <c r="A175" s="2899" t="s">
        <v>4252</v>
      </c>
      <c r="B175" s="2900" t="s">
        <v>4077</v>
      </c>
      <c r="C175" s="2901">
        <v>330</v>
      </c>
      <c r="D175" s="2902">
        <f t="shared" si="44"/>
        <v>9.4297029929305801E-4</v>
      </c>
      <c r="E175" s="2903">
        <v>29700</v>
      </c>
      <c r="F175" s="2904">
        <f t="shared" si="45"/>
        <v>1.038229897028918E-3</v>
      </c>
      <c r="G175" s="2903">
        <f t="shared" si="46"/>
        <v>29700</v>
      </c>
      <c r="H175" s="2903">
        <f t="shared" si="47"/>
        <v>0</v>
      </c>
      <c r="I175" s="2905">
        <f t="shared" si="48"/>
        <v>18810</v>
      </c>
      <c r="J175" s="1096">
        <v>0</v>
      </c>
      <c r="K175" s="2479">
        <f t="shared" si="56"/>
        <v>0</v>
      </c>
      <c r="L175" s="398">
        <f t="shared" si="49"/>
        <v>5940</v>
      </c>
      <c r="M175" s="1095">
        <f t="shared" si="50"/>
        <v>24750</v>
      </c>
      <c r="N175" s="2906">
        <f t="shared" si="51"/>
        <v>7.7898565002049982E-4</v>
      </c>
      <c r="O175" s="2907">
        <f t="shared" si="57"/>
        <v>-1.6398464927255818E-4</v>
      </c>
      <c r="P175" s="2908">
        <f t="shared" si="58"/>
        <v>99000</v>
      </c>
      <c r="Q175" s="1095">
        <f t="shared" si="59"/>
        <v>27027</v>
      </c>
      <c r="R175" s="2909">
        <f t="shared" si="60"/>
        <v>126027</v>
      </c>
      <c r="S175" s="398">
        <f t="shared" si="61"/>
        <v>0</v>
      </c>
      <c r="T175" s="1095">
        <f t="shared" si="62"/>
        <v>0</v>
      </c>
      <c r="U175" s="398">
        <f t="shared" si="63"/>
        <v>0</v>
      </c>
      <c r="V175" s="2913">
        <v>0</v>
      </c>
      <c r="W175" s="1095">
        <f t="shared" si="52"/>
        <v>0</v>
      </c>
      <c r="X175" s="1095">
        <f t="shared" si="53"/>
        <v>5940</v>
      </c>
      <c r="Y175" s="2909">
        <f t="shared" si="64"/>
        <v>5940</v>
      </c>
      <c r="Z175" s="2913">
        <v>0</v>
      </c>
      <c r="AA175" s="1095">
        <f t="shared" si="54"/>
        <v>0</v>
      </c>
      <c r="AB175" s="1095">
        <f t="shared" si="55"/>
        <v>0</v>
      </c>
      <c r="AC175" s="2909">
        <f t="shared" si="65"/>
        <v>0</v>
      </c>
    </row>
    <row r="176" spans="1:29">
      <c r="A176" s="2899" t="s">
        <v>3110</v>
      </c>
      <c r="B176" s="2900" t="s">
        <v>4144</v>
      </c>
      <c r="C176" s="2901">
        <v>95</v>
      </c>
      <c r="D176" s="2902">
        <f t="shared" si="44"/>
        <v>2.7146114676618338E-4</v>
      </c>
      <c r="E176" s="2903">
        <v>8550</v>
      </c>
      <c r="F176" s="2904">
        <f t="shared" si="45"/>
        <v>2.9888436429620368E-4</v>
      </c>
      <c r="G176" s="2903">
        <f t="shared" si="46"/>
        <v>8550</v>
      </c>
      <c r="H176" s="2903">
        <f t="shared" si="47"/>
        <v>0</v>
      </c>
      <c r="I176" s="2905">
        <f t="shared" si="48"/>
        <v>5415</v>
      </c>
      <c r="J176" s="1096">
        <v>2441</v>
      </c>
      <c r="K176" s="2479">
        <f t="shared" si="56"/>
        <v>99983.360000000001</v>
      </c>
      <c r="L176" s="398">
        <f t="shared" si="49"/>
        <v>1710</v>
      </c>
      <c r="M176" s="1095">
        <f t="shared" si="50"/>
        <v>9566</v>
      </c>
      <c r="N176" s="2906">
        <f t="shared" si="51"/>
        <v>3.0108188800388286E-4</v>
      </c>
      <c r="O176" s="2907">
        <f t="shared" si="57"/>
        <v>2.9620741237699479E-5</v>
      </c>
      <c r="P176" s="2908">
        <f t="shared" si="58"/>
        <v>28500</v>
      </c>
      <c r="Q176" s="1095">
        <f t="shared" si="59"/>
        <v>7780.5</v>
      </c>
      <c r="R176" s="2909">
        <f t="shared" si="60"/>
        <v>36280.5</v>
      </c>
      <c r="S176" s="398">
        <f t="shared" si="61"/>
        <v>0</v>
      </c>
      <c r="T176" s="1095">
        <f t="shared" si="62"/>
        <v>0</v>
      </c>
      <c r="U176" s="398">
        <f t="shared" si="63"/>
        <v>0</v>
      </c>
      <c r="V176" s="2913">
        <v>0</v>
      </c>
      <c r="W176" s="1095">
        <f t="shared" si="52"/>
        <v>12986.12</v>
      </c>
      <c r="X176" s="1095">
        <f t="shared" si="53"/>
        <v>1710</v>
      </c>
      <c r="Y176" s="2909">
        <f t="shared" si="64"/>
        <v>14696.12</v>
      </c>
      <c r="Z176" s="2913">
        <v>0</v>
      </c>
      <c r="AA176" s="1095">
        <f t="shared" si="54"/>
        <v>7005.67</v>
      </c>
      <c r="AB176" s="1095">
        <f t="shared" si="55"/>
        <v>0</v>
      </c>
      <c r="AC176" s="2909">
        <f t="shared" si="65"/>
        <v>7005.67</v>
      </c>
    </row>
    <row r="177" spans="1:29">
      <c r="A177" s="2899" t="s">
        <v>4253</v>
      </c>
      <c r="B177" s="2900" t="s">
        <v>4071</v>
      </c>
      <c r="C177" s="2901">
        <v>120</v>
      </c>
      <c r="D177" s="2902">
        <f t="shared" si="44"/>
        <v>3.4289829065202112E-4</v>
      </c>
      <c r="E177" s="2903">
        <v>10800</v>
      </c>
      <c r="F177" s="2904">
        <f t="shared" si="45"/>
        <v>3.7753814437415203E-4</v>
      </c>
      <c r="G177" s="2903">
        <f t="shared" si="46"/>
        <v>10800</v>
      </c>
      <c r="H177" s="2903">
        <f t="shared" si="47"/>
        <v>0</v>
      </c>
      <c r="I177" s="2905">
        <f t="shared" si="48"/>
        <v>6840</v>
      </c>
      <c r="J177" s="1096">
        <v>0</v>
      </c>
      <c r="K177" s="2479">
        <f t="shared" si="56"/>
        <v>0</v>
      </c>
      <c r="L177" s="398">
        <f t="shared" si="49"/>
        <v>2160</v>
      </c>
      <c r="M177" s="1095">
        <f t="shared" si="50"/>
        <v>9000</v>
      </c>
      <c r="N177" s="2906">
        <f t="shared" si="51"/>
        <v>2.8326750909836353E-4</v>
      </c>
      <c r="O177" s="2907">
        <f t="shared" si="57"/>
        <v>-5.963078155365759E-5</v>
      </c>
      <c r="P177" s="2908">
        <f t="shared" si="58"/>
        <v>36000</v>
      </c>
      <c r="Q177" s="1095">
        <f t="shared" si="59"/>
        <v>9828</v>
      </c>
      <c r="R177" s="2909">
        <f t="shared" si="60"/>
        <v>45828</v>
      </c>
      <c r="S177" s="398">
        <f t="shared" si="61"/>
        <v>0</v>
      </c>
      <c r="T177" s="1095">
        <f t="shared" si="62"/>
        <v>0</v>
      </c>
      <c r="U177" s="398">
        <f t="shared" si="63"/>
        <v>0</v>
      </c>
      <c r="V177" s="2913">
        <v>0</v>
      </c>
      <c r="W177" s="1095">
        <f t="shared" si="52"/>
        <v>0</v>
      </c>
      <c r="X177" s="1095">
        <f t="shared" si="53"/>
        <v>2160</v>
      </c>
      <c r="Y177" s="2909">
        <f t="shared" si="64"/>
        <v>2160</v>
      </c>
      <c r="Z177" s="2913">
        <v>0</v>
      </c>
      <c r="AA177" s="1095">
        <f t="shared" si="54"/>
        <v>0</v>
      </c>
      <c r="AB177" s="1095">
        <f t="shared" si="55"/>
        <v>0</v>
      </c>
      <c r="AC177" s="2909">
        <f t="shared" si="65"/>
        <v>0</v>
      </c>
    </row>
    <row r="178" spans="1:29">
      <c r="A178" s="2899" t="s">
        <v>4254</v>
      </c>
      <c r="B178" s="2900" t="s">
        <v>4073</v>
      </c>
      <c r="C178" s="2901">
        <v>180</v>
      </c>
      <c r="D178" s="2902">
        <f t="shared" si="44"/>
        <v>5.1434743597803163E-4</v>
      </c>
      <c r="E178" s="2903">
        <v>16200</v>
      </c>
      <c r="F178" s="2904">
        <f t="shared" si="45"/>
        <v>5.6630721656122809E-4</v>
      </c>
      <c r="G178" s="2903">
        <f t="shared" si="46"/>
        <v>16200</v>
      </c>
      <c r="H178" s="2903">
        <f t="shared" si="47"/>
        <v>0</v>
      </c>
      <c r="I178" s="2905">
        <f t="shared" si="48"/>
        <v>10260</v>
      </c>
      <c r="J178" s="1096">
        <v>3139</v>
      </c>
      <c r="K178" s="2479">
        <f t="shared" si="56"/>
        <v>128573.44</v>
      </c>
      <c r="L178" s="398">
        <f t="shared" si="49"/>
        <v>3240</v>
      </c>
      <c r="M178" s="1095">
        <f t="shared" si="50"/>
        <v>16639</v>
      </c>
      <c r="N178" s="2906">
        <f t="shared" si="51"/>
        <v>5.2369867598751907E-4</v>
      </c>
      <c r="O178" s="2907">
        <f t="shared" si="57"/>
        <v>9.3512400094874354E-6</v>
      </c>
      <c r="P178" s="2908">
        <f t="shared" si="58"/>
        <v>54000</v>
      </c>
      <c r="Q178" s="1095">
        <f t="shared" si="59"/>
        <v>14742</v>
      </c>
      <c r="R178" s="2909">
        <f t="shared" si="60"/>
        <v>68742</v>
      </c>
      <c r="S178" s="398">
        <f t="shared" si="61"/>
        <v>0</v>
      </c>
      <c r="T178" s="1095">
        <f t="shared" si="62"/>
        <v>0</v>
      </c>
      <c r="U178" s="398">
        <f t="shared" si="63"/>
        <v>0</v>
      </c>
      <c r="V178" s="2913">
        <v>0</v>
      </c>
      <c r="W178" s="1095">
        <f t="shared" si="52"/>
        <v>16699.48</v>
      </c>
      <c r="X178" s="1095">
        <f t="shared" si="53"/>
        <v>3240</v>
      </c>
      <c r="Y178" s="2909">
        <f t="shared" si="64"/>
        <v>19939.48</v>
      </c>
      <c r="Z178" s="2913">
        <v>0</v>
      </c>
      <c r="AA178" s="1095">
        <f t="shared" si="54"/>
        <v>9008.93</v>
      </c>
      <c r="AB178" s="1095">
        <f t="shared" si="55"/>
        <v>0</v>
      </c>
      <c r="AC178" s="2909">
        <f t="shared" si="65"/>
        <v>9008.93</v>
      </c>
    </row>
    <row r="179" spans="1:29">
      <c r="A179" s="2899" t="s">
        <v>4255</v>
      </c>
      <c r="B179" s="2900" t="s">
        <v>4089</v>
      </c>
      <c r="C179" s="2901">
        <v>215</v>
      </c>
      <c r="D179" s="2902">
        <f t="shared" si="44"/>
        <v>6.143594374182045E-4</v>
      </c>
      <c r="E179" s="2903">
        <v>19350</v>
      </c>
      <c r="F179" s="2904">
        <f t="shared" si="45"/>
        <v>6.7642250867035571E-4</v>
      </c>
      <c r="G179" s="2903">
        <f t="shared" si="46"/>
        <v>19350</v>
      </c>
      <c r="H179" s="2903">
        <f t="shared" si="47"/>
        <v>0</v>
      </c>
      <c r="I179" s="2905">
        <f t="shared" si="48"/>
        <v>12255</v>
      </c>
      <c r="J179" s="1096">
        <v>3749</v>
      </c>
      <c r="K179" s="2479">
        <f t="shared" si="56"/>
        <v>153559.04000000001</v>
      </c>
      <c r="L179" s="398">
        <f t="shared" si="49"/>
        <v>3870</v>
      </c>
      <c r="M179" s="1095">
        <f t="shared" si="50"/>
        <v>19874</v>
      </c>
      <c r="N179" s="2906">
        <f t="shared" si="51"/>
        <v>6.2551760842454189E-4</v>
      </c>
      <c r="O179" s="2907">
        <f t="shared" si="57"/>
        <v>1.115817100633739E-5</v>
      </c>
      <c r="P179" s="2908">
        <f t="shared" si="58"/>
        <v>64500</v>
      </c>
      <c r="Q179" s="1095">
        <f t="shared" si="59"/>
        <v>17608.5</v>
      </c>
      <c r="R179" s="2909">
        <f t="shared" si="60"/>
        <v>82108.5</v>
      </c>
      <c r="S179" s="398">
        <f t="shared" si="61"/>
        <v>0</v>
      </c>
      <c r="T179" s="1095">
        <f t="shared" si="62"/>
        <v>0</v>
      </c>
      <c r="U179" s="398">
        <f t="shared" si="63"/>
        <v>0</v>
      </c>
      <c r="V179" s="2913">
        <v>0</v>
      </c>
      <c r="W179" s="1095">
        <f t="shared" si="52"/>
        <v>19944.68</v>
      </c>
      <c r="X179" s="1095">
        <f t="shared" si="53"/>
        <v>3870</v>
      </c>
      <c r="Y179" s="2909">
        <f t="shared" si="64"/>
        <v>23814.68</v>
      </c>
      <c r="Z179" s="2913">
        <v>0</v>
      </c>
      <c r="AA179" s="1095">
        <f t="shared" si="54"/>
        <v>10759.630000000001</v>
      </c>
      <c r="AB179" s="1095">
        <f t="shared" si="55"/>
        <v>0</v>
      </c>
      <c r="AC179" s="2909">
        <f t="shared" si="65"/>
        <v>10759.630000000001</v>
      </c>
    </row>
    <row r="180" spans="1:29">
      <c r="A180" s="2899" t="s">
        <v>4256</v>
      </c>
      <c r="B180" s="2900" t="s">
        <v>4125</v>
      </c>
      <c r="C180" s="2901">
        <v>155</v>
      </c>
      <c r="D180" s="2902">
        <f t="shared" si="44"/>
        <v>4.4291029209219394E-4</v>
      </c>
      <c r="E180" s="2903">
        <v>13950</v>
      </c>
      <c r="F180" s="2904">
        <f t="shared" si="45"/>
        <v>4.8765343648327975E-4</v>
      </c>
      <c r="G180" s="2903">
        <f t="shared" si="46"/>
        <v>13950</v>
      </c>
      <c r="H180" s="2903">
        <f t="shared" si="47"/>
        <v>0</v>
      </c>
      <c r="I180" s="2905">
        <f t="shared" si="48"/>
        <v>8835</v>
      </c>
      <c r="J180" s="1096">
        <v>2703</v>
      </c>
      <c r="K180" s="2479">
        <f t="shared" si="56"/>
        <v>110714.88</v>
      </c>
      <c r="L180" s="398">
        <f t="shared" si="49"/>
        <v>2790</v>
      </c>
      <c r="M180" s="1095">
        <f t="shared" si="50"/>
        <v>14328</v>
      </c>
      <c r="N180" s="2906">
        <f t="shared" si="51"/>
        <v>4.5096187448459476E-4</v>
      </c>
      <c r="O180" s="2907">
        <f t="shared" si="57"/>
        <v>8.05158239240082E-6</v>
      </c>
      <c r="P180" s="2908">
        <f t="shared" si="58"/>
        <v>46500</v>
      </c>
      <c r="Q180" s="1095">
        <f t="shared" si="59"/>
        <v>12694.5</v>
      </c>
      <c r="R180" s="2909">
        <f t="shared" si="60"/>
        <v>59194.5</v>
      </c>
      <c r="S180" s="398">
        <f t="shared" si="61"/>
        <v>0</v>
      </c>
      <c r="T180" s="1095">
        <f t="shared" si="62"/>
        <v>0</v>
      </c>
      <c r="U180" s="398">
        <f t="shared" si="63"/>
        <v>0</v>
      </c>
      <c r="V180" s="2913">
        <v>0</v>
      </c>
      <c r="W180" s="1095">
        <f t="shared" si="52"/>
        <v>14379.960000000001</v>
      </c>
      <c r="X180" s="1095">
        <f t="shared" si="53"/>
        <v>2790</v>
      </c>
      <c r="Y180" s="2909">
        <f t="shared" si="64"/>
        <v>17169.96</v>
      </c>
      <c r="Z180" s="2913">
        <v>0</v>
      </c>
      <c r="AA180" s="1095">
        <f t="shared" si="54"/>
        <v>7757.6100000000006</v>
      </c>
      <c r="AB180" s="1095">
        <f t="shared" si="55"/>
        <v>0</v>
      </c>
      <c r="AC180" s="2909">
        <f t="shared" si="65"/>
        <v>7757.6100000000006</v>
      </c>
    </row>
    <row r="181" spans="1:29">
      <c r="A181" s="2899" t="s">
        <v>4257</v>
      </c>
      <c r="B181" s="2900" t="s">
        <v>4115</v>
      </c>
      <c r="C181" s="2901">
        <v>345</v>
      </c>
      <c r="D181" s="2902">
        <f t="shared" si="44"/>
        <v>9.8583258562456063E-4</v>
      </c>
      <c r="E181" s="2903">
        <v>31050</v>
      </c>
      <c r="F181" s="2904">
        <f t="shared" si="45"/>
        <v>1.0854221650756872E-3</v>
      </c>
      <c r="G181" s="2903">
        <f t="shared" si="46"/>
        <v>31050</v>
      </c>
      <c r="H181" s="2903">
        <f t="shared" si="47"/>
        <v>0</v>
      </c>
      <c r="I181" s="2905">
        <f t="shared" si="48"/>
        <v>19665</v>
      </c>
      <c r="J181" s="1096">
        <v>6017</v>
      </c>
      <c r="K181" s="2479">
        <f t="shared" si="56"/>
        <v>246456.32000000001</v>
      </c>
      <c r="L181" s="398">
        <f t="shared" si="49"/>
        <v>6210</v>
      </c>
      <c r="M181" s="1095">
        <f t="shared" si="50"/>
        <v>31892</v>
      </c>
      <c r="N181" s="2906">
        <f t="shared" si="51"/>
        <v>1.00377415557389E-3</v>
      </c>
      <c r="O181" s="2907">
        <f t="shared" si="57"/>
        <v>1.7941569949329319E-5</v>
      </c>
      <c r="P181" s="2908">
        <f t="shared" si="58"/>
        <v>103500</v>
      </c>
      <c r="Q181" s="1095">
        <f t="shared" si="59"/>
        <v>28255.5</v>
      </c>
      <c r="R181" s="2909">
        <f t="shared" si="60"/>
        <v>131755.5</v>
      </c>
      <c r="S181" s="398">
        <f t="shared" si="61"/>
        <v>0</v>
      </c>
      <c r="T181" s="1095">
        <f t="shared" si="62"/>
        <v>0</v>
      </c>
      <c r="U181" s="398">
        <f t="shared" si="63"/>
        <v>0</v>
      </c>
      <c r="V181" s="2913">
        <v>0</v>
      </c>
      <c r="W181" s="1095">
        <f t="shared" si="52"/>
        <v>32010.440000000002</v>
      </c>
      <c r="X181" s="1095">
        <f t="shared" si="53"/>
        <v>6210</v>
      </c>
      <c r="Y181" s="2909">
        <f t="shared" si="64"/>
        <v>38220.44</v>
      </c>
      <c r="Z181" s="2913">
        <v>0</v>
      </c>
      <c r="AA181" s="1095">
        <f t="shared" si="54"/>
        <v>17268.79</v>
      </c>
      <c r="AB181" s="1095">
        <f t="shared" si="55"/>
        <v>0</v>
      </c>
      <c r="AC181" s="2909">
        <f t="shared" si="65"/>
        <v>17268.79</v>
      </c>
    </row>
    <row r="182" spans="1:29">
      <c r="A182" s="2899" t="s">
        <v>4258</v>
      </c>
      <c r="B182" s="2900" t="s">
        <v>4079</v>
      </c>
      <c r="C182" s="2901">
        <v>585</v>
      </c>
      <c r="D182" s="2902">
        <f t="shared" si="44"/>
        <v>1.6716291669286029E-3</v>
      </c>
      <c r="E182" s="2903">
        <v>52650</v>
      </c>
      <c r="F182" s="2904">
        <f t="shared" si="45"/>
        <v>1.8404984538239913E-3</v>
      </c>
      <c r="G182" s="2903">
        <f t="shared" si="46"/>
        <v>52650</v>
      </c>
      <c r="H182" s="2903">
        <f t="shared" si="47"/>
        <v>0</v>
      </c>
      <c r="I182" s="2905">
        <f t="shared" si="48"/>
        <v>33345</v>
      </c>
      <c r="J182" s="1096">
        <v>0</v>
      </c>
      <c r="K182" s="2479">
        <f t="shared" si="56"/>
        <v>0</v>
      </c>
      <c r="L182" s="398">
        <f t="shared" si="49"/>
        <v>10530</v>
      </c>
      <c r="M182" s="1095">
        <f t="shared" si="50"/>
        <v>43875</v>
      </c>
      <c r="N182" s="2906">
        <f t="shared" si="51"/>
        <v>1.3809291068545223E-3</v>
      </c>
      <c r="O182" s="2907">
        <f t="shared" si="57"/>
        <v>-2.9070006007408055E-4</v>
      </c>
      <c r="P182" s="2908">
        <f t="shared" si="58"/>
        <v>175500</v>
      </c>
      <c r="Q182" s="1095">
        <f t="shared" si="59"/>
        <v>47911.5</v>
      </c>
      <c r="R182" s="2909">
        <f t="shared" si="60"/>
        <v>223411.5</v>
      </c>
      <c r="S182" s="398">
        <f t="shared" si="61"/>
        <v>0</v>
      </c>
      <c r="T182" s="1095">
        <f t="shared" si="62"/>
        <v>0</v>
      </c>
      <c r="U182" s="398">
        <f t="shared" si="63"/>
        <v>0</v>
      </c>
      <c r="V182" s="2913">
        <v>0</v>
      </c>
      <c r="W182" s="1095">
        <f t="shared" si="52"/>
        <v>0</v>
      </c>
      <c r="X182" s="1095">
        <f t="shared" si="53"/>
        <v>10530</v>
      </c>
      <c r="Y182" s="2909">
        <f t="shared" si="64"/>
        <v>10530</v>
      </c>
      <c r="Z182" s="2913">
        <v>0</v>
      </c>
      <c r="AA182" s="1095">
        <f t="shared" si="54"/>
        <v>0</v>
      </c>
      <c r="AB182" s="1095">
        <f t="shared" si="55"/>
        <v>0</v>
      </c>
      <c r="AC182" s="2909">
        <f t="shared" si="65"/>
        <v>0</v>
      </c>
    </row>
    <row r="183" spans="1:29">
      <c r="A183" s="2899" t="s">
        <v>4259</v>
      </c>
      <c r="B183" s="2900" t="s">
        <v>4077</v>
      </c>
      <c r="C183" s="2901">
        <v>345</v>
      </c>
      <c r="D183" s="2902">
        <f t="shared" si="44"/>
        <v>9.8583258562456063E-4</v>
      </c>
      <c r="E183" s="2903">
        <v>31050</v>
      </c>
      <c r="F183" s="2904">
        <f t="shared" si="45"/>
        <v>1.0854221650756872E-3</v>
      </c>
      <c r="G183" s="2903">
        <f t="shared" si="46"/>
        <v>31050</v>
      </c>
      <c r="H183" s="2903">
        <f t="shared" si="47"/>
        <v>0</v>
      </c>
      <c r="I183" s="2905">
        <f t="shared" si="48"/>
        <v>19665</v>
      </c>
      <c r="J183" s="1096">
        <v>6017</v>
      </c>
      <c r="K183" s="2479">
        <f t="shared" si="56"/>
        <v>246456.32000000001</v>
      </c>
      <c r="L183" s="398">
        <f t="shared" si="49"/>
        <v>6210</v>
      </c>
      <c r="M183" s="1095">
        <f t="shared" si="50"/>
        <v>31892</v>
      </c>
      <c r="N183" s="2906">
        <f t="shared" si="51"/>
        <v>1.00377415557389E-3</v>
      </c>
      <c r="O183" s="2907">
        <f t="shared" si="57"/>
        <v>1.7941569949329319E-5</v>
      </c>
      <c r="P183" s="2908">
        <f t="shared" si="58"/>
        <v>103500</v>
      </c>
      <c r="Q183" s="1095">
        <f t="shared" si="59"/>
        <v>28255.5</v>
      </c>
      <c r="R183" s="2909">
        <f t="shared" si="60"/>
        <v>131755.5</v>
      </c>
      <c r="S183" s="398">
        <f t="shared" si="61"/>
        <v>0</v>
      </c>
      <c r="T183" s="1095">
        <f t="shared" si="62"/>
        <v>0</v>
      </c>
      <c r="U183" s="398">
        <f t="shared" si="63"/>
        <v>0</v>
      </c>
      <c r="V183" s="2913">
        <v>0</v>
      </c>
      <c r="W183" s="1095">
        <f t="shared" si="52"/>
        <v>32010.440000000002</v>
      </c>
      <c r="X183" s="1095">
        <f t="shared" si="53"/>
        <v>6210</v>
      </c>
      <c r="Y183" s="2909">
        <f t="shared" si="64"/>
        <v>38220.44</v>
      </c>
      <c r="Z183" s="2913">
        <v>0</v>
      </c>
      <c r="AA183" s="1095">
        <f t="shared" si="54"/>
        <v>17268.79</v>
      </c>
      <c r="AB183" s="1095">
        <f t="shared" si="55"/>
        <v>0</v>
      </c>
      <c r="AC183" s="2909">
        <f t="shared" si="65"/>
        <v>17268.79</v>
      </c>
    </row>
    <row r="184" spans="1:29">
      <c r="A184" s="2899" t="s">
        <v>4260</v>
      </c>
      <c r="B184" s="2900" t="s">
        <v>4092</v>
      </c>
      <c r="C184" s="2901">
        <v>440</v>
      </c>
      <c r="D184" s="2902">
        <f t="shared" si="44"/>
        <v>1.257293732390744E-3</v>
      </c>
      <c r="E184" s="2903">
        <v>39600</v>
      </c>
      <c r="F184" s="2904">
        <f t="shared" si="45"/>
        <v>1.3843065293718908E-3</v>
      </c>
      <c r="G184" s="2903">
        <f t="shared" si="46"/>
        <v>39600</v>
      </c>
      <c r="H184" s="2903">
        <f t="shared" si="47"/>
        <v>0</v>
      </c>
      <c r="I184" s="2905">
        <f t="shared" si="48"/>
        <v>25080</v>
      </c>
      <c r="J184" s="1096">
        <v>11000</v>
      </c>
      <c r="K184" s="2479">
        <f t="shared" si="56"/>
        <v>450560</v>
      </c>
      <c r="L184" s="398">
        <f t="shared" si="49"/>
        <v>7920</v>
      </c>
      <c r="M184" s="1095">
        <f t="shared" si="50"/>
        <v>44000</v>
      </c>
      <c r="N184" s="2906">
        <f t="shared" si="51"/>
        <v>1.3848633778142218E-3</v>
      </c>
      <c r="O184" s="2907">
        <f t="shared" si="57"/>
        <v>1.275696454234778E-4</v>
      </c>
      <c r="P184" s="2908">
        <f t="shared" si="58"/>
        <v>132000</v>
      </c>
      <c r="Q184" s="1095">
        <f t="shared" si="59"/>
        <v>36036</v>
      </c>
      <c r="R184" s="2909">
        <f t="shared" si="60"/>
        <v>168036</v>
      </c>
      <c r="S184" s="398">
        <f t="shared" si="61"/>
        <v>0</v>
      </c>
      <c r="T184" s="1095">
        <f t="shared" si="62"/>
        <v>0</v>
      </c>
      <c r="U184" s="398">
        <f t="shared" si="63"/>
        <v>0</v>
      </c>
      <c r="V184" s="2913">
        <v>0</v>
      </c>
      <c r="W184" s="1095">
        <f t="shared" si="52"/>
        <v>58520</v>
      </c>
      <c r="X184" s="1095">
        <f t="shared" si="53"/>
        <v>7920</v>
      </c>
      <c r="Y184" s="2909">
        <f t="shared" si="64"/>
        <v>66440</v>
      </c>
      <c r="Z184" s="2913">
        <v>0</v>
      </c>
      <c r="AA184" s="1095">
        <f t="shared" si="54"/>
        <v>31570</v>
      </c>
      <c r="AB184" s="1095">
        <f t="shared" si="55"/>
        <v>0</v>
      </c>
      <c r="AC184" s="2909">
        <f t="shared" si="65"/>
        <v>31570</v>
      </c>
    </row>
    <row r="185" spans="1:29">
      <c r="A185" s="2899" t="s">
        <v>4261</v>
      </c>
      <c r="B185" s="2900" t="s">
        <v>4075</v>
      </c>
      <c r="C185" s="2901">
        <v>185</v>
      </c>
      <c r="D185" s="2902">
        <f t="shared" si="44"/>
        <v>5.2863486475519925E-4</v>
      </c>
      <c r="E185" s="2903">
        <v>16650</v>
      </c>
      <c r="F185" s="2904">
        <f t="shared" si="45"/>
        <v>5.8203797257681779E-4</v>
      </c>
      <c r="G185" s="2903">
        <f t="shared" si="46"/>
        <v>16650</v>
      </c>
      <c r="H185" s="2903">
        <f t="shared" si="47"/>
        <v>0</v>
      </c>
      <c r="I185" s="2905">
        <f t="shared" si="48"/>
        <v>10545</v>
      </c>
      <c r="J185" s="1096">
        <v>3225.9999999999995</v>
      </c>
      <c r="K185" s="2479">
        <f t="shared" si="56"/>
        <v>132136.95999999999</v>
      </c>
      <c r="L185" s="398">
        <f t="shared" si="49"/>
        <v>3330</v>
      </c>
      <c r="M185" s="1095">
        <f t="shared" si="50"/>
        <v>17101</v>
      </c>
      <c r="N185" s="2906">
        <f t="shared" si="51"/>
        <v>5.3823974145456835E-4</v>
      </c>
      <c r="O185" s="2907">
        <f t="shared" si="57"/>
        <v>9.6048766993691052E-6</v>
      </c>
      <c r="P185" s="2908">
        <f t="shared" si="58"/>
        <v>55500</v>
      </c>
      <c r="Q185" s="1095">
        <f t="shared" si="59"/>
        <v>15151.5</v>
      </c>
      <c r="R185" s="2909">
        <f t="shared" si="60"/>
        <v>70651.5</v>
      </c>
      <c r="S185" s="398">
        <f t="shared" si="61"/>
        <v>0</v>
      </c>
      <c r="T185" s="1095">
        <f t="shared" si="62"/>
        <v>0</v>
      </c>
      <c r="U185" s="398">
        <f t="shared" si="63"/>
        <v>0</v>
      </c>
      <c r="V185" s="2913">
        <v>0</v>
      </c>
      <c r="W185" s="1095">
        <f t="shared" si="52"/>
        <v>17162.32</v>
      </c>
      <c r="X185" s="1095">
        <f t="shared" si="53"/>
        <v>3330</v>
      </c>
      <c r="Y185" s="2909">
        <f t="shared" si="64"/>
        <v>20492.32</v>
      </c>
      <c r="Z185" s="2913">
        <v>0</v>
      </c>
      <c r="AA185" s="1095">
        <f t="shared" si="54"/>
        <v>9258.619999999999</v>
      </c>
      <c r="AB185" s="1095">
        <f t="shared" si="55"/>
        <v>0</v>
      </c>
      <c r="AC185" s="2909">
        <f t="shared" si="65"/>
        <v>9258.619999999999</v>
      </c>
    </row>
    <row r="186" spans="1:29">
      <c r="A186" s="2899" t="s">
        <v>4262</v>
      </c>
      <c r="B186" s="2900" t="s">
        <v>4104</v>
      </c>
      <c r="C186" s="2901">
        <v>1885</v>
      </c>
      <c r="D186" s="2902">
        <f t="shared" si="44"/>
        <v>5.3863606489921645E-3</v>
      </c>
      <c r="E186" s="2903">
        <v>169650</v>
      </c>
      <c r="F186" s="2904">
        <f t="shared" si="45"/>
        <v>5.9304950178773047E-3</v>
      </c>
      <c r="G186" s="2903">
        <f t="shared" si="46"/>
        <v>169650</v>
      </c>
      <c r="H186" s="2903">
        <f t="shared" si="47"/>
        <v>0</v>
      </c>
      <c r="I186" s="2905">
        <f t="shared" si="48"/>
        <v>107445</v>
      </c>
      <c r="J186" s="1096">
        <v>32875</v>
      </c>
      <c r="K186" s="2479">
        <f t="shared" si="56"/>
        <v>1346560</v>
      </c>
      <c r="L186" s="398">
        <f t="shared" si="49"/>
        <v>33930</v>
      </c>
      <c r="M186" s="1095">
        <f t="shared" si="50"/>
        <v>174250</v>
      </c>
      <c r="N186" s="2906">
        <f t="shared" si="51"/>
        <v>5.4843737178210941E-3</v>
      </c>
      <c r="O186" s="2907">
        <f t="shared" si="57"/>
        <v>9.8013068828929628E-5</v>
      </c>
      <c r="P186" s="2908">
        <f t="shared" si="58"/>
        <v>565500</v>
      </c>
      <c r="Q186" s="1095">
        <f t="shared" si="59"/>
        <v>154381.5</v>
      </c>
      <c r="R186" s="2909">
        <f t="shared" si="60"/>
        <v>719881.5</v>
      </c>
      <c r="S186" s="398">
        <f t="shared" si="61"/>
        <v>0</v>
      </c>
      <c r="T186" s="1095">
        <f t="shared" si="62"/>
        <v>0</v>
      </c>
      <c r="U186" s="398">
        <f t="shared" si="63"/>
        <v>0</v>
      </c>
      <c r="V186" s="2913">
        <v>0</v>
      </c>
      <c r="W186" s="1095">
        <f t="shared" si="52"/>
        <v>174895</v>
      </c>
      <c r="X186" s="1095">
        <f t="shared" si="53"/>
        <v>33930</v>
      </c>
      <c r="Y186" s="2909">
        <f t="shared" si="64"/>
        <v>208825</v>
      </c>
      <c r="Z186" s="2913">
        <v>0</v>
      </c>
      <c r="AA186" s="1095">
        <f t="shared" si="54"/>
        <v>94351.25</v>
      </c>
      <c r="AB186" s="1095">
        <f t="shared" si="55"/>
        <v>0</v>
      </c>
      <c r="AC186" s="2909">
        <f t="shared" si="65"/>
        <v>94351.25</v>
      </c>
    </row>
    <row r="187" spans="1:29">
      <c r="A187" s="2899" t="s">
        <v>4263</v>
      </c>
      <c r="B187" s="2900" t="s">
        <v>4087</v>
      </c>
      <c r="C187" s="2901">
        <v>175</v>
      </c>
      <c r="D187" s="2902">
        <f t="shared" si="44"/>
        <v>5.0006000720086412E-4</v>
      </c>
      <c r="E187" s="2903">
        <v>15750</v>
      </c>
      <c r="F187" s="2904">
        <f t="shared" si="45"/>
        <v>5.505764605456384E-4</v>
      </c>
      <c r="G187" s="2903">
        <f t="shared" si="46"/>
        <v>15750</v>
      </c>
      <c r="H187" s="2903">
        <f t="shared" si="47"/>
        <v>0</v>
      </c>
      <c r="I187" s="2905">
        <f t="shared" si="48"/>
        <v>9975</v>
      </c>
      <c r="J187" s="1096">
        <v>6104</v>
      </c>
      <c r="K187" s="2479">
        <f t="shared" si="56"/>
        <v>250019.84</v>
      </c>
      <c r="L187" s="398">
        <f t="shared" si="49"/>
        <v>3150</v>
      </c>
      <c r="M187" s="1095">
        <f t="shared" si="50"/>
        <v>19229</v>
      </c>
      <c r="N187" s="2906">
        <f t="shared" si="51"/>
        <v>6.0521677027249249E-4</v>
      </c>
      <c r="O187" s="2907">
        <f t="shared" si="57"/>
        <v>1.0515676307162837E-4</v>
      </c>
      <c r="P187" s="2908">
        <f t="shared" si="58"/>
        <v>52500</v>
      </c>
      <c r="Q187" s="1095">
        <f t="shared" si="59"/>
        <v>14332.5</v>
      </c>
      <c r="R187" s="2909">
        <f t="shared" si="60"/>
        <v>66832.5</v>
      </c>
      <c r="S187" s="398">
        <f t="shared" si="61"/>
        <v>0</v>
      </c>
      <c r="T187" s="1095">
        <f t="shared" si="62"/>
        <v>0</v>
      </c>
      <c r="U187" s="398">
        <f t="shared" si="63"/>
        <v>0</v>
      </c>
      <c r="V187" s="2913">
        <v>0</v>
      </c>
      <c r="W187" s="1095">
        <f t="shared" si="52"/>
        <v>32473.280000000002</v>
      </c>
      <c r="X187" s="1095">
        <f t="shared" si="53"/>
        <v>3150</v>
      </c>
      <c r="Y187" s="2909">
        <f t="shared" si="64"/>
        <v>35623.279999999999</v>
      </c>
      <c r="Z187" s="2913">
        <v>0</v>
      </c>
      <c r="AA187" s="1095">
        <f t="shared" si="54"/>
        <v>17518.48</v>
      </c>
      <c r="AB187" s="1095">
        <f t="shared" si="55"/>
        <v>0</v>
      </c>
      <c r="AC187" s="2909">
        <f t="shared" si="65"/>
        <v>17518.48</v>
      </c>
    </row>
    <row r="188" spans="1:29">
      <c r="A188" s="2899" t="s">
        <v>4264</v>
      </c>
      <c r="B188" s="2900" t="s">
        <v>4115</v>
      </c>
      <c r="C188" s="2901">
        <v>160</v>
      </c>
      <c r="D188" s="2902">
        <f t="shared" si="44"/>
        <v>4.5719772086936144E-4</v>
      </c>
      <c r="E188" s="2903">
        <v>14400</v>
      </c>
      <c r="F188" s="2904">
        <f t="shared" si="45"/>
        <v>5.0338419249886944E-4</v>
      </c>
      <c r="G188" s="2903">
        <f t="shared" si="46"/>
        <v>14400</v>
      </c>
      <c r="H188" s="2903">
        <f t="shared" si="47"/>
        <v>0</v>
      </c>
      <c r="I188" s="2905">
        <f t="shared" si="48"/>
        <v>9120</v>
      </c>
      <c r="J188" s="1096">
        <v>2790</v>
      </c>
      <c r="K188" s="2479">
        <f t="shared" si="56"/>
        <v>114278.40000000001</v>
      </c>
      <c r="L188" s="398">
        <f t="shared" si="49"/>
        <v>2880</v>
      </c>
      <c r="M188" s="1095">
        <f t="shared" si="50"/>
        <v>14790</v>
      </c>
      <c r="N188" s="2906">
        <f t="shared" si="51"/>
        <v>4.655029399516441E-4</v>
      </c>
      <c r="O188" s="2907">
        <f t="shared" si="57"/>
        <v>8.3052190822826524E-6</v>
      </c>
      <c r="P188" s="2908">
        <f t="shared" si="58"/>
        <v>48000</v>
      </c>
      <c r="Q188" s="1095">
        <f t="shared" si="59"/>
        <v>13104</v>
      </c>
      <c r="R188" s="2909">
        <f t="shared" si="60"/>
        <v>61104</v>
      </c>
      <c r="S188" s="398">
        <f t="shared" si="61"/>
        <v>0</v>
      </c>
      <c r="T188" s="1095">
        <f t="shared" si="62"/>
        <v>0</v>
      </c>
      <c r="U188" s="398">
        <f t="shared" si="63"/>
        <v>0</v>
      </c>
      <c r="V188" s="2913">
        <v>0</v>
      </c>
      <c r="W188" s="1095">
        <f t="shared" si="52"/>
        <v>14842.800000000001</v>
      </c>
      <c r="X188" s="1095">
        <f t="shared" si="53"/>
        <v>2880</v>
      </c>
      <c r="Y188" s="2909">
        <f t="shared" si="64"/>
        <v>17722.800000000003</v>
      </c>
      <c r="Z188" s="2913">
        <v>0</v>
      </c>
      <c r="AA188" s="1095">
        <f t="shared" si="54"/>
        <v>8007.3</v>
      </c>
      <c r="AB188" s="1095">
        <f t="shared" si="55"/>
        <v>0</v>
      </c>
      <c r="AC188" s="2909">
        <f t="shared" si="65"/>
        <v>8007.3</v>
      </c>
    </row>
    <row r="189" spans="1:29">
      <c r="A189" s="2899" t="s">
        <v>4265</v>
      </c>
      <c r="B189" s="2900" t="s">
        <v>4077</v>
      </c>
      <c r="C189" s="2901">
        <v>175</v>
      </c>
      <c r="D189" s="2902">
        <f t="shared" si="44"/>
        <v>5.0006000720086412E-4</v>
      </c>
      <c r="E189" s="2903">
        <v>15750</v>
      </c>
      <c r="F189" s="2904">
        <f t="shared" si="45"/>
        <v>5.505764605456384E-4</v>
      </c>
      <c r="G189" s="2903">
        <f t="shared" si="46"/>
        <v>15750</v>
      </c>
      <c r="H189" s="2903">
        <f t="shared" si="47"/>
        <v>0</v>
      </c>
      <c r="I189" s="2905">
        <f t="shared" si="48"/>
        <v>9975</v>
      </c>
      <c r="J189" s="1096">
        <v>3052</v>
      </c>
      <c r="K189" s="2479">
        <f t="shared" si="56"/>
        <v>125009.92</v>
      </c>
      <c r="L189" s="398">
        <f t="shared" si="49"/>
        <v>3150</v>
      </c>
      <c r="M189" s="1095">
        <f t="shared" si="50"/>
        <v>16177</v>
      </c>
      <c r="N189" s="2906">
        <f t="shared" si="51"/>
        <v>5.0915761052046967E-4</v>
      </c>
      <c r="O189" s="2907">
        <f t="shared" si="57"/>
        <v>9.0976033196055487E-6</v>
      </c>
      <c r="P189" s="2908">
        <f t="shared" si="58"/>
        <v>52500</v>
      </c>
      <c r="Q189" s="1095">
        <f t="shared" si="59"/>
        <v>14332.5</v>
      </c>
      <c r="R189" s="2909">
        <f t="shared" si="60"/>
        <v>66832.5</v>
      </c>
      <c r="S189" s="398">
        <f t="shared" si="61"/>
        <v>0</v>
      </c>
      <c r="T189" s="1095">
        <f t="shared" si="62"/>
        <v>0</v>
      </c>
      <c r="U189" s="398">
        <f t="shared" si="63"/>
        <v>0</v>
      </c>
      <c r="V189" s="2913">
        <v>0</v>
      </c>
      <c r="W189" s="1095">
        <f t="shared" si="52"/>
        <v>16236.640000000001</v>
      </c>
      <c r="X189" s="1095">
        <f t="shared" si="53"/>
        <v>3150</v>
      </c>
      <c r="Y189" s="2909">
        <f t="shared" si="64"/>
        <v>19386.64</v>
      </c>
      <c r="Z189" s="2913">
        <v>0</v>
      </c>
      <c r="AA189" s="1095">
        <f t="shared" si="54"/>
        <v>8759.24</v>
      </c>
      <c r="AB189" s="1095">
        <f t="shared" si="55"/>
        <v>0</v>
      </c>
      <c r="AC189" s="2909">
        <f t="shared" si="65"/>
        <v>8759.24</v>
      </c>
    </row>
    <row r="190" spans="1:29">
      <c r="A190" s="2899" t="s">
        <v>4266</v>
      </c>
      <c r="B190" s="2900" t="s">
        <v>4071</v>
      </c>
      <c r="C190" s="2901">
        <v>215</v>
      </c>
      <c r="D190" s="2902">
        <f t="shared" si="44"/>
        <v>6.143594374182045E-4</v>
      </c>
      <c r="E190" s="2903">
        <v>19350</v>
      </c>
      <c r="F190" s="2904">
        <f t="shared" si="45"/>
        <v>6.7642250867035571E-4</v>
      </c>
      <c r="G190" s="2903">
        <f t="shared" si="46"/>
        <v>19350</v>
      </c>
      <c r="H190" s="2903">
        <f t="shared" si="47"/>
        <v>0</v>
      </c>
      <c r="I190" s="2905">
        <f t="shared" si="48"/>
        <v>12255</v>
      </c>
      <c r="J190" s="1096">
        <v>0</v>
      </c>
      <c r="K190" s="2479">
        <f t="shared" si="56"/>
        <v>0</v>
      </c>
      <c r="L190" s="398">
        <f t="shared" si="49"/>
        <v>3870</v>
      </c>
      <c r="M190" s="1095">
        <f t="shared" si="50"/>
        <v>16125</v>
      </c>
      <c r="N190" s="2906">
        <f t="shared" si="51"/>
        <v>5.0752095380123474E-4</v>
      </c>
      <c r="O190" s="2907">
        <f t="shared" si="57"/>
        <v>-1.0683848361696976E-4</v>
      </c>
      <c r="P190" s="2908">
        <f t="shared" si="58"/>
        <v>64500</v>
      </c>
      <c r="Q190" s="1095">
        <f t="shared" si="59"/>
        <v>17608.5</v>
      </c>
      <c r="R190" s="2909">
        <f t="shared" si="60"/>
        <v>82108.5</v>
      </c>
      <c r="S190" s="398">
        <f t="shared" si="61"/>
        <v>0</v>
      </c>
      <c r="T190" s="1095">
        <f t="shared" si="62"/>
        <v>0</v>
      </c>
      <c r="U190" s="398">
        <f t="shared" si="63"/>
        <v>0</v>
      </c>
      <c r="V190" s="2913">
        <v>0</v>
      </c>
      <c r="W190" s="1095">
        <f t="shared" si="52"/>
        <v>0</v>
      </c>
      <c r="X190" s="1095">
        <f t="shared" si="53"/>
        <v>3870</v>
      </c>
      <c r="Y190" s="2909">
        <f t="shared" si="64"/>
        <v>3870</v>
      </c>
      <c r="Z190" s="2913">
        <v>0</v>
      </c>
      <c r="AA190" s="1095">
        <f t="shared" si="54"/>
        <v>0</v>
      </c>
      <c r="AB190" s="1095">
        <f t="shared" si="55"/>
        <v>0</v>
      </c>
      <c r="AC190" s="2909">
        <f t="shared" si="65"/>
        <v>0</v>
      </c>
    </row>
    <row r="191" spans="1:29">
      <c r="A191" s="2899" t="s">
        <v>4267</v>
      </c>
      <c r="B191" s="2900" t="s">
        <v>4083</v>
      </c>
      <c r="C191" s="2901">
        <v>1235</v>
      </c>
      <c r="D191" s="2902">
        <f t="shared" si="44"/>
        <v>3.5289949079603837E-3</v>
      </c>
      <c r="E191" s="2903">
        <v>111150</v>
      </c>
      <c r="F191" s="2904">
        <f t="shared" si="45"/>
        <v>3.8854967358506482E-3</v>
      </c>
      <c r="G191" s="2903">
        <f t="shared" si="46"/>
        <v>111150</v>
      </c>
      <c r="H191" s="2903">
        <f t="shared" si="47"/>
        <v>0</v>
      </c>
      <c r="I191" s="2905">
        <f t="shared" si="48"/>
        <v>70395</v>
      </c>
      <c r="J191" s="1096">
        <v>21539</v>
      </c>
      <c r="K191" s="2479">
        <f t="shared" si="56"/>
        <v>882237.44000000006</v>
      </c>
      <c r="L191" s="398">
        <f t="shared" si="49"/>
        <v>22230</v>
      </c>
      <c r="M191" s="1095">
        <f t="shared" si="50"/>
        <v>114164</v>
      </c>
      <c r="N191" s="2906">
        <f t="shared" si="51"/>
        <v>3.5932168787450639E-3</v>
      </c>
      <c r="O191" s="2907">
        <f t="shared" si="57"/>
        <v>6.422197078468023E-5</v>
      </c>
      <c r="P191" s="2908">
        <f t="shared" si="58"/>
        <v>370500</v>
      </c>
      <c r="Q191" s="1095">
        <f t="shared" si="59"/>
        <v>101146.5</v>
      </c>
      <c r="R191" s="2909">
        <f t="shared" si="60"/>
        <v>471646.5</v>
      </c>
      <c r="S191" s="398">
        <f t="shared" si="61"/>
        <v>0</v>
      </c>
      <c r="T191" s="1095">
        <f t="shared" si="62"/>
        <v>0</v>
      </c>
      <c r="U191" s="398">
        <f t="shared" si="63"/>
        <v>0</v>
      </c>
      <c r="V191" s="2913">
        <v>0</v>
      </c>
      <c r="W191" s="1095">
        <f t="shared" si="52"/>
        <v>114587.48000000001</v>
      </c>
      <c r="X191" s="1095">
        <f t="shared" si="53"/>
        <v>22230</v>
      </c>
      <c r="Y191" s="2909">
        <f t="shared" si="64"/>
        <v>136817.48000000001</v>
      </c>
      <c r="Z191" s="2913">
        <v>0</v>
      </c>
      <c r="AA191" s="1095">
        <f t="shared" si="54"/>
        <v>61816.93</v>
      </c>
      <c r="AB191" s="1095">
        <f t="shared" si="55"/>
        <v>0</v>
      </c>
      <c r="AC191" s="2909">
        <f t="shared" si="65"/>
        <v>61816.93</v>
      </c>
    </row>
    <row r="192" spans="1:29">
      <c r="A192" s="2899" t="s">
        <v>4268</v>
      </c>
      <c r="B192" s="2900" t="s">
        <v>4077</v>
      </c>
      <c r="C192" s="2901">
        <v>240</v>
      </c>
      <c r="D192" s="2902">
        <f t="shared" si="44"/>
        <v>6.8579658130404225E-4</v>
      </c>
      <c r="E192" s="2903">
        <v>21600</v>
      </c>
      <c r="F192" s="2904">
        <f t="shared" si="45"/>
        <v>7.5507628874830405E-4</v>
      </c>
      <c r="G192" s="2903">
        <f t="shared" si="46"/>
        <v>21600</v>
      </c>
      <c r="H192" s="2903">
        <f t="shared" si="47"/>
        <v>0</v>
      </c>
      <c r="I192" s="2905">
        <f t="shared" si="48"/>
        <v>13680</v>
      </c>
      <c r="J192" s="1096">
        <v>8370</v>
      </c>
      <c r="K192" s="2479">
        <f t="shared" si="56"/>
        <v>342835.20000000001</v>
      </c>
      <c r="L192" s="398">
        <f t="shared" si="49"/>
        <v>4320</v>
      </c>
      <c r="M192" s="1095">
        <f t="shared" si="50"/>
        <v>26370</v>
      </c>
      <c r="N192" s="2906">
        <f t="shared" si="51"/>
        <v>8.2997380165820522E-4</v>
      </c>
      <c r="O192" s="2907">
        <f t="shared" si="57"/>
        <v>1.4417722035416298E-4</v>
      </c>
      <c r="P192" s="2908">
        <f t="shared" si="58"/>
        <v>72000</v>
      </c>
      <c r="Q192" s="1095">
        <f t="shared" si="59"/>
        <v>19656</v>
      </c>
      <c r="R192" s="2909">
        <f t="shared" si="60"/>
        <v>91656</v>
      </c>
      <c r="S192" s="398">
        <f t="shared" si="61"/>
        <v>0</v>
      </c>
      <c r="T192" s="1095">
        <f t="shared" si="62"/>
        <v>0</v>
      </c>
      <c r="U192" s="398">
        <f t="shared" si="63"/>
        <v>0</v>
      </c>
      <c r="V192" s="2913">
        <v>0</v>
      </c>
      <c r="W192" s="1095">
        <f t="shared" si="52"/>
        <v>44528.4</v>
      </c>
      <c r="X192" s="1095">
        <f t="shared" si="53"/>
        <v>4320</v>
      </c>
      <c r="Y192" s="2909">
        <f t="shared" si="64"/>
        <v>48848.4</v>
      </c>
      <c r="Z192" s="2913">
        <v>0</v>
      </c>
      <c r="AA192" s="1095">
        <f t="shared" si="54"/>
        <v>24021.9</v>
      </c>
      <c r="AB192" s="1095">
        <f t="shared" si="55"/>
        <v>0</v>
      </c>
      <c r="AC192" s="2909">
        <f t="shared" si="65"/>
        <v>24021.9</v>
      </c>
    </row>
    <row r="193" spans="1:29">
      <c r="A193" s="2899" t="s">
        <v>4269</v>
      </c>
      <c r="B193" s="2900" t="s">
        <v>4071</v>
      </c>
      <c r="C193" s="2901">
        <v>405</v>
      </c>
      <c r="D193" s="2902">
        <f t="shared" si="44"/>
        <v>1.1572817309505711E-3</v>
      </c>
      <c r="E193" s="2903">
        <v>36450</v>
      </c>
      <c r="F193" s="2904">
        <f t="shared" si="45"/>
        <v>1.2741912372627631E-3</v>
      </c>
      <c r="G193" s="2903">
        <f t="shared" si="46"/>
        <v>36450</v>
      </c>
      <c r="H193" s="2903">
        <f t="shared" si="47"/>
        <v>0</v>
      </c>
      <c r="I193" s="2905">
        <f t="shared" si="48"/>
        <v>23085</v>
      </c>
      <c r="J193" s="1096">
        <v>7062.9999999999991</v>
      </c>
      <c r="K193" s="2479">
        <f t="shared" si="56"/>
        <v>289300.47999999998</v>
      </c>
      <c r="L193" s="398">
        <f t="shared" si="49"/>
        <v>7290</v>
      </c>
      <c r="M193" s="1095">
        <f t="shared" si="50"/>
        <v>37438</v>
      </c>
      <c r="N193" s="2906">
        <f t="shared" si="51"/>
        <v>1.1783298895138372E-3</v>
      </c>
      <c r="O193" s="2907">
        <f t="shared" si="57"/>
        <v>2.1048158563266106E-5</v>
      </c>
      <c r="P193" s="2908">
        <f t="shared" si="58"/>
        <v>121500</v>
      </c>
      <c r="Q193" s="1095">
        <f t="shared" si="59"/>
        <v>33169.5</v>
      </c>
      <c r="R193" s="2909">
        <f t="shared" si="60"/>
        <v>154669.5</v>
      </c>
      <c r="S193" s="398">
        <f t="shared" si="61"/>
        <v>0</v>
      </c>
      <c r="T193" s="1095">
        <f t="shared" si="62"/>
        <v>0</v>
      </c>
      <c r="U193" s="398">
        <f t="shared" si="63"/>
        <v>0</v>
      </c>
      <c r="V193" s="2913">
        <v>0</v>
      </c>
      <c r="W193" s="1095">
        <f t="shared" si="52"/>
        <v>37575.159999999996</v>
      </c>
      <c r="X193" s="1095">
        <f t="shared" si="53"/>
        <v>7290</v>
      </c>
      <c r="Y193" s="2909">
        <f t="shared" si="64"/>
        <v>44865.159999999996</v>
      </c>
      <c r="Z193" s="2913">
        <v>0</v>
      </c>
      <c r="AA193" s="1095">
        <f t="shared" si="54"/>
        <v>20270.809999999998</v>
      </c>
      <c r="AB193" s="1095">
        <f t="shared" si="55"/>
        <v>0</v>
      </c>
      <c r="AC193" s="2909">
        <f t="shared" si="65"/>
        <v>20270.809999999998</v>
      </c>
    </row>
    <row r="194" spans="1:29">
      <c r="A194" s="2899" t="s">
        <v>4270</v>
      </c>
      <c r="B194" s="2900" t="s">
        <v>4087</v>
      </c>
      <c r="C194" s="2901">
        <v>100</v>
      </c>
      <c r="D194" s="2902">
        <f t="shared" si="44"/>
        <v>2.8574857554335094E-4</v>
      </c>
      <c r="E194" s="2903">
        <v>9000</v>
      </c>
      <c r="F194" s="2904">
        <f t="shared" si="45"/>
        <v>3.1461512031179337E-4</v>
      </c>
      <c r="G194" s="2903">
        <f t="shared" si="46"/>
        <v>9000</v>
      </c>
      <c r="H194" s="2903">
        <f t="shared" si="47"/>
        <v>0</v>
      </c>
      <c r="I194" s="2905">
        <f t="shared" si="48"/>
        <v>5700</v>
      </c>
      <c r="J194" s="1096">
        <v>3488</v>
      </c>
      <c r="K194" s="2479">
        <f t="shared" si="56"/>
        <v>142868.48000000001</v>
      </c>
      <c r="L194" s="398">
        <f t="shared" si="49"/>
        <v>1800</v>
      </c>
      <c r="M194" s="1095">
        <f t="shared" si="50"/>
        <v>10988</v>
      </c>
      <c r="N194" s="2906">
        <f t="shared" si="51"/>
        <v>3.4583815444142428E-4</v>
      </c>
      <c r="O194" s="2907">
        <f t="shared" si="57"/>
        <v>6.0089578898073345E-5</v>
      </c>
      <c r="P194" s="2908">
        <f t="shared" si="58"/>
        <v>30000</v>
      </c>
      <c r="Q194" s="1095">
        <f t="shared" si="59"/>
        <v>8190</v>
      </c>
      <c r="R194" s="2909">
        <f t="shared" si="60"/>
        <v>38190</v>
      </c>
      <c r="S194" s="398">
        <f t="shared" si="61"/>
        <v>0</v>
      </c>
      <c r="T194" s="1095">
        <f t="shared" si="62"/>
        <v>0</v>
      </c>
      <c r="U194" s="398">
        <f t="shared" si="63"/>
        <v>0</v>
      </c>
      <c r="V194" s="2913">
        <v>0</v>
      </c>
      <c r="W194" s="1095">
        <f t="shared" si="52"/>
        <v>18556.16</v>
      </c>
      <c r="X194" s="1095">
        <f t="shared" si="53"/>
        <v>1800</v>
      </c>
      <c r="Y194" s="2909">
        <f t="shared" si="64"/>
        <v>20356.16</v>
      </c>
      <c r="Z194" s="2913">
        <v>0</v>
      </c>
      <c r="AA194" s="1095">
        <f t="shared" si="54"/>
        <v>10010.56</v>
      </c>
      <c r="AB194" s="1095">
        <f t="shared" si="55"/>
        <v>0</v>
      </c>
      <c r="AC194" s="2909">
        <f t="shared" si="65"/>
        <v>10010.56</v>
      </c>
    </row>
    <row r="195" spans="1:29">
      <c r="A195" s="2899" t="s">
        <v>4271</v>
      </c>
      <c r="B195" s="2900" t="s">
        <v>4190</v>
      </c>
      <c r="C195" s="2901">
        <v>15</v>
      </c>
      <c r="D195" s="2902">
        <f t="shared" si="44"/>
        <v>4.286228633150264E-5</v>
      </c>
      <c r="E195" s="2903">
        <v>1350</v>
      </c>
      <c r="F195" s="2904">
        <f t="shared" si="45"/>
        <v>4.7192268046769003E-5</v>
      </c>
      <c r="G195" s="2903">
        <f t="shared" si="46"/>
        <v>1350</v>
      </c>
      <c r="H195" s="2903">
        <f t="shared" si="47"/>
        <v>0</v>
      </c>
      <c r="I195" s="2905">
        <f t="shared" si="48"/>
        <v>855</v>
      </c>
      <c r="J195" s="1096">
        <v>0</v>
      </c>
      <c r="K195" s="2479">
        <f t="shared" si="56"/>
        <v>0</v>
      </c>
      <c r="L195" s="398">
        <f t="shared" si="49"/>
        <v>270</v>
      </c>
      <c r="M195" s="1095">
        <f t="shared" si="50"/>
        <v>1125</v>
      </c>
      <c r="N195" s="2906">
        <f t="shared" si="51"/>
        <v>3.5408438637295442E-5</v>
      </c>
      <c r="O195" s="2907">
        <f t="shared" si="57"/>
        <v>-7.4538476942071988E-6</v>
      </c>
      <c r="P195" s="2908">
        <f t="shared" si="58"/>
        <v>4500</v>
      </c>
      <c r="Q195" s="1095">
        <f t="shared" si="59"/>
        <v>1228.5</v>
      </c>
      <c r="R195" s="2909">
        <f t="shared" si="60"/>
        <v>5728.5</v>
      </c>
      <c r="S195" s="398">
        <f t="shared" si="61"/>
        <v>0</v>
      </c>
      <c r="T195" s="1095">
        <f t="shared" si="62"/>
        <v>0</v>
      </c>
      <c r="U195" s="398">
        <f t="shared" si="63"/>
        <v>0</v>
      </c>
      <c r="V195" s="2913">
        <v>0</v>
      </c>
      <c r="W195" s="1095">
        <f t="shared" si="52"/>
        <v>0</v>
      </c>
      <c r="X195" s="1095">
        <f t="shared" si="53"/>
        <v>270</v>
      </c>
      <c r="Y195" s="2909">
        <f t="shared" si="64"/>
        <v>270</v>
      </c>
      <c r="Z195" s="2913">
        <v>0</v>
      </c>
      <c r="AA195" s="1095">
        <f t="shared" si="54"/>
        <v>0</v>
      </c>
      <c r="AB195" s="1095">
        <f t="shared" si="55"/>
        <v>0</v>
      </c>
      <c r="AC195" s="2909">
        <f t="shared" si="65"/>
        <v>0</v>
      </c>
    </row>
    <row r="196" spans="1:29">
      <c r="A196" s="2899" t="s">
        <v>4272</v>
      </c>
      <c r="B196" s="2900" t="s">
        <v>4085</v>
      </c>
      <c r="C196" s="2901">
        <v>250</v>
      </c>
      <c r="D196" s="2902">
        <f t="shared" si="44"/>
        <v>7.1437143885837726E-4</v>
      </c>
      <c r="E196" s="2903">
        <v>22500</v>
      </c>
      <c r="F196" s="2904">
        <f t="shared" si="45"/>
        <v>7.8653780077948343E-4</v>
      </c>
      <c r="G196" s="2903">
        <f t="shared" si="46"/>
        <v>22500</v>
      </c>
      <c r="H196" s="2903">
        <f t="shared" si="47"/>
        <v>0</v>
      </c>
      <c r="I196" s="2905">
        <f t="shared" si="48"/>
        <v>14250</v>
      </c>
      <c r="J196" s="1096">
        <v>4360</v>
      </c>
      <c r="K196" s="2479">
        <f t="shared" si="56"/>
        <v>178585.60000000001</v>
      </c>
      <c r="L196" s="398">
        <f t="shared" si="49"/>
        <v>4500</v>
      </c>
      <c r="M196" s="1095">
        <f t="shared" si="50"/>
        <v>23110</v>
      </c>
      <c r="N196" s="2906">
        <f t="shared" si="51"/>
        <v>7.2736801502924244E-4</v>
      </c>
      <c r="O196" s="2907">
        <f t="shared" si="57"/>
        <v>1.2996576170865178E-5</v>
      </c>
      <c r="P196" s="2908">
        <f t="shared" si="58"/>
        <v>75000</v>
      </c>
      <c r="Q196" s="1095">
        <f t="shared" si="59"/>
        <v>20475</v>
      </c>
      <c r="R196" s="2909">
        <f t="shared" si="60"/>
        <v>95475</v>
      </c>
      <c r="S196" s="398">
        <f t="shared" si="61"/>
        <v>0</v>
      </c>
      <c r="T196" s="1095">
        <f t="shared" si="62"/>
        <v>0</v>
      </c>
      <c r="U196" s="398">
        <f t="shared" si="63"/>
        <v>0</v>
      </c>
      <c r="V196" s="2913">
        <v>0</v>
      </c>
      <c r="W196" s="1095">
        <f t="shared" si="52"/>
        <v>23195.200000000001</v>
      </c>
      <c r="X196" s="1095">
        <f t="shared" si="53"/>
        <v>4500</v>
      </c>
      <c r="Y196" s="2909">
        <f t="shared" si="64"/>
        <v>27695.200000000001</v>
      </c>
      <c r="Z196" s="2913">
        <v>0</v>
      </c>
      <c r="AA196" s="1095">
        <f t="shared" si="54"/>
        <v>12513.2</v>
      </c>
      <c r="AB196" s="1095">
        <f t="shared" si="55"/>
        <v>0</v>
      </c>
      <c r="AC196" s="2909">
        <f t="shared" si="65"/>
        <v>12513.2</v>
      </c>
    </row>
    <row r="197" spans="1:29">
      <c r="A197" s="2899" t="s">
        <v>4273</v>
      </c>
      <c r="B197" s="2900" t="s">
        <v>4129</v>
      </c>
      <c r="C197" s="2901">
        <v>380</v>
      </c>
      <c r="D197" s="2902">
        <f t="shared" si="44"/>
        <v>1.0858445870647335E-3</v>
      </c>
      <c r="E197" s="2903">
        <v>34200</v>
      </c>
      <c r="F197" s="2904">
        <f t="shared" si="45"/>
        <v>1.1955374571848147E-3</v>
      </c>
      <c r="G197" s="2903">
        <f t="shared" si="46"/>
        <v>34200</v>
      </c>
      <c r="H197" s="2903">
        <f t="shared" si="47"/>
        <v>0</v>
      </c>
      <c r="I197" s="2905">
        <f t="shared" si="48"/>
        <v>21660</v>
      </c>
      <c r="J197" s="1096">
        <v>3661.9999999999995</v>
      </c>
      <c r="K197" s="2479">
        <f t="shared" si="56"/>
        <v>149995.51999999999</v>
      </c>
      <c r="L197" s="398">
        <f t="shared" si="49"/>
        <v>6840</v>
      </c>
      <c r="M197" s="1095">
        <f t="shared" si="50"/>
        <v>32162</v>
      </c>
      <c r="N197" s="2906">
        <f t="shared" si="51"/>
        <v>1.012272180846841E-3</v>
      </c>
      <c r="O197" s="2907">
        <f t="shared" si="57"/>
        <v>-7.3572406217892487E-5</v>
      </c>
      <c r="P197" s="2908">
        <f t="shared" si="58"/>
        <v>114000</v>
      </c>
      <c r="Q197" s="1095">
        <f t="shared" si="59"/>
        <v>31122</v>
      </c>
      <c r="R197" s="2909">
        <f t="shared" si="60"/>
        <v>145122</v>
      </c>
      <c r="S197" s="398">
        <f t="shared" si="61"/>
        <v>0</v>
      </c>
      <c r="T197" s="1095">
        <f t="shared" si="62"/>
        <v>0</v>
      </c>
      <c r="U197" s="398">
        <f t="shared" si="63"/>
        <v>0</v>
      </c>
      <c r="V197" s="2913">
        <v>0</v>
      </c>
      <c r="W197" s="1095">
        <f t="shared" si="52"/>
        <v>19481.84</v>
      </c>
      <c r="X197" s="1095">
        <f t="shared" si="53"/>
        <v>6840</v>
      </c>
      <c r="Y197" s="2909">
        <f t="shared" si="64"/>
        <v>26321.84</v>
      </c>
      <c r="Z197" s="2913">
        <v>0</v>
      </c>
      <c r="AA197" s="1095">
        <f t="shared" si="54"/>
        <v>10509.939999999999</v>
      </c>
      <c r="AB197" s="1095">
        <f t="shared" si="55"/>
        <v>0</v>
      </c>
      <c r="AC197" s="2909">
        <f t="shared" si="65"/>
        <v>10509.939999999999</v>
      </c>
    </row>
    <row r="198" spans="1:29">
      <c r="A198" s="2899" t="s">
        <v>4274</v>
      </c>
      <c r="B198" s="2900" t="s">
        <v>4071</v>
      </c>
      <c r="C198" s="2901">
        <v>125</v>
      </c>
      <c r="D198" s="2902">
        <f t="shared" ref="D198:D261" si="66">C198/349958</f>
        <v>3.5718571942918863E-4</v>
      </c>
      <c r="E198" s="2903">
        <v>11250</v>
      </c>
      <c r="F198" s="2904">
        <f t="shared" ref="F198:F261" si="67">E198/$E$612</f>
        <v>3.9326890038974172E-4</v>
      </c>
      <c r="G198" s="2903">
        <f t="shared" ref="G198:G261" si="68">C198*90</f>
        <v>11250</v>
      </c>
      <c r="H198" s="2903">
        <f t="shared" ref="H198:H261" si="69">E198-G198</f>
        <v>0</v>
      </c>
      <c r="I198" s="2905">
        <f t="shared" ref="I198:I261" si="70">C198*57</f>
        <v>7125</v>
      </c>
      <c r="J198" s="1096">
        <v>0</v>
      </c>
      <c r="K198" s="2479">
        <f t="shared" si="56"/>
        <v>0</v>
      </c>
      <c r="L198" s="398">
        <f t="shared" ref="L198:L261" si="71">E198/5</f>
        <v>2250</v>
      </c>
      <c r="M198" s="1095">
        <f t="shared" ref="M198:M261" si="72">I198+J198+L198</f>
        <v>9375</v>
      </c>
      <c r="N198" s="2906">
        <f t="shared" ref="N198:N261" si="73">M198/$M$612</f>
        <v>2.9507032197746203E-4</v>
      </c>
      <c r="O198" s="2907">
        <f t="shared" si="57"/>
        <v>-6.2115397451726598E-5</v>
      </c>
      <c r="P198" s="2908">
        <f t="shared" si="58"/>
        <v>37500</v>
      </c>
      <c r="Q198" s="1095">
        <f t="shared" si="59"/>
        <v>10237.5</v>
      </c>
      <c r="R198" s="2909">
        <f t="shared" si="60"/>
        <v>47737.5</v>
      </c>
      <c r="S198" s="398">
        <f t="shared" si="61"/>
        <v>0</v>
      </c>
      <c r="T198" s="1095">
        <f t="shared" si="62"/>
        <v>0</v>
      </c>
      <c r="U198" s="398">
        <f t="shared" si="63"/>
        <v>0</v>
      </c>
      <c r="V198" s="2913">
        <v>0</v>
      </c>
      <c r="W198" s="1095">
        <f t="shared" ref="W198:W261" si="74">J198*5.32</f>
        <v>0</v>
      </c>
      <c r="X198" s="1095">
        <f t="shared" ref="X198:X261" si="75">L198*1</f>
        <v>2250</v>
      </c>
      <c r="Y198" s="2909">
        <f t="shared" si="64"/>
        <v>2250</v>
      </c>
      <c r="Z198" s="2913">
        <v>0</v>
      </c>
      <c r="AA198" s="1095">
        <f t="shared" ref="AA198:AA261" si="76">J198*2.87</f>
        <v>0</v>
      </c>
      <c r="AB198" s="1095">
        <f t="shared" ref="AB198:AB261" si="77">L198*0</f>
        <v>0</v>
      </c>
      <c r="AC198" s="2909">
        <f t="shared" si="65"/>
        <v>0</v>
      </c>
    </row>
    <row r="199" spans="1:29">
      <c r="A199" s="2899" t="s">
        <v>4275</v>
      </c>
      <c r="B199" s="2900" t="s">
        <v>4087</v>
      </c>
      <c r="C199" s="2901">
        <v>730</v>
      </c>
      <c r="D199" s="2902">
        <f t="shared" si="66"/>
        <v>2.0859646014664618E-3</v>
      </c>
      <c r="E199" s="2903">
        <v>65700</v>
      </c>
      <c r="F199" s="2904">
        <f t="shared" si="67"/>
        <v>2.2966903782760915E-3</v>
      </c>
      <c r="G199" s="2903">
        <f t="shared" si="68"/>
        <v>65700</v>
      </c>
      <c r="H199" s="2903">
        <f t="shared" si="69"/>
        <v>0</v>
      </c>
      <c r="I199" s="2905">
        <f t="shared" si="70"/>
        <v>41610</v>
      </c>
      <c r="J199" s="1096">
        <v>12731</v>
      </c>
      <c r="K199" s="2479">
        <f t="shared" ref="K199:K262" si="78">J199*40.96</f>
        <v>521461.76000000001</v>
      </c>
      <c r="L199" s="398">
        <f t="shared" si="71"/>
        <v>13140</v>
      </c>
      <c r="M199" s="1095">
        <f t="shared" si="72"/>
        <v>67481</v>
      </c>
      <c r="N199" s="2906">
        <f t="shared" si="73"/>
        <v>2.1239083090518521E-3</v>
      </c>
      <c r="O199" s="2907">
        <f t="shared" ref="O199:O262" si="79">N199-D199</f>
        <v>3.7943707585390372E-5</v>
      </c>
      <c r="P199" s="2908">
        <f t="shared" ref="P199:P262" si="80">C199*300</f>
        <v>219000</v>
      </c>
      <c r="Q199" s="1095">
        <f t="shared" ref="Q199:Q262" si="81">E199*0.91</f>
        <v>59787</v>
      </c>
      <c r="R199" s="2909">
        <f t="shared" ref="R199:R262" si="82">SUM(P199:Q199)</f>
        <v>278787</v>
      </c>
      <c r="S199" s="398">
        <f t="shared" ref="S199:S262" si="83">C199*0</f>
        <v>0</v>
      </c>
      <c r="T199" s="1095">
        <f t="shared" ref="T199:T262" si="84">E199*0</f>
        <v>0</v>
      </c>
      <c r="U199" s="398">
        <f t="shared" ref="U199:U262" si="85">SUM(S199:T199)</f>
        <v>0</v>
      </c>
      <c r="V199" s="2913">
        <v>0</v>
      </c>
      <c r="W199" s="1095">
        <f t="shared" si="74"/>
        <v>67728.92</v>
      </c>
      <c r="X199" s="1095">
        <f t="shared" si="75"/>
        <v>13140</v>
      </c>
      <c r="Y199" s="2909">
        <f t="shared" ref="Y199:Y262" si="86">SUM(V199:X199)</f>
        <v>80868.92</v>
      </c>
      <c r="Z199" s="2913">
        <v>0</v>
      </c>
      <c r="AA199" s="1095">
        <f t="shared" si="76"/>
        <v>36537.97</v>
      </c>
      <c r="AB199" s="1095">
        <f t="shared" si="77"/>
        <v>0</v>
      </c>
      <c r="AC199" s="2909">
        <f t="shared" ref="AC199:AC262" si="87">SUM(Z199:AB199)</f>
        <v>36537.97</v>
      </c>
    </row>
    <row r="200" spans="1:29">
      <c r="A200" s="2899" t="s">
        <v>4276</v>
      </c>
      <c r="B200" s="2900" t="s">
        <v>4196</v>
      </c>
      <c r="C200" s="2901">
        <v>210</v>
      </c>
      <c r="D200" s="2902">
        <f t="shared" si="66"/>
        <v>6.0007200864103688E-4</v>
      </c>
      <c r="E200" s="2903">
        <v>18900</v>
      </c>
      <c r="F200" s="2904">
        <f t="shared" si="67"/>
        <v>6.6069175265476613E-4</v>
      </c>
      <c r="G200" s="2903">
        <f t="shared" si="68"/>
        <v>18900</v>
      </c>
      <c r="H200" s="2903">
        <f t="shared" si="69"/>
        <v>0</v>
      </c>
      <c r="I200" s="2905">
        <f t="shared" si="70"/>
        <v>11970</v>
      </c>
      <c r="J200" s="1096">
        <v>3661.9999999999995</v>
      </c>
      <c r="K200" s="2479">
        <f t="shared" si="78"/>
        <v>149995.51999999999</v>
      </c>
      <c r="L200" s="398">
        <f t="shared" si="71"/>
        <v>3780</v>
      </c>
      <c r="M200" s="1095">
        <f t="shared" si="72"/>
        <v>19412</v>
      </c>
      <c r="N200" s="2906">
        <f t="shared" si="73"/>
        <v>6.1097654295749261E-4</v>
      </c>
      <c r="O200" s="2907">
        <f t="shared" si="79"/>
        <v>1.0904534316455721E-5</v>
      </c>
      <c r="P200" s="2908">
        <f t="shared" si="80"/>
        <v>63000</v>
      </c>
      <c r="Q200" s="1095">
        <f t="shared" si="81"/>
        <v>17199</v>
      </c>
      <c r="R200" s="2909">
        <f t="shared" si="82"/>
        <v>80199</v>
      </c>
      <c r="S200" s="398">
        <f t="shared" si="83"/>
        <v>0</v>
      </c>
      <c r="T200" s="1095">
        <f t="shared" si="84"/>
        <v>0</v>
      </c>
      <c r="U200" s="398">
        <f t="shared" si="85"/>
        <v>0</v>
      </c>
      <c r="V200" s="2913">
        <v>0</v>
      </c>
      <c r="W200" s="1095">
        <f t="shared" si="74"/>
        <v>19481.84</v>
      </c>
      <c r="X200" s="1095">
        <f t="shared" si="75"/>
        <v>3780</v>
      </c>
      <c r="Y200" s="2909">
        <f t="shared" si="86"/>
        <v>23261.84</v>
      </c>
      <c r="Z200" s="2913">
        <v>0</v>
      </c>
      <c r="AA200" s="1095">
        <f t="shared" si="76"/>
        <v>10509.939999999999</v>
      </c>
      <c r="AB200" s="1095">
        <f t="shared" si="77"/>
        <v>0</v>
      </c>
      <c r="AC200" s="2909">
        <f t="shared" si="87"/>
        <v>10509.939999999999</v>
      </c>
    </row>
    <row r="201" spans="1:29">
      <c r="A201" s="2914" t="s">
        <v>4277</v>
      </c>
      <c r="B201" s="2900" t="s">
        <v>4075</v>
      </c>
      <c r="C201" s="2901">
        <v>550</v>
      </c>
      <c r="D201" s="2902">
        <f t="shared" si="66"/>
        <v>1.57161716548843E-3</v>
      </c>
      <c r="E201" s="2903">
        <v>49500</v>
      </c>
      <c r="F201" s="2904">
        <f t="shared" si="67"/>
        <v>1.7303831617148636E-3</v>
      </c>
      <c r="G201" s="2903">
        <f t="shared" si="68"/>
        <v>49500</v>
      </c>
      <c r="H201" s="2903">
        <f t="shared" si="69"/>
        <v>0</v>
      </c>
      <c r="I201" s="2905">
        <f t="shared" si="70"/>
        <v>31350</v>
      </c>
      <c r="J201" s="1096">
        <v>9592</v>
      </c>
      <c r="K201" s="2479">
        <f t="shared" si="78"/>
        <v>392888.32000000001</v>
      </c>
      <c r="L201" s="398">
        <f t="shared" si="71"/>
        <v>9900</v>
      </c>
      <c r="M201" s="1095">
        <f t="shared" si="72"/>
        <v>50842</v>
      </c>
      <c r="N201" s="2906">
        <f t="shared" si="73"/>
        <v>1.6002096330643334E-3</v>
      </c>
      <c r="O201" s="2907">
        <f t="shared" si="79"/>
        <v>2.859246757590337E-5</v>
      </c>
      <c r="P201" s="2908">
        <f t="shared" si="80"/>
        <v>165000</v>
      </c>
      <c r="Q201" s="1095">
        <f t="shared" si="81"/>
        <v>45045</v>
      </c>
      <c r="R201" s="2909">
        <f t="shared" si="82"/>
        <v>210045</v>
      </c>
      <c r="S201" s="398">
        <f t="shared" si="83"/>
        <v>0</v>
      </c>
      <c r="T201" s="1095">
        <f t="shared" si="84"/>
        <v>0</v>
      </c>
      <c r="U201" s="398">
        <f t="shared" si="85"/>
        <v>0</v>
      </c>
      <c r="V201" s="2913">
        <v>0</v>
      </c>
      <c r="W201" s="1095">
        <f t="shared" si="74"/>
        <v>51029.440000000002</v>
      </c>
      <c r="X201" s="1095">
        <f t="shared" si="75"/>
        <v>9900</v>
      </c>
      <c r="Y201" s="2909">
        <f t="shared" si="86"/>
        <v>60929.440000000002</v>
      </c>
      <c r="Z201" s="2913">
        <v>0</v>
      </c>
      <c r="AA201" s="1095">
        <f t="shared" si="76"/>
        <v>27529.040000000001</v>
      </c>
      <c r="AB201" s="1095">
        <f t="shared" si="77"/>
        <v>0</v>
      </c>
      <c r="AC201" s="2909">
        <f t="shared" si="87"/>
        <v>27529.040000000001</v>
      </c>
    </row>
    <row r="202" spans="1:29">
      <c r="A202" s="2899" t="s">
        <v>4278</v>
      </c>
      <c r="B202" s="2900" t="s">
        <v>4071</v>
      </c>
      <c r="C202" s="2901">
        <v>155</v>
      </c>
      <c r="D202" s="2902">
        <f t="shared" si="66"/>
        <v>4.4291029209219394E-4</v>
      </c>
      <c r="E202" s="2903">
        <v>13950</v>
      </c>
      <c r="F202" s="2904">
        <f t="shared" si="67"/>
        <v>4.8765343648327975E-4</v>
      </c>
      <c r="G202" s="2903">
        <f t="shared" si="68"/>
        <v>13950</v>
      </c>
      <c r="H202" s="2903">
        <f t="shared" si="69"/>
        <v>0</v>
      </c>
      <c r="I202" s="2905">
        <f t="shared" si="70"/>
        <v>8835</v>
      </c>
      <c r="J202" s="1096">
        <v>0</v>
      </c>
      <c r="K202" s="2479">
        <f t="shared" si="78"/>
        <v>0</v>
      </c>
      <c r="L202" s="398">
        <f t="shared" si="71"/>
        <v>2790</v>
      </c>
      <c r="M202" s="1095">
        <f t="shared" si="72"/>
        <v>11625</v>
      </c>
      <c r="N202" s="2906">
        <f t="shared" si="73"/>
        <v>3.6588719925205292E-4</v>
      </c>
      <c r="O202" s="2907">
        <f t="shared" si="79"/>
        <v>-7.7023092840141022E-5</v>
      </c>
      <c r="P202" s="2908">
        <f t="shared" si="80"/>
        <v>46500</v>
      </c>
      <c r="Q202" s="1095">
        <f t="shared" si="81"/>
        <v>12694.5</v>
      </c>
      <c r="R202" s="2909">
        <f t="shared" si="82"/>
        <v>59194.5</v>
      </c>
      <c r="S202" s="398">
        <f t="shared" si="83"/>
        <v>0</v>
      </c>
      <c r="T202" s="1095">
        <f t="shared" si="84"/>
        <v>0</v>
      </c>
      <c r="U202" s="398">
        <f t="shared" si="85"/>
        <v>0</v>
      </c>
      <c r="V202" s="2913">
        <v>0</v>
      </c>
      <c r="W202" s="1095">
        <f t="shared" si="74"/>
        <v>0</v>
      </c>
      <c r="X202" s="1095">
        <f t="shared" si="75"/>
        <v>2790</v>
      </c>
      <c r="Y202" s="2909">
        <f t="shared" si="86"/>
        <v>2790</v>
      </c>
      <c r="Z202" s="2913">
        <v>0</v>
      </c>
      <c r="AA202" s="1095">
        <f t="shared" si="76"/>
        <v>0</v>
      </c>
      <c r="AB202" s="1095">
        <f t="shared" si="77"/>
        <v>0</v>
      </c>
      <c r="AC202" s="2909">
        <f t="shared" si="87"/>
        <v>0</v>
      </c>
    </row>
    <row r="203" spans="1:29">
      <c r="A203" s="2899" t="s">
        <v>4279</v>
      </c>
      <c r="B203" s="2900" t="s">
        <v>4115</v>
      </c>
      <c r="C203" s="2901">
        <v>220</v>
      </c>
      <c r="D203" s="2902">
        <f t="shared" si="66"/>
        <v>6.2864686619537201E-4</v>
      </c>
      <c r="E203" s="2903">
        <v>19800</v>
      </c>
      <c r="F203" s="2904">
        <f t="shared" si="67"/>
        <v>6.921532646859454E-4</v>
      </c>
      <c r="G203" s="2903">
        <f t="shared" si="68"/>
        <v>19800</v>
      </c>
      <c r="H203" s="2903">
        <f t="shared" si="69"/>
        <v>0</v>
      </c>
      <c r="I203" s="2905">
        <f t="shared" si="70"/>
        <v>12540</v>
      </c>
      <c r="J203" s="1096">
        <v>3836</v>
      </c>
      <c r="K203" s="2479">
        <f t="shared" si="78"/>
        <v>157122.56</v>
      </c>
      <c r="L203" s="398">
        <f t="shared" si="71"/>
        <v>3960</v>
      </c>
      <c r="M203" s="1095">
        <f t="shared" si="72"/>
        <v>20336</v>
      </c>
      <c r="N203" s="2906">
        <f t="shared" si="73"/>
        <v>6.4005867389159128E-4</v>
      </c>
      <c r="O203" s="2907">
        <f t="shared" si="79"/>
        <v>1.1411807696219277E-5</v>
      </c>
      <c r="P203" s="2908">
        <f t="shared" si="80"/>
        <v>66000</v>
      </c>
      <c r="Q203" s="1095">
        <f t="shared" si="81"/>
        <v>18018</v>
      </c>
      <c r="R203" s="2909">
        <f t="shared" si="82"/>
        <v>84018</v>
      </c>
      <c r="S203" s="398">
        <f t="shared" si="83"/>
        <v>0</v>
      </c>
      <c r="T203" s="1095">
        <f t="shared" si="84"/>
        <v>0</v>
      </c>
      <c r="U203" s="398">
        <f t="shared" si="85"/>
        <v>0</v>
      </c>
      <c r="V203" s="2913">
        <v>0</v>
      </c>
      <c r="W203" s="1095">
        <f t="shared" si="74"/>
        <v>20407.52</v>
      </c>
      <c r="X203" s="1095">
        <f t="shared" si="75"/>
        <v>3960</v>
      </c>
      <c r="Y203" s="2909">
        <f t="shared" si="86"/>
        <v>24367.52</v>
      </c>
      <c r="Z203" s="2913">
        <v>0</v>
      </c>
      <c r="AA203" s="1095">
        <f t="shared" si="76"/>
        <v>11009.32</v>
      </c>
      <c r="AB203" s="1095">
        <f t="shared" si="77"/>
        <v>0</v>
      </c>
      <c r="AC203" s="2909">
        <f t="shared" si="87"/>
        <v>11009.32</v>
      </c>
    </row>
    <row r="204" spans="1:29">
      <c r="A204" s="2899" t="s">
        <v>4280</v>
      </c>
      <c r="B204" s="2900" t="s">
        <v>4071</v>
      </c>
      <c r="C204" s="2901">
        <v>225</v>
      </c>
      <c r="D204" s="2902">
        <f t="shared" si="66"/>
        <v>6.4293429497253951E-4</v>
      </c>
      <c r="E204" s="2903">
        <v>20250</v>
      </c>
      <c r="F204" s="2904">
        <f t="shared" si="67"/>
        <v>7.0788402070153509E-4</v>
      </c>
      <c r="G204" s="2903">
        <f t="shared" si="68"/>
        <v>20250</v>
      </c>
      <c r="H204" s="2903">
        <f t="shared" si="69"/>
        <v>0</v>
      </c>
      <c r="I204" s="2905">
        <f t="shared" si="70"/>
        <v>12825</v>
      </c>
      <c r="J204" s="1096">
        <v>7848</v>
      </c>
      <c r="K204" s="2479">
        <f t="shared" si="78"/>
        <v>321454.08000000002</v>
      </c>
      <c r="L204" s="398">
        <f t="shared" si="71"/>
        <v>4050</v>
      </c>
      <c r="M204" s="1095">
        <f t="shared" si="72"/>
        <v>24723</v>
      </c>
      <c r="N204" s="2906">
        <f t="shared" si="73"/>
        <v>7.7813584749320463E-4</v>
      </c>
      <c r="O204" s="2907">
        <f t="shared" si="79"/>
        <v>1.3520155252066512E-4</v>
      </c>
      <c r="P204" s="2908">
        <f t="shared" si="80"/>
        <v>67500</v>
      </c>
      <c r="Q204" s="1095">
        <f t="shared" si="81"/>
        <v>18427.5</v>
      </c>
      <c r="R204" s="2909">
        <f t="shared" si="82"/>
        <v>85927.5</v>
      </c>
      <c r="S204" s="398">
        <f t="shared" si="83"/>
        <v>0</v>
      </c>
      <c r="T204" s="1095">
        <f t="shared" si="84"/>
        <v>0</v>
      </c>
      <c r="U204" s="398">
        <f t="shared" si="85"/>
        <v>0</v>
      </c>
      <c r="V204" s="2913">
        <v>0</v>
      </c>
      <c r="W204" s="1095">
        <f t="shared" si="74"/>
        <v>41751.360000000001</v>
      </c>
      <c r="X204" s="1095">
        <f t="shared" si="75"/>
        <v>4050</v>
      </c>
      <c r="Y204" s="2909">
        <f t="shared" si="86"/>
        <v>45801.36</v>
      </c>
      <c r="Z204" s="2913">
        <v>0</v>
      </c>
      <c r="AA204" s="1095">
        <f t="shared" si="76"/>
        <v>22523.760000000002</v>
      </c>
      <c r="AB204" s="1095">
        <f t="shared" si="77"/>
        <v>0</v>
      </c>
      <c r="AC204" s="2909">
        <f t="shared" si="87"/>
        <v>22523.760000000002</v>
      </c>
    </row>
    <row r="205" spans="1:29">
      <c r="A205" s="2899" t="s">
        <v>4281</v>
      </c>
      <c r="B205" s="2900" t="s">
        <v>4075</v>
      </c>
      <c r="C205" s="2901">
        <v>345</v>
      </c>
      <c r="D205" s="2902">
        <f t="shared" si="66"/>
        <v>9.8583258562456063E-4</v>
      </c>
      <c r="E205" s="2903">
        <v>31050</v>
      </c>
      <c r="F205" s="2904">
        <f t="shared" si="67"/>
        <v>1.0854221650756872E-3</v>
      </c>
      <c r="G205" s="2903">
        <f t="shared" si="68"/>
        <v>31050</v>
      </c>
      <c r="H205" s="2903">
        <f t="shared" si="69"/>
        <v>0</v>
      </c>
      <c r="I205" s="2905">
        <f t="shared" si="70"/>
        <v>19665</v>
      </c>
      <c r="J205" s="1096">
        <v>0</v>
      </c>
      <c r="K205" s="2479">
        <f t="shared" si="78"/>
        <v>0</v>
      </c>
      <c r="L205" s="398">
        <f t="shared" si="71"/>
        <v>6210</v>
      </c>
      <c r="M205" s="1095">
        <f t="shared" si="72"/>
        <v>25875</v>
      </c>
      <c r="N205" s="2906">
        <f t="shared" si="73"/>
        <v>8.1439408865779527E-4</v>
      </c>
      <c r="O205" s="2907">
        <f t="shared" si="79"/>
        <v>-1.7143849696676537E-4</v>
      </c>
      <c r="P205" s="2908">
        <f t="shared" si="80"/>
        <v>103500</v>
      </c>
      <c r="Q205" s="1095">
        <f t="shared" si="81"/>
        <v>28255.5</v>
      </c>
      <c r="R205" s="2909">
        <f t="shared" si="82"/>
        <v>131755.5</v>
      </c>
      <c r="S205" s="398">
        <f t="shared" si="83"/>
        <v>0</v>
      </c>
      <c r="T205" s="1095">
        <f t="shared" si="84"/>
        <v>0</v>
      </c>
      <c r="U205" s="398">
        <f t="shared" si="85"/>
        <v>0</v>
      </c>
      <c r="V205" s="2913">
        <v>0</v>
      </c>
      <c r="W205" s="1095">
        <f t="shared" si="74"/>
        <v>0</v>
      </c>
      <c r="X205" s="1095">
        <f t="shared" si="75"/>
        <v>6210</v>
      </c>
      <c r="Y205" s="2909">
        <f t="shared" si="86"/>
        <v>6210</v>
      </c>
      <c r="Z205" s="2913">
        <v>0</v>
      </c>
      <c r="AA205" s="1095">
        <f t="shared" si="76"/>
        <v>0</v>
      </c>
      <c r="AB205" s="1095">
        <f t="shared" si="77"/>
        <v>0</v>
      </c>
      <c r="AC205" s="2909">
        <f t="shared" si="87"/>
        <v>0</v>
      </c>
    </row>
    <row r="206" spans="1:29">
      <c r="A206" s="2899" t="s">
        <v>4282</v>
      </c>
      <c r="B206" s="2900" t="s">
        <v>4089</v>
      </c>
      <c r="C206" s="2901">
        <v>115</v>
      </c>
      <c r="D206" s="2902">
        <f t="shared" si="66"/>
        <v>3.2861086187485356E-4</v>
      </c>
      <c r="E206" s="2903">
        <v>10350</v>
      </c>
      <c r="F206" s="2904">
        <f t="shared" si="67"/>
        <v>3.6180738835856239E-4</v>
      </c>
      <c r="G206" s="2903">
        <f t="shared" si="68"/>
        <v>10350</v>
      </c>
      <c r="H206" s="2903">
        <f t="shared" si="69"/>
        <v>0</v>
      </c>
      <c r="I206" s="2905">
        <f t="shared" si="70"/>
        <v>6555</v>
      </c>
      <c r="J206" s="1096">
        <v>2005</v>
      </c>
      <c r="K206" s="2479">
        <f t="shared" si="78"/>
        <v>82124.800000000003</v>
      </c>
      <c r="L206" s="398">
        <f t="shared" si="71"/>
        <v>2070</v>
      </c>
      <c r="M206" s="1095">
        <f t="shared" si="72"/>
        <v>10630</v>
      </c>
      <c r="N206" s="2906">
        <f t="shared" si="73"/>
        <v>3.3457040241284498E-4</v>
      </c>
      <c r="O206" s="2907">
        <f t="shared" si="79"/>
        <v>5.9595405379914168E-6</v>
      </c>
      <c r="P206" s="2908">
        <f t="shared" si="80"/>
        <v>34500</v>
      </c>
      <c r="Q206" s="1095">
        <f t="shared" si="81"/>
        <v>9418.5</v>
      </c>
      <c r="R206" s="2909">
        <f t="shared" si="82"/>
        <v>43918.5</v>
      </c>
      <c r="S206" s="398">
        <f t="shared" si="83"/>
        <v>0</v>
      </c>
      <c r="T206" s="1095">
        <f t="shared" si="84"/>
        <v>0</v>
      </c>
      <c r="U206" s="398">
        <f t="shared" si="85"/>
        <v>0</v>
      </c>
      <c r="V206" s="2913">
        <v>0</v>
      </c>
      <c r="W206" s="1095">
        <f t="shared" si="74"/>
        <v>10666.6</v>
      </c>
      <c r="X206" s="1095">
        <f t="shared" si="75"/>
        <v>2070</v>
      </c>
      <c r="Y206" s="2909">
        <f t="shared" si="86"/>
        <v>12736.6</v>
      </c>
      <c r="Z206" s="2913">
        <v>0</v>
      </c>
      <c r="AA206" s="1095">
        <f t="shared" si="76"/>
        <v>5754.35</v>
      </c>
      <c r="AB206" s="1095">
        <f t="shared" si="77"/>
        <v>0</v>
      </c>
      <c r="AC206" s="2909">
        <f t="shared" si="87"/>
        <v>5754.35</v>
      </c>
    </row>
    <row r="207" spans="1:29">
      <c r="A207" s="2899" t="s">
        <v>3112</v>
      </c>
      <c r="B207" s="2900" t="s">
        <v>4080</v>
      </c>
      <c r="C207" s="2901">
        <v>170</v>
      </c>
      <c r="D207" s="2902">
        <f t="shared" si="66"/>
        <v>4.8577257842369656E-4</v>
      </c>
      <c r="E207" s="2903">
        <v>15300</v>
      </c>
      <c r="F207" s="2904">
        <f t="shared" si="67"/>
        <v>5.3484570453004871E-4</v>
      </c>
      <c r="G207" s="2903">
        <f t="shared" si="68"/>
        <v>15300</v>
      </c>
      <c r="H207" s="2903">
        <f t="shared" si="69"/>
        <v>0</v>
      </c>
      <c r="I207" s="2905">
        <f t="shared" si="70"/>
        <v>9690</v>
      </c>
      <c r="J207" s="1096">
        <v>0</v>
      </c>
      <c r="K207" s="2479">
        <f t="shared" si="78"/>
        <v>0</v>
      </c>
      <c r="L207" s="398">
        <f t="shared" si="71"/>
        <v>3060</v>
      </c>
      <c r="M207" s="1095">
        <f t="shared" si="72"/>
        <v>12750</v>
      </c>
      <c r="N207" s="2906">
        <f t="shared" si="73"/>
        <v>4.0129563788934836E-4</v>
      </c>
      <c r="O207" s="2907">
        <f t="shared" si="79"/>
        <v>-8.4476940534348208E-5</v>
      </c>
      <c r="P207" s="2908">
        <f t="shared" si="80"/>
        <v>51000</v>
      </c>
      <c r="Q207" s="1095">
        <f t="shared" si="81"/>
        <v>13923</v>
      </c>
      <c r="R207" s="2909">
        <f t="shared" si="82"/>
        <v>64923</v>
      </c>
      <c r="S207" s="398">
        <f t="shared" si="83"/>
        <v>0</v>
      </c>
      <c r="T207" s="1095">
        <f t="shared" si="84"/>
        <v>0</v>
      </c>
      <c r="U207" s="398">
        <f t="shared" si="85"/>
        <v>0</v>
      </c>
      <c r="V207" s="2913">
        <v>0</v>
      </c>
      <c r="W207" s="1095">
        <f t="shared" si="74"/>
        <v>0</v>
      </c>
      <c r="X207" s="1095">
        <f t="shared" si="75"/>
        <v>3060</v>
      </c>
      <c r="Y207" s="2909">
        <f t="shared" si="86"/>
        <v>3060</v>
      </c>
      <c r="Z207" s="2913">
        <v>0</v>
      </c>
      <c r="AA207" s="1095">
        <f t="shared" si="76"/>
        <v>0</v>
      </c>
      <c r="AB207" s="1095">
        <f t="shared" si="77"/>
        <v>0</v>
      </c>
      <c r="AC207" s="2909">
        <f t="shared" si="87"/>
        <v>0</v>
      </c>
    </row>
    <row r="208" spans="1:29">
      <c r="A208" s="2899" t="s">
        <v>4283</v>
      </c>
      <c r="B208" s="2900" t="s">
        <v>4104</v>
      </c>
      <c r="C208" s="2901">
        <v>330</v>
      </c>
      <c r="D208" s="2902">
        <f t="shared" si="66"/>
        <v>9.4297029929305801E-4</v>
      </c>
      <c r="E208" s="2903">
        <v>29700</v>
      </c>
      <c r="F208" s="2904">
        <f t="shared" si="67"/>
        <v>1.038229897028918E-3</v>
      </c>
      <c r="G208" s="2903">
        <f t="shared" si="68"/>
        <v>29700</v>
      </c>
      <c r="H208" s="2903">
        <f t="shared" si="69"/>
        <v>0</v>
      </c>
      <c r="I208" s="2905">
        <f t="shared" si="70"/>
        <v>18810</v>
      </c>
      <c r="J208" s="1096">
        <v>5755</v>
      </c>
      <c r="K208" s="2479">
        <f t="shared" si="78"/>
        <v>235724.80000000002</v>
      </c>
      <c r="L208" s="398">
        <f t="shared" si="71"/>
        <v>5940</v>
      </c>
      <c r="M208" s="1095">
        <f t="shared" si="72"/>
        <v>30505</v>
      </c>
      <c r="N208" s="2906">
        <f t="shared" si="73"/>
        <v>9.6011948500506449E-4</v>
      </c>
      <c r="O208" s="2907">
        <f t="shared" si="79"/>
        <v>1.7149185712006477E-5</v>
      </c>
      <c r="P208" s="2908">
        <f t="shared" si="80"/>
        <v>99000</v>
      </c>
      <c r="Q208" s="1095">
        <f t="shared" si="81"/>
        <v>27027</v>
      </c>
      <c r="R208" s="2909">
        <f t="shared" si="82"/>
        <v>126027</v>
      </c>
      <c r="S208" s="398">
        <f t="shared" si="83"/>
        <v>0</v>
      </c>
      <c r="T208" s="1095">
        <f t="shared" si="84"/>
        <v>0</v>
      </c>
      <c r="U208" s="398">
        <f t="shared" si="85"/>
        <v>0</v>
      </c>
      <c r="V208" s="2913">
        <v>0</v>
      </c>
      <c r="W208" s="1095">
        <f t="shared" si="74"/>
        <v>30616.600000000002</v>
      </c>
      <c r="X208" s="1095">
        <f t="shared" si="75"/>
        <v>5940</v>
      </c>
      <c r="Y208" s="2909">
        <f t="shared" si="86"/>
        <v>36556.600000000006</v>
      </c>
      <c r="Z208" s="2913">
        <v>0</v>
      </c>
      <c r="AA208" s="1095">
        <f t="shared" si="76"/>
        <v>16516.850000000002</v>
      </c>
      <c r="AB208" s="1095">
        <f t="shared" si="77"/>
        <v>0</v>
      </c>
      <c r="AC208" s="2909">
        <f t="shared" si="87"/>
        <v>16516.850000000002</v>
      </c>
    </row>
    <row r="209" spans="1:29">
      <c r="A209" s="2899" t="s">
        <v>4284</v>
      </c>
      <c r="B209" s="2900" t="s">
        <v>4069</v>
      </c>
      <c r="C209" s="2901">
        <v>710</v>
      </c>
      <c r="D209" s="2902">
        <f t="shared" si="66"/>
        <v>2.0288148863577913E-3</v>
      </c>
      <c r="E209" s="2903">
        <v>63900</v>
      </c>
      <c r="F209" s="2904">
        <f t="shared" si="67"/>
        <v>2.2337673542137328E-3</v>
      </c>
      <c r="G209" s="2903">
        <f t="shared" si="68"/>
        <v>63900</v>
      </c>
      <c r="H209" s="2903">
        <f t="shared" si="69"/>
        <v>0</v>
      </c>
      <c r="I209" s="2905">
        <f t="shared" si="70"/>
        <v>40470</v>
      </c>
      <c r="J209" s="1096">
        <v>0</v>
      </c>
      <c r="K209" s="2479">
        <f t="shared" si="78"/>
        <v>0</v>
      </c>
      <c r="L209" s="398">
        <f t="shared" si="71"/>
        <v>12780</v>
      </c>
      <c r="M209" s="1095">
        <f t="shared" si="72"/>
        <v>53250</v>
      </c>
      <c r="N209" s="2906">
        <f t="shared" si="73"/>
        <v>1.6759994288319843E-3</v>
      </c>
      <c r="O209" s="2907">
        <f t="shared" si="79"/>
        <v>-3.5281545752580698E-4</v>
      </c>
      <c r="P209" s="2908">
        <f t="shared" si="80"/>
        <v>213000</v>
      </c>
      <c r="Q209" s="1095">
        <f t="shared" si="81"/>
        <v>58149</v>
      </c>
      <c r="R209" s="2909">
        <f t="shared" si="82"/>
        <v>271149</v>
      </c>
      <c r="S209" s="398">
        <f t="shared" si="83"/>
        <v>0</v>
      </c>
      <c r="T209" s="1095">
        <f t="shared" si="84"/>
        <v>0</v>
      </c>
      <c r="U209" s="398">
        <f t="shared" si="85"/>
        <v>0</v>
      </c>
      <c r="V209" s="2913">
        <v>0</v>
      </c>
      <c r="W209" s="1095">
        <f t="shared" si="74"/>
        <v>0</v>
      </c>
      <c r="X209" s="1095">
        <f t="shared" si="75"/>
        <v>12780</v>
      </c>
      <c r="Y209" s="2909">
        <f t="shared" si="86"/>
        <v>12780</v>
      </c>
      <c r="Z209" s="2913">
        <v>0</v>
      </c>
      <c r="AA209" s="1095">
        <f t="shared" si="76"/>
        <v>0</v>
      </c>
      <c r="AB209" s="1095">
        <f t="shared" si="77"/>
        <v>0</v>
      </c>
      <c r="AC209" s="2909">
        <f t="shared" si="87"/>
        <v>0</v>
      </c>
    </row>
    <row r="210" spans="1:29">
      <c r="A210" s="2899" t="s">
        <v>4285</v>
      </c>
      <c r="B210" s="2900" t="s">
        <v>4087</v>
      </c>
      <c r="C210" s="2901">
        <v>150</v>
      </c>
      <c r="D210" s="2902">
        <f t="shared" si="66"/>
        <v>4.2862286331502638E-4</v>
      </c>
      <c r="E210" s="2903">
        <v>13500</v>
      </c>
      <c r="F210" s="2904">
        <f t="shared" si="67"/>
        <v>4.7192268046769006E-4</v>
      </c>
      <c r="G210" s="2903">
        <f t="shared" si="68"/>
        <v>13500</v>
      </c>
      <c r="H210" s="2903">
        <f t="shared" si="69"/>
        <v>0</v>
      </c>
      <c r="I210" s="2905">
        <f t="shared" si="70"/>
        <v>8550</v>
      </c>
      <c r="J210" s="1096">
        <v>2616</v>
      </c>
      <c r="K210" s="2479">
        <f t="shared" si="78"/>
        <v>107151.36</v>
      </c>
      <c r="L210" s="398">
        <f t="shared" si="71"/>
        <v>2700</v>
      </c>
      <c r="M210" s="1095">
        <f t="shared" si="72"/>
        <v>13866</v>
      </c>
      <c r="N210" s="2906">
        <f t="shared" si="73"/>
        <v>4.3642080901754547E-4</v>
      </c>
      <c r="O210" s="2907">
        <f t="shared" si="79"/>
        <v>7.797945702519096E-6</v>
      </c>
      <c r="P210" s="2908">
        <f t="shared" si="80"/>
        <v>45000</v>
      </c>
      <c r="Q210" s="1095">
        <f t="shared" si="81"/>
        <v>12285</v>
      </c>
      <c r="R210" s="2909">
        <f t="shared" si="82"/>
        <v>57285</v>
      </c>
      <c r="S210" s="398">
        <f t="shared" si="83"/>
        <v>0</v>
      </c>
      <c r="T210" s="1095">
        <f t="shared" si="84"/>
        <v>0</v>
      </c>
      <c r="U210" s="398">
        <f t="shared" si="85"/>
        <v>0</v>
      </c>
      <c r="V210" s="2913">
        <v>0</v>
      </c>
      <c r="W210" s="1095">
        <f t="shared" si="74"/>
        <v>13917.12</v>
      </c>
      <c r="X210" s="1095">
        <f t="shared" si="75"/>
        <v>2700</v>
      </c>
      <c r="Y210" s="2909">
        <f t="shared" si="86"/>
        <v>16617.120000000003</v>
      </c>
      <c r="Z210" s="2913">
        <v>0</v>
      </c>
      <c r="AA210" s="1095">
        <f t="shared" si="76"/>
        <v>7507.92</v>
      </c>
      <c r="AB210" s="1095">
        <f t="shared" si="77"/>
        <v>0</v>
      </c>
      <c r="AC210" s="2909">
        <f t="shared" si="87"/>
        <v>7507.92</v>
      </c>
    </row>
    <row r="211" spans="1:29">
      <c r="A211" s="2899" t="s">
        <v>4286</v>
      </c>
      <c r="B211" s="2900" t="s">
        <v>4129</v>
      </c>
      <c r="C211" s="2901">
        <v>8190</v>
      </c>
      <c r="D211" s="2902">
        <f t="shared" si="66"/>
        <v>2.3402808337000439E-2</v>
      </c>
      <c r="E211" s="2903">
        <v>0</v>
      </c>
      <c r="F211" s="2904">
        <f t="shared" si="67"/>
        <v>0</v>
      </c>
      <c r="G211" s="2903">
        <f t="shared" si="68"/>
        <v>737100</v>
      </c>
      <c r="H211" s="2903">
        <f t="shared" si="69"/>
        <v>-737100</v>
      </c>
      <c r="I211" s="2905">
        <f t="shared" si="70"/>
        <v>466830</v>
      </c>
      <c r="J211" s="1096">
        <v>90877</v>
      </c>
      <c r="K211" s="2479">
        <f t="shared" si="78"/>
        <v>3722321.9199999999</v>
      </c>
      <c r="L211" s="398">
        <f t="shared" si="71"/>
        <v>0</v>
      </c>
      <c r="M211" s="1095">
        <f t="shared" si="72"/>
        <v>557707</v>
      </c>
      <c r="N211" s="2906">
        <f t="shared" si="73"/>
        <v>1.7553363632969006E-2</v>
      </c>
      <c r="O211" s="2907">
        <f t="shared" si="79"/>
        <v>-5.8494447040314326E-3</v>
      </c>
      <c r="P211" s="2908">
        <f t="shared" si="80"/>
        <v>2457000</v>
      </c>
      <c r="Q211" s="1095">
        <f t="shared" si="81"/>
        <v>0</v>
      </c>
      <c r="R211" s="2909">
        <f t="shared" si="82"/>
        <v>2457000</v>
      </c>
      <c r="S211" s="398">
        <f t="shared" si="83"/>
        <v>0</v>
      </c>
      <c r="T211" s="1095">
        <f t="shared" si="84"/>
        <v>0</v>
      </c>
      <c r="U211" s="398">
        <f t="shared" si="85"/>
        <v>0</v>
      </c>
      <c r="V211" s="2913">
        <v>0</v>
      </c>
      <c r="W211" s="1095">
        <f t="shared" si="74"/>
        <v>483465.64</v>
      </c>
      <c r="X211" s="1095">
        <f t="shared" si="75"/>
        <v>0</v>
      </c>
      <c r="Y211" s="2909">
        <f t="shared" si="86"/>
        <v>483465.64</v>
      </c>
      <c r="Z211" s="2913">
        <v>0</v>
      </c>
      <c r="AA211" s="1095">
        <f t="shared" si="76"/>
        <v>260816.99000000002</v>
      </c>
      <c r="AB211" s="1095">
        <f t="shared" si="77"/>
        <v>0</v>
      </c>
      <c r="AC211" s="2909">
        <f t="shared" si="87"/>
        <v>260816.99000000002</v>
      </c>
    </row>
    <row r="212" spans="1:29">
      <c r="A212" s="2899" t="s">
        <v>4287</v>
      </c>
      <c r="B212" s="2900" t="s">
        <v>4071</v>
      </c>
      <c r="C212" s="2901">
        <v>260</v>
      </c>
      <c r="D212" s="2902">
        <f t="shared" si="66"/>
        <v>7.4294629641271238E-4</v>
      </c>
      <c r="E212" s="2903">
        <v>23400</v>
      </c>
      <c r="F212" s="2904">
        <f t="shared" si="67"/>
        <v>8.1799931281066282E-4</v>
      </c>
      <c r="G212" s="2903">
        <f t="shared" si="68"/>
        <v>23400</v>
      </c>
      <c r="H212" s="2903">
        <f t="shared" si="69"/>
        <v>0</v>
      </c>
      <c r="I212" s="2905">
        <f t="shared" si="70"/>
        <v>14820</v>
      </c>
      <c r="J212" s="1096">
        <v>4534</v>
      </c>
      <c r="K212" s="2479">
        <f t="shared" si="78"/>
        <v>185712.64000000001</v>
      </c>
      <c r="L212" s="398">
        <f t="shared" si="71"/>
        <v>4680</v>
      </c>
      <c r="M212" s="1095">
        <f t="shared" si="72"/>
        <v>24034</v>
      </c>
      <c r="N212" s="2906">
        <f t="shared" si="73"/>
        <v>7.5645014596334111E-4</v>
      </c>
      <c r="O212" s="2907">
        <f t="shared" si="79"/>
        <v>1.3503849550628735E-5</v>
      </c>
      <c r="P212" s="2908">
        <f t="shared" si="80"/>
        <v>78000</v>
      </c>
      <c r="Q212" s="1095">
        <f t="shared" si="81"/>
        <v>21294</v>
      </c>
      <c r="R212" s="2909">
        <f t="shared" si="82"/>
        <v>99294</v>
      </c>
      <c r="S212" s="398">
        <f t="shared" si="83"/>
        <v>0</v>
      </c>
      <c r="T212" s="1095">
        <f t="shared" si="84"/>
        <v>0</v>
      </c>
      <c r="U212" s="398">
        <f t="shared" si="85"/>
        <v>0</v>
      </c>
      <c r="V212" s="2913">
        <v>0</v>
      </c>
      <c r="W212" s="1095">
        <f t="shared" si="74"/>
        <v>24120.880000000001</v>
      </c>
      <c r="X212" s="1095">
        <f t="shared" si="75"/>
        <v>4680</v>
      </c>
      <c r="Y212" s="2909">
        <f t="shared" si="86"/>
        <v>28800.880000000001</v>
      </c>
      <c r="Z212" s="2913">
        <v>0</v>
      </c>
      <c r="AA212" s="1095">
        <f t="shared" si="76"/>
        <v>13012.58</v>
      </c>
      <c r="AB212" s="1095">
        <f t="shared" si="77"/>
        <v>0</v>
      </c>
      <c r="AC212" s="2909">
        <f t="shared" si="87"/>
        <v>13012.58</v>
      </c>
    </row>
    <row r="213" spans="1:29">
      <c r="A213" s="2899" t="s">
        <v>4288</v>
      </c>
      <c r="B213" s="2900" t="s">
        <v>4097</v>
      </c>
      <c r="C213" s="2901">
        <v>325</v>
      </c>
      <c r="D213" s="2902">
        <f t="shared" si="66"/>
        <v>9.286828705158905E-4</v>
      </c>
      <c r="E213" s="2903">
        <v>0</v>
      </c>
      <c r="F213" s="2904">
        <f t="shared" si="67"/>
        <v>0</v>
      </c>
      <c r="G213" s="2903">
        <f t="shared" si="68"/>
        <v>29250</v>
      </c>
      <c r="H213" s="2903">
        <f t="shared" si="69"/>
        <v>-29250</v>
      </c>
      <c r="I213" s="2905">
        <f t="shared" si="70"/>
        <v>18525</v>
      </c>
      <c r="J213" s="1096">
        <v>2929</v>
      </c>
      <c r="K213" s="2479">
        <f t="shared" si="78"/>
        <v>119971.84</v>
      </c>
      <c r="L213" s="398">
        <f t="shared" si="71"/>
        <v>0</v>
      </c>
      <c r="M213" s="1095">
        <f t="shared" si="72"/>
        <v>21454</v>
      </c>
      <c r="N213" s="2906">
        <f t="shared" si="73"/>
        <v>6.7524679335514352E-4</v>
      </c>
      <c r="O213" s="2907">
        <f t="shared" si="79"/>
        <v>-2.5343607716074698E-4</v>
      </c>
      <c r="P213" s="2908">
        <f t="shared" si="80"/>
        <v>97500</v>
      </c>
      <c r="Q213" s="1095">
        <f t="shared" si="81"/>
        <v>0</v>
      </c>
      <c r="R213" s="2909">
        <f t="shared" si="82"/>
        <v>97500</v>
      </c>
      <c r="S213" s="398">
        <f t="shared" si="83"/>
        <v>0</v>
      </c>
      <c r="T213" s="1095">
        <f t="shared" si="84"/>
        <v>0</v>
      </c>
      <c r="U213" s="398">
        <f t="shared" si="85"/>
        <v>0</v>
      </c>
      <c r="V213" s="2913">
        <v>0</v>
      </c>
      <c r="W213" s="1095">
        <f t="shared" si="74"/>
        <v>15582.28</v>
      </c>
      <c r="X213" s="1095">
        <f t="shared" si="75"/>
        <v>0</v>
      </c>
      <c r="Y213" s="2909">
        <f t="shared" si="86"/>
        <v>15582.28</v>
      </c>
      <c r="Z213" s="2913">
        <v>0</v>
      </c>
      <c r="AA213" s="1095">
        <f t="shared" si="76"/>
        <v>8406.23</v>
      </c>
      <c r="AB213" s="1095">
        <f t="shared" si="77"/>
        <v>0</v>
      </c>
      <c r="AC213" s="2909">
        <f t="shared" si="87"/>
        <v>8406.23</v>
      </c>
    </row>
    <row r="214" spans="1:29">
      <c r="A214" s="2899" t="s">
        <v>4289</v>
      </c>
      <c r="B214" s="2900" t="s">
        <v>4085</v>
      </c>
      <c r="C214" s="2901">
        <v>125</v>
      </c>
      <c r="D214" s="2902">
        <f t="shared" si="66"/>
        <v>3.5718571942918863E-4</v>
      </c>
      <c r="E214" s="2903">
        <v>11250</v>
      </c>
      <c r="F214" s="2904">
        <f t="shared" si="67"/>
        <v>3.9326890038974172E-4</v>
      </c>
      <c r="G214" s="2903">
        <f t="shared" si="68"/>
        <v>11250</v>
      </c>
      <c r="H214" s="2903">
        <f t="shared" si="69"/>
        <v>0</v>
      </c>
      <c r="I214" s="2905">
        <f t="shared" si="70"/>
        <v>7125</v>
      </c>
      <c r="J214" s="1096">
        <v>2179</v>
      </c>
      <c r="K214" s="2479">
        <f t="shared" si="78"/>
        <v>89251.839999999997</v>
      </c>
      <c r="L214" s="398">
        <f t="shared" si="71"/>
        <v>2250</v>
      </c>
      <c r="M214" s="1095">
        <f t="shared" si="72"/>
        <v>11554</v>
      </c>
      <c r="N214" s="2906">
        <f t="shared" si="73"/>
        <v>3.636525333469436E-4</v>
      </c>
      <c r="O214" s="2907">
        <f t="shared" si="79"/>
        <v>6.4668139177549732E-6</v>
      </c>
      <c r="P214" s="2908">
        <f t="shared" si="80"/>
        <v>37500</v>
      </c>
      <c r="Q214" s="1095">
        <f t="shared" si="81"/>
        <v>10237.5</v>
      </c>
      <c r="R214" s="2909">
        <f t="shared" si="82"/>
        <v>47737.5</v>
      </c>
      <c r="S214" s="398">
        <f t="shared" si="83"/>
        <v>0</v>
      </c>
      <c r="T214" s="1095">
        <f t="shared" si="84"/>
        <v>0</v>
      </c>
      <c r="U214" s="398">
        <f t="shared" si="85"/>
        <v>0</v>
      </c>
      <c r="V214" s="2913">
        <v>0</v>
      </c>
      <c r="W214" s="1095">
        <f t="shared" si="74"/>
        <v>11592.28</v>
      </c>
      <c r="X214" s="1095">
        <f t="shared" si="75"/>
        <v>2250</v>
      </c>
      <c r="Y214" s="2909">
        <f t="shared" si="86"/>
        <v>13842.28</v>
      </c>
      <c r="Z214" s="2913">
        <v>0</v>
      </c>
      <c r="AA214" s="1095">
        <f t="shared" si="76"/>
        <v>6253.7300000000005</v>
      </c>
      <c r="AB214" s="1095">
        <f t="shared" si="77"/>
        <v>0</v>
      </c>
      <c r="AC214" s="2909">
        <f t="shared" si="87"/>
        <v>6253.7300000000005</v>
      </c>
    </row>
    <row r="215" spans="1:29">
      <c r="A215" s="2899" t="s">
        <v>4290</v>
      </c>
      <c r="B215" s="2900" t="s">
        <v>4089</v>
      </c>
      <c r="C215" s="2901">
        <v>100</v>
      </c>
      <c r="D215" s="2902">
        <f t="shared" si="66"/>
        <v>2.8574857554335094E-4</v>
      </c>
      <c r="E215" s="2903">
        <v>9000</v>
      </c>
      <c r="F215" s="2904">
        <f t="shared" si="67"/>
        <v>3.1461512031179337E-4</v>
      </c>
      <c r="G215" s="2903">
        <f t="shared" si="68"/>
        <v>9000</v>
      </c>
      <c r="H215" s="2903">
        <f t="shared" si="69"/>
        <v>0</v>
      </c>
      <c r="I215" s="2905">
        <f t="shared" si="70"/>
        <v>5700</v>
      </c>
      <c r="J215" s="1096">
        <v>1744</v>
      </c>
      <c r="K215" s="2479">
        <f t="shared" si="78"/>
        <v>71434.240000000005</v>
      </c>
      <c r="L215" s="398">
        <f t="shared" si="71"/>
        <v>1800</v>
      </c>
      <c r="M215" s="1095">
        <f t="shared" si="72"/>
        <v>9244</v>
      </c>
      <c r="N215" s="2906">
        <f t="shared" si="73"/>
        <v>2.9094720601169696E-4</v>
      </c>
      <c r="O215" s="2907">
        <f t="shared" si="79"/>
        <v>5.1986304683460278E-6</v>
      </c>
      <c r="P215" s="2908">
        <f t="shared" si="80"/>
        <v>30000</v>
      </c>
      <c r="Q215" s="1095">
        <f t="shared" si="81"/>
        <v>8190</v>
      </c>
      <c r="R215" s="2909">
        <f t="shared" si="82"/>
        <v>38190</v>
      </c>
      <c r="S215" s="398">
        <f t="shared" si="83"/>
        <v>0</v>
      </c>
      <c r="T215" s="1095">
        <f t="shared" si="84"/>
        <v>0</v>
      </c>
      <c r="U215" s="398">
        <f t="shared" si="85"/>
        <v>0</v>
      </c>
      <c r="V215" s="2913">
        <v>0</v>
      </c>
      <c r="W215" s="1095">
        <f t="shared" si="74"/>
        <v>9278.08</v>
      </c>
      <c r="X215" s="1095">
        <f t="shared" si="75"/>
        <v>1800</v>
      </c>
      <c r="Y215" s="2909">
        <f t="shared" si="86"/>
        <v>11078.08</v>
      </c>
      <c r="Z215" s="2913">
        <v>0</v>
      </c>
      <c r="AA215" s="1095">
        <f t="shared" si="76"/>
        <v>5005.28</v>
      </c>
      <c r="AB215" s="1095">
        <f t="shared" si="77"/>
        <v>0</v>
      </c>
      <c r="AC215" s="2909">
        <f t="shared" si="87"/>
        <v>5005.28</v>
      </c>
    </row>
    <row r="216" spans="1:29">
      <c r="A216" s="2899" t="s">
        <v>4291</v>
      </c>
      <c r="B216" s="2900" t="s">
        <v>4077</v>
      </c>
      <c r="C216" s="2901">
        <v>225</v>
      </c>
      <c r="D216" s="2902">
        <f t="shared" si="66"/>
        <v>6.4293429497253951E-4</v>
      </c>
      <c r="E216" s="2903">
        <v>20250</v>
      </c>
      <c r="F216" s="2904">
        <f t="shared" si="67"/>
        <v>7.0788402070153509E-4</v>
      </c>
      <c r="G216" s="2903">
        <f t="shared" si="68"/>
        <v>20250</v>
      </c>
      <c r="H216" s="2903">
        <f t="shared" si="69"/>
        <v>0</v>
      </c>
      <c r="I216" s="2905">
        <f t="shared" si="70"/>
        <v>12825</v>
      </c>
      <c r="J216" s="1096">
        <v>3924</v>
      </c>
      <c r="K216" s="2479">
        <f t="shared" si="78"/>
        <v>160727.04000000001</v>
      </c>
      <c r="L216" s="398">
        <f t="shared" si="71"/>
        <v>4050</v>
      </c>
      <c r="M216" s="1095">
        <f t="shared" si="72"/>
        <v>20799</v>
      </c>
      <c r="N216" s="2906">
        <f t="shared" si="73"/>
        <v>6.5463121352631818E-4</v>
      </c>
      <c r="O216" s="2907">
        <f t="shared" si="79"/>
        <v>1.1696918553778671E-5</v>
      </c>
      <c r="P216" s="2908">
        <f t="shared" si="80"/>
        <v>67500</v>
      </c>
      <c r="Q216" s="1095">
        <f t="shared" si="81"/>
        <v>18427.5</v>
      </c>
      <c r="R216" s="2909">
        <f t="shared" si="82"/>
        <v>85927.5</v>
      </c>
      <c r="S216" s="398">
        <f t="shared" si="83"/>
        <v>0</v>
      </c>
      <c r="T216" s="1095">
        <f t="shared" si="84"/>
        <v>0</v>
      </c>
      <c r="U216" s="398">
        <f t="shared" si="85"/>
        <v>0</v>
      </c>
      <c r="V216" s="2913">
        <v>0</v>
      </c>
      <c r="W216" s="1095">
        <f t="shared" si="74"/>
        <v>20875.68</v>
      </c>
      <c r="X216" s="1095">
        <f t="shared" si="75"/>
        <v>4050</v>
      </c>
      <c r="Y216" s="2909">
        <f t="shared" si="86"/>
        <v>24925.68</v>
      </c>
      <c r="Z216" s="2913">
        <v>0</v>
      </c>
      <c r="AA216" s="1095">
        <f t="shared" si="76"/>
        <v>11261.880000000001</v>
      </c>
      <c r="AB216" s="1095">
        <f t="shared" si="77"/>
        <v>0</v>
      </c>
      <c r="AC216" s="2909">
        <f t="shared" si="87"/>
        <v>11261.880000000001</v>
      </c>
    </row>
    <row r="217" spans="1:29">
      <c r="A217" s="2899" t="s">
        <v>4292</v>
      </c>
      <c r="B217" s="2900" t="s">
        <v>4125</v>
      </c>
      <c r="C217" s="2901">
        <v>670</v>
      </c>
      <c r="D217" s="2902">
        <f t="shared" si="66"/>
        <v>1.9145154561404512E-3</v>
      </c>
      <c r="E217" s="2903">
        <v>30150</v>
      </c>
      <c r="F217" s="2904">
        <f t="shared" si="67"/>
        <v>1.0539606530445078E-3</v>
      </c>
      <c r="G217" s="2903">
        <f t="shared" si="68"/>
        <v>60300</v>
      </c>
      <c r="H217" s="2903">
        <f t="shared" si="69"/>
        <v>-30150</v>
      </c>
      <c r="I217" s="2905">
        <f t="shared" si="70"/>
        <v>38190</v>
      </c>
      <c r="J217" s="1096">
        <v>11685</v>
      </c>
      <c r="K217" s="2479">
        <f t="shared" si="78"/>
        <v>478617.60000000003</v>
      </c>
      <c r="L217" s="398">
        <f t="shared" si="71"/>
        <v>6030</v>
      </c>
      <c r="M217" s="1095">
        <f t="shared" si="72"/>
        <v>55905</v>
      </c>
      <c r="N217" s="2906">
        <f t="shared" si="73"/>
        <v>1.7595633440160017E-3</v>
      </c>
      <c r="O217" s="2907">
        <f t="shared" si="79"/>
        <v>-1.5495211212444957E-4</v>
      </c>
      <c r="P217" s="2908">
        <f t="shared" si="80"/>
        <v>201000</v>
      </c>
      <c r="Q217" s="1095">
        <f t="shared" si="81"/>
        <v>27436.5</v>
      </c>
      <c r="R217" s="2909">
        <f t="shared" si="82"/>
        <v>228436.5</v>
      </c>
      <c r="S217" s="398">
        <f t="shared" si="83"/>
        <v>0</v>
      </c>
      <c r="T217" s="1095">
        <f t="shared" si="84"/>
        <v>0</v>
      </c>
      <c r="U217" s="398">
        <f t="shared" si="85"/>
        <v>0</v>
      </c>
      <c r="V217" s="2913">
        <v>0</v>
      </c>
      <c r="W217" s="1095">
        <f t="shared" si="74"/>
        <v>62164.200000000004</v>
      </c>
      <c r="X217" s="1095">
        <f t="shared" si="75"/>
        <v>6030</v>
      </c>
      <c r="Y217" s="2909">
        <f t="shared" si="86"/>
        <v>68194.200000000012</v>
      </c>
      <c r="Z217" s="2913">
        <v>0</v>
      </c>
      <c r="AA217" s="1095">
        <f t="shared" si="76"/>
        <v>33535.950000000004</v>
      </c>
      <c r="AB217" s="1095">
        <f t="shared" si="77"/>
        <v>0</v>
      </c>
      <c r="AC217" s="2909">
        <f t="shared" si="87"/>
        <v>33535.950000000004</v>
      </c>
    </row>
    <row r="218" spans="1:29">
      <c r="A218" s="2899" t="s">
        <v>4293</v>
      </c>
      <c r="B218" s="2900" t="s">
        <v>4129</v>
      </c>
      <c r="C218" s="2901">
        <v>180</v>
      </c>
      <c r="D218" s="2902">
        <f t="shared" si="66"/>
        <v>5.1434743597803163E-4</v>
      </c>
      <c r="E218" s="2903">
        <v>16200</v>
      </c>
      <c r="F218" s="2904">
        <f t="shared" si="67"/>
        <v>5.6630721656122809E-4</v>
      </c>
      <c r="G218" s="2903">
        <f t="shared" si="68"/>
        <v>16200</v>
      </c>
      <c r="H218" s="2903">
        <f t="shared" si="69"/>
        <v>0</v>
      </c>
      <c r="I218" s="2905">
        <f t="shared" si="70"/>
        <v>10260</v>
      </c>
      <c r="J218" s="1096">
        <v>6278</v>
      </c>
      <c r="K218" s="2479">
        <f t="shared" si="78"/>
        <v>257146.88</v>
      </c>
      <c r="L218" s="398">
        <f t="shared" si="71"/>
        <v>3240</v>
      </c>
      <c r="M218" s="1095">
        <f t="shared" si="72"/>
        <v>19778</v>
      </c>
      <c r="N218" s="2906">
        <f t="shared" si="73"/>
        <v>6.2249608832749272E-4</v>
      </c>
      <c r="O218" s="2907">
        <f t="shared" si="79"/>
        <v>1.0814865234946109E-4</v>
      </c>
      <c r="P218" s="2908">
        <f t="shared" si="80"/>
        <v>54000</v>
      </c>
      <c r="Q218" s="1095">
        <f t="shared" si="81"/>
        <v>14742</v>
      </c>
      <c r="R218" s="2909">
        <f t="shared" si="82"/>
        <v>68742</v>
      </c>
      <c r="S218" s="398">
        <f t="shared" si="83"/>
        <v>0</v>
      </c>
      <c r="T218" s="1095">
        <f t="shared" si="84"/>
        <v>0</v>
      </c>
      <c r="U218" s="398">
        <f t="shared" si="85"/>
        <v>0</v>
      </c>
      <c r="V218" s="2913">
        <v>0</v>
      </c>
      <c r="W218" s="1095">
        <f t="shared" si="74"/>
        <v>33398.959999999999</v>
      </c>
      <c r="X218" s="1095">
        <f t="shared" si="75"/>
        <v>3240</v>
      </c>
      <c r="Y218" s="2909">
        <f t="shared" si="86"/>
        <v>36638.959999999999</v>
      </c>
      <c r="Z218" s="2913">
        <v>0</v>
      </c>
      <c r="AA218" s="1095">
        <f t="shared" si="76"/>
        <v>18017.86</v>
      </c>
      <c r="AB218" s="1095">
        <f t="shared" si="77"/>
        <v>0</v>
      </c>
      <c r="AC218" s="2909">
        <f t="shared" si="87"/>
        <v>18017.86</v>
      </c>
    </row>
    <row r="219" spans="1:29">
      <c r="A219" s="2899" t="s">
        <v>4294</v>
      </c>
      <c r="B219" s="2900" t="s">
        <v>4073</v>
      </c>
      <c r="C219" s="2901">
        <v>130</v>
      </c>
      <c r="D219" s="2902">
        <f t="shared" si="66"/>
        <v>3.7147314820635619E-4</v>
      </c>
      <c r="E219" s="2903">
        <v>11700</v>
      </c>
      <c r="F219" s="2904">
        <f t="shared" si="67"/>
        <v>4.0899965640533141E-4</v>
      </c>
      <c r="G219" s="2903">
        <f t="shared" si="68"/>
        <v>11700</v>
      </c>
      <c r="H219" s="2903">
        <f t="shared" si="69"/>
        <v>0</v>
      </c>
      <c r="I219" s="2905">
        <f t="shared" si="70"/>
        <v>7410</v>
      </c>
      <c r="J219" s="1096">
        <v>4534</v>
      </c>
      <c r="K219" s="2479">
        <f t="shared" si="78"/>
        <v>185712.64000000001</v>
      </c>
      <c r="L219" s="398">
        <f t="shared" si="71"/>
        <v>2340</v>
      </c>
      <c r="M219" s="1095">
        <f t="shared" si="72"/>
        <v>14284</v>
      </c>
      <c r="N219" s="2906">
        <f t="shared" si="73"/>
        <v>4.4957701110678053E-4</v>
      </c>
      <c r="O219" s="2907">
        <f t="shared" si="79"/>
        <v>7.810386290042434E-5</v>
      </c>
      <c r="P219" s="2908">
        <f t="shared" si="80"/>
        <v>39000</v>
      </c>
      <c r="Q219" s="1095">
        <f t="shared" si="81"/>
        <v>10647</v>
      </c>
      <c r="R219" s="2909">
        <f t="shared" si="82"/>
        <v>49647</v>
      </c>
      <c r="S219" s="398">
        <f t="shared" si="83"/>
        <v>0</v>
      </c>
      <c r="T219" s="1095">
        <f t="shared" si="84"/>
        <v>0</v>
      </c>
      <c r="U219" s="398">
        <f t="shared" si="85"/>
        <v>0</v>
      </c>
      <c r="V219" s="2913">
        <v>0</v>
      </c>
      <c r="W219" s="1095">
        <f t="shared" si="74"/>
        <v>24120.880000000001</v>
      </c>
      <c r="X219" s="1095">
        <f t="shared" si="75"/>
        <v>2340</v>
      </c>
      <c r="Y219" s="2909">
        <f t="shared" si="86"/>
        <v>26460.880000000001</v>
      </c>
      <c r="Z219" s="2913">
        <v>0</v>
      </c>
      <c r="AA219" s="1095">
        <f t="shared" si="76"/>
        <v>13012.58</v>
      </c>
      <c r="AB219" s="1095">
        <f t="shared" si="77"/>
        <v>0</v>
      </c>
      <c r="AC219" s="2909">
        <f t="shared" si="87"/>
        <v>13012.58</v>
      </c>
    </row>
    <row r="220" spans="1:29">
      <c r="A220" s="2899" t="s">
        <v>4295</v>
      </c>
      <c r="B220" s="2900" t="s">
        <v>4087</v>
      </c>
      <c r="C220" s="2901">
        <v>175</v>
      </c>
      <c r="D220" s="2902">
        <f t="shared" si="66"/>
        <v>5.0006000720086412E-4</v>
      </c>
      <c r="E220" s="2903">
        <v>15750</v>
      </c>
      <c r="F220" s="2904">
        <f t="shared" si="67"/>
        <v>5.505764605456384E-4</v>
      </c>
      <c r="G220" s="2903">
        <f t="shared" si="68"/>
        <v>15750</v>
      </c>
      <c r="H220" s="2903">
        <f t="shared" si="69"/>
        <v>0</v>
      </c>
      <c r="I220" s="2905">
        <f t="shared" si="70"/>
        <v>9975</v>
      </c>
      <c r="J220" s="1096">
        <v>6104</v>
      </c>
      <c r="K220" s="2479">
        <f t="shared" si="78"/>
        <v>250019.84</v>
      </c>
      <c r="L220" s="398">
        <f t="shared" si="71"/>
        <v>3150</v>
      </c>
      <c r="M220" s="1095">
        <f t="shared" si="72"/>
        <v>19229</v>
      </c>
      <c r="N220" s="2906">
        <f t="shared" si="73"/>
        <v>6.0521677027249249E-4</v>
      </c>
      <c r="O220" s="2907">
        <f t="shared" si="79"/>
        <v>1.0515676307162837E-4</v>
      </c>
      <c r="P220" s="2908">
        <f t="shared" si="80"/>
        <v>52500</v>
      </c>
      <c r="Q220" s="1095">
        <f t="shared" si="81"/>
        <v>14332.5</v>
      </c>
      <c r="R220" s="2909">
        <f t="shared" si="82"/>
        <v>66832.5</v>
      </c>
      <c r="S220" s="398">
        <f t="shared" si="83"/>
        <v>0</v>
      </c>
      <c r="T220" s="1095">
        <f t="shared" si="84"/>
        <v>0</v>
      </c>
      <c r="U220" s="398">
        <f t="shared" si="85"/>
        <v>0</v>
      </c>
      <c r="V220" s="2913">
        <v>0</v>
      </c>
      <c r="W220" s="1095">
        <f t="shared" si="74"/>
        <v>32473.280000000002</v>
      </c>
      <c r="X220" s="1095">
        <f t="shared" si="75"/>
        <v>3150</v>
      </c>
      <c r="Y220" s="2909">
        <f t="shared" si="86"/>
        <v>35623.279999999999</v>
      </c>
      <c r="Z220" s="2913">
        <v>0</v>
      </c>
      <c r="AA220" s="1095">
        <f t="shared" si="76"/>
        <v>17518.48</v>
      </c>
      <c r="AB220" s="1095">
        <f t="shared" si="77"/>
        <v>0</v>
      </c>
      <c r="AC220" s="2909">
        <f t="shared" si="87"/>
        <v>17518.48</v>
      </c>
    </row>
    <row r="221" spans="1:29">
      <c r="A221" s="2899" t="s">
        <v>4296</v>
      </c>
      <c r="B221" s="2900" t="s">
        <v>4077</v>
      </c>
      <c r="C221" s="2901">
        <v>250</v>
      </c>
      <c r="D221" s="2902">
        <f t="shared" si="66"/>
        <v>7.1437143885837726E-4</v>
      </c>
      <c r="E221" s="2903">
        <v>22500</v>
      </c>
      <c r="F221" s="2904">
        <f t="shared" si="67"/>
        <v>7.8653780077948343E-4</v>
      </c>
      <c r="G221" s="2903">
        <f t="shared" si="68"/>
        <v>22500</v>
      </c>
      <c r="H221" s="2903">
        <f t="shared" si="69"/>
        <v>0</v>
      </c>
      <c r="I221" s="2905">
        <f t="shared" si="70"/>
        <v>14250</v>
      </c>
      <c r="J221" s="1096">
        <v>4359</v>
      </c>
      <c r="K221" s="2479">
        <f t="shared" si="78"/>
        <v>178544.64000000001</v>
      </c>
      <c r="L221" s="398">
        <f t="shared" si="71"/>
        <v>4500</v>
      </c>
      <c r="M221" s="1095">
        <f t="shared" si="72"/>
        <v>23109</v>
      </c>
      <c r="N221" s="2906">
        <f t="shared" si="73"/>
        <v>7.2733654086156482E-4</v>
      </c>
      <c r="O221" s="2907">
        <f t="shared" si="79"/>
        <v>1.2965102003187562E-5</v>
      </c>
      <c r="P221" s="2908">
        <f t="shared" si="80"/>
        <v>75000</v>
      </c>
      <c r="Q221" s="1095">
        <f t="shared" si="81"/>
        <v>20475</v>
      </c>
      <c r="R221" s="2909">
        <f t="shared" si="82"/>
        <v>95475</v>
      </c>
      <c r="S221" s="398">
        <f t="shared" si="83"/>
        <v>0</v>
      </c>
      <c r="T221" s="1095">
        <f t="shared" si="84"/>
        <v>0</v>
      </c>
      <c r="U221" s="398">
        <f t="shared" si="85"/>
        <v>0</v>
      </c>
      <c r="V221" s="2913">
        <v>0</v>
      </c>
      <c r="W221" s="1095">
        <f t="shared" si="74"/>
        <v>23189.88</v>
      </c>
      <c r="X221" s="1095">
        <f t="shared" si="75"/>
        <v>4500</v>
      </c>
      <c r="Y221" s="2909">
        <f t="shared" si="86"/>
        <v>27689.88</v>
      </c>
      <c r="Z221" s="2913">
        <v>0</v>
      </c>
      <c r="AA221" s="1095">
        <f t="shared" si="76"/>
        <v>12510.33</v>
      </c>
      <c r="AB221" s="1095">
        <f t="shared" si="77"/>
        <v>0</v>
      </c>
      <c r="AC221" s="2909">
        <f t="shared" si="87"/>
        <v>12510.33</v>
      </c>
    </row>
    <row r="222" spans="1:29">
      <c r="A222" s="2899" t="s">
        <v>4297</v>
      </c>
      <c r="B222" s="2900" t="s">
        <v>4115</v>
      </c>
      <c r="C222" s="2901">
        <v>200</v>
      </c>
      <c r="D222" s="2902">
        <f t="shared" si="66"/>
        <v>5.7149715108670187E-4</v>
      </c>
      <c r="E222" s="2903">
        <v>18000</v>
      </c>
      <c r="F222" s="2904">
        <f t="shared" si="67"/>
        <v>6.2923024062358675E-4</v>
      </c>
      <c r="G222" s="2903">
        <f t="shared" si="68"/>
        <v>18000</v>
      </c>
      <c r="H222" s="2903">
        <f t="shared" si="69"/>
        <v>0</v>
      </c>
      <c r="I222" s="2905">
        <f t="shared" si="70"/>
        <v>11400</v>
      </c>
      <c r="J222" s="1096">
        <v>0</v>
      </c>
      <c r="K222" s="2479">
        <f t="shared" si="78"/>
        <v>0</v>
      </c>
      <c r="L222" s="398">
        <f t="shared" si="71"/>
        <v>3600</v>
      </c>
      <c r="M222" s="1095">
        <f t="shared" si="72"/>
        <v>15000</v>
      </c>
      <c r="N222" s="2906">
        <f t="shared" si="73"/>
        <v>4.7211251516393924E-4</v>
      </c>
      <c r="O222" s="2907">
        <f t="shared" si="79"/>
        <v>-9.9384635922762632E-5</v>
      </c>
      <c r="P222" s="2908">
        <f t="shared" si="80"/>
        <v>60000</v>
      </c>
      <c r="Q222" s="1095">
        <f t="shared" si="81"/>
        <v>16380</v>
      </c>
      <c r="R222" s="2909">
        <f t="shared" si="82"/>
        <v>76380</v>
      </c>
      <c r="S222" s="398">
        <f t="shared" si="83"/>
        <v>0</v>
      </c>
      <c r="T222" s="1095">
        <f t="shared" si="84"/>
        <v>0</v>
      </c>
      <c r="U222" s="398">
        <f t="shared" si="85"/>
        <v>0</v>
      </c>
      <c r="V222" s="2913">
        <v>0</v>
      </c>
      <c r="W222" s="1095">
        <f t="shared" si="74"/>
        <v>0</v>
      </c>
      <c r="X222" s="1095">
        <f t="shared" si="75"/>
        <v>3600</v>
      </c>
      <c r="Y222" s="2909">
        <f t="shared" si="86"/>
        <v>3600</v>
      </c>
      <c r="Z222" s="2913">
        <v>0</v>
      </c>
      <c r="AA222" s="1095">
        <f t="shared" si="76"/>
        <v>0</v>
      </c>
      <c r="AB222" s="1095">
        <f t="shared" si="77"/>
        <v>0</v>
      </c>
      <c r="AC222" s="2909">
        <f t="shared" si="87"/>
        <v>0</v>
      </c>
    </row>
    <row r="223" spans="1:29">
      <c r="A223" s="2899" t="s">
        <v>4298</v>
      </c>
      <c r="B223" s="2900" t="s">
        <v>4115</v>
      </c>
      <c r="C223" s="2901">
        <v>215</v>
      </c>
      <c r="D223" s="2902">
        <f t="shared" si="66"/>
        <v>6.143594374182045E-4</v>
      </c>
      <c r="E223" s="2903">
        <v>19350</v>
      </c>
      <c r="F223" s="2904">
        <f t="shared" si="67"/>
        <v>6.7642250867035571E-4</v>
      </c>
      <c r="G223" s="2903">
        <f t="shared" si="68"/>
        <v>19350</v>
      </c>
      <c r="H223" s="2903">
        <f t="shared" si="69"/>
        <v>0</v>
      </c>
      <c r="I223" s="2905">
        <f t="shared" si="70"/>
        <v>12255</v>
      </c>
      <c r="J223" s="1096">
        <v>7498</v>
      </c>
      <c r="K223" s="2479">
        <f t="shared" si="78"/>
        <v>307118.08000000002</v>
      </c>
      <c r="L223" s="398">
        <f t="shared" si="71"/>
        <v>3870</v>
      </c>
      <c r="M223" s="1095">
        <f t="shared" si="72"/>
        <v>23623</v>
      </c>
      <c r="N223" s="2906">
        <f t="shared" si="73"/>
        <v>7.4351426304784915E-4</v>
      </c>
      <c r="O223" s="2907">
        <f t="shared" si="79"/>
        <v>1.2915482562964465E-4</v>
      </c>
      <c r="P223" s="2908">
        <f t="shared" si="80"/>
        <v>64500</v>
      </c>
      <c r="Q223" s="1095">
        <f t="shared" si="81"/>
        <v>17608.5</v>
      </c>
      <c r="R223" s="2909">
        <f t="shared" si="82"/>
        <v>82108.5</v>
      </c>
      <c r="S223" s="398">
        <f t="shared" si="83"/>
        <v>0</v>
      </c>
      <c r="T223" s="1095">
        <f t="shared" si="84"/>
        <v>0</v>
      </c>
      <c r="U223" s="398">
        <f t="shared" si="85"/>
        <v>0</v>
      </c>
      <c r="V223" s="2913">
        <v>0</v>
      </c>
      <c r="W223" s="1095">
        <f t="shared" si="74"/>
        <v>39889.360000000001</v>
      </c>
      <c r="X223" s="1095">
        <f t="shared" si="75"/>
        <v>3870</v>
      </c>
      <c r="Y223" s="2909">
        <f t="shared" si="86"/>
        <v>43759.360000000001</v>
      </c>
      <c r="Z223" s="2913">
        <v>0</v>
      </c>
      <c r="AA223" s="1095">
        <f t="shared" si="76"/>
        <v>21519.260000000002</v>
      </c>
      <c r="AB223" s="1095">
        <f t="shared" si="77"/>
        <v>0</v>
      </c>
      <c r="AC223" s="2909">
        <f t="shared" si="87"/>
        <v>21519.260000000002</v>
      </c>
    </row>
    <row r="224" spans="1:29">
      <c r="A224" s="2899" t="s">
        <v>4299</v>
      </c>
      <c r="B224" s="2900" t="s">
        <v>4077</v>
      </c>
      <c r="C224" s="2901">
        <v>165</v>
      </c>
      <c r="D224" s="2902">
        <f t="shared" si="66"/>
        <v>4.71485149646529E-4</v>
      </c>
      <c r="E224" s="2903">
        <v>14850</v>
      </c>
      <c r="F224" s="2904">
        <f t="shared" si="67"/>
        <v>5.1911494851445902E-4</v>
      </c>
      <c r="G224" s="2903">
        <f t="shared" si="68"/>
        <v>14850</v>
      </c>
      <c r="H224" s="2903">
        <f t="shared" si="69"/>
        <v>0</v>
      </c>
      <c r="I224" s="2905">
        <f t="shared" si="70"/>
        <v>9405</v>
      </c>
      <c r="J224" s="1096">
        <v>2877</v>
      </c>
      <c r="K224" s="2479">
        <f t="shared" si="78"/>
        <v>117841.92</v>
      </c>
      <c r="L224" s="398">
        <f t="shared" si="71"/>
        <v>2970</v>
      </c>
      <c r="M224" s="1095">
        <f t="shared" si="72"/>
        <v>15252</v>
      </c>
      <c r="N224" s="2906">
        <f t="shared" si="73"/>
        <v>4.8004400541869343E-4</v>
      </c>
      <c r="O224" s="2907">
        <f t="shared" si="79"/>
        <v>8.5588557721644307E-6</v>
      </c>
      <c r="P224" s="2908">
        <f t="shared" si="80"/>
        <v>49500</v>
      </c>
      <c r="Q224" s="1095">
        <f t="shared" si="81"/>
        <v>13513.5</v>
      </c>
      <c r="R224" s="2909">
        <f t="shared" si="82"/>
        <v>63013.5</v>
      </c>
      <c r="S224" s="398">
        <f t="shared" si="83"/>
        <v>0</v>
      </c>
      <c r="T224" s="1095">
        <f t="shared" si="84"/>
        <v>0</v>
      </c>
      <c r="U224" s="398">
        <f t="shared" si="85"/>
        <v>0</v>
      </c>
      <c r="V224" s="2913">
        <v>0</v>
      </c>
      <c r="W224" s="1095">
        <f t="shared" si="74"/>
        <v>15305.640000000001</v>
      </c>
      <c r="X224" s="1095">
        <f t="shared" si="75"/>
        <v>2970</v>
      </c>
      <c r="Y224" s="2909">
        <f t="shared" si="86"/>
        <v>18275.64</v>
      </c>
      <c r="Z224" s="2913">
        <v>0</v>
      </c>
      <c r="AA224" s="1095">
        <f t="shared" si="76"/>
        <v>8256.99</v>
      </c>
      <c r="AB224" s="1095">
        <f t="shared" si="77"/>
        <v>0</v>
      </c>
      <c r="AC224" s="2909">
        <f t="shared" si="87"/>
        <v>8256.99</v>
      </c>
    </row>
    <row r="225" spans="1:29">
      <c r="A225" s="2899" t="s">
        <v>4300</v>
      </c>
      <c r="B225" s="2900" t="s">
        <v>4085</v>
      </c>
      <c r="C225" s="2901">
        <v>135</v>
      </c>
      <c r="D225" s="2902">
        <f t="shared" si="66"/>
        <v>3.8576057698352375E-4</v>
      </c>
      <c r="E225" s="2903">
        <v>12150</v>
      </c>
      <c r="F225" s="2904">
        <f t="shared" si="67"/>
        <v>4.2473041242092104E-4</v>
      </c>
      <c r="G225" s="2903">
        <f t="shared" si="68"/>
        <v>12150</v>
      </c>
      <c r="H225" s="2903">
        <f t="shared" si="69"/>
        <v>0</v>
      </c>
      <c r="I225" s="2905">
        <f t="shared" si="70"/>
        <v>7695</v>
      </c>
      <c r="J225" s="1096">
        <v>2354</v>
      </c>
      <c r="K225" s="2479">
        <f t="shared" si="78"/>
        <v>96419.839999999997</v>
      </c>
      <c r="L225" s="398">
        <f t="shared" si="71"/>
        <v>2430</v>
      </c>
      <c r="M225" s="1095">
        <f t="shared" si="72"/>
        <v>12479</v>
      </c>
      <c r="N225" s="2906">
        <f t="shared" si="73"/>
        <v>3.9276613844871984E-4</v>
      </c>
      <c r="O225" s="2907">
        <f t="shared" si="79"/>
        <v>7.0055614651960913E-6</v>
      </c>
      <c r="P225" s="2908">
        <f t="shared" si="80"/>
        <v>40500</v>
      </c>
      <c r="Q225" s="1095">
        <f t="shared" si="81"/>
        <v>11056.5</v>
      </c>
      <c r="R225" s="2909">
        <f t="shared" si="82"/>
        <v>51556.5</v>
      </c>
      <c r="S225" s="398">
        <f t="shared" si="83"/>
        <v>0</v>
      </c>
      <c r="T225" s="1095">
        <f t="shared" si="84"/>
        <v>0</v>
      </c>
      <c r="U225" s="398">
        <f t="shared" si="85"/>
        <v>0</v>
      </c>
      <c r="V225" s="2913">
        <v>0</v>
      </c>
      <c r="W225" s="1095">
        <f t="shared" si="74"/>
        <v>12523.28</v>
      </c>
      <c r="X225" s="1095">
        <f t="shared" si="75"/>
        <v>2430</v>
      </c>
      <c r="Y225" s="2909">
        <f t="shared" si="86"/>
        <v>14953.28</v>
      </c>
      <c r="Z225" s="2913">
        <v>0</v>
      </c>
      <c r="AA225" s="1095">
        <f t="shared" si="76"/>
        <v>6755.9800000000005</v>
      </c>
      <c r="AB225" s="1095">
        <f t="shared" si="77"/>
        <v>0</v>
      </c>
      <c r="AC225" s="2909">
        <f t="shared" si="87"/>
        <v>6755.9800000000005</v>
      </c>
    </row>
    <row r="226" spans="1:29">
      <c r="A226" s="2899" t="s">
        <v>4301</v>
      </c>
      <c r="B226" s="2900" t="s">
        <v>4190</v>
      </c>
      <c r="C226" s="2901">
        <v>560</v>
      </c>
      <c r="D226" s="2902">
        <f t="shared" si="66"/>
        <v>1.600192023042765E-3</v>
      </c>
      <c r="E226" s="2903">
        <v>50400</v>
      </c>
      <c r="F226" s="2904">
        <f t="shared" si="67"/>
        <v>1.7618446737460429E-3</v>
      </c>
      <c r="G226" s="2903">
        <f t="shared" si="68"/>
        <v>50400</v>
      </c>
      <c r="H226" s="2903">
        <f t="shared" si="69"/>
        <v>0</v>
      </c>
      <c r="I226" s="2905">
        <f t="shared" si="70"/>
        <v>31920</v>
      </c>
      <c r="J226" s="1096">
        <v>9766</v>
      </c>
      <c r="K226" s="2479">
        <f t="shared" si="78"/>
        <v>400015.35999999999</v>
      </c>
      <c r="L226" s="398">
        <f t="shared" si="71"/>
        <v>10080</v>
      </c>
      <c r="M226" s="1095">
        <f t="shared" si="72"/>
        <v>51766</v>
      </c>
      <c r="N226" s="2906">
        <f t="shared" si="73"/>
        <v>1.629291763998432E-3</v>
      </c>
      <c r="O226" s="2907">
        <f t="shared" si="79"/>
        <v>2.9099740955666926E-5</v>
      </c>
      <c r="P226" s="2908">
        <f t="shared" si="80"/>
        <v>168000</v>
      </c>
      <c r="Q226" s="1095">
        <f t="shared" si="81"/>
        <v>45864</v>
      </c>
      <c r="R226" s="2909">
        <f t="shared" si="82"/>
        <v>213864</v>
      </c>
      <c r="S226" s="398">
        <f t="shared" si="83"/>
        <v>0</v>
      </c>
      <c r="T226" s="1095">
        <f t="shared" si="84"/>
        <v>0</v>
      </c>
      <c r="U226" s="398">
        <f t="shared" si="85"/>
        <v>0</v>
      </c>
      <c r="V226" s="2913">
        <v>0</v>
      </c>
      <c r="W226" s="1095">
        <f t="shared" si="74"/>
        <v>51955.12</v>
      </c>
      <c r="X226" s="1095">
        <f t="shared" si="75"/>
        <v>10080</v>
      </c>
      <c r="Y226" s="2909">
        <f t="shared" si="86"/>
        <v>62035.12</v>
      </c>
      <c r="Z226" s="2913">
        <v>0</v>
      </c>
      <c r="AA226" s="1095">
        <f t="shared" si="76"/>
        <v>28028.420000000002</v>
      </c>
      <c r="AB226" s="1095">
        <f t="shared" si="77"/>
        <v>0</v>
      </c>
      <c r="AC226" s="2909">
        <f t="shared" si="87"/>
        <v>28028.420000000002</v>
      </c>
    </row>
    <row r="227" spans="1:29">
      <c r="A227" s="2899" t="s">
        <v>4302</v>
      </c>
      <c r="B227" s="2900" t="s">
        <v>4104</v>
      </c>
      <c r="C227" s="2901">
        <v>250</v>
      </c>
      <c r="D227" s="2902">
        <f t="shared" si="66"/>
        <v>7.1437143885837726E-4</v>
      </c>
      <c r="E227" s="2903">
        <v>22500</v>
      </c>
      <c r="F227" s="2904">
        <f t="shared" si="67"/>
        <v>7.8653780077948343E-4</v>
      </c>
      <c r="G227" s="2903">
        <f t="shared" si="68"/>
        <v>22500</v>
      </c>
      <c r="H227" s="2903">
        <f t="shared" si="69"/>
        <v>0</v>
      </c>
      <c r="I227" s="2905">
        <f t="shared" si="70"/>
        <v>14250</v>
      </c>
      <c r="J227" s="1096">
        <v>8720</v>
      </c>
      <c r="K227" s="2479">
        <f t="shared" si="78"/>
        <v>357171.20000000001</v>
      </c>
      <c r="L227" s="398">
        <f t="shared" si="71"/>
        <v>4500</v>
      </c>
      <c r="M227" s="1095">
        <f t="shared" si="72"/>
        <v>27470</v>
      </c>
      <c r="N227" s="2906">
        <f t="shared" si="73"/>
        <v>8.6459538610356081E-4</v>
      </c>
      <c r="O227" s="2907">
        <f t="shared" si="79"/>
        <v>1.5022394724518355E-4</v>
      </c>
      <c r="P227" s="2908">
        <f t="shared" si="80"/>
        <v>75000</v>
      </c>
      <c r="Q227" s="1095">
        <f t="shared" si="81"/>
        <v>20475</v>
      </c>
      <c r="R227" s="2909">
        <f t="shared" si="82"/>
        <v>95475</v>
      </c>
      <c r="S227" s="398">
        <f t="shared" si="83"/>
        <v>0</v>
      </c>
      <c r="T227" s="1095">
        <f t="shared" si="84"/>
        <v>0</v>
      </c>
      <c r="U227" s="398">
        <f t="shared" si="85"/>
        <v>0</v>
      </c>
      <c r="V227" s="2913">
        <v>0</v>
      </c>
      <c r="W227" s="1095">
        <f t="shared" si="74"/>
        <v>46390.400000000001</v>
      </c>
      <c r="X227" s="1095">
        <f t="shared" si="75"/>
        <v>4500</v>
      </c>
      <c r="Y227" s="2909">
        <f t="shared" si="86"/>
        <v>50890.400000000001</v>
      </c>
      <c r="Z227" s="2913">
        <v>0</v>
      </c>
      <c r="AA227" s="1095">
        <f t="shared" si="76"/>
        <v>25026.400000000001</v>
      </c>
      <c r="AB227" s="1095">
        <f t="shared" si="77"/>
        <v>0</v>
      </c>
      <c r="AC227" s="2909">
        <f t="shared" si="87"/>
        <v>25026.400000000001</v>
      </c>
    </row>
    <row r="228" spans="1:29">
      <c r="A228" s="2899" t="s">
        <v>4303</v>
      </c>
      <c r="B228" s="2900" t="s">
        <v>4104</v>
      </c>
      <c r="C228" s="2901">
        <v>325</v>
      </c>
      <c r="D228" s="2902">
        <f t="shared" si="66"/>
        <v>9.286828705158905E-4</v>
      </c>
      <c r="E228" s="2903">
        <v>29250</v>
      </c>
      <c r="F228" s="2904">
        <f t="shared" si="67"/>
        <v>1.0224991410133285E-3</v>
      </c>
      <c r="G228" s="2903">
        <f t="shared" si="68"/>
        <v>29250</v>
      </c>
      <c r="H228" s="2903">
        <f t="shared" si="69"/>
        <v>0</v>
      </c>
      <c r="I228" s="2905">
        <f t="shared" si="70"/>
        <v>18525</v>
      </c>
      <c r="J228" s="1096">
        <v>5668</v>
      </c>
      <c r="K228" s="2479">
        <f t="shared" si="78"/>
        <v>232161.28</v>
      </c>
      <c r="L228" s="398">
        <f t="shared" si="71"/>
        <v>5850</v>
      </c>
      <c r="M228" s="1095">
        <f t="shared" si="72"/>
        <v>30043</v>
      </c>
      <c r="N228" s="2906">
        <f t="shared" si="73"/>
        <v>9.4557841953801509E-4</v>
      </c>
      <c r="O228" s="2907">
        <f t="shared" si="79"/>
        <v>1.6895549022124591E-5</v>
      </c>
      <c r="P228" s="2908">
        <f t="shared" si="80"/>
        <v>97500</v>
      </c>
      <c r="Q228" s="1095">
        <f t="shared" si="81"/>
        <v>26617.5</v>
      </c>
      <c r="R228" s="2909">
        <f t="shared" si="82"/>
        <v>124117.5</v>
      </c>
      <c r="S228" s="398">
        <f t="shared" si="83"/>
        <v>0</v>
      </c>
      <c r="T228" s="1095">
        <f t="shared" si="84"/>
        <v>0</v>
      </c>
      <c r="U228" s="398">
        <f t="shared" si="85"/>
        <v>0</v>
      </c>
      <c r="V228" s="2913">
        <v>0</v>
      </c>
      <c r="W228" s="1095">
        <f t="shared" si="74"/>
        <v>30153.760000000002</v>
      </c>
      <c r="X228" s="1095">
        <f t="shared" si="75"/>
        <v>5850</v>
      </c>
      <c r="Y228" s="2909">
        <f t="shared" si="86"/>
        <v>36003.760000000002</v>
      </c>
      <c r="Z228" s="2913">
        <v>0</v>
      </c>
      <c r="AA228" s="1095">
        <f t="shared" si="76"/>
        <v>16267.16</v>
      </c>
      <c r="AB228" s="1095">
        <f t="shared" si="77"/>
        <v>0</v>
      </c>
      <c r="AC228" s="2909">
        <f t="shared" si="87"/>
        <v>16267.16</v>
      </c>
    </row>
    <row r="229" spans="1:29">
      <c r="A229" s="2899" t="s">
        <v>4304</v>
      </c>
      <c r="B229" s="2900" t="s">
        <v>4075</v>
      </c>
      <c r="C229" s="2901">
        <v>250</v>
      </c>
      <c r="D229" s="2902">
        <f t="shared" si="66"/>
        <v>7.1437143885837726E-4</v>
      </c>
      <c r="E229" s="2903">
        <v>22500</v>
      </c>
      <c r="F229" s="2904">
        <f t="shared" si="67"/>
        <v>7.8653780077948343E-4</v>
      </c>
      <c r="G229" s="2903">
        <f t="shared" si="68"/>
        <v>22500</v>
      </c>
      <c r="H229" s="2903">
        <f t="shared" si="69"/>
        <v>0</v>
      </c>
      <c r="I229" s="2905">
        <f t="shared" si="70"/>
        <v>14250</v>
      </c>
      <c r="J229" s="1096">
        <v>4360</v>
      </c>
      <c r="K229" s="2479">
        <f t="shared" si="78"/>
        <v>178585.60000000001</v>
      </c>
      <c r="L229" s="398">
        <f t="shared" si="71"/>
        <v>4500</v>
      </c>
      <c r="M229" s="1095">
        <f t="shared" si="72"/>
        <v>23110</v>
      </c>
      <c r="N229" s="2906">
        <f t="shared" si="73"/>
        <v>7.2736801502924244E-4</v>
      </c>
      <c r="O229" s="2907">
        <f t="shared" si="79"/>
        <v>1.2996576170865178E-5</v>
      </c>
      <c r="P229" s="2908">
        <f t="shared" si="80"/>
        <v>75000</v>
      </c>
      <c r="Q229" s="1095">
        <f t="shared" si="81"/>
        <v>20475</v>
      </c>
      <c r="R229" s="2909">
        <f t="shared" si="82"/>
        <v>95475</v>
      </c>
      <c r="S229" s="398">
        <f t="shared" si="83"/>
        <v>0</v>
      </c>
      <c r="T229" s="1095">
        <f t="shared" si="84"/>
        <v>0</v>
      </c>
      <c r="U229" s="398">
        <f t="shared" si="85"/>
        <v>0</v>
      </c>
      <c r="V229" s="2913">
        <v>0</v>
      </c>
      <c r="W229" s="1095">
        <f t="shared" si="74"/>
        <v>23195.200000000001</v>
      </c>
      <c r="X229" s="1095">
        <f t="shared" si="75"/>
        <v>4500</v>
      </c>
      <c r="Y229" s="2909">
        <f t="shared" si="86"/>
        <v>27695.200000000001</v>
      </c>
      <c r="Z229" s="2913">
        <v>0</v>
      </c>
      <c r="AA229" s="1095">
        <f t="shared" si="76"/>
        <v>12513.2</v>
      </c>
      <c r="AB229" s="1095">
        <f t="shared" si="77"/>
        <v>0</v>
      </c>
      <c r="AC229" s="2909">
        <f t="shared" si="87"/>
        <v>12513.2</v>
      </c>
    </row>
    <row r="230" spans="1:29">
      <c r="A230" s="2899" t="s">
        <v>4305</v>
      </c>
      <c r="B230" s="2900" t="s">
        <v>4087</v>
      </c>
      <c r="C230" s="2901">
        <v>185</v>
      </c>
      <c r="D230" s="2902">
        <f t="shared" si="66"/>
        <v>5.2863486475519925E-4</v>
      </c>
      <c r="E230" s="2903">
        <v>16650</v>
      </c>
      <c r="F230" s="2904">
        <f t="shared" si="67"/>
        <v>5.8203797257681779E-4</v>
      </c>
      <c r="G230" s="2903">
        <f t="shared" si="68"/>
        <v>16650</v>
      </c>
      <c r="H230" s="2903">
        <f t="shared" si="69"/>
        <v>0</v>
      </c>
      <c r="I230" s="2905">
        <f t="shared" si="70"/>
        <v>10545</v>
      </c>
      <c r="J230" s="1096">
        <v>3225.9999999999995</v>
      </c>
      <c r="K230" s="2479">
        <f t="shared" si="78"/>
        <v>132136.95999999999</v>
      </c>
      <c r="L230" s="398">
        <f t="shared" si="71"/>
        <v>3330</v>
      </c>
      <c r="M230" s="1095">
        <f t="shared" si="72"/>
        <v>17101</v>
      </c>
      <c r="N230" s="2906">
        <f t="shared" si="73"/>
        <v>5.3823974145456835E-4</v>
      </c>
      <c r="O230" s="2907">
        <f t="shared" si="79"/>
        <v>9.6048766993691052E-6</v>
      </c>
      <c r="P230" s="2908">
        <f t="shared" si="80"/>
        <v>55500</v>
      </c>
      <c r="Q230" s="1095">
        <f t="shared" si="81"/>
        <v>15151.5</v>
      </c>
      <c r="R230" s="2909">
        <f t="shared" si="82"/>
        <v>70651.5</v>
      </c>
      <c r="S230" s="398">
        <f t="shared" si="83"/>
        <v>0</v>
      </c>
      <c r="T230" s="1095">
        <f t="shared" si="84"/>
        <v>0</v>
      </c>
      <c r="U230" s="398">
        <f t="shared" si="85"/>
        <v>0</v>
      </c>
      <c r="V230" s="2913">
        <v>0</v>
      </c>
      <c r="W230" s="1095">
        <f t="shared" si="74"/>
        <v>17162.32</v>
      </c>
      <c r="X230" s="1095">
        <f t="shared" si="75"/>
        <v>3330</v>
      </c>
      <c r="Y230" s="2909">
        <f t="shared" si="86"/>
        <v>20492.32</v>
      </c>
      <c r="Z230" s="2913">
        <v>0</v>
      </c>
      <c r="AA230" s="1095">
        <f t="shared" si="76"/>
        <v>9258.619999999999</v>
      </c>
      <c r="AB230" s="1095">
        <f t="shared" si="77"/>
        <v>0</v>
      </c>
      <c r="AC230" s="2909">
        <f t="shared" si="87"/>
        <v>9258.619999999999</v>
      </c>
    </row>
    <row r="231" spans="1:29">
      <c r="A231" s="2899" t="s">
        <v>4306</v>
      </c>
      <c r="B231" s="2900" t="s">
        <v>4087</v>
      </c>
      <c r="C231" s="2901">
        <v>125</v>
      </c>
      <c r="D231" s="2902">
        <f t="shared" si="66"/>
        <v>3.5718571942918863E-4</v>
      </c>
      <c r="E231" s="2903">
        <v>11250</v>
      </c>
      <c r="F231" s="2904">
        <f t="shared" si="67"/>
        <v>3.9326890038974172E-4</v>
      </c>
      <c r="G231" s="2903">
        <f t="shared" si="68"/>
        <v>11250</v>
      </c>
      <c r="H231" s="2903">
        <f t="shared" si="69"/>
        <v>0</v>
      </c>
      <c r="I231" s="2905">
        <f t="shared" si="70"/>
        <v>7125</v>
      </c>
      <c r="J231" s="1096">
        <v>2180</v>
      </c>
      <c r="K231" s="2479">
        <f t="shared" si="78"/>
        <v>89292.800000000003</v>
      </c>
      <c r="L231" s="398">
        <f t="shared" si="71"/>
        <v>2250</v>
      </c>
      <c r="M231" s="1095">
        <f t="shared" si="72"/>
        <v>11555</v>
      </c>
      <c r="N231" s="2906">
        <f t="shared" si="73"/>
        <v>3.6368400751462122E-4</v>
      </c>
      <c r="O231" s="2907">
        <f t="shared" si="79"/>
        <v>6.498288085432589E-6</v>
      </c>
      <c r="P231" s="2908">
        <f t="shared" si="80"/>
        <v>37500</v>
      </c>
      <c r="Q231" s="1095">
        <f t="shared" si="81"/>
        <v>10237.5</v>
      </c>
      <c r="R231" s="2909">
        <f t="shared" si="82"/>
        <v>47737.5</v>
      </c>
      <c r="S231" s="398">
        <f t="shared" si="83"/>
        <v>0</v>
      </c>
      <c r="T231" s="1095">
        <f t="shared" si="84"/>
        <v>0</v>
      </c>
      <c r="U231" s="398">
        <f t="shared" si="85"/>
        <v>0</v>
      </c>
      <c r="V231" s="2913">
        <v>0</v>
      </c>
      <c r="W231" s="1095">
        <f t="shared" si="74"/>
        <v>11597.6</v>
      </c>
      <c r="X231" s="1095">
        <f t="shared" si="75"/>
        <v>2250</v>
      </c>
      <c r="Y231" s="2909">
        <f t="shared" si="86"/>
        <v>13847.6</v>
      </c>
      <c r="Z231" s="2913">
        <v>0</v>
      </c>
      <c r="AA231" s="1095">
        <f t="shared" si="76"/>
        <v>6256.6</v>
      </c>
      <c r="AB231" s="1095">
        <f t="shared" si="77"/>
        <v>0</v>
      </c>
      <c r="AC231" s="2909">
        <f t="shared" si="87"/>
        <v>6256.6</v>
      </c>
    </row>
    <row r="232" spans="1:29">
      <c r="A232" s="2899" t="s">
        <v>4307</v>
      </c>
      <c r="B232" s="2900" t="s">
        <v>4079</v>
      </c>
      <c r="C232" s="2901">
        <v>295</v>
      </c>
      <c r="D232" s="2902">
        <f t="shared" si="66"/>
        <v>8.4295829785288525E-4</v>
      </c>
      <c r="E232" s="2903">
        <v>26550</v>
      </c>
      <c r="F232" s="2904">
        <f t="shared" si="67"/>
        <v>9.2811460491979043E-4</v>
      </c>
      <c r="G232" s="2903">
        <f t="shared" si="68"/>
        <v>26550</v>
      </c>
      <c r="H232" s="2903">
        <f t="shared" si="69"/>
        <v>0</v>
      </c>
      <c r="I232" s="2905">
        <f t="shared" si="70"/>
        <v>16815</v>
      </c>
      <c r="J232" s="1096">
        <v>5145</v>
      </c>
      <c r="K232" s="2479">
        <f t="shared" si="78"/>
        <v>210739.20000000001</v>
      </c>
      <c r="L232" s="398">
        <f t="shared" si="71"/>
        <v>5310</v>
      </c>
      <c r="M232" s="1095">
        <f t="shared" si="72"/>
        <v>27270</v>
      </c>
      <c r="N232" s="2906">
        <f t="shared" si="73"/>
        <v>8.5830055256804155E-4</v>
      </c>
      <c r="O232" s="2907">
        <f t="shared" si="79"/>
        <v>1.5342254715156305E-5</v>
      </c>
      <c r="P232" s="2908">
        <f t="shared" si="80"/>
        <v>88500</v>
      </c>
      <c r="Q232" s="1095">
        <f t="shared" si="81"/>
        <v>24160.5</v>
      </c>
      <c r="R232" s="2909">
        <f t="shared" si="82"/>
        <v>112660.5</v>
      </c>
      <c r="S232" s="398">
        <f t="shared" si="83"/>
        <v>0</v>
      </c>
      <c r="T232" s="1095">
        <f t="shared" si="84"/>
        <v>0</v>
      </c>
      <c r="U232" s="398">
        <f t="shared" si="85"/>
        <v>0</v>
      </c>
      <c r="V232" s="2913">
        <v>0</v>
      </c>
      <c r="W232" s="1095">
        <f t="shared" si="74"/>
        <v>27371.4</v>
      </c>
      <c r="X232" s="1095">
        <f t="shared" si="75"/>
        <v>5310</v>
      </c>
      <c r="Y232" s="2909">
        <f t="shared" si="86"/>
        <v>32681.4</v>
      </c>
      <c r="Z232" s="2913">
        <v>0</v>
      </c>
      <c r="AA232" s="1095">
        <f t="shared" si="76"/>
        <v>14766.150000000001</v>
      </c>
      <c r="AB232" s="1095">
        <f t="shared" si="77"/>
        <v>0</v>
      </c>
      <c r="AC232" s="2909">
        <f t="shared" si="87"/>
        <v>14766.150000000001</v>
      </c>
    </row>
    <row r="233" spans="1:29">
      <c r="A233" s="2899" t="s">
        <v>4308</v>
      </c>
      <c r="B233" s="2900" t="s">
        <v>4087</v>
      </c>
      <c r="C233" s="2901">
        <v>175</v>
      </c>
      <c r="D233" s="2902">
        <f t="shared" si="66"/>
        <v>5.0006000720086412E-4</v>
      </c>
      <c r="E233" s="2903">
        <v>15750</v>
      </c>
      <c r="F233" s="2904">
        <f t="shared" si="67"/>
        <v>5.505764605456384E-4</v>
      </c>
      <c r="G233" s="2903">
        <f t="shared" si="68"/>
        <v>15750</v>
      </c>
      <c r="H233" s="2903">
        <f t="shared" si="69"/>
        <v>0</v>
      </c>
      <c r="I233" s="2905">
        <f t="shared" si="70"/>
        <v>9975</v>
      </c>
      <c r="J233" s="1096">
        <v>3052</v>
      </c>
      <c r="K233" s="2479">
        <f t="shared" si="78"/>
        <v>125009.92</v>
      </c>
      <c r="L233" s="398">
        <f t="shared" si="71"/>
        <v>3150</v>
      </c>
      <c r="M233" s="1095">
        <f t="shared" si="72"/>
        <v>16177</v>
      </c>
      <c r="N233" s="2906">
        <f t="shared" si="73"/>
        <v>5.0915761052046967E-4</v>
      </c>
      <c r="O233" s="2907">
        <f t="shared" si="79"/>
        <v>9.0976033196055487E-6</v>
      </c>
      <c r="P233" s="2908">
        <f t="shared" si="80"/>
        <v>52500</v>
      </c>
      <c r="Q233" s="1095">
        <f t="shared" si="81"/>
        <v>14332.5</v>
      </c>
      <c r="R233" s="2909">
        <f t="shared" si="82"/>
        <v>66832.5</v>
      </c>
      <c r="S233" s="398">
        <f t="shared" si="83"/>
        <v>0</v>
      </c>
      <c r="T233" s="1095">
        <f t="shared" si="84"/>
        <v>0</v>
      </c>
      <c r="U233" s="398">
        <f t="shared" si="85"/>
        <v>0</v>
      </c>
      <c r="V233" s="2913">
        <v>0</v>
      </c>
      <c r="W233" s="1095">
        <f t="shared" si="74"/>
        <v>16236.640000000001</v>
      </c>
      <c r="X233" s="1095">
        <f t="shared" si="75"/>
        <v>3150</v>
      </c>
      <c r="Y233" s="2909">
        <f t="shared" si="86"/>
        <v>19386.64</v>
      </c>
      <c r="Z233" s="2913">
        <v>0</v>
      </c>
      <c r="AA233" s="1095">
        <f t="shared" si="76"/>
        <v>8759.24</v>
      </c>
      <c r="AB233" s="1095">
        <f t="shared" si="77"/>
        <v>0</v>
      </c>
      <c r="AC233" s="2909">
        <f t="shared" si="87"/>
        <v>8759.24</v>
      </c>
    </row>
    <row r="234" spans="1:29">
      <c r="A234" s="2899" t="s">
        <v>4309</v>
      </c>
      <c r="B234" s="2900" t="s">
        <v>4196</v>
      </c>
      <c r="C234" s="2901">
        <v>1170</v>
      </c>
      <c r="D234" s="2902">
        <f t="shared" si="66"/>
        <v>3.3432583338572058E-3</v>
      </c>
      <c r="E234" s="2903">
        <v>105300</v>
      </c>
      <c r="F234" s="2904">
        <f t="shared" si="67"/>
        <v>3.6809969076479826E-3</v>
      </c>
      <c r="G234" s="2903">
        <f t="shared" si="68"/>
        <v>105300</v>
      </c>
      <c r="H234" s="2903">
        <f t="shared" si="69"/>
        <v>0</v>
      </c>
      <c r="I234" s="2905">
        <f t="shared" si="70"/>
        <v>66690</v>
      </c>
      <c r="J234" s="1096">
        <v>20405</v>
      </c>
      <c r="K234" s="2479">
        <f t="shared" si="78"/>
        <v>835788.80000000005</v>
      </c>
      <c r="L234" s="398">
        <f t="shared" si="71"/>
        <v>21060</v>
      </c>
      <c r="M234" s="1095">
        <f t="shared" si="72"/>
        <v>108155</v>
      </c>
      <c r="N234" s="2906">
        <f t="shared" si="73"/>
        <v>3.4040886051703899E-3</v>
      </c>
      <c r="O234" s="2907">
        <f t="shared" si="79"/>
        <v>6.0830271313184157E-5</v>
      </c>
      <c r="P234" s="2908">
        <f t="shared" si="80"/>
        <v>351000</v>
      </c>
      <c r="Q234" s="1095">
        <f t="shared" si="81"/>
        <v>95823</v>
      </c>
      <c r="R234" s="2909">
        <f t="shared" si="82"/>
        <v>446823</v>
      </c>
      <c r="S234" s="398">
        <f t="shared" si="83"/>
        <v>0</v>
      </c>
      <c r="T234" s="1095">
        <f t="shared" si="84"/>
        <v>0</v>
      </c>
      <c r="U234" s="398">
        <f t="shared" si="85"/>
        <v>0</v>
      </c>
      <c r="V234" s="2913">
        <v>0</v>
      </c>
      <c r="W234" s="1095">
        <f t="shared" si="74"/>
        <v>108554.6</v>
      </c>
      <c r="X234" s="1095">
        <f t="shared" si="75"/>
        <v>21060</v>
      </c>
      <c r="Y234" s="2909">
        <f t="shared" si="86"/>
        <v>129614.6</v>
      </c>
      <c r="Z234" s="2913">
        <v>0</v>
      </c>
      <c r="AA234" s="1095">
        <f t="shared" si="76"/>
        <v>58562.35</v>
      </c>
      <c r="AB234" s="1095">
        <f t="shared" si="77"/>
        <v>0</v>
      </c>
      <c r="AC234" s="2909">
        <f t="shared" si="87"/>
        <v>58562.35</v>
      </c>
    </row>
    <row r="235" spans="1:29">
      <c r="A235" s="2899" t="s">
        <v>4310</v>
      </c>
      <c r="B235" s="2900" t="s">
        <v>4125</v>
      </c>
      <c r="C235" s="2901">
        <v>600</v>
      </c>
      <c r="D235" s="2902">
        <f t="shared" si="66"/>
        <v>1.7144914532601055E-3</v>
      </c>
      <c r="E235" s="2903">
        <v>0</v>
      </c>
      <c r="F235" s="2904">
        <f t="shared" si="67"/>
        <v>0</v>
      </c>
      <c r="G235" s="2903">
        <f t="shared" si="68"/>
        <v>54000</v>
      </c>
      <c r="H235" s="2903">
        <f t="shared" si="69"/>
        <v>-54000</v>
      </c>
      <c r="I235" s="2905">
        <f t="shared" si="70"/>
        <v>34200</v>
      </c>
      <c r="J235" s="1096">
        <v>10464</v>
      </c>
      <c r="K235" s="2479">
        <f t="shared" si="78"/>
        <v>428605.44</v>
      </c>
      <c r="L235" s="398">
        <f t="shared" si="71"/>
        <v>0</v>
      </c>
      <c r="M235" s="1095">
        <f t="shared" si="72"/>
        <v>44664</v>
      </c>
      <c r="N235" s="2906">
        <f t="shared" si="73"/>
        <v>1.4057622251521455E-3</v>
      </c>
      <c r="O235" s="2907">
        <f t="shared" si="79"/>
        <v>-3.0872922810796003E-4</v>
      </c>
      <c r="P235" s="2908">
        <f t="shared" si="80"/>
        <v>180000</v>
      </c>
      <c r="Q235" s="1095">
        <f t="shared" si="81"/>
        <v>0</v>
      </c>
      <c r="R235" s="2909">
        <f t="shared" si="82"/>
        <v>180000</v>
      </c>
      <c r="S235" s="398">
        <f t="shared" si="83"/>
        <v>0</v>
      </c>
      <c r="T235" s="1095">
        <f t="shared" si="84"/>
        <v>0</v>
      </c>
      <c r="U235" s="398">
        <f t="shared" si="85"/>
        <v>0</v>
      </c>
      <c r="V235" s="2913">
        <v>0</v>
      </c>
      <c r="W235" s="1095">
        <f t="shared" si="74"/>
        <v>55668.480000000003</v>
      </c>
      <c r="X235" s="1095">
        <f t="shared" si="75"/>
        <v>0</v>
      </c>
      <c r="Y235" s="2909">
        <f t="shared" si="86"/>
        <v>55668.480000000003</v>
      </c>
      <c r="Z235" s="2913">
        <v>0</v>
      </c>
      <c r="AA235" s="1095">
        <f t="shared" si="76"/>
        <v>30031.68</v>
      </c>
      <c r="AB235" s="1095">
        <f t="shared" si="77"/>
        <v>0</v>
      </c>
      <c r="AC235" s="2909">
        <f t="shared" si="87"/>
        <v>30031.68</v>
      </c>
    </row>
    <row r="236" spans="1:29">
      <c r="A236" s="2899" t="s">
        <v>4311</v>
      </c>
      <c r="B236" s="2900" t="s">
        <v>4077</v>
      </c>
      <c r="C236" s="2901">
        <v>215</v>
      </c>
      <c r="D236" s="2902">
        <f t="shared" si="66"/>
        <v>6.143594374182045E-4</v>
      </c>
      <c r="E236" s="2903">
        <v>19350</v>
      </c>
      <c r="F236" s="2904">
        <f t="shared" si="67"/>
        <v>6.7642250867035571E-4</v>
      </c>
      <c r="G236" s="2903">
        <f t="shared" si="68"/>
        <v>19350</v>
      </c>
      <c r="H236" s="2903">
        <f t="shared" si="69"/>
        <v>0</v>
      </c>
      <c r="I236" s="2905">
        <f t="shared" si="70"/>
        <v>12255</v>
      </c>
      <c r="J236" s="1096">
        <v>3749</v>
      </c>
      <c r="K236" s="2479">
        <f t="shared" si="78"/>
        <v>153559.04000000001</v>
      </c>
      <c r="L236" s="398">
        <f t="shared" si="71"/>
        <v>3870</v>
      </c>
      <c r="M236" s="1095">
        <f t="shared" si="72"/>
        <v>19874</v>
      </c>
      <c r="N236" s="2906">
        <f t="shared" si="73"/>
        <v>6.2551760842454189E-4</v>
      </c>
      <c r="O236" s="2907">
        <f t="shared" si="79"/>
        <v>1.115817100633739E-5</v>
      </c>
      <c r="P236" s="2908">
        <f t="shared" si="80"/>
        <v>64500</v>
      </c>
      <c r="Q236" s="1095">
        <f t="shared" si="81"/>
        <v>17608.5</v>
      </c>
      <c r="R236" s="2909">
        <f t="shared" si="82"/>
        <v>82108.5</v>
      </c>
      <c r="S236" s="398">
        <f t="shared" si="83"/>
        <v>0</v>
      </c>
      <c r="T236" s="1095">
        <f t="shared" si="84"/>
        <v>0</v>
      </c>
      <c r="U236" s="398">
        <f t="shared" si="85"/>
        <v>0</v>
      </c>
      <c r="V236" s="2913">
        <v>0</v>
      </c>
      <c r="W236" s="1095">
        <f t="shared" si="74"/>
        <v>19944.68</v>
      </c>
      <c r="X236" s="1095">
        <f t="shared" si="75"/>
        <v>3870</v>
      </c>
      <c r="Y236" s="2909">
        <f t="shared" si="86"/>
        <v>23814.68</v>
      </c>
      <c r="Z236" s="2913">
        <v>0</v>
      </c>
      <c r="AA236" s="1095">
        <f t="shared" si="76"/>
        <v>10759.630000000001</v>
      </c>
      <c r="AB236" s="1095">
        <f t="shared" si="77"/>
        <v>0</v>
      </c>
      <c r="AC236" s="2909">
        <f t="shared" si="87"/>
        <v>10759.630000000001</v>
      </c>
    </row>
    <row r="237" spans="1:29">
      <c r="A237" s="2899" t="s">
        <v>4312</v>
      </c>
      <c r="B237" s="2900" t="s">
        <v>4073</v>
      </c>
      <c r="C237" s="2901">
        <v>220</v>
      </c>
      <c r="D237" s="2902">
        <f t="shared" si="66"/>
        <v>6.2864686619537201E-4</v>
      </c>
      <c r="E237" s="2903">
        <v>19800</v>
      </c>
      <c r="F237" s="2904">
        <f t="shared" si="67"/>
        <v>6.921532646859454E-4</v>
      </c>
      <c r="G237" s="2903">
        <f t="shared" si="68"/>
        <v>19800</v>
      </c>
      <c r="H237" s="2903">
        <f t="shared" si="69"/>
        <v>0</v>
      </c>
      <c r="I237" s="2905">
        <f t="shared" si="70"/>
        <v>12540</v>
      </c>
      <c r="J237" s="1096">
        <v>7672</v>
      </c>
      <c r="K237" s="2479">
        <f t="shared" si="78"/>
        <v>314245.12</v>
      </c>
      <c r="L237" s="398">
        <f t="shared" si="71"/>
        <v>3960</v>
      </c>
      <c r="M237" s="1095">
        <f t="shared" si="72"/>
        <v>24172</v>
      </c>
      <c r="N237" s="2906">
        <f t="shared" si="73"/>
        <v>7.6079358110284928E-4</v>
      </c>
      <c r="O237" s="2907">
        <f t="shared" si="79"/>
        <v>1.3214671490747727E-4</v>
      </c>
      <c r="P237" s="2908">
        <f t="shared" si="80"/>
        <v>66000</v>
      </c>
      <c r="Q237" s="1095">
        <f t="shared" si="81"/>
        <v>18018</v>
      </c>
      <c r="R237" s="2909">
        <f t="shared" si="82"/>
        <v>84018</v>
      </c>
      <c r="S237" s="398">
        <f t="shared" si="83"/>
        <v>0</v>
      </c>
      <c r="T237" s="1095">
        <f t="shared" si="84"/>
        <v>0</v>
      </c>
      <c r="U237" s="398">
        <f t="shared" si="85"/>
        <v>0</v>
      </c>
      <c r="V237" s="2913">
        <v>0</v>
      </c>
      <c r="W237" s="1095">
        <f t="shared" si="74"/>
        <v>40815.040000000001</v>
      </c>
      <c r="X237" s="1095">
        <f t="shared" si="75"/>
        <v>3960</v>
      </c>
      <c r="Y237" s="2909">
        <f t="shared" si="86"/>
        <v>44775.040000000001</v>
      </c>
      <c r="Z237" s="2913">
        <v>0</v>
      </c>
      <c r="AA237" s="1095">
        <f t="shared" si="76"/>
        <v>22018.639999999999</v>
      </c>
      <c r="AB237" s="1095">
        <f t="shared" si="77"/>
        <v>0</v>
      </c>
      <c r="AC237" s="2909">
        <f t="shared" si="87"/>
        <v>22018.639999999999</v>
      </c>
    </row>
    <row r="238" spans="1:29">
      <c r="A238" s="2899" t="s">
        <v>4313</v>
      </c>
      <c r="B238" s="2900" t="s">
        <v>4085</v>
      </c>
      <c r="C238" s="2901">
        <v>125</v>
      </c>
      <c r="D238" s="2902">
        <f t="shared" si="66"/>
        <v>3.5718571942918863E-4</v>
      </c>
      <c r="E238" s="2903">
        <v>11250</v>
      </c>
      <c r="F238" s="2904">
        <f t="shared" si="67"/>
        <v>3.9326890038974172E-4</v>
      </c>
      <c r="G238" s="2903">
        <f t="shared" si="68"/>
        <v>11250</v>
      </c>
      <c r="H238" s="2903">
        <f t="shared" si="69"/>
        <v>0</v>
      </c>
      <c r="I238" s="2905">
        <f t="shared" si="70"/>
        <v>7125</v>
      </c>
      <c r="J238" s="1096">
        <v>0</v>
      </c>
      <c r="K238" s="2479">
        <f t="shared" si="78"/>
        <v>0</v>
      </c>
      <c r="L238" s="398">
        <f t="shared" si="71"/>
        <v>2250</v>
      </c>
      <c r="M238" s="1095">
        <f t="shared" si="72"/>
        <v>9375</v>
      </c>
      <c r="N238" s="2906">
        <f t="shared" si="73"/>
        <v>2.9507032197746203E-4</v>
      </c>
      <c r="O238" s="2907">
        <f t="shared" si="79"/>
        <v>-6.2115397451726598E-5</v>
      </c>
      <c r="P238" s="2908">
        <f t="shared" si="80"/>
        <v>37500</v>
      </c>
      <c r="Q238" s="1095">
        <f t="shared" si="81"/>
        <v>10237.5</v>
      </c>
      <c r="R238" s="2909">
        <f t="shared" si="82"/>
        <v>47737.5</v>
      </c>
      <c r="S238" s="398">
        <f t="shared" si="83"/>
        <v>0</v>
      </c>
      <c r="T238" s="1095">
        <f t="shared" si="84"/>
        <v>0</v>
      </c>
      <c r="U238" s="398">
        <f t="shared" si="85"/>
        <v>0</v>
      </c>
      <c r="V238" s="2913">
        <v>0</v>
      </c>
      <c r="W238" s="1095">
        <f t="shared" si="74"/>
        <v>0</v>
      </c>
      <c r="X238" s="1095">
        <f t="shared" si="75"/>
        <v>2250</v>
      </c>
      <c r="Y238" s="2909">
        <f t="shared" si="86"/>
        <v>2250</v>
      </c>
      <c r="Z238" s="2913">
        <v>0</v>
      </c>
      <c r="AA238" s="1095">
        <f t="shared" si="76"/>
        <v>0</v>
      </c>
      <c r="AB238" s="1095">
        <f t="shared" si="77"/>
        <v>0</v>
      </c>
      <c r="AC238" s="2909">
        <f t="shared" si="87"/>
        <v>0</v>
      </c>
    </row>
    <row r="239" spans="1:29">
      <c r="A239" s="2899" t="s">
        <v>4314</v>
      </c>
      <c r="B239" s="2900" t="s">
        <v>4075</v>
      </c>
      <c r="C239" s="2901">
        <v>275</v>
      </c>
      <c r="D239" s="2902">
        <f t="shared" si="66"/>
        <v>7.8580858274421501E-4</v>
      </c>
      <c r="E239" s="2903">
        <v>24750</v>
      </c>
      <c r="F239" s="2904">
        <f t="shared" si="67"/>
        <v>8.6519158085743178E-4</v>
      </c>
      <c r="G239" s="2903">
        <f t="shared" si="68"/>
        <v>24750</v>
      </c>
      <c r="H239" s="2903">
        <f t="shared" si="69"/>
        <v>0</v>
      </c>
      <c r="I239" s="2905">
        <f t="shared" si="70"/>
        <v>15675</v>
      </c>
      <c r="J239" s="1096">
        <v>4796</v>
      </c>
      <c r="K239" s="2479">
        <f t="shared" si="78"/>
        <v>196444.16</v>
      </c>
      <c r="L239" s="398">
        <f t="shared" si="71"/>
        <v>4950</v>
      </c>
      <c r="M239" s="1095">
        <f t="shared" si="72"/>
        <v>25421</v>
      </c>
      <c r="N239" s="2906">
        <f t="shared" si="73"/>
        <v>8.0010481653216669E-4</v>
      </c>
      <c r="O239" s="2907">
        <f t="shared" si="79"/>
        <v>1.4296233787951685E-5</v>
      </c>
      <c r="P239" s="2908">
        <f t="shared" si="80"/>
        <v>82500</v>
      </c>
      <c r="Q239" s="1095">
        <f t="shared" si="81"/>
        <v>22522.5</v>
      </c>
      <c r="R239" s="2909">
        <f t="shared" si="82"/>
        <v>105022.5</v>
      </c>
      <c r="S239" s="398">
        <f t="shared" si="83"/>
        <v>0</v>
      </c>
      <c r="T239" s="1095">
        <f t="shared" si="84"/>
        <v>0</v>
      </c>
      <c r="U239" s="398">
        <f t="shared" si="85"/>
        <v>0</v>
      </c>
      <c r="V239" s="2913">
        <v>0</v>
      </c>
      <c r="W239" s="1095">
        <f t="shared" si="74"/>
        <v>25514.720000000001</v>
      </c>
      <c r="X239" s="1095">
        <f t="shared" si="75"/>
        <v>4950</v>
      </c>
      <c r="Y239" s="2909">
        <f t="shared" si="86"/>
        <v>30464.720000000001</v>
      </c>
      <c r="Z239" s="2913">
        <v>0</v>
      </c>
      <c r="AA239" s="1095">
        <f t="shared" si="76"/>
        <v>13764.52</v>
      </c>
      <c r="AB239" s="1095">
        <f t="shared" si="77"/>
        <v>0</v>
      </c>
      <c r="AC239" s="2909">
        <f t="shared" si="87"/>
        <v>13764.52</v>
      </c>
    </row>
    <row r="240" spans="1:29">
      <c r="A240" s="2899" t="s">
        <v>4315</v>
      </c>
      <c r="B240" s="2900" t="s">
        <v>4075</v>
      </c>
      <c r="C240" s="2901">
        <v>125</v>
      </c>
      <c r="D240" s="2902">
        <f t="shared" si="66"/>
        <v>3.5718571942918863E-4</v>
      </c>
      <c r="E240" s="2903">
        <v>11250</v>
      </c>
      <c r="F240" s="2904">
        <f t="shared" si="67"/>
        <v>3.9326890038974172E-4</v>
      </c>
      <c r="G240" s="2903">
        <f t="shared" si="68"/>
        <v>11250</v>
      </c>
      <c r="H240" s="2903">
        <f t="shared" si="69"/>
        <v>0</v>
      </c>
      <c r="I240" s="2905">
        <f t="shared" si="70"/>
        <v>7125</v>
      </c>
      <c r="J240" s="1096">
        <v>4360</v>
      </c>
      <c r="K240" s="2479">
        <f t="shared" si="78"/>
        <v>178585.60000000001</v>
      </c>
      <c r="L240" s="398">
        <f t="shared" si="71"/>
        <v>2250</v>
      </c>
      <c r="M240" s="1095">
        <f t="shared" si="72"/>
        <v>13735</v>
      </c>
      <c r="N240" s="2906">
        <f t="shared" si="73"/>
        <v>4.3229769305178041E-4</v>
      </c>
      <c r="O240" s="2907">
        <f t="shared" si="79"/>
        <v>7.5111973622591776E-5</v>
      </c>
      <c r="P240" s="2908">
        <f t="shared" si="80"/>
        <v>37500</v>
      </c>
      <c r="Q240" s="1095">
        <f t="shared" si="81"/>
        <v>10237.5</v>
      </c>
      <c r="R240" s="2909">
        <f t="shared" si="82"/>
        <v>47737.5</v>
      </c>
      <c r="S240" s="398">
        <f t="shared" si="83"/>
        <v>0</v>
      </c>
      <c r="T240" s="1095">
        <f t="shared" si="84"/>
        <v>0</v>
      </c>
      <c r="U240" s="398">
        <f t="shared" si="85"/>
        <v>0</v>
      </c>
      <c r="V240" s="2913">
        <v>0</v>
      </c>
      <c r="W240" s="1095">
        <f t="shared" si="74"/>
        <v>23195.200000000001</v>
      </c>
      <c r="X240" s="1095">
        <f t="shared" si="75"/>
        <v>2250</v>
      </c>
      <c r="Y240" s="2909">
        <f t="shared" si="86"/>
        <v>25445.200000000001</v>
      </c>
      <c r="Z240" s="2913">
        <v>0</v>
      </c>
      <c r="AA240" s="1095">
        <f t="shared" si="76"/>
        <v>12513.2</v>
      </c>
      <c r="AB240" s="1095">
        <f t="shared" si="77"/>
        <v>0</v>
      </c>
      <c r="AC240" s="2909">
        <f t="shared" si="87"/>
        <v>12513.2</v>
      </c>
    </row>
    <row r="241" spans="1:29">
      <c r="A241" s="2899" t="s">
        <v>4316</v>
      </c>
      <c r="B241" s="2900" t="s">
        <v>4073</v>
      </c>
      <c r="C241" s="2901">
        <v>370</v>
      </c>
      <c r="D241" s="2902">
        <f t="shared" si="66"/>
        <v>1.0572697295103985E-3</v>
      </c>
      <c r="E241" s="2903">
        <v>33300</v>
      </c>
      <c r="F241" s="2904">
        <f t="shared" si="67"/>
        <v>1.1640759451536356E-3</v>
      </c>
      <c r="G241" s="2903">
        <f t="shared" si="68"/>
        <v>33300</v>
      </c>
      <c r="H241" s="2903">
        <f t="shared" si="69"/>
        <v>0</v>
      </c>
      <c r="I241" s="2905">
        <f t="shared" si="70"/>
        <v>21090</v>
      </c>
      <c r="J241" s="1096">
        <v>6453</v>
      </c>
      <c r="K241" s="2479">
        <f t="shared" si="78"/>
        <v>264314.88</v>
      </c>
      <c r="L241" s="398">
        <f t="shared" si="71"/>
        <v>6660</v>
      </c>
      <c r="M241" s="1095">
        <f t="shared" si="72"/>
        <v>34203</v>
      </c>
      <c r="N241" s="2906">
        <f t="shared" si="73"/>
        <v>1.0765109570768142E-3</v>
      </c>
      <c r="O241" s="2907">
        <f t="shared" si="79"/>
        <v>1.9241227566415718E-5</v>
      </c>
      <c r="P241" s="2908">
        <f t="shared" si="80"/>
        <v>111000</v>
      </c>
      <c r="Q241" s="1095">
        <f t="shared" si="81"/>
        <v>30303</v>
      </c>
      <c r="R241" s="2909">
        <f t="shared" si="82"/>
        <v>141303</v>
      </c>
      <c r="S241" s="398">
        <f t="shared" si="83"/>
        <v>0</v>
      </c>
      <c r="T241" s="1095">
        <f t="shared" si="84"/>
        <v>0</v>
      </c>
      <c r="U241" s="398">
        <f t="shared" si="85"/>
        <v>0</v>
      </c>
      <c r="V241" s="2913">
        <v>0</v>
      </c>
      <c r="W241" s="1095">
        <f t="shared" si="74"/>
        <v>34329.96</v>
      </c>
      <c r="X241" s="1095">
        <f t="shared" si="75"/>
        <v>6660</v>
      </c>
      <c r="Y241" s="2909">
        <f t="shared" si="86"/>
        <v>40989.96</v>
      </c>
      <c r="Z241" s="2913">
        <v>0</v>
      </c>
      <c r="AA241" s="1095">
        <f t="shared" si="76"/>
        <v>18520.11</v>
      </c>
      <c r="AB241" s="1095">
        <f t="shared" si="77"/>
        <v>0</v>
      </c>
      <c r="AC241" s="2909">
        <f t="shared" si="87"/>
        <v>18520.11</v>
      </c>
    </row>
    <row r="242" spans="1:29">
      <c r="A242" s="2899" t="s">
        <v>4317</v>
      </c>
      <c r="B242" s="2900" t="s">
        <v>4075</v>
      </c>
      <c r="C242" s="2901">
        <v>200</v>
      </c>
      <c r="D242" s="2902">
        <f t="shared" si="66"/>
        <v>5.7149715108670187E-4</v>
      </c>
      <c r="E242" s="2903">
        <v>18000</v>
      </c>
      <c r="F242" s="2904">
        <f t="shared" si="67"/>
        <v>6.2923024062358675E-4</v>
      </c>
      <c r="G242" s="2903">
        <f t="shared" si="68"/>
        <v>18000</v>
      </c>
      <c r="H242" s="2903">
        <f t="shared" si="69"/>
        <v>0</v>
      </c>
      <c r="I242" s="2905">
        <f t="shared" si="70"/>
        <v>11400</v>
      </c>
      <c r="J242" s="1096">
        <v>6976</v>
      </c>
      <c r="K242" s="2479">
        <f t="shared" si="78"/>
        <v>285736.96000000002</v>
      </c>
      <c r="L242" s="398">
        <f t="shared" si="71"/>
        <v>3600</v>
      </c>
      <c r="M242" s="1095">
        <f t="shared" si="72"/>
        <v>21976</v>
      </c>
      <c r="N242" s="2906">
        <f t="shared" si="73"/>
        <v>6.9167630888284856E-4</v>
      </c>
      <c r="O242" s="2907">
        <f t="shared" si="79"/>
        <v>1.2017915779614669E-4</v>
      </c>
      <c r="P242" s="2908">
        <f t="shared" si="80"/>
        <v>60000</v>
      </c>
      <c r="Q242" s="1095">
        <f t="shared" si="81"/>
        <v>16380</v>
      </c>
      <c r="R242" s="2909">
        <f t="shared" si="82"/>
        <v>76380</v>
      </c>
      <c r="S242" s="398">
        <f t="shared" si="83"/>
        <v>0</v>
      </c>
      <c r="T242" s="1095">
        <f t="shared" si="84"/>
        <v>0</v>
      </c>
      <c r="U242" s="398">
        <f t="shared" si="85"/>
        <v>0</v>
      </c>
      <c r="V242" s="2913">
        <v>0</v>
      </c>
      <c r="W242" s="1095">
        <f t="shared" si="74"/>
        <v>37112.32</v>
      </c>
      <c r="X242" s="1095">
        <f t="shared" si="75"/>
        <v>3600</v>
      </c>
      <c r="Y242" s="2909">
        <f t="shared" si="86"/>
        <v>40712.32</v>
      </c>
      <c r="Z242" s="2913">
        <v>0</v>
      </c>
      <c r="AA242" s="1095">
        <f t="shared" si="76"/>
        <v>20021.12</v>
      </c>
      <c r="AB242" s="1095">
        <f t="shared" si="77"/>
        <v>0</v>
      </c>
      <c r="AC242" s="2909">
        <f t="shared" si="87"/>
        <v>20021.12</v>
      </c>
    </row>
    <row r="243" spans="1:29">
      <c r="A243" s="2899" t="s">
        <v>4318</v>
      </c>
      <c r="B243" s="2900" t="s">
        <v>4075</v>
      </c>
      <c r="C243" s="2901">
        <v>550</v>
      </c>
      <c r="D243" s="2902">
        <f t="shared" si="66"/>
        <v>1.57161716548843E-3</v>
      </c>
      <c r="E243" s="2903">
        <v>49500</v>
      </c>
      <c r="F243" s="2904">
        <f t="shared" si="67"/>
        <v>1.7303831617148636E-3</v>
      </c>
      <c r="G243" s="2903">
        <f t="shared" si="68"/>
        <v>49500</v>
      </c>
      <c r="H243" s="2903">
        <f t="shared" si="69"/>
        <v>0</v>
      </c>
      <c r="I243" s="2905">
        <f t="shared" si="70"/>
        <v>31350</v>
      </c>
      <c r="J243" s="1096">
        <v>9592</v>
      </c>
      <c r="K243" s="2479">
        <f t="shared" si="78"/>
        <v>392888.32000000001</v>
      </c>
      <c r="L243" s="398">
        <f t="shared" si="71"/>
        <v>9900</v>
      </c>
      <c r="M243" s="1095">
        <f t="shared" si="72"/>
        <v>50842</v>
      </c>
      <c r="N243" s="2906">
        <f t="shared" si="73"/>
        <v>1.6002096330643334E-3</v>
      </c>
      <c r="O243" s="2907">
        <f t="shared" si="79"/>
        <v>2.859246757590337E-5</v>
      </c>
      <c r="P243" s="2908">
        <f t="shared" si="80"/>
        <v>165000</v>
      </c>
      <c r="Q243" s="1095">
        <f t="shared" si="81"/>
        <v>45045</v>
      </c>
      <c r="R243" s="2909">
        <f t="shared" si="82"/>
        <v>210045</v>
      </c>
      <c r="S243" s="398">
        <f t="shared" si="83"/>
        <v>0</v>
      </c>
      <c r="T243" s="1095">
        <f t="shared" si="84"/>
        <v>0</v>
      </c>
      <c r="U243" s="398">
        <f t="shared" si="85"/>
        <v>0</v>
      </c>
      <c r="V243" s="2913">
        <v>0</v>
      </c>
      <c r="W243" s="1095">
        <f t="shared" si="74"/>
        <v>51029.440000000002</v>
      </c>
      <c r="X243" s="1095">
        <f t="shared" si="75"/>
        <v>9900</v>
      </c>
      <c r="Y243" s="2909">
        <f t="shared" si="86"/>
        <v>60929.440000000002</v>
      </c>
      <c r="Z243" s="2913">
        <v>0</v>
      </c>
      <c r="AA243" s="1095">
        <f t="shared" si="76"/>
        <v>27529.040000000001</v>
      </c>
      <c r="AB243" s="1095">
        <f t="shared" si="77"/>
        <v>0</v>
      </c>
      <c r="AC243" s="2909">
        <f t="shared" si="87"/>
        <v>27529.040000000001</v>
      </c>
    </row>
    <row r="244" spans="1:29">
      <c r="A244" s="2899" t="s">
        <v>4319</v>
      </c>
      <c r="B244" s="2900" t="s">
        <v>4104</v>
      </c>
      <c r="C244" s="2901">
        <v>155</v>
      </c>
      <c r="D244" s="2902">
        <f t="shared" si="66"/>
        <v>4.4291029209219394E-4</v>
      </c>
      <c r="E244" s="2903">
        <v>13950</v>
      </c>
      <c r="F244" s="2904">
        <f t="shared" si="67"/>
        <v>4.8765343648327975E-4</v>
      </c>
      <c r="G244" s="2903">
        <f t="shared" si="68"/>
        <v>13950</v>
      </c>
      <c r="H244" s="2903">
        <f t="shared" si="69"/>
        <v>0</v>
      </c>
      <c r="I244" s="2905">
        <f t="shared" si="70"/>
        <v>8835</v>
      </c>
      <c r="J244" s="1096">
        <v>2703</v>
      </c>
      <c r="K244" s="2479">
        <f t="shared" si="78"/>
        <v>110714.88</v>
      </c>
      <c r="L244" s="398">
        <f t="shared" si="71"/>
        <v>2790</v>
      </c>
      <c r="M244" s="1095">
        <f t="shared" si="72"/>
        <v>14328</v>
      </c>
      <c r="N244" s="2906">
        <f t="shared" si="73"/>
        <v>4.5096187448459476E-4</v>
      </c>
      <c r="O244" s="2907">
        <f t="shared" si="79"/>
        <v>8.05158239240082E-6</v>
      </c>
      <c r="P244" s="2908">
        <f t="shared" si="80"/>
        <v>46500</v>
      </c>
      <c r="Q244" s="1095">
        <f t="shared" si="81"/>
        <v>12694.5</v>
      </c>
      <c r="R244" s="2909">
        <f t="shared" si="82"/>
        <v>59194.5</v>
      </c>
      <c r="S244" s="398">
        <f t="shared" si="83"/>
        <v>0</v>
      </c>
      <c r="T244" s="1095">
        <f t="shared" si="84"/>
        <v>0</v>
      </c>
      <c r="U244" s="398">
        <f t="shared" si="85"/>
        <v>0</v>
      </c>
      <c r="V244" s="2913">
        <v>0</v>
      </c>
      <c r="W244" s="1095">
        <f t="shared" si="74"/>
        <v>14379.960000000001</v>
      </c>
      <c r="X244" s="1095">
        <f t="shared" si="75"/>
        <v>2790</v>
      </c>
      <c r="Y244" s="2909">
        <f t="shared" si="86"/>
        <v>17169.96</v>
      </c>
      <c r="Z244" s="2913">
        <v>0</v>
      </c>
      <c r="AA244" s="1095">
        <f t="shared" si="76"/>
        <v>7757.6100000000006</v>
      </c>
      <c r="AB244" s="1095">
        <f t="shared" si="77"/>
        <v>0</v>
      </c>
      <c r="AC244" s="2909">
        <f t="shared" si="87"/>
        <v>7757.6100000000006</v>
      </c>
    </row>
    <row r="245" spans="1:29">
      <c r="A245" s="2899" t="s">
        <v>4320</v>
      </c>
      <c r="B245" s="2900" t="s">
        <v>4077</v>
      </c>
      <c r="C245" s="2901">
        <v>250</v>
      </c>
      <c r="D245" s="2902">
        <f t="shared" si="66"/>
        <v>7.1437143885837726E-4</v>
      </c>
      <c r="E245" s="2903">
        <v>22500</v>
      </c>
      <c r="F245" s="2904">
        <f t="shared" si="67"/>
        <v>7.8653780077948343E-4</v>
      </c>
      <c r="G245" s="2903">
        <f t="shared" si="68"/>
        <v>22500</v>
      </c>
      <c r="H245" s="2903">
        <f t="shared" si="69"/>
        <v>0</v>
      </c>
      <c r="I245" s="2905">
        <f t="shared" si="70"/>
        <v>14250</v>
      </c>
      <c r="J245" s="1096">
        <v>4360</v>
      </c>
      <c r="K245" s="2479">
        <f t="shared" si="78"/>
        <v>178585.60000000001</v>
      </c>
      <c r="L245" s="398">
        <f t="shared" si="71"/>
        <v>4500</v>
      </c>
      <c r="M245" s="1095">
        <f t="shared" si="72"/>
        <v>23110</v>
      </c>
      <c r="N245" s="2906">
        <f t="shared" si="73"/>
        <v>7.2736801502924244E-4</v>
      </c>
      <c r="O245" s="2907">
        <f t="shared" si="79"/>
        <v>1.2996576170865178E-5</v>
      </c>
      <c r="P245" s="2908">
        <f t="shared" si="80"/>
        <v>75000</v>
      </c>
      <c r="Q245" s="1095">
        <f t="shared" si="81"/>
        <v>20475</v>
      </c>
      <c r="R245" s="2909">
        <f t="shared" si="82"/>
        <v>95475</v>
      </c>
      <c r="S245" s="398">
        <f t="shared" si="83"/>
        <v>0</v>
      </c>
      <c r="T245" s="1095">
        <f t="shared" si="84"/>
        <v>0</v>
      </c>
      <c r="U245" s="398">
        <f t="shared" si="85"/>
        <v>0</v>
      </c>
      <c r="V245" s="2913">
        <v>0</v>
      </c>
      <c r="W245" s="1095">
        <f t="shared" si="74"/>
        <v>23195.200000000001</v>
      </c>
      <c r="X245" s="1095">
        <f t="shared" si="75"/>
        <v>4500</v>
      </c>
      <c r="Y245" s="2909">
        <f t="shared" si="86"/>
        <v>27695.200000000001</v>
      </c>
      <c r="Z245" s="2913">
        <v>0</v>
      </c>
      <c r="AA245" s="1095">
        <f t="shared" si="76"/>
        <v>12513.2</v>
      </c>
      <c r="AB245" s="1095">
        <f t="shared" si="77"/>
        <v>0</v>
      </c>
      <c r="AC245" s="2909">
        <f t="shared" si="87"/>
        <v>12513.2</v>
      </c>
    </row>
    <row r="246" spans="1:29">
      <c r="A246" s="2899" t="s">
        <v>4321</v>
      </c>
      <c r="B246" s="2900" t="s">
        <v>4110</v>
      </c>
      <c r="C246" s="2901">
        <v>295</v>
      </c>
      <c r="D246" s="2902">
        <f t="shared" si="66"/>
        <v>8.4295829785288525E-4</v>
      </c>
      <c r="E246" s="2903">
        <v>26550</v>
      </c>
      <c r="F246" s="2904">
        <f t="shared" si="67"/>
        <v>9.2811460491979043E-4</v>
      </c>
      <c r="G246" s="2903">
        <f t="shared" si="68"/>
        <v>26550</v>
      </c>
      <c r="H246" s="2903">
        <f t="shared" si="69"/>
        <v>0</v>
      </c>
      <c r="I246" s="2905">
        <f t="shared" si="70"/>
        <v>16815</v>
      </c>
      <c r="J246" s="1096">
        <v>5145</v>
      </c>
      <c r="K246" s="2479">
        <f t="shared" si="78"/>
        <v>210739.20000000001</v>
      </c>
      <c r="L246" s="398">
        <f t="shared" si="71"/>
        <v>5310</v>
      </c>
      <c r="M246" s="1095">
        <f t="shared" si="72"/>
        <v>27270</v>
      </c>
      <c r="N246" s="2906">
        <f t="shared" si="73"/>
        <v>8.5830055256804155E-4</v>
      </c>
      <c r="O246" s="2907">
        <f t="shared" si="79"/>
        <v>1.5342254715156305E-5</v>
      </c>
      <c r="P246" s="2908">
        <f t="shared" si="80"/>
        <v>88500</v>
      </c>
      <c r="Q246" s="1095">
        <f t="shared" si="81"/>
        <v>24160.5</v>
      </c>
      <c r="R246" s="2909">
        <f t="shared" si="82"/>
        <v>112660.5</v>
      </c>
      <c r="S246" s="398">
        <f t="shared" si="83"/>
        <v>0</v>
      </c>
      <c r="T246" s="1095">
        <f t="shared" si="84"/>
        <v>0</v>
      </c>
      <c r="U246" s="398">
        <f t="shared" si="85"/>
        <v>0</v>
      </c>
      <c r="V246" s="2913">
        <v>0</v>
      </c>
      <c r="W246" s="1095">
        <f t="shared" si="74"/>
        <v>27371.4</v>
      </c>
      <c r="X246" s="1095">
        <f t="shared" si="75"/>
        <v>5310</v>
      </c>
      <c r="Y246" s="2909">
        <f t="shared" si="86"/>
        <v>32681.4</v>
      </c>
      <c r="Z246" s="2913">
        <v>0</v>
      </c>
      <c r="AA246" s="1095">
        <f t="shared" si="76"/>
        <v>14766.150000000001</v>
      </c>
      <c r="AB246" s="1095">
        <f t="shared" si="77"/>
        <v>0</v>
      </c>
      <c r="AC246" s="2909">
        <f t="shared" si="87"/>
        <v>14766.150000000001</v>
      </c>
    </row>
    <row r="247" spans="1:29">
      <c r="A247" s="2899" t="s">
        <v>4322</v>
      </c>
      <c r="B247" s="2900" t="s">
        <v>4104</v>
      </c>
      <c r="C247" s="2901">
        <v>350</v>
      </c>
      <c r="D247" s="2902">
        <f t="shared" si="66"/>
        <v>1.0001200144017282E-3</v>
      </c>
      <c r="E247" s="2903">
        <v>0</v>
      </c>
      <c r="F247" s="2904">
        <f t="shared" si="67"/>
        <v>0</v>
      </c>
      <c r="G247" s="2903">
        <f t="shared" si="68"/>
        <v>31500</v>
      </c>
      <c r="H247" s="2903">
        <f t="shared" si="69"/>
        <v>-31500</v>
      </c>
      <c r="I247" s="2905">
        <f t="shared" si="70"/>
        <v>19950</v>
      </c>
      <c r="J247" s="1096">
        <v>12208</v>
      </c>
      <c r="K247" s="2479">
        <f t="shared" si="78"/>
        <v>500039.67999999999</v>
      </c>
      <c r="L247" s="398">
        <f t="shared" si="71"/>
        <v>0</v>
      </c>
      <c r="M247" s="1095">
        <f t="shared" si="72"/>
        <v>32158</v>
      </c>
      <c r="N247" s="2906">
        <f t="shared" si="73"/>
        <v>1.0121462841761306E-3</v>
      </c>
      <c r="O247" s="2907">
        <f t="shared" si="79"/>
        <v>1.2026269774402304E-5</v>
      </c>
      <c r="P247" s="2908">
        <f t="shared" si="80"/>
        <v>105000</v>
      </c>
      <c r="Q247" s="1095">
        <f t="shared" si="81"/>
        <v>0</v>
      </c>
      <c r="R247" s="2909">
        <f t="shared" si="82"/>
        <v>105000</v>
      </c>
      <c r="S247" s="398">
        <f t="shared" si="83"/>
        <v>0</v>
      </c>
      <c r="T247" s="1095">
        <f t="shared" si="84"/>
        <v>0</v>
      </c>
      <c r="U247" s="398">
        <f t="shared" si="85"/>
        <v>0</v>
      </c>
      <c r="V247" s="2913">
        <v>0</v>
      </c>
      <c r="W247" s="1095">
        <f t="shared" si="74"/>
        <v>64946.560000000005</v>
      </c>
      <c r="X247" s="1095">
        <f t="shared" si="75"/>
        <v>0</v>
      </c>
      <c r="Y247" s="2909">
        <f t="shared" si="86"/>
        <v>64946.560000000005</v>
      </c>
      <c r="Z247" s="2913">
        <v>0</v>
      </c>
      <c r="AA247" s="1095">
        <f t="shared" si="76"/>
        <v>35036.959999999999</v>
      </c>
      <c r="AB247" s="1095">
        <f t="shared" si="77"/>
        <v>0</v>
      </c>
      <c r="AC247" s="2909">
        <f t="shared" si="87"/>
        <v>35036.959999999999</v>
      </c>
    </row>
    <row r="248" spans="1:29">
      <c r="A248" s="2899" t="s">
        <v>4323</v>
      </c>
      <c r="B248" s="2900" t="s">
        <v>4092</v>
      </c>
      <c r="C248" s="2901">
        <v>195</v>
      </c>
      <c r="D248" s="2902">
        <f t="shared" si="66"/>
        <v>5.5720972230953426E-4</v>
      </c>
      <c r="E248" s="2903">
        <v>17550</v>
      </c>
      <c r="F248" s="2904">
        <f t="shared" si="67"/>
        <v>6.1349948460799706E-4</v>
      </c>
      <c r="G248" s="2903">
        <f t="shared" si="68"/>
        <v>17550</v>
      </c>
      <c r="H248" s="2903">
        <f t="shared" si="69"/>
        <v>0</v>
      </c>
      <c r="I248" s="2905">
        <f t="shared" si="70"/>
        <v>11115</v>
      </c>
      <c r="J248" s="1096">
        <v>3400</v>
      </c>
      <c r="K248" s="2479">
        <f t="shared" si="78"/>
        <v>139264</v>
      </c>
      <c r="L248" s="398">
        <f t="shared" si="71"/>
        <v>3510</v>
      </c>
      <c r="M248" s="1095">
        <f t="shared" si="72"/>
        <v>18025</v>
      </c>
      <c r="N248" s="2906">
        <f t="shared" si="73"/>
        <v>5.6732187238866703E-4</v>
      </c>
      <c r="O248" s="2907">
        <f t="shared" si="79"/>
        <v>1.011215007913277E-5</v>
      </c>
      <c r="P248" s="2908">
        <f t="shared" si="80"/>
        <v>58500</v>
      </c>
      <c r="Q248" s="1095">
        <f t="shared" si="81"/>
        <v>15970.5</v>
      </c>
      <c r="R248" s="2909">
        <f t="shared" si="82"/>
        <v>74470.5</v>
      </c>
      <c r="S248" s="398">
        <f t="shared" si="83"/>
        <v>0</v>
      </c>
      <c r="T248" s="1095">
        <f t="shared" si="84"/>
        <v>0</v>
      </c>
      <c r="U248" s="398">
        <f t="shared" si="85"/>
        <v>0</v>
      </c>
      <c r="V248" s="2913">
        <v>0</v>
      </c>
      <c r="W248" s="1095">
        <f t="shared" si="74"/>
        <v>18088</v>
      </c>
      <c r="X248" s="1095">
        <f t="shared" si="75"/>
        <v>3510</v>
      </c>
      <c r="Y248" s="2909">
        <f t="shared" si="86"/>
        <v>21598</v>
      </c>
      <c r="Z248" s="2913">
        <v>0</v>
      </c>
      <c r="AA248" s="1095">
        <f t="shared" si="76"/>
        <v>9758</v>
      </c>
      <c r="AB248" s="1095">
        <f t="shared" si="77"/>
        <v>0</v>
      </c>
      <c r="AC248" s="2909">
        <f t="shared" si="87"/>
        <v>9758</v>
      </c>
    </row>
    <row r="249" spans="1:29">
      <c r="A249" s="2899" t="s">
        <v>4324</v>
      </c>
      <c r="B249" s="2900" t="s">
        <v>4069</v>
      </c>
      <c r="C249" s="2901">
        <v>200</v>
      </c>
      <c r="D249" s="2902">
        <f t="shared" si="66"/>
        <v>5.7149715108670187E-4</v>
      </c>
      <c r="E249" s="2903">
        <v>18000</v>
      </c>
      <c r="F249" s="2904">
        <f t="shared" si="67"/>
        <v>6.2923024062358675E-4</v>
      </c>
      <c r="G249" s="2903">
        <f t="shared" si="68"/>
        <v>18000</v>
      </c>
      <c r="H249" s="2903">
        <f t="shared" si="69"/>
        <v>0</v>
      </c>
      <c r="I249" s="2905">
        <f t="shared" si="70"/>
        <v>11400</v>
      </c>
      <c r="J249" s="1096">
        <v>3488</v>
      </c>
      <c r="K249" s="2479">
        <f t="shared" si="78"/>
        <v>142868.48000000001</v>
      </c>
      <c r="L249" s="398">
        <f t="shared" si="71"/>
        <v>3600</v>
      </c>
      <c r="M249" s="1095">
        <f t="shared" si="72"/>
        <v>18488</v>
      </c>
      <c r="N249" s="2906">
        <f t="shared" si="73"/>
        <v>5.8189441202339393E-4</v>
      </c>
      <c r="O249" s="2907">
        <f t="shared" si="79"/>
        <v>1.0397260936692056E-5</v>
      </c>
      <c r="P249" s="2908">
        <f t="shared" si="80"/>
        <v>60000</v>
      </c>
      <c r="Q249" s="1095">
        <f t="shared" si="81"/>
        <v>16380</v>
      </c>
      <c r="R249" s="2909">
        <f t="shared" si="82"/>
        <v>76380</v>
      </c>
      <c r="S249" s="398">
        <f t="shared" si="83"/>
        <v>0</v>
      </c>
      <c r="T249" s="1095">
        <f t="shared" si="84"/>
        <v>0</v>
      </c>
      <c r="U249" s="398">
        <f t="shared" si="85"/>
        <v>0</v>
      </c>
      <c r="V249" s="2913">
        <v>0</v>
      </c>
      <c r="W249" s="1095">
        <f t="shared" si="74"/>
        <v>18556.16</v>
      </c>
      <c r="X249" s="1095">
        <f t="shared" si="75"/>
        <v>3600</v>
      </c>
      <c r="Y249" s="2909">
        <f t="shared" si="86"/>
        <v>22156.16</v>
      </c>
      <c r="Z249" s="2913">
        <v>0</v>
      </c>
      <c r="AA249" s="1095">
        <f t="shared" si="76"/>
        <v>10010.56</v>
      </c>
      <c r="AB249" s="1095">
        <f t="shared" si="77"/>
        <v>0</v>
      </c>
      <c r="AC249" s="2909">
        <f t="shared" si="87"/>
        <v>10010.56</v>
      </c>
    </row>
    <row r="250" spans="1:29">
      <c r="A250" s="2899" t="s">
        <v>4325</v>
      </c>
      <c r="B250" s="2900" t="s">
        <v>4071</v>
      </c>
      <c r="C250" s="2901">
        <v>105</v>
      </c>
      <c r="D250" s="2902">
        <f t="shared" si="66"/>
        <v>3.0003600432051844E-4</v>
      </c>
      <c r="E250" s="2903">
        <v>9450</v>
      </c>
      <c r="F250" s="2904">
        <f t="shared" si="67"/>
        <v>3.3034587632738306E-4</v>
      </c>
      <c r="G250" s="2903">
        <f t="shared" si="68"/>
        <v>9450</v>
      </c>
      <c r="H250" s="2903">
        <f t="shared" si="69"/>
        <v>0</v>
      </c>
      <c r="I250" s="2905">
        <f t="shared" si="70"/>
        <v>5985</v>
      </c>
      <c r="J250" s="1096">
        <v>3661.9999999999995</v>
      </c>
      <c r="K250" s="2479">
        <f t="shared" si="78"/>
        <v>149995.51999999999</v>
      </c>
      <c r="L250" s="398">
        <f t="shared" si="71"/>
        <v>1890</v>
      </c>
      <c r="M250" s="1095">
        <f t="shared" si="72"/>
        <v>11537</v>
      </c>
      <c r="N250" s="2906">
        <f t="shared" si="73"/>
        <v>3.6311747249642446E-4</v>
      </c>
      <c r="O250" s="2907">
        <f t="shared" si="79"/>
        <v>6.3081468175906017E-5</v>
      </c>
      <c r="P250" s="2908">
        <f t="shared" si="80"/>
        <v>31500</v>
      </c>
      <c r="Q250" s="1095">
        <f t="shared" si="81"/>
        <v>8599.5</v>
      </c>
      <c r="R250" s="2909">
        <f t="shared" si="82"/>
        <v>40099.5</v>
      </c>
      <c r="S250" s="398">
        <f t="shared" si="83"/>
        <v>0</v>
      </c>
      <c r="T250" s="1095">
        <f t="shared" si="84"/>
        <v>0</v>
      </c>
      <c r="U250" s="398">
        <f t="shared" si="85"/>
        <v>0</v>
      </c>
      <c r="V250" s="2913">
        <v>0</v>
      </c>
      <c r="W250" s="1095">
        <f t="shared" si="74"/>
        <v>19481.84</v>
      </c>
      <c r="X250" s="1095">
        <f t="shared" si="75"/>
        <v>1890</v>
      </c>
      <c r="Y250" s="2909">
        <f t="shared" si="86"/>
        <v>21371.84</v>
      </c>
      <c r="Z250" s="2913">
        <v>0</v>
      </c>
      <c r="AA250" s="1095">
        <f t="shared" si="76"/>
        <v>10509.939999999999</v>
      </c>
      <c r="AB250" s="1095">
        <f t="shared" si="77"/>
        <v>0</v>
      </c>
      <c r="AC250" s="2909">
        <f t="shared" si="87"/>
        <v>10509.939999999999</v>
      </c>
    </row>
    <row r="251" spans="1:29">
      <c r="A251" s="2899" t="s">
        <v>4326</v>
      </c>
      <c r="B251" s="2900" t="s">
        <v>4110</v>
      </c>
      <c r="C251" s="2901">
        <v>1500</v>
      </c>
      <c r="D251" s="2902">
        <f t="shared" si="66"/>
        <v>4.2862286331502636E-3</v>
      </c>
      <c r="E251" s="2903">
        <v>135000</v>
      </c>
      <c r="F251" s="2904">
        <f t="shared" si="67"/>
        <v>4.7192268046769006E-3</v>
      </c>
      <c r="G251" s="2903">
        <f t="shared" si="68"/>
        <v>135000</v>
      </c>
      <c r="H251" s="2903">
        <f t="shared" si="69"/>
        <v>0</v>
      </c>
      <c r="I251" s="2905">
        <f t="shared" si="70"/>
        <v>85500</v>
      </c>
      <c r="J251" s="1096">
        <v>26161</v>
      </c>
      <c r="K251" s="2479">
        <f t="shared" si="78"/>
        <v>1071554.5600000001</v>
      </c>
      <c r="L251" s="398">
        <f t="shared" si="71"/>
        <v>27000</v>
      </c>
      <c r="M251" s="1095">
        <f t="shared" si="72"/>
        <v>138661</v>
      </c>
      <c r="N251" s="2906">
        <f t="shared" si="73"/>
        <v>4.3642395643431319E-3</v>
      </c>
      <c r="O251" s="2907">
        <f t="shared" si="79"/>
        <v>7.8010931192868359E-5</v>
      </c>
      <c r="P251" s="2908">
        <f t="shared" si="80"/>
        <v>450000</v>
      </c>
      <c r="Q251" s="1095">
        <f t="shared" si="81"/>
        <v>122850</v>
      </c>
      <c r="R251" s="2909">
        <f t="shared" si="82"/>
        <v>572850</v>
      </c>
      <c r="S251" s="398">
        <f t="shared" si="83"/>
        <v>0</v>
      </c>
      <c r="T251" s="1095">
        <f t="shared" si="84"/>
        <v>0</v>
      </c>
      <c r="U251" s="398">
        <f t="shared" si="85"/>
        <v>0</v>
      </c>
      <c r="V251" s="2913">
        <v>0</v>
      </c>
      <c r="W251" s="1095">
        <f t="shared" si="74"/>
        <v>139176.52000000002</v>
      </c>
      <c r="X251" s="1095">
        <f t="shared" si="75"/>
        <v>27000</v>
      </c>
      <c r="Y251" s="2909">
        <f t="shared" si="86"/>
        <v>166176.52000000002</v>
      </c>
      <c r="Z251" s="2913">
        <v>0</v>
      </c>
      <c r="AA251" s="1095">
        <f t="shared" si="76"/>
        <v>75082.070000000007</v>
      </c>
      <c r="AB251" s="1095">
        <f t="shared" si="77"/>
        <v>0</v>
      </c>
      <c r="AC251" s="2909">
        <f t="shared" si="87"/>
        <v>75082.070000000007</v>
      </c>
    </row>
    <row r="252" spans="1:29">
      <c r="A252" s="2899" t="s">
        <v>4327</v>
      </c>
      <c r="B252" s="2900" t="s">
        <v>4077</v>
      </c>
      <c r="C252" s="2901">
        <v>485</v>
      </c>
      <c r="D252" s="2902">
        <f t="shared" si="66"/>
        <v>1.3858805913852519E-3</v>
      </c>
      <c r="E252" s="2903">
        <v>43650</v>
      </c>
      <c r="F252" s="2904">
        <f t="shared" si="67"/>
        <v>1.5258833335121979E-3</v>
      </c>
      <c r="G252" s="2903">
        <f t="shared" si="68"/>
        <v>43650</v>
      </c>
      <c r="H252" s="2903">
        <f t="shared" si="69"/>
        <v>0</v>
      </c>
      <c r="I252" s="2905">
        <f t="shared" si="70"/>
        <v>27645</v>
      </c>
      <c r="J252" s="1096">
        <v>0</v>
      </c>
      <c r="K252" s="2479">
        <f t="shared" si="78"/>
        <v>0</v>
      </c>
      <c r="L252" s="398">
        <f t="shared" si="71"/>
        <v>8730</v>
      </c>
      <c r="M252" s="1095">
        <f t="shared" si="72"/>
        <v>36375</v>
      </c>
      <c r="N252" s="2906">
        <f t="shared" si="73"/>
        <v>1.1448728492725528E-3</v>
      </c>
      <c r="O252" s="2907">
        <f t="shared" si="79"/>
        <v>-2.410077421126991E-4</v>
      </c>
      <c r="P252" s="2908">
        <f t="shared" si="80"/>
        <v>145500</v>
      </c>
      <c r="Q252" s="1095">
        <f t="shared" si="81"/>
        <v>39721.5</v>
      </c>
      <c r="R252" s="2909">
        <f t="shared" si="82"/>
        <v>185221.5</v>
      </c>
      <c r="S252" s="398">
        <f t="shared" si="83"/>
        <v>0</v>
      </c>
      <c r="T252" s="1095">
        <f t="shared" si="84"/>
        <v>0</v>
      </c>
      <c r="U252" s="398">
        <f t="shared" si="85"/>
        <v>0</v>
      </c>
      <c r="V252" s="2913">
        <v>0</v>
      </c>
      <c r="W252" s="1095">
        <f t="shared" si="74"/>
        <v>0</v>
      </c>
      <c r="X252" s="1095">
        <f t="shared" si="75"/>
        <v>8730</v>
      </c>
      <c r="Y252" s="2909">
        <f t="shared" si="86"/>
        <v>8730</v>
      </c>
      <c r="Z252" s="2913">
        <v>0</v>
      </c>
      <c r="AA252" s="1095">
        <f t="shared" si="76"/>
        <v>0</v>
      </c>
      <c r="AB252" s="1095">
        <f t="shared" si="77"/>
        <v>0</v>
      </c>
      <c r="AC252" s="2909">
        <f t="shared" si="87"/>
        <v>0</v>
      </c>
    </row>
    <row r="253" spans="1:29">
      <c r="A253" s="2899" t="s">
        <v>4328</v>
      </c>
      <c r="B253" s="2900" t="s">
        <v>4089</v>
      </c>
      <c r="C253" s="2901">
        <v>785</v>
      </c>
      <c r="D253" s="2902">
        <f t="shared" si="66"/>
        <v>2.2431263180153049E-3</v>
      </c>
      <c r="E253" s="2903">
        <v>70650</v>
      </c>
      <c r="F253" s="2904">
        <f t="shared" si="67"/>
        <v>2.469728694447578E-3</v>
      </c>
      <c r="G253" s="2903">
        <f t="shared" si="68"/>
        <v>70650</v>
      </c>
      <c r="H253" s="2903">
        <f t="shared" si="69"/>
        <v>0</v>
      </c>
      <c r="I253" s="2905">
        <f t="shared" si="70"/>
        <v>44745</v>
      </c>
      <c r="J253" s="1096">
        <v>27380</v>
      </c>
      <c r="K253" s="2479">
        <f t="shared" si="78"/>
        <v>1121484.8</v>
      </c>
      <c r="L253" s="398">
        <f t="shared" si="71"/>
        <v>14130</v>
      </c>
      <c r="M253" s="1095">
        <f t="shared" si="72"/>
        <v>86255</v>
      </c>
      <c r="N253" s="2906">
        <f t="shared" si="73"/>
        <v>2.7148043330310389E-3</v>
      </c>
      <c r="O253" s="2907">
        <f t="shared" si="79"/>
        <v>4.71678015015734E-4</v>
      </c>
      <c r="P253" s="2908">
        <f t="shared" si="80"/>
        <v>235500</v>
      </c>
      <c r="Q253" s="1095">
        <f t="shared" si="81"/>
        <v>64291.5</v>
      </c>
      <c r="R253" s="2909">
        <f t="shared" si="82"/>
        <v>299791.5</v>
      </c>
      <c r="S253" s="398">
        <f t="shared" si="83"/>
        <v>0</v>
      </c>
      <c r="T253" s="1095">
        <f t="shared" si="84"/>
        <v>0</v>
      </c>
      <c r="U253" s="398">
        <f t="shared" si="85"/>
        <v>0</v>
      </c>
      <c r="V253" s="2913">
        <v>0</v>
      </c>
      <c r="W253" s="1095">
        <f t="shared" si="74"/>
        <v>145661.6</v>
      </c>
      <c r="X253" s="1095">
        <f t="shared" si="75"/>
        <v>14130</v>
      </c>
      <c r="Y253" s="2909">
        <f t="shared" si="86"/>
        <v>159791.6</v>
      </c>
      <c r="Z253" s="2913">
        <v>0</v>
      </c>
      <c r="AA253" s="1095">
        <f t="shared" si="76"/>
        <v>78580.600000000006</v>
      </c>
      <c r="AB253" s="1095">
        <f t="shared" si="77"/>
        <v>0</v>
      </c>
      <c r="AC253" s="2909">
        <f t="shared" si="87"/>
        <v>78580.600000000006</v>
      </c>
    </row>
    <row r="254" spans="1:29">
      <c r="A254" s="2899" t="s">
        <v>4329</v>
      </c>
      <c r="B254" s="2900" t="s">
        <v>4083</v>
      </c>
      <c r="C254" s="2901">
        <v>45</v>
      </c>
      <c r="D254" s="2902">
        <f t="shared" si="66"/>
        <v>1.2858685899450791E-4</v>
      </c>
      <c r="E254" s="2903">
        <v>4050</v>
      </c>
      <c r="F254" s="2904">
        <f t="shared" si="67"/>
        <v>1.4157680414030702E-4</v>
      </c>
      <c r="G254" s="2903">
        <f t="shared" si="68"/>
        <v>4050</v>
      </c>
      <c r="H254" s="2903">
        <f t="shared" si="69"/>
        <v>0</v>
      </c>
      <c r="I254" s="2905">
        <f t="shared" si="70"/>
        <v>2565</v>
      </c>
      <c r="J254" s="1096">
        <v>0</v>
      </c>
      <c r="K254" s="2479">
        <f t="shared" si="78"/>
        <v>0</v>
      </c>
      <c r="L254" s="398">
        <f t="shared" si="71"/>
        <v>810</v>
      </c>
      <c r="M254" s="1095">
        <f t="shared" si="72"/>
        <v>3375</v>
      </c>
      <c r="N254" s="2906">
        <f t="shared" si="73"/>
        <v>1.0622531591188634E-4</v>
      </c>
      <c r="O254" s="2907">
        <f t="shared" si="79"/>
        <v>-2.2361543082621569E-5</v>
      </c>
      <c r="P254" s="2908">
        <f t="shared" si="80"/>
        <v>13500</v>
      </c>
      <c r="Q254" s="1095">
        <f t="shared" si="81"/>
        <v>3685.5</v>
      </c>
      <c r="R254" s="2909">
        <f t="shared" si="82"/>
        <v>17185.5</v>
      </c>
      <c r="S254" s="398">
        <f t="shared" si="83"/>
        <v>0</v>
      </c>
      <c r="T254" s="1095">
        <f t="shared" si="84"/>
        <v>0</v>
      </c>
      <c r="U254" s="398">
        <f t="shared" si="85"/>
        <v>0</v>
      </c>
      <c r="V254" s="2913">
        <v>0</v>
      </c>
      <c r="W254" s="1095">
        <f t="shared" si="74"/>
        <v>0</v>
      </c>
      <c r="X254" s="1095">
        <f t="shared" si="75"/>
        <v>810</v>
      </c>
      <c r="Y254" s="2909">
        <f t="shared" si="86"/>
        <v>810</v>
      </c>
      <c r="Z254" s="2913">
        <v>0</v>
      </c>
      <c r="AA254" s="1095">
        <f t="shared" si="76"/>
        <v>0</v>
      </c>
      <c r="AB254" s="1095">
        <f t="shared" si="77"/>
        <v>0</v>
      </c>
      <c r="AC254" s="2909">
        <f t="shared" si="87"/>
        <v>0</v>
      </c>
    </row>
    <row r="255" spans="1:29">
      <c r="A255" s="2899" t="s">
        <v>4330</v>
      </c>
      <c r="B255" s="2900" t="s">
        <v>4075</v>
      </c>
      <c r="C255" s="2901">
        <v>185</v>
      </c>
      <c r="D255" s="2902">
        <f t="shared" si="66"/>
        <v>5.2863486475519925E-4</v>
      </c>
      <c r="E255" s="2903">
        <v>16650</v>
      </c>
      <c r="F255" s="2904">
        <f t="shared" si="67"/>
        <v>5.8203797257681779E-4</v>
      </c>
      <c r="G255" s="2903">
        <f t="shared" si="68"/>
        <v>16650</v>
      </c>
      <c r="H255" s="2903">
        <f t="shared" si="69"/>
        <v>0</v>
      </c>
      <c r="I255" s="2905">
        <f t="shared" si="70"/>
        <v>10545</v>
      </c>
      <c r="J255" s="1096">
        <v>3225.9999999999995</v>
      </c>
      <c r="K255" s="2479">
        <f t="shared" si="78"/>
        <v>132136.95999999999</v>
      </c>
      <c r="L255" s="398">
        <f t="shared" si="71"/>
        <v>3330</v>
      </c>
      <c r="M255" s="1095">
        <f t="shared" si="72"/>
        <v>17101</v>
      </c>
      <c r="N255" s="2906">
        <f t="shared" si="73"/>
        <v>5.3823974145456835E-4</v>
      </c>
      <c r="O255" s="2907">
        <f t="shared" si="79"/>
        <v>9.6048766993691052E-6</v>
      </c>
      <c r="P255" s="2908">
        <f t="shared" si="80"/>
        <v>55500</v>
      </c>
      <c r="Q255" s="1095">
        <f t="shared" si="81"/>
        <v>15151.5</v>
      </c>
      <c r="R255" s="2909">
        <f t="shared" si="82"/>
        <v>70651.5</v>
      </c>
      <c r="S255" s="398">
        <f t="shared" si="83"/>
        <v>0</v>
      </c>
      <c r="T255" s="1095">
        <f t="shared" si="84"/>
        <v>0</v>
      </c>
      <c r="U255" s="398">
        <f t="shared" si="85"/>
        <v>0</v>
      </c>
      <c r="V255" s="2913">
        <v>0</v>
      </c>
      <c r="W255" s="1095">
        <f t="shared" si="74"/>
        <v>17162.32</v>
      </c>
      <c r="X255" s="1095">
        <f t="shared" si="75"/>
        <v>3330</v>
      </c>
      <c r="Y255" s="2909">
        <f t="shared" si="86"/>
        <v>20492.32</v>
      </c>
      <c r="Z255" s="2913">
        <v>0</v>
      </c>
      <c r="AA255" s="1095">
        <f t="shared" si="76"/>
        <v>9258.619999999999</v>
      </c>
      <c r="AB255" s="1095">
        <f t="shared" si="77"/>
        <v>0</v>
      </c>
      <c r="AC255" s="2909">
        <f t="shared" si="87"/>
        <v>9258.619999999999</v>
      </c>
    </row>
    <row r="256" spans="1:29">
      <c r="A256" s="2899" t="s">
        <v>4331</v>
      </c>
      <c r="B256" s="2900" t="s">
        <v>4196</v>
      </c>
      <c r="C256" s="2901">
        <v>245</v>
      </c>
      <c r="D256" s="2902">
        <f t="shared" si="66"/>
        <v>7.0008401008120975E-4</v>
      </c>
      <c r="E256" s="2903">
        <v>22050</v>
      </c>
      <c r="F256" s="2904">
        <f t="shared" si="67"/>
        <v>7.7080704476389374E-4</v>
      </c>
      <c r="G256" s="2903">
        <f t="shared" si="68"/>
        <v>22050</v>
      </c>
      <c r="H256" s="2903">
        <f t="shared" si="69"/>
        <v>0</v>
      </c>
      <c r="I256" s="2905">
        <f t="shared" si="70"/>
        <v>13965</v>
      </c>
      <c r="J256" s="1096">
        <v>4272</v>
      </c>
      <c r="K256" s="2479">
        <f t="shared" si="78"/>
        <v>174981.12</v>
      </c>
      <c r="L256" s="398">
        <f t="shared" si="71"/>
        <v>4410</v>
      </c>
      <c r="M256" s="1095">
        <f t="shared" si="72"/>
        <v>22647</v>
      </c>
      <c r="N256" s="2906">
        <f t="shared" si="73"/>
        <v>7.1279547539451554E-4</v>
      </c>
      <c r="O256" s="2907">
        <f t="shared" si="79"/>
        <v>1.2711465313305784E-5</v>
      </c>
      <c r="P256" s="2908">
        <f t="shared" si="80"/>
        <v>73500</v>
      </c>
      <c r="Q256" s="1095">
        <f t="shared" si="81"/>
        <v>20065.5</v>
      </c>
      <c r="R256" s="2909">
        <f t="shared" si="82"/>
        <v>93565.5</v>
      </c>
      <c r="S256" s="398">
        <f t="shared" si="83"/>
        <v>0</v>
      </c>
      <c r="T256" s="1095">
        <f t="shared" si="84"/>
        <v>0</v>
      </c>
      <c r="U256" s="398">
        <f t="shared" si="85"/>
        <v>0</v>
      </c>
      <c r="V256" s="2913">
        <v>0</v>
      </c>
      <c r="W256" s="1095">
        <f t="shared" si="74"/>
        <v>22727.040000000001</v>
      </c>
      <c r="X256" s="1095">
        <f t="shared" si="75"/>
        <v>4410</v>
      </c>
      <c r="Y256" s="2909">
        <f t="shared" si="86"/>
        <v>27137.040000000001</v>
      </c>
      <c r="Z256" s="2913">
        <v>0</v>
      </c>
      <c r="AA256" s="1095">
        <f t="shared" si="76"/>
        <v>12260.640000000001</v>
      </c>
      <c r="AB256" s="1095">
        <f t="shared" si="77"/>
        <v>0</v>
      </c>
      <c r="AC256" s="2909">
        <f t="shared" si="87"/>
        <v>12260.640000000001</v>
      </c>
    </row>
    <row r="257" spans="1:29">
      <c r="A257" s="2899" t="s">
        <v>4332</v>
      </c>
      <c r="B257" s="2900" t="s">
        <v>4077</v>
      </c>
      <c r="C257" s="2901">
        <v>155</v>
      </c>
      <c r="D257" s="2902">
        <f t="shared" si="66"/>
        <v>4.4291029209219394E-4</v>
      </c>
      <c r="E257" s="2903">
        <v>13950</v>
      </c>
      <c r="F257" s="2904">
        <f t="shared" si="67"/>
        <v>4.8765343648327975E-4</v>
      </c>
      <c r="G257" s="2903">
        <f t="shared" si="68"/>
        <v>13950</v>
      </c>
      <c r="H257" s="2903">
        <f t="shared" si="69"/>
        <v>0</v>
      </c>
      <c r="I257" s="2905">
        <f t="shared" si="70"/>
        <v>8835</v>
      </c>
      <c r="J257" s="1096">
        <v>2703</v>
      </c>
      <c r="K257" s="2479">
        <f t="shared" si="78"/>
        <v>110714.88</v>
      </c>
      <c r="L257" s="398">
        <f t="shared" si="71"/>
        <v>2790</v>
      </c>
      <c r="M257" s="1095">
        <f t="shared" si="72"/>
        <v>14328</v>
      </c>
      <c r="N257" s="2906">
        <f t="shared" si="73"/>
        <v>4.5096187448459476E-4</v>
      </c>
      <c r="O257" s="2907">
        <f t="shared" si="79"/>
        <v>8.05158239240082E-6</v>
      </c>
      <c r="P257" s="2908">
        <f t="shared" si="80"/>
        <v>46500</v>
      </c>
      <c r="Q257" s="1095">
        <f t="shared" si="81"/>
        <v>12694.5</v>
      </c>
      <c r="R257" s="2909">
        <f t="shared" si="82"/>
        <v>59194.5</v>
      </c>
      <c r="S257" s="398">
        <f t="shared" si="83"/>
        <v>0</v>
      </c>
      <c r="T257" s="1095">
        <f t="shared" si="84"/>
        <v>0</v>
      </c>
      <c r="U257" s="398">
        <f t="shared" si="85"/>
        <v>0</v>
      </c>
      <c r="V257" s="2913">
        <v>0</v>
      </c>
      <c r="W257" s="1095">
        <f t="shared" si="74"/>
        <v>14379.960000000001</v>
      </c>
      <c r="X257" s="1095">
        <f t="shared" si="75"/>
        <v>2790</v>
      </c>
      <c r="Y257" s="2909">
        <f t="shared" si="86"/>
        <v>17169.96</v>
      </c>
      <c r="Z257" s="2913">
        <v>0</v>
      </c>
      <c r="AA257" s="1095">
        <f t="shared" si="76"/>
        <v>7757.6100000000006</v>
      </c>
      <c r="AB257" s="1095">
        <f t="shared" si="77"/>
        <v>0</v>
      </c>
      <c r="AC257" s="2909">
        <f t="shared" si="87"/>
        <v>7757.6100000000006</v>
      </c>
    </row>
    <row r="258" spans="1:29">
      <c r="A258" s="2899" t="s">
        <v>4333</v>
      </c>
      <c r="B258" s="2900" t="s">
        <v>4110</v>
      </c>
      <c r="C258" s="2901">
        <v>260</v>
      </c>
      <c r="D258" s="2902">
        <f t="shared" si="66"/>
        <v>7.4294629641271238E-4</v>
      </c>
      <c r="E258" s="2903">
        <v>23400</v>
      </c>
      <c r="F258" s="2904">
        <f t="shared" si="67"/>
        <v>8.1799931281066282E-4</v>
      </c>
      <c r="G258" s="2903">
        <f t="shared" si="68"/>
        <v>23400</v>
      </c>
      <c r="H258" s="2903">
        <f t="shared" si="69"/>
        <v>0</v>
      </c>
      <c r="I258" s="2905">
        <f t="shared" si="70"/>
        <v>14820</v>
      </c>
      <c r="J258" s="1096">
        <v>0</v>
      </c>
      <c r="K258" s="2479">
        <f t="shared" si="78"/>
        <v>0</v>
      </c>
      <c r="L258" s="398">
        <f t="shared" si="71"/>
        <v>4680</v>
      </c>
      <c r="M258" s="1095">
        <f t="shared" si="72"/>
        <v>19500</v>
      </c>
      <c r="N258" s="2906">
        <f t="shared" si="73"/>
        <v>6.1374626971312106E-4</v>
      </c>
      <c r="O258" s="2907">
        <f t="shared" si="79"/>
        <v>-1.2920002669959132E-4</v>
      </c>
      <c r="P258" s="2908">
        <f t="shared" si="80"/>
        <v>78000</v>
      </c>
      <c r="Q258" s="1095">
        <f t="shared" si="81"/>
        <v>21294</v>
      </c>
      <c r="R258" s="2909">
        <f t="shared" si="82"/>
        <v>99294</v>
      </c>
      <c r="S258" s="398">
        <f t="shared" si="83"/>
        <v>0</v>
      </c>
      <c r="T258" s="1095">
        <f t="shared" si="84"/>
        <v>0</v>
      </c>
      <c r="U258" s="398">
        <f t="shared" si="85"/>
        <v>0</v>
      </c>
      <c r="V258" s="2913">
        <v>0</v>
      </c>
      <c r="W258" s="1095">
        <f t="shared" si="74"/>
        <v>0</v>
      </c>
      <c r="X258" s="1095">
        <f t="shared" si="75"/>
        <v>4680</v>
      </c>
      <c r="Y258" s="2909">
        <f t="shared" si="86"/>
        <v>4680</v>
      </c>
      <c r="Z258" s="2913">
        <v>0</v>
      </c>
      <c r="AA258" s="1095">
        <f t="shared" si="76"/>
        <v>0</v>
      </c>
      <c r="AB258" s="1095">
        <f t="shared" si="77"/>
        <v>0</v>
      </c>
      <c r="AC258" s="2909">
        <f t="shared" si="87"/>
        <v>0</v>
      </c>
    </row>
    <row r="259" spans="1:29">
      <c r="A259" s="2899" t="s">
        <v>4334</v>
      </c>
      <c r="B259" s="2900" t="s">
        <v>4110</v>
      </c>
      <c r="C259" s="2901">
        <v>515</v>
      </c>
      <c r="D259" s="2902">
        <f t="shared" si="66"/>
        <v>1.4716051640482571E-3</v>
      </c>
      <c r="E259" s="2903">
        <v>46350</v>
      </c>
      <c r="F259" s="2904">
        <f t="shared" si="67"/>
        <v>1.6202678696057358E-3</v>
      </c>
      <c r="G259" s="2903">
        <f t="shared" si="68"/>
        <v>46350</v>
      </c>
      <c r="H259" s="2903">
        <f t="shared" si="69"/>
        <v>0</v>
      </c>
      <c r="I259" s="2905">
        <f t="shared" si="70"/>
        <v>29355</v>
      </c>
      <c r="J259" s="1096">
        <v>8981</v>
      </c>
      <c r="K259" s="2479">
        <f t="shared" si="78"/>
        <v>367861.76000000001</v>
      </c>
      <c r="L259" s="398">
        <f t="shared" si="71"/>
        <v>9270</v>
      </c>
      <c r="M259" s="1095">
        <f t="shared" si="72"/>
        <v>47606</v>
      </c>
      <c r="N259" s="2906">
        <f t="shared" si="73"/>
        <v>1.4983592264596328E-3</v>
      </c>
      <c r="O259" s="2907">
        <f t="shared" si="79"/>
        <v>2.6754062411375691E-5</v>
      </c>
      <c r="P259" s="2908">
        <f t="shared" si="80"/>
        <v>154500</v>
      </c>
      <c r="Q259" s="1095">
        <f t="shared" si="81"/>
        <v>42178.5</v>
      </c>
      <c r="R259" s="2909">
        <f t="shared" si="82"/>
        <v>196678.5</v>
      </c>
      <c r="S259" s="398">
        <f t="shared" si="83"/>
        <v>0</v>
      </c>
      <c r="T259" s="1095">
        <f t="shared" si="84"/>
        <v>0</v>
      </c>
      <c r="U259" s="398">
        <f t="shared" si="85"/>
        <v>0</v>
      </c>
      <c r="V259" s="2913">
        <v>0</v>
      </c>
      <c r="W259" s="1095">
        <f t="shared" si="74"/>
        <v>47778.920000000006</v>
      </c>
      <c r="X259" s="1095">
        <f t="shared" si="75"/>
        <v>9270</v>
      </c>
      <c r="Y259" s="2909">
        <f t="shared" si="86"/>
        <v>57048.920000000006</v>
      </c>
      <c r="Z259" s="2913">
        <v>0</v>
      </c>
      <c r="AA259" s="1095">
        <f t="shared" si="76"/>
        <v>25775.47</v>
      </c>
      <c r="AB259" s="1095">
        <f t="shared" si="77"/>
        <v>0</v>
      </c>
      <c r="AC259" s="2909">
        <f t="shared" si="87"/>
        <v>25775.47</v>
      </c>
    </row>
    <row r="260" spans="1:29">
      <c r="A260" s="2899" t="s">
        <v>4335</v>
      </c>
      <c r="B260" s="2900" t="s">
        <v>4077</v>
      </c>
      <c r="C260" s="2901">
        <v>195</v>
      </c>
      <c r="D260" s="2902">
        <f t="shared" si="66"/>
        <v>5.5720972230953426E-4</v>
      </c>
      <c r="E260" s="2903">
        <v>17550</v>
      </c>
      <c r="F260" s="2904">
        <f t="shared" si="67"/>
        <v>6.1349948460799706E-4</v>
      </c>
      <c r="G260" s="2903">
        <f t="shared" si="68"/>
        <v>17550</v>
      </c>
      <c r="H260" s="2903">
        <f t="shared" si="69"/>
        <v>0</v>
      </c>
      <c r="I260" s="2905">
        <f t="shared" si="70"/>
        <v>11115</v>
      </c>
      <c r="J260" s="1096">
        <v>3400</v>
      </c>
      <c r="K260" s="2479">
        <f t="shared" si="78"/>
        <v>139264</v>
      </c>
      <c r="L260" s="398">
        <f t="shared" si="71"/>
        <v>3510</v>
      </c>
      <c r="M260" s="1095">
        <f t="shared" si="72"/>
        <v>18025</v>
      </c>
      <c r="N260" s="2906">
        <f t="shared" si="73"/>
        <v>5.6732187238866703E-4</v>
      </c>
      <c r="O260" s="2907">
        <f t="shared" si="79"/>
        <v>1.011215007913277E-5</v>
      </c>
      <c r="P260" s="2908">
        <f t="shared" si="80"/>
        <v>58500</v>
      </c>
      <c r="Q260" s="1095">
        <f t="shared" si="81"/>
        <v>15970.5</v>
      </c>
      <c r="R260" s="2909">
        <f t="shared" si="82"/>
        <v>74470.5</v>
      </c>
      <c r="S260" s="398">
        <f t="shared" si="83"/>
        <v>0</v>
      </c>
      <c r="T260" s="1095">
        <f t="shared" si="84"/>
        <v>0</v>
      </c>
      <c r="U260" s="398">
        <f t="shared" si="85"/>
        <v>0</v>
      </c>
      <c r="V260" s="2913">
        <v>0</v>
      </c>
      <c r="W260" s="1095">
        <f t="shared" si="74"/>
        <v>18088</v>
      </c>
      <c r="X260" s="1095">
        <f t="shared" si="75"/>
        <v>3510</v>
      </c>
      <c r="Y260" s="2909">
        <f t="shared" si="86"/>
        <v>21598</v>
      </c>
      <c r="Z260" s="2913">
        <v>0</v>
      </c>
      <c r="AA260" s="1095">
        <f t="shared" si="76"/>
        <v>9758</v>
      </c>
      <c r="AB260" s="1095">
        <f t="shared" si="77"/>
        <v>0</v>
      </c>
      <c r="AC260" s="2909">
        <f t="shared" si="87"/>
        <v>9758</v>
      </c>
    </row>
    <row r="261" spans="1:29">
      <c r="A261" s="2899" t="s">
        <v>4336</v>
      </c>
      <c r="B261" s="2900" t="s">
        <v>4073</v>
      </c>
      <c r="C261" s="2901">
        <v>280</v>
      </c>
      <c r="D261" s="2902">
        <f t="shared" si="66"/>
        <v>8.0009601152138251E-4</v>
      </c>
      <c r="E261" s="2903">
        <v>25200</v>
      </c>
      <c r="F261" s="2904">
        <f t="shared" si="67"/>
        <v>8.8092233687302147E-4</v>
      </c>
      <c r="G261" s="2903">
        <f t="shared" si="68"/>
        <v>25200</v>
      </c>
      <c r="H261" s="2903">
        <f t="shared" si="69"/>
        <v>0</v>
      </c>
      <c r="I261" s="2905">
        <f t="shared" si="70"/>
        <v>15960</v>
      </c>
      <c r="J261" s="1096">
        <v>0</v>
      </c>
      <c r="K261" s="2479">
        <f t="shared" si="78"/>
        <v>0</v>
      </c>
      <c r="L261" s="398">
        <f t="shared" si="71"/>
        <v>5040</v>
      </c>
      <c r="M261" s="1095">
        <f t="shared" si="72"/>
        <v>21000</v>
      </c>
      <c r="N261" s="2906">
        <f t="shared" si="73"/>
        <v>6.6095752122951495E-4</v>
      </c>
      <c r="O261" s="2907">
        <f t="shared" si="79"/>
        <v>-1.3913849029186757E-4</v>
      </c>
      <c r="P261" s="2908">
        <f t="shared" si="80"/>
        <v>84000</v>
      </c>
      <c r="Q261" s="1095">
        <f t="shared" si="81"/>
        <v>22932</v>
      </c>
      <c r="R261" s="2909">
        <f t="shared" si="82"/>
        <v>106932</v>
      </c>
      <c r="S261" s="398">
        <f t="shared" si="83"/>
        <v>0</v>
      </c>
      <c r="T261" s="1095">
        <f t="shared" si="84"/>
        <v>0</v>
      </c>
      <c r="U261" s="398">
        <f t="shared" si="85"/>
        <v>0</v>
      </c>
      <c r="V261" s="2913">
        <v>0</v>
      </c>
      <c r="W261" s="1095">
        <f t="shared" si="74"/>
        <v>0</v>
      </c>
      <c r="X261" s="1095">
        <f t="shared" si="75"/>
        <v>5040</v>
      </c>
      <c r="Y261" s="2909">
        <f t="shared" si="86"/>
        <v>5040</v>
      </c>
      <c r="Z261" s="2913">
        <v>0</v>
      </c>
      <c r="AA261" s="1095">
        <f t="shared" si="76"/>
        <v>0</v>
      </c>
      <c r="AB261" s="1095">
        <f t="shared" si="77"/>
        <v>0</v>
      </c>
      <c r="AC261" s="2909">
        <f t="shared" si="87"/>
        <v>0</v>
      </c>
    </row>
    <row r="262" spans="1:29">
      <c r="A262" s="2899" t="s">
        <v>4337</v>
      </c>
      <c r="B262" s="2900" t="s">
        <v>4089</v>
      </c>
      <c r="C262" s="2901">
        <v>200</v>
      </c>
      <c r="D262" s="2902">
        <f t="shared" ref="D262:D325" si="88">C262/349958</f>
        <v>5.7149715108670187E-4</v>
      </c>
      <c r="E262" s="2903">
        <v>18000</v>
      </c>
      <c r="F262" s="2904">
        <f t="shared" ref="F262:F325" si="89">E262/$E$612</f>
        <v>6.2923024062358675E-4</v>
      </c>
      <c r="G262" s="2903">
        <f t="shared" ref="G262:G313" si="90">C262*90</f>
        <v>18000</v>
      </c>
      <c r="H262" s="2903">
        <f t="shared" ref="H262:H325" si="91">E262-G262</f>
        <v>0</v>
      </c>
      <c r="I262" s="2905">
        <f t="shared" ref="I262:I313" si="92">C262*57</f>
        <v>11400</v>
      </c>
      <c r="J262" s="1096">
        <v>6976</v>
      </c>
      <c r="K262" s="2479">
        <f t="shared" si="78"/>
        <v>285736.96000000002</v>
      </c>
      <c r="L262" s="398">
        <f t="shared" ref="L262:L313" si="93">E262/5</f>
        <v>3600</v>
      </c>
      <c r="M262" s="1095">
        <f t="shared" ref="M262:M313" si="94">I262+J262+L262</f>
        <v>21976</v>
      </c>
      <c r="N262" s="2906">
        <f t="shared" ref="N262:N313" si="95">M262/$M$612</f>
        <v>6.9167630888284856E-4</v>
      </c>
      <c r="O262" s="2907">
        <f t="shared" si="79"/>
        <v>1.2017915779614669E-4</v>
      </c>
      <c r="P262" s="2908">
        <f t="shared" si="80"/>
        <v>60000</v>
      </c>
      <c r="Q262" s="1095">
        <f t="shared" si="81"/>
        <v>16380</v>
      </c>
      <c r="R262" s="2909">
        <f t="shared" si="82"/>
        <v>76380</v>
      </c>
      <c r="S262" s="398">
        <f t="shared" si="83"/>
        <v>0</v>
      </c>
      <c r="T262" s="1095">
        <f t="shared" si="84"/>
        <v>0</v>
      </c>
      <c r="U262" s="398">
        <f t="shared" si="85"/>
        <v>0</v>
      </c>
      <c r="V262" s="2913">
        <v>0</v>
      </c>
      <c r="W262" s="1095">
        <f t="shared" ref="W262:W313" si="96">J262*5.32</f>
        <v>37112.32</v>
      </c>
      <c r="X262" s="1095">
        <f t="shared" ref="X262:X313" si="97">L262*1</f>
        <v>3600</v>
      </c>
      <c r="Y262" s="2909">
        <f t="shared" si="86"/>
        <v>40712.32</v>
      </c>
      <c r="Z262" s="2913">
        <v>0</v>
      </c>
      <c r="AA262" s="1095">
        <f t="shared" ref="AA262:AA313" si="98">J262*2.87</f>
        <v>20021.12</v>
      </c>
      <c r="AB262" s="1095">
        <f t="shared" ref="AB262:AB313" si="99">L262*0</f>
        <v>0</v>
      </c>
      <c r="AC262" s="2909">
        <f t="shared" si="87"/>
        <v>20021.12</v>
      </c>
    </row>
    <row r="263" spans="1:29">
      <c r="A263" s="2899" t="s">
        <v>4338</v>
      </c>
      <c r="B263" s="2900" t="s">
        <v>4085</v>
      </c>
      <c r="C263" s="2901">
        <v>430</v>
      </c>
      <c r="D263" s="2902">
        <f t="shared" si="88"/>
        <v>1.228718874836409E-3</v>
      </c>
      <c r="E263" s="2903">
        <v>38700</v>
      </c>
      <c r="F263" s="2904">
        <f t="shared" si="89"/>
        <v>1.3528450173407114E-3</v>
      </c>
      <c r="G263" s="2903">
        <f t="shared" si="90"/>
        <v>38700</v>
      </c>
      <c r="H263" s="2903">
        <f t="shared" si="91"/>
        <v>0</v>
      </c>
      <c r="I263" s="2905">
        <f t="shared" si="92"/>
        <v>24510</v>
      </c>
      <c r="J263" s="1096">
        <v>3750</v>
      </c>
      <c r="K263" s="2479">
        <f t="shared" ref="K263:K313" si="100">J263*40.96</f>
        <v>153600</v>
      </c>
      <c r="L263" s="398">
        <f t="shared" si="93"/>
        <v>7740</v>
      </c>
      <c r="M263" s="1095">
        <f t="shared" si="94"/>
        <v>36000</v>
      </c>
      <c r="N263" s="2906">
        <f t="shared" si="95"/>
        <v>1.1330700363934541E-3</v>
      </c>
      <c r="O263" s="2907">
        <f t="shared" ref="O263:O326" si="101">N263-D263</f>
        <v>-9.5648838442954865E-5</v>
      </c>
      <c r="P263" s="2908">
        <f t="shared" ref="P263:P326" si="102">C263*300</f>
        <v>129000</v>
      </c>
      <c r="Q263" s="1095">
        <f t="shared" ref="Q263:Q326" si="103">E263*0.91</f>
        <v>35217</v>
      </c>
      <c r="R263" s="2909">
        <f t="shared" ref="R263:R326" si="104">SUM(P263:Q263)</f>
        <v>164217</v>
      </c>
      <c r="S263" s="398">
        <f t="shared" ref="S263:S326" si="105">C263*0</f>
        <v>0</v>
      </c>
      <c r="T263" s="1095">
        <f t="shared" ref="T263:T326" si="106">E263*0</f>
        <v>0</v>
      </c>
      <c r="U263" s="398">
        <f t="shared" ref="U263:U326" si="107">SUM(S263:T263)</f>
        <v>0</v>
      </c>
      <c r="V263" s="2913">
        <v>0</v>
      </c>
      <c r="W263" s="1095">
        <f t="shared" si="96"/>
        <v>19950</v>
      </c>
      <c r="X263" s="1095">
        <f t="shared" si="97"/>
        <v>7740</v>
      </c>
      <c r="Y263" s="2909">
        <f t="shared" ref="Y263:Y313" si="108">SUM(V263:X263)</f>
        <v>27690</v>
      </c>
      <c r="Z263" s="2913">
        <v>0</v>
      </c>
      <c r="AA263" s="1095">
        <f t="shared" si="98"/>
        <v>10762.5</v>
      </c>
      <c r="AB263" s="1095">
        <f t="shared" si="99"/>
        <v>0</v>
      </c>
      <c r="AC263" s="2909">
        <f t="shared" ref="AC263:AC313" si="109">SUM(Z263:AB263)</f>
        <v>10762.5</v>
      </c>
    </row>
    <row r="264" spans="1:29">
      <c r="A264" s="2899" t="s">
        <v>4339</v>
      </c>
      <c r="B264" s="2900" t="s">
        <v>4073</v>
      </c>
      <c r="C264" s="2901">
        <v>165</v>
      </c>
      <c r="D264" s="2902">
        <f t="shared" si="88"/>
        <v>4.71485149646529E-4</v>
      </c>
      <c r="E264" s="2903">
        <v>14850</v>
      </c>
      <c r="F264" s="2904">
        <f t="shared" si="89"/>
        <v>5.1911494851445902E-4</v>
      </c>
      <c r="G264" s="2903">
        <f t="shared" si="90"/>
        <v>14850</v>
      </c>
      <c r="H264" s="2903">
        <f t="shared" si="91"/>
        <v>0</v>
      </c>
      <c r="I264" s="2905">
        <f t="shared" si="92"/>
        <v>9405</v>
      </c>
      <c r="J264" s="1096">
        <v>5754</v>
      </c>
      <c r="K264" s="2479">
        <f t="shared" si="100"/>
        <v>235683.84</v>
      </c>
      <c r="L264" s="398">
        <f t="shared" si="93"/>
        <v>2970</v>
      </c>
      <c r="M264" s="1095">
        <f t="shared" si="94"/>
        <v>18129</v>
      </c>
      <c r="N264" s="2906">
        <f t="shared" si="95"/>
        <v>5.7059518582713701E-4</v>
      </c>
      <c r="O264" s="2907">
        <f t="shared" si="101"/>
        <v>9.9110036180608007E-5</v>
      </c>
      <c r="P264" s="2908">
        <f t="shared" si="102"/>
        <v>49500</v>
      </c>
      <c r="Q264" s="1095">
        <f t="shared" si="103"/>
        <v>13513.5</v>
      </c>
      <c r="R264" s="2909">
        <f t="shared" si="104"/>
        <v>63013.5</v>
      </c>
      <c r="S264" s="398">
        <f t="shared" si="105"/>
        <v>0</v>
      </c>
      <c r="T264" s="1095">
        <f t="shared" si="106"/>
        <v>0</v>
      </c>
      <c r="U264" s="398">
        <f t="shared" si="107"/>
        <v>0</v>
      </c>
      <c r="V264" s="2913">
        <v>0</v>
      </c>
      <c r="W264" s="1095">
        <f t="shared" si="96"/>
        <v>30611.280000000002</v>
      </c>
      <c r="X264" s="1095">
        <f t="shared" si="97"/>
        <v>2970</v>
      </c>
      <c r="Y264" s="2909">
        <f t="shared" si="108"/>
        <v>33581.279999999999</v>
      </c>
      <c r="Z264" s="2913">
        <v>0</v>
      </c>
      <c r="AA264" s="1095">
        <f t="shared" si="98"/>
        <v>16513.98</v>
      </c>
      <c r="AB264" s="1095">
        <f t="shared" si="99"/>
        <v>0</v>
      </c>
      <c r="AC264" s="2909">
        <f t="shared" si="109"/>
        <v>16513.98</v>
      </c>
    </row>
    <row r="265" spans="1:29">
      <c r="A265" s="2899" t="s">
        <v>4340</v>
      </c>
      <c r="B265" s="2900" t="s">
        <v>4073</v>
      </c>
      <c r="C265" s="2901">
        <v>795</v>
      </c>
      <c r="D265" s="2902">
        <f t="shared" si="88"/>
        <v>2.2717011755696397E-3</v>
      </c>
      <c r="E265" s="2903">
        <v>71550</v>
      </c>
      <c r="F265" s="2904">
        <f t="shared" si="89"/>
        <v>2.5011902064787572E-3</v>
      </c>
      <c r="G265" s="2903">
        <f t="shared" si="90"/>
        <v>71550</v>
      </c>
      <c r="H265" s="2903">
        <f t="shared" si="91"/>
        <v>0</v>
      </c>
      <c r="I265" s="2905">
        <f t="shared" si="92"/>
        <v>45315</v>
      </c>
      <c r="J265" s="1096">
        <v>13865</v>
      </c>
      <c r="K265" s="2479">
        <f t="shared" si="100"/>
        <v>567910.40000000002</v>
      </c>
      <c r="L265" s="398">
        <f t="shared" si="93"/>
        <v>14310</v>
      </c>
      <c r="M265" s="1095">
        <f t="shared" si="94"/>
        <v>73490</v>
      </c>
      <c r="N265" s="2906">
        <f t="shared" si="95"/>
        <v>2.3130365826265265E-3</v>
      </c>
      <c r="O265" s="2907">
        <f t="shared" si="101"/>
        <v>4.1335407056886878E-5</v>
      </c>
      <c r="P265" s="2908">
        <f t="shared" si="102"/>
        <v>238500</v>
      </c>
      <c r="Q265" s="1095">
        <f t="shared" si="103"/>
        <v>65110.5</v>
      </c>
      <c r="R265" s="2909">
        <f t="shared" si="104"/>
        <v>303610.5</v>
      </c>
      <c r="S265" s="398">
        <f t="shared" si="105"/>
        <v>0</v>
      </c>
      <c r="T265" s="1095">
        <f t="shared" si="106"/>
        <v>0</v>
      </c>
      <c r="U265" s="398">
        <f t="shared" si="107"/>
        <v>0</v>
      </c>
      <c r="V265" s="2913">
        <v>0</v>
      </c>
      <c r="W265" s="1095">
        <f t="shared" si="96"/>
        <v>73761.8</v>
      </c>
      <c r="X265" s="1095">
        <f t="shared" si="97"/>
        <v>14310</v>
      </c>
      <c r="Y265" s="2909">
        <f t="shared" si="108"/>
        <v>88071.8</v>
      </c>
      <c r="Z265" s="2913">
        <v>0</v>
      </c>
      <c r="AA265" s="1095">
        <f t="shared" si="98"/>
        <v>39792.550000000003</v>
      </c>
      <c r="AB265" s="1095">
        <f t="shared" si="99"/>
        <v>0</v>
      </c>
      <c r="AC265" s="2909">
        <f t="shared" si="109"/>
        <v>39792.550000000003</v>
      </c>
    </row>
    <row r="266" spans="1:29">
      <c r="A266" s="2899" t="s">
        <v>4341</v>
      </c>
      <c r="B266" s="2900" t="s">
        <v>4079</v>
      </c>
      <c r="C266" s="2901">
        <v>865</v>
      </c>
      <c r="D266" s="2902">
        <f t="shared" si="88"/>
        <v>2.4717251784499854E-3</v>
      </c>
      <c r="E266" s="2903">
        <v>0</v>
      </c>
      <c r="F266" s="2904">
        <f t="shared" si="89"/>
        <v>0</v>
      </c>
      <c r="G266" s="2903">
        <f t="shared" si="90"/>
        <v>77850</v>
      </c>
      <c r="H266" s="2903">
        <f t="shared" si="91"/>
        <v>-77850</v>
      </c>
      <c r="I266" s="2905">
        <f t="shared" si="92"/>
        <v>49305</v>
      </c>
      <c r="J266" s="1096">
        <v>1221</v>
      </c>
      <c r="K266" s="2479">
        <f t="shared" si="100"/>
        <v>50012.160000000003</v>
      </c>
      <c r="L266" s="398">
        <f t="shared" si="93"/>
        <v>0</v>
      </c>
      <c r="M266" s="1095">
        <f t="shared" si="94"/>
        <v>50526</v>
      </c>
      <c r="N266" s="2906">
        <f t="shared" si="95"/>
        <v>1.5902637960782131E-3</v>
      </c>
      <c r="O266" s="2907">
        <f t="shared" si="101"/>
        <v>-8.8146138237177232E-4</v>
      </c>
      <c r="P266" s="2908">
        <f t="shared" si="102"/>
        <v>259500</v>
      </c>
      <c r="Q266" s="1095">
        <f t="shared" si="103"/>
        <v>0</v>
      </c>
      <c r="R266" s="2909">
        <f t="shared" si="104"/>
        <v>259500</v>
      </c>
      <c r="S266" s="398">
        <f t="shared" si="105"/>
        <v>0</v>
      </c>
      <c r="T266" s="1095">
        <f t="shared" si="106"/>
        <v>0</v>
      </c>
      <c r="U266" s="398">
        <f t="shared" si="107"/>
        <v>0</v>
      </c>
      <c r="V266" s="2913">
        <v>0</v>
      </c>
      <c r="W266" s="1095">
        <f t="shared" si="96"/>
        <v>6495.72</v>
      </c>
      <c r="X266" s="1095">
        <f t="shared" si="97"/>
        <v>0</v>
      </c>
      <c r="Y266" s="2909">
        <f t="shared" si="108"/>
        <v>6495.72</v>
      </c>
      <c r="Z266" s="2913">
        <v>0</v>
      </c>
      <c r="AA266" s="1095">
        <f t="shared" si="98"/>
        <v>3504.27</v>
      </c>
      <c r="AB266" s="1095">
        <f t="shared" si="99"/>
        <v>0</v>
      </c>
      <c r="AC266" s="2909">
        <f t="shared" si="109"/>
        <v>3504.27</v>
      </c>
    </row>
    <row r="267" spans="1:29">
      <c r="A267" s="2899" t="s">
        <v>4342</v>
      </c>
      <c r="B267" s="2900" t="s">
        <v>4097</v>
      </c>
      <c r="C267" s="2901">
        <v>300</v>
      </c>
      <c r="D267" s="2902">
        <f t="shared" si="88"/>
        <v>8.5724572663005275E-4</v>
      </c>
      <c r="E267" s="2903">
        <v>27000</v>
      </c>
      <c r="F267" s="2904">
        <f t="shared" si="89"/>
        <v>9.4384536093538012E-4</v>
      </c>
      <c r="G267" s="2903">
        <f t="shared" si="90"/>
        <v>27000</v>
      </c>
      <c r="H267" s="2903">
        <f t="shared" si="91"/>
        <v>0</v>
      </c>
      <c r="I267" s="2905">
        <f t="shared" si="92"/>
        <v>17100</v>
      </c>
      <c r="J267" s="1096">
        <v>5232</v>
      </c>
      <c r="K267" s="2479">
        <f t="shared" si="100"/>
        <v>214302.72</v>
      </c>
      <c r="L267" s="398">
        <f t="shared" si="93"/>
        <v>5400</v>
      </c>
      <c r="M267" s="1095">
        <f t="shared" si="94"/>
        <v>27732</v>
      </c>
      <c r="N267" s="2906">
        <f t="shared" si="95"/>
        <v>8.7284161803509095E-4</v>
      </c>
      <c r="O267" s="2907">
        <f t="shared" si="101"/>
        <v>1.5595891405038192E-5</v>
      </c>
      <c r="P267" s="2908">
        <f t="shared" si="102"/>
        <v>90000</v>
      </c>
      <c r="Q267" s="1095">
        <f t="shared" si="103"/>
        <v>24570</v>
      </c>
      <c r="R267" s="2909">
        <f t="shared" si="104"/>
        <v>114570</v>
      </c>
      <c r="S267" s="398">
        <f t="shared" si="105"/>
        <v>0</v>
      </c>
      <c r="T267" s="1095">
        <f t="shared" si="106"/>
        <v>0</v>
      </c>
      <c r="U267" s="398">
        <f t="shared" si="107"/>
        <v>0</v>
      </c>
      <c r="V267" s="2913">
        <v>0</v>
      </c>
      <c r="W267" s="1095">
        <f t="shared" si="96"/>
        <v>27834.240000000002</v>
      </c>
      <c r="X267" s="1095">
        <f t="shared" si="97"/>
        <v>5400</v>
      </c>
      <c r="Y267" s="2909">
        <f t="shared" si="108"/>
        <v>33234.240000000005</v>
      </c>
      <c r="Z267" s="2913">
        <v>0</v>
      </c>
      <c r="AA267" s="1095">
        <f t="shared" si="98"/>
        <v>15015.84</v>
      </c>
      <c r="AB267" s="1095">
        <f t="shared" si="99"/>
        <v>0</v>
      </c>
      <c r="AC267" s="2909">
        <f t="shared" si="109"/>
        <v>15015.84</v>
      </c>
    </row>
    <row r="268" spans="1:29">
      <c r="A268" s="2899" t="s">
        <v>4343</v>
      </c>
      <c r="B268" s="2900" t="s">
        <v>4073</v>
      </c>
      <c r="C268" s="2901">
        <v>160</v>
      </c>
      <c r="D268" s="2902">
        <f t="shared" si="88"/>
        <v>4.5719772086936144E-4</v>
      </c>
      <c r="E268" s="2903">
        <v>14400</v>
      </c>
      <c r="F268" s="2904">
        <f t="shared" si="89"/>
        <v>5.0338419249886944E-4</v>
      </c>
      <c r="G268" s="2903">
        <f t="shared" si="90"/>
        <v>14400</v>
      </c>
      <c r="H268" s="2903">
        <f t="shared" si="91"/>
        <v>0</v>
      </c>
      <c r="I268" s="2905">
        <f t="shared" si="92"/>
        <v>9120</v>
      </c>
      <c r="J268" s="1096">
        <v>5580</v>
      </c>
      <c r="K268" s="2479">
        <f t="shared" si="100"/>
        <v>228556.80000000002</v>
      </c>
      <c r="L268" s="398">
        <f t="shared" si="93"/>
        <v>2880</v>
      </c>
      <c r="M268" s="1095">
        <f t="shared" si="94"/>
        <v>17580</v>
      </c>
      <c r="N268" s="2906">
        <f t="shared" si="95"/>
        <v>5.5331586777213678E-4</v>
      </c>
      <c r="O268" s="2907">
        <f t="shared" si="101"/>
        <v>9.6118146902775335E-5</v>
      </c>
      <c r="P268" s="2908">
        <f t="shared" si="102"/>
        <v>48000</v>
      </c>
      <c r="Q268" s="1095">
        <f t="shared" si="103"/>
        <v>13104</v>
      </c>
      <c r="R268" s="2909">
        <f t="shared" si="104"/>
        <v>61104</v>
      </c>
      <c r="S268" s="398">
        <f t="shared" si="105"/>
        <v>0</v>
      </c>
      <c r="T268" s="1095">
        <f t="shared" si="106"/>
        <v>0</v>
      </c>
      <c r="U268" s="398">
        <f t="shared" si="107"/>
        <v>0</v>
      </c>
      <c r="V268" s="2913">
        <v>0</v>
      </c>
      <c r="W268" s="1095">
        <f t="shared" si="96"/>
        <v>29685.600000000002</v>
      </c>
      <c r="X268" s="1095">
        <f t="shared" si="97"/>
        <v>2880</v>
      </c>
      <c r="Y268" s="2909">
        <f t="shared" si="108"/>
        <v>32565.600000000002</v>
      </c>
      <c r="Z268" s="2913">
        <v>0</v>
      </c>
      <c r="AA268" s="1095">
        <f t="shared" si="98"/>
        <v>16014.6</v>
      </c>
      <c r="AB268" s="1095">
        <f t="shared" si="99"/>
        <v>0</v>
      </c>
      <c r="AC268" s="2909">
        <f t="shared" si="109"/>
        <v>16014.6</v>
      </c>
    </row>
    <row r="269" spans="1:29">
      <c r="A269" s="2899" t="s">
        <v>4344</v>
      </c>
      <c r="B269" s="2900" t="s">
        <v>4087</v>
      </c>
      <c r="C269" s="2901">
        <v>945</v>
      </c>
      <c r="D269" s="2902">
        <f t="shared" si="88"/>
        <v>2.7003240388846664E-3</v>
      </c>
      <c r="E269" s="2903">
        <v>85050</v>
      </c>
      <c r="F269" s="2904">
        <f t="shared" si="89"/>
        <v>2.9731128869464473E-3</v>
      </c>
      <c r="G269" s="2903">
        <f t="shared" si="90"/>
        <v>85050</v>
      </c>
      <c r="H269" s="2903">
        <f t="shared" si="91"/>
        <v>0</v>
      </c>
      <c r="I269" s="2905">
        <f t="shared" si="92"/>
        <v>53865</v>
      </c>
      <c r="J269" s="1096">
        <v>24415</v>
      </c>
      <c r="K269" s="2479">
        <f t="shared" si="100"/>
        <v>1000038.4</v>
      </c>
      <c r="L269" s="398">
        <f t="shared" si="93"/>
        <v>17010</v>
      </c>
      <c r="M269" s="1095">
        <f t="shared" si="94"/>
        <v>95290</v>
      </c>
      <c r="N269" s="2906">
        <f t="shared" si="95"/>
        <v>2.9991734379981182E-3</v>
      </c>
      <c r="O269" s="2907">
        <f t="shared" si="101"/>
        <v>2.9884939911345183E-4</v>
      </c>
      <c r="P269" s="2908">
        <f t="shared" si="102"/>
        <v>283500</v>
      </c>
      <c r="Q269" s="1095">
        <f t="shared" si="103"/>
        <v>77395.5</v>
      </c>
      <c r="R269" s="2909">
        <f t="shared" si="104"/>
        <v>360895.5</v>
      </c>
      <c r="S269" s="398">
        <f t="shared" si="105"/>
        <v>0</v>
      </c>
      <c r="T269" s="1095">
        <f t="shared" si="106"/>
        <v>0</v>
      </c>
      <c r="U269" s="398">
        <f t="shared" si="107"/>
        <v>0</v>
      </c>
      <c r="V269" s="2913">
        <v>0</v>
      </c>
      <c r="W269" s="1095">
        <f t="shared" si="96"/>
        <v>129887.8</v>
      </c>
      <c r="X269" s="1095">
        <f t="shared" si="97"/>
        <v>17010</v>
      </c>
      <c r="Y269" s="2909">
        <f t="shared" si="108"/>
        <v>146897.79999999999</v>
      </c>
      <c r="Z269" s="2913">
        <v>0</v>
      </c>
      <c r="AA269" s="1095">
        <f t="shared" si="98"/>
        <v>70071.05</v>
      </c>
      <c r="AB269" s="1095">
        <f t="shared" si="99"/>
        <v>0</v>
      </c>
      <c r="AC269" s="2909">
        <f t="shared" si="109"/>
        <v>70071.05</v>
      </c>
    </row>
    <row r="270" spans="1:29">
      <c r="A270" s="2915" t="s">
        <v>963</v>
      </c>
      <c r="B270" s="2916" t="s">
        <v>4080</v>
      </c>
      <c r="C270" s="2917">
        <v>285</v>
      </c>
      <c r="D270" s="2918">
        <f t="shared" si="88"/>
        <v>8.1438344029855013E-4</v>
      </c>
      <c r="E270" s="2919">
        <v>25650</v>
      </c>
      <c r="F270" s="2920">
        <f t="shared" si="89"/>
        <v>8.9665309288861116E-4</v>
      </c>
      <c r="G270" s="2919">
        <f t="shared" si="90"/>
        <v>25650</v>
      </c>
      <c r="H270" s="2919">
        <f t="shared" si="91"/>
        <v>0</v>
      </c>
      <c r="I270" s="2917">
        <f t="shared" si="92"/>
        <v>16245</v>
      </c>
      <c r="J270" s="2921">
        <v>4970</v>
      </c>
      <c r="K270" s="2922">
        <f t="shared" si="100"/>
        <v>203571.20000000001</v>
      </c>
      <c r="L270" s="2923">
        <f t="shared" si="93"/>
        <v>5130</v>
      </c>
      <c r="M270" s="2924">
        <f t="shared" si="94"/>
        <v>26345</v>
      </c>
      <c r="N270" s="2925">
        <f t="shared" si="95"/>
        <v>8.2918694746626526E-4</v>
      </c>
      <c r="O270" s="2926">
        <f t="shared" si="101"/>
        <v>1.4803507167715133E-5</v>
      </c>
      <c r="P270" s="2927">
        <f t="shared" si="102"/>
        <v>85500</v>
      </c>
      <c r="Q270" s="2924">
        <f t="shared" si="103"/>
        <v>23341.5</v>
      </c>
      <c r="R270" s="2928">
        <f t="shared" si="104"/>
        <v>108841.5</v>
      </c>
      <c r="S270" s="2923">
        <f t="shared" si="105"/>
        <v>0</v>
      </c>
      <c r="T270" s="2924">
        <f t="shared" si="106"/>
        <v>0</v>
      </c>
      <c r="U270" s="2923">
        <f t="shared" si="107"/>
        <v>0</v>
      </c>
      <c r="V270" s="2927">
        <v>0</v>
      </c>
      <c r="W270" s="2924">
        <f t="shared" si="96"/>
        <v>26440.400000000001</v>
      </c>
      <c r="X270" s="2924">
        <f t="shared" si="97"/>
        <v>5130</v>
      </c>
      <c r="Y270" s="2928">
        <f t="shared" si="108"/>
        <v>31570.400000000001</v>
      </c>
      <c r="Z270" s="2927">
        <v>0</v>
      </c>
      <c r="AA270" s="2924">
        <f t="shared" si="98"/>
        <v>14263.9</v>
      </c>
      <c r="AB270" s="2924">
        <f t="shared" si="99"/>
        <v>0</v>
      </c>
      <c r="AC270" s="2928">
        <f t="shared" si="109"/>
        <v>14263.9</v>
      </c>
    </row>
    <row r="271" spans="1:29">
      <c r="A271" s="2899" t="s">
        <v>4345</v>
      </c>
      <c r="B271" s="2900" t="s">
        <v>4077</v>
      </c>
      <c r="C271" s="2901">
        <v>805</v>
      </c>
      <c r="D271" s="2902">
        <f t="shared" si="88"/>
        <v>2.3002760331239749E-3</v>
      </c>
      <c r="E271" s="2903">
        <v>72450</v>
      </c>
      <c r="F271" s="2904">
        <f t="shared" si="89"/>
        <v>2.5326517185099368E-3</v>
      </c>
      <c r="G271" s="2903">
        <f t="shared" si="90"/>
        <v>72450</v>
      </c>
      <c r="H271" s="2903">
        <f t="shared" si="91"/>
        <v>0</v>
      </c>
      <c r="I271" s="2905">
        <f t="shared" si="92"/>
        <v>45885</v>
      </c>
      <c r="J271" s="1096">
        <v>0</v>
      </c>
      <c r="K271" s="2479">
        <f t="shared" si="100"/>
        <v>0</v>
      </c>
      <c r="L271" s="398">
        <f t="shared" si="93"/>
        <v>14490</v>
      </c>
      <c r="M271" s="1095">
        <f t="shared" si="94"/>
        <v>60375</v>
      </c>
      <c r="N271" s="2906">
        <f t="shared" si="95"/>
        <v>1.9002528735348554E-3</v>
      </c>
      <c r="O271" s="2907">
        <f t="shared" si="101"/>
        <v>-4.0002315958911948E-4</v>
      </c>
      <c r="P271" s="2908">
        <f t="shared" si="102"/>
        <v>241500</v>
      </c>
      <c r="Q271" s="1095">
        <f t="shared" si="103"/>
        <v>65929.5</v>
      </c>
      <c r="R271" s="2909">
        <f t="shared" si="104"/>
        <v>307429.5</v>
      </c>
      <c r="S271" s="398">
        <f t="shared" si="105"/>
        <v>0</v>
      </c>
      <c r="T271" s="1095">
        <f t="shared" si="106"/>
        <v>0</v>
      </c>
      <c r="U271" s="398">
        <f t="shared" si="107"/>
        <v>0</v>
      </c>
      <c r="V271" s="2913">
        <v>0</v>
      </c>
      <c r="W271" s="1095">
        <f t="shared" si="96"/>
        <v>0</v>
      </c>
      <c r="X271" s="1095">
        <f t="shared" si="97"/>
        <v>14490</v>
      </c>
      <c r="Y271" s="2909">
        <f t="shared" si="108"/>
        <v>14490</v>
      </c>
      <c r="Z271" s="2913">
        <v>0</v>
      </c>
      <c r="AA271" s="1095">
        <f t="shared" si="98"/>
        <v>0</v>
      </c>
      <c r="AB271" s="1095">
        <f t="shared" si="99"/>
        <v>0</v>
      </c>
      <c r="AC271" s="2909">
        <f t="shared" si="109"/>
        <v>0</v>
      </c>
    </row>
    <row r="272" spans="1:29">
      <c r="A272" s="2899" t="s">
        <v>4346</v>
      </c>
      <c r="B272" s="2900" t="s">
        <v>4190</v>
      </c>
      <c r="C272" s="2901">
        <v>100</v>
      </c>
      <c r="D272" s="2902">
        <f t="shared" si="88"/>
        <v>2.8574857554335094E-4</v>
      </c>
      <c r="E272" s="2903">
        <v>9000</v>
      </c>
      <c r="F272" s="2904">
        <f t="shared" si="89"/>
        <v>3.1461512031179337E-4</v>
      </c>
      <c r="G272" s="2903">
        <f t="shared" si="90"/>
        <v>9000</v>
      </c>
      <c r="H272" s="2903">
        <f t="shared" si="91"/>
        <v>0</v>
      </c>
      <c r="I272" s="2905">
        <f t="shared" si="92"/>
        <v>5700</v>
      </c>
      <c r="J272" s="1096">
        <v>0</v>
      </c>
      <c r="K272" s="2479">
        <f t="shared" si="100"/>
        <v>0</v>
      </c>
      <c r="L272" s="398">
        <f t="shared" si="93"/>
        <v>1800</v>
      </c>
      <c r="M272" s="1095">
        <f t="shared" si="94"/>
        <v>7500</v>
      </c>
      <c r="N272" s="2906">
        <f t="shared" si="95"/>
        <v>2.3605625758196962E-4</v>
      </c>
      <c r="O272" s="2907">
        <f t="shared" si="101"/>
        <v>-4.9692317961381316E-5</v>
      </c>
      <c r="P272" s="2908">
        <f t="shared" si="102"/>
        <v>30000</v>
      </c>
      <c r="Q272" s="1095">
        <f t="shared" si="103"/>
        <v>8190</v>
      </c>
      <c r="R272" s="2909">
        <f t="shared" si="104"/>
        <v>38190</v>
      </c>
      <c r="S272" s="398">
        <f t="shared" si="105"/>
        <v>0</v>
      </c>
      <c r="T272" s="1095">
        <f t="shared" si="106"/>
        <v>0</v>
      </c>
      <c r="U272" s="398">
        <f t="shared" si="107"/>
        <v>0</v>
      </c>
      <c r="V272" s="2913">
        <v>0</v>
      </c>
      <c r="W272" s="1095">
        <f t="shared" si="96"/>
        <v>0</v>
      </c>
      <c r="X272" s="1095">
        <f t="shared" si="97"/>
        <v>1800</v>
      </c>
      <c r="Y272" s="2909">
        <f t="shared" si="108"/>
        <v>1800</v>
      </c>
      <c r="Z272" s="2913">
        <v>0</v>
      </c>
      <c r="AA272" s="1095">
        <f t="shared" si="98"/>
        <v>0</v>
      </c>
      <c r="AB272" s="1095">
        <f t="shared" si="99"/>
        <v>0</v>
      </c>
      <c r="AC272" s="2909">
        <f t="shared" si="109"/>
        <v>0</v>
      </c>
    </row>
    <row r="273" spans="1:29">
      <c r="A273" s="2899" t="s">
        <v>4347</v>
      </c>
      <c r="B273" s="2900" t="s">
        <v>4079</v>
      </c>
      <c r="C273" s="2901">
        <v>160</v>
      </c>
      <c r="D273" s="2902">
        <f t="shared" si="88"/>
        <v>4.5719772086936144E-4</v>
      </c>
      <c r="E273" s="2903">
        <v>14400</v>
      </c>
      <c r="F273" s="2904">
        <f t="shared" si="89"/>
        <v>5.0338419249886944E-4</v>
      </c>
      <c r="G273" s="2903">
        <f t="shared" si="90"/>
        <v>14400</v>
      </c>
      <c r="H273" s="2903">
        <f t="shared" si="91"/>
        <v>0</v>
      </c>
      <c r="I273" s="2905">
        <f t="shared" si="92"/>
        <v>9120</v>
      </c>
      <c r="J273" s="1096">
        <v>0</v>
      </c>
      <c r="K273" s="2479">
        <f t="shared" si="100"/>
        <v>0</v>
      </c>
      <c r="L273" s="398">
        <f t="shared" si="93"/>
        <v>2880</v>
      </c>
      <c r="M273" s="1095">
        <f t="shared" si="94"/>
        <v>12000</v>
      </c>
      <c r="N273" s="2906">
        <f t="shared" si="95"/>
        <v>3.7769001213115141E-4</v>
      </c>
      <c r="O273" s="2907">
        <f t="shared" si="101"/>
        <v>-7.950770873821003E-5</v>
      </c>
      <c r="P273" s="2908">
        <f t="shared" si="102"/>
        <v>48000</v>
      </c>
      <c r="Q273" s="1095">
        <f t="shared" si="103"/>
        <v>13104</v>
      </c>
      <c r="R273" s="2909">
        <f t="shared" si="104"/>
        <v>61104</v>
      </c>
      <c r="S273" s="398">
        <f t="shared" si="105"/>
        <v>0</v>
      </c>
      <c r="T273" s="1095">
        <f t="shared" si="106"/>
        <v>0</v>
      </c>
      <c r="U273" s="398">
        <f t="shared" si="107"/>
        <v>0</v>
      </c>
      <c r="V273" s="2913">
        <v>0</v>
      </c>
      <c r="W273" s="1095">
        <f t="shared" si="96"/>
        <v>0</v>
      </c>
      <c r="X273" s="1095">
        <f t="shared" si="97"/>
        <v>2880</v>
      </c>
      <c r="Y273" s="2909">
        <f t="shared" si="108"/>
        <v>2880</v>
      </c>
      <c r="Z273" s="2913">
        <v>0</v>
      </c>
      <c r="AA273" s="1095">
        <f t="shared" si="98"/>
        <v>0</v>
      </c>
      <c r="AB273" s="1095">
        <f t="shared" si="99"/>
        <v>0</v>
      </c>
      <c r="AC273" s="2909">
        <f t="shared" si="109"/>
        <v>0</v>
      </c>
    </row>
    <row r="274" spans="1:29">
      <c r="A274" s="2899" t="s">
        <v>4348</v>
      </c>
      <c r="B274" s="2900" t="s">
        <v>4087</v>
      </c>
      <c r="C274" s="2901">
        <v>100</v>
      </c>
      <c r="D274" s="2902">
        <f t="shared" si="88"/>
        <v>2.8574857554335094E-4</v>
      </c>
      <c r="E274" s="2903">
        <v>9000</v>
      </c>
      <c r="F274" s="2904">
        <f t="shared" si="89"/>
        <v>3.1461512031179337E-4</v>
      </c>
      <c r="G274" s="2903">
        <f t="shared" si="90"/>
        <v>9000</v>
      </c>
      <c r="H274" s="2903">
        <f t="shared" si="91"/>
        <v>0</v>
      </c>
      <c r="I274" s="2905">
        <f t="shared" si="92"/>
        <v>5700</v>
      </c>
      <c r="J274" s="1096">
        <v>1744</v>
      </c>
      <c r="K274" s="2479">
        <f t="shared" si="100"/>
        <v>71434.240000000005</v>
      </c>
      <c r="L274" s="398">
        <f t="shared" si="93"/>
        <v>1800</v>
      </c>
      <c r="M274" s="1095">
        <f t="shared" si="94"/>
        <v>9244</v>
      </c>
      <c r="N274" s="2906">
        <f t="shared" si="95"/>
        <v>2.9094720601169696E-4</v>
      </c>
      <c r="O274" s="2907">
        <f t="shared" si="101"/>
        <v>5.1986304683460278E-6</v>
      </c>
      <c r="P274" s="2908">
        <f t="shared" si="102"/>
        <v>30000</v>
      </c>
      <c r="Q274" s="1095">
        <f t="shared" si="103"/>
        <v>8190</v>
      </c>
      <c r="R274" s="2909">
        <f t="shared" si="104"/>
        <v>38190</v>
      </c>
      <c r="S274" s="398">
        <f t="shared" si="105"/>
        <v>0</v>
      </c>
      <c r="T274" s="1095">
        <f t="shared" si="106"/>
        <v>0</v>
      </c>
      <c r="U274" s="398">
        <f t="shared" si="107"/>
        <v>0</v>
      </c>
      <c r="V274" s="2913">
        <v>0</v>
      </c>
      <c r="W274" s="1095">
        <f t="shared" si="96"/>
        <v>9278.08</v>
      </c>
      <c r="X274" s="1095">
        <f t="shared" si="97"/>
        <v>1800</v>
      </c>
      <c r="Y274" s="2909">
        <f t="shared" si="108"/>
        <v>11078.08</v>
      </c>
      <c r="Z274" s="2913">
        <v>0</v>
      </c>
      <c r="AA274" s="1095">
        <f t="shared" si="98"/>
        <v>5005.28</v>
      </c>
      <c r="AB274" s="1095">
        <f t="shared" si="99"/>
        <v>0</v>
      </c>
      <c r="AC274" s="2909">
        <f t="shared" si="109"/>
        <v>5005.28</v>
      </c>
    </row>
    <row r="275" spans="1:29">
      <c r="A275" s="2899" t="s">
        <v>4349</v>
      </c>
      <c r="B275" s="2900" t="s">
        <v>4087</v>
      </c>
      <c r="C275" s="2901">
        <v>125</v>
      </c>
      <c r="D275" s="2902">
        <f t="shared" si="88"/>
        <v>3.5718571942918863E-4</v>
      </c>
      <c r="E275" s="2903">
        <v>11250</v>
      </c>
      <c r="F275" s="2904">
        <f t="shared" si="89"/>
        <v>3.9326890038974172E-4</v>
      </c>
      <c r="G275" s="2903">
        <f t="shared" si="90"/>
        <v>11250</v>
      </c>
      <c r="H275" s="2903">
        <f t="shared" si="91"/>
        <v>0</v>
      </c>
      <c r="I275" s="2905">
        <f t="shared" si="92"/>
        <v>7125</v>
      </c>
      <c r="J275" s="1096">
        <v>2180</v>
      </c>
      <c r="K275" s="2479">
        <f t="shared" si="100"/>
        <v>89292.800000000003</v>
      </c>
      <c r="L275" s="398">
        <f t="shared" si="93"/>
        <v>2250</v>
      </c>
      <c r="M275" s="1095">
        <f t="shared" si="94"/>
        <v>11555</v>
      </c>
      <c r="N275" s="2906">
        <f t="shared" si="95"/>
        <v>3.6368400751462122E-4</v>
      </c>
      <c r="O275" s="2907">
        <f t="shared" si="101"/>
        <v>6.498288085432589E-6</v>
      </c>
      <c r="P275" s="2908">
        <f t="shared" si="102"/>
        <v>37500</v>
      </c>
      <c r="Q275" s="1095">
        <f t="shared" si="103"/>
        <v>10237.5</v>
      </c>
      <c r="R275" s="2909">
        <f t="shared" si="104"/>
        <v>47737.5</v>
      </c>
      <c r="S275" s="398">
        <f t="shared" si="105"/>
        <v>0</v>
      </c>
      <c r="T275" s="1095">
        <f t="shared" si="106"/>
        <v>0</v>
      </c>
      <c r="U275" s="398">
        <f t="shared" si="107"/>
        <v>0</v>
      </c>
      <c r="V275" s="2913">
        <v>0</v>
      </c>
      <c r="W275" s="1095">
        <f t="shared" si="96"/>
        <v>11597.6</v>
      </c>
      <c r="X275" s="1095">
        <f t="shared" si="97"/>
        <v>2250</v>
      </c>
      <c r="Y275" s="2909">
        <f t="shared" si="108"/>
        <v>13847.6</v>
      </c>
      <c r="Z275" s="2913">
        <v>0</v>
      </c>
      <c r="AA275" s="1095">
        <f t="shared" si="98"/>
        <v>6256.6</v>
      </c>
      <c r="AB275" s="1095">
        <f t="shared" si="99"/>
        <v>0</v>
      </c>
      <c r="AC275" s="2909">
        <f t="shared" si="109"/>
        <v>6256.6</v>
      </c>
    </row>
    <row r="276" spans="1:29">
      <c r="A276" s="2899" t="s">
        <v>4350</v>
      </c>
      <c r="B276" s="2900" t="s">
        <v>4071</v>
      </c>
      <c r="C276" s="2901">
        <v>175</v>
      </c>
      <c r="D276" s="2902">
        <f t="shared" si="88"/>
        <v>5.0006000720086412E-4</v>
      </c>
      <c r="E276" s="2903">
        <v>7875</v>
      </c>
      <c r="F276" s="2904">
        <f t="shared" si="89"/>
        <v>2.752882302728192E-4</v>
      </c>
      <c r="G276" s="2903">
        <f t="shared" si="90"/>
        <v>15750</v>
      </c>
      <c r="H276" s="2903">
        <f t="shared" si="91"/>
        <v>-7875</v>
      </c>
      <c r="I276" s="2905">
        <f t="shared" si="92"/>
        <v>9975</v>
      </c>
      <c r="J276" s="1096">
        <v>3052</v>
      </c>
      <c r="K276" s="2479">
        <f t="shared" si="100"/>
        <v>125009.92</v>
      </c>
      <c r="L276" s="398">
        <f t="shared" si="93"/>
        <v>1575</v>
      </c>
      <c r="M276" s="1095">
        <f t="shared" si="94"/>
        <v>14602</v>
      </c>
      <c r="N276" s="2906">
        <f t="shared" si="95"/>
        <v>4.5958579642825607E-4</v>
      </c>
      <c r="O276" s="2907">
        <f t="shared" si="101"/>
        <v>-4.0474210772608059E-5</v>
      </c>
      <c r="P276" s="2908">
        <f t="shared" si="102"/>
        <v>52500</v>
      </c>
      <c r="Q276" s="1095">
        <f t="shared" si="103"/>
        <v>7166.25</v>
      </c>
      <c r="R276" s="2909">
        <f t="shared" si="104"/>
        <v>59666.25</v>
      </c>
      <c r="S276" s="398">
        <f t="shared" si="105"/>
        <v>0</v>
      </c>
      <c r="T276" s="1095">
        <f t="shared" si="106"/>
        <v>0</v>
      </c>
      <c r="U276" s="398">
        <f t="shared" si="107"/>
        <v>0</v>
      </c>
      <c r="V276" s="2913">
        <v>0</v>
      </c>
      <c r="W276" s="1095">
        <f t="shared" si="96"/>
        <v>16236.640000000001</v>
      </c>
      <c r="X276" s="1095">
        <f t="shared" si="97"/>
        <v>1575</v>
      </c>
      <c r="Y276" s="2909">
        <f t="shared" si="108"/>
        <v>17811.64</v>
      </c>
      <c r="Z276" s="2913">
        <v>0</v>
      </c>
      <c r="AA276" s="1095">
        <f t="shared" si="98"/>
        <v>8759.24</v>
      </c>
      <c r="AB276" s="1095">
        <f t="shared" si="99"/>
        <v>0</v>
      </c>
      <c r="AC276" s="2909">
        <f t="shared" si="109"/>
        <v>8759.24</v>
      </c>
    </row>
    <row r="277" spans="1:29">
      <c r="A277" s="2899" t="s">
        <v>4351</v>
      </c>
      <c r="B277" s="2900" t="s">
        <v>4106</v>
      </c>
      <c r="C277" s="2901">
        <v>150</v>
      </c>
      <c r="D277" s="2902">
        <f t="shared" si="88"/>
        <v>4.2862286331502638E-4</v>
      </c>
      <c r="E277" s="2903">
        <v>13500</v>
      </c>
      <c r="F277" s="2904">
        <f t="shared" si="89"/>
        <v>4.7192268046769006E-4</v>
      </c>
      <c r="G277" s="2903">
        <f t="shared" si="90"/>
        <v>13500</v>
      </c>
      <c r="H277" s="2903">
        <f t="shared" si="91"/>
        <v>0</v>
      </c>
      <c r="I277" s="2905">
        <f t="shared" si="92"/>
        <v>8550</v>
      </c>
      <c r="J277" s="1096">
        <v>0</v>
      </c>
      <c r="K277" s="2479">
        <f t="shared" si="100"/>
        <v>0</v>
      </c>
      <c r="L277" s="398">
        <f t="shared" si="93"/>
        <v>2700</v>
      </c>
      <c r="M277" s="1095">
        <f t="shared" si="94"/>
        <v>11250</v>
      </c>
      <c r="N277" s="2906">
        <f t="shared" si="95"/>
        <v>3.5408438637295442E-4</v>
      </c>
      <c r="O277" s="2907">
        <f t="shared" si="101"/>
        <v>-7.4538476942071961E-5</v>
      </c>
      <c r="P277" s="2908">
        <f t="shared" si="102"/>
        <v>45000</v>
      </c>
      <c r="Q277" s="1095">
        <f t="shared" si="103"/>
        <v>12285</v>
      </c>
      <c r="R277" s="2909">
        <f t="shared" si="104"/>
        <v>57285</v>
      </c>
      <c r="S277" s="398">
        <f t="shared" si="105"/>
        <v>0</v>
      </c>
      <c r="T277" s="1095">
        <f t="shared" si="106"/>
        <v>0</v>
      </c>
      <c r="U277" s="398">
        <f t="shared" si="107"/>
        <v>0</v>
      </c>
      <c r="V277" s="2913">
        <v>0</v>
      </c>
      <c r="W277" s="1095">
        <f t="shared" si="96"/>
        <v>0</v>
      </c>
      <c r="X277" s="1095">
        <f t="shared" si="97"/>
        <v>2700</v>
      </c>
      <c r="Y277" s="2909">
        <f t="shared" si="108"/>
        <v>2700</v>
      </c>
      <c r="Z277" s="2913">
        <v>0</v>
      </c>
      <c r="AA277" s="1095">
        <f t="shared" si="98"/>
        <v>0</v>
      </c>
      <c r="AB277" s="1095">
        <f t="shared" si="99"/>
        <v>0</v>
      </c>
      <c r="AC277" s="2909">
        <f t="shared" si="109"/>
        <v>0</v>
      </c>
    </row>
    <row r="278" spans="1:29">
      <c r="A278" s="2899" t="s">
        <v>4352</v>
      </c>
      <c r="B278" s="2900" t="s">
        <v>4071</v>
      </c>
      <c r="C278" s="2901">
        <v>125</v>
      </c>
      <c r="D278" s="2902">
        <f t="shared" si="88"/>
        <v>3.5718571942918863E-4</v>
      </c>
      <c r="E278" s="2903">
        <v>11250</v>
      </c>
      <c r="F278" s="2904">
        <f t="shared" si="89"/>
        <v>3.9326890038974172E-4</v>
      </c>
      <c r="G278" s="2903">
        <f t="shared" si="90"/>
        <v>11250</v>
      </c>
      <c r="H278" s="2903">
        <f t="shared" si="91"/>
        <v>0</v>
      </c>
      <c r="I278" s="2905">
        <f t="shared" si="92"/>
        <v>7125</v>
      </c>
      <c r="J278" s="1096">
        <v>2180</v>
      </c>
      <c r="K278" s="2479">
        <f t="shared" si="100"/>
        <v>89292.800000000003</v>
      </c>
      <c r="L278" s="398">
        <f t="shared" si="93"/>
        <v>2250</v>
      </c>
      <c r="M278" s="1095">
        <f t="shared" si="94"/>
        <v>11555</v>
      </c>
      <c r="N278" s="2906">
        <f t="shared" si="95"/>
        <v>3.6368400751462122E-4</v>
      </c>
      <c r="O278" s="2907">
        <f t="shared" si="101"/>
        <v>6.498288085432589E-6</v>
      </c>
      <c r="P278" s="2908">
        <f t="shared" si="102"/>
        <v>37500</v>
      </c>
      <c r="Q278" s="1095">
        <f t="shared" si="103"/>
        <v>10237.5</v>
      </c>
      <c r="R278" s="2909">
        <f t="shared" si="104"/>
        <v>47737.5</v>
      </c>
      <c r="S278" s="398">
        <f t="shared" si="105"/>
        <v>0</v>
      </c>
      <c r="T278" s="1095">
        <f t="shared" si="106"/>
        <v>0</v>
      </c>
      <c r="U278" s="398">
        <f t="shared" si="107"/>
        <v>0</v>
      </c>
      <c r="V278" s="2913">
        <v>0</v>
      </c>
      <c r="W278" s="1095">
        <f t="shared" si="96"/>
        <v>11597.6</v>
      </c>
      <c r="X278" s="1095">
        <f t="shared" si="97"/>
        <v>2250</v>
      </c>
      <c r="Y278" s="2909">
        <f t="shared" si="108"/>
        <v>13847.6</v>
      </c>
      <c r="Z278" s="2913">
        <v>0</v>
      </c>
      <c r="AA278" s="1095">
        <f t="shared" si="98"/>
        <v>6256.6</v>
      </c>
      <c r="AB278" s="1095">
        <f t="shared" si="99"/>
        <v>0</v>
      </c>
      <c r="AC278" s="2909">
        <f t="shared" si="109"/>
        <v>6256.6</v>
      </c>
    </row>
    <row r="279" spans="1:29">
      <c r="A279" s="2899" t="s">
        <v>4353</v>
      </c>
      <c r="B279" s="2900" t="s">
        <v>4083</v>
      </c>
      <c r="C279" s="2901">
        <v>605</v>
      </c>
      <c r="D279" s="2902">
        <f t="shared" si="88"/>
        <v>1.7287788820372731E-3</v>
      </c>
      <c r="E279" s="2903">
        <v>54450</v>
      </c>
      <c r="F279" s="2904">
        <f t="shared" si="89"/>
        <v>1.9034214778863498E-3</v>
      </c>
      <c r="G279" s="2903">
        <f t="shared" si="90"/>
        <v>54450</v>
      </c>
      <c r="H279" s="2903">
        <f t="shared" si="91"/>
        <v>0</v>
      </c>
      <c r="I279" s="2905">
        <f t="shared" si="92"/>
        <v>34485</v>
      </c>
      <c r="J279" s="1096">
        <v>10551</v>
      </c>
      <c r="K279" s="2479">
        <f t="shared" si="100"/>
        <v>432168.96000000002</v>
      </c>
      <c r="L279" s="398">
        <f t="shared" si="93"/>
        <v>10890</v>
      </c>
      <c r="M279" s="1095">
        <f t="shared" si="94"/>
        <v>55926</v>
      </c>
      <c r="N279" s="2906">
        <f t="shared" si="95"/>
        <v>1.7602243015372311E-3</v>
      </c>
      <c r="O279" s="2907">
        <f t="shared" si="101"/>
        <v>3.1445419499957945E-5</v>
      </c>
      <c r="P279" s="2908">
        <f t="shared" si="102"/>
        <v>181500</v>
      </c>
      <c r="Q279" s="1095">
        <f t="shared" si="103"/>
        <v>49549.5</v>
      </c>
      <c r="R279" s="2909">
        <f t="shared" si="104"/>
        <v>231049.5</v>
      </c>
      <c r="S279" s="398">
        <f t="shared" si="105"/>
        <v>0</v>
      </c>
      <c r="T279" s="1095">
        <f t="shared" si="106"/>
        <v>0</v>
      </c>
      <c r="U279" s="398">
        <f t="shared" si="107"/>
        <v>0</v>
      </c>
      <c r="V279" s="2913">
        <v>0</v>
      </c>
      <c r="W279" s="1095">
        <f t="shared" si="96"/>
        <v>56131.32</v>
      </c>
      <c r="X279" s="1095">
        <f t="shared" si="97"/>
        <v>10890</v>
      </c>
      <c r="Y279" s="2909">
        <f t="shared" si="108"/>
        <v>67021.320000000007</v>
      </c>
      <c r="Z279" s="2913">
        <v>0</v>
      </c>
      <c r="AA279" s="1095">
        <f t="shared" si="98"/>
        <v>30281.370000000003</v>
      </c>
      <c r="AB279" s="1095">
        <f t="shared" si="99"/>
        <v>0</v>
      </c>
      <c r="AC279" s="2909">
        <f t="shared" si="109"/>
        <v>30281.370000000003</v>
      </c>
    </row>
    <row r="280" spans="1:29">
      <c r="A280" s="2899" t="s">
        <v>4354</v>
      </c>
      <c r="B280" s="2900" t="s">
        <v>4079</v>
      </c>
      <c r="C280" s="2901">
        <v>125</v>
      </c>
      <c r="D280" s="2902">
        <f t="shared" si="88"/>
        <v>3.5718571942918863E-4</v>
      </c>
      <c r="E280" s="2903">
        <v>11250</v>
      </c>
      <c r="F280" s="2904">
        <f t="shared" si="89"/>
        <v>3.9326890038974172E-4</v>
      </c>
      <c r="G280" s="2903">
        <f t="shared" si="90"/>
        <v>11250</v>
      </c>
      <c r="H280" s="2903">
        <f t="shared" si="91"/>
        <v>0</v>
      </c>
      <c r="I280" s="2905">
        <f t="shared" si="92"/>
        <v>7125</v>
      </c>
      <c r="J280" s="1096">
        <v>4360</v>
      </c>
      <c r="K280" s="2479">
        <f t="shared" si="100"/>
        <v>178585.60000000001</v>
      </c>
      <c r="L280" s="398">
        <f t="shared" si="93"/>
        <v>2250</v>
      </c>
      <c r="M280" s="1095">
        <f t="shared" si="94"/>
        <v>13735</v>
      </c>
      <c r="N280" s="2906">
        <f t="shared" si="95"/>
        <v>4.3229769305178041E-4</v>
      </c>
      <c r="O280" s="2907">
        <f t="shared" si="101"/>
        <v>7.5111973622591776E-5</v>
      </c>
      <c r="P280" s="2908">
        <f t="shared" si="102"/>
        <v>37500</v>
      </c>
      <c r="Q280" s="1095">
        <f t="shared" si="103"/>
        <v>10237.5</v>
      </c>
      <c r="R280" s="2909">
        <f t="shared" si="104"/>
        <v>47737.5</v>
      </c>
      <c r="S280" s="398">
        <f t="shared" si="105"/>
        <v>0</v>
      </c>
      <c r="T280" s="1095">
        <f t="shared" si="106"/>
        <v>0</v>
      </c>
      <c r="U280" s="398">
        <f t="shared" si="107"/>
        <v>0</v>
      </c>
      <c r="V280" s="2913">
        <v>0</v>
      </c>
      <c r="W280" s="1095">
        <f t="shared" si="96"/>
        <v>23195.200000000001</v>
      </c>
      <c r="X280" s="1095">
        <f t="shared" si="97"/>
        <v>2250</v>
      </c>
      <c r="Y280" s="2909">
        <f t="shared" si="108"/>
        <v>25445.200000000001</v>
      </c>
      <c r="Z280" s="2913">
        <v>0</v>
      </c>
      <c r="AA280" s="1095">
        <f t="shared" si="98"/>
        <v>12513.2</v>
      </c>
      <c r="AB280" s="1095">
        <f t="shared" si="99"/>
        <v>0</v>
      </c>
      <c r="AC280" s="2909">
        <f t="shared" si="109"/>
        <v>12513.2</v>
      </c>
    </row>
    <row r="281" spans="1:29">
      <c r="A281" s="2899" t="s">
        <v>4355</v>
      </c>
      <c r="B281" s="2900" t="s">
        <v>4077</v>
      </c>
      <c r="C281" s="2901">
        <v>200</v>
      </c>
      <c r="D281" s="2902">
        <f t="shared" si="88"/>
        <v>5.7149715108670187E-4</v>
      </c>
      <c r="E281" s="2903">
        <v>18000</v>
      </c>
      <c r="F281" s="2904">
        <f t="shared" si="89"/>
        <v>6.2923024062358675E-4</v>
      </c>
      <c r="G281" s="2903">
        <f t="shared" si="90"/>
        <v>18000</v>
      </c>
      <c r="H281" s="2903">
        <f t="shared" si="91"/>
        <v>0</v>
      </c>
      <c r="I281" s="2905">
        <f t="shared" si="92"/>
        <v>11400</v>
      </c>
      <c r="J281" s="1096">
        <v>3488</v>
      </c>
      <c r="K281" s="2479">
        <f t="shared" si="100"/>
        <v>142868.48000000001</v>
      </c>
      <c r="L281" s="398">
        <f t="shared" si="93"/>
        <v>3600</v>
      </c>
      <c r="M281" s="1095">
        <f t="shared" si="94"/>
        <v>18488</v>
      </c>
      <c r="N281" s="2906">
        <f t="shared" si="95"/>
        <v>5.8189441202339393E-4</v>
      </c>
      <c r="O281" s="2907">
        <f t="shared" si="101"/>
        <v>1.0397260936692056E-5</v>
      </c>
      <c r="P281" s="2908">
        <f t="shared" si="102"/>
        <v>60000</v>
      </c>
      <c r="Q281" s="1095">
        <f t="shared" si="103"/>
        <v>16380</v>
      </c>
      <c r="R281" s="2909">
        <f t="shared" si="104"/>
        <v>76380</v>
      </c>
      <c r="S281" s="398">
        <f t="shared" si="105"/>
        <v>0</v>
      </c>
      <c r="T281" s="1095">
        <f t="shared" si="106"/>
        <v>0</v>
      </c>
      <c r="U281" s="398">
        <f t="shared" si="107"/>
        <v>0</v>
      </c>
      <c r="V281" s="2913">
        <v>0</v>
      </c>
      <c r="W281" s="1095">
        <f t="shared" si="96"/>
        <v>18556.16</v>
      </c>
      <c r="X281" s="1095">
        <f t="shared" si="97"/>
        <v>3600</v>
      </c>
      <c r="Y281" s="2909">
        <f t="shared" si="108"/>
        <v>22156.16</v>
      </c>
      <c r="Z281" s="2913">
        <v>0</v>
      </c>
      <c r="AA281" s="1095">
        <f t="shared" si="98"/>
        <v>10010.56</v>
      </c>
      <c r="AB281" s="1095">
        <f t="shared" si="99"/>
        <v>0</v>
      </c>
      <c r="AC281" s="2909">
        <f t="shared" si="109"/>
        <v>10010.56</v>
      </c>
    </row>
    <row r="282" spans="1:29">
      <c r="A282" s="2899" t="s">
        <v>4356</v>
      </c>
      <c r="B282" s="2900" t="s">
        <v>4190</v>
      </c>
      <c r="C282" s="2901">
        <v>450</v>
      </c>
      <c r="D282" s="2902">
        <f t="shared" si="88"/>
        <v>1.285868589945079E-3</v>
      </c>
      <c r="E282" s="2903">
        <v>40500</v>
      </c>
      <c r="F282" s="2904">
        <f t="shared" si="89"/>
        <v>1.4157680414030702E-3</v>
      </c>
      <c r="G282" s="2903">
        <f t="shared" si="90"/>
        <v>40500</v>
      </c>
      <c r="H282" s="2903">
        <f t="shared" si="91"/>
        <v>0</v>
      </c>
      <c r="I282" s="2905">
        <f t="shared" si="92"/>
        <v>25650</v>
      </c>
      <c r="J282" s="1096">
        <v>7848</v>
      </c>
      <c r="K282" s="2479">
        <f t="shared" si="100"/>
        <v>321454.08000000002</v>
      </c>
      <c r="L282" s="398">
        <f t="shared" si="93"/>
        <v>8100</v>
      </c>
      <c r="M282" s="1095">
        <f t="shared" si="94"/>
        <v>41598</v>
      </c>
      <c r="N282" s="2906">
        <f t="shared" si="95"/>
        <v>1.3092624270526364E-3</v>
      </c>
      <c r="O282" s="2907">
        <f t="shared" si="101"/>
        <v>2.3393837107557342E-5</v>
      </c>
      <c r="P282" s="2908">
        <f t="shared" si="102"/>
        <v>135000</v>
      </c>
      <c r="Q282" s="1095">
        <f t="shared" si="103"/>
        <v>36855</v>
      </c>
      <c r="R282" s="2909">
        <f t="shared" si="104"/>
        <v>171855</v>
      </c>
      <c r="S282" s="398">
        <f t="shared" si="105"/>
        <v>0</v>
      </c>
      <c r="T282" s="1095">
        <f t="shared" si="106"/>
        <v>0</v>
      </c>
      <c r="U282" s="398">
        <f t="shared" si="107"/>
        <v>0</v>
      </c>
      <c r="V282" s="2913">
        <v>0</v>
      </c>
      <c r="W282" s="1095">
        <f t="shared" si="96"/>
        <v>41751.360000000001</v>
      </c>
      <c r="X282" s="1095">
        <f t="shared" si="97"/>
        <v>8100</v>
      </c>
      <c r="Y282" s="2909">
        <f t="shared" si="108"/>
        <v>49851.360000000001</v>
      </c>
      <c r="Z282" s="2913">
        <v>0</v>
      </c>
      <c r="AA282" s="1095">
        <f t="shared" si="98"/>
        <v>22523.760000000002</v>
      </c>
      <c r="AB282" s="1095">
        <f t="shared" si="99"/>
        <v>0</v>
      </c>
      <c r="AC282" s="2909">
        <f t="shared" si="109"/>
        <v>22523.760000000002</v>
      </c>
    </row>
    <row r="283" spans="1:29">
      <c r="A283" s="2899" t="s">
        <v>4357</v>
      </c>
      <c r="B283" s="2900" t="s">
        <v>4087</v>
      </c>
      <c r="C283" s="2901">
        <v>330</v>
      </c>
      <c r="D283" s="2902">
        <f t="shared" si="88"/>
        <v>9.4297029929305801E-4</v>
      </c>
      <c r="E283" s="2903">
        <v>29700</v>
      </c>
      <c r="F283" s="2904">
        <f t="shared" si="89"/>
        <v>1.038229897028918E-3</v>
      </c>
      <c r="G283" s="2903">
        <f t="shared" si="90"/>
        <v>29700</v>
      </c>
      <c r="H283" s="2903">
        <f t="shared" si="91"/>
        <v>0</v>
      </c>
      <c r="I283" s="2905">
        <f t="shared" si="92"/>
        <v>18810</v>
      </c>
      <c r="J283" s="1096">
        <v>5755</v>
      </c>
      <c r="K283" s="2479">
        <f t="shared" si="100"/>
        <v>235724.80000000002</v>
      </c>
      <c r="L283" s="398">
        <f t="shared" si="93"/>
        <v>5940</v>
      </c>
      <c r="M283" s="1095">
        <f t="shared" si="94"/>
        <v>30505</v>
      </c>
      <c r="N283" s="2906">
        <f t="shared" si="95"/>
        <v>9.6011948500506449E-4</v>
      </c>
      <c r="O283" s="2907">
        <f t="shared" si="101"/>
        <v>1.7149185712006477E-5</v>
      </c>
      <c r="P283" s="2908">
        <f t="shared" si="102"/>
        <v>99000</v>
      </c>
      <c r="Q283" s="1095">
        <f t="shared" si="103"/>
        <v>27027</v>
      </c>
      <c r="R283" s="2909">
        <f t="shared" si="104"/>
        <v>126027</v>
      </c>
      <c r="S283" s="398">
        <f t="shared" si="105"/>
        <v>0</v>
      </c>
      <c r="T283" s="1095">
        <f t="shared" si="106"/>
        <v>0</v>
      </c>
      <c r="U283" s="398">
        <f t="shared" si="107"/>
        <v>0</v>
      </c>
      <c r="V283" s="2913">
        <v>0</v>
      </c>
      <c r="W283" s="1095">
        <f t="shared" si="96"/>
        <v>30616.600000000002</v>
      </c>
      <c r="X283" s="1095">
        <f t="shared" si="97"/>
        <v>5940</v>
      </c>
      <c r="Y283" s="2909">
        <f t="shared" si="108"/>
        <v>36556.600000000006</v>
      </c>
      <c r="Z283" s="2913">
        <v>0</v>
      </c>
      <c r="AA283" s="1095">
        <f t="shared" si="98"/>
        <v>16516.850000000002</v>
      </c>
      <c r="AB283" s="1095">
        <f t="shared" si="99"/>
        <v>0</v>
      </c>
      <c r="AC283" s="2909">
        <f t="shared" si="109"/>
        <v>16516.850000000002</v>
      </c>
    </row>
    <row r="284" spans="1:29">
      <c r="A284" s="2899" t="s">
        <v>4358</v>
      </c>
      <c r="B284" s="2900" t="s">
        <v>4106</v>
      </c>
      <c r="C284" s="2901">
        <v>520</v>
      </c>
      <c r="D284" s="2902">
        <f t="shared" si="88"/>
        <v>1.4858925928254248E-3</v>
      </c>
      <c r="E284" s="2903">
        <v>46800</v>
      </c>
      <c r="F284" s="2904">
        <f t="shared" si="89"/>
        <v>1.6359986256213256E-3</v>
      </c>
      <c r="G284" s="2903">
        <f t="shared" si="90"/>
        <v>46800</v>
      </c>
      <c r="H284" s="2903">
        <f t="shared" si="91"/>
        <v>0</v>
      </c>
      <c r="I284" s="2905">
        <f t="shared" si="92"/>
        <v>29640</v>
      </c>
      <c r="J284" s="1096">
        <v>9069</v>
      </c>
      <c r="K284" s="2479">
        <f t="shared" si="100"/>
        <v>371466.23999999999</v>
      </c>
      <c r="L284" s="398">
        <f t="shared" si="93"/>
        <v>9360</v>
      </c>
      <c r="M284" s="1095">
        <f t="shared" si="94"/>
        <v>48069</v>
      </c>
      <c r="N284" s="2906">
        <f t="shared" si="95"/>
        <v>1.5129317660943597E-3</v>
      </c>
      <c r="O284" s="2907">
        <f t="shared" si="101"/>
        <v>2.7039173268934976E-5</v>
      </c>
      <c r="P284" s="2908">
        <f t="shared" si="102"/>
        <v>156000</v>
      </c>
      <c r="Q284" s="1095">
        <f t="shared" si="103"/>
        <v>42588</v>
      </c>
      <c r="R284" s="2909">
        <f t="shared" si="104"/>
        <v>198588</v>
      </c>
      <c r="S284" s="398">
        <f t="shared" si="105"/>
        <v>0</v>
      </c>
      <c r="T284" s="1095">
        <f t="shared" si="106"/>
        <v>0</v>
      </c>
      <c r="U284" s="398">
        <f t="shared" si="107"/>
        <v>0</v>
      </c>
      <c r="V284" s="2913">
        <v>0</v>
      </c>
      <c r="W284" s="1095">
        <f t="shared" si="96"/>
        <v>48247.08</v>
      </c>
      <c r="X284" s="1095">
        <f t="shared" si="97"/>
        <v>9360</v>
      </c>
      <c r="Y284" s="2909">
        <f t="shared" si="108"/>
        <v>57607.08</v>
      </c>
      <c r="Z284" s="2913">
        <v>0</v>
      </c>
      <c r="AA284" s="1095">
        <f t="shared" si="98"/>
        <v>26028.030000000002</v>
      </c>
      <c r="AB284" s="1095">
        <f t="shared" si="99"/>
        <v>0</v>
      </c>
      <c r="AC284" s="2909">
        <f t="shared" si="109"/>
        <v>26028.030000000002</v>
      </c>
    </row>
    <row r="285" spans="1:29">
      <c r="A285" s="2899" t="s">
        <v>4359</v>
      </c>
      <c r="B285" s="2900" t="s">
        <v>4083</v>
      </c>
      <c r="C285" s="2901">
        <v>580</v>
      </c>
      <c r="D285" s="2902">
        <f t="shared" si="88"/>
        <v>1.6573417381514353E-3</v>
      </c>
      <c r="E285" s="2903">
        <v>52200</v>
      </c>
      <c r="F285" s="2904">
        <f t="shared" si="89"/>
        <v>1.8247676978084015E-3</v>
      </c>
      <c r="G285" s="2903">
        <f t="shared" si="90"/>
        <v>52200</v>
      </c>
      <c r="H285" s="2903">
        <f t="shared" si="91"/>
        <v>0</v>
      </c>
      <c r="I285" s="2905">
        <f t="shared" si="92"/>
        <v>33060</v>
      </c>
      <c r="J285" s="1096">
        <v>10115</v>
      </c>
      <c r="K285" s="2479">
        <f t="shared" si="100"/>
        <v>414310.40000000002</v>
      </c>
      <c r="L285" s="398">
        <f t="shared" si="93"/>
        <v>10440</v>
      </c>
      <c r="M285" s="1095">
        <f t="shared" si="94"/>
        <v>53615</v>
      </c>
      <c r="N285" s="2906">
        <f t="shared" si="95"/>
        <v>1.6874875000343068E-3</v>
      </c>
      <c r="O285" s="2907">
        <f t="shared" si="101"/>
        <v>3.0145761882871547E-5</v>
      </c>
      <c r="P285" s="2908">
        <f t="shared" si="102"/>
        <v>174000</v>
      </c>
      <c r="Q285" s="1095">
        <f t="shared" si="103"/>
        <v>47502</v>
      </c>
      <c r="R285" s="2909">
        <f t="shared" si="104"/>
        <v>221502</v>
      </c>
      <c r="S285" s="398">
        <f t="shared" si="105"/>
        <v>0</v>
      </c>
      <c r="T285" s="1095">
        <f t="shared" si="106"/>
        <v>0</v>
      </c>
      <c r="U285" s="398">
        <f t="shared" si="107"/>
        <v>0</v>
      </c>
      <c r="V285" s="2913">
        <v>0</v>
      </c>
      <c r="W285" s="1095">
        <f t="shared" si="96"/>
        <v>53811.8</v>
      </c>
      <c r="X285" s="1095">
        <f t="shared" si="97"/>
        <v>10440</v>
      </c>
      <c r="Y285" s="2909">
        <f t="shared" si="108"/>
        <v>64251.8</v>
      </c>
      <c r="Z285" s="2913">
        <v>0</v>
      </c>
      <c r="AA285" s="1095">
        <f t="shared" si="98"/>
        <v>29030.05</v>
      </c>
      <c r="AB285" s="1095">
        <f t="shared" si="99"/>
        <v>0</v>
      </c>
      <c r="AC285" s="2909">
        <f t="shared" si="109"/>
        <v>29030.05</v>
      </c>
    </row>
    <row r="286" spans="1:29">
      <c r="A286" s="2899" t="s">
        <v>4360</v>
      </c>
      <c r="B286" s="2900" t="s">
        <v>4077</v>
      </c>
      <c r="C286" s="2901">
        <v>175</v>
      </c>
      <c r="D286" s="2902">
        <f t="shared" si="88"/>
        <v>5.0006000720086412E-4</v>
      </c>
      <c r="E286" s="2903">
        <v>15750</v>
      </c>
      <c r="F286" s="2904">
        <f t="shared" si="89"/>
        <v>5.505764605456384E-4</v>
      </c>
      <c r="G286" s="2903">
        <f t="shared" si="90"/>
        <v>15750</v>
      </c>
      <c r="H286" s="2903">
        <f t="shared" si="91"/>
        <v>0</v>
      </c>
      <c r="I286" s="2905">
        <f t="shared" si="92"/>
        <v>9975</v>
      </c>
      <c r="J286" s="1096">
        <v>3052</v>
      </c>
      <c r="K286" s="2479">
        <f t="shared" si="100"/>
        <v>125009.92</v>
      </c>
      <c r="L286" s="398">
        <f t="shared" si="93"/>
        <v>3150</v>
      </c>
      <c r="M286" s="1095">
        <f t="shared" si="94"/>
        <v>16177</v>
      </c>
      <c r="N286" s="2906">
        <f t="shared" si="95"/>
        <v>5.0915761052046967E-4</v>
      </c>
      <c r="O286" s="2907">
        <f t="shared" si="101"/>
        <v>9.0976033196055487E-6</v>
      </c>
      <c r="P286" s="2908">
        <f t="shared" si="102"/>
        <v>52500</v>
      </c>
      <c r="Q286" s="1095">
        <f t="shared" si="103"/>
        <v>14332.5</v>
      </c>
      <c r="R286" s="2909">
        <f t="shared" si="104"/>
        <v>66832.5</v>
      </c>
      <c r="S286" s="398">
        <f t="shared" si="105"/>
        <v>0</v>
      </c>
      <c r="T286" s="1095">
        <f t="shared" si="106"/>
        <v>0</v>
      </c>
      <c r="U286" s="398">
        <f t="shared" si="107"/>
        <v>0</v>
      </c>
      <c r="V286" s="2913">
        <v>0</v>
      </c>
      <c r="W286" s="1095">
        <f t="shared" si="96"/>
        <v>16236.640000000001</v>
      </c>
      <c r="X286" s="1095">
        <f t="shared" si="97"/>
        <v>3150</v>
      </c>
      <c r="Y286" s="2909">
        <f t="shared" si="108"/>
        <v>19386.64</v>
      </c>
      <c r="Z286" s="2913">
        <v>0</v>
      </c>
      <c r="AA286" s="1095">
        <f t="shared" si="98"/>
        <v>8759.24</v>
      </c>
      <c r="AB286" s="1095">
        <f t="shared" si="99"/>
        <v>0</v>
      </c>
      <c r="AC286" s="2909">
        <f t="shared" si="109"/>
        <v>8759.24</v>
      </c>
    </row>
    <row r="287" spans="1:29">
      <c r="A287" s="2899" t="s">
        <v>4361</v>
      </c>
      <c r="B287" s="2900" t="s">
        <v>4106</v>
      </c>
      <c r="C287" s="2901">
        <v>210</v>
      </c>
      <c r="D287" s="2902">
        <f t="shared" si="88"/>
        <v>6.0007200864103688E-4</v>
      </c>
      <c r="E287" s="2903">
        <v>18900</v>
      </c>
      <c r="F287" s="2904">
        <f t="shared" si="89"/>
        <v>6.6069175265476613E-4</v>
      </c>
      <c r="G287" s="2903">
        <f t="shared" si="90"/>
        <v>18900</v>
      </c>
      <c r="H287" s="2903">
        <f t="shared" si="91"/>
        <v>0</v>
      </c>
      <c r="I287" s="2905">
        <f t="shared" si="92"/>
        <v>11970</v>
      </c>
      <c r="J287" s="1096">
        <v>3661.9999999999995</v>
      </c>
      <c r="K287" s="2479">
        <f t="shared" si="100"/>
        <v>149995.51999999999</v>
      </c>
      <c r="L287" s="398">
        <f t="shared" si="93"/>
        <v>3780</v>
      </c>
      <c r="M287" s="1095">
        <f t="shared" si="94"/>
        <v>19412</v>
      </c>
      <c r="N287" s="2906">
        <f t="shared" si="95"/>
        <v>6.1097654295749261E-4</v>
      </c>
      <c r="O287" s="2907">
        <f t="shared" si="101"/>
        <v>1.0904534316455721E-5</v>
      </c>
      <c r="P287" s="2908">
        <f t="shared" si="102"/>
        <v>63000</v>
      </c>
      <c r="Q287" s="1095">
        <f t="shared" si="103"/>
        <v>17199</v>
      </c>
      <c r="R287" s="2909">
        <f t="shared" si="104"/>
        <v>80199</v>
      </c>
      <c r="S287" s="398">
        <f t="shared" si="105"/>
        <v>0</v>
      </c>
      <c r="T287" s="1095">
        <f t="shared" si="106"/>
        <v>0</v>
      </c>
      <c r="U287" s="398">
        <f t="shared" si="107"/>
        <v>0</v>
      </c>
      <c r="V287" s="2913">
        <v>0</v>
      </c>
      <c r="W287" s="1095">
        <f t="shared" si="96"/>
        <v>19481.84</v>
      </c>
      <c r="X287" s="1095">
        <f t="shared" si="97"/>
        <v>3780</v>
      </c>
      <c r="Y287" s="2909">
        <f t="shared" si="108"/>
        <v>23261.84</v>
      </c>
      <c r="Z287" s="2913">
        <v>0</v>
      </c>
      <c r="AA287" s="1095">
        <f t="shared" si="98"/>
        <v>10509.939999999999</v>
      </c>
      <c r="AB287" s="1095">
        <f t="shared" si="99"/>
        <v>0</v>
      </c>
      <c r="AC287" s="2909">
        <f t="shared" si="109"/>
        <v>10509.939999999999</v>
      </c>
    </row>
    <row r="288" spans="1:29">
      <c r="A288" s="2899" t="s">
        <v>4362</v>
      </c>
      <c r="B288" s="2900" t="s">
        <v>4085</v>
      </c>
      <c r="C288" s="2901">
        <v>165</v>
      </c>
      <c r="D288" s="2902">
        <f t="shared" si="88"/>
        <v>4.71485149646529E-4</v>
      </c>
      <c r="E288" s="2903">
        <v>7425</v>
      </c>
      <c r="F288" s="2904">
        <f t="shared" si="89"/>
        <v>2.5955747425722951E-4</v>
      </c>
      <c r="G288" s="2903">
        <f t="shared" si="90"/>
        <v>14850</v>
      </c>
      <c r="H288" s="2903">
        <f t="shared" si="91"/>
        <v>-7425</v>
      </c>
      <c r="I288" s="2905">
        <f t="shared" si="92"/>
        <v>9405</v>
      </c>
      <c r="J288" s="1096">
        <v>0</v>
      </c>
      <c r="K288" s="2479">
        <f t="shared" si="100"/>
        <v>0</v>
      </c>
      <c r="L288" s="398">
        <f t="shared" si="93"/>
        <v>1485</v>
      </c>
      <c r="M288" s="1095">
        <f t="shared" si="94"/>
        <v>10890</v>
      </c>
      <c r="N288" s="2906">
        <f t="shared" si="95"/>
        <v>3.4275368600901988E-4</v>
      </c>
      <c r="O288" s="2907">
        <f t="shared" si="101"/>
        <v>-1.2873146363750912E-4</v>
      </c>
      <c r="P288" s="2908">
        <f t="shared" si="102"/>
        <v>49500</v>
      </c>
      <c r="Q288" s="1095">
        <f t="shared" si="103"/>
        <v>6756.75</v>
      </c>
      <c r="R288" s="2909">
        <f t="shared" si="104"/>
        <v>56256.75</v>
      </c>
      <c r="S288" s="398">
        <f t="shared" si="105"/>
        <v>0</v>
      </c>
      <c r="T288" s="1095">
        <f t="shared" si="106"/>
        <v>0</v>
      </c>
      <c r="U288" s="398">
        <f t="shared" si="107"/>
        <v>0</v>
      </c>
      <c r="V288" s="2913">
        <v>0</v>
      </c>
      <c r="W288" s="1095">
        <f t="shared" si="96"/>
        <v>0</v>
      </c>
      <c r="X288" s="1095">
        <f t="shared" si="97"/>
        <v>1485</v>
      </c>
      <c r="Y288" s="2909">
        <f t="shared" si="108"/>
        <v>1485</v>
      </c>
      <c r="Z288" s="2913">
        <v>0</v>
      </c>
      <c r="AA288" s="1095">
        <f t="shared" si="98"/>
        <v>0</v>
      </c>
      <c r="AB288" s="1095">
        <f t="shared" si="99"/>
        <v>0</v>
      </c>
      <c r="AC288" s="2909">
        <f t="shared" si="109"/>
        <v>0</v>
      </c>
    </row>
    <row r="289" spans="1:29">
      <c r="A289" s="2899" t="s">
        <v>4363</v>
      </c>
      <c r="B289" s="2900" t="s">
        <v>4075</v>
      </c>
      <c r="C289" s="2901">
        <v>175</v>
      </c>
      <c r="D289" s="2902">
        <f t="shared" si="88"/>
        <v>5.0006000720086412E-4</v>
      </c>
      <c r="E289" s="2903">
        <v>15750</v>
      </c>
      <c r="F289" s="2904">
        <f t="shared" si="89"/>
        <v>5.505764605456384E-4</v>
      </c>
      <c r="G289" s="2903">
        <f t="shared" si="90"/>
        <v>15750</v>
      </c>
      <c r="H289" s="2903">
        <f t="shared" si="91"/>
        <v>0</v>
      </c>
      <c r="I289" s="2905">
        <f t="shared" si="92"/>
        <v>9975</v>
      </c>
      <c r="J289" s="1096">
        <v>3052</v>
      </c>
      <c r="K289" s="2479">
        <f t="shared" si="100"/>
        <v>125009.92</v>
      </c>
      <c r="L289" s="398">
        <f t="shared" si="93"/>
        <v>3150</v>
      </c>
      <c r="M289" s="1095">
        <f t="shared" si="94"/>
        <v>16177</v>
      </c>
      <c r="N289" s="2906">
        <f t="shared" si="95"/>
        <v>5.0915761052046967E-4</v>
      </c>
      <c r="O289" s="2907">
        <f t="shared" si="101"/>
        <v>9.0976033196055487E-6</v>
      </c>
      <c r="P289" s="2908">
        <f t="shared" si="102"/>
        <v>52500</v>
      </c>
      <c r="Q289" s="1095">
        <f t="shared" si="103"/>
        <v>14332.5</v>
      </c>
      <c r="R289" s="2909">
        <f t="shared" si="104"/>
        <v>66832.5</v>
      </c>
      <c r="S289" s="398">
        <f t="shared" si="105"/>
        <v>0</v>
      </c>
      <c r="T289" s="1095">
        <f t="shared" si="106"/>
        <v>0</v>
      </c>
      <c r="U289" s="398">
        <f t="shared" si="107"/>
        <v>0</v>
      </c>
      <c r="V289" s="2913">
        <v>0</v>
      </c>
      <c r="W289" s="1095">
        <f t="shared" si="96"/>
        <v>16236.640000000001</v>
      </c>
      <c r="X289" s="1095">
        <f t="shared" si="97"/>
        <v>3150</v>
      </c>
      <c r="Y289" s="2909">
        <f t="shared" si="108"/>
        <v>19386.64</v>
      </c>
      <c r="Z289" s="2913">
        <v>0</v>
      </c>
      <c r="AA289" s="1095">
        <f t="shared" si="98"/>
        <v>8759.24</v>
      </c>
      <c r="AB289" s="1095">
        <f t="shared" si="99"/>
        <v>0</v>
      </c>
      <c r="AC289" s="2909">
        <f t="shared" si="109"/>
        <v>8759.24</v>
      </c>
    </row>
    <row r="290" spans="1:29">
      <c r="A290" s="2899" t="s">
        <v>4364</v>
      </c>
      <c r="B290" s="2900" t="s">
        <v>4104</v>
      </c>
      <c r="C290" s="2901">
        <v>485</v>
      </c>
      <c r="D290" s="2902">
        <f t="shared" si="88"/>
        <v>1.3858805913852519E-3</v>
      </c>
      <c r="E290" s="2903">
        <v>43650</v>
      </c>
      <c r="F290" s="2904">
        <f t="shared" si="89"/>
        <v>1.5258833335121979E-3</v>
      </c>
      <c r="G290" s="2903">
        <f t="shared" si="90"/>
        <v>43650</v>
      </c>
      <c r="H290" s="2903">
        <f t="shared" si="91"/>
        <v>0</v>
      </c>
      <c r="I290" s="2905">
        <f t="shared" si="92"/>
        <v>27645</v>
      </c>
      <c r="J290" s="1096">
        <v>8458</v>
      </c>
      <c r="K290" s="2479">
        <f t="shared" si="100"/>
        <v>346439.67999999999</v>
      </c>
      <c r="L290" s="398">
        <f t="shared" si="93"/>
        <v>8730</v>
      </c>
      <c r="M290" s="1095">
        <f t="shared" si="94"/>
        <v>44833</v>
      </c>
      <c r="N290" s="2906">
        <f t="shared" si="95"/>
        <v>1.4110813594896592E-3</v>
      </c>
      <c r="O290" s="2907">
        <f t="shared" si="101"/>
        <v>2.5200768104407297E-5</v>
      </c>
      <c r="P290" s="2908">
        <f t="shared" si="102"/>
        <v>145500</v>
      </c>
      <c r="Q290" s="1095">
        <f t="shared" si="103"/>
        <v>39721.5</v>
      </c>
      <c r="R290" s="2909">
        <f t="shared" si="104"/>
        <v>185221.5</v>
      </c>
      <c r="S290" s="398">
        <f t="shared" si="105"/>
        <v>0</v>
      </c>
      <c r="T290" s="1095">
        <f t="shared" si="106"/>
        <v>0</v>
      </c>
      <c r="U290" s="398">
        <f t="shared" si="107"/>
        <v>0</v>
      </c>
      <c r="V290" s="2913">
        <v>0</v>
      </c>
      <c r="W290" s="1095">
        <f t="shared" si="96"/>
        <v>44996.560000000005</v>
      </c>
      <c r="X290" s="1095">
        <f t="shared" si="97"/>
        <v>8730</v>
      </c>
      <c r="Y290" s="2909">
        <f t="shared" si="108"/>
        <v>53726.560000000005</v>
      </c>
      <c r="Z290" s="2913">
        <v>0</v>
      </c>
      <c r="AA290" s="1095">
        <f t="shared" si="98"/>
        <v>24274.46</v>
      </c>
      <c r="AB290" s="1095">
        <f t="shared" si="99"/>
        <v>0</v>
      </c>
      <c r="AC290" s="2909">
        <f t="shared" si="109"/>
        <v>24274.46</v>
      </c>
    </row>
    <row r="291" spans="1:29">
      <c r="A291" s="2899" t="s">
        <v>4365</v>
      </c>
      <c r="B291" s="2900" t="s">
        <v>4085</v>
      </c>
      <c r="C291" s="2901">
        <v>175</v>
      </c>
      <c r="D291" s="2902">
        <f t="shared" si="88"/>
        <v>5.0006000720086412E-4</v>
      </c>
      <c r="E291" s="2903">
        <v>15750</v>
      </c>
      <c r="F291" s="2904">
        <f t="shared" si="89"/>
        <v>5.505764605456384E-4</v>
      </c>
      <c r="G291" s="2903">
        <f t="shared" si="90"/>
        <v>15750</v>
      </c>
      <c r="H291" s="2903">
        <f t="shared" si="91"/>
        <v>0</v>
      </c>
      <c r="I291" s="2905">
        <f t="shared" si="92"/>
        <v>9975</v>
      </c>
      <c r="J291" s="1096">
        <v>3052</v>
      </c>
      <c r="K291" s="2479">
        <f t="shared" si="100"/>
        <v>125009.92</v>
      </c>
      <c r="L291" s="398">
        <f t="shared" si="93"/>
        <v>3150</v>
      </c>
      <c r="M291" s="1095">
        <f t="shared" si="94"/>
        <v>16177</v>
      </c>
      <c r="N291" s="2906">
        <f t="shared" si="95"/>
        <v>5.0915761052046967E-4</v>
      </c>
      <c r="O291" s="2907">
        <f t="shared" si="101"/>
        <v>9.0976033196055487E-6</v>
      </c>
      <c r="P291" s="2908">
        <f t="shared" si="102"/>
        <v>52500</v>
      </c>
      <c r="Q291" s="1095">
        <f t="shared" si="103"/>
        <v>14332.5</v>
      </c>
      <c r="R291" s="2909">
        <f t="shared" si="104"/>
        <v>66832.5</v>
      </c>
      <c r="S291" s="398">
        <f t="shared" si="105"/>
        <v>0</v>
      </c>
      <c r="T291" s="1095">
        <f t="shared" si="106"/>
        <v>0</v>
      </c>
      <c r="U291" s="398">
        <f t="shared" si="107"/>
        <v>0</v>
      </c>
      <c r="V291" s="2913">
        <v>0</v>
      </c>
      <c r="W291" s="1095">
        <f t="shared" si="96"/>
        <v>16236.640000000001</v>
      </c>
      <c r="X291" s="1095">
        <f t="shared" si="97"/>
        <v>3150</v>
      </c>
      <c r="Y291" s="2909">
        <f t="shared" si="108"/>
        <v>19386.64</v>
      </c>
      <c r="Z291" s="2913">
        <v>0</v>
      </c>
      <c r="AA291" s="1095">
        <f t="shared" si="98"/>
        <v>8759.24</v>
      </c>
      <c r="AB291" s="1095">
        <f t="shared" si="99"/>
        <v>0</v>
      </c>
      <c r="AC291" s="2909">
        <f t="shared" si="109"/>
        <v>8759.24</v>
      </c>
    </row>
    <row r="292" spans="1:29">
      <c r="A292" s="2899" t="s">
        <v>4366</v>
      </c>
      <c r="B292" s="2900" t="s">
        <v>4075</v>
      </c>
      <c r="C292" s="2901">
        <v>175</v>
      </c>
      <c r="D292" s="2902">
        <f t="shared" si="88"/>
        <v>5.0006000720086412E-4</v>
      </c>
      <c r="E292" s="2903">
        <v>15750</v>
      </c>
      <c r="F292" s="2904">
        <f t="shared" si="89"/>
        <v>5.505764605456384E-4</v>
      </c>
      <c r="G292" s="2903">
        <f t="shared" si="90"/>
        <v>15750</v>
      </c>
      <c r="H292" s="2903">
        <f t="shared" si="91"/>
        <v>0</v>
      </c>
      <c r="I292" s="2905">
        <f t="shared" si="92"/>
        <v>9975</v>
      </c>
      <c r="J292" s="1096">
        <v>3052</v>
      </c>
      <c r="K292" s="2479">
        <f t="shared" si="100"/>
        <v>125009.92</v>
      </c>
      <c r="L292" s="398">
        <f t="shared" si="93"/>
        <v>3150</v>
      </c>
      <c r="M292" s="1095">
        <f t="shared" si="94"/>
        <v>16177</v>
      </c>
      <c r="N292" s="2906">
        <f t="shared" si="95"/>
        <v>5.0915761052046967E-4</v>
      </c>
      <c r="O292" s="2907">
        <f t="shared" si="101"/>
        <v>9.0976033196055487E-6</v>
      </c>
      <c r="P292" s="2908">
        <f t="shared" si="102"/>
        <v>52500</v>
      </c>
      <c r="Q292" s="1095">
        <f t="shared" si="103"/>
        <v>14332.5</v>
      </c>
      <c r="R292" s="2909">
        <f t="shared" si="104"/>
        <v>66832.5</v>
      </c>
      <c r="S292" s="398">
        <f t="shared" si="105"/>
        <v>0</v>
      </c>
      <c r="T292" s="1095">
        <f t="shared" si="106"/>
        <v>0</v>
      </c>
      <c r="U292" s="398">
        <f t="shared" si="107"/>
        <v>0</v>
      </c>
      <c r="V292" s="2913">
        <v>0</v>
      </c>
      <c r="W292" s="1095">
        <f t="shared" si="96"/>
        <v>16236.640000000001</v>
      </c>
      <c r="X292" s="1095">
        <f t="shared" si="97"/>
        <v>3150</v>
      </c>
      <c r="Y292" s="2909">
        <f t="shared" si="108"/>
        <v>19386.64</v>
      </c>
      <c r="Z292" s="2913">
        <v>0</v>
      </c>
      <c r="AA292" s="1095">
        <f t="shared" si="98"/>
        <v>8759.24</v>
      </c>
      <c r="AB292" s="1095">
        <f t="shared" si="99"/>
        <v>0</v>
      </c>
      <c r="AC292" s="2909">
        <f t="shared" si="109"/>
        <v>8759.24</v>
      </c>
    </row>
    <row r="293" spans="1:29">
      <c r="A293" s="2899" t="s">
        <v>4367</v>
      </c>
      <c r="B293" s="2900" t="s">
        <v>4125</v>
      </c>
      <c r="C293" s="2901">
        <v>125</v>
      </c>
      <c r="D293" s="2902">
        <f t="shared" si="88"/>
        <v>3.5718571942918863E-4</v>
      </c>
      <c r="E293" s="2903">
        <v>11250</v>
      </c>
      <c r="F293" s="2904">
        <f t="shared" si="89"/>
        <v>3.9326890038974172E-4</v>
      </c>
      <c r="G293" s="2903">
        <f t="shared" si="90"/>
        <v>11250</v>
      </c>
      <c r="H293" s="2903">
        <f t="shared" si="91"/>
        <v>0</v>
      </c>
      <c r="I293" s="2905">
        <f t="shared" si="92"/>
        <v>7125</v>
      </c>
      <c r="J293" s="1096">
        <v>2441</v>
      </c>
      <c r="K293" s="2479">
        <f t="shared" si="100"/>
        <v>99983.360000000001</v>
      </c>
      <c r="L293" s="398">
        <f t="shared" si="93"/>
        <v>2250</v>
      </c>
      <c r="M293" s="1095">
        <f t="shared" si="94"/>
        <v>11816</v>
      </c>
      <c r="N293" s="2906">
        <f t="shared" si="95"/>
        <v>3.7189876527847374E-4</v>
      </c>
      <c r="O293" s="2907">
        <f t="shared" si="101"/>
        <v>1.4713045849285109E-5</v>
      </c>
      <c r="P293" s="2908">
        <f t="shared" si="102"/>
        <v>37500</v>
      </c>
      <c r="Q293" s="1095">
        <f t="shared" si="103"/>
        <v>10237.5</v>
      </c>
      <c r="R293" s="2909">
        <f t="shared" si="104"/>
        <v>47737.5</v>
      </c>
      <c r="S293" s="398">
        <f t="shared" si="105"/>
        <v>0</v>
      </c>
      <c r="T293" s="1095">
        <f t="shared" si="106"/>
        <v>0</v>
      </c>
      <c r="U293" s="398">
        <f t="shared" si="107"/>
        <v>0</v>
      </c>
      <c r="V293" s="2913">
        <v>0</v>
      </c>
      <c r="W293" s="1095">
        <f t="shared" si="96"/>
        <v>12986.12</v>
      </c>
      <c r="X293" s="1095">
        <f t="shared" si="97"/>
        <v>2250</v>
      </c>
      <c r="Y293" s="2909">
        <f t="shared" si="108"/>
        <v>15236.12</v>
      </c>
      <c r="Z293" s="2913">
        <v>0</v>
      </c>
      <c r="AA293" s="1095">
        <f t="shared" si="98"/>
        <v>7005.67</v>
      </c>
      <c r="AB293" s="1095">
        <f t="shared" si="99"/>
        <v>0</v>
      </c>
      <c r="AC293" s="2909">
        <f t="shared" si="109"/>
        <v>7005.67</v>
      </c>
    </row>
    <row r="294" spans="1:29">
      <c r="A294" s="2899" t="s">
        <v>4368</v>
      </c>
      <c r="B294" s="2900" t="s">
        <v>4075</v>
      </c>
      <c r="C294" s="2901">
        <v>235</v>
      </c>
      <c r="D294" s="2902">
        <f t="shared" si="88"/>
        <v>6.7150915252687463E-4</v>
      </c>
      <c r="E294" s="2903">
        <v>21150</v>
      </c>
      <c r="F294" s="2904">
        <f t="shared" si="89"/>
        <v>7.3934553273271447E-4</v>
      </c>
      <c r="G294" s="2903">
        <f t="shared" si="90"/>
        <v>21150</v>
      </c>
      <c r="H294" s="2903">
        <f t="shared" si="91"/>
        <v>0</v>
      </c>
      <c r="I294" s="2905">
        <f t="shared" si="92"/>
        <v>13395</v>
      </c>
      <c r="J294" s="1096">
        <v>4098</v>
      </c>
      <c r="K294" s="2479">
        <f t="shared" si="100"/>
        <v>167854.08000000002</v>
      </c>
      <c r="L294" s="398">
        <f t="shared" si="93"/>
        <v>4230</v>
      </c>
      <c r="M294" s="1095">
        <f t="shared" si="94"/>
        <v>21723</v>
      </c>
      <c r="N294" s="2906">
        <f t="shared" si="95"/>
        <v>6.8371334446041686E-4</v>
      </c>
      <c r="O294" s="2907">
        <f t="shared" si="101"/>
        <v>1.2204191933542228E-5</v>
      </c>
      <c r="P294" s="2908">
        <f t="shared" si="102"/>
        <v>70500</v>
      </c>
      <c r="Q294" s="1095">
        <f t="shared" si="103"/>
        <v>19246.5</v>
      </c>
      <c r="R294" s="2909">
        <f t="shared" si="104"/>
        <v>89746.5</v>
      </c>
      <c r="S294" s="398">
        <f t="shared" si="105"/>
        <v>0</v>
      </c>
      <c r="T294" s="1095">
        <f t="shared" si="106"/>
        <v>0</v>
      </c>
      <c r="U294" s="398">
        <f t="shared" si="107"/>
        <v>0</v>
      </c>
      <c r="V294" s="2913">
        <v>0</v>
      </c>
      <c r="W294" s="1095">
        <f t="shared" si="96"/>
        <v>21801.360000000001</v>
      </c>
      <c r="X294" s="1095">
        <f t="shared" si="97"/>
        <v>4230</v>
      </c>
      <c r="Y294" s="2909">
        <f t="shared" si="108"/>
        <v>26031.360000000001</v>
      </c>
      <c r="Z294" s="2913">
        <v>0</v>
      </c>
      <c r="AA294" s="1095">
        <f t="shared" si="98"/>
        <v>11761.26</v>
      </c>
      <c r="AB294" s="1095">
        <f t="shared" si="99"/>
        <v>0</v>
      </c>
      <c r="AC294" s="2909">
        <f t="shared" si="109"/>
        <v>11761.26</v>
      </c>
    </row>
    <row r="295" spans="1:29">
      <c r="A295" s="2899" t="s">
        <v>4369</v>
      </c>
      <c r="B295" s="2900" t="s">
        <v>4075</v>
      </c>
      <c r="C295" s="2901">
        <v>160</v>
      </c>
      <c r="D295" s="2902">
        <f t="shared" si="88"/>
        <v>4.5719772086936144E-4</v>
      </c>
      <c r="E295" s="2903">
        <v>14400</v>
      </c>
      <c r="F295" s="2904">
        <f t="shared" si="89"/>
        <v>5.0338419249886944E-4</v>
      </c>
      <c r="G295" s="2903">
        <f t="shared" si="90"/>
        <v>14400</v>
      </c>
      <c r="H295" s="2903">
        <f t="shared" si="91"/>
        <v>0</v>
      </c>
      <c r="I295" s="2905">
        <f t="shared" si="92"/>
        <v>9120</v>
      </c>
      <c r="J295" s="1096">
        <v>3662</v>
      </c>
      <c r="K295" s="2479">
        <f t="shared" si="100"/>
        <v>149995.51999999999</v>
      </c>
      <c r="L295" s="398">
        <f t="shared" si="93"/>
        <v>2880</v>
      </c>
      <c r="M295" s="1095">
        <f t="shared" si="94"/>
        <v>15662</v>
      </c>
      <c r="N295" s="2906">
        <f t="shared" si="95"/>
        <v>4.9294841416650773E-4</v>
      </c>
      <c r="O295" s="2907">
        <f t="shared" si="101"/>
        <v>3.5750693297146284E-5</v>
      </c>
      <c r="P295" s="2908">
        <f t="shared" si="102"/>
        <v>48000</v>
      </c>
      <c r="Q295" s="1095">
        <f t="shared" si="103"/>
        <v>13104</v>
      </c>
      <c r="R295" s="2909">
        <f t="shared" si="104"/>
        <v>61104</v>
      </c>
      <c r="S295" s="398">
        <f t="shared" si="105"/>
        <v>0</v>
      </c>
      <c r="T295" s="1095">
        <f t="shared" si="106"/>
        <v>0</v>
      </c>
      <c r="U295" s="398">
        <f t="shared" si="107"/>
        <v>0</v>
      </c>
      <c r="V295" s="2913">
        <v>0</v>
      </c>
      <c r="W295" s="1095">
        <f t="shared" si="96"/>
        <v>19481.84</v>
      </c>
      <c r="X295" s="1095">
        <f t="shared" si="97"/>
        <v>2880</v>
      </c>
      <c r="Y295" s="2909">
        <f t="shared" si="108"/>
        <v>22361.84</v>
      </c>
      <c r="Z295" s="2913">
        <v>0</v>
      </c>
      <c r="AA295" s="1095">
        <f t="shared" si="98"/>
        <v>10509.94</v>
      </c>
      <c r="AB295" s="1095">
        <f t="shared" si="99"/>
        <v>0</v>
      </c>
      <c r="AC295" s="2909">
        <f t="shared" si="109"/>
        <v>10509.94</v>
      </c>
    </row>
    <row r="296" spans="1:29">
      <c r="A296" s="2899" t="s">
        <v>4370</v>
      </c>
      <c r="B296" s="2900" t="s">
        <v>4077</v>
      </c>
      <c r="C296" s="2901">
        <v>570</v>
      </c>
      <c r="D296" s="2902">
        <f t="shared" si="88"/>
        <v>1.6287668805971003E-3</v>
      </c>
      <c r="E296" s="2903">
        <v>72800</v>
      </c>
      <c r="F296" s="2904">
        <f t="shared" si="89"/>
        <v>2.5448867509665065E-3</v>
      </c>
      <c r="G296" s="2903">
        <f t="shared" si="90"/>
        <v>51300</v>
      </c>
      <c r="H296" s="2903">
        <f t="shared" si="91"/>
        <v>21500</v>
      </c>
      <c r="I296" s="2905">
        <f t="shared" si="92"/>
        <v>32490</v>
      </c>
      <c r="J296" s="1096">
        <v>19882</v>
      </c>
      <c r="K296" s="2479">
        <f t="shared" si="100"/>
        <v>814366.71999999997</v>
      </c>
      <c r="L296" s="398">
        <f t="shared" si="93"/>
        <v>14560</v>
      </c>
      <c r="M296" s="1095">
        <f t="shared" si="94"/>
        <v>66932</v>
      </c>
      <c r="N296" s="2906">
        <f t="shared" si="95"/>
        <v>2.106628990996852E-3</v>
      </c>
      <c r="O296" s="2907">
        <f t="shared" si="101"/>
        <v>4.7786211039975175E-4</v>
      </c>
      <c r="P296" s="2908">
        <f t="shared" si="102"/>
        <v>171000</v>
      </c>
      <c r="Q296" s="1095">
        <f t="shared" si="103"/>
        <v>66248</v>
      </c>
      <c r="R296" s="2909">
        <f t="shared" si="104"/>
        <v>237248</v>
      </c>
      <c r="S296" s="398">
        <f t="shared" si="105"/>
        <v>0</v>
      </c>
      <c r="T296" s="1095">
        <f t="shared" si="106"/>
        <v>0</v>
      </c>
      <c r="U296" s="398">
        <f t="shared" si="107"/>
        <v>0</v>
      </c>
      <c r="V296" s="2913">
        <v>0</v>
      </c>
      <c r="W296" s="1095">
        <f t="shared" si="96"/>
        <v>105772.24</v>
      </c>
      <c r="X296" s="1095">
        <f t="shared" si="97"/>
        <v>14560</v>
      </c>
      <c r="Y296" s="2909">
        <f t="shared" si="108"/>
        <v>120332.24</v>
      </c>
      <c r="Z296" s="2913">
        <v>0</v>
      </c>
      <c r="AA296" s="1095">
        <f t="shared" si="98"/>
        <v>57061.340000000004</v>
      </c>
      <c r="AB296" s="1095">
        <f t="shared" si="99"/>
        <v>0</v>
      </c>
      <c r="AC296" s="2909">
        <f t="shared" si="109"/>
        <v>57061.340000000004</v>
      </c>
    </row>
    <row r="297" spans="1:29">
      <c r="A297" s="2899" t="s">
        <v>4371</v>
      </c>
      <c r="B297" s="2900" t="s">
        <v>4097</v>
      </c>
      <c r="C297" s="2901">
        <v>335</v>
      </c>
      <c r="D297" s="2902">
        <f t="shared" si="88"/>
        <v>9.5725772807022562E-4</v>
      </c>
      <c r="E297" s="2903">
        <v>30150</v>
      </c>
      <c r="F297" s="2904">
        <f t="shared" si="89"/>
        <v>1.0539606530445078E-3</v>
      </c>
      <c r="G297" s="2903">
        <f t="shared" si="90"/>
        <v>30150</v>
      </c>
      <c r="H297" s="2903">
        <f t="shared" si="91"/>
        <v>0</v>
      </c>
      <c r="I297" s="2905">
        <f t="shared" si="92"/>
        <v>19095</v>
      </c>
      <c r="J297" s="1096">
        <v>5842</v>
      </c>
      <c r="K297" s="2479">
        <f t="shared" si="100"/>
        <v>239288.32000000001</v>
      </c>
      <c r="L297" s="398">
        <f t="shared" si="93"/>
        <v>6030</v>
      </c>
      <c r="M297" s="1095">
        <f t="shared" si="94"/>
        <v>30967</v>
      </c>
      <c r="N297" s="2906">
        <f t="shared" si="95"/>
        <v>9.7466055047211377E-4</v>
      </c>
      <c r="O297" s="2907">
        <f t="shared" si="101"/>
        <v>1.7402822401888147E-5</v>
      </c>
      <c r="P297" s="2908">
        <f t="shared" si="102"/>
        <v>100500</v>
      </c>
      <c r="Q297" s="1095">
        <f t="shared" si="103"/>
        <v>27436.5</v>
      </c>
      <c r="R297" s="2909">
        <f t="shared" si="104"/>
        <v>127936.5</v>
      </c>
      <c r="S297" s="398">
        <f t="shared" si="105"/>
        <v>0</v>
      </c>
      <c r="T297" s="1095">
        <f t="shared" si="106"/>
        <v>0</v>
      </c>
      <c r="U297" s="398">
        <f t="shared" si="107"/>
        <v>0</v>
      </c>
      <c r="V297" s="2913">
        <v>0</v>
      </c>
      <c r="W297" s="1095">
        <f t="shared" si="96"/>
        <v>31079.440000000002</v>
      </c>
      <c r="X297" s="1095">
        <f t="shared" si="97"/>
        <v>6030</v>
      </c>
      <c r="Y297" s="2909">
        <f t="shared" si="108"/>
        <v>37109.440000000002</v>
      </c>
      <c r="Z297" s="2913">
        <v>0</v>
      </c>
      <c r="AA297" s="1095">
        <f t="shared" si="98"/>
        <v>16766.54</v>
      </c>
      <c r="AB297" s="1095">
        <f t="shared" si="99"/>
        <v>0</v>
      </c>
      <c r="AC297" s="2909">
        <f t="shared" si="109"/>
        <v>16766.54</v>
      </c>
    </row>
    <row r="298" spans="1:29">
      <c r="A298" s="2899" t="s">
        <v>4372</v>
      </c>
      <c r="B298" s="2900" t="s">
        <v>4106</v>
      </c>
      <c r="C298" s="2901">
        <v>400</v>
      </c>
      <c r="D298" s="2902">
        <f t="shared" si="88"/>
        <v>1.1429943021734037E-3</v>
      </c>
      <c r="E298" s="2903">
        <v>36000</v>
      </c>
      <c r="F298" s="2904">
        <f t="shared" si="89"/>
        <v>1.2584604812471735E-3</v>
      </c>
      <c r="G298" s="2903">
        <f t="shared" si="90"/>
        <v>36000</v>
      </c>
      <c r="H298" s="2903">
        <f t="shared" si="91"/>
        <v>0</v>
      </c>
      <c r="I298" s="2905">
        <f t="shared" si="92"/>
        <v>22800</v>
      </c>
      <c r="J298" s="1096">
        <v>6976</v>
      </c>
      <c r="K298" s="2479">
        <f t="shared" si="100"/>
        <v>285736.96000000002</v>
      </c>
      <c r="L298" s="398">
        <f t="shared" si="93"/>
        <v>7200</v>
      </c>
      <c r="M298" s="1095">
        <f t="shared" si="94"/>
        <v>36976</v>
      </c>
      <c r="N298" s="2906">
        <f t="shared" si="95"/>
        <v>1.1637888240467879E-3</v>
      </c>
      <c r="O298" s="2907">
        <f t="shared" si="101"/>
        <v>2.0794521873384111E-5</v>
      </c>
      <c r="P298" s="2908">
        <f t="shared" si="102"/>
        <v>120000</v>
      </c>
      <c r="Q298" s="1095">
        <f t="shared" si="103"/>
        <v>32760</v>
      </c>
      <c r="R298" s="2909">
        <f t="shared" si="104"/>
        <v>152760</v>
      </c>
      <c r="S298" s="398">
        <f t="shared" si="105"/>
        <v>0</v>
      </c>
      <c r="T298" s="1095">
        <f t="shared" si="106"/>
        <v>0</v>
      </c>
      <c r="U298" s="398">
        <f t="shared" si="107"/>
        <v>0</v>
      </c>
      <c r="V298" s="2913">
        <v>0</v>
      </c>
      <c r="W298" s="1095">
        <f t="shared" si="96"/>
        <v>37112.32</v>
      </c>
      <c r="X298" s="1095">
        <f t="shared" si="97"/>
        <v>7200</v>
      </c>
      <c r="Y298" s="2909">
        <f t="shared" si="108"/>
        <v>44312.32</v>
      </c>
      <c r="Z298" s="2913">
        <v>0</v>
      </c>
      <c r="AA298" s="1095">
        <f t="shared" si="98"/>
        <v>20021.12</v>
      </c>
      <c r="AB298" s="1095">
        <f t="shared" si="99"/>
        <v>0</v>
      </c>
      <c r="AC298" s="2909">
        <f t="shared" si="109"/>
        <v>20021.12</v>
      </c>
    </row>
    <row r="299" spans="1:29">
      <c r="A299" s="2899" t="s">
        <v>4373</v>
      </c>
      <c r="B299" s="2900" t="s">
        <v>4092</v>
      </c>
      <c r="C299" s="2901">
        <v>250</v>
      </c>
      <c r="D299" s="2902">
        <f t="shared" si="88"/>
        <v>7.1437143885837726E-4</v>
      </c>
      <c r="E299" s="2903">
        <v>22500</v>
      </c>
      <c r="F299" s="2904">
        <f t="shared" si="89"/>
        <v>7.8653780077948343E-4</v>
      </c>
      <c r="G299" s="2903">
        <f t="shared" si="90"/>
        <v>22500</v>
      </c>
      <c r="H299" s="2903">
        <f t="shared" si="91"/>
        <v>0</v>
      </c>
      <c r="I299" s="2905">
        <f t="shared" si="92"/>
        <v>14250</v>
      </c>
      <c r="J299" s="1096">
        <v>8720</v>
      </c>
      <c r="K299" s="2479">
        <f t="shared" si="100"/>
        <v>357171.20000000001</v>
      </c>
      <c r="L299" s="398">
        <f t="shared" si="93"/>
        <v>4500</v>
      </c>
      <c r="M299" s="1095">
        <f t="shared" si="94"/>
        <v>27470</v>
      </c>
      <c r="N299" s="2906">
        <f t="shared" si="95"/>
        <v>8.6459538610356081E-4</v>
      </c>
      <c r="O299" s="2907">
        <f t="shared" si="101"/>
        <v>1.5022394724518355E-4</v>
      </c>
      <c r="P299" s="2908">
        <f t="shared" si="102"/>
        <v>75000</v>
      </c>
      <c r="Q299" s="1095">
        <f t="shared" si="103"/>
        <v>20475</v>
      </c>
      <c r="R299" s="2909">
        <f t="shared" si="104"/>
        <v>95475</v>
      </c>
      <c r="S299" s="398">
        <f t="shared" si="105"/>
        <v>0</v>
      </c>
      <c r="T299" s="1095">
        <f t="shared" si="106"/>
        <v>0</v>
      </c>
      <c r="U299" s="398">
        <f t="shared" si="107"/>
        <v>0</v>
      </c>
      <c r="V299" s="2913">
        <v>0</v>
      </c>
      <c r="W299" s="1095">
        <f t="shared" si="96"/>
        <v>46390.400000000001</v>
      </c>
      <c r="X299" s="1095">
        <f t="shared" si="97"/>
        <v>4500</v>
      </c>
      <c r="Y299" s="2909">
        <f t="shared" si="108"/>
        <v>50890.400000000001</v>
      </c>
      <c r="Z299" s="2913">
        <v>0</v>
      </c>
      <c r="AA299" s="1095">
        <f t="shared" si="98"/>
        <v>25026.400000000001</v>
      </c>
      <c r="AB299" s="1095">
        <f t="shared" si="99"/>
        <v>0</v>
      </c>
      <c r="AC299" s="2909">
        <f t="shared" si="109"/>
        <v>25026.400000000001</v>
      </c>
    </row>
    <row r="300" spans="1:29">
      <c r="A300" s="2899" t="s">
        <v>4374</v>
      </c>
      <c r="B300" s="2900" t="s">
        <v>4077</v>
      </c>
      <c r="C300" s="2901">
        <v>290</v>
      </c>
      <c r="D300" s="2902">
        <f t="shared" si="88"/>
        <v>8.2867086907571763E-4</v>
      </c>
      <c r="E300" s="2903">
        <v>26100</v>
      </c>
      <c r="F300" s="2904">
        <f t="shared" si="89"/>
        <v>9.1238384890420074E-4</v>
      </c>
      <c r="G300" s="2903">
        <f t="shared" si="90"/>
        <v>26100</v>
      </c>
      <c r="H300" s="2903">
        <f t="shared" si="91"/>
        <v>0</v>
      </c>
      <c r="I300" s="2905">
        <f t="shared" si="92"/>
        <v>16530</v>
      </c>
      <c r="J300" s="1096">
        <v>10114</v>
      </c>
      <c r="K300" s="2479">
        <f t="shared" si="100"/>
        <v>414269.44</v>
      </c>
      <c r="L300" s="398">
        <f t="shared" si="93"/>
        <v>5220</v>
      </c>
      <c r="M300" s="1095">
        <f t="shared" si="94"/>
        <v>31864</v>
      </c>
      <c r="N300" s="2906">
        <f t="shared" si="95"/>
        <v>1.0028928788789174E-3</v>
      </c>
      <c r="O300" s="2907">
        <f t="shared" si="101"/>
        <v>1.7422200980319973E-4</v>
      </c>
      <c r="P300" s="2908">
        <f t="shared" si="102"/>
        <v>87000</v>
      </c>
      <c r="Q300" s="1095">
        <f t="shared" si="103"/>
        <v>23751</v>
      </c>
      <c r="R300" s="2909">
        <f t="shared" si="104"/>
        <v>110751</v>
      </c>
      <c r="S300" s="398">
        <f t="shared" si="105"/>
        <v>0</v>
      </c>
      <c r="T300" s="1095">
        <f t="shared" si="106"/>
        <v>0</v>
      </c>
      <c r="U300" s="398">
        <f t="shared" si="107"/>
        <v>0</v>
      </c>
      <c r="V300" s="2913">
        <v>0</v>
      </c>
      <c r="W300" s="1095">
        <f t="shared" si="96"/>
        <v>53806.48</v>
      </c>
      <c r="X300" s="1095">
        <f t="shared" si="97"/>
        <v>5220</v>
      </c>
      <c r="Y300" s="2909">
        <f t="shared" si="108"/>
        <v>59026.48</v>
      </c>
      <c r="Z300" s="2913">
        <v>0</v>
      </c>
      <c r="AA300" s="1095">
        <f t="shared" si="98"/>
        <v>29027.18</v>
      </c>
      <c r="AB300" s="1095">
        <f t="shared" si="99"/>
        <v>0</v>
      </c>
      <c r="AC300" s="2909">
        <f t="shared" si="109"/>
        <v>29027.18</v>
      </c>
    </row>
    <row r="301" spans="1:29">
      <c r="A301" s="2899" t="s">
        <v>4375</v>
      </c>
      <c r="B301" s="2900" t="s">
        <v>4125</v>
      </c>
      <c r="C301" s="2901">
        <v>165</v>
      </c>
      <c r="D301" s="2902">
        <f t="shared" si="88"/>
        <v>4.71485149646529E-4</v>
      </c>
      <c r="E301" s="2903">
        <v>14850</v>
      </c>
      <c r="F301" s="2904">
        <f t="shared" si="89"/>
        <v>5.1911494851445902E-4</v>
      </c>
      <c r="G301" s="2903">
        <f t="shared" si="90"/>
        <v>14850</v>
      </c>
      <c r="H301" s="2903">
        <f t="shared" si="91"/>
        <v>0</v>
      </c>
      <c r="I301" s="2905">
        <f t="shared" si="92"/>
        <v>9405</v>
      </c>
      <c r="J301" s="1096">
        <v>5754</v>
      </c>
      <c r="K301" s="2479">
        <f t="shared" si="100"/>
        <v>235683.84</v>
      </c>
      <c r="L301" s="398">
        <f t="shared" si="93"/>
        <v>2970</v>
      </c>
      <c r="M301" s="1095">
        <f t="shared" si="94"/>
        <v>18129</v>
      </c>
      <c r="N301" s="2906">
        <f t="shared" si="95"/>
        <v>5.7059518582713701E-4</v>
      </c>
      <c r="O301" s="2907">
        <f t="shared" si="101"/>
        <v>9.9110036180608007E-5</v>
      </c>
      <c r="P301" s="2908">
        <f t="shared" si="102"/>
        <v>49500</v>
      </c>
      <c r="Q301" s="1095">
        <f t="shared" si="103"/>
        <v>13513.5</v>
      </c>
      <c r="R301" s="2909">
        <f t="shared" si="104"/>
        <v>63013.5</v>
      </c>
      <c r="S301" s="398">
        <f t="shared" si="105"/>
        <v>0</v>
      </c>
      <c r="T301" s="1095">
        <f t="shared" si="106"/>
        <v>0</v>
      </c>
      <c r="U301" s="398">
        <f t="shared" si="107"/>
        <v>0</v>
      </c>
      <c r="V301" s="2913">
        <v>0</v>
      </c>
      <c r="W301" s="1095">
        <f t="shared" si="96"/>
        <v>30611.280000000002</v>
      </c>
      <c r="X301" s="1095">
        <f t="shared" si="97"/>
        <v>2970</v>
      </c>
      <c r="Y301" s="2909">
        <f t="shared" si="108"/>
        <v>33581.279999999999</v>
      </c>
      <c r="Z301" s="2913">
        <v>0</v>
      </c>
      <c r="AA301" s="1095">
        <f t="shared" si="98"/>
        <v>16513.98</v>
      </c>
      <c r="AB301" s="1095">
        <f t="shared" si="99"/>
        <v>0</v>
      </c>
      <c r="AC301" s="2909">
        <f t="shared" si="109"/>
        <v>16513.98</v>
      </c>
    </row>
    <row r="302" spans="1:29">
      <c r="A302" s="2899" t="s">
        <v>4376</v>
      </c>
      <c r="B302" s="2900" t="s">
        <v>4075</v>
      </c>
      <c r="C302" s="2901">
        <v>100</v>
      </c>
      <c r="D302" s="2902">
        <f t="shared" si="88"/>
        <v>2.8574857554335094E-4</v>
      </c>
      <c r="E302" s="2903">
        <v>9000</v>
      </c>
      <c r="F302" s="2904">
        <f t="shared" si="89"/>
        <v>3.1461512031179337E-4</v>
      </c>
      <c r="G302" s="2903">
        <f t="shared" si="90"/>
        <v>9000</v>
      </c>
      <c r="H302" s="2903">
        <f t="shared" si="91"/>
        <v>0</v>
      </c>
      <c r="I302" s="2905">
        <f t="shared" si="92"/>
        <v>5700</v>
      </c>
      <c r="J302" s="1096">
        <v>3488</v>
      </c>
      <c r="K302" s="2479">
        <f t="shared" si="100"/>
        <v>142868.48000000001</v>
      </c>
      <c r="L302" s="398">
        <f t="shared" si="93"/>
        <v>1800</v>
      </c>
      <c r="M302" s="1095">
        <f t="shared" si="94"/>
        <v>10988</v>
      </c>
      <c r="N302" s="2906">
        <f t="shared" si="95"/>
        <v>3.4583815444142428E-4</v>
      </c>
      <c r="O302" s="2907">
        <f t="shared" si="101"/>
        <v>6.0089578898073345E-5</v>
      </c>
      <c r="P302" s="2908">
        <f t="shared" si="102"/>
        <v>30000</v>
      </c>
      <c r="Q302" s="1095">
        <f t="shared" si="103"/>
        <v>8190</v>
      </c>
      <c r="R302" s="2909">
        <f t="shared" si="104"/>
        <v>38190</v>
      </c>
      <c r="S302" s="398">
        <f t="shared" si="105"/>
        <v>0</v>
      </c>
      <c r="T302" s="1095">
        <f t="shared" si="106"/>
        <v>0</v>
      </c>
      <c r="U302" s="398">
        <f t="shared" si="107"/>
        <v>0</v>
      </c>
      <c r="V302" s="2913">
        <v>0</v>
      </c>
      <c r="W302" s="1095">
        <f t="shared" si="96"/>
        <v>18556.16</v>
      </c>
      <c r="X302" s="1095">
        <f t="shared" si="97"/>
        <v>1800</v>
      </c>
      <c r="Y302" s="2909">
        <f t="shared" si="108"/>
        <v>20356.16</v>
      </c>
      <c r="Z302" s="2913">
        <v>0</v>
      </c>
      <c r="AA302" s="1095">
        <f t="shared" si="98"/>
        <v>10010.56</v>
      </c>
      <c r="AB302" s="1095">
        <f t="shared" si="99"/>
        <v>0</v>
      </c>
      <c r="AC302" s="2909">
        <f t="shared" si="109"/>
        <v>10010.56</v>
      </c>
    </row>
    <row r="303" spans="1:29">
      <c r="A303" s="2899" t="s">
        <v>4377</v>
      </c>
      <c r="B303" s="2900" t="s">
        <v>4071</v>
      </c>
      <c r="C303" s="2901">
        <v>175</v>
      </c>
      <c r="D303" s="2902">
        <f t="shared" si="88"/>
        <v>5.0006000720086412E-4</v>
      </c>
      <c r="E303" s="2903">
        <v>15750</v>
      </c>
      <c r="F303" s="2904">
        <f t="shared" si="89"/>
        <v>5.505764605456384E-4</v>
      </c>
      <c r="G303" s="2903">
        <f t="shared" si="90"/>
        <v>15750</v>
      </c>
      <c r="H303" s="2903">
        <f t="shared" si="91"/>
        <v>0</v>
      </c>
      <c r="I303" s="2905">
        <f t="shared" si="92"/>
        <v>9975</v>
      </c>
      <c r="J303" s="1096">
        <v>3052</v>
      </c>
      <c r="K303" s="2479">
        <f t="shared" si="100"/>
        <v>125009.92</v>
      </c>
      <c r="L303" s="398">
        <f t="shared" si="93"/>
        <v>3150</v>
      </c>
      <c r="M303" s="1095">
        <f t="shared" si="94"/>
        <v>16177</v>
      </c>
      <c r="N303" s="2906">
        <f t="shared" si="95"/>
        <v>5.0915761052046967E-4</v>
      </c>
      <c r="O303" s="2907">
        <f t="shared" si="101"/>
        <v>9.0976033196055487E-6</v>
      </c>
      <c r="P303" s="2908">
        <f t="shared" si="102"/>
        <v>52500</v>
      </c>
      <c r="Q303" s="1095">
        <f t="shared" si="103"/>
        <v>14332.5</v>
      </c>
      <c r="R303" s="2909">
        <f t="shared" si="104"/>
        <v>66832.5</v>
      </c>
      <c r="S303" s="398">
        <f t="shared" si="105"/>
        <v>0</v>
      </c>
      <c r="T303" s="1095">
        <f t="shared" si="106"/>
        <v>0</v>
      </c>
      <c r="U303" s="398">
        <f t="shared" si="107"/>
        <v>0</v>
      </c>
      <c r="V303" s="2913">
        <v>0</v>
      </c>
      <c r="W303" s="1095">
        <f t="shared" si="96"/>
        <v>16236.640000000001</v>
      </c>
      <c r="X303" s="1095">
        <f t="shared" si="97"/>
        <v>3150</v>
      </c>
      <c r="Y303" s="2909">
        <f t="shared" si="108"/>
        <v>19386.64</v>
      </c>
      <c r="Z303" s="2913">
        <v>0</v>
      </c>
      <c r="AA303" s="1095">
        <f t="shared" si="98"/>
        <v>8759.24</v>
      </c>
      <c r="AB303" s="1095">
        <f t="shared" si="99"/>
        <v>0</v>
      </c>
      <c r="AC303" s="2909">
        <f t="shared" si="109"/>
        <v>8759.24</v>
      </c>
    </row>
    <row r="304" spans="1:29">
      <c r="A304" s="2899" t="s">
        <v>4378</v>
      </c>
      <c r="B304" s="2900" t="s">
        <v>4089</v>
      </c>
      <c r="C304" s="2901">
        <v>250</v>
      </c>
      <c r="D304" s="2902">
        <f t="shared" si="88"/>
        <v>7.1437143885837726E-4</v>
      </c>
      <c r="E304" s="2903">
        <v>22500</v>
      </c>
      <c r="F304" s="2904">
        <f t="shared" si="89"/>
        <v>7.8653780077948343E-4</v>
      </c>
      <c r="G304" s="2903">
        <f t="shared" si="90"/>
        <v>22500</v>
      </c>
      <c r="H304" s="2903">
        <f t="shared" si="91"/>
        <v>0</v>
      </c>
      <c r="I304" s="2905">
        <f t="shared" si="92"/>
        <v>14250</v>
      </c>
      <c r="J304" s="1096">
        <v>4360</v>
      </c>
      <c r="K304" s="2479">
        <f t="shared" si="100"/>
        <v>178585.60000000001</v>
      </c>
      <c r="L304" s="398">
        <f t="shared" si="93"/>
        <v>4500</v>
      </c>
      <c r="M304" s="1095">
        <f t="shared" si="94"/>
        <v>23110</v>
      </c>
      <c r="N304" s="2906">
        <f t="shared" si="95"/>
        <v>7.2736801502924244E-4</v>
      </c>
      <c r="O304" s="2907">
        <f t="shared" si="101"/>
        <v>1.2996576170865178E-5</v>
      </c>
      <c r="P304" s="2908">
        <f t="shared" si="102"/>
        <v>75000</v>
      </c>
      <c r="Q304" s="1095">
        <f t="shared" si="103"/>
        <v>20475</v>
      </c>
      <c r="R304" s="2909">
        <f t="shared" si="104"/>
        <v>95475</v>
      </c>
      <c r="S304" s="398">
        <f t="shared" si="105"/>
        <v>0</v>
      </c>
      <c r="T304" s="1095">
        <f t="shared" si="106"/>
        <v>0</v>
      </c>
      <c r="U304" s="398">
        <f t="shared" si="107"/>
        <v>0</v>
      </c>
      <c r="V304" s="2913">
        <v>0</v>
      </c>
      <c r="W304" s="1095">
        <f t="shared" si="96"/>
        <v>23195.200000000001</v>
      </c>
      <c r="X304" s="1095">
        <f t="shared" si="97"/>
        <v>4500</v>
      </c>
      <c r="Y304" s="2909">
        <f t="shared" si="108"/>
        <v>27695.200000000001</v>
      </c>
      <c r="Z304" s="2913">
        <v>0</v>
      </c>
      <c r="AA304" s="1095">
        <f t="shared" si="98"/>
        <v>12513.2</v>
      </c>
      <c r="AB304" s="1095">
        <f t="shared" si="99"/>
        <v>0</v>
      </c>
      <c r="AC304" s="2909">
        <f t="shared" si="109"/>
        <v>12513.2</v>
      </c>
    </row>
    <row r="305" spans="1:29">
      <c r="A305" s="2899" t="s">
        <v>4379</v>
      </c>
      <c r="B305" s="2900" t="s">
        <v>4190</v>
      </c>
      <c r="C305" s="2901">
        <v>290</v>
      </c>
      <c r="D305" s="2902">
        <f t="shared" si="88"/>
        <v>8.2867086907571763E-4</v>
      </c>
      <c r="E305" s="2903">
        <v>26100</v>
      </c>
      <c r="F305" s="2904">
        <f t="shared" si="89"/>
        <v>9.1238384890420074E-4</v>
      </c>
      <c r="G305" s="2903">
        <f t="shared" si="90"/>
        <v>26100</v>
      </c>
      <c r="H305" s="2903">
        <f t="shared" si="91"/>
        <v>0</v>
      </c>
      <c r="I305" s="2905">
        <f t="shared" si="92"/>
        <v>16530</v>
      </c>
      <c r="J305" s="1096">
        <v>5057</v>
      </c>
      <c r="K305" s="2479">
        <f t="shared" si="100"/>
        <v>207134.72</v>
      </c>
      <c r="L305" s="398">
        <f t="shared" si="93"/>
        <v>5220</v>
      </c>
      <c r="M305" s="1095">
        <f t="shared" si="94"/>
        <v>26807</v>
      </c>
      <c r="N305" s="2906">
        <f t="shared" si="95"/>
        <v>8.4372801293331465E-4</v>
      </c>
      <c r="O305" s="2907">
        <f t="shared" si="101"/>
        <v>1.505714385759702E-5</v>
      </c>
      <c r="P305" s="2908">
        <f t="shared" si="102"/>
        <v>87000</v>
      </c>
      <c r="Q305" s="1095">
        <f t="shared" si="103"/>
        <v>23751</v>
      </c>
      <c r="R305" s="2909">
        <f t="shared" si="104"/>
        <v>110751</v>
      </c>
      <c r="S305" s="398">
        <f t="shared" si="105"/>
        <v>0</v>
      </c>
      <c r="T305" s="1095">
        <f t="shared" si="106"/>
        <v>0</v>
      </c>
      <c r="U305" s="398">
        <f t="shared" si="107"/>
        <v>0</v>
      </c>
      <c r="V305" s="2913">
        <v>0</v>
      </c>
      <c r="W305" s="1095">
        <f t="shared" si="96"/>
        <v>26903.24</v>
      </c>
      <c r="X305" s="1095">
        <f t="shared" si="97"/>
        <v>5220</v>
      </c>
      <c r="Y305" s="2909">
        <f t="shared" si="108"/>
        <v>32123.24</v>
      </c>
      <c r="Z305" s="2913">
        <v>0</v>
      </c>
      <c r="AA305" s="1095">
        <f t="shared" si="98"/>
        <v>14513.59</v>
      </c>
      <c r="AB305" s="1095">
        <f t="shared" si="99"/>
        <v>0</v>
      </c>
      <c r="AC305" s="2909">
        <f t="shared" si="109"/>
        <v>14513.59</v>
      </c>
    </row>
    <row r="306" spans="1:29">
      <c r="A306" s="2899" t="s">
        <v>4380</v>
      </c>
      <c r="B306" s="2900" t="s">
        <v>4069</v>
      </c>
      <c r="C306" s="2901">
        <v>535</v>
      </c>
      <c r="D306" s="2902">
        <f t="shared" si="88"/>
        <v>1.5287548791569274E-3</v>
      </c>
      <c r="E306" s="2903">
        <v>48150</v>
      </c>
      <c r="F306" s="2904">
        <f t="shared" si="89"/>
        <v>1.6831908936680946E-3</v>
      </c>
      <c r="G306" s="2903">
        <f t="shared" si="90"/>
        <v>48150</v>
      </c>
      <c r="H306" s="2903">
        <f t="shared" si="91"/>
        <v>0</v>
      </c>
      <c r="I306" s="2905">
        <f t="shared" si="92"/>
        <v>30495</v>
      </c>
      <c r="J306" s="1096">
        <v>9330</v>
      </c>
      <c r="K306" s="2479">
        <f t="shared" si="100"/>
        <v>382156.79999999999</v>
      </c>
      <c r="L306" s="398">
        <f t="shared" si="93"/>
        <v>9630</v>
      </c>
      <c r="M306" s="1095">
        <f t="shared" si="94"/>
        <v>49455</v>
      </c>
      <c r="N306" s="2906">
        <f t="shared" si="95"/>
        <v>1.5565549624955077E-3</v>
      </c>
      <c r="O306" s="2907">
        <f t="shared" si="101"/>
        <v>2.7800083338580311E-5</v>
      </c>
      <c r="P306" s="2908">
        <f t="shared" si="102"/>
        <v>160500</v>
      </c>
      <c r="Q306" s="1095">
        <f t="shared" si="103"/>
        <v>43816.5</v>
      </c>
      <c r="R306" s="2909">
        <f t="shared" si="104"/>
        <v>204316.5</v>
      </c>
      <c r="S306" s="398">
        <f t="shared" si="105"/>
        <v>0</v>
      </c>
      <c r="T306" s="1095">
        <f t="shared" si="106"/>
        <v>0</v>
      </c>
      <c r="U306" s="398">
        <f t="shared" si="107"/>
        <v>0</v>
      </c>
      <c r="V306" s="2913">
        <v>0</v>
      </c>
      <c r="W306" s="1095">
        <f t="shared" si="96"/>
        <v>49635.600000000006</v>
      </c>
      <c r="X306" s="1095">
        <f t="shared" si="97"/>
        <v>9630</v>
      </c>
      <c r="Y306" s="2909">
        <f t="shared" si="108"/>
        <v>59265.600000000006</v>
      </c>
      <c r="Z306" s="2913">
        <v>0</v>
      </c>
      <c r="AA306" s="1095">
        <f t="shared" si="98"/>
        <v>26777.100000000002</v>
      </c>
      <c r="AB306" s="1095">
        <f t="shared" si="99"/>
        <v>0</v>
      </c>
      <c r="AC306" s="2909">
        <f t="shared" si="109"/>
        <v>26777.100000000002</v>
      </c>
    </row>
    <row r="307" spans="1:29">
      <c r="A307" s="2899" t="s">
        <v>4381</v>
      </c>
      <c r="B307" s="2900" t="s">
        <v>4073</v>
      </c>
      <c r="C307" s="2901">
        <v>170</v>
      </c>
      <c r="D307" s="2902">
        <f t="shared" si="88"/>
        <v>4.8577257842369656E-4</v>
      </c>
      <c r="E307" s="2903">
        <v>15300</v>
      </c>
      <c r="F307" s="2904">
        <f t="shared" si="89"/>
        <v>5.3484570453004871E-4</v>
      </c>
      <c r="G307" s="2903">
        <f t="shared" si="90"/>
        <v>15300</v>
      </c>
      <c r="H307" s="2903">
        <f t="shared" si="91"/>
        <v>0</v>
      </c>
      <c r="I307" s="2905">
        <f t="shared" si="92"/>
        <v>9690</v>
      </c>
      <c r="J307" s="1096">
        <v>0</v>
      </c>
      <c r="K307" s="2479">
        <f t="shared" si="100"/>
        <v>0</v>
      </c>
      <c r="L307" s="398">
        <f t="shared" si="93"/>
        <v>3060</v>
      </c>
      <c r="M307" s="1095">
        <f t="shared" si="94"/>
        <v>12750</v>
      </c>
      <c r="N307" s="2906">
        <f t="shared" si="95"/>
        <v>4.0129563788934836E-4</v>
      </c>
      <c r="O307" s="2907">
        <f t="shared" si="101"/>
        <v>-8.4476940534348208E-5</v>
      </c>
      <c r="P307" s="2908">
        <f t="shared" si="102"/>
        <v>51000</v>
      </c>
      <c r="Q307" s="1095">
        <f t="shared" si="103"/>
        <v>13923</v>
      </c>
      <c r="R307" s="2909">
        <f t="shared" si="104"/>
        <v>64923</v>
      </c>
      <c r="S307" s="398">
        <f t="shared" si="105"/>
        <v>0</v>
      </c>
      <c r="T307" s="1095">
        <f t="shared" si="106"/>
        <v>0</v>
      </c>
      <c r="U307" s="398">
        <f t="shared" si="107"/>
        <v>0</v>
      </c>
      <c r="V307" s="2913">
        <v>0</v>
      </c>
      <c r="W307" s="1095">
        <f t="shared" si="96"/>
        <v>0</v>
      </c>
      <c r="X307" s="1095">
        <f t="shared" si="97"/>
        <v>3060</v>
      </c>
      <c r="Y307" s="2909">
        <f t="shared" si="108"/>
        <v>3060</v>
      </c>
      <c r="Z307" s="2913">
        <v>0</v>
      </c>
      <c r="AA307" s="1095">
        <f t="shared" si="98"/>
        <v>0</v>
      </c>
      <c r="AB307" s="1095">
        <f t="shared" si="99"/>
        <v>0</v>
      </c>
      <c r="AC307" s="2909">
        <f t="shared" si="109"/>
        <v>0</v>
      </c>
    </row>
    <row r="308" spans="1:29">
      <c r="A308" s="2899" t="s">
        <v>4382</v>
      </c>
      <c r="B308" s="2900" t="s">
        <v>4097</v>
      </c>
      <c r="C308" s="2901">
        <v>105</v>
      </c>
      <c r="D308" s="2902">
        <f t="shared" si="88"/>
        <v>3.0003600432051844E-4</v>
      </c>
      <c r="E308" s="2903">
        <v>9450</v>
      </c>
      <c r="F308" s="2904">
        <f t="shared" si="89"/>
        <v>3.3034587632738306E-4</v>
      </c>
      <c r="G308" s="2903">
        <f t="shared" si="90"/>
        <v>9450</v>
      </c>
      <c r="H308" s="2903">
        <f t="shared" si="91"/>
        <v>0</v>
      </c>
      <c r="I308" s="2905">
        <f t="shared" si="92"/>
        <v>5985</v>
      </c>
      <c r="J308" s="1096">
        <v>1830.9999999999998</v>
      </c>
      <c r="K308" s="2479">
        <f t="shared" si="100"/>
        <v>74997.759999999995</v>
      </c>
      <c r="L308" s="398">
        <f t="shared" si="93"/>
        <v>1890</v>
      </c>
      <c r="M308" s="1095">
        <f t="shared" si="94"/>
        <v>9706</v>
      </c>
      <c r="N308" s="2906">
        <f t="shared" si="95"/>
        <v>3.054882714787463E-4</v>
      </c>
      <c r="O308" s="2907">
        <f t="shared" si="101"/>
        <v>5.4522671582278603E-6</v>
      </c>
      <c r="P308" s="2908">
        <f t="shared" si="102"/>
        <v>31500</v>
      </c>
      <c r="Q308" s="1095">
        <f t="shared" si="103"/>
        <v>8599.5</v>
      </c>
      <c r="R308" s="2909">
        <f t="shared" si="104"/>
        <v>40099.5</v>
      </c>
      <c r="S308" s="398">
        <f t="shared" si="105"/>
        <v>0</v>
      </c>
      <c r="T308" s="1095">
        <f t="shared" si="106"/>
        <v>0</v>
      </c>
      <c r="U308" s="398">
        <f t="shared" si="107"/>
        <v>0</v>
      </c>
      <c r="V308" s="2913">
        <v>0</v>
      </c>
      <c r="W308" s="1095">
        <f t="shared" si="96"/>
        <v>9740.92</v>
      </c>
      <c r="X308" s="1095">
        <f t="shared" si="97"/>
        <v>1890</v>
      </c>
      <c r="Y308" s="2909">
        <f t="shared" si="108"/>
        <v>11630.92</v>
      </c>
      <c r="Z308" s="2913">
        <v>0</v>
      </c>
      <c r="AA308" s="1095">
        <f t="shared" si="98"/>
        <v>5254.9699999999993</v>
      </c>
      <c r="AB308" s="1095">
        <f t="shared" si="99"/>
        <v>0</v>
      </c>
      <c r="AC308" s="2909">
        <f t="shared" si="109"/>
        <v>5254.9699999999993</v>
      </c>
    </row>
    <row r="309" spans="1:29">
      <c r="A309" s="2899" t="s">
        <v>4383</v>
      </c>
      <c r="B309" s="2900" t="s">
        <v>4071</v>
      </c>
      <c r="C309" s="2901">
        <v>250</v>
      </c>
      <c r="D309" s="2902">
        <f t="shared" si="88"/>
        <v>7.1437143885837726E-4</v>
      </c>
      <c r="E309" s="2903">
        <v>22500</v>
      </c>
      <c r="F309" s="2904">
        <f t="shared" si="89"/>
        <v>7.8653780077948343E-4</v>
      </c>
      <c r="G309" s="2903">
        <f t="shared" si="90"/>
        <v>22500</v>
      </c>
      <c r="H309" s="2903">
        <f t="shared" si="91"/>
        <v>0</v>
      </c>
      <c r="I309" s="2905">
        <f t="shared" si="92"/>
        <v>14250</v>
      </c>
      <c r="J309" s="1096">
        <v>4360</v>
      </c>
      <c r="K309" s="2479">
        <f t="shared" si="100"/>
        <v>178585.60000000001</v>
      </c>
      <c r="L309" s="398">
        <f t="shared" si="93"/>
        <v>4500</v>
      </c>
      <c r="M309" s="1095">
        <f t="shared" si="94"/>
        <v>23110</v>
      </c>
      <c r="N309" s="2906">
        <f t="shared" si="95"/>
        <v>7.2736801502924244E-4</v>
      </c>
      <c r="O309" s="2907">
        <f t="shared" si="101"/>
        <v>1.2996576170865178E-5</v>
      </c>
      <c r="P309" s="2908">
        <f t="shared" si="102"/>
        <v>75000</v>
      </c>
      <c r="Q309" s="1095">
        <f t="shared" si="103"/>
        <v>20475</v>
      </c>
      <c r="R309" s="2909">
        <f t="shared" si="104"/>
        <v>95475</v>
      </c>
      <c r="S309" s="398">
        <f t="shared" si="105"/>
        <v>0</v>
      </c>
      <c r="T309" s="1095">
        <f t="shared" si="106"/>
        <v>0</v>
      </c>
      <c r="U309" s="398">
        <f t="shared" si="107"/>
        <v>0</v>
      </c>
      <c r="V309" s="2913">
        <v>0</v>
      </c>
      <c r="W309" s="1095">
        <f t="shared" si="96"/>
        <v>23195.200000000001</v>
      </c>
      <c r="X309" s="1095">
        <f t="shared" si="97"/>
        <v>4500</v>
      </c>
      <c r="Y309" s="2909">
        <f t="shared" si="108"/>
        <v>27695.200000000001</v>
      </c>
      <c r="Z309" s="2913">
        <v>0</v>
      </c>
      <c r="AA309" s="1095">
        <f t="shared" si="98"/>
        <v>12513.2</v>
      </c>
      <c r="AB309" s="1095">
        <f t="shared" si="99"/>
        <v>0</v>
      </c>
      <c r="AC309" s="2909">
        <f t="shared" si="109"/>
        <v>12513.2</v>
      </c>
    </row>
    <row r="310" spans="1:29">
      <c r="A310" s="2899" t="s">
        <v>4384</v>
      </c>
      <c r="B310" s="2900" t="s">
        <v>4089</v>
      </c>
      <c r="C310" s="2901">
        <v>60</v>
      </c>
      <c r="D310" s="2902">
        <f t="shared" si="88"/>
        <v>1.7144914532601056E-4</v>
      </c>
      <c r="E310" s="2903">
        <v>5400</v>
      </c>
      <c r="F310" s="2904">
        <f t="shared" si="89"/>
        <v>1.8876907218707601E-4</v>
      </c>
      <c r="G310" s="2903">
        <f t="shared" si="90"/>
        <v>5400</v>
      </c>
      <c r="H310" s="2903">
        <f t="shared" si="91"/>
        <v>0</v>
      </c>
      <c r="I310" s="2905">
        <f t="shared" si="92"/>
        <v>3420</v>
      </c>
      <c r="J310" s="1096">
        <v>2092</v>
      </c>
      <c r="K310" s="2479">
        <f t="shared" si="100"/>
        <v>85688.320000000007</v>
      </c>
      <c r="L310" s="398">
        <f t="shared" si="93"/>
        <v>1080</v>
      </c>
      <c r="M310" s="1095">
        <f t="shared" si="94"/>
        <v>6592</v>
      </c>
      <c r="N310" s="2906">
        <f t="shared" si="95"/>
        <v>2.074777133307125E-4</v>
      </c>
      <c r="O310" s="2907">
        <f t="shared" si="101"/>
        <v>3.6028568004701936E-5</v>
      </c>
      <c r="P310" s="2908">
        <f t="shared" si="102"/>
        <v>18000</v>
      </c>
      <c r="Q310" s="1095">
        <f t="shared" si="103"/>
        <v>4914</v>
      </c>
      <c r="R310" s="2909">
        <f t="shared" si="104"/>
        <v>22914</v>
      </c>
      <c r="S310" s="398">
        <f t="shared" si="105"/>
        <v>0</v>
      </c>
      <c r="T310" s="1095">
        <f t="shared" si="106"/>
        <v>0</v>
      </c>
      <c r="U310" s="398">
        <f t="shared" si="107"/>
        <v>0</v>
      </c>
      <c r="V310" s="2913">
        <v>0</v>
      </c>
      <c r="W310" s="1095">
        <f t="shared" si="96"/>
        <v>11129.44</v>
      </c>
      <c r="X310" s="1095">
        <f t="shared" si="97"/>
        <v>1080</v>
      </c>
      <c r="Y310" s="2909">
        <f t="shared" si="108"/>
        <v>12209.44</v>
      </c>
      <c r="Z310" s="2913">
        <v>0</v>
      </c>
      <c r="AA310" s="1095">
        <f t="shared" si="98"/>
        <v>6004.04</v>
      </c>
      <c r="AB310" s="1095">
        <f t="shared" si="99"/>
        <v>0</v>
      </c>
      <c r="AC310" s="2909">
        <f t="shared" si="109"/>
        <v>6004.04</v>
      </c>
    </row>
    <row r="311" spans="1:29">
      <c r="A311" s="2899" t="s">
        <v>4385</v>
      </c>
      <c r="B311" s="2900" t="s">
        <v>4125</v>
      </c>
      <c r="C311" s="2901">
        <v>165</v>
      </c>
      <c r="D311" s="2902">
        <f t="shared" si="88"/>
        <v>4.71485149646529E-4</v>
      </c>
      <c r="E311" s="2903">
        <v>14850</v>
      </c>
      <c r="F311" s="2904">
        <f t="shared" si="89"/>
        <v>5.1911494851445902E-4</v>
      </c>
      <c r="G311" s="2903">
        <f t="shared" si="90"/>
        <v>14850</v>
      </c>
      <c r="H311" s="2903">
        <f t="shared" si="91"/>
        <v>0</v>
      </c>
      <c r="I311" s="2905">
        <f t="shared" si="92"/>
        <v>9405</v>
      </c>
      <c r="J311" s="1096">
        <v>2877</v>
      </c>
      <c r="K311" s="2479">
        <f t="shared" si="100"/>
        <v>117841.92</v>
      </c>
      <c r="L311" s="398">
        <f t="shared" si="93"/>
        <v>2970</v>
      </c>
      <c r="M311" s="1095">
        <f t="shared" si="94"/>
        <v>15252</v>
      </c>
      <c r="N311" s="2906">
        <f t="shared" si="95"/>
        <v>4.8004400541869343E-4</v>
      </c>
      <c r="O311" s="2907">
        <f t="shared" si="101"/>
        <v>8.5588557721644307E-6</v>
      </c>
      <c r="P311" s="2908">
        <f t="shared" si="102"/>
        <v>49500</v>
      </c>
      <c r="Q311" s="1095">
        <f t="shared" si="103"/>
        <v>13513.5</v>
      </c>
      <c r="R311" s="2909">
        <f t="shared" si="104"/>
        <v>63013.5</v>
      </c>
      <c r="S311" s="398">
        <f t="shared" si="105"/>
        <v>0</v>
      </c>
      <c r="T311" s="1095">
        <f t="shared" si="106"/>
        <v>0</v>
      </c>
      <c r="U311" s="398">
        <f t="shared" si="107"/>
        <v>0</v>
      </c>
      <c r="V311" s="2913">
        <v>0</v>
      </c>
      <c r="W311" s="1095">
        <f t="shared" si="96"/>
        <v>15305.640000000001</v>
      </c>
      <c r="X311" s="1095">
        <f t="shared" si="97"/>
        <v>2970</v>
      </c>
      <c r="Y311" s="2909">
        <f t="shared" si="108"/>
        <v>18275.64</v>
      </c>
      <c r="Z311" s="2913">
        <v>0</v>
      </c>
      <c r="AA311" s="1095">
        <f t="shared" si="98"/>
        <v>8256.99</v>
      </c>
      <c r="AB311" s="1095">
        <f t="shared" si="99"/>
        <v>0</v>
      </c>
      <c r="AC311" s="2909">
        <f t="shared" si="109"/>
        <v>8256.99</v>
      </c>
    </row>
    <row r="312" spans="1:29">
      <c r="A312" s="2914" t="s">
        <v>4386</v>
      </c>
      <c r="B312" s="2900" t="s">
        <v>4083</v>
      </c>
      <c r="C312" s="2901">
        <v>460</v>
      </c>
      <c r="D312" s="2902">
        <f t="shared" si="88"/>
        <v>1.3144434474994143E-3</v>
      </c>
      <c r="E312" s="2903">
        <v>41400</v>
      </c>
      <c r="F312" s="2904">
        <f t="shared" si="89"/>
        <v>1.4472295534342496E-3</v>
      </c>
      <c r="G312" s="2903">
        <f t="shared" si="90"/>
        <v>41400</v>
      </c>
      <c r="H312" s="2903">
        <f t="shared" si="91"/>
        <v>0</v>
      </c>
      <c r="I312" s="2905">
        <f t="shared" si="92"/>
        <v>26220</v>
      </c>
      <c r="J312" s="1096">
        <v>8022</v>
      </c>
      <c r="K312" s="2479">
        <f t="shared" si="100"/>
        <v>328581.12</v>
      </c>
      <c r="L312" s="398">
        <f t="shared" si="93"/>
        <v>8280</v>
      </c>
      <c r="M312" s="1095">
        <f t="shared" si="94"/>
        <v>42522</v>
      </c>
      <c r="N312" s="2906">
        <f t="shared" si="95"/>
        <v>1.3383445579867349E-3</v>
      </c>
      <c r="O312" s="2907">
        <f t="shared" si="101"/>
        <v>2.3901110487320682E-5</v>
      </c>
      <c r="P312" s="2908">
        <f t="shared" si="102"/>
        <v>138000</v>
      </c>
      <c r="Q312" s="1095">
        <f t="shared" si="103"/>
        <v>37674</v>
      </c>
      <c r="R312" s="2909">
        <f t="shared" si="104"/>
        <v>175674</v>
      </c>
      <c r="S312" s="398">
        <f t="shared" si="105"/>
        <v>0</v>
      </c>
      <c r="T312" s="1095">
        <f t="shared" si="106"/>
        <v>0</v>
      </c>
      <c r="U312" s="398">
        <f t="shared" si="107"/>
        <v>0</v>
      </c>
      <c r="V312" s="2913">
        <v>0</v>
      </c>
      <c r="W312" s="1095">
        <f t="shared" si="96"/>
        <v>42677.04</v>
      </c>
      <c r="X312" s="1095">
        <f t="shared" si="97"/>
        <v>8280</v>
      </c>
      <c r="Y312" s="2909">
        <f t="shared" si="108"/>
        <v>50957.04</v>
      </c>
      <c r="Z312" s="2913">
        <v>0</v>
      </c>
      <c r="AA312" s="1095">
        <f t="shared" si="98"/>
        <v>23023.14</v>
      </c>
      <c r="AB312" s="1095">
        <f t="shared" si="99"/>
        <v>0</v>
      </c>
      <c r="AC312" s="2909">
        <f t="shared" si="109"/>
        <v>23023.14</v>
      </c>
    </row>
    <row r="313" spans="1:29" ht="13.5" thickBot="1">
      <c r="A313" s="2914" t="s">
        <v>4387</v>
      </c>
      <c r="B313" s="2900" t="s">
        <v>4075</v>
      </c>
      <c r="C313" s="2901">
        <v>200</v>
      </c>
      <c r="D313" s="2902">
        <f t="shared" si="88"/>
        <v>5.7149715108670187E-4</v>
      </c>
      <c r="E313" s="2903">
        <v>18000</v>
      </c>
      <c r="F313" s="2904">
        <f t="shared" si="89"/>
        <v>6.2923024062358675E-4</v>
      </c>
      <c r="G313" s="2903">
        <f t="shared" si="90"/>
        <v>18000</v>
      </c>
      <c r="H313" s="2903">
        <f t="shared" si="91"/>
        <v>0</v>
      </c>
      <c r="I313" s="2905">
        <f t="shared" si="92"/>
        <v>11400</v>
      </c>
      <c r="J313" s="1096">
        <v>3488</v>
      </c>
      <c r="K313" s="2479">
        <f t="shared" si="100"/>
        <v>142868.48000000001</v>
      </c>
      <c r="L313" s="398">
        <f t="shared" si="93"/>
        <v>3600</v>
      </c>
      <c r="M313" s="1095">
        <f t="shared" si="94"/>
        <v>18488</v>
      </c>
      <c r="N313" s="2906">
        <f t="shared" si="95"/>
        <v>5.8189441202339393E-4</v>
      </c>
      <c r="O313" s="2907">
        <f t="shared" si="101"/>
        <v>1.0397260936692056E-5</v>
      </c>
      <c r="P313" s="2908">
        <f t="shared" si="102"/>
        <v>60000</v>
      </c>
      <c r="Q313" s="1095">
        <f t="shared" si="103"/>
        <v>16380</v>
      </c>
      <c r="R313" s="2909">
        <f t="shared" si="104"/>
        <v>76380</v>
      </c>
      <c r="S313" s="398">
        <f t="shared" si="105"/>
        <v>0</v>
      </c>
      <c r="T313" s="1095">
        <f t="shared" si="106"/>
        <v>0</v>
      </c>
      <c r="U313" s="398">
        <f t="shared" si="107"/>
        <v>0</v>
      </c>
      <c r="V313" s="2913">
        <v>0</v>
      </c>
      <c r="W313" s="1095">
        <f t="shared" si="96"/>
        <v>18556.16</v>
      </c>
      <c r="X313" s="1095">
        <f t="shared" si="97"/>
        <v>3600</v>
      </c>
      <c r="Y313" s="2909">
        <f t="shared" si="108"/>
        <v>22156.16</v>
      </c>
      <c r="Z313" s="2913">
        <v>0</v>
      </c>
      <c r="AA313" s="1095">
        <f t="shared" si="98"/>
        <v>10010.56</v>
      </c>
      <c r="AB313" s="1095">
        <f t="shared" si="99"/>
        <v>0</v>
      </c>
      <c r="AC313" s="2909">
        <f t="shared" si="109"/>
        <v>10010.56</v>
      </c>
    </row>
    <row r="314" spans="1:29" ht="13.5" thickBot="1">
      <c r="A314" s="2929" t="s">
        <v>4388</v>
      </c>
      <c r="B314" s="2929"/>
      <c r="C314" s="2930">
        <v>140058</v>
      </c>
      <c r="D314" s="2931">
        <f t="shared" si="88"/>
        <v>0.40021373993450643</v>
      </c>
      <c r="E314" s="2932">
        <f>SUM(E6:E313)</f>
        <v>11125591</v>
      </c>
      <c r="F314" s="2933">
        <f t="shared" si="89"/>
        <v>0.38891990566720064</v>
      </c>
      <c r="G314" s="2932">
        <f>SUM(G6:G313)</f>
        <v>12605220</v>
      </c>
      <c r="H314" s="2932">
        <f t="shared" si="91"/>
        <v>-1479629</v>
      </c>
      <c r="I314" s="2934">
        <f t="shared" ref="I314:N314" si="110">SUM(I6:I313)</f>
        <v>7983306</v>
      </c>
      <c r="J314" s="2935">
        <f t="shared" si="110"/>
        <v>2229277</v>
      </c>
      <c r="K314" s="2936">
        <f t="shared" si="110"/>
        <v>91311185.919999942</v>
      </c>
      <c r="L314" s="2937">
        <f t="shared" si="110"/>
        <v>2225118.2000000002</v>
      </c>
      <c r="M314" s="2937">
        <f t="shared" si="110"/>
        <v>12437701.199999999</v>
      </c>
      <c r="N314" s="2938">
        <f t="shared" si="110"/>
        <v>0.39146629309263592</v>
      </c>
      <c r="O314" s="2939">
        <f t="shared" si="101"/>
        <v>-8.7474468418705098E-3</v>
      </c>
      <c r="P314" s="2940">
        <f t="shared" si="102"/>
        <v>42017400</v>
      </c>
      <c r="Q314" s="2941">
        <f t="shared" si="103"/>
        <v>10124287.810000001</v>
      </c>
      <c r="R314" s="2942">
        <f t="shared" si="104"/>
        <v>52141687.810000002</v>
      </c>
      <c r="S314" s="2937">
        <f t="shared" si="105"/>
        <v>0</v>
      </c>
      <c r="T314" s="2941">
        <f t="shared" si="106"/>
        <v>0</v>
      </c>
      <c r="U314" s="2937">
        <f t="shared" si="107"/>
        <v>0</v>
      </c>
      <c r="V314" s="2943">
        <f t="shared" ref="V314:AC314" si="111">SUM(V6:V313)</f>
        <v>0</v>
      </c>
      <c r="W314" s="2941">
        <f t="shared" si="111"/>
        <v>11859753.640000006</v>
      </c>
      <c r="X314" s="2941">
        <f t="shared" si="111"/>
        <v>2225118.2000000002</v>
      </c>
      <c r="Y314" s="2942">
        <f t="shared" si="111"/>
        <v>14084871.840000002</v>
      </c>
      <c r="Z314" s="2943">
        <f t="shared" si="111"/>
        <v>0</v>
      </c>
      <c r="AA314" s="2941">
        <f t="shared" si="111"/>
        <v>6398024.9900000049</v>
      </c>
      <c r="AB314" s="2941">
        <f t="shared" si="111"/>
        <v>0</v>
      </c>
      <c r="AC314" s="2942">
        <f t="shared" si="111"/>
        <v>6398024.9900000049</v>
      </c>
    </row>
    <row r="315" spans="1:29">
      <c r="A315" s="1802" t="s">
        <v>4389</v>
      </c>
      <c r="B315" s="1802"/>
      <c r="C315" s="2944">
        <v>5660</v>
      </c>
      <c r="D315" s="2945">
        <f t="shared" si="88"/>
        <v>1.6173369375753661E-2</v>
      </c>
      <c r="E315" s="2903">
        <v>509400</v>
      </c>
      <c r="F315" s="2904">
        <f t="shared" si="89"/>
        <v>1.7807215809647507E-2</v>
      </c>
      <c r="G315" s="2903">
        <f t="shared" ref="G315:G320" si="112">C315*90</f>
        <v>509400</v>
      </c>
      <c r="H315" s="2903">
        <f t="shared" si="91"/>
        <v>0</v>
      </c>
      <c r="I315" s="2905">
        <f t="shared" ref="I315:I320" si="113">C315*57</f>
        <v>322620</v>
      </c>
      <c r="J315" s="1096">
        <v>197428</v>
      </c>
      <c r="K315" s="2479">
        <f t="shared" ref="K315:K320" si="114">J315*40.96</f>
        <v>8086650.8799999999</v>
      </c>
      <c r="L315" s="398">
        <f t="shared" ref="L315:L320" si="115">E315/5</f>
        <v>101880</v>
      </c>
      <c r="M315" s="1095">
        <f t="shared" ref="M315:M320" si="116">I315+J315+L315</f>
        <v>621928</v>
      </c>
      <c r="N315" s="2906">
        <f t="shared" ref="N315:N320" si="117">M315/$M$612</f>
        <v>1.9574666155391895E-2</v>
      </c>
      <c r="O315" s="2907">
        <f t="shared" si="101"/>
        <v>3.401296779638234E-3</v>
      </c>
      <c r="P315" s="2908">
        <f t="shared" si="102"/>
        <v>1698000</v>
      </c>
      <c r="Q315" s="1095">
        <f t="shared" si="103"/>
        <v>463554</v>
      </c>
      <c r="R315" s="2909">
        <f t="shared" si="104"/>
        <v>2161554</v>
      </c>
      <c r="S315" s="398">
        <f t="shared" si="105"/>
        <v>0</v>
      </c>
      <c r="T315" s="1095">
        <f t="shared" si="106"/>
        <v>0</v>
      </c>
      <c r="U315" s="398">
        <f t="shared" si="107"/>
        <v>0</v>
      </c>
      <c r="V315" s="2913">
        <v>0</v>
      </c>
      <c r="W315" s="1095">
        <f t="shared" ref="W315:W320" si="118">J315*5.32</f>
        <v>1050316.96</v>
      </c>
      <c r="X315" s="1095">
        <f t="shared" ref="X315:X320" si="119">L315*1</f>
        <v>101880</v>
      </c>
      <c r="Y315" s="2909">
        <f t="shared" ref="Y315:Y320" si="120">SUM(V315:X315)</f>
        <v>1152196.96</v>
      </c>
      <c r="Z315" s="2913">
        <v>0</v>
      </c>
      <c r="AA315" s="1095">
        <f t="shared" ref="AA315:AA320" si="121">J315*2.87</f>
        <v>566618.36</v>
      </c>
      <c r="AB315" s="1095">
        <f t="shared" ref="AB315:AB320" si="122">L315*0</f>
        <v>0</v>
      </c>
      <c r="AC315" s="2909">
        <f t="shared" ref="AC315:AC320" si="123">SUM(Z315:AB315)</f>
        <v>566618.36</v>
      </c>
    </row>
    <row r="316" spans="1:29">
      <c r="A316" s="1780" t="s">
        <v>4390</v>
      </c>
      <c r="B316" s="1780"/>
      <c r="C316" s="2901">
        <v>1385</v>
      </c>
      <c r="D316" s="2902">
        <f t="shared" si="88"/>
        <v>3.9576177712754099E-3</v>
      </c>
      <c r="E316" s="2903">
        <v>124650</v>
      </c>
      <c r="F316" s="2904">
        <f t="shared" si="89"/>
        <v>4.3574194163183378E-3</v>
      </c>
      <c r="G316" s="2903">
        <f t="shared" si="112"/>
        <v>124650</v>
      </c>
      <c r="H316" s="2903">
        <f t="shared" si="91"/>
        <v>0</v>
      </c>
      <c r="I316" s="2905">
        <f t="shared" si="113"/>
        <v>78945</v>
      </c>
      <c r="J316" s="1096">
        <v>24155</v>
      </c>
      <c r="K316" s="2479">
        <f t="shared" si="114"/>
        <v>989388.80000000005</v>
      </c>
      <c r="L316" s="398">
        <f t="shared" si="115"/>
        <v>24930</v>
      </c>
      <c r="M316" s="1095">
        <f t="shared" si="116"/>
        <v>128030</v>
      </c>
      <c r="N316" s="2906">
        <f t="shared" si="117"/>
        <v>4.0296376877626099E-3</v>
      </c>
      <c r="O316" s="2907">
        <f t="shared" si="101"/>
        <v>7.2019916487199923E-5</v>
      </c>
      <c r="P316" s="2908">
        <f t="shared" si="102"/>
        <v>415500</v>
      </c>
      <c r="Q316" s="1095">
        <f t="shared" si="103"/>
        <v>113431.5</v>
      </c>
      <c r="R316" s="2909">
        <f t="shared" si="104"/>
        <v>528931.5</v>
      </c>
      <c r="S316" s="398">
        <f t="shared" si="105"/>
        <v>0</v>
      </c>
      <c r="T316" s="1095">
        <f t="shared" si="106"/>
        <v>0</v>
      </c>
      <c r="U316" s="398">
        <f t="shared" si="107"/>
        <v>0</v>
      </c>
      <c r="V316" s="2913">
        <v>0</v>
      </c>
      <c r="W316" s="1095">
        <f t="shared" si="118"/>
        <v>128504.6</v>
      </c>
      <c r="X316" s="1095">
        <f t="shared" si="119"/>
        <v>24930</v>
      </c>
      <c r="Y316" s="2909">
        <f t="shared" si="120"/>
        <v>153434.6</v>
      </c>
      <c r="Z316" s="2913">
        <v>0</v>
      </c>
      <c r="AA316" s="1095">
        <f t="shared" si="121"/>
        <v>69324.850000000006</v>
      </c>
      <c r="AB316" s="1095">
        <f t="shared" si="122"/>
        <v>0</v>
      </c>
      <c r="AC316" s="2909">
        <f t="shared" si="123"/>
        <v>69324.850000000006</v>
      </c>
    </row>
    <row r="317" spans="1:29">
      <c r="A317" s="1780" t="s">
        <v>4391</v>
      </c>
      <c r="B317" s="1780"/>
      <c r="C317" s="2901">
        <v>3135</v>
      </c>
      <c r="D317" s="2902">
        <f t="shared" si="88"/>
        <v>8.9582178432840512E-3</v>
      </c>
      <c r="E317" s="2903">
        <v>282150</v>
      </c>
      <c r="F317" s="2904">
        <f t="shared" si="89"/>
        <v>9.8631840217747214E-3</v>
      </c>
      <c r="G317" s="2903">
        <f t="shared" si="112"/>
        <v>282150</v>
      </c>
      <c r="H317" s="2903">
        <f t="shared" si="91"/>
        <v>0</v>
      </c>
      <c r="I317" s="2905">
        <f t="shared" si="113"/>
        <v>178695</v>
      </c>
      <c r="J317" s="1096">
        <v>54676</v>
      </c>
      <c r="K317" s="2479">
        <f t="shared" si="114"/>
        <v>2239528.96</v>
      </c>
      <c r="L317" s="398">
        <f t="shared" si="115"/>
        <v>56430</v>
      </c>
      <c r="M317" s="1095">
        <f t="shared" si="116"/>
        <v>289801</v>
      </c>
      <c r="N317" s="2906">
        <f t="shared" si="117"/>
        <v>9.1212452671349843E-3</v>
      </c>
      <c r="O317" s="2907">
        <f t="shared" si="101"/>
        <v>1.6302742385093313E-4</v>
      </c>
      <c r="P317" s="2908">
        <f t="shared" si="102"/>
        <v>940500</v>
      </c>
      <c r="Q317" s="1095">
        <f t="shared" si="103"/>
        <v>256756.5</v>
      </c>
      <c r="R317" s="2909">
        <f t="shared" si="104"/>
        <v>1197256.5</v>
      </c>
      <c r="S317" s="398">
        <f t="shared" si="105"/>
        <v>0</v>
      </c>
      <c r="T317" s="1095">
        <f t="shared" si="106"/>
        <v>0</v>
      </c>
      <c r="U317" s="398">
        <f t="shared" si="107"/>
        <v>0</v>
      </c>
      <c r="V317" s="2913">
        <v>0</v>
      </c>
      <c r="W317" s="1095">
        <f t="shared" si="118"/>
        <v>290876.32</v>
      </c>
      <c r="X317" s="1095">
        <f t="shared" si="119"/>
        <v>56430</v>
      </c>
      <c r="Y317" s="2909">
        <f t="shared" si="120"/>
        <v>347306.32</v>
      </c>
      <c r="Z317" s="2913">
        <v>0</v>
      </c>
      <c r="AA317" s="1095">
        <f t="shared" si="121"/>
        <v>156920.12</v>
      </c>
      <c r="AB317" s="1095">
        <f t="shared" si="122"/>
        <v>0</v>
      </c>
      <c r="AC317" s="2909">
        <f t="shared" si="123"/>
        <v>156920.12</v>
      </c>
    </row>
    <row r="318" spans="1:29">
      <c r="A318" s="1780" t="s">
        <v>4392</v>
      </c>
      <c r="B318" s="1780"/>
      <c r="C318" s="2901">
        <v>1045</v>
      </c>
      <c r="D318" s="2902">
        <f t="shared" si="88"/>
        <v>2.9860726144280169E-3</v>
      </c>
      <c r="E318" s="2903">
        <v>94050</v>
      </c>
      <c r="F318" s="2904">
        <f t="shared" si="89"/>
        <v>3.2877280072582406E-3</v>
      </c>
      <c r="G318" s="2903">
        <f t="shared" si="112"/>
        <v>94050</v>
      </c>
      <c r="H318" s="2903">
        <f t="shared" si="91"/>
        <v>0</v>
      </c>
      <c r="I318" s="2905">
        <f t="shared" si="113"/>
        <v>59565</v>
      </c>
      <c r="J318" s="1096">
        <v>18225</v>
      </c>
      <c r="K318" s="2479">
        <f t="shared" si="114"/>
        <v>746496</v>
      </c>
      <c r="L318" s="398">
        <f t="shared" si="115"/>
        <v>18810</v>
      </c>
      <c r="M318" s="1095">
        <f t="shared" si="116"/>
        <v>96600</v>
      </c>
      <c r="N318" s="2906">
        <f t="shared" si="117"/>
        <v>3.0404045976557686E-3</v>
      </c>
      <c r="O318" s="2907">
        <f t="shared" si="101"/>
        <v>5.4331983227751731E-5</v>
      </c>
      <c r="P318" s="2908">
        <f t="shared" si="102"/>
        <v>313500</v>
      </c>
      <c r="Q318" s="1095">
        <f t="shared" si="103"/>
        <v>85585.5</v>
      </c>
      <c r="R318" s="2909">
        <f t="shared" si="104"/>
        <v>399085.5</v>
      </c>
      <c r="S318" s="398">
        <f t="shared" si="105"/>
        <v>0</v>
      </c>
      <c r="T318" s="1095">
        <f t="shared" si="106"/>
        <v>0</v>
      </c>
      <c r="U318" s="398">
        <f t="shared" si="107"/>
        <v>0</v>
      </c>
      <c r="V318" s="2913">
        <v>0</v>
      </c>
      <c r="W318" s="1095">
        <f t="shared" si="118"/>
        <v>96957</v>
      </c>
      <c r="X318" s="1095">
        <f t="shared" si="119"/>
        <v>18810</v>
      </c>
      <c r="Y318" s="2909">
        <f t="shared" si="120"/>
        <v>115767</v>
      </c>
      <c r="Z318" s="2913">
        <v>0</v>
      </c>
      <c r="AA318" s="1095">
        <f t="shared" si="121"/>
        <v>52305.75</v>
      </c>
      <c r="AB318" s="1095">
        <f t="shared" si="122"/>
        <v>0</v>
      </c>
      <c r="AC318" s="2909">
        <f t="shared" si="123"/>
        <v>52305.75</v>
      </c>
    </row>
    <row r="319" spans="1:29">
      <c r="A319" s="1780" t="s">
        <v>4393</v>
      </c>
      <c r="B319" s="1780"/>
      <c r="C319" s="2901">
        <v>2600</v>
      </c>
      <c r="D319" s="2902">
        <f t="shared" si="88"/>
        <v>7.429462964127124E-3</v>
      </c>
      <c r="E319" s="2903">
        <v>234000</v>
      </c>
      <c r="F319" s="2904">
        <f t="shared" si="89"/>
        <v>8.1799931281066277E-3</v>
      </c>
      <c r="G319" s="2903">
        <f t="shared" si="112"/>
        <v>234000</v>
      </c>
      <c r="H319" s="2903">
        <f t="shared" si="91"/>
        <v>0</v>
      </c>
      <c r="I319" s="2905">
        <f t="shared" si="113"/>
        <v>148200</v>
      </c>
      <c r="J319" s="1096">
        <v>48829</v>
      </c>
      <c r="K319" s="2479">
        <f t="shared" si="114"/>
        <v>2000035.8400000001</v>
      </c>
      <c r="L319" s="398">
        <f t="shared" si="115"/>
        <v>46800</v>
      </c>
      <c r="M319" s="1095">
        <f t="shared" si="116"/>
        <v>243829</v>
      </c>
      <c r="N319" s="2906">
        <f t="shared" si="117"/>
        <v>7.6743148306605427E-3</v>
      </c>
      <c r="O319" s="2907">
        <f t="shared" si="101"/>
        <v>2.4485186653341873E-4</v>
      </c>
      <c r="P319" s="2908">
        <f t="shared" si="102"/>
        <v>780000</v>
      </c>
      <c r="Q319" s="1095">
        <f t="shared" si="103"/>
        <v>212940</v>
      </c>
      <c r="R319" s="2909">
        <f t="shared" si="104"/>
        <v>992940</v>
      </c>
      <c r="S319" s="398">
        <f t="shared" si="105"/>
        <v>0</v>
      </c>
      <c r="T319" s="1095">
        <f t="shared" si="106"/>
        <v>0</v>
      </c>
      <c r="U319" s="398">
        <f t="shared" si="107"/>
        <v>0</v>
      </c>
      <c r="V319" s="2913">
        <v>0</v>
      </c>
      <c r="W319" s="1095">
        <f t="shared" si="118"/>
        <v>259770.28000000003</v>
      </c>
      <c r="X319" s="1095">
        <f t="shared" si="119"/>
        <v>46800</v>
      </c>
      <c r="Y319" s="2909">
        <f t="shared" si="120"/>
        <v>306570.28000000003</v>
      </c>
      <c r="Z319" s="2913">
        <v>0</v>
      </c>
      <c r="AA319" s="1095">
        <f t="shared" si="121"/>
        <v>140139.23000000001</v>
      </c>
      <c r="AB319" s="1095">
        <f t="shared" si="122"/>
        <v>0</v>
      </c>
      <c r="AC319" s="2909">
        <f t="shared" si="123"/>
        <v>140139.23000000001</v>
      </c>
    </row>
    <row r="320" spans="1:29" ht="13.5" thickBot="1">
      <c r="A320" s="1798" t="s">
        <v>4394</v>
      </c>
      <c r="B320" s="1798"/>
      <c r="C320" s="2946">
        <v>5</v>
      </c>
      <c r="D320" s="2947">
        <f t="shared" si="88"/>
        <v>1.4287428777167545E-5</v>
      </c>
      <c r="E320" s="2948">
        <v>450</v>
      </c>
      <c r="F320" s="2949">
        <f t="shared" si="89"/>
        <v>1.573075601558967E-5</v>
      </c>
      <c r="G320" s="2948">
        <f t="shared" si="112"/>
        <v>450</v>
      </c>
      <c r="H320" s="2903">
        <f t="shared" si="91"/>
        <v>0</v>
      </c>
      <c r="I320" s="2905">
        <f t="shared" si="113"/>
        <v>285</v>
      </c>
      <c r="J320" s="1096">
        <v>174</v>
      </c>
      <c r="K320" s="2479">
        <f t="shared" si="114"/>
        <v>7127.04</v>
      </c>
      <c r="L320" s="398">
        <f t="shared" si="115"/>
        <v>90</v>
      </c>
      <c r="M320" s="1095">
        <f t="shared" si="116"/>
        <v>549</v>
      </c>
      <c r="N320" s="2906">
        <f t="shared" si="117"/>
        <v>1.7279318055000175E-5</v>
      </c>
      <c r="O320" s="2907">
        <f t="shared" si="101"/>
        <v>2.9918892778326301E-6</v>
      </c>
      <c r="P320" s="2908">
        <f t="shared" si="102"/>
        <v>1500</v>
      </c>
      <c r="Q320" s="1095">
        <f t="shared" si="103"/>
        <v>409.5</v>
      </c>
      <c r="R320" s="2909">
        <f t="shared" si="104"/>
        <v>1909.5</v>
      </c>
      <c r="S320" s="398">
        <f t="shared" si="105"/>
        <v>0</v>
      </c>
      <c r="T320" s="1095">
        <f t="shared" si="106"/>
        <v>0</v>
      </c>
      <c r="U320" s="398">
        <f t="shared" si="107"/>
        <v>0</v>
      </c>
      <c r="V320" s="2913">
        <v>0</v>
      </c>
      <c r="W320" s="1095">
        <f t="shared" si="118"/>
        <v>925.68000000000006</v>
      </c>
      <c r="X320" s="1095">
        <f t="shared" si="119"/>
        <v>90</v>
      </c>
      <c r="Y320" s="2909">
        <f t="shared" si="120"/>
        <v>1015.6800000000001</v>
      </c>
      <c r="Z320" s="2913">
        <v>0</v>
      </c>
      <c r="AA320" s="1095">
        <f t="shared" si="121"/>
        <v>499.38</v>
      </c>
      <c r="AB320" s="1095">
        <f t="shared" si="122"/>
        <v>0</v>
      </c>
      <c r="AC320" s="2909">
        <f t="shared" si="123"/>
        <v>499.38</v>
      </c>
    </row>
    <row r="321" spans="1:29" ht="13.5" thickBot="1">
      <c r="A321" s="2929" t="s">
        <v>4395</v>
      </c>
      <c r="B321" s="2950"/>
      <c r="C321" s="2930">
        <f>SUM(C314:C320)</f>
        <v>153888</v>
      </c>
      <c r="D321" s="2931">
        <f t="shared" si="88"/>
        <v>0.43973276793215188</v>
      </c>
      <c r="E321" s="2932">
        <f>SUM(E314:E320)</f>
        <v>12370291</v>
      </c>
      <c r="F321" s="2933">
        <f t="shared" si="89"/>
        <v>0.43243117680632165</v>
      </c>
      <c r="G321" s="2932">
        <f>SUM(G314:G320)</f>
        <v>13849920</v>
      </c>
      <c r="H321" s="2932">
        <f t="shared" si="91"/>
        <v>-1479629</v>
      </c>
      <c r="I321" s="2934">
        <f>SUM(I314:I320)</f>
        <v>8771616</v>
      </c>
      <c r="J321" s="2935">
        <f>SUM(J314:J320)</f>
        <v>2572764</v>
      </c>
      <c r="K321" s="2937">
        <f>SUM(K314:K320)</f>
        <v>105380413.43999994</v>
      </c>
      <c r="L321" s="2937">
        <f>SUM(L314:L320)</f>
        <v>2474058.2000000002</v>
      </c>
      <c r="M321" s="2937">
        <f>L321+J321+I321</f>
        <v>13818438.199999999</v>
      </c>
      <c r="N321" s="2938">
        <f>M321/$M$612</f>
        <v>0.43492384094929715</v>
      </c>
      <c r="O321" s="2939">
        <f t="shared" si="101"/>
        <v>-4.8089269828547332E-3</v>
      </c>
      <c r="P321" s="2940">
        <f t="shared" si="102"/>
        <v>46166400</v>
      </c>
      <c r="Q321" s="2941">
        <f t="shared" si="103"/>
        <v>11256964.810000001</v>
      </c>
      <c r="R321" s="2942">
        <f t="shared" si="104"/>
        <v>57423364.810000002</v>
      </c>
      <c r="S321" s="2937">
        <f t="shared" si="105"/>
        <v>0</v>
      </c>
      <c r="T321" s="2941">
        <f t="shared" si="106"/>
        <v>0</v>
      </c>
      <c r="U321" s="2937">
        <f t="shared" si="107"/>
        <v>0</v>
      </c>
      <c r="V321" s="2943">
        <f t="shared" ref="V321:AC321" si="124">SUM(V314:V320)</f>
        <v>0</v>
      </c>
      <c r="W321" s="2941">
        <f t="shared" si="124"/>
        <v>13687104.480000004</v>
      </c>
      <c r="X321" s="2941">
        <f t="shared" si="124"/>
        <v>2474058.2000000002</v>
      </c>
      <c r="Y321" s="2942">
        <f t="shared" si="124"/>
        <v>16161162.68</v>
      </c>
      <c r="Z321" s="2943">
        <f t="shared" si="124"/>
        <v>0</v>
      </c>
      <c r="AA321" s="2941">
        <f t="shared" si="124"/>
        <v>7383832.6800000053</v>
      </c>
      <c r="AB321" s="2941">
        <f t="shared" si="124"/>
        <v>0</v>
      </c>
      <c r="AC321" s="2942">
        <f t="shared" si="124"/>
        <v>7383832.6800000053</v>
      </c>
    </row>
    <row r="322" spans="1:29">
      <c r="A322" s="1802" t="s">
        <v>4396</v>
      </c>
      <c r="B322" s="1802"/>
      <c r="C322" s="2944">
        <v>260</v>
      </c>
      <c r="D322" s="2945">
        <f t="shared" si="88"/>
        <v>7.4294629641271238E-4</v>
      </c>
      <c r="E322" s="2951">
        <v>23400</v>
      </c>
      <c r="F322" s="2952">
        <f t="shared" si="89"/>
        <v>8.1799931281066282E-4</v>
      </c>
      <c r="G322" s="2903">
        <f t="shared" ref="G322:G385" si="125">C322*90</f>
        <v>23400</v>
      </c>
      <c r="H322" s="2903">
        <f t="shared" si="91"/>
        <v>0</v>
      </c>
      <c r="I322" s="2905">
        <f t="shared" ref="I322:I385" si="126">C322*57</f>
        <v>14820</v>
      </c>
      <c r="J322" s="1096">
        <v>4534</v>
      </c>
      <c r="K322" s="2479">
        <f>J322*40.96</f>
        <v>185712.64000000001</v>
      </c>
      <c r="L322" s="398">
        <f t="shared" ref="L322:L385" si="127">E322/5</f>
        <v>4680</v>
      </c>
      <c r="M322" s="1095">
        <f t="shared" ref="M322:M385" si="128">I322+J322+L322</f>
        <v>24034</v>
      </c>
      <c r="N322" s="2906">
        <f t="shared" ref="N322:N385" si="129">M322/$M$612</f>
        <v>7.5645014596334111E-4</v>
      </c>
      <c r="O322" s="2907">
        <f t="shared" si="101"/>
        <v>1.3503849550628735E-5</v>
      </c>
      <c r="P322" s="2908">
        <f t="shared" si="102"/>
        <v>78000</v>
      </c>
      <c r="Q322" s="1095">
        <f t="shared" si="103"/>
        <v>21294</v>
      </c>
      <c r="R322" s="2909">
        <f t="shared" si="104"/>
        <v>99294</v>
      </c>
      <c r="S322" s="398">
        <f t="shared" si="105"/>
        <v>0</v>
      </c>
      <c r="T322" s="1095">
        <f t="shared" si="106"/>
        <v>0</v>
      </c>
      <c r="U322" s="398">
        <f t="shared" si="107"/>
        <v>0</v>
      </c>
      <c r="V322" s="2913">
        <v>0</v>
      </c>
      <c r="W322" s="1095">
        <f t="shared" ref="W322:W385" si="130">J322*5.32</f>
        <v>24120.880000000001</v>
      </c>
      <c r="X322" s="1095">
        <f t="shared" ref="X322:X385" si="131">L322*1</f>
        <v>4680</v>
      </c>
      <c r="Y322" s="2909">
        <f>SUM(V322:X322)</f>
        <v>28800.880000000001</v>
      </c>
      <c r="Z322" s="2913">
        <v>0</v>
      </c>
      <c r="AA322" s="1095">
        <f t="shared" ref="AA322:AA385" si="132">J322*2.87</f>
        <v>13012.58</v>
      </c>
      <c r="AB322" s="1095">
        <f t="shared" ref="AB322:AB385" si="133">L322*0</f>
        <v>0</v>
      </c>
      <c r="AC322" s="2909">
        <f>SUM(Z322:AB322)</f>
        <v>13012.58</v>
      </c>
    </row>
    <row r="323" spans="1:29">
      <c r="A323" s="1780" t="s">
        <v>4397</v>
      </c>
      <c r="B323" s="1780"/>
      <c r="C323" s="2901">
        <v>285</v>
      </c>
      <c r="D323" s="2902">
        <f t="shared" si="88"/>
        <v>8.1438344029855013E-4</v>
      </c>
      <c r="E323" s="1083">
        <v>25650</v>
      </c>
      <c r="F323" s="2952">
        <f t="shared" si="89"/>
        <v>8.9665309288861116E-4</v>
      </c>
      <c r="G323" s="2903">
        <f t="shared" si="125"/>
        <v>25650</v>
      </c>
      <c r="H323" s="2903">
        <f t="shared" si="91"/>
        <v>0</v>
      </c>
      <c r="I323" s="2905">
        <f t="shared" si="126"/>
        <v>16245</v>
      </c>
      <c r="J323" s="1096">
        <v>0</v>
      </c>
      <c r="K323" s="2479">
        <f>J323*40.96</f>
        <v>0</v>
      </c>
      <c r="L323" s="398">
        <f t="shared" si="127"/>
        <v>5130</v>
      </c>
      <c r="M323" s="1095">
        <f t="shared" si="128"/>
        <v>21375</v>
      </c>
      <c r="N323" s="2906">
        <f t="shared" si="129"/>
        <v>6.7276033410861339E-4</v>
      </c>
      <c r="O323" s="2907">
        <f t="shared" si="101"/>
        <v>-1.4162310618993674E-4</v>
      </c>
      <c r="P323" s="2908">
        <f t="shared" si="102"/>
        <v>85500</v>
      </c>
      <c r="Q323" s="1095">
        <f t="shared" si="103"/>
        <v>23341.5</v>
      </c>
      <c r="R323" s="2909">
        <f t="shared" si="104"/>
        <v>108841.5</v>
      </c>
      <c r="S323" s="398">
        <f t="shared" si="105"/>
        <v>0</v>
      </c>
      <c r="T323" s="1095">
        <f t="shared" si="106"/>
        <v>0</v>
      </c>
      <c r="U323" s="398">
        <f t="shared" si="107"/>
        <v>0</v>
      </c>
      <c r="V323" s="2913">
        <v>0</v>
      </c>
      <c r="W323" s="1095">
        <f t="shared" si="130"/>
        <v>0</v>
      </c>
      <c r="X323" s="1095">
        <f t="shared" si="131"/>
        <v>5130</v>
      </c>
      <c r="Y323" s="2909">
        <f t="shared" ref="Y323:Y386" si="134">SUM(V323:X323)</f>
        <v>5130</v>
      </c>
      <c r="Z323" s="2913">
        <v>0</v>
      </c>
      <c r="AA323" s="1095">
        <f t="shared" si="132"/>
        <v>0</v>
      </c>
      <c r="AB323" s="1095">
        <f t="shared" si="133"/>
        <v>0</v>
      </c>
      <c r="AC323" s="2909">
        <f t="shared" ref="AC323:AC386" si="135">SUM(Z323:AB323)</f>
        <v>0</v>
      </c>
    </row>
    <row r="324" spans="1:29">
      <c r="A324" s="1780" t="s">
        <v>4398</v>
      </c>
      <c r="B324" s="1780"/>
      <c r="C324" s="2901">
        <v>100</v>
      </c>
      <c r="D324" s="2902">
        <f t="shared" si="88"/>
        <v>2.8574857554335094E-4</v>
      </c>
      <c r="E324" s="1083">
        <v>9000</v>
      </c>
      <c r="F324" s="2952">
        <f t="shared" si="89"/>
        <v>3.1461512031179337E-4</v>
      </c>
      <c r="G324" s="2903">
        <f t="shared" si="125"/>
        <v>9000</v>
      </c>
      <c r="H324" s="2903">
        <f t="shared" si="91"/>
        <v>0</v>
      </c>
      <c r="I324" s="2905">
        <f t="shared" si="126"/>
        <v>5700</v>
      </c>
      <c r="J324" s="1096">
        <v>1744</v>
      </c>
      <c r="K324" s="2479">
        <f>J324*40.96</f>
        <v>71434.240000000005</v>
      </c>
      <c r="L324" s="398">
        <f t="shared" si="127"/>
        <v>1800</v>
      </c>
      <c r="M324" s="1095">
        <f t="shared" si="128"/>
        <v>9244</v>
      </c>
      <c r="N324" s="2906">
        <f t="shared" si="129"/>
        <v>2.9094720601169696E-4</v>
      </c>
      <c r="O324" s="2907">
        <f t="shared" si="101"/>
        <v>5.1986304683460278E-6</v>
      </c>
      <c r="P324" s="2908">
        <f t="shared" si="102"/>
        <v>30000</v>
      </c>
      <c r="Q324" s="1095">
        <f t="shared" si="103"/>
        <v>8190</v>
      </c>
      <c r="R324" s="2909">
        <f t="shared" si="104"/>
        <v>38190</v>
      </c>
      <c r="S324" s="398">
        <f t="shared" si="105"/>
        <v>0</v>
      </c>
      <c r="T324" s="1095">
        <f t="shared" si="106"/>
        <v>0</v>
      </c>
      <c r="U324" s="398">
        <f t="shared" si="107"/>
        <v>0</v>
      </c>
      <c r="V324" s="2913">
        <v>0</v>
      </c>
      <c r="W324" s="1095">
        <f t="shared" si="130"/>
        <v>9278.08</v>
      </c>
      <c r="X324" s="1095">
        <f t="shared" si="131"/>
        <v>1800</v>
      </c>
      <c r="Y324" s="2909">
        <f t="shared" si="134"/>
        <v>11078.08</v>
      </c>
      <c r="Z324" s="2913">
        <v>0</v>
      </c>
      <c r="AA324" s="1095">
        <f t="shared" si="132"/>
        <v>5005.28</v>
      </c>
      <c r="AB324" s="1095">
        <f t="shared" si="133"/>
        <v>0</v>
      </c>
      <c r="AC324" s="2909">
        <f t="shared" si="135"/>
        <v>5005.28</v>
      </c>
    </row>
    <row r="325" spans="1:29">
      <c r="A325" s="1780" t="s">
        <v>4399</v>
      </c>
      <c r="B325" s="1780"/>
      <c r="C325" s="2901">
        <v>655</v>
      </c>
      <c r="D325" s="2902">
        <f t="shared" si="88"/>
        <v>1.8716531698089484E-3</v>
      </c>
      <c r="E325" s="1083">
        <v>8950</v>
      </c>
      <c r="F325" s="2952">
        <f t="shared" si="89"/>
        <v>3.128672585322834E-4</v>
      </c>
      <c r="G325" s="2903">
        <f t="shared" si="125"/>
        <v>58950</v>
      </c>
      <c r="H325" s="2903">
        <f t="shared" si="91"/>
        <v>-50000</v>
      </c>
      <c r="I325" s="2905">
        <f t="shared" si="126"/>
        <v>37335</v>
      </c>
      <c r="J325" s="1096">
        <v>12221</v>
      </c>
      <c r="K325" s="2479">
        <f>J325*40.96</f>
        <v>500572.16000000003</v>
      </c>
      <c r="L325" s="398">
        <f t="shared" si="127"/>
        <v>1790</v>
      </c>
      <c r="M325" s="1095">
        <f t="shared" si="128"/>
        <v>51346</v>
      </c>
      <c r="N325" s="2906">
        <f t="shared" si="129"/>
        <v>1.6160726135738418E-3</v>
      </c>
      <c r="O325" s="2907">
        <f t="shared" si="101"/>
        <v>-2.5558055623510663E-4</v>
      </c>
      <c r="P325" s="2908">
        <f t="shared" si="102"/>
        <v>196500</v>
      </c>
      <c r="Q325" s="1095">
        <f t="shared" si="103"/>
        <v>8144.5</v>
      </c>
      <c r="R325" s="2909">
        <f t="shared" si="104"/>
        <v>204644.5</v>
      </c>
      <c r="S325" s="398">
        <f t="shared" si="105"/>
        <v>0</v>
      </c>
      <c r="T325" s="1095">
        <f t="shared" si="106"/>
        <v>0</v>
      </c>
      <c r="U325" s="398">
        <f t="shared" si="107"/>
        <v>0</v>
      </c>
      <c r="V325" s="2913">
        <v>0</v>
      </c>
      <c r="W325" s="1095">
        <f t="shared" si="130"/>
        <v>65015.72</v>
      </c>
      <c r="X325" s="1095">
        <f t="shared" si="131"/>
        <v>1790</v>
      </c>
      <c r="Y325" s="2909">
        <f t="shared" si="134"/>
        <v>66805.72</v>
      </c>
      <c r="Z325" s="2913">
        <v>0</v>
      </c>
      <c r="AA325" s="1095">
        <f t="shared" si="132"/>
        <v>35074.270000000004</v>
      </c>
      <c r="AB325" s="1095">
        <f t="shared" si="133"/>
        <v>0</v>
      </c>
      <c r="AC325" s="2909">
        <f t="shared" si="135"/>
        <v>35074.270000000004</v>
      </c>
    </row>
    <row r="326" spans="1:29">
      <c r="A326" s="1780" t="s">
        <v>4400</v>
      </c>
      <c r="B326" s="1780"/>
      <c r="C326" s="2901">
        <v>300</v>
      </c>
      <c r="D326" s="2902">
        <f t="shared" ref="D326:D389" si="136">C326/349958</f>
        <v>8.5724572663005275E-4</v>
      </c>
      <c r="E326" s="1083">
        <v>27000</v>
      </c>
      <c r="F326" s="2952">
        <f t="shared" ref="F326:F389" si="137">E326/$E$612</f>
        <v>9.4384536093538012E-4</v>
      </c>
      <c r="G326" s="2903">
        <f t="shared" si="125"/>
        <v>27000</v>
      </c>
      <c r="H326" s="2903">
        <f t="shared" ref="H326:H389" si="138">E326-G326</f>
        <v>0</v>
      </c>
      <c r="I326" s="2905">
        <f t="shared" si="126"/>
        <v>17100</v>
      </c>
      <c r="J326" s="1096">
        <v>7062</v>
      </c>
      <c r="K326" s="2479">
        <f>J326*40.96</f>
        <v>289259.52000000002</v>
      </c>
      <c r="L326" s="398">
        <f t="shared" si="127"/>
        <v>5400</v>
      </c>
      <c r="M326" s="1095">
        <f t="shared" si="128"/>
        <v>29562</v>
      </c>
      <c r="N326" s="2906">
        <f t="shared" si="129"/>
        <v>9.3043934488509143E-4</v>
      </c>
      <c r="O326" s="2907">
        <f t="shared" si="101"/>
        <v>7.3193618255038679E-5</v>
      </c>
      <c r="P326" s="2908">
        <f t="shared" si="102"/>
        <v>90000</v>
      </c>
      <c r="Q326" s="1095">
        <f t="shared" si="103"/>
        <v>24570</v>
      </c>
      <c r="R326" s="2909">
        <f t="shared" si="104"/>
        <v>114570</v>
      </c>
      <c r="S326" s="398">
        <f t="shared" si="105"/>
        <v>0</v>
      </c>
      <c r="T326" s="1095">
        <f t="shared" si="106"/>
        <v>0</v>
      </c>
      <c r="U326" s="398">
        <f t="shared" si="107"/>
        <v>0</v>
      </c>
      <c r="V326" s="2913">
        <v>0</v>
      </c>
      <c r="W326" s="1095">
        <f t="shared" si="130"/>
        <v>37569.840000000004</v>
      </c>
      <c r="X326" s="1095">
        <f t="shared" si="131"/>
        <v>5400</v>
      </c>
      <c r="Y326" s="2909">
        <f t="shared" si="134"/>
        <v>42969.840000000004</v>
      </c>
      <c r="Z326" s="2913">
        <v>0</v>
      </c>
      <c r="AA326" s="1095">
        <f t="shared" si="132"/>
        <v>20267.940000000002</v>
      </c>
      <c r="AB326" s="1095">
        <f t="shared" si="133"/>
        <v>0</v>
      </c>
      <c r="AC326" s="2909">
        <f t="shared" si="135"/>
        <v>20267.940000000002</v>
      </c>
    </row>
    <row r="327" spans="1:29">
      <c r="A327" s="1780" t="s">
        <v>4401</v>
      </c>
      <c r="B327" s="1780"/>
      <c r="C327" s="2901">
        <v>150</v>
      </c>
      <c r="D327" s="2902">
        <f t="shared" si="136"/>
        <v>4.2862286331502638E-4</v>
      </c>
      <c r="E327" s="1083">
        <v>13500</v>
      </c>
      <c r="F327" s="2952">
        <f t="shared" si="137"/>
        <v>4.7192268046769006E-4</v>
      </c>
      <c r="G327" s="2903">
        <f t="shared" si="125"/>
        <v>13500</v>
      </c>
      <c r="H327" s="2903">
        <f t="shared" si="138"/>
        <v>0</v>
      </c>
      <c r="I327" s="2905">
        <f t="shared" si="126"/>
        <v>8550</v>
      </c>
      <c r="J327" s="1096">
        <v>2616</v>
      </c>
      <c r="K327" s="2479">
        <f t="shared" ref="K327:K390" si="139">J327*40.96</f>
        <v>107151.36</v>
      </c>
      <c r="L327" s="398">
        <f t="shared" si="127"/>
        <v>2700</v>
      </c>
      <c r="M327" s="1095">
        <f t="shared" si="128"/>
        <v>13866</v>
      </c>
      <c r="N327" s="2906">
        <f t="shared" si="129"/>
        <v>4.3642080901754547E-4</v>
      </c>
      <c r="O327" s="2907">
        <f t="shared" ref="O327:O390" si="140">N327-D327</f>
        <v>7.797945702519096E-6</v>
      </c>
      <c r="P327" s="2908">
        <f t="shared" ref="P327:P390" si="141">C327*300</f>
        <v>45000</v>
      </c>
      <c r="Q327" s="1095">
        <f t="shared" ref="Q327:Q390" si="142">E327*0.91</f>
        <v>12285</v>
      </c>
      <c r="R327" s="2909">
        <f t="shared" ref="R327:R390" si="143">SUM(P327:Q327)</f>
        <v>57285</v>
      </c>
      <c r="S327" s="398">
        <f t="shared" ref="S327:S390" si="144">C327*0</f>
        <v>0</v>
      </c>
      <c r="T327" s="1095">
        <f t="shared" ref="T327:T390" si="145">E327*0</f>
        <v>0</v>
      </c>
      <c r="U327" s="398">
        <f t="shared" ref="U327:U390" si="146">SUM(S327:T327)</f>
        <v>0</v>
      </c>
      <c r="V327" s="2913">
        <v>0</v>
      </c>
      <c r="W327" s="1095">
        <f t="shared" si="130"/>
        <v>13917.12</v>
      </c>
      <c r="X327" s="1095">
        <f t="shared" si="131"/>
        <v>2700</v>
      </c>
      <c r="Y327" s="2909">
        <f t="shared" si="134"/>
        <v>16617.120000000003</v>
      </c>
      <c r="Z327" s="2913">
        <v>0</v>
      </c>
      <c r="AA327" s="1095">
        <f t="shared" si="132"/>
        <v>7507.92</v>
      </c>
      <c r="AB327" s="1095">
        <f t="shared" si="133"/>
        <v>0</v>
      </c>
      <c r="AC327" s="2909">
        <f t="shared" si="135"/>
        <v>7507.92</v>
      </c>
    </row>
    <row r="328" spans="1:29">
      <c r="A328" s="1780" t="s">
        <v>4402</v>
      </c>
      <c r="B328" s="1780"/>
      <c r="C328" s="2901">
        <v>600</v>
      </c>
      <c r="D328" s="2902">
        <f t="shared" si="136"/>
        <v>1.7144914532601055E-3</v>
      </c>
      <c r="E328" s="1083">
        <v>54000</v>
      </c>
      <c r="F328" s="2952">
        <f t="shared" si="137"/>
        <v>1.8876907218707602E-3</v>
      </c>
      <c r="G328" s="2903">
        <f t="shared" si="125"/>
        <v>54000</v>
      </c>
      <c r="H328" s="2903">
        <f t="shared" si="138"/>
        <v>0</v>
      </c>
      <c r="I328" s="2905">
        <f t="shared" si="126"/>
        <v>34200</v>
      </c>
      <c r="J328" s="1096">
        <v>1221</v>
      </c>
      <c r="K328" s="2479">
        <f t="shared" si="139"/>
        <v>50012.160000000003</v>
      </c>
      <c r="L328" s="398">
        <f t="shared" si="127"/>
        <v>10800</v>
      </c>
      <c r="M328" s="1095">
        <f t="shared" si="128"/>
        <v>46221</v>
      </c>
      <c r="N328" s="2906">
        <f t="shared" si="129"/>
        <v>1.4547675042261624E-3</v>
      </c>
      <c r="O328" s="2907">
        <f t="shared" si="140"/>
        <v>-2.5972394903394313E-4</v>
      </c>
      <c r="P328" s="2908">
        <f t="shared" si="141"/>
        <v>180000</v>
      </c>
      <c r="Q328" s="1095">
        <f t="shared" si="142"/>
        <v>49140</v>
      </c>
      <c r="R328" s="2909">
        <f t="shared" si="143"/>
        <v>229140</v>
      </c>
      <c r="S328" s="398">
        <f t="shared" si="144"/>
        <v>0</v>
      </c>
      <c r="T328" s="1095">
        <f t="shared" si="145"/>
        <v>0</v>
      </c>
      <c r="U328" s="398">
        <f t="shared" si="146"/>
        <v>0</v>
      </c>
      <c r="V328" s="2913">
        <v>0</v>
      </c>
      <c r="W328" s="1095">
        <f t="shared" si="130"/>
        <v>6495.72</v>
      </c>
      <c r="X328" s="1095">
        <f t="shared" si="131"/>
        <v>10800</v>
      </c>
      <c r="Y328" s="2909">
        <f t="shared" si="134"/>
        <v>17295.72</v>
      </c>
      <c r="Z328" s="2913">
        <v>0</v>
      </c>
      <c r="AA328" s="1095">
        <f t="shared" si="132"/>
        <v>3504.27</v>
      </c>
      <c r="AB328" s="1095">
        <f t="shared" si="133"/>
        <v>0</v>
      </c>
      <c r="AC328" s="2909">
        <f t="shared" si="135"/>
        <v>3504.27</v>
      </c>
    </row>
    <row r="329" spans="1:29">
      <c r="A329" s="1780" t="s">
        <v>4403</v>
      </c>
      <c r="B329" s="1780"/>
      <c r="C329" s="2901">
        <v>65</v>
      </c>
      <c r="D329" s="2902">
        <f t="shared" si="136"/>
        <v>1.8573657410317809E-4</v>
      </c>
      <c r="E329" s="1083">
        <v>5850</v>
      </c>
      <c r="F329" s="2952">
        <f t="shared" si="137"/>
        <v>2.044998282026657E-4</v>
      </c>
      <c r="G329" s="2903">
        <f t="shared" si="125"/>
        <v>5850</v>
      </c>
      <c r="H329" s="2903">
        <f t="shared" si="138"/>
        <v>0</v>
      </c>
      <c r="I329" s="2905">
        <f t="shared" si="126"/>
        <v>3705</v>
      </c>
      <c r="J329" s="1096">
        <v>1133</v>
      </c>
      <c r="K329" s="2479">
        <f t="shared" si="139"/>
        <v>46407.68</v>
      </c>
      <c r="L329" s="398">
        <f t="shared" si="127"/>
        <v>1170</v>
      </c>
      <c r="M329" s="1095">
        <f t="shared" si="128"/>
        <v>6008</v>
      </c>
      <c r="N329" s="2906">
        <f t="shared" si="129"/>
        <v>1.8909679940699647E-4</v>
      </c>
      <c r="O329" s="2907">
        <f t="shared" si="140"/>
        <v>3.3602253038183757E-6</v>
      </c>
      <c r="P329" s="2908">
        <f t="shared" si="141"/>
        <v>19500</v>
      </c>
      <c r="Q329" s="1095">
        <f t="shared" si="142"/>
        <v>5323.5</v>
      </c>
      <c r="R329" s="2909">
        <f t="shared" si="143"/>
        <v>24823.5</v>
      </c>
      <c r="S329" s="398">
        <f t="shared" si="144"/>
        <v>0</v>
      </c>
      <c r="T329" s="1095">
        <f t="shared" si="145"/>
        <v>0</v>
      </c>
      <c r="U329" s="398">
        <f t="shared" si="146"/>
        <v>0</v>
      </c>
      <c r="V329" s="2913">
        <v>0</v>
      </c>
      <c r="W329" s="1095">
        <f t="shared" si="130"/>
        <v>6027.56</v>
      </c>
      <c r="X329" s="1095">
        <f t="shared" si="131"/>
        <v>1170</v>
      </c>
      <c r="Y329" s="2909">
        <f t="shared" si="134"/>
        <v>7197.56</v>
      </c>
      <c r="Z329" s="2913">
        <v>0</v>
      </c>
      <c r="AA329" s="1095">
        <f t="shared" si="132"/>
        <v>3251.71</v>
      </c>
      <c r="AB329" s="1095">
        <f t="shared" si="133"/>
        <v>0</v>
      </c>
      <c r="AC329" s="2909">
        <f t="shared" si="135"/>
        <v>3251.71</v>
      </c>
    </row>
    <row r="330" spans="1:29">
      <c r="A330" s="1780" t="s">
        <v>4404</v>
      </c>
      <c r="B330" s="1780"/>
      <c r="C330" s="2901">
        <v>365</v>
      </c>
      <c r="D330" s="2902">
        <f t="shared" si="136"/>
        <v>1.0429823007332309E-3</v>
      </c>
      <c r="E330" s="1083">
        <v>32850</v>
      </c>
      <c r="F330" s="2952">
        <f t="shared" si="137"/>
        <v>1.1483451891380458E-3</v>
      </c>
      <c r="G330" s="2903">
        <f t="shared" si="125"/>
        <v>32850</v>
      </c>
      <c r="H330" s="2903">
        <f t="shared" si="138"/>
        <v>0</v>
      </c>
      <c r="I330" s="2905">
        <f t="shared" si="126"/>
        <v>20805</v>
      </c>
      <c r="J330" s="1096">
        <v>6365</v>
      </c>
      <c r="K330" s="2479">
        <f t="shared" si="139"/>
        <v>260710.39999999999</v>
      </c>
      <c r="L330" s="398">
        <f t="shared" si="127"/>
        <v>6570</v>
      </c>
      <c r="M330" s="1095">
        <f t="shared" si="128"/>
        <v>33740</v>
      </c>
      <c r="N330" s="2906">
        <f t="shared" si="129"/>
        <v>1.0619384174420873E-3</v>
      </c>
      <c r="O330" s="2907">
        <f t="shared" si="140"/>
        <v>1.8956116708856432E-5</v>
      </c>
      <c r="P330" s="2908">
        <f t="shared" si="141"/>
        <v>109500</v>
      </c>
      <c r="Q330" s="1095">
        <f t="shared" si="142"/>
        <v>29893.5</v>
      </c>
      <c r="R330" s="2909">
        <f t="shared" si="143"/>
        <v>139393.5</v>
      </c>
      <c r="S330" s="398">
        <f t="shared" si="144"/>
        <v>0</v>
      </c>
      <c r="T330" s="1095">
        <f t="shared" si="145"/>
        <v>0</v>
      </c>
      <c r="U330" s="398">
        <f t="shared" si="146"/>
        <v>0</v>
      </c>
      <c r="V330" s="2913">
        <v>0</v>
      </c>
      <c r="W330" s="1095">
        <f t="shared" si="130"/>
        <v>33861.800000000003</v>
      </c>
      <c r="X330" s="1095">
        <f t="shared" si="131"/>
        <v>6570</v>
      </c>
      <c r="Y330" s="2909">
        <f t="shared" si="134"/>
        <v>40431.800000000003</v>
      </c>
      <c r="Z330" s="2913">
        <v>0</v>
      </c>
      <c r="AA330" s="1095">
        <f t="shared" si="132"/>
        <v>18267.55</v>
      </c>
      <c r="AB330" s="1095">
        <f t="shared" si="133"/>
        <v>0</v>
      </c>
      <c r="AC330" s="2909">
        <f t="shared" si="135"/>
        <v>18267.55</v>
      </c>
    </row>
    <row r="331" spans="1:29">
      <c r="A331" s="1780" t="s">
        <v>4405</v>
      </c>
      <c r="B331" s="1780"/>
      <c r="C331" s="2901">
        <v>475</v>
      </c>
      <c r="D331" s="2902">
        <f t="shared" si="136"/>
        <v>1.3573057338309169E-3</v>
      </c>
      <c r="E331" s="1083">
        <v>42750</v>
      </c>
      <c r="F331" s="2952">
        <f t="shared" si="137"/>
        <v>1.4944218214810185E-3</v>
      </c>
      <c r="G331" s="2903">
        <f t="shared" si="125"/>
        <v>42750</v>
      </c>
      <c r="H331" s="2903">
        <f t="shared" si="138"/>
        <v>0</v>
      </c>
      <c r="I331" s="2905">
        <f t="shared" si="126"/>
        <v>27075</v>
      </c>
      <c r="J331" s="1096">
        <v>0</v>
      </c>
      <c r="K331" s="2479">
        <f t="shared" si="139"/>
        <v>0</v>
      </c>
      <c r="L331" s="398">
        <f t="shared" si="127"/>
        <v>8550</v>
      </c>
      <c r="M331" s="1095">
        <f t="shared" si="128"/>
        <v>35625</v>
      </c>
      <c r="N331" s="2906">
        <f t="shared" si="129"/>
        <v>1.1212672235143557E-3</v>
      </c>
      <c r="O331" s="2907">
        <f t="shared" si="140"/>
        <v>-2.3603851031656119E-4</v>
      </c>
      <c r="P331" s="2908">
        <f t="shared" si="141"/>
        <v>142500</v>
      </c>
      <c r="Q331" s="1095">
        <f t="shared" si="142"/>
        <v>38902.5</v>
      </c>
      <c r="R331" s="2909">
        <f t="shared" si="143"/>
        <v>181402.5</v>
      </c>
      <c r="S331" s="398">
        <f t="shared" si="144"/>
        <v>0</v>
      </c>
      <c r="T331" s="1095">
        <f t="shared" si="145"/>
        <v>0</v>
      </c>
      <c r="U331" s="398">
        <f t="shared" si="146"/>
        <v>0</v>
      </c>
      <c r="V331" s="2913">
        <v>0</v>
      </c>
      <c r="W331" s="1095">
        <f t="shared" si="130"/>
        <v>0</v>
      </c>
      <c r="X331" s="1095">
        <f t="shared" si="131"/>
        <v>8550</v>
      </c>
      <c r="Y331" s="2909">
        <f t="shared" si="134"/>
        <v>8550</v>
      </c>
      <c r="Z331" s="2913">
        <v>0</v>
      </c>
      <c r="AA331" s="1095">
        <f t="shared" si="132"/>
        <v>0</v>
      </c>
      <c r="AB331" s="1095">
        <f t="shared" si="133"/>
        <v>0</v>
      </c>
      <c r="AC331" s="2909">
        <f t="shared" si="135"/>
        <v>0</v>
      </c>
    </row>
    <row r="332" spans="1:29">
      <c r="A332" s="1780" t="s">
        <v>4406</v>
      </c>
      <c r="B332" s="1780"/>
      <c r="C332" s="2901">
        <v>90</v>
      </c>
      <c r="D332" s="2902">
        <f t="shared" si="136"/>
        <v>2.5717371798901582E-4</v>
      </c>
      <c r="E332" s="1083">
        <v>8100</v>
      </c>
      <c r="F332" s="2952">
        <f t="shared" si="137"/>
        <v>2.8315360828061405E-4</v>
      </c>
      <c r="G332" s="2903">
        <f t="shared" si="125"/>
        <v>8100</v>
      </c>
      <c r="H332" s="2903">
        <f t="shared" si="138"/>
        <v>0</v>
      </c>
      <c r="I332" s="2905">
        <f t="shared" si="126"/>
        <v>5130</v>
      </c>
      <c r="J332" s="1096">
        <v>1569</v>
      </c>
      <c r="K332" s="2479">
        <f t="shared" si="139"/>
        <v>64266.239999999998</v>
      </c>
      <c r="L332" s="398">
        <f t="shared" si="127"/>
        <v>1620</v>
      </c>
      <c r="M332" s="1095">
        <f t="shared" si="128"/>
        <v>8319</v>
      </c>
      <c r="N332" s="2906">
        <f t="shared" si="129"/>
        <v>2.6183360090992073E-4</v>
      </c>
      <c r="O332" s="2907">
        <f t="shared" si="140"/>
        <v>4.6598829209049098E-6</v>
      </c>
      <c r="P332" s="2908">
        <f t="shared" si="141"/>
        <v>27000</v>
      </c>
      <c r="Q332" s="1095">
        <f t="shared" si="142"/>
        <v>7371</v>
      </c>
      <c r="R332" s="2909">
        <f t="shared" si="143"/>
        <v>34371</v>
      </c>
      <c r="S332" s="398">
        <f t="shared" si="144"/>
        <v>0</v>
      </c>
      <c r="T332" s="1095">
        <f t="shared" si="145"/>
        <v>0</v>
      </c>
      <c r="U332" s="398">
        <f t="shared" si="146"/>
        <v>0</v>
      </c>
      <c r="V332" s="2913">
        <v>0</v>
      </c>
      <c r="W332" s="1095">
        <f t="shared" si="130"/>
        <v>8347.08</v>
      </c>
      <c r="X332" s="1095">
        <f t="shared" si="131"/>
        <v>1620</v>
      </c>
      <c r="Y332" s="2909">
        <f t="shared" si="134"/>
        <v>9967.08</v>
      </c>
      <c r="Z332" s="2913">
        <v>0</v>
      </c>
      <c r="AA332" s="1095">
        <f t="shared" si="132"/>
        <v>4503.03</v>
      </c>
      <c r="AB332" s="1095">
        <f t="shared" si="133"/>
        <v>0</v>
      </c>
      <c r="AC332" s="2909">
        <f t="shared" si="135"/>
        <v>4503.03</v>
      </c>
    </row>
    <row r="333" spans="1:29">
      <c r="A333" s="1780" t="s">
        <v>4407</v>
      </c>
      <c r="B333" s="1780"/>
      <c r="C333" s="2901">
        <v>780</v>
      </c>
      <c r="D333" s="2902">
        <f t="shared" si="136"/>
        <v>2.228838889238137E-3</v>
      </c>
      <c r="E333" s="1083">
        <v>70200</v>
      </c>
      <c r="F333" s="2952">
        <f t="shared" si="137"/>
        <v>2.4539979384319882E-3</v>
      </c>
      <c r="G333" s="2903">
        <f t="shared" si="125"/>
        <v>70200</v>
      </c>
      <c r="H333" s="2903">
        <f t="shared" si="138"/>
        <v>0</v>
      </c>
      <c r="I333" s="2905">
        <f t="shared" si="126"/>
        <v>44460</v>
      </c>
      <c r="J333" s="1096">
        <v>13603</v>
      </c>
      <c r="K333" s="2479">
        <f t="shared" si="139"/>
        <v>557178.88</v>
      </c>
      <c r="L333" s="398">
        <f t="shared" si="127"/>
        <v>14040</v>
      </c>
      <c r="M333" s="1095">
        <f t="shared" si="128"/>
        <v>72103</v>
      </c>
      <c r="N333" s="2906">
        <f t="shared" si="129"/>
        <v>2.2693819120577006E-3</v>
      </c>
      <c r="O333" s="2907">
        <f t="shared" si="140"/>
        <v>4.0543022819563602E-5</v>
      </c>
      <c r="P333" s="2908">
        <f t="shared" si="141"/>
        <v>234000</v>
      </c>
      <c r="Q333" s="1095">
        <f t="shared" si="142"/>
        <v>63882</v>
      </c>
      <c r="R333" s="2909">
        <f t="shared" si="143"/>
        <v>297882</v>
      </c>
      <c r="S333" s="398">
        <f t="shared" si="144"/>
        <v>0</v>
      </c>
      <c r="T333" s="1095">
        <f t="shared" si="145"/>
        <v>0</v>
      </c>
      <c r="U333" s="398">
        <f t="shared" si="146"/>
        <v>0</v>
      </c>
      <c r="V333" s="2913">
        <v>0</v>
      </c>
      <c r="W333" s="1095">
        <f t="shared" si="130"/>
        <v>72367.960000000006</v>
      </c>
      <c r="X333" s="1095">
        <f t="shared" si="131"/>
        <v>14040</v>
      </c>
      <c r="Y333" s="2909">
        <f t="shared" si="134"/>
        <v>86407.96</v>
      </c>
      <c r="Z333" s="2913">
        <v>0</v>
      </c>
      <c r="AA333" s="1095">
        <f t="shared" si="132"/>
        <v>39040.61</v>
      </c>
      <c r="AB333" s="1095">
        <f t="shared" si="133"/>
        <v>0</v>
      </c>
      <c r="AC333" s="2909">
        <f t="shared" si="135"/>
        <v>39040.61</v>
      </c>
    </row>
    <row r="334" spans="1:29">
      <c r="A334" s="1780" t="s">
        <v>4408</v>
      </c>
      <c r="B334" s="1780"/>
      <c r="C334" s="2901">
        <v>60</v>
      </c>
      <c r="D334" s="2902">
        <f t="shared" si="136"/>
        <v>1.7144914532601056E-4</v>
      </c>
      <c r="E334" s="1083">
        <v>5400</v>
      </c>
      <c r="F334" s="2952">
        <f t="shared" si="137"/>
        <v>1.8876907218707601E-4</v>
      </c>
      <c r="G334" s="2903">
        <f t="shared" si="125"/>
        <v>5400</v>
      </c>
      <c r="H334" s="2903">
        <f t="shared" si="138"/>
        <v>0</v>
      </c>
      <c r="I334" s="2905">
        <f t="shared" si="126"/>
        <v>3420</v>
      </c>
      <c r="J334" s="1096">
        <v>0</v>
      </c>
      <c r="K334" s="2479">
        <f t="shared" si="139"/>
        <v>0</v>
      </c>
      <c r="L334" s="398">
        <f t="shared" si="127"/>
        <v>1080</v>
      </c>
      <c r="M334" s="1095">
        <f t="shared" si="128"/>
        <v>4500</v>
      </c>
      <c r="N334" s="2906">
        <f t="shared" si="129"/>
        <v>1.4163375454918177E-4</v>
      </c>
      <c r="O334" s="2907">
        <f t="shared" si="140"/>
        <v>-2.9815390776828795E-5</v>
      </c>
      <c r="P334" s="2908">
        <f t="shared" si="141"/>
        <v>18000</v>
      </c>
      <c r="Q334" s="1095">
        <f t="shared" si="142"/>
        <v>4914</v>
      </c>
      <c r="R334" s="2909">
        <f t="shared" si="143"/>
        <v>22914</v>
      </c>
      <c r="S334" s="398">
        <f t="shared" si="144"/>
        <v>0</v>
      </c>
      <c r="T334" s="1095">
        <f t="shared" si="145"/>
        <v>0</v>
      </c>
      <c r="U334" s="398">
        <f t="shared" si="146"/>
        <v>0</v>
      </c>
      <c r="V334" s="2913">
        <v>0</v>
      </c>
      <c r="W334" s="1095">
        <f t="shared" si="130"/>
        <v>0</v>
      </c>
      <c r="X334" s="1095">
        <f t="shared" si="131"/>
        <v>1080</v>
      </c>
      <c r="Y334" s="2909">
        <f t="shared" si="134"/>
        <v>1080</v>
      </c>
      <c r="Z334" s="2913">
        <v>0</v>
      </c>
      <c r="AA334" s="1095">
        <f t="shared" si="132"/>
        <v>0</v>
      </c>
      <c r="AB334" s="1095">
        <f t="shared" si="133"/>
        <v>0</v>
      </c>
      <c r="AC334" s="2909">
        <f t="shared" si="135"/>
        <v>0</v>
      </c>
    </row>
    <row r="335" spans="1:29">
      <c r="A335" s="1780" t="s">
        <v>4409</v>
      </c>
      <c r="B335" s="1780"/>
      <c r="C335" s="2901">
        <v>310</v>
      </c>
      <c r="D335" s="2902">
        <f t="shared" si="136"/>
        <v>8.8582058418438788E-4</v>
      </c>
      <c r="E335" s="1083">
        <v>27900</v>
      </c>
      <c r="F335" s="2952">
        <f t="shared" si="137"/>
        <v>9.753068729665595E-4</v>
      </c>
      <c r="G335" s="2903">
        <f t="shared" si="125"/>
        <v>27900</v>
      </c>
      <c r="H335" s="2903">
        <f t="shared" si="138"/>
        <v>0</v>
      </c>
      <c r="I335" s="2905">
        <f t="shared" si="126"/>
        <v>17670</v>
      </c>
      <c r="J335" s="1096">
        <v>5406</v>
      </c>
      <c r="K335" s="2479">
        <f t="shared" si="139"/>
        <v>221429.76000000001</v>
      </c>
      <c r="L335" s="398">
        <f t="shared" si="127"/>
        <v>5580</v>
      </c>
      <c r="M335" s="1095">
        <f t="shared" si="128"/>
        <v>28656</v>
      </c>
      <c r="N335" s="2906">
        <f t="shared" si="129"/>
        <v>9.0192374896918952E-4</v>
      </c>
      <c r="O335" s="2907">
        <f t="shared" si="140"/>
        <v>1.610316478480164E-5</v>
      </c>
      <c r="P335" s="2908">
        <f t="shared" si="141"/>
        <v>93000</v>
      </c>
      <c r="Q335" s="1095">
        <f t="shared" si="142"/>
        <v>25389</v>
      </c>
      <c r="R335" s="2909">
        <f t="shared" si="143"/>
        <v>118389</v>
      </c>
      <c r="S335" s="398">
        <f t="shared" si="144"/>
        <v>0</v>
      </c>
      <c r="T335" s="1095">
        <f t="shared" si="145"/>
        <v>0</v>
      </c>
      <c r="U335" s="398">
        <f t="shared" si="146"/>
        <v>0</v>
      </c>
      <c r="V335" s="2913">
        <v>0</v>
      </c>
      <c r="W335" s="1095">
        <f t="shared" si="130"/>
        <v>28759.920000000002</v>
      </c>
      <c r="X335" s="1095">
        <f t="shared" si="131"/>
        <v>5580</v>
      </c>
      <c r="Y335" s="2909">
        <f t="shared" si="134"/>
        <v>34339.919999999998</v>
      </c>
      <c r="Z335" s="2913">
        <v>0</v>
      </c>
      <c r="AA335" s="1095">
        <f t="shared" si="132"/>
        <v>15515.220000000001</v>
      </c>
      <c r="AB335" s="1095">
        <f t="shared" si="133"/>
        <v>0</v>
      </c>
      <c r="AC335" s="2909">
        <f t="shared" si="135"/>
        <v>15515.220000000001</v>
      </c>
    </row>
    <row r="336" spans="1:29">
      <c r="A336" s="1780" t="s">
        <v>4410</v>
      </c>
      <c r="B336" s="1780"/>
      <c r="C336" s="2901">
        <v>75</v>
      </c>
      <c r="D336" s="2902">
        <f t="shared" si="136"/>
        <v>2.1431143165751319E-4</v>
      </c>
      <c r="E336" s="1083">
        <v>6750</v>
      </c>
      <c r="F336" s="2952">
        <f t="shared" si="137"/>
        <v>2.3596134023384503E-4</v>
      </c>
      <c r="G336" s="2903">
        <f t="shared" si="125"/>
        <v>6750</v>
      </c>
      <c r="H336" s="2903">
        <f t="shared" si="138"/>
        <v>0</v>
      </c>
      <c r="I336" s="2905">
        <f t="shared" si="126"/>
        <v>4275</v>
      </c>
      <c r="J336" s="1096">
        <v>1308</v>
      </c>
      <c r="K336" s="2479">
        <f t="shared" si="139"/>
        <v>53575.68</v>
      </c>
      <c r="L336" s="398">
        <f t="shared" si="127"/>
        <v>1350</v>
      </c>
      <c r="M336" s="1095">
        <f t="shared" si="128"/>
        <v>6933</v>
      </c>
      <c r="N336" s="2906">
        <f t="shared" si="129"/>
        <v>2.1821040450877274E-4</v>
      </c>
      <c r="O336" s="2907">
        <f t="shared" si="140"/>
        <v>3.898972851259548E-6</v>
      </c>
      <c r="P336" s="2908">
        <f t="shared" si="141"/>
        <v>22500</v>
      </c>
      <c r="Q336" s="1095">
        <f t="shared" si="142"/>
        <v>6142.5</v>
      </c>
      <c r="R336" s="2909">
        <f t="shared" si="143"/>
        <v>28642.5</v>
      </c>
      <c r="S336" s="398">
        <f t="shared" si="144"/>
        <v>0</v>
      </c>
      <c r="T336" s="1095">
        <f t="shared" si="145"/>
        <v>0</v>
      </c>
      <c r="U336" s="398">
        <f t="shared" si="146"/>
        <v>0</v>
      </c>
      <c r="V336" s="2913">
        <v>0</v>
      </c>
      <c r="W336" s="1095">
        <f t="shared" si="130"/>
        <v>6958.56</v>
      </c>
      <c r="X336" s="1095">
        <f t="shared" si="131"/>
        <v>1350</v>
      </c>
      <c r="Y336" s="2909">
        <f t="shared" si="134"/>
        <v>8308.5600000000013</v>
      </c>
      <c r="Z336" s="2913">
        <v>0</v>
      </c>
      <c r="AA336" s="1095">
        <f t="shared" si="132"/>
        <v>3753.96</v>
      </c>
      <c r="AB336" s="1095">
        <f t="shared" si="133"/>
        <v>0</v>
      </c>
      <c r="AC336" s="2909">
        <f t="shared" si="135"/>
        <v>3753.96</v>
      </c>
    </row>
    <row r="337" spans="1:29">
      <c r="A337" s="1780" t="s">
        <v>4411</v>
      </c>
      <c r="B337" s="1780"/>
      <c r="C337" s="2901">
        <v>140</v>
      </c>
      <c r="D337" s="2902">
        <f t="shared" si="136"/>
        <v>4.0004800576069126E-4</v>
      </c>
      <c r="E337" s="1083">
        <v>12600</v>
      </c>
      <c r="F337" s="2952">
        <f t="shared" si="137"/>
        <v>4.4046116843651073E-4</v>
      </c>
      <c r="G337" s="2903">
        <f t="shared" si="125"/>
        <v>12600</v>
      </c>
      <c r="H337" s="2903">
        <f t="shared" si="138"/>
        <v>0</v>
      </c>
      <c r="I337" s="2905">
        <f t="shared" si="126"/>
        <v>7980</v>
      </c>
      <c r="J337" s="1096">
        <v>0</v>
      </c>
      <c r="K337" s="2479">
        <f t="shared" si="139"/>
        <v>0</v>
      </c>
      <c r="L337" s="398">
        <f t="shared" si="127"/>
        <v>2520</v>
      </c>
      <c r="M337" s="1095">
        <f t="shared" si="128"/>
        <v>10500</v>
      </c>
      <c r="N337" s="2906">
        <f t="shared" si="129"/>
        <v>3.3047876061475747E-4</v>
      </c>
      <c r="O337" s="2907">
        <f t="shared" si="140"/>
        <v>-6.9569245145933783E-5</v>
      </c>
      <c r="P337" s="2908">
        <f t="shared" si="141"/>
        <v>42000</v>
      </c>
      <c r="Q337" s="1095">
        <f t="shared" si="142"/>
        <v>11466</v>
      </c>
      <c r="R337" s="2909">
        <f t="shared" si="143"/>
        <v>53466</v>
      </c>
      <c r="S337" s="398">
        <f t="shared" si="144"/>
        <v>0</v>
      </c>
      <c r="T337" s="1095">
        <f t="shared" si="145"/>
        <v>0</v>
      </c>
      <c r="U337" s="398">
        <f t="shared" si="146"/>
        <v>0</v>
      </c>
      <c r="V337" s="2913">
        <v>0</v>
      </c>
      <c r="W337" s="1095">
        <f t="shared" si="130"/>
        <v>0</v>
      </c>
      <c r="X337" s="1095">
        <f t="shared" si="131"/>
        <v>2520</v>
      </c>
      <c r="Y337" s="2909">
        <f t="shared" si="134"/>
        <v>2520</v>
      </c>
      <c r="Z337" s="2913">
        <v>0</v>
      </c>
      <c r="AA337" s="1095">
        <f t="shared" si="132"/>
        <v>0</v>
      </c>
      <c r="AB337" s="1095">
        <f t="shared" si="133"/>
        <v>0</v>
      </c>
      <c r="AC337" s="2909">
        <f t="shared" si="135"/>
        <v>0</v>
      </c>
    </row>
    <row r="338" spans="1:29">
      <c r="A338" s="1780" t="s">
        <v>4412</v>
      </c>
      <c r="B338" s="1780"/>
      <c r="C338" s="2901">
        <v>145</v>
      </c>
      <c r="D338" s="2902">
        <f t="shared" si="136"/>
        <v>4.1433543453785882E-4</v>
      </c>
      <c r="E338" s="1083">
        <v>13050</v>
      </c>
      <c r="F338" s="2952">
        <f t="shared" si="137"/>
        <v>4.5619192445210037E-4</v>
      </c>
      <c r="G338" s="2903">
        <f t="shared" si="125"/>
        <v>13050</v>
      </c>
      <c r="H338" s="2903">
        <f t="shared" si="138"/>
        <v>0</v>
      </c>
      <c r="I338" s="2905">
        <f t="shared" si="126"/>
        <v>8265</v>
      </c>
      <c r="J338" s="1096">
        <v>2528</v>
      </c>
      <c r="K338" s="2479">
        <f t="shared" si="139"/>
        <v>103546.88</v>
      </c>
      <c r="L338" s="398">
        <f t="shared" si="127"/>
        <v>2610</v>
      </c>
      <c r="M338" s="1095">
        <f t="shared" si="128"/>
        <v>13403</v>
      </c>
      <c r="N338" s="2906">
        <f t="shared" si="129"/>
        <v>4.2184826938281852E-4</v>
      </c>
      <c r="O338" s="2907">
        <f t="shared" si="140"/>
        <v>7.512834844959702E-6</v>
      </c>
      <c r="P338" s="2908">
        <f t="shared" si="141"/>
        <v>43500</v>
      </c>
      <c r="Q338" s="1095">
        <f t="shared" si="142"/>
        <v>11875.5</v>
      </c>
      <c r="R338" s="2909">
        <f t="shared" si="143"/>
        <v>55375.5</v>
      </c>
      <c r="S338" s="398">
        <f t="shared" si="144"/>
        <v>0</v>
      </c>
      <c r="T338" s="1095">
        <f t="shared" si="145"/>
        <v>0</v>
      </c>
      <c r="U338" s="398">
        <f t="shared" si="146"/>
        <v>0</v>
      </c>
      <c r="V338" s="2913">
        <v>0</v>
      </c>
      <c r="W338" s="1095">
        <f t="shared" si="130"/>
        <v>13448.960000000001</v>
      </c>
      <c r="X338" s="1095">
        <f t="shared" si="131"/>
        <v>2610</v>
      </c>
      <c r="Y338" s="2909">
        <f t="shared" si="134"/>
        <v>16058.960000000001</v>
      </c>
      <c r="Z338" s="2913">
        <v>0</v>
      </c>
      <c r="AA338" s="1095">
        <f t="shared" si="132"/>
        <v>7255.3600000000006</v>
      </c>
      <c r="AB338" s="1095">
        <f t="shared" si="133"/>
        <v>0</v>
      </c>
      <c r="AC338" s="2909">
        <f t="shared" si="135"/>
        <v>7255.3600000000006</v>
      </c>
    </row>
    <row r="339" spans="1:29">
      <c r="A339" s="1780" t="s">
        <v>4413</v>
      </c>
      <c r="B339" s="1780"/>
      <c r="C339" s="2901">
        <v>85</v>
      </c>
      <c r="D339" s="2902">
        <f t="shared" si="136"/>
        <v>2.4288628921184828E-4</v>
      </c>
      <c r="E339" s="1083">
        <v>7650</v>
      </c>
      <c r="F339" s="2952">
        <f t="shared" si="137"/>
        <v>2.6742285226502436E-4</v>
      </c>
      <c r="G339" s="2903">
        <f t="shared" si="125"/>
        <v>7650</v>
      </c>
      <c r="H339" s="2903">
        <f t="shared" si="138"/>
        <v>0</v>
      </c>
      <c r="I339" s="2905">
        <f t="shared" si="126"/>
        <v>4845</v>
      </c>
      <c r="J339" s="1096">
        <v>1482</v>
      </c>
      <c r="K339" s="2479">
        <f t="shared" si="139"/>
        <v>60702.720000000001</v>
      </c>
      <c r="L339" s="398">
        <f t="shared" si="127"/>
        <v>1530</v>
      </c>
      <c r="M339" s="1095">
        <f t="shared" si="128"/>
        <v>7857</v>
      </c>
      <c r="N339" s="2906">
        <f t="shared" si="129"/>
        <v>2.4729253544287139E-4</v>
      </c>
      <c r="O339" s="2907">
        <f t="shared" si="140"/>
        <v>4.4062462310231045E-6</v>
      </c>
      <c r="P339" s="2908">
        <f t="shared" si="141"/>
        <v>25500</v>
      </c>
      <c r="Q339" s="1095">
        <f t="shared" si="142"/>
        <v>6961.5</v>
      </c>
      <c r="R339" s="2909">
        <f t="shared" si="143"/>
        <v>32461.5</v>
      </c>
      <c r="S339" s="398">
        <f t="shared" si="144"/>
        <v>0</v>
      </c>
      <c r="T339" s="1095">
        <f t="shared" si="145"/>
        <v>0</v>
      </c>
      <c r="U339" s="398">
        <f t="shared" si="146"/>
        <v>0</v>
      </c>
      <c r="V339" s="2913">
        <v>0</v>
      </c>
      <c r="W339" s="1095">
        <f t="shared" si="130"/>
        <v>7884.2400000000007</v>
      </c>
      <c r="X339" s="1095">
        <f t="shared" si="131"/>
        <v>1530</v>
      </c>
      <c r="Y339" s="2909">
        <f t="shared" si="134"/>
        <v>9414.2400000000016</v>
      </c>
      <c r="Z339" s="2913">
        <v>0</v>
      </c>
      <c r="AA339" s="1095">
        <f t="shared" si="132"/>
        <v>4253.34</v>
      </c>
      <c r="AB339" s="1095">
        <f t="shared" si="133"/>
        <v>0</v>
      </c>
      <c r="AC339" s="2909">
        <f t="shared" si="135"/>
        <v>4253.34</v>
      </c>
    </row>
    <row r="340" spans="1:29">
      <c r="A340" s="1780" t="s">
        <v>4414</v>
      </c>
      <c r="B340" s="1780"/>
      <c r="C340" s="2901">
        <v>170</v>
      </c>
      <c r="D340" s="2902">
        <f t="shared" si="136"/>
        <v>4.8577257842369656E-4</v>
      </c>
      <c r="E340" s="1083">
        <v>15300</v>
      </c>
      <c r="F340" s="2952">
        <f t="shared" si="137"/>
        <v>5.3484570453004871E-4</v>
      </c>
      <c r="G340" s="2903">
        <f t="shared" si="125"/>
        <v>15300</v>
      </c>
      <c r="H340" s="2903">
        <f t="shared" si="138"/>
        <v>0</v>
      </c>
      <c r="I340" s="2905">
        <f t="shared" si="126"/>
        <v>9690</v>
      </c>
      <c r="J340" s="1096">
        <v>3208</v>
      </c>
      <c r="K340" s="2479">
        <f t="shared" si="139"/>
        <v>131399.67999999999</v>
      </c>
      <c r="L340" s="398">
        <f t="shared" si="127"/>
        <v>3060</v>
      </c>
      <c r="M340" s="1095">
        <f t="shared" si="128"/>
        <v>15958</v>
      </c>
      <c r="N340" s="2906">
        <f t="shared" si="129"/>
        <v>5.0226476779907615E-4</v>
      </c>
      <c r="O340" s="2907">
        <f t="shared" si="140"/>
        <v>1.6492189375379585E-5</v>
      </c>
      <c r="P340" s="2908">
        <f t="shared" si="141"/>
        <v>51000</v>
      </c>
      <c r="Q340" s="1095">
        <f t="shared" si="142"/>
        <v>13923</v>
      </c>
      <c r="R340" s="2909">
        <f t="shared" si="143"/>
        <v>64923</v>
      </c>
      <c r="S340" s="398">
        <f t="shared" si="144"/>
        <v>0</v>
      </c>
      <c r="T340" s="1095">
        <f t="shared" si="145"/>
        <v>0</v>
      </c>
      <c r="U340" s="398">
        <f t="shared" si="146"/>
        <v>0</v>
      </c>
      <c r="V340" s="2913">
        <v>0</v>
      </c>
      <c r="W340" s="1095">
        <f t="shared" si="130"/>
        <v>17066.560000000001</v>
      </c>
      <c r="X340" s="1095">
        <f t="shared" si="131"/>
        <v>3060</v>
      </c>
      <c r="Y340" s="2909">
        <f t="shared" si="134"/>
        <v>20126.560000000001</v>
      </c>
      <c r="Z340" s="2913">
        <v>0</v>
      </c>
      <c r="AA340" s="1095">
        <f t="shared" si="132"/>
        <v>9206.9600000000009</v>
      </c>
      <c r="AB340" s="1095">
        <f t="shared" si="133"/>
        <v>0</v>
      </c>
      <c r="AC340" s="2909">
        <f t="shared" si="135"/>
        <v>9206.9600000000009</v>
      </c>
    </row>
    <row r="341" spans="1:29">
      <c r="A341" s="1780" t="s">
        <v>4415</v>
      </c>
      <c r="B341" s="1780"/>
      <c r="C341" s="2901">
        <v>250</v>
      </c>
      <c r="D341" s="2902">
        <f t="shared" si="136"/>
        <v>7.1437143885837726E-4</v>
      </c>
      <c r="E341" s="1083">
        <v>22500</v>
      </c>
      <c r="F341" s="2952">
        <f t="shared" si="137"/>
        <v>7.8653780077948343E-4</v>
      </c>
      <c r="G341" s="2903">
        <f t="shared" si="125"/>
        <v>22500</v>
      </c>
      <c r="H341" s="2903">
        <f t="shared" si="138"/>
        <v>0</v>
      </c>
      <c r="I341" s="2905">
        <f t="shared" si="126"/>
        <v>14250</v>
      </c>
      <c r="J341" s="1096">
        <v>4360</v>
      </c>
      <c r="K341" s="2479">
        <f t="shared" si="139"/>
        <v>178585.60000000001</v>
      </c>
      <c r="L341" s="398">
        <f t="shared" si="127"/>
        <v>4500</v>
      </c>
      <c r="M341" s="1095">
        <f t="shared" si="128"/>
        <v>23110</v>
      </c>
      <c r="N341" s="2906">
        <f t="shared" si="129"/>
        <v>7.2736801502924244E-4</v>
      </c>
      <c r="O341" s="2907">
        <f t="shared" si="140"/>
        <v>1.2996576170865178E-5</v>
      </c>
      <c r="P341" s="2908">
        <f t="shared" si="141"/>
        <v>75000</v>
      </c>
      <c r="Q341" s="1095">
        <f t="shared" si="142"/>
        <v>20475</v>
      </c>
      <c r="R341" s="2909">
        <f t="shared" si="143"/>
        <v>95475</v>
      </c>
      <c r="S341" s="398">
        <f t="shared" si="144"/>
        <v>0</v>
      </c>
      <c r="T341" s="1095">
        <f t="shared" si="145"/>
        <v>0</v>
      </c>
      <c r="U341" s="398">
        <f t="shared" si="146"/>
        <v>0</v>
      </c>
      <c r="V341" s="2913">
        <v>0</v>
      </c>
      <c r="W341" s="1095">
        <f t="shared" si="130"/>
        <v>23195.200000000001</v>
      </c>
      <c r="X341" s="1095">
        <f t="shared" si="131"/>
        <v>4500</v>
      </c>
      <c r="Y341" s="2909">
        <f t="shared" si="134"/>
        <v>27695.200000000001</v>
      </c>
      <c r="Z341" s="2913">
        <v>0</v>
      </c>
      <c r="AA341" s="1095">
        <f t="shared" si="132"/>
        <v>12513.2</v>
      </c>
      <c r="AB341" s="1095">
        <f t="shared" si="133"/>
        <v>0</v>
      </c>
      <c r="AC341" s="2909">
        <f t="shared" si="135"/>
        <v>12513.2</v>
      </c>
    </row>
    <row r="342" spans="1:29">
      <c r="A342" s="1780" t="s">
        <v>4416</v>
      </c>
      <c r="B342" s="1780"/>
      <c r="C342" s="2901">
        <v>155</v>
      </c>
      <c r="D342" s="2902">
        <f t="shared" si="136"/>
        <v>4.4291029209219394E-4</v>
      </c>
      <c r="E342" s="1083">
        <v>13950</v>
      </c>
      <c r="F342" s="2952">
        <f t="shared" si="137"/>
        <v>4.8765343648327975E-4</v>
      </c>
      <c r="G342" s="2903">
        <f t="shared" si="125"/>
        <v>13950</v>
      </c>
      <c r="H342" s="2903">
        <f t="shared" si="138"/>
        <v>0</v>
      </c>
      <c r="I342" s="2905">
        <f t="shared" si="126"/>
        <v>8835</v>
      </c>
      <c r="J342" s="1096">
        <v>3648</v>
      </c>
      <c r="K342" s="2479">
        <f t="shared" si="139"/>
        <v>149422.08000000002</v>
      </c>
      <c r="L342" s="398">
        <f t="shared" si="127"/>
        <v>2790</v>
      </c>
      <c r="M342" s="1095">
        <f t="shared" si="128"/>
        <v>15273</v>
      </c>
      <c r="N342" s="2906">
        <f t="shared" si="129"/>
        <v>4.8070496293992293E-4</v>
      </c>
      <c r="O342" s="2907">
        <f t="shared" si="140"/>
        <v>3.7794670847728995E-5</v>
      </c>
      <c r="P342" s="2908">
        <f t="shared" si="141"/>
        <v>46500</v>
      </c>
      <c r="Q342" s="1095">
        <f t="shared" si="142"/>
        <v>12694.5</v>
      </c>
      <c r="R342" s="2909">
        <f t="shared" si="143"/>
        <v>59194.5</v>
      </c>
      <c r="S342" s="398">
        <f t="shared" si="144"/>
        <v>0</v>
      </c>
      <c r="T342" s="1095">
        <f t="shared" si="145"/>
        <v>0</v>
      </c>
      <c r="U342" s="398">
        <f t="shared" si="146"/>
        <v>0</v>
      </c>
      <c r="V342" s="2913">
        <v>0</v>
      </c>
      <c r="W342" s="1095">
        <f t="shared" si="130"/>
        <v>19407.36</v>
      </c>
      <c r="X342" s="1095">
        <f t="shared" si="131"/>
        <v>2790</v>
      </c>
      <c r="Y342" s="2909">
        <f t="shared" si="134"/>
        <v>22197.360000000001</v>
      </c>
      <c r="Z342" s="2913">
        <v>0</v>
      </c>
      <c r="AA342" s="1095">
        <f t="shared" si="132"/>
        <v>10469.76</v>
      </c>
      <c r="AB342" s="1095">
        <f t="shared" si="133"/>
        <v>0</v>
      </c>
      <c r="AC342" s="2909">
        <f t="shared" si="135"/>
        <v>10469.76</v>
      </c>
    </row>
    <row r="343" spans="1:29">
      <c r="A343" s="1780" t="s">
        <v>4417</v>
      </c>
      <c r="B343" s="1780"/>
      <c r="C343" s="2901">
        <v>190</v>
      </c>
      <c r="D343" s="2902">
        <f t="shared" si="136"/>
        <v>5.4292229353236675E-4</v>
      </c>
      <c r="E343" s="1083">
        <v>17100</v>
      </c>
      <c r="F343" s="2952">
        <f t="shared" si="137"/>
        <v>5.9776872859240737E-4</v>
      </c>
      <c r="G343" s="2903">
        <f t="shared" si="125"/>
        <v>17100</v>
      </c>
      <c r="H343" s="2903">
        <f t="shared" si="138"/>
        <v>0</v>
      </c>
      <c r="I343" s="2905">
        <f t="shared" si="126"/>
        <v>10830</v>
      </c>
      <c r="J343" s="1096">
        <v>3313</v>
      </c>
      <c r="K343" s="2479">
        <f t="shared" si="139"/>
        <v>135700.48000000001</v>
      </c>
      <c r="L343" s="398">
        <f t="shared" si="127"/>
        <v>3420</v>
      </c>
      <c r="M343" s="1095">
        <f t="shared" si="128"/>
        <v>17563</v>
      </c>
      <c r="N343" s="2906">
        <f t="shared" si="129"/>
        <v>5.5278080692161764E-4</v>
      </c>
      <c r="O343" s="2907">
        <f t="shared" si="140"/>
        <v>9.8585133892508834E-6</v>
      </c>
      <c r="P343" s="2908">
        <f t="shared" si="141"/>
        <v>57000</v>
      </c>
      <c r="Q343" s="1095">
        <f t="shared" si="142"/>
        <v>15561</v>
      </c>
      <c r="R343" s="2909">
        <f t="shared" si="143"/>
        <v>72561</v>
      </c>
      <c r="S343" s="398">
        <f t="shared" si="144"/>
        <v>0</v>
      </c>
      <c r="T343" s="1095">
        <f t="shared" si="145"/>
        <v>0</v>
      </c>
      <c r="U343" s="398">
        <f t="shared" si="146"/>
        <v>0</v>
      </c>
      <c r="V343" s="2913">
        <v>0</v>
      </c>
      <c r="W343" s="1095">
        <f t="shared" si="130"/>
        <v>17625.16</v>
      </c>
      <c r="X343" s="1095">
        <f t="shared" si="131"/>
        <v>3420</v>
      </c>
      <c r="Y343" s="2909">
        <f t="shared" si="134"/>
        <v>21045.16</v>
      </c>
      <c r="Z343" s="2913">
        <v>0</v>
      </c>
      <c r="AA343" s="1095">
        <f t="shared" si="132"/>
        <v>9508.31</v>
      </c>
      <c r="AB343" s="1095">
        <f t="shared" si="133"/>
        <v>0</v>
      </c>
      <c r="AC343" s="2909">
        <f t="shared" si="135"/>
        <v>9508.31</v>
      </c>
    </row>
    <row r="344" spans="1:29">
      <c r="A344" s="1780" t="s">
        <v>4418</v>
      </c>
      <c r="B344" s="1780"/>
      <c r="C344" s="2901">
        <v>110</v>
      </c>
      <c r="D344" s="2902">
        <f t="shared" si="136"/>
        <v>3.14323433097686E-4</v>
      </c>
      <c r="E344" s="1083">
        <v>14400</v>
      </c>
      <c r="F344" s="2952">
        <f t="shared" si="137"/>
        <v>5.0338419249886944E-4</v>
      </c>
      <c r="G344" s="2903">
        <f t="shared" si="125"/>
        <v>9900</v>
      </c>
      <c r="H344" s="2903">
        <f t="shared" si="138"/>
        <v>4500</v>
      </c>
      <c r="I344" s="2905">
        <f t="shared" si="126"/>
        <v>6270</v>
      </c>
      <c r="J344" s="1096">
        <v>2588</v>
      </c>
      <c r="K344" s="2479">
        <f t="shared" si="139"/>
        <v>106004.48</v>
      </c>
      <c r="L344" s="398">
        <f t="shared" si="127"/>
        <v>2880</v>
      </c>
      <c r="M344" s="1095">
        <f t="shared" si="128"/>
        <v>11738</v>
      </c>
      <c r="N344" s="2906">
        <f t="shared" si="129"/>
        <v>3.6944378019962128E-4</v>
      </c>
      <c r="O344" s="2907">
        <f t="shared" si="140"/>
        <v>5.5120347101935275E-5</v>
      </c>
      <c r="P344" s="2908">
        <f t="shared" si="141"/>
        <v>33000</v>
      </c>
      <c r="Q344" s="1095">
        <f t="shared" si="142"/>
        <v>13104</v>
      </c>
      <c r="R344" s="2909">
        <f t="shared" si="143"/>
        <v>46104</v>
      </c>
      <c r="S344" s="398">
        <f t="shared" si="144"/>
        <v>0</v>
      </c>
      <c r="T344" s="1095">
        <f t="shared" si="145"/>
        <v>0</v>
      </c>
      <c r="U344" s="398">
        <f t="shared" si="146"/>
        <v>0</v>
      </c>
      <c r="V344" s="2913">
        <v>0</v>
      </c>
      <c r="W344" s="1095">
        <f t="shared" si="130"/>
        <v>13768.16</v>
      </c>
      <c r="X344" s="1095">
        <f t="shared" si="131"/>
        <v>2880</v>
      </c>
      <c r="Y344" s="2909">
        <f t="shared" si="134"/>
        <v>16648.16</v>
      </c>
      <c r="Z344" s="2913">
        <v>0</v>
      </c>
      <c r="AA344" s="1095">
        <f t="shared" si="132"/>
        <v>7427.56</v>
      </c>
      <c r="AB344" s="1095">
        <f t="shared" si="133"/>
        <v>0</v>
      </c>
      <c r="AC344" s="2909">
        <f t="shared" si="135"/>
        <v>7427.56</v>
      </c>
    </row>
    <row r="345" spans="1:29">
      <c r="A345" s="1780" t="s">
        <v>4419</v>
      </c>
      <c r="B345" s="1780"/>
      <c r="C345" s="2901">
        <v>340</v>
      </c>
      <c r="D345" s="2902">
        <f t="shared" si="136"/>
        <v>9.7154515684739313E-4</v>
      </c>
      <c r="E345" s="1083">
        <v>30600</v>
      </c>
      <c r="F345" s="2952">
        <f t="shared" si="137"/>
        <v>1.0696914090600974E-3</v>
      </c>
      <c r="G345" s="2903">
        <f t="shared" si="125"/>
        <v>30600</v>
      </c>
      <c r="H345" s="2903">
        <f t="shared" si="138"/>
        <v>0</v>
      </c>
      <c r="I345" s="2905">
        <f t="shared" si="126"/>
        <v>19380</v>
      </c>
      <c r="J345" s="1096">
        <v>3000</v>
      </c>
      <c r="K345" s="2479">
        <f t="shared" si="139"/>
        <v>122880</v>
      </c>
      <c r="L345" s="398">
        <f t="shared" si="127"/>
        <v>6120</v>
      </c>
      <c r="M345" s="1095">
        <f t="shared" si="128"/>
        <v>28500</v>
      </c>
      <c r="N345" s="2906">
        <f t="shared" si="129"/>
        <v>8.9701377881148459E-4</v>
      </c>
      <c r="O345" s="2907">
        <f t="shared" si="140"/>
        <v>-7.4531378035908535E-5</v>
      </c>
      <c r="P345" s="2908">
        <f t="shared" si="141"/>
        <v>102000</v>
      </c>
      <c r="Q345" s="1095">
        <f t="shared" si="142"/>
        <v>27846</v>
      </c>
      <c r="R345" s="2909">
        <f t="shared" si="143"/>
        <v>129846</v>
      </c>
      <c r="S345" s="398">
        <f t="shared" si="144"/>
        <v>0</v>
      </c>
      <c r="T345" s="1095">
        <f t="shared" si="145"/>
        <v>0</v>
      </c>
      <c r="U345" s="398">
        <f t="shared" si="146"/>
        <v>0</v>
      </c>
      <c r="V345" s="2913">
        <v>0</v>
      </c>
      <c r="W345" s="1095">
        <f t="shared" si="130"/>
        <v>15960</v>
      </c>
      <c r="X345" s="1095">
        <f t="shared" si="131"/>
        <v>6120</v>
      </c>
      <c r="Y345" s="2909">
        <f t="shared" si="134"/>
        <v>22080</v>
      </c>
      <c r="Z345" s="2913">
        <v>0</v>
      </c>
      <c r="AA345" s="1095">
        <f t="shared" si="132"/>
        <v>8610</v>
      </c>
      <c r="AB345" s="1095">
        <f t="shared" si="133"/>
        <v>0</v>
      </c>
      <c r="AC345" s="2909">
        <f t="shared" si="135"/>
        <v>8610</v>
      </c>
    </row>
    <row r="346" spans="1:29">
      <c r="A346" s="1780" t="s">
        <v>4420</v>
      </c>
      <c r="B346" s="1780"/>
      <c r="C346" s="2901">
        <v>60</v>
      </c>
      <c r="D346" s="2902">
        <f t="shared" si="136"/>
        <v>1.7144914532601056E-4</v>
      </c>
      <c r="E346" s="1083">
        <v>5400</v>
      </c>
      <c r="F346" s="2952">
        <f t="shared" si="137"/>
        <v>1.8876907218707601E-4</v>
      </c>
      <c r="G346" s="2903">
        <f t="shared" si="125"/>
        <v>5400</v>
      </c>
      <c r="H346" s="2903">
        <f t="shared" si="138"/>
        <v>0</v>
      </c>
      <c r="I346" s="2905">
        <f t="shared" si="126"/>
        <v>3420</v>
      </c>
      <c r="J346" s="1096">
        <v>1046</v>
      </c>
      <c r="K346" s="2479">
        <f t="shared" si="139"/>
        <v>42844.160000000003</v>
      </c>
      <c r="L346" s="398">
        <f t="shared" si="127"/>
        <v>1080</v>
      </c>
      <c r="M346" s="1095">
        <f t="shared" si="128"/>
        <v>5546</v>
      </c>
      <c r="N346" s="2906">
        <f t="shared" si="129"/>
        <v>1.7455573393994713E-4</v>
      </c>
      <c r="O346" s="2907">
        <f t="shared" si="140"/>
        <v>3.1065886139365704E-6</v>
      </c>
      <c r="P346" s="2908">
        <f t="shared" si="141"/>
        <v>18000</v>
      </c>
      <c r="Q346" s="1095">
        <f t="shared" si="142"/>
        <v>4914</v>
      </c>
      <c r="R346" s="2909">
        <f t="shared" si="143"/>
        <v>22914</v>
      </c>
      <c r="S346" s="398">
        <f t="shared" si="144"/>
        <v>0</v>
      </c>
      <c r="T346" s="1095">
        <f t="shared" si="145"/>
        <v>0</v>
      </c>
      <c r="U346" s="398">
        <f t="shared" si="146"/>
        <v>0</v>
      </c>
      <c r="V346" s="2913">
        <v>0</v>
      </c>
      <c r="W346" s="1095">
        <f t="shared" si="130"/>
        <v>5564.72</v>
      </c>
      <c r="X346" s="1095">
        <f t="shared" si="131"/>
        <v>1080</v>
      </c>
      <c r="Y346" s="2909">
        <f t="shared" si="134"/>
        <v>6644.72</v>
      </c>
      <c r="Z346" s="2913">
        <v>0</v>
      </c>
      <c r="AA346" s="1095">
        <f t="shared" si="132"/>
        <v>3002.02</v>
      </c>
      <c r="AB346" s="1095">
        <f t="shared" si="133"/>
        <v>0</v>
      </c>
      <c r="AC346" s="2909">
        <f t="shared" si="135"/>
        <v>3002.02</v>
      </c>
    </row>
    <row r="347" spans="1:29">
      <c r="A347" s="1780" t="s">
        <v>4421</v>
      </c>
      <c r="B347" s="1780"/>
      <c r="C347" s="2901">
        <v>295</v>
      </c>
      <c r="D347" s="2902">
        <f t="shared" si="136"/>
        <v>8.4295829785288525E-4</v>
      </c>
      <c r="E347" s="1083">
        <v>26550</v>
      </c>
      <c r="F347" s="2952">
        <f t="shared" si="137"/>
        <v>9.2811460491979043E-4</v>
      </c>
      <c r="G347" s="2903">
        <f t="shared" si="125"/>
        <v>26550</v>
      </c>
      <c r="H347" s="2903">
        <f t="shared" si="138"/>
        <v>0</v>
      </c>
      <c r="I347" s="2905">
        <f t="shared" si="126"/>
        <v>16815</v>
      </c>
      <c r="J347" s="1096">
        <v>5145</v>
      </c>
      <c r="K347" s="2479">
        <f t="shared" si="139"/>
        <v>210739.20000000001</v>
      </c>
      <c r="L347" s="398">
        <f t="shared" si="127"/>
        <v>5310</v>
      </c>
      <c r="M347" s="1095">
        <f t="shared" si="128"/>
        <v>27270</v>
      </c>
      <c r="N347" s="2906">
        <f t="shared" si="129"/>
        <v>8.5830055256804155E-4</v>
      </c>
      <c r="O347" s="2907">
        <f t="shared" si="140"/>
        <v>1.5342254715156305E-5</v>
      </c>
      <c r="P347" s="2908">
        <f t="shared" si="141"/>
        <v>88500</v>
      </c>
      <c r="Q347" s="1095">
        <f t="shared" si="142"/>
        <v>24160.5</v>
      </c>
      <c r="R347" s="2909">
        <f t="shared" si="143"/>
        <v>112660.5</v>
      </c>
      <c r="S347" s="398">
        <f t="shared" si="144"/>
        <v>0</v>
      </c>
      <c r="T347" s="1095">
        <f t="shared" si="145"/>
        <v>0</v>
      </c>
      <c r="U347" s="398">
        <f t="shared" si="146"/>
        <v>0</v>
      </c>
      <c r="V347" s="2913">
        <v>0</v>
      </c>
      <c r="W347" s="1095">
        <f t="shared" si="130"/>
        <v>27371.4</v>
      </c>
      <c r="X347" s="1095">
        <f t="shared" si="131"/>
        <v>5310</v>
      </c>
      <c r="Y347" s="2909">
        <f t="shared" si="134"/>
        <v>32681.4</v>
      </c>
      <c r="Z347" s="2913">
        <v>0</v>
      </c>
      <c r="AA347" s="1095">
        <f t="shared" si="132"/>
        <v>14766.150000000001</v>
      </c>
      <c r="AB347" s="1095">
        <f t="shared" si="133"/>
        <v>0</v>
      </c>
      <c r="AC347" s="2909">
        <f t="shared" si="135"/>
        <v>14766.150000000001</v>
      </c>
    </row>
    <row r="348" spans="1:29">
      <c r="A348" s="1780" t="s">
        <v>4422</v>
      </c>
      <c r="B348" s="1780"/>
      <c r="C348" s="2901">
        <v>80</v>
      </c>
      <c r="D348" s="2902">
        <f t="shared" si="136"/>
        <v>2.2859886043468072E-4</v>
      </c>
      <c r="E348" s="1083">
        <v>7200</v>
      </c>
      <c r="F348" s="2952">
        <f t="shared" si="137"/>
        <v>2.5169209624943472E-4</v>
      </c>
      <c r="G348" s="2903">
        <f t="shared" si="125"/>
        <v>7200</v>
      </c>
      <c r="H348" s="2903">
        <f t="shared" si="138"/>
        <v>0</v>
      </c>
      <c r="I348" s="2905">
        <f t="shared" si="126"/>
        <v>4560</v>
      </c>
      <c r="J348" s="1096">
        <v>1395</v>
      </c>
      <c r="K348" s="2479">
        <f t="shared" si="139"/>
        <v>57139.200000000004</v>
      </c>
      <c r="L348" s="398">
        <f t="shared" si="127"/>
        <v>1440</v>
      </c>
      <c r="M348" s="1095">
        <f t="shared" si="128"/>
        <v>7395</v>
      </c>
      <c r="N348" s="2906">
        <f t="shared" si="129"/>
        <v>2.3275146997582205E-4</v>
      </c>
      <c r="O348" s="2907">
        <f t="shared" si="140"/>
        <v>4.1526095411413262E-6</v>
      </c>
      <c r="P348" s="2908">
        <f t="shared" si="141"/>
        <v>24000</v>
      </c>
      <c r="Q348" s="1095">
        <f t="shared" si="142"/>
        <v>6552</v>
      </c>
      <c r="R348" s="2909">
        <f t="shared" si="143"/>
        <v>30552</v>
      </c>
      <c r="S348" s="398">
        <f t="shared" si="144"/>
        <v>0</v>
      </c>
      <c r="T348" s="1095">
        <f t="shared" si="145"/>
        <v>0</v>
      </c>
      <c r="U348" s="398">
        <f t="shared" si="146"/>
        <v>0</v>
      </c>
      <c r="V348" s="2913">
        <v>0</v>
      </c>
      <c r="W348" s="1095">
        <f t="shared" si="130"/>
        <v>7421.4000000000005</v>
      </c>
      <c r="X348" s="1095">
        <f t="shared" si="131"/>
        <v>1440</v>
      </c>
      <c r="Y348" s="2909">
        <f t="shared" si="134"/>
        <v>8861.4000000000015</v>
      </c>
      <c r="Z348" s="2913">
        <v>0</v>
      </c>
      <c r="AA348" s="1095">
        <f t="shared" si="132"/>
        <v>4003.65</v>
      </c>
      <c r="AB348" s="1095">
        <f t="shared" si="133"/>
        <v>0</v>
      </c>
      <c r="AC348" s="2909">
        <f t="shared" si="135"/>
        <v>4003.65</v>
      </c>
    </row>
    <row r="349" spans="1:29">
      <c r="A349" s="1780" t="s">
        <v>4423</v>
      </c>
      <c r="B349" s="1780"/>
      <c r="C349" s="2901">
        <v>160</v>
      </c>
      <c r="D349" s="2902">
        <f t="shared" si="136"/>
        <v>4.5719772086936144E-4</v>
      </c>
      <c r="E349" s="1083">
        <v>14400</v>
      </c>
      <c r="F349" s="2952">
        <f t="shared" si="137"/>
        <v>5.0338419249886944E-4</v>
      </c>
      <c r="G349" s="2903">
        <f t="shared" si="125"/>
        <v>14400</v>
      </c>
      <c r="H349" s="2903">
        <f t="shared" si="138"/>
        <v>0</v>
      </c>
      <c r="I349" s="2905">
        <f t="shared" si="126"/>
        <v>9120</v>
      </c>
      <c r="J349" s="1096">
        <v>0</v>
      </c>
      <c r="K349" s="2479">
        <f t="shared" si="139"/>
        <v>0</v>
      </c>
      <c r="L349" s="398">
        <f t="shared" si="127"/>
        <v>2880</v>
      </c>
      <c r="M349" s="1095">
        <f t="shared" si="128"/>
        <v>12000</v>
      </c>
      <c r="N349" s="2906">
        <f t="shared" si="129"/>
        <v>3.7769001213115141E-4</v>
      </c>
      <c r="O349" s="2907">
        <f t="shared" si="140"/>
        <v>-7.950770873821003E-5</v>
      </c>
      <c r="P349" s="2908">
        <f t="shared" si="141"/>
        <v>48000</v>
      </c>
      <c r="Q349" s="1095">
        <f t="shared" si="142"/>
        <v>13104</v>
      </c>
      <c r="R349" s="2909">
        <f t="shared" si="143"/>
        <v>61104</v>
      </c>
      <c r="S349" s="398">
        <f t="shared" si="144"/>
        <v>0</v>
      </c>
      <c r="T349" s="1095">
        <f t="shared" si="145"/>
        <v>0</v>
      </c>
      <c r="U349" s="398">
        <f t="shared" si="146"/>
        <v>0</v>
      </c>
      <c r="V349" s="2913">
        <v>0</v>
      </c>
      <c r="W349" s="1095">
        <f t="shared" si="130"/>
        <v>0</v>
      </c>
      <c r="X349" s="1095">
        <f t="shared" si="131"/>
        <v>2880</v>
      </c>
      <c r="Y349" s="2909">
        <f t="shared" si="134"/>
        <v>2880</v>
      </c>
      <c r="Z349" s="2913">
        <v>0</v>
      </c>
      <c r="AA349" s="1095">
        <f t="shared" si="132"/>
        <v>0</v>
      </c>
      <c r="AB349" s="1095">
        <f t="shared" si="133"/>
        <v>0</v>
      </c>
      <c r="AC349" s="2909">
        <f t="shared" si="135"/>
        <v>0</v>
      </c>
    </row>
    <row r="350" spans="1:29">
      <c r="A350" s="1780" t="s">
        <v>4424</v>
      </c>
      <c r="B350" s="1780"/>
      <c r="C350" s="2901">
        <v>240</v>
      </c>
      <c r="D350" s="2902">
        <f t="shared" si="136"/>
        <v>6.8579658130404225E-4</v>
      </c>
      <c r="E350" s="1083">
        <v>21600</v>
      </c>
      <c r="F350" s="2952">
        <f t="shared" si="137"/>
        <v>7.5507628874830405E-4</v>
      </c>
      <c r="G350" s="2903">
        <f t="shared" si="125"/>
        <v>21600</v>
      </c>
      <c r="H350" s="2903">
        <f t="shared" si="138"/>
        <v>0</v>
      </c>
      <c r="I350" s="2905">
        <f t="shared" si="126"/>
        <v>13680</v>
      </c>
      <c r="J350" s="1096">
        <v>4185</v>
      </c>
      <c r="K350" s="2479">
        <f t="shared" si="139"/>
        <v>171417.60000000001</v>
      </c>
      <c r="L350" s="398">
        <f t="shared" si="127"/>
        <v>4320</v>
      </c>
      <c r="M350" s="1095">
        <f t="shared" si="128"/>
        <v>22185</v>
      </c>
      <c r="N350" s="2906">
        <f t="shared" si="129"/>
        <v>6.9825440992746614E-4</v>
      </c>
      <c r="O350" s="2907">
        <f t="shared" si="140"/>
        <v>1.2457828623423897E-5</v>
      </c>
      <c r="P350" s="2908">
        <f t="shared" si="141"/>
        <v>72000</v>
      </c>
      <c r="Q350" s="1095">
        <f t="shared" si="142"/>
        <v>19656</v>
      </c>
      <c r="R350" s="2909">
        <f t="shared" si="143"/>
        <v>91656</v>
      </c>
      <c r="S350" s="398">
        <f t="shared" si="144"/>
        <v>0</v>
      </c>
      <c r="T350" s="1095">
        <f t="shared" si="145"/>
        <v>0</v>
      </c>
      <c r="U350" s="398">
        <f t="shared" si="146"/>
        <v>0</v>
      </c>
      <c r="V350" s="2913">
        <v>0</v>
      </c>
      <c r="W350" s="1095">
        <f t="shared" si="130"/>
        <v>22264.2</v>
      </c>
      <c r="X350" s="1095">
        <f t="shared" si="131"/>
        <v>4320</v>
      </c>
      <c r="Y350" s="2909">
        <f t="shared" si="134"/>
        <v>26584.2</v>
      </c>
      <c r="Z350" s="2913">
        <v>0</v>
      </c>
      <c r="AA350" s="1095">
        <f t="shared" si="132"/>
        <v>12010.95</v>
      </c>
      <c r="AB350" s="1095">
        <f t="shared" si="133"/>
        <v>0</v>
      </c>
      <c r="AC350" s="2909">
        <f t="shared" si="135"/>
        <v>12010.95</v>
      </c>
    </row>
    <row r="351" spans="1:29">
      <c r="A351" s="1780" t="s">
        <v>4425</v>
      </c>
      <c r="B351" s="1780"/>
      <c r="C351" s="2901">
        <v>80</v>
      </c>
      <c r="D351" s="2902">
        <f t="shared" si="136"/>
        <v>2.2859886043468072E-4</v>
      </c>
      <c r="E351" s="1083">
        <v>7200</v>
      </c>
      <c r="F351" s="2952">
        <f t="shared" si="137"/>
        <v>2.5169209624943472E-4</v>
      </c>
      <c r="G351" s="2903">
        <f t="shared" si="125"/>
        <v>7200</v>
      </c>
      <c r="H351" s="2903">
        <f t="shared" si="138"/>
        <v>0</v>
      </c>
      <c r="I351" s="2905">
        <f t="shared" si="126"/>
        <v>4560</v>
      </c>
      <c r="J351" s="1096">
        <v>1395</v>
      </c>
      <c r="K351" s="2479">
        <f t="shared" si="139"/>
        <v>57139.200000000004</v>
      </c>
      <c r="L351" s="398">
        <f t="shared" si="127"/>
        <v>1440</v>
      </c>
      <c r="M351" s="1095">
        <f t="shared" si="128"/>
        <v>7395</v>
      </c>
      <c r="N351" s="2906">
        <f t="shared" si="129"/>
        <v>2.3275146997582205E-4</v>
      </c>
      <c r="O351" s="2907">
        <f t="shared" si="140"/>
        <v>4.1526095411413262E-6</v>
      </c>
      <c r="P351" s="2908">
        <f t="shared" si="141"/>
        <v>24000</v>
      </c>
      <c r="Q351" s="1095">
        <f t="shared" si="142"/>
        <v>6552</v>
      </c>
      <c r="R351" s="2909">
        <f t="shared" si="143"/>
        <v>30552</v>
      </c>
      <c r="S351" s="398">
        <f t="shared" si="144"/>
        <v>0</v>
      </c>
      <c r="T351" s="1095">
        <f t="shared" si="145"/>
        <v>0</v>
      </c>
      <c r="U351" s="398">
        <f t="shared" si="146"/>
        <v>0</v>
      </c>
      <c r="V351" s="2913">
        <v>0</v>
      </c>
      <c r="W351" s="1095">
        <f t="shared" si="130"/>
        <v>7421.4000000000005</v>
      </c>
      <c r="X351" s="1095">
        <f t="shared" si="131"/>
        <v>1440</v>
      </c>
      <c r="Y351" s="2909">
        <f t="shared" si="134"/>
        <v>8861.4000000000015</v>
      </c>
      <c r="Z351" s="2913">
        <v>0</v>
      </c>
      <c r="AA351" s="1095">
        <f t="shared" si="132"/>
        <v>4003.65</v>
      </c>
      <c r="AB351" s="1095">
        <f t="shared" si="133"/>
        <v>0</v>
      </c>
      <c r="AC351" s="2909">
        <f t="shared" si="135"/>
        <v>4003.65</v>
      </c>
    </row>
    <row r="352" spans="1:29">
      <c r="A352" s="1780" t="s">
        <v>4426</v>
      </c>
      <c r="B352" s="1780"/>
      <c r="C352" s="2901">
        <v>850</v>
      </c>
      <c r="D352" s="2902">
        <f t="shared" si="136"/>
        <v>2.4288628921184828E-3</v>
      </c>
      <c r="E352" s="1083">
        <v>76500</v>
      </c>
      <c r="F352" s="2952">
        <f t="shared" si="137"/>
        <v>2.6742285226502437E-3</v>
      </c>
      <c r="G352" s="2903">
        <f t="shared" si="125"/>
        <v>76500</v>
      </c>
      <c r="H352" s="2903">
        <f t="shared" si="138"/>
        <v>0</v>
      </c>
      <c r="I352" s="2905">
        <f t="shared" si="126"/>
        <v>48450</v>
      </c>
      <c r="J352" s="1096">
        <v>14647.999999999998</v>
      </c>
      <c r="K352" s="2479">
        <f t="shared" si="139"/>
        <v>599982.07999999996</v>
      </c>
      <c r="L352" s="398">
        <f t="shared" si="127"/>
        <v>15300</v>
      </c>
      <c r="M352" s="1095">
        <f t="shared" si="128"/>
        <v>78398</v>
      </c>
      <c r="N352" s="2906">
        <f t="shared" si="129"/>
        <v>2.4675117975881673E-3</v>
      </c>
      <c r="O352" s="2907">
        <f t="shared" si="140"/>
        <v>3.8648905469684542E-5</v>
      </c>
      <c r="P352" s="2908">
        <f t="shared" si="141"/>
        <v>255000</v>
      </c>
      <c r="Q352" s="1095">
        <f t="shared" si="142"/>
        <v>69615</v>
      </c>
      <c r="R352" s="2909">
        <f t="shared" si="143"/>
        <v>324615</v>
      </c>
      <c r="S352" s="398">
        <f t="shared" si="144"/>
        <v>0</v>
      </c>
      <c r="T352" s="1095">
        <f t="shared" si="145"/>
        <v>0</v>
      </c>
      <c r="U352" s="398">
        <f t="shared" si="146"/>
        <v>0</v>
      </c>
      <c r="V352" s="2913">
        <v>0</v>
      </c>
      <c r="W352" s="1095">
        <f t="shared" si="130"/>
        <v>77927.360000000001</v>
      </c>
      <c r="X352" s="1095">
        <f t="shared" si="131"/>
        <v>15300</v>
      </c>
      <c r="Y352" s="2909">
        <f t="shared" si="134"/>
        <v>93227.36</v>
      </c>
      <c r="Z352" s="2913">
        <v>0</v>
      </c>
      <c r="AA352" s="1095">
        <f t="shared" si="132"/>
        <v>42039.759999999995</v>
      </c>
      <c r="AB352" s="1095">
        <f t="shared" si="133"/>
        <v>0</v>
      </c>
      <c r="AC352" s="2909">
        <f t="shared" si="135"/>
        <v>42039.759999999995</v>
      </c>
    </row>
    <row r="353" spans="1:29">
      <c r="A353" s="1780" t="s">
        <v>4427</v>
      </c>
      <c r="B353" s="1780"/>
      <c r="C353" s="2901">
        <v>195</v>
      </c>
      <c r="D353" s="2902">
        <f t="shared" si="136"/>
        <v>5.5720972230953426E-4</v>
      </c>
      <c r="E353" s="1083">
        <v>8775</v>
      </c>
      <c r="F353" s="2952">
        <f t="shared" si="137"/>
        <v>3.0674974230399853E-4</v>
      </c>
      <c r="G353" s="2903">
        <f t="shared" si="125"/>
        <v>17550</v>
      </c>
      <c r="H353" s="2903">
        <f t="shared" si="138"/>
        <v>-8775</v>
      </c>
      <c r="I353" s="2905">
        <f t="shared" si="126"/>
        <v>11115</v>
      </c>
      <c r="J353" s="1096">
        <v>1221</v>
      </c>
      <c r="K353" s="2479">
        <f t="shared" si="139"/>
        <v>50012.160000000003</v>
      </c>
      <c r="L353" s="398">
        <f t="shared" si="127"/>
        <v>1755</v>
      </c>
      <c r="M353" s="1095">
        <f t="shared" si="128"/>
        <v>14091</v>
      </c>
      <c r="N353" s="2906">
        <f t="shared" si="129"/>
        <v>4.4350249674500453E-4</v>
      </c>
      <c r="O353" s="2907">
        <f t="shared" si="140"/>
        <v>-1.1370722556452973E-4</v>
      </c>
      <c r="P353" s="2908">
        <f t="shared" si="141"/>
        <v>58500</v>
      </c>
      <c r="Q353" s="1095">
        <f t="shared" si="142"/>
        <v>7985.25</v>
      </c>
      <c r="R353" s="2909">
        <f t="shared" si="143"/>
        <v>66485.25</v>
      </c>
      <c r="S353" s="398">
        <f t="shared" si="144"/>
        <v>0</v>
      </c>
      <c r="T353" s="1095">
        <f t="shared" si="145"/>
        <v>0</v>
      </c>
      <c r="U353" s="398">
        <f t="shared" si="146"/>
        <v>0</v>
      </c>
      <c r="V353" s="2913">
        <v>0</v>
      </c>
      <c r="W353" s="1095">
        <f t="shared" si="130"/>
        <v>6495.72</v>
      </c>
      <c r="X353" s="1095">
        <f t="shared" si="131"/>
        <v>1755</v>
      </c>
      <c r="Y353" s="2909">
        <f t="shared" si="134"/>
        <v>8250.7200000000012</v>
      </c>
      <c r="Z353" s="2913">
        <v>0</v>
      </c>
      <c r="AA353" s="1095">
        <f t="shared" si="132"/>
        <v>3504.27</v>
      </c>
      <c r="AB353" s="1095">
        <f t="shared" si="133"/>
        <v>0</v>
      </c>
      <c r="AC353" s="2909">
        <f t="shared" si="135"/>
        <v>3504.27</v>
      </c>
    </row>
    <row r="354" spans="1:29">
      <c r="A354" s="1780" t="s">
        <v>4428</v>
      </c>
      <c r="B354" s="1780"/>
      <c r="C354" s="2901">
        <v>185</v>
      </c>
      <c r="D354" s="2902">
        <f t="shared" si="136"/>
        <v>5.2863486475519925E-4</v>
      </c>
      <c r="E354" s="1083">
        <v>16650</v>
      </c>
      <c r="F354" s="2952">
        <f t="shared" si="137"/>
        <v>5.8203797257681779E-4</v>
      </c>
      <c r="G354" s="2903">
        <f t="shared" si="125"/>
        <v>16650</v>
      </c>
      <c r="H354" s="2903">
        <f t="shared" si="138"/>
        <v>0</v>
      </c>
      <c r="I354" s="2905">
        <f t="shared" si="126"/>
        <v>10545</v>
      </c>
      <c r="J354" s="1096">
        <v>1221</v>
      </c>
      <c r="K354" s="2479">
        <f t="shared" si="139"/>
        <v>50012.160000000003</v>
      </c>
      <c r="L354" s="398">
        <f t="shared" si="127"/>
        <v>3330</v>
      </c>
      <c r="M354" s="1095">
        <f t="shared" si="128"/>
        <v>15096</v>
      </c>
      <c r="N354" s="2906">
        <f t="shared" si="129"/>
        <v>4.7513403526098846E-4</v>
      </c>
      <c r="O354" s="2907">
        <f t="shared" si="140"/>
        <v>-5.3500829494210786E-5</v>
      </c>
      <c r="P354" s="2908">
        <f t="shared" si="141"/>
        <v>55500</v>
      </c>
      <c r="Q354" s="1095">
        <f t="shared" si="142"/>
        <v>15151.5</v>
      </c>
      <c r="R354" s="2909">
        <f t="shared" si="143"/>
        <v>70651.5</v>
      </c>
      <c r="S354" s="398">
        <f t="shared" si="144"/>
        <v>0</v>
      </c>
      <c r="T354" s="1095">
        <f t="shared" si="145"/>
        <v>0</v>
      </c>
      <c r="U354" s="398">
        <f t="shared" si="146"/>
        <v>0</v>
      </c>
      <c r="V354" s="2913">
        <v>0</v>
      </c>
      <c r="W354" s="1095">
        <f t="shared" si="130"/>
        <v>6495.72</v>
      </c>
      <c r="X354" s="1095">
        <f t="shared" si="131"/>
        <v>3330</v>
      </c>
      <c r="Y354" s="2909">
        <f t="shared" si="134"/>
        <v>9825.7200000000012</v>
      </c>
      <c r="Z354" s="2913">
        <v>0</v>
      </c>
      <c r="AA354" s="1095">
        <f t="shared" si="132"/>
        <v>3504.27</v>
      </c>
      <c r="AB354" s="1095">
        <f t="shared" si="133"/>
        <v>0</v>
      </c>
      <c r="AC354" s="2909">
        <f t="shared" si="135"/>
        <v>3504.27</v>
      </c>
    </row>
    <row r="355" spans="1:29">
      <c r="A355" s="1780" t="s">
        <v>4429</v>
      </c>
      <c r="B355" s="1780"/>
      <c r="C355" s="2901">
        <v>810</v>
      </c>
      <c r="D355" s="2902">
        <f t="shared" si="136"/>
        <v>2.3145634619011423E-3</v>
      </c>
      <c r="E355" s="1083">
        <v>0</v>
      </c>
      <c r="F355" s="2952">
        <f t="shared" si="137"/>
        <v>0</v>
      </c>
      <c r="G355" s="2903">
        <f t="shared" si="125"/>
        <v>72900</v>
      </c>
      <c r="H355" s="2903">
        <f t="shared" si="138"/>
        <v>-72900</v>
      </c>
      <c r="I355" s="2905">
        <f t="shared" si="126"/>
        <v>46170</v>
      </c>
      <c r="J355" s="1096">
        <v>14125.999999999998</v>
      </c>
      <c r="K355" s="2479">
        <f t="shared" si="139"/>
        <v>578600.95999999996</v>
      </c>
      <c r="L355" s="398">
        <f t="shared" si="127"/>
        <v>0</v>
      </c>
      <c r="M355" s="1095">
        <f t="shared" si="128"/>
        <v>60296</v>
      </c>
      <c r="N355" s="2906">
        <f t="shared" si="129"/>
        <v>1.8977664142883254E-3</v>
      </c>
      <c r="O355" s="2907">
        <f t="shared" si="140"/>
        <v>-4.167970476128169E-4</v>
      </c>
      <c r="P355" s="2908">
        <f t="shared" si="141"/>
        <v>243000</v>
      </c>
      <c r="Q355" s="1095">
        <f t="shared" si="142"/>
        <v>0</v>
      </c>
      <c r="R355" s="2909">
        <f t="shared" si="143"/>
        <v>243000</v>
      </c>
      <c r="S355" s="398">
        <f t="shared" si="144"/>
        <v>0</v>
      </c>
      <c r="T355" s="1095">
        <f t="shared" si="145"/>
        <v>0</v>
      </c>
      <c r="U355" s="398">
        <f t="shared" si="146"/>
        <v>0</v>
      </c>
      <c r="V355" s="2913">
        <v>0</v>
      </c>
      <c r="W355" s="1095">
        <f t="shared" si="130"/>
        <v>75150.319999999992</v>
      </c>
      <c r="X355" s="1095">
        <f t="shared" si="131"/>
        <v>0</v>
      </c>
      <c r="Y355" s="2909">
        <f t="shared" si="134"/>
        <v>75150.319999999992</v>
      </c>
      <c r="Z355" s="2913">
        <v>0</v>
      </c>
      <c r="AA355" s="1095">
        <f t="shared" si="132"/>
        <v>40541.619999999995</v>
      </c>
      <c r="AB355" s="1095">
        <f t="shared" si="133"/>
        <v>0</v>
      </c>
      <c r="AC355" s="2909">
        <f t="shared" si="135"/>
        <v>40541.619999999995</v>
      </c>
    </row>
    <row r="356" spans="1:29">
      <c r="A356" s="1780" t="s">
        <v>4430</v>
      </c>
      <c r="B356" s="1780"/>
      <c r="C356" s="2901">
        <v>405</v>
      </c>
      <c r="D356" s="2902">
        <f t="shared" si="136"/>
        <v>1.1572817309505711E-3</v>
      </c>
      <c r="E356" s="1083">
        <v>36450</v>
      </c>
      <c r="F356" s="2952">
        <f t="shared" si="137"/>
        <v>1.2741912372627631E-3</v>
      </c>
      <c r="G356" s="2903">
        <f t="shared" si="125"/>
        <v>36450</v>
      </c>
      <c r="H356" s="2903">
        <f t="shared" si="138"/>
        <v>0</v>
      </c>
      <c r="I356" s="2905">
        <f t="shared" si="126"/>
        <v>23085</v>
      </c>
      <c r="J356" s="1096">
        <v>7062.9999999999991</v>
      </c>
      <c r="K356" s="2479">
        <f t="shared" si="139"/>
        <v>289300.47999999998</v>
      </c>
      <c r="L356" s="398">
        <f t="shared" si="127"/>
        <v>7290</v>
      </c>
      <c r="M356" s="1095">
        <f t="shared" si="128"/>
        <v>37438</v>
      </c>
      <c r="N356" s="2906">
        <f t="shared" si="129"/>
        <v>1.1783298895138372E-3</v>
      </c>
      <c r="O356" s="2907">
        <f t="shared" si="140"/>
        <v>2.1048158563266106E-5</v>
      </c>
      <c r="P356" s="2908">
        <f t="shared" si="141"/>
        <v>121500</v>
      </c>
      <c r="Q356" s="1095">
        <f t="shared" si="142"/>
        <v>33169.5</v>
      </c>
      <c r="R356" s="2909">
        <f t="shared" si="143"/>
        <v>154669.5</v>
      </c>
      <c r="S356" s="398">
        <f t="shared" si="144"/>
        <v>0</v>
      </c>
      <c r="T356" s="1095">
        <f t="shared" si="145"/>
        <v>0</v>
      </c>
      <c r="U356" s="398">
        <f t="shared" si="146"/>
        <v>0</v>
      </c>
      <c r="V356" s="2913">
        <v>0</v>
      </c>
      <c r="W356" s="1095">
        <f t="shared" si="130"/>
        <v>37575.159999999996</v>
      </c>
      <c r="X356" s="1095">
        <f t="shared" si="131"/>
        <v>7290</v>
      </c>
      <c r="Y356" s="2909">
        <f t="shared" si="134"/>
        <v>44865.159999999996</v>
      </c>
      <c r="Z356" s="2913">
        <v>0</v>
      </c>
      <c r="AA356" s="1095">
        <f t="shared" si="132"/>
        <v>20270.809999999998</v>
      </c>
      <c r="AB356" s="1095">
        <f t="shared" si="133"/>
        <v>0</v>
      </c>
      <c r="AC356" s="2909">
        <f t="shared" si="135"/>
        <v>20270.809999999998</v>
      </c>
    </row>
    <row r="357" spans="1:29">
      <c r="A357" s="1780" t="s">
        <v>4431</v>
      </c>
      <c r="B357" s="1780"/>
      <c r="C357" s="2901">
        <v>145</v>
      </c>
      <c r="D357" s="2902">
        <f t="shared" si="136"/>
        <v>4.1433543453785882E-4</v>
      </c>
      <c r="E357" s="1083">
        <v>13050</v>
      </c>
      <c r="F357" s="2952">
        <f t="shared" si="137"/>
        <v>4.5619192445210037E-4</v>
      </c>
      <c r="G357" s="2903">
        <f t="shared" si="125"/>
        <v>13050</v>
      </c>
      <c r="H357" s="2903">
        <f t="shared" si="138"/>
        <v>0</v>
      </c>
      <c r="I357" s="2905">
        <f t="shared" si="126"/>
        <v>8265</v>
      </c>
      <c r="J357" s="1096">
        <v>3214</v>
      </c>
      <c r="K357" s="2479">
        <f t="shared" si="139"/>
        <v>131645.44</v>
      </c>
      <c r="L357" s="398">
        <f t="shared" si="127"/>
        <v>2610</v>
      </c>
      <c r="M357" s="1095">
        <f t="shared" si="128"/>
        <v>14089</v>
      </c>
      <c r="N357" s="2906">
        <f t="shared" si="129"/>
        <v>4.4343954840964935E-4</v>
      </c>
      <c r="O357" s="2907">
        <f t="shared" si="140"/>
        <v>2.9104113871790535E-5</v>
      </c>
      <c r="P357" s="2908">
        <f t="shared" si="141"/>
        <v>43500</v>
      </c>
      <c r="Q357" s="1095">
        <f t="shared" si="142"/>
        <v>11875.5</v>
      </c>
      <c r="R357" s="2909">
        <f t="shared" si="143"/>
        <v>55375.5</v>
      </c>
      <c r="S357" s="398">
        <f t="shared" si="144"/>
        <v>0</v>
      </c>
      <c r="T357" s="1095">
        <f t="shared" si="145"/>
        <v>0</v>
      </c>
      <c r="U357" s="398">
        <f t="shared" si="146"/>
        <v>0</v>
      </c>
      <c r="V357" s="2913">
        <v>0</v>
      </c>
      <c r="W357" s="1095">
        <f t="shared" si="130"/>
        <v>17098.48</v>
      </c>
      <c r="X357" s="1095">
        <f t="shared" si="131"/>
        <v>2610</v>
      </c>
      <c r="Y357" s="2909">
        <f t="shared" si="134"/>
        <v>19708.48</v>
      </c>
      <c r="Z357" s="2913">
        <v>0</v>
      </c>
      <c r="AA357" s="1095">
        <f t="shared" si="132"/>
        <v>9224.18</v>
      </c>
      <c r="AB357" s="1095">
        <f t="shared" si="133"/>
        <v>0</v>
      </c>
      <c r="AC357" s="2909">
        <f t="shared" si="135"/>
        <v>9224.18</v>
      </c>
    </row>
    <row r="358" spans="1:29">
      <c r="A358" s="1780" t="s">
        <v>4432</v>
      </c>
      <c r="B358" s="1780"/>
      <c r="C358" s="2901">
        <v>435</v>
      </c>
      <c r="D358" s="2902">
        <f t="shared" si="136"/>
        <v>1.2430063036135764E-3</v>
      </c>
      <c r="E358" s="1083">
        <v>39150</v>
      </c>
      <c r="F358" s="2952">
        <f t="shared" si="137"/>
        <v>1.3685757733563012E-3</v>
      </c>
      <c r="G358" s="2903">
        <f t="shared" si="125"/>
        <v>39150</v>
      </c>
      <c r="H358" s="2903">
        <f t="shared" si="138"/>
        <v>0</v>
      </c>
      <c r="I358" s="2905">
        <f t="shared" si="126"/>
        <v>24795</v>
      </c>
      <c r="J358" s="1096">
        <v>10239</v>
      </c>
      <c r="K358" s="2479">
        <f t="shared" si="139"/>
        <v>419389.44</v>
      </c>
      <c r="L358" s="398">
        <f t="shared" si="127"/>
        <v>7830</v>
      </c>
      <c r="M358" s="1095">
        <f t="shared" si="128"/>
        <v>42864</v>
      </c>
      <c r="N358" s="2906">
        <f t="shared" si="129"/>
        <v>1.3491087233324728E-3</v>
      </c>
      <c r="O358" s="2907">
        <f t="shared" si="140"/>
        <v>1.0610241971889642E-4</v>
      </c>
      <c r="P358" s="2908">
        <f t="shared" si="141"/>
        <v>130500</v>
      </c>
      <c r="Q358" s="1095">
        <f t="shared" si="142"/>
        <v>35626.5</v>
      </c>
      <c r="R358" s="2909">
        <f t="shared" si="143"/>
        <v>166126.5</v>
      </c>
      <c r="S358" s="398">
        <f t="shared" si="144"/>
        <v>0</v>
      </c>
      <c r="T358" s="1095">
        <f t="shared" si="145"/>
        <v>0</v>
      </c>
      <c r="U358" s="398">
        <f t="shared" si="146"/>
        <v>0</v>
      </c>
      <c r="V358" s="2913">
        <v>0</v>
      </c>
      <c r="W358" s="1095">
        <f t="shared" si="130"/>
        <v>54471.48</v>
      </c>
      <c r="X358" s="1095">
        <f t="shared" si="131"/>
        <v>7830</v>
      </c>
      <c r="Y358" s="2909">
        <f t="shared" si="134"/>
        <v>62301.48</v>
      </c>
      <c r="Z358" s="2913">
        <v>0</v>
      </c>
      <c r="AA358" s="1095">
        <f t="shared" si="132"/>
        <v>29385.93</v>
      </c>
      <c r="AB358" s="1095">
        <f t="shared" si="133"/>
        <v>0</v>
      </c>
      <c r="AC358" s="2909">
        <f t="shared" si="135"/>
        <v>29385.93</v>
      </c>
    </row>
    <row r="359" spans="1:29">
      <c r="A359" s="1780" t="s">
        <v>4433</v>
      </c>
      <c r="B359" s="1780"/>
      <c r="C359" s="2901">
        <v>165</v>
      </c>
      <c r="D359" s="2902">
        <f t="shared" si="136"/>
        <v>4.71485149646529E-4</v>
      </c>
      <c r="E359" s="1083">
        <v>14850</v>
      </c>
      <c r="F359" s="2952">
        <f t="shared" si="137"/>
        <v>5.1911494851445902E-4</v>
      </c>
      <c r="G359" s="2903">
        <f t="shared" si="125"/>
        <v>14850</v>
      </c>
      <c r="H359" s="2903">
        <f t="shared" si="138"/>
        <v>0</v>
      </c>
      <c r="I359" s="2905">
        <f t="shared" si="126"/>
        <v>9405</v>
      </c>
      <c r="J359" s="1096">
        <v>2877</v>
      </c>
      <c r="K359" s="2479">
        <f t="shared" si="139"/>
        <v>117841.92</v>
      </c>
      <c r="L359" s="398">
        <f t="shared" si="127"/>
        <v>2970</v>
      </c>
      <c r="M359" s="1095">
        <f t="shared" si="128"/>
        <v>15252</v>
      </c>
      <c r="N359" s="2906">
        <f t="shared" si="129"/>
        <v>4.8004400541869343E-4</v>
      </c>
      <c r="O359" s="2907">
        <f t="shared" si="140"/>
        <v>8.5588557721644307E-6</v>
      </c>
      <c r="P359" s="2908">
        <f t="shared" si="141"/>
        <v>49500</v>
      </c>
      <c r="Q359" s="1095">
        <f t="shared" si="142"/>
        <v>13513.5</v>
      </c>
      <c r="R359" s="2909">
        <f t="shared" si="143"/>
        <v>63013.5</v>
      </c>
      <c r="S359" s="398">
        <f t="shared" si="144"/>
        <v>0</v>
      </c>
      <c r="T359" s="1095">
        <f t="shared" si="145"/>
        <v>0</v>
      </c>
      <c r="U359" s="398">
        <f t="shared" si="146"/>
        <v>0</v>
      </c>
      <c r="V359" s="2913">
        <v>0</v>
      </c>
      <c r="W359" s="1095">
        <f t="shared" si="130"/>
        <v>15305.640000000001</v>
      </c>
      <c r="X359" s="1095">
        <f t="shared" si="131"/>
        <v>2970</v>
      </c>
      <c r="Y359" s="2909">
        <f t="shared" si="134"/>
        <v>18275.64</v>
      </c>
      <c r="Z359" s="2913">
        <v>0</v>
      </c>
      <c r="AA359" s="1095">
        <f t="shared" si="132"/>
        <v>8256.99</v>
      </c>
      <c r="AB359" s="1095">
        <f t="shared" si="133"/>
        <v>0</v>
      </c>
      <c r="AC359" s="2909">
        <f t="shared" si="135"/>
        <v>8256.99</v>
      </c>
    </row>
    <row r="360" spans="1:29">
      <c r="A360" s="1780" t="s">
        <v>4434</v>
      </c>
      <c r="B360" s="1780"/>
      <c r="C360" s="2901">
        <v>80</v>
      </c>
      <c r="D360" s="2902">
        <f t="shared" si="136"/>
        <v>2.2859886043468072E-4</v>
      </c>
      <c r="E360" s="1083">
        <v>7200</v>
      </c>
      <c r="F360" s="2952">
        <f t="shared" si="137"/>
        <v>2.5169209624943472E-4</v>
      </c>
      <c r="G360" s="2903">
        <f t="shared" si="125"/>
        <v>7200</v>
      </c>
      <c r="H360" s="2903">
        <f t="shared" si="138"/>
        <v>0</v>
      </c>
      <c r="I360" s="2905">
        <f t="shared" si="126"/>
        <v>4560</v>
      </c>
      <c r="J360" s="1096">
        <v>0</v>
      </c>
      <c r="K360" s="2479">
        <f t="shared" si="139"/>
        <v>0</v>
      </c>
      <c r="L360" s="398">
        <f t="shared" si="127"/>
        <v>1440</v>
      </c>
      <c r="M360" s="1095">
        <f t="shared" si="128"/>
        <v>6000</v>
      </c>
      <c r="N360" s="2906">
        <f t="shared" si="129"/>
        <v>1.8884500606557571E-4</v>
      </c>
      <c r="O360" s="2907">
        <f t="shared" si="140"/>
        <v>-3.9753854369105015E-5</v>
      </c>
      <c r="P360" s="2908">
        <f t="shared" si="141"/>
        <v>24000</v>
      </c>
      <c r="Q360" s="1095">
        <f t="shared" si="142"/>
        <v>6552</v>
      </c>
      <c r="R360" s="2909">
        <f t="shared" si="143"/>
        <v>30552</v>
      </c>
      <c r="S360" s="398">
        <f t="shared" si="144"/>
        <v>0</v>
      </c>
      <c r="T360" s="1095">
        <f t="shared" si="145"/>
        <v>0</v>
      </c>
      <c r="U360" s="398">
        <f t="shared" si="146"/>
        <v>0</v>
      </c>
      <c r="V360" s="2913">
        <v>0</v>
      </c>
      <c r="W360" s="1095">
        <f t="shared" si="130"/>
        <v>0</v>
      </c>
      <c r="X360" s="1095">
        <f t="shared" si="131"/>
        <v>1440</v>
      </c>
      <c r="Y360" s="2909">
        <f t="shared" si="134"/>
        <v>1440</v>
      </c>
      <c r="Z360" s="2913">
        <v>0</v>
      </c>
      <c r="AA360" s="1095">
        <f t="shared" si="132"/>
        <v>0</v>
      </c>
      <c r="AB360" s="1095">
        <f t="shared" si="133"/>
        <v>0</v>
      </c>
      <c r="AC360" s="2909">
        <f t="shared" si="135"/>
        <v>0</v>
      </c>
    </row>
    <row r="361" spans="1:29">
      <c r="A361" s="1780" t="s">
        <v>4435</v>
      </c>
      <c r="B361" s="1780"/>
      <c r="C361" s="2901">
        <v>225</v>
      </c>
      <c r="D361" s="2902">
        <f t="shared" si="136"/>
        <v>6.4293429497253951E-4</v>
      </c>
      <c r="E361" s="1083">
        <v>23010</v>
      </c>
      <c r="F361" s="2952">
        <f t="shared" si="137"/>
        <v>8.0436599093048505E-4</v>
      </c>
      <c r="G361" s="2903">
        <f t="shared" si="125"/>
        <v>20250</v>
      </c>
      <c r="H361" s="2903">
        <f t="shared" si="138"/>
        <v>2760</v>
      </c>
      <c r="I361" s="2905">
        <f t="shared" si="126"/>
        <v>12825</v>
      </c>
      <c r="J361" s="1096">
        <v>3924</v>
      </c>
      <c r="K361" s="2479">
        <f t="shared" si="139"/>
        <v>160727.04000000001</v>
      </c>
      <c r="L361" s="398">
        <f t="shared" si="127"/>
        <v>4602</v>
      </c>
      <c r="M361" s="1095">
        <f t="shared" si="128"/>
        <v>21351</v>
      </c>
      <c r="N361" s="2906">
        <f t="shared" si="129"/>
        <v>6.7200495408435115E-4</v>
      </c>
      <c r="O361" s="2907">
        <f t="shared" si="140"/>
        <v>2.9070659111811643E-5</v>
      </c>
      <c r="P361" s="2908">
        <f t="shared" si="141"/>
        <v>67500</v>
      </c>
      <c r="Q361" s="1095">
        <f t="shared" si="142"/>
        <v>20939.100000000002</v>
      </c>
      <c r="R361" s="2909">
        <f t="shared" si="143"/>
        <v>88439.1</v>
      </c>
      <c r="S361" s="398">
        <f t="shared" si="144"/>
        <v>0</v>
      </c>
      <c r="T361" s="1095">
        <f t="shared" si="145"/>
        <v>0</v>
      </c>
      <c r="U361" s="398">
        <f t="shared" si="146"/>
        <v>0</v>
      </c>
      <c r="V361" s="2913">
        <v>0</v>
      </c>
      <c r="W361" s="1095">
        <f t="shared" si="130"/>
        <v>20875.68</v>
      </c>
      <c r="X361" s="1095">
        <f t="shared" si="131"/>
        <v>4602</v>
      </c>
      <c r="Y361" s="2909">
        <f t="shared" si="134"/>
        <v>25477.68</v>
      </c>
      <c r="Z361" s="2913">
        <v>0</v>
      </c>
      <c r="AA361" s="1095">
        <f t="shared" si="132"/>
        <v>11261.880000000001</v>
      </c>
      <c r="AB361" s="1095">
        <f t="shared" si="133"/>
        <v>0</v>
      </c>
      <c r="AC361" s="2909">
        <f t="shared" si="135"/>
        <v>11261.880000000001</v>
      </c>
    </row>
    <row r="362" spans="1:29">
      <c r="A362" s="1780" t="s">
        <v>4436</v>
      </c>
      <c r="B362" s="1780"/>
      <c r="C362" s="2901">
        <v>110</v>
      </c>
      <c r="D362" s="2902">
        <f t="shared" si="136"/>
        <v>3.14323433097686E-4</v>
      </c>
      <c r="E362" s="1083">
        <v>9900</v>
      </c>
      <c r="F362" s="2952">
        <f t="shared" si="137"/>
        <v>3.460766323429727E-4</v>
      </c>
      <c r="G362" s="2903">
        <f t="shared" si="125"/>
        <v>9900</v>
      </c>
      <c r="H362" s="2903">
        <f t="shared" si="138"/>
        <v>0</v>
      </c>
      <c r="I362" s="2905">
        <f t="shared" si="126"/>
        <v>6270</v>
      </c>
      <c r="J362" s="1096">
        <v>0</v>
      </c>
      <c r="K362" s="2479">
        <f t="shared" si="139"/>
        <v>0</v>
      </c>
      <c r="L362" s="398">
        <f t="shared" si="127"/>
        <v>1980</v>
      </c>
      <c r="M362" s="1095">
        <f t="shared" si="128"/>
        <v>8250</v>
      </c>
      <c r="N362" s="2906">
        <f t="shared" si="129"/>
        <v>2.5966188334016659E-4</v>
      </c>
      <c r="O362" s="2907">
        <f t="shared" si="140"/>
        <v>-5.4661549757519412E-5</v>
      </c>
      <c r="P362" s="2908">
        <f t="shared" si="141"/>
        <v>33000</v>
      </c>
      <c r="Q362" s="1095">
        <f t="shared" si="142"/>
        <v>9009</v>
      </c>
      <c r="R362" s="2909">
        <f t="shared" si="143"/>
        <v>42009</v>
      </c>
      <c r="S362" s="398">
        <f t="shared" si="144"/>
        <v>0</v>
      </c>
      <c r="T362" s="1095">
        <f t="shared" si="145"/>
        <v>0</v>
      </c>
      <c r="U362" s="398">
        <f t="shared" si="146"/>
        <v>0</v>
      </c>
      <c r="V362" s="2913">
        <v>0</v>
      </c>
      <c r="W362" s="1095">
        <f t="shared" si="130"/>
        <v>0</v>
      </c>
      <c r="X362" s="1095">
        <f t="shared" si="131"/>
        <v>1980</v>
      </c>
      <c r="Y362" s="2909">
        <f t="shared" si="134"/>
        <v>1980</v>
      </c>
      <c r="Z362" s="2913">
        <v>0</v>
      </c>
      <c r="AA362" s="1095">
        <f t="shared" si="132"/>
        <v>0</v>
      </c>
      <c r="AB362" s="1095">
        <f t="shared" si="133"/>
        <v>0</v>
      </c>
      <c r="AC362" s="2909">
        <f t="shared" si="135"/>
        <v>0</v>
      </c>
    </row>
    <row r="363" spans="1:29">
      <c r="A363" s="1780" t="s">
        <v>4437</v>
      </c>
      <c r="B363" s="1780"/>
      <c r="C363" s="2901">
        <v>65</v>
      </c>
      <c r="D363" s="2902">
        <f t="shared" si="136"/>
        <v>1.8573657410317809E-4</v>
      </c>
      <c r="E363" s="1083">
        <v>5850</v>
      </c>
      <c r="F363" s="2952">
        <f t="shared" si="137"/>
        <v>2.044998282026657E-4</v>
      </c>
      <c r="G363" s="2903">
        <f t="shared" si="125"/>
        <v>5850</v>
      </c>
      <c r="H363" s="2903">
        <f t="shared" si="138"/>
        <v>0</v>
      </c>
      <c r="I363" s="2905">
        <f t="shared" si="126"/>
        <v>3705</v>
      </c>
      <c r="J363" s="1096">
        <v>1133</v>
      </c>
      <c r="K363" s="2479">
        <f t="shared" si="139"/>
        <v>46407.68</v>
      </c>
      <c r="L363" s="398">
        <f t="shared" si="127"/>
        <v>1170</v>
      </c>
      <c r="M363" s="1095">
        <f t="shared" si="128"/>
        <v>6008</v>
      </c>
      <c r="N363" s="2906">
        <f t="shared" si="129"/>
        <v>1.8909679940699647E-4</v>
      </c>
      <c r="O363" s="2907">
        <f t="shared" si="140"/>
        <v>3.3602253038183757E-6</v>
      </c>
      <c r="P363" s="2908">
        <f t="shared" si="141"/>
        <v>19500</v>
      </c>
      <c r="Q363" s="1095">
        <f t="shared" si="142"/>
        <v>5323.5</v>
      </c>
      <c r="R363" s="2909">
        <f t="shared" si="143"/>
        <v>24823.5</v>
      </c>
      <c r="S363" s="398">
        <f t="shared" si="144"/>
        <v>0</v>
      </c>
      <c r="T363" s="1095">
        <f t="shared" si="145"/>
        <v>0</v>
      </c>
      <c r="U363" s="398">
        <f t="shared" si="146"/>
        <v>0</v>
      </c>
      <c r="V363" s="2913">
        <v>0</v>
      </c>
      <c r="W363" s="1095">
        <f t="shared" si="130"/>
        <v>6027.56</v>
      </c>
      <c r="X363" s="1095">
        <f t="shared" si="131"/>
        <v>1170</v>
      </c>
      <c r="Y363" s="2909">
        <f t="shared" si="134"/>
        <v>7197.56</v>
      </c>
      <c r="Z363" s="2913">
        <v>0</v>
      </c>
      <c r="AA363" s="1095">
        <f t="shared" si="132"/>
        <v>3251.71</v>
      </c>
      <c r="AB363" s="1095">
        <f t="shared" si="133"/>
        <v>0</v>
      </c>
      <c r="AC363" s="2909">
        <f t="shared" si="135"/>
        <v>3251.71</v>
      </c>
    </row>
    <row r="364" spans="1:29">
      <c r="A364" s="1780" t="s">
        <v>4438</v>
      </c>
      <c r="B364" s="1780"/>
      <c r="C364" s="2901">
        <v>100</v>
      </c>
      <c r="D364" s="2902">
        <f t="shared" si="136"/>
        <v>2.8574857554335094E-4</v>
      </c>
      <c r="E364" s="1083">
        <v>9000</v>
      </c>
      <c r="F364" s="2952">
        <f t="shared" si="137"/>
        <v>3.1461512031179337E-4</v>
      </c>
      <c r="G364" s="2903">
        <f t="shared" si="125"/>
        <v>9000</v>
      </c>
      <c r="H364" s="2903">
        <f t="shared" si="138"/>
        <v>0</v>
      </c>
      <c r="I364" s="2905">
        <f t="shared" si="126"/>
        <v>5700</v>
      </c>
      <c r="J364" s="1096">
        <v>1221</v>
      </c>
      <c r="K364" s="2479">
        <f t="shared" si="139"/>
        <v>50012.160000000003</v>
      </c>
      <c r="L364" s="398">
        <f t="shared" si="127"/>
        <v>1800</v>
      </c>
      <c r="M364" s="1095">
        <f t="shared" si="128"/>
        <v>8721</v>
      </c>
      <c r="N364" s="2906">
        <f t="shared" si="129"/>
        <v>2.7448621631631431E-4</v>
      </c>
      <c r="O364" s="2907">
        <f t="shared" si="140"/>
        <v>-1.1262359227036628E-5</v>
      </c>
      <c r="P364" s="2908">
        <f t="shared" si="141"/>
        <v>30000</v>
      </c>
      <c r="Q364" s="1095">
        <f t="shared" si="142"/>
        <v>8190</v>
      </c>
      <c r="R364" s="2909">
        <f t="shared" si="143"/>
        <v>38190</v>
      </c>
      <c r="S364" s="398">
        <f t="shared" si="144"/>
        <v>0</v>
      </c>
      <c r="T364" s="1095">
        <f t="shared" si="145"/>
        <v>0</v>
      </c>
      <c r="U364" s="398">
        <f t="shared" si="146"/>
        <v>0</v>
      </c>
      <c r="V364" s="2913">
        <v>0</v>
      </c>
      <c r="W364" s="1095">
        <f t="shared" si="130"/>
        <v>6495.72</v>
      </c>
      <c r="X364" s="1095">
        <f t="shared" si="131"/>
        <v>1800</v>
      </c>
      <c r="Y364" s="2909">
        <f t="shared" si="134"/>
        <v>8295.7200000000012</v>
      </c>
      <c r="Z364" s="2913">
        <v>0</v>
      </c>
      <c r="AA364" s="1095">
        <f t="shared" si="132"/>
        <v>3504.27</v>
      </c>
      <c r="AB364" s="1095">
        <f t="shared" si="133"/>
        <v>0</v>
      </c>
      <c r="AC364" s="2909">
        <f t="shared" si="135"/>
        <v>3504.27</v>
      </c>
    </row>
    <row r="365" spans="1:29">
      <c r="A365" s="1780" t="s">
        <v>4439</v>
      </c>
      <c r="B365" s="1780"/>
      <c r="C365" s="2901">
        <v>105</v>
      </c>
      <c r="D365" s="2902">
        <f t="shared" si="136"/>
        <v>3.0003600432051844E-4</v>
      </c>
      <c r="E365" s="1083">
        <v>9450</v>
      </c>
      <c r="F365" s="2952">
        <f t="shared" si="137"/>
        <v>3.3034587632738306E-4</v>
      </c>
      <c r="G365" s="2903">
        <f t="shared" si="125"/>
        <v>9450</v>
      </c>
      <c r="H365" s="2903">
        <f t="shared" si="138"/>
        <v>0</v>
      </c>
      <c r="I365" s="2905">
        <f t="shared" si="126"/>
        <v>5985</v>
      </c>
      <c r="J365" s="1096">
        <v>1830.9999999999998</v>
      </c>
      <c r="K365" s="2479">
        <f t="shared" si="139"/>
        <v>74997.759999999995</v>
      </c>
      <c r="L365" s="398">
        <f t="shared" si="127"/>
        <v>1890</v>
      </c>
      <c r="M365" s="1095">
        <f t="shared" si="128"/>
        <v>9706</v>
      </c>
      <c r="N365" s="2906">
        <f t="shared" si="129"/>
        <v>3.054882714787463E-4</v>
      </c>
      <c r="O365" s="2907">
        <f t="shared" si="140"/>
        <v>5.4522671582278603E-6</v>
      </c>
      <c r="P365" s="2908">
        <f t="shared" si="141"/>
        <v>31500</v>
      </c>
      <c r="Q365" s="1095">
        <f t="shared" si="142"/>
        <v>8599.5</v>
      </c>
      <c r="R365" s="2909">
        <f t="shared" si="143"/>
        <v>40099.5</v>
      </c>
      <c r="S365" s="398">
        <f t="shared" si="144"/>
        <v>0</v>
      </c>
      <c r="T365" s="1095">
        <f t="shared" si="145"/>
        <v>0</v>
      </c>
      <c r="U365" s="398">
        <f t="shared" si="146"/>
        <v>0</v>
      </c>
      <c r="V365" s="2913">
        <v>0</v>
      </c>
      <c r="W365" s="1095">
        <f t="shared" si="130"/>
        <v>9740.92</v>
      </c>
      <c r="X365" s="1095">
        <f t="shared" si="131"/>
        <v>1890</v>
      </c>
      <c r="Y365" s="2909">
        <f t="shared" si="134"/>
        <v>11630.92</v>
      </c>
      <c r="Z365" s="2913">
        <v>0</v>
      </c>
      <c r="AA365" s="1095">
        <f t="shared" si="132"/>
        <v>5254.9699999999993</v>
      </c>
      <c r="AB365" s="1095">
        <f t="shared" si="133"/>
        <v>0</v>
      </c>
      <c r="AC365" s="2909">
        <f t="shared" si="135"/>
        <v>5254.9699999999993</v>
      </c>
    </row>
    <row r="366" spans="1:29">
      <c r="A366" s="1780" t="s">
        <v>4440</v>
      </c>
      <c r="B366" s="1780"/>
      <c r="C366" s="2901">
        <v>180</v>
      </c>
      <c r="D366" s="2902">
        <f t="shared" si="136"/>
        <v>5.1434743597803163E-4</v>
      </c>
      <c r="E366" s="1083">
        <v>16200</v>
      </c>
      <c r="F366" s="2952">
        <f t="shared" si="137"/>
        <v>5.6630721656122809E-4</v>
      </c>
      <c r="G366" s="2903">
        <f t="shared" si="125"/>
        <v>16200</v>
      </c>
      <c r="H366" s="2903">
        <f t="shared" si="138"/>
        <v>0</v>
      </c>
      <c r="I366" s="2905">
        <f t="shared" si="126"/>
        <v>10260</v>
      </c>
      <c r="J366" s="1096">
        <v>1830.9999999999998</v>
      </c>
      <c r="K366" s="2479">
        <f t="shared" si="139"/>
        <v>74997.759999999995</v>
      </c>
      <c r="L366" s="398">
        <f t="shared" si="127"/>
        <v>3240</v>
      </c>
      <c r="M366" s="1095">
        <f t="shared" si="128"/>
        <v>15331</v>
      </c>
      <c r="N366" s="2906">
        <f t="shared" si="129"/>
        <v>4.8253046466522351E-4</v>
      </c>
      <c r="O366" s="2907">
        <f t="shared" si="140"/>
        <v>-3.181697131280812E-5</v>
      </c>
      <c r="P366" s="2908">
        <f t="shared" si="141"/>
        <v>54000</v>
      </c>
      <c r="Q366" s="1095">
        <f t="shared" si="142"/>
        <v>14742</v>
      </c>
      <c r="R366" s="2909">
        <f t="shared" si="143"/>
        <v>68742</v>
      </c>
      <c r="S366" s="398">
        <f t="shared" si="144"/>
        <v>0</v>
      </c>
      <c r="T366" s="1095">
        <f t="shared" si="145"/>
        <v>0</v>
      </c>
      <c r="U366" s="398">
        <f t="shared" si="146"/>
        <v>0</v>
      </c>
      <c r="V366" s="2913">
        <v>0</v>
      </c>
      <c r="W366" s="1095">
        <f t="shared" si="130"/>
        <v>9740.92</v>
      </c>
      <c r="X366" s="1095">
        <f t="shared" si="131"/>
        <v>3240</v>
      </c>
      <c r="Y366" s="2909">
        <f t="shared" si="134"/>
        <v>12980.92</v>
      </c>
      <c r="Z366" s="2913">
        <v>0</v>
      </c>
      <c r="AA366" s="1095">
        <f t="shared" si="132"/>
        <v>5254.9699999999993</v>
      </c>
      <c r="AB366" s="1095">
        <f t="shared" si="133"/>
        <v>0</v>
      </c>
      <c r="AC366" s="2909">
        <f t="shared" si="135"/>
        <v>5254.9699999999993</v>
      </c>
    </row>
    <row r="367" spans="1:29">
      <c r="A367" s="1780" t="s">
        <v>4441</v>
      </c>
      <c r="B367" s="1780"/>
      <c r="C367" s="2901">
        <v>105</v>
      </c>
      <c r="D367" s="2902">
        <f t="shared" si="136"/>
        <v>3.0003600432051844E-4</v>
      </c>
      <c r="E367" s="1083">
        <v>9450</v>
      </c>
      <c r="F367" s="2952">
        <f t="shared" si="137"/>
        <v>3.3034587632738306E-4</v>
      </c>
      <c r="G367" s="2903">
        <f t="shared" si="125"/>
        <v>9450</v>
      </c>
      <c r="H367" s="2903">
        <f t="shared" si="138"/>
        <v>0</v>
      </c>
      <c r="I367" s="2905">
        <f t="shared" si="126"/>
        <v>5985</v>
      </c>
      <c r="J367" s="1096">
        <v>0</v>
      </c>
      <c r="K367" s="2479">
        <f t="shared" si="139"/>
        <v>0</v>
      </c>
      <c r="L367" s="398">
        <f t="shared" si="127"/>
        <v>1890</v>
      </c>
      <c r="M367" s="1095">
        <f t="shared" si="128"/>
        <v>7875</v>
      </c>
      <c r="N367" s="2906">
        <f t="shared" si="129"/>
        <v>2.4785907046106809E-4</v>
      </c>
      <c r="O367" s="2907">
        <f t="shared" si="140"/>
        <v>-5.2176933859450351E-5</v>
      </c>
      <c r="P367" s="2908">
        <f t="shared" si="141"/>
        <v>31500</v>
      </c>
      <c r="Q367" s="1095">
        <f t="shared" si="142"/>
        <v>8599.5</v>
      </c>
      <c r="R367" s="2909">
        <f t="shared" si="143"/>
        <v>40099.5</v>
      </c>
      <c r="S367" s="398">
        <f t="shared" si="144"/>
        <v>0</v>
      </c>
      <c r="T367" s="1095">
        <f t="shared" si="145"/>
        <v>0</v>
      </c>
      <c r="U367" s="398">
        <f t="shared" si="146"/>
        <v>0</v>
      </c>
      <c r="V367" s="2913">
        <v>0</v>
      </c>
      <c r="W367" s="1095">
        <f t="shared" si="130"/>
        <v>0</v>
      </c>
      <c r="X367" s="1095">
        <f t="shared" si="131"/>
        <v>1890</v>
      </c>
      <c r="Y367" s="2909">
        <f t="shared" si="134"/>
        <v>1890</v>
      </c>
      <c r="Z367" s="2913">
        <v>0</v>
      </c>
      <c r="AA367" s="1095">
        <f t="shared" si="132"/>
        <v>0</v>
      </c>
      <c r="AB367" s="1095">
        <f t="shared" si="133"/>
        <v>0</v>
      </c>
      <c r="AC367" s="2909">
        <f t="shared" si="135"/>
        <v>0</v>
      </c>
    </row>
    <row r="368" spans="1:29">
      <c r="A368" s="1780" t="s">
        <v>4442</v>
      </c>
      <c r="B368" s="1780"/>
      <c r="C368" s="2901">
        <v>325</v>
      </c>
      <c r="D368" s="2902">
        <f t="shared" si="136"/>
        <v>9.286828705158905E-4</v>
      </c>
      <c r="E368" s="1083">
        <v>29250</v>
      </c>
      <c r="F368" s="2952">
        <f t="shared" si="137"/>
        <v>1.0224991410133285E-3</v>
      </c>
      <c r="G368" s="2903">
        <f t="shared" si="125"/>
        <v>29250</v>
      </c>
      <c r="H368" s="2903">
        <f t="shared" si="138"/>
        <v>0</v>
      </c>
      <c r="I368" s="2905">
        <f t="shared" si="126"/>
        <v>18525</v>
      </c>
      <c r="J368" s="1096">
        <v>5668</v>
      </c>
      <c r="K368" s="2479">
        <f t="shared" si="139"/>
        <v>232161.28</v>
      </c>
      <c r="L368" s="398">
        <f t="shared" si="127"/>
        <v>5850</v>
      </c>
      <c r="M368" s="1095">
        <f t="shared" si="128"/>
        <v>30043</v>
      </c>
      <c r="N368" s="2906">
        <f t="shared" si="129"/>
        <v>9.4557841953801509E-4</v>
      </c>
      <c r="O368" s="2907">
        <f t="shared" si="140"/>
        <v>1.6895549022124591E-5</v>
      </c>
      <c r="P368" s="2908">
        <f t="shared" si="141"/>
        <v>97500</v>
      </c>
      <c r="Q368" s="1095">
        <f t="shared" si="142"/>
        <v>26617.5</v>
      </c>
      <c r="R368" s="2909">
        <f t="shared" si="143"/>
        <v>124117.5</v>
      </c>
      <c r="S368" s="398">
        <f t="shared" si="144"/>
        <v>0</v>
      </c>
      <c r="T368" s="1095">
        <f t="shared" si="145"/>
        <v>0</v>
      </c>
      <c r="U368" s="398">
        <f t="shared" si="146"/>
        <v>0</v>
      </c>
      <c r="V368" s="2913">
        <v>0</v>
      </c>
      <c r="W368" s="1095">
        <f t="shared" si="130"/>
        <v>30153.760000000002</v>
      </c>
      <c r="X368" s="1095">
        <f t="shared" si="131"/>
        <v>5850</v>
      </c>
      <c r="Y368" s="2909">
        <f t="shared" si="134"/>
        <v>36003.760000000002</v>
      </c>
      <c r="Z368" s="2913">
        <v>0</v>
      </c>
      <c r="AA368" s="1095">
        <f t="shared" si="132"/>
        <v>16267.16</v>
      </c>
      <c r="AB368" s="1095">
        <f t="shared" si="133"/>
        <v>0</v>
      </c>
      <c r="AC368" s="2909">
        <f t="shared" si="135"/>
        <v>16267.16</v>
      </c>
    </row>
    <row r="369" spans="1:29">
      <c r="A369" s="1780" t="s">
        <v>4443</v>
      </c>
      <c r="B369" s="1780"/>
      <c r="C369" s="2901">
        <v>14780</v>
      </c>
      <c r="D369" s="2902">
        <f t="shared" si="136"/>
        <v>4.2233639465307268E-2</v>
      </c>
      <c r="E369" s="1083">
        <v>1330200</v>
      </c>
      <c r="F369" s="2952">
        <f t="shared" si="137"/>
        <v>4.650011478208306E-2</v>
      </c>
      <c r="G369" s="2903">
        <f t="shared" si="125"/>
        <v>1330200</v>
      </c>
      <c r="H369" s="2903">
        <f t="shared" si="138"/>
        <v>0</v>
      </c>
      <c r="I369" s="2905">
        <f t="shared" si="126"/>
        <v>842460</v>
      </c>
      <c r="J369" s="1096">
        <v>257769.99999999997</v>
      </c>
      <c r="K369" s="2479">
        <f t="shared" si="139"/>
        <v>10558259.199999999</v>
      </c>
      <c r="L369" s="398">
        <f t="shared" si="127"/>
        <v>266040</v>
      </c>
      <c r="M369" s="1095">
        <f t="shared" si="128"/>
        <v>1366270</v>
      </c>
      <c r="N369" s="2906">
        <f t="shared" si="129"/>
        <v>4.3002211072869022E-2</v>
      </c>
      <c r="O369" s="2907">
        <f t="shared" si="140"/>
        <v>7.6857160756175352E-4</v>
      </c>
      <c r="P369" s="2908">
        <f t="shared" si="141"/>
        <v>4434000</v>
      </c>
      <c r="Q369" s="1095">
        <f t="shared" si="142"/>
        <v>1210482</v>
      </c>
      <c r="R369" s="2909">
        <f t="shared" si="143"/>
        <v>5644482</v>
      </c>
      <c r="S369" s="398">
        <f t="shared" si="144"/>
        <v>0</v>
      </c>
      <c r="T369" s="1095">
        <f t="shared" si="145"/>
        <v>0</v>
      </c>
      <c r="U369" s="398">
        <f t="shared" si="146"/>
        <v>0</v>
      </c>
      <c r="V369" s="2913">
        <v>0</v>
      </c>
      <c r="W369" s="1095">
        <f t="shared" si="130"/>
        <v>1371336.4</v>
      </c>
      <c r="X369" s="1095">
        <f t="shared" si="131"/>
        <v>266040</v>
      </c>
      <c r="Y369" s="2909">
        <f t="shared" si="134"/>
        <v>1637376.4</v>
      </c>
      <c r="Z369" s="2913">
        <v>0</v>
      </c>
      <c r="AA369" s="1095">
        <f t="shared" si="132"/>
        <v>739799.89999999991</v>
      </c>
      <c r="AB369" s="1095">
        <f t="shared" si="133"/>
        <v>0</v>
      </c>
      <c r="AC369" s="2909">
        <f t="shared" si="135"/>
        <v>739799.89999999991</v>
      </c>
    </row>
    <row r="370" spans="1:29">
      <c r="A370" s="1780" t="s">
        <v>4444</v>
      </c>
      <c r="B370" s="1780"/>
      <c r="C370" s="2901">
        <v>85</v>
      </c>
      <c r="D370" s="2902">
        <f t="shared" si="136"/>
        <v>2.4288628921184828E-4</v>
      </c>
      <c r="E370" s="1083">
        <v>7650</v>
      </c>
      <c r="F370" s="2952">
        <f t="shared" si="137"/>
        <v>2.6742285226502436E-4</v>
      </c>
      <c r="G370" s="2903">
        <f t="shared" si="125"/>
        <v>7650</v>
      </c>
      <c r="H370" s="2903">
        <f t="shared" si="138"/>
        <v>0</v>
      </c>
      <c r="I370" s="2905">
        <f t="shared" si="126"/>
        <v>4845</v>
      </c>
      <c r="J370" s="1096">
        <v>1482</v>
      </c>
      <c r="K370" s="2479">
        <f t="shared" si="139"/>
        <v>60702.720000000001</v>
      </c>
      <c r="L370" s="398">
        <f t="shared" si="127"/>
        <v>1530</v>
      </c>
      <c r="M370" s="1095">
        <f t="shared" si="128"/>
        <v>7857</v>
      </c>
      <c r="N370" s="2906">
        <f t="shared" si="129"/>
        <v>2.4729253544287139E-4</v>
      </c>
      <c r="O370" s="2907">
        <f t="shared" si="140"/>
        <v>4.4062462310231045E-6</v>
      </c>
      <c r="P370" s="2908">
        <f t="shared" si="141"/>
        <v>25500</v>
      </c>
      <c r="Q370" s="1095">
        <f t="shared" si="142"/>
        <v>6961.5</v>
      </c>
      <c r="R370" s="2909">
        <f t="shared" si="143"/>
        <v>32461.5</v>
      </c>
      <c r="S370" s="398">
        <f t="shared" si="144"/>
        <v>0</v>
      </c>
      <c r="T370" s="1095">
        <f t="shared" si="145"/>
        <v>0</v>
      </c>
      <c r="U370" s="398">
        <f t="shared" si="146"/>
        <v>0</v>
      </c>
      <c r="V370" s="2913">
        <v>0</v>
      </c>
      <c r="W370" s="1095">
        <f t="shared" si="130"/>
        <v>7884.2400000000007</v>
      </c>
      <c r="X370" s="1095">
        <f t="shared" si="131"/>
        <v>1530</v>
      </c>
      <c r="Y370" s="2909">
        <f t="shared" si="134"/>
        <v>9414.2400000000016</v>
      </c>
      <c r="Z370" s="2913">
        <v>0</v>
      </c>
      <c r="AA370" s="1095">
        <f t="shared" si="132"/>
        <v>4253.34</v>
      </c>
      <c r="AB370" s="1095">
        <f t="shared" si="133"/>
        <v>0</v>
      </c>
      <c r="AC370" s="2909">
        <f t="shared" si="135"/>
        <v>4253.34</v>
      </c>
    </row>
    <row r="371" spans="1:29">
      <c r="A371" s="1780" t="s">
        <v>4445</v>
      </c>
      <c r="B371" s="1780"/>
      <c r="C371" s="2901">
        <v>1830</v>
      </c>
      <c r="D371" s="2902">
        <f t="shared" si="136"/>
        <v>5.2291989324433213E-3</v>
      </c>
      <c r="E371" s="1083">
        <v>164700</v>
      </c>
      <c r="F371" s="2952">
        <f t="shared" si="137"/>
        <v>5.7574567017058187E-3</v>
      </c>
      <c r="G371" s="2903">
        <f t="shared" si="125"/>
        <v>164700</v>
      </c>
      <c r="H371" s="2903">
        <f t="shared" si="138"/>
        <v>0</v>
      </c>
      <c r="I371" s="2905">
        <f t="shared" si="126"/>
        <v>104310</v>
      </c>
      <c r="J371" s="1096">
        <v>31916.000000000004</v>
      </c>
      <c r="K371" s="2479">
        <f t="shared" si="139"/>
        <v>1307279.3600000001</v>
      </c>
      <c r="L371" s="398">
        <f t="shared" si="127"/>
        <v>32940</v>
      </c>
      <c r="M371" s="1095">
        <f t="shared" si="128"/>
        <v>169166</v>
      </c>
      <c r="N371" s="2906">
        <f t="shared" si="129"/>
        <v>5.3243590493481964E-3</v>
      </c>
      <c r="O371" s="2907">
        <f t="shared" si="140"/>
        <v>9.5160116904875053E-5</v>
      </c>
      <c r="P371" s="2908">
        <f t="shared" si="141"/>
        <v>549000</v>
      </c>
      <c r="Q371" s="1095">
        <f t="shared" si="142"/>
        <v>149877</v>
      </c>
      <c r="R371" s="2909">
        <f t="shared" si="143"/>
        <v>698877</v>
      </c>
      <c r="S371" s="398">
        <f t="shared" si="144"/>
        <v>0</v>
      </c>
      <c r="T371" s="1095">
        <f t="shared" si="145"/>
        <v>0</v>
      </c>
      <c r="U371" s="398">
        <f t="shared" si="146"/>
        <v>0</v>
      </c>
      <c r="V371" s="2913">
        <v>0</v>
      </c>
      <c r="W371" s="1095">
        <f t="shared" si="130"/>
        <v>169793.12000000002</v>
      </c>
      <c r="X371" s="1095">
        <f t="shared" si="131"/>
        <v>32940</v>
      </c>
      <c r="Y371" s="2909">
        <f t="shared" si="134"/>
        <v>202733.12000000002</v>
      </c>
      <c r="Z371" s="2913">
        <v>0</v>
      </c>
      <c r="AA371" s="1095">
        <f t="shared" si="132"/>
        <v>91598.920000000013</v>
      </c>
      <c r="AB371" s="1095">
        <f t="shared" si="133"/>
        <v>0</v>
      </c>
      <c r="AC371" s="2909">
        <f t="shared" si="135"/>
        <v>91598.920000000013</v>
      </c>
    </row>
    <row r="372" spans="1:29">
      <c r="A372" s="1780" t="s">
        <v>4446</v>
      </c>
      <c r="B372" s="1780"/>
      <c r="C372" s="2901">
        <v>335</v>
      </c>
      <c r="D372" s="2902">
        <f t="shared" si="136"/>
        <v>9.5725772807022562E-4</v>
      </c>
      <c r="E372" s="1083">
        <v>30150</v>
      </c>
      <c r="F372" s="2952">
        <f t="shared" si="137"/>
        <v>1.0539606530445078E-3</v>
      </c>
      <c r="G372" s="2903">
        <f t="shared" si="125"/>
        <v>30150</v>
      </c>
      <c r="H372" s="2903">
        <f t="shared" si="138"/>
        <v>0</v>
      </c>
      <c r="I372" s="2905">
        <f t="shared" si="126"/>
        <v>19095</v>
      </c>
      <c r="J372" s="1096">
        <v>5842</v>
      </c>
      <c r="K372" s="2479">
        <f t="shared" si="139"/>
        <v>239288.32000000001</v>
      </c>
      <c r="L372" s="398">
        <f t="shared" si="127"/>
        <v>6030</v>
      </c>
      <c r="M372" s="1095">
        <f t="shared" si="128"/>
        <v>30967</v>
      </c>
      <c r="N372" s="2906">
        <f t="shared" si="129"/>
        <v>9.7466055047211377E-4</v>
      </c>
      <c r="O372" s="2907">
        <f t="shared" si="140"/>
        <v>1.7402822401888147E-5</v>
      </c>
      <c r="P372" s="2908">
        <f t="shared" si="141"/>
        <v>100500</v>
      </c>
      <c r="Q372" s="1095">
        <f t="shared" si="142"/>
        <v>27436.5</v>
      </c>
      <c r="R372" s="2909">
        <f t="shared" si="143"/>
        <v>127936.5</v>
      </c>
      <c r="S372" s="398">
        <f t="shared" si="144"/>
        <v>0</v>
      </c>
      <c r="T372" s="1095">
        <f t="shared" si="145"/>
        <v>0</v>
      </c>
      <c r="U372" s="398">
        <f t="shared" si="146"/>
        <v>0</v>
      </c>
      <c r="V372" s="2913">
        <v>0</v>
      </c>
      <c r="W372" s="1095">
        <f t="shared" si="130"/>
        <v>31079.440000000002</v>
      </c>
      <c r="X372" s="1095">
        <f t="shared" si="131"/>
        <v>6030</v>
      </c>
      <c r="Y372" s="2909">
        <f t="shared" si="134"/>
        <v>37109.440000000002</v>
      </c>
      <c r="Z372" s="2913">
        <v>0</v>
      </c>
      <c r="AA372" s="1095">
        <f t="shared" si="132"/>
        <v>16766.54</v>
      </c>
      <c r="AB372" s="1095">
        <f t="shared" si="133"/>
        <v>0</v>
      </c>
      <c r="AC372" s="2909">
        <f t="shared" si="135"/>
        <v>16766.54</v>
      </c>
    </row>
    <row r="373" spans="1:29">
      <c r="A373" s="1083" t="s">
        <v>4447</v>
      </c>
      <c r="B373" s="1780"/>
      <c r="C373" s="2901">
        <v>135</v>
      </c>
      <c r="D373" s="2902">
        <f t="shared" si="136"/>
        <v>3.8576057698352375E-4</v>
      </c>
      <c r="E373" s="1083">
        <v>12150</v>
      </c>
      <c r="F373" s="2952">
        <f t="shared" si="137"/>
        <v>4.2473041242092104E-4</v>
      </c>
      <c r="G373" s="2903">
        <f t="shared" si="125"/>
        <v>12150</v>
      </c>
      <c r="H373" s="2903">
        <f t="shared" si="138"/>
        <v>0</v>
      </c>
      <c r="I373" s="2905">
        <f t="shared" si="126"/>
        <v>7695</v>
      </c>
      <c r="J373" s="1096">
        <v>0</v>
      </c>
      <c r="K373" s="2479">
        <f t="shared" si="139"/>
        <v>0</v>
      </c>
      <c r="L373" s="398">
        <f t="shared" si="127"/>
        <v>2430</v>
      </c>
      <c r="M373" s="1095">
        <f t="shared" si="128"/>
        <v>10125</v>
      </c>
      <c r="N373" s="2906">
        <f t="shared" si="129"/>
        <v>3.1867594773565897E-4</v>
      </c>
      <c r="O373" s="2907">
        <f t="shared" si="140"/>
        <v>-6.7084629247864775E-5</v>
      </c>
      <c r="P373" s="2908">
        <f t="shared" si="141"/>
        <v>40500</v>
      </c>
      <c r="Q373" s="1095">
        <f t="shared" si="142"/>
        <v>11056.5</v>
      </c>
      <c r="R373" s="2909">
        <f t="shared" si="143"/>
        <v>51556.5</v>
      </c>
      <c r="S373" s="398">
        <f t="shared" si="144"/>
        <v>0</v>
      </c>
      <c r="T373" s="1095">
        <f t="shared" si="145"/>
        <v>0</v>
      </c>
      <c r="U373" s="398">
        <f t="shared" si="146"/>
        <v>0</v>
      </c>
      <c r="V373" s="2913">
        <v>0</v>
      </c>
      <c r="W373" s="1095">
        <f t="shared" si="130"/>
        <v>0</v>
      </c>
      <c r="X373" s="1095">
        <f t="shared" si="131"/>
        <v>2430</v>
      </c>
      <c r="Y373" s="2909">
        <f t="shared" si="134"/>
        <v>2430</v>
      </c>
      <c r="Z373" s="2913">
        <v>0</v>
      </c>
      <c r="AA373" s="1095">
        <f t="shared" si="132"/>
        <v>0</v>
      </c>
      <c r="AB373" s="1095">
        <f t="shared" si="133"/>
        <v>0</v>
      </c>
      <c r="AC373" s="2909">
        <f t="shared" si="135"/>
        <v>0</v>
      </c>
    </row>
    <row r="374" spans="1:29">
      <c r="A374" s="1780" t="s">
        <v>4448</v>
      </c>
      <c r="B374" s="1780"/>
      <c r="C374" s="2901">
        <v>205</v>
      </c>
      <c r="D374" s="2902">
        <f t="shared" si="136"/>
        <v>5.8578457986386938E-4</v>
      </c>
      <c r="E374" s="1083">
        <v>18450</v>
      </c>
      <c r="F374" s="2952">
        <f t="shared" si="137"/>
        <v>6.4496099663917644E-4</v>
      </c>
      <c r="G374" s="2903">
        <f t="shared" si="125"/>
        <v>18450</v>
      </c>
      <c r="H374" s="2903">
        <f t="shared" si="138"/>
        <v>0</v>
      </c>
      <c r="I374" s="2905">
        <f t="shared" si="126"/>
        <v>11685</v>
      </c>
      <c r="J374" s="1096">
        <v>3575</v>
      </c>
      <c r="K374" s="2479">
        <f t="shared" si="139"/>
        <v>146432</v>
      </c>
      <c r="L374" s="398">
        <f t="shared" si="127"/>
        <v>3690</v>
      </c>
      <c r="M374" s="1095">
        <f t="shared" si="128"/>
        <v>18950</v>
      </c>
      <c r="N374" s="2906">
        <f t="shared" si="129"/>
        <v>5.9643547749044321E-4</v>
      </c>
      <c r="O374" s="2907">
        <f t="shared" si="140"/>
        <v>1.0650897626573834E-5</v>
      </c>
      <c r="P374" s="2908">
        <f t="shared" si="141"/>
        <v>61500</v>
      </c>
      <c r="Q374" s="1095">
        <f t="shared" si="142"/>
        <v>16789.5</v>
      </c>
      <c r="R374" s="2909">
        <f t="shared" si="143"/>
        <v>78289.5</v>
      </c>
      <c r="S374" s="398">
        <f t="shared" si="144"/>
        <v>0</v>
      </c>
      <c r="T374" s="1095">
        <f t="shared" si="145"/>
        <v>0</v>
      </c>
      <c r="U374" s="398">
        <f t="shared" si="146"/>
        <v>0</v>
      </c>
      <c r="V374" s="2913">
        <v>0</v>
      </c>
      <c r="W374" s="1095">
        <f t="shared" si="130"/>
        <v>19019</v>
      </c>
      <c r="X374" s="1095">
        <f t="shared" si="131"/>
        <v>3690</v>
      </c>
      <c r="Y374" s="2909">
        <f t="shared" si="134"/>
        <v>22709</v>
      </c>
      <c r="Z374" s="2913">
        <v>0</v>
      </c>
      <c r="AA374" s="1095">
        <f t="shared" si="132"/>
        <v>10260.25</v>
      </c>
      <c r="AB374" s="1095">
        <f t="shared" si="133"/>
        <v>0</v>
      </c>
      <c r="AC374" s="2909">
        <f t="shared" si="135"/>
        <v>10260.25</v>
      </c>
    </row>
    <row r="375" spans="1:29">
      <c r="A375" s="1780" t="s">
        <v>4449</v>
      </c>
      <c r="B375" s="1780"/>
      <c r="C375" s="2901">
        <v>210</v>
      </c>
      <c r="D375" s="2902">
        <f t="shared" si="136"/>
        <v>6.0007200864103688E-4</v>
      </c>
      <c r="E375" s="1083">
        <v>18900</v>
      </c>
      <c r="F375" s="2952">
        <f t="shared" si="137"/>
        <v>6.6069175265476613E-4</v>
      </c>
      <c r="G375" s="2903">
        <f t="shared" si="125"/>
        <v>18900</v>
      </c>
      <c r="H375" s="2903">
        <f t="shared" si="138"/>
        <v>0</v>
      </c>
      <c r="I375" s="2905">
        <f t="shared" si="126"/>
        <v>11970</v>
      </c>
      <c r="J375" s="1096">
        <v>0</v>
      </c>
      <c r="K375" s="2479">
        <f t="shared" si="139"/>
        <v>0</v>
      </c>
      <c r="L375" s="398">
        <f t="shared" si="127"/>
        <v>3780</v>
      </c>
      <c r="M375" s="1095">
        <f t="shared" si="128"/>
        <v>15750</v>
      </c>
      <c r="N375" s="2906">
        <f t="shared" si="129"/>
        <v>4.9571814092213618E-4</v>
      </c>
      <c r="O375" s="2907">
        <f t="shared" si="140"/>
        <v>-1.043538677189007E-4</v>
      </c>
      <c r="P375" s="2908">
        <f t="shared" si="141"/>
        <v>63000</v>
      </c>
      <c r="Q375" s="1095">
        <f t="shared" si="142"/>
        <v>17199</v>
      </c>
      <c r="R375" s="2909">
        <f t="shared" si="143"/>
        <v>80199</v>
      </c>
      <c r="S375" s="398">
        <f t="shared" si="144"/>
        <v>0</v>
      </c>
      <c r="T375" s="1095">
        <f t="shared" si="145"/>
        <v>0</v>
      </c>
      <c r="U375" s="398">
        <f t="shared" si="146"/>
        <v>0</v>
      </c>
      <c r="V375" s="2913">
        <v>0</v>
      </c>
      <c r="W375" s="1095">
        <f t="shared" si="130"/>
        <v>0</v>
      </c>
      <c r="X375" s="1095">
        <f t="shared" si="131"/>
        <v>3780</v>
      </c>
      <c r="Y375" s="2909">
        <f t="shared" si="134"/>
        <v>3780</v>
      </c>
      <c r="Z375" s="2913">
        <v>0</v>
      </c>
      <c r="AA375" s="1095">
        <f t="shared" si="132"/>
        <v>0</v>
      </c>
      <c r="AB375" s="1095">
        <f t="shared" si="133"/>
        <v>0</v>
      </c>
      <c r="AC375" s="2909">
        <f t="shared" si="135"/>
        <v>0</v>
      </c>
    </row>
    <row r="376" spans="1:29">
      <c r="A376" s="1780" t="s">
        <v>4450</v>
      </c>
      <c r="B376" s="1780"/>
      <c r="C376" s="2901">
        <v>145</v>
      </c>
      <c r="D376" s="2902">
        <f t="shared" si="136"/>
        <v>4.1433543453785882E-4</v>
      </c>
      <c r="E376" s="1083">
        <v>13050</v>
      </c>
      <c r="F376" s="2952">
        <f t="shared" si="137"/>
        <v>4.5619192445210037E-4</v>
      </c>
      <c r="G376" s="2903">
        <f t="shared" si="125"/>
        <v>13050</v>
      </c>
      <c r="H376" s="2903">
        <f t="shared" si="138"/>
        <v>0</v>
      </c>
      <c r="I376" s="2905">
        <f t="shared" si="126"/>
        <v>8265</v>
      </c>
      <c r="J376" s="1096">
        <v>3412</v>
      </c>
      <c r="K376" s="2479">
        <f t="shared" si="139"/>
        <v>139755.51999999999</v>
      </c>
      <c r="L376" s="398">
        <f t="shared" si="127"/>
        <v>2610</v>
      </c>
      <c r="M376" s="1095">
        <f t="shared" si="128"/>
        <v>14287</v>
      </c>
      <c r="N376" s="2906">
        <f t="shared" si="129"/>
        <v>4.4967143360981332E-4</v>
      </c>
      <c r="O376" s="2907">
        <f t="shared" si="140"/>
        <v>3.5335999071954506E-5</v>
      </c>
      <c r="P376" s="2908">
        <f t="shared" si="141"/>
        <v>43500</v>
      </c>
      <c r="Q376" s="1095">
        <f t="shared" si="142"/>
        <v>11875.5</v>
      </c>
      <c r="R376" s="2909">
        <f t="shared" si="143"/>
        <v>55375.5</v>
      </c>
      <c r="S376" s="398">
        <f t="shared" si="144"/>
        <v>0</v>
      </c>
      <c r="T376" s="1095">
        <f t="shared" si="145"/>
        <v>0</v>
      </c>
      <c r="U376" s="398">
        <f t="shared" si="146"/>
        <v>0</v>
      </c>
      <c r="V376" s="2913">
        <v>0</v>
      </c>
      <c r="W376" s="1095">
        <f t="shared" si="130"/>
        <v>18151.84</v>
      </c>
      <c r="X376" s="1095">
        <f t="shared" si="131"/>
        <v>2610</v>
      </c>
      <c r="Y376" s="2909">
        <f t="shared" si="134"/>
        <v>20761.84</v>
      </c>
      <c r="Z376" s="2913">
        <v>0</v>
      </c>
      <c r="AA376" s="1095">
        <f t="shared" si="132"/>
        <v>9792.44</v>
      </c>
      <c r="AB376" s="1095">
        <f t="shared" si="133"/>
        <v>0</v>
      </c>
      <c r="AC376" s="2909">
        <f t="shared" si="135"/>
        <v>9792.44</v>
      </c>
    </row>
    <row r="377" spans="1:29">
      <c r="A377" s="1780" t="s">
        <v>4451</v>
      </c>
      <c r="B377" s="1780"/>
      <c r="C377" s="2901">
        <v>300</v>
      </c>
      <c r="D377" s="2902">
        <f t="shared" si="136"/>
        <v>8.5724572663005275E-4</v>
      </c>
      <c r="E377" s="1083">
        <v>27000</v>
      </c>
      <c r="F377" s="2952">
        <f t="shared" si="137"/>
        <v>9.4384536093538012E-4</v>
      </c>
      <c r="G377" s="2903">
        <f t="shared" si="125"/>
        <v>27000</v>
      </c>
      <c r="H377" s="2903">
        <f t="shared" si="138"/>
        <v>0</v>
      </c>
      <c r="I377" s="2905">
        <f t="shared" si="126"/>
        <v>17100</v>
      </c>
      <c r="J377" s="1096">
        <v>5232</v>
      </c>
      <c r="K377" s="2479">
        <f t="shared" si="139"/>
        <v>214302.72</v>
      </c>
      <c r="L377" s="398">
        <f t="shared" si="127"/>
        <v>5400</v>
      </c>
      <c r="M377" s="1095">
        <f t="shared" si="128"/>
        <v>27732</v>
      </c>
      <c r="N377" s="2906">
        <f t="shared" si="129"/>
        <v>8.7284161803509095E-4</v>
      </c>
      <c r="O377" s="2907">
        <f t="shared" si="140"/>
        <v>1.5595891405038192E-5</v>
      </c>
      <c r="P377" s="2908">
        <f t="shared" si="141"/>
        <v>90000</v>
      </c>
      <c r="Q377" s="1095">
        <f t="shared" si="142"/>
        <v>24570</v>
      </c>
      <c r="R377" s="2909">
        <f t="shared" si="143"/>
        <v>114570</v>
      </c>
      <c r="S377" s="398">
        <f t="shared" si="144"/>
        <v>0</v>
      </c>
      <c r="T377" s="1095">
        <f t="shared" si="145"/>
        <v>0</v>
      </c>
      <c r="U377" s="398">
        <f t="shared" si="146"/>
        <v>0</v>
      </c>
      <c r="V377" s="2913">
        <v>0</v>
      </c>
      <c r="W377" s="1095">
        <f t="shared" si="130"/>
        <v>27834.240000000002</v>
      </c>
      <c r="X377" s="1095">
        <f t="shared" si="131"/>
        <v>5400</v>
      </c>
      <c r="Y377" s="2909">
        <f t="shared" si="134"/>
        <v>33234.240000000005</v>
      </c>
      <c r="Z377" s="2913">
        <v>0</v>
      </c>
      <c r="AA377" s="1095">
        <f t="shared" si="132"/>
        <v>15015.84</v>
      </c>
      <c r="AB377" s="1095">
        <f t="shared" si="133"/>
        <v>0</v>
      </c>
      <c r="AC377" s="2909">
        <f t="shared" si="135"/>
        <v>15015.84</v>
      </c>
    </row>
    <row r="378" spans="1:29">
      <c r="A378" s="1780" t="s">
        <v>4452</v>
      </c>
      <c r="B378" s="1780"/>
      <c r="C378" s="2901">
        <v>90</v>
      </c>
      <c r="D378" s="2902">
        <f t="shared" si="136"/>
        <v>2.5717371798901582E-4</v>
      </c>
      <c r="E378" s="1083">
        <v>8100</v>
      </c>
      <c r="F378" s="2952">
        <f t="shared" si="137"/>
        <v>2.8315360828061405E-4</v>
      </c>
      <c r="G378" s="2903">
        <f t="shared" si="125"/>
        <v>8100</v>
      </c>
      <c r="H378" s="2903">
        <f t="shared" si="138"/>
        <v>0</v>
      </c>
      <c r="I378" s="2905">
        <f t="shared" si="126"/>
        <v>5130</v>
      </c>
      <c r="J378" s="1096">
        <v>1569</v>
      </c>
      <c r="K378" s="2479">
        <f t="shared" si="139"/>
        <v>64266.239999999998</v>
      </c>
      <c r="L378" s="398">
        <f t="shared" si="127"/>
        <v>1620</v>
      </c>
      <c r="M378" s="1095">
        <f t="shared" si="128"/>
        <v>8319</v>
      </c>
      <c r="N378" s="2906">
        <f t="shared" si="129"/>
        <v>2.6183360090992073E-4</v>
      </c>
      <c r="O378" s="2907">
        <f t="shared" si="140"/>
        <v>4.6598829209049098E-6</v>
      </c>
      <c r="P378" s="2908">
        <f t="shared" si="141"/>
        <v>27000</v>
      </c>
      <c r="Q378" s="1095">
        <f t="shared" si="142"/>
        <v>7371</v>
      </c>
      <c r="R378" s="2909">
        <f t="shared" si="143"/>
        <v>34371</v>
      </c>
      <c r="S378" s="398">
        <f t="shared" si="144"/>
        <v>0</v>
      </c>
      <c r="T378" s="1095">
        <f t="shared" si="145"/>
        <v>0</v>
      </c>
      <c r="U378" s="398">
        <f t="shared" si="146"/>
        <v>0</v>
      </c>
      <c r="V378" s="2913">
        <v>0</v>
      </c>
      <c r="W378" s="1095">
        <f t="shared" si="130"/>
        <v>8347.08</v>
      </c>
      <c r="X378" s="1095">
        <f t="shared" si="131"/>
        <v>1620</v>
      </c>
      <c r="Y378" s="2909">
        <f t="shared" si="134"/>
        <v>9967.08</v>
      </c>
      <c r="Z378" s="2913">
        <v>0</v>
      </c>
      <c r="AA378" s="1095">
        <f t="shared" si="132"/>
        <v>4503.03</v>
      </c>
      <c r="AB378" s="1095">
        <f t="shared" si="133"/>
        <v>0</v>
      </c>
      <c r="AC378" s="2909">
        <f t="shared" si="135"/>
        <v>4503.03</v>
      </c>
    </row>
    <row r="379" spans="1:29">
      <c r="A379" s="1780" t="s">
        <v>4453</v>
      </c>
      <c r="B379" s="1780"/>
      <c r="C379" s="2901">
        <v>950</v>
      </c>
      <c r="D379" s="2902">
        <f t="shared" si="136"/>
        <v>2.7146114676618338E-3</v>
      </c>
      <c r="E379" s="1083">
        <v>85500</v>
      </c>
      <c r="F379" s="2952">
        <f t="shared" si="137"/>
        <v>2.9888436429620371E-3</v>
      </c>
      <c r="G379" s="2903">
        <f t="shared" si="125"/>
        <v>85500</v>
      </c>
      <c r="H379" s="2903">
        <f t="shared" si="138"/>
        <v>0</v>
      </c>
      <c r="I379" s="2905">
        <f t="shared" si="126"/>
        <v>54150</v>
      </c>
      <c r="J379" s="1096">
        <v>7323.9999999999991</v>
      </c>
      <c r="K379" s="2479">
        <f t="shared" si="139"/>
        <v>299991.03999999998</v>
      </c>
      <c r="L379" s="398">
        <f t="shared" si="127"/>
        <v>17100</v>
      </c>
      <c r="M379" s="1095">
        <f t="shared" si="128"/>
        <v>78574</v>
      </c>
      <c r="N379" s="2906">
        <f t="shared" si="129"/>
        <v>2.4730512510994242E-3</v>
      </c>
      <c r="O379" s="2907">
        <f t="shared" si="140"/>
        <v>-2.4156021656240954E-4</v>
      </c>
      <c r="P379" s="2908">
        <f t="shared" si="141"/>
        <v>285000</v>
      </c>
      <c r="Q379" s="1095">
        <f t="shared" si="142"/>
        <v>77805</v>
      </c>
      <c r="R379" s="2909">
        <f t="shared" si="143"/>
        <v>362805</v>
      </c>
      <c r="S379" s="398">
        <f t="shared" si="144"/>
        <v>0</v>
      </c>
      <c r="T379" s="1095">
        <f t="shared" si="145"/>
        <v>0</v>
      </c>
      <c r="U379" s="398">
        <f t="shared" si="146"/>
        <v>0</v>
      </c>
      <c r="V379" s="2913">
        <v>0</v>
      </c>
      <c r="W379" s="1095">
        <f t="shared" si="130"/>
        <v>38963.68</v>
      </c>
      <c r="X379" s="1095">
        <f t="shared" si="131"/>
        <v>17100</v>
      </c>
      <c r="Y379" s="2909">
        <f t="shared" si="134"/>
        <v>56063.68</v>
      </c>
      <c r="Z379" s="2913">
        <v>0</v>
      </c>
      <c r="AA379" s="1095">
        <f t="shared" si="132"/>
        <v>21019.879999999997</v>
      </c>
      <c r="AB379" s="1095">
        <f t="shared" si="133"/>
        <v>0</v>
      </c>
      <c r="AC379" s="2909">
        <f t="shared" si="135"/>
        <v>21019.879999999997</v>
      </c>
    </row>
    <row r="380" spans="1:29">
      <c r="A380" s="1780" t="s">
        <v>4454</v>
      </c>
      <c r="B380" s="1780"/>
      <c r="C380" s="2901">
        <v>150</v>
      </c>
      <c r="D380" s="2902">
        <f t="shared" si="136"/>
        <v>4.2862286331502638E-4</v>
      </c>
      <c r="E380" s="1083">
        <v>13500</v>
      </c>
      <c r="F380" s="2952">
        <f t="shared" si="137"/>
        <v>4.7192268046769006E-4</v>
      </c>
      <c r="G380" s="2903">
        <f t="shared" si="125"/>
        <v>13500</v>
      </c>
      <c r="H380" s="2903">
        <f t="shared" si="138"/>
        <v>0</v>
      </c>
      <c r="I380" s="2905">
        <f t="shared" si="126"/>
        <v>8550</v>
      </c>
      <c r="J380" s="1096">
        <v>2616</v>
      </c>
      <c r="K380" s="2479">
        <f t="shared" si="139"/>
        <v>107151.36</v>
      </c>
      <c r="L380" s="398">
        <f t="shared" si="127"/>
        <v>2700</v>
      </c>
      <c r="M380" s="1095">
        <f t="shared" si="128"/>
        <v>13866</v>
      </c>
      <c r="N380" s="2906">
        <f t="shared" si="129"/>
        <v>4.3642080901754547E-4</v>
      </c>
      <c r="O380" s="2907">
        <f t="shared" si="140"/>
        <v>7.797945702519096E-6</v>
      </c>
      <c r="P380" s="2908">
        <f t="shared" si="141"/>
        <v>45000</v>
      </c>
      <c r="Q380" s="1095">
        <f t="shared" si="142"/>
        <v>12285</v>
      </c>
      <c r="R380" s="2909">
        <f t="shared" si="143"/>
        <v>57285</v>
      </c>
      <c r="S380" s="398">
        <f t="shared" si="144"/>
        <v>0</v>
      </c>
      <c r="T380" s="1095">
        <f t="shared" si="145"/>
        <v>0</v>
      </c>
      <c r="U380" s="398">
        <f t="shared" si="146"/>
        <v>0</v>
      </c>
      <c r="V380" s="2913">
        <v>0</v>
      </c>
      <c r="W380" s="1095">
        <f t="shared" si="130"/>
        <v>13917.12</v>
      </c>
      <c r="X380" s="1095">
        <f t="shared" si="131"/>
        <v>2700</v>
      </c>
      <c r="Y380" s="2909">
        <f t="shared" si="134"/>
        <v>16617.120000000003</v>
      </c>
      <c r="Z380" s="2913">
        <v>0</v>
      </c>
      <c r="AA380" s="1095">
        <f t="shared" si="132"/>
        <v>7507.92</v>
      </c>
      <c r="AB380" s="1095">
        <f t="shared" si="133"/>
        <v>0</v>
      </c>
      <c r="AC380" s="2909">
        <f t="shared" si="135"/>
        <v>7507.92</v>
      </c>
    </row>
    <row r="381" spans="1:29">
      <c r="A381" s="1780" t="s">
        <v>4455</v>
      </c>
      <c r="B381" s="1780"/>
      <c r="C381" s="2901">
        <v>425</v>
      </c>
      <c r="D381" s="2902">
        <f t="shared" si="136"/>
        <v>1.2144314460592414E-3</v>
      </c>
      <c r="E381" s="1083">
        <v>38250</v>
      </c>
      <c r="F381" s="2952">
        <f t="shared" si="137"/>
        <v>1.3371142613251218E-3</v>
      </c>
      <c r="G381" s="2903">
        <f t="shared" si="125"/>
        <v>38250</v>
      </c>
      <c r="H381" s="2903">
        <f t="shared" si="138"/>
        <v>0</v>
      </c>
      <c r="I381" s="2905">
        <f t="shared" si="126"/>
        <v>24225</v>
      </c>
      <c r="J381" s="1096">
        <v>10004</v>
      </c>
      <c r="K381" s="2479">
        <f t="shared" si="139"/>
        <v>409763.84000000003</v>
      </c>
      <c r="L381" s="398">
        <f t="shared" si="127"/>
        <v>7650</v>
      </c>
      <c r="M381" s="1095">
        <f t="shared" si="128"/>
        <v>41879</v>
      </c>
      <c r="N381" s="2906">
        <f t="shared" si="129"/>
        <v>1.3181066681700409E-3</v>
      </c>
      <c r="O381" s="2907">
        <f t="shared" si="140"/>
        <v>1.0367522211079949E-4</v>
      </c>
      <c r="P381" s="2908">
        <f t="shared" si="141"/>
        <v>127500</v>
      </c>
      <c r="Q381" s="1095">
        <f t="shared" si="142"/>
        <v>34807.5</v>
      </c>
      <c r="R381" s="2909">
        <f t="shared" si="143"/>
        <v>162307.5</v>
      </c>
      <c r="S381" s="398">
        <f t="shared" si="144"/>
        <v>0</v>
      </c>
      <c r="T381" s="1095">
        <f t="shared" si="145"/>
        <v>0</v>
      </c>
      <c r="U381" s="398">
        <f t="shared" si="146"/>
        <v>0</v>
      </c>
      <c r="V381" s="2913">
        <v>0</v>
      </c>
      <c r="W381" s="1095">
        <f t="shared" si="130"/>
        <v>53221.280000000006</v>
      </c>
      <c r="X381" s="1095">
        <f t="shared" si="131"/>
        <v>7650</v>
      </c>
      <c r="Y381" s="2909">
        <f t="shared" si="134"/>
        <v>60871.280000000006</v>
      </c>
      <c r="Z381" s="2913">
        <v>0</v>
      </c>
      <c r="AA381" s="1095">
        <f t="shared" si="132"/>
        <v>28711.48</v>
      </c>
      <c r="AB381" s="1095">
        <f t="shared" si="133"/>
        <v>0</v>
      </c>
      <c r="AC381" s="2909">
        <f t="shared" si="135"/>
        <v>28711.48</v>
      </c>
    </row>
    <row r="382" spans="1:29">
      <c r="A382" s="1780" t="s">
        <v>4456</v>
      </c>
      <c r="B382" s="1780"/>
      <c r="C382" s="2901">
        <v>2075</v>
      </c>
      <c r="D382" s="2902">
        <f t="shared" si="136"/>
        <v>5.9292829425245316E-3</v>
      </c>
      <c r="E382" s="1083">
        <v>186750</v>
      </c>
      <c r="F382" s="2952">
        <f t="shared" si="137"/>
        <v>6.5282637464697127E-3</v>
      </c>
      <c r="G382" s="2903">
        <f t="shared" si="125"/>
        <v>186750</v>
      </c>
      <c r="H382" s="2903">
        <f t="shared" si="138"/>
        <v>0</v>
      </c>
      <c r="I382" s="2905">
        <f t="shared" si="126"/>
        <v>118275</v>
      </c>
      <c r="J382" s="1096">
        <v>0</v>
      </c>
      <c r="K382" s="2479">
        <f t="shared" si="139"/>
        <v>0</v>
      </c>
      <c r="L382" s="398">
        <f t="shared" si="127"/>
        <v>37350</v>
      </c>
      <c r="M382" s="1095">
        <f t="shared" si="128"/>
        <v>155625</v>
      </c>
      <c r="N382" s="2906">
        <f t="shared" si="129"/>
        <v>4.8981673448258694E-3</v>
      </c>
      <c r="O382" s="2907">
        <f t="shared" si="140"/>
        <v>-1.0311155976986622E-3</v>
      </c>
      <c r="P382" s="2908">
        <f t="shared" si="141"/>
        <v>622500</v>
      </c>
      <c r="Q382" s="1095">
        <f t="shared" si="142"/>
        <v>169942.5</v>
      </c>
      <c r="R382" s="2909">
        <f t="shared" si="143"/>
        <v>792442.5</v>
      </c>
      <c r="S382" s="398">
        <f t="shared" si="144"/>
        <v>0</v>
      </c>
      <c r="T382" s="1095">
        <f t="shared" si="145"/>
        <v>0</v>
      </c>
      <c r="U382" s="398">
        <f t="shared" si="146"/>
        <v>0</v>
      </c>
      <c r="V382" s="2913">
        <v>0</v>
      </c>
      <c r="W382" s="1095">
        <f t="shared" si="130"/>
        <v>0</v>
      </c>
      <c r="X382" s="1095">
        <f t="shared" si="131"/>
        <v>37350</v>
      </c>
      <c r="Y382" s="2909">
        <f t="shared" si="134"/>
        <v>37350</v>
      </c>
      <c r="Z382" s="2913">
        <v>0</v>
      </c>
      <c r="AA382" s="1095">
        <f t="shared" si="132"/>
        <v>0</v>
      </c>
      <c r="AB382" s="1095">
        <f t="shared" si="133"/>
        <v>0</v>
      </c>
      <c r="AC382" s="2909">
        <f t="shared" si="135"/>
        <v>0</v>
      </c>
    </row>
    <row r="383" spans="1:29">
      <c r="A383" s="1780" t="s">
        <v>4457</v>
      </c>
      <c r="B383" s="1780"/>
      <c r="C383" s="2901">
        <v>125</v>
      </c>
      <c r="D383" s="2902">
        <f t="shared" si="136"/>
        <v>3.5718571942918863E-4</v>
      </c>
      <c r="E383" s="1083">
        <v>11250</v>
      </c>
      <c r="F383" s="2952">
        <f t="shared" si="137"/>
        <v>3.9326890038974172E-4</v>
      </c>
      <c r="G383" s="2903">
        <f t="shared" si="125"/>
        <v>11250</v>
      </c>
      <c r="H383" s="2903">
        <f t="shared" si="138"/>
        <v>0</v>
      </c>
      <c r="I383" s="2905">
        <f t="shared" si="126"/>
        <v>7125</v>
      </c>
      <c r="J383" s="1096">
        <v>2180</v>
      </c>
      <c r="K383" s="2479">
        <f t="shared" si="139"/>
        <v>89292.800000000003</v>
      </c>
      <c r="L383" s="398">
        <f t="shared" si="127"/>
        <v>2250</v>
      </c>
      <c r="M383" s="1095">
        <f t="shared" si="128"/>
        <v>11555</v>
      </c>
      <c r="N383" s="2906">
        <f t="shared" si="129"/>
        <v>3.6368400751462122E-4</v>
      </c>
      <c r="O383" s="2907">
        <f t="shared" si="140"/>
        <v>6.498288085432589E-6</v>
      </c>
      <c r="P383" s="2908">
        <f t="shared" si="141"/>
        <v>37500</v>
      </c>
      <c r="Q383" s="1095">
        <f t="shared" si="142"/>
        <v>10237.5</v>
      </c>
      <c r="R383" s="2909">
        <f t="shared" si="143"/>
        <v>47737.5</v>
      </c>
      <c r="S383" s="398">
        <f t="shared" si="144"/>
        <v>0</v>
      </c>
      <c r="T383" s="1095">
        <f t="shared" si="145"/>
        <v>0</v>
      </c>
      <c r="U383" s="398">
        <f t="shared" si="146"/>
        <v>0</v>
      </c>
      <c r="V383" s="2913">
        <v>0</v>
      </c>
      <c r="W383" s="1095">
        <f t="shared" si="130"/>
        <v>11597.6</v>
      </c>
      <c r="X383" s="1095">
        <f t="shared" si="131"/>
        <v>2250</v>
      </c>
      <c r="Y383" s="2909">
        <f t="shared" si="134"/>
        <v>13847.6</v>
      </c>
      <c r="Z383" s="2913">
        <v>0</v>
      </c>
      <c r="AA383" s="1095">
        <f t="shared" si="132"/>
        <v>6256.6</v>
      </c>
      <c r="AB383" s="1095">
        <f t="shared" si="133"/>
        <v>0</v>
      </c>
      <c r="AC383" s="2909">
        <f t="shared" si="135"/>
        <v>6256.6</v>
      </c>
    </row>
    <row r="384" spans="1:29">
      <c r="A384" s="1780" t="s">
        <v>4458</v>
      </c>
      <c r="B384" s="1780"/>
      <c r="C384" s="2901">
        <v>355</v>
      </c>
      <c r="D384" s="2902">
        <f t="shared" si="136"/>
        <v>1.0144074431788956E-3</v>
      </c>
      <c r="E384" s="1083">
        <v>31950</v>
      </c>
      <c r="F384" s="2952">
        <f t="shared" si="137"/>
        <v>1.1168836771068664E-3</v>
      </c>
      <c r="G384" s="2903">
        <f t="shared" si="125"/>
        <v>31950</v>
      </c>
      <c r="H384" s="2903">
        <f t="shared" si="138"/>
        <v>0</v>
      </c>
      <c r="I384" s="2905">
        <f t="shared" si="126"/>
        <v>20235</v>
      </c>
      <c r="J384" s="1096">
        <v>6191</v>
      </c>
      <c r="K384" s="2479">
        <f t="shared" si="139"/>
        <v>253583.36000000002</v>
      </c>
      <c r="L384" s="398">
        <f t="shared" si="127"/>
        <v>6390</v>
      </c>
      <c r="M384" s="1095">
        <f t="shared" si="128"/>
        <v>32816</v>
      </c>
      <c r="N384" s="2906">
        <f t="shared" si="129"/>
        <v>1.0328562865079887E-3</v>
      </c>
      <c r="O384" s="2907">
        <f t="shared" si="140"/>
        <v>1.8448843329093093E-5</v>
      </c>
      <c r="P384" s="2908">
        <f t="shared" si="141"/>
        <v>106500</v>
      </c>
      <c r="Q384" s="1095">
        <f t="shared" si="142"/>
        <v>29074.5</v>
      </c>
      <c r="R384" s="2909">
        <f t="shared" si="143"/>
        <v>135574.5</v>
      </c>
      <c r="S384" s="398">
        <f t="shared" si="144"/>
        <v>0</v>
      </c>
      <c r="T384" s="1095">
        <f t="shared" si="145"/>
        <v>0</v>
      </c>
      <c r="U384" s="398">
        <f t="shared" si="146"/>
        <v>0</v>
      </c>
      <c r="V384" s="2913">
        <v>0</v>
      </c>
      <c r="W384" s="1095">
        <f t="shared" si="130"/>
        <v>32936.120000000003</v>
      </c>
      <c r="X384" s="1095">
        <f t="shared" si="131"/>
        <v>6390</v>
      </c>
      <c r="Y384" s="2909">
        <f t="shared" si="134"/>
        <v>39326.120000000003</v>
      </c>
      <c r="Z384" s="2913">
        <v>0</v>
      </c>
      <c r="AA384" s="1095">
        <f t="shared" si="132"/>
        <v>17768.170000000002</v>
      </c>
      <c r="AB384" s="1095">
        <f t="shared" si="133"/>
        <v>0</v>
      </c>
      <c r="AC384" s="2909">
        <f t="shared" si="135"/>
        <v>17768.170000000002</v>
      </c>
    </row>
    <row r="385" spans="1:29">
      <c r="A385" s="1780" t="s">
        <v>4459</v>
      </c>
      <c r="B385" s="1780"/>
      <c r="C385" s="2901">
        <v>45</v>
      </c>
      <c r="D385" s="2902">
        <f t="shared" si="136"/>
        <v>1.2858685899450791E-4</v>
      </c>
      <c r="E385" s="1083">
        <v>4050</v>
      </c>
      <c r="F385" s="2952">
        <f t="shared" si="137"/>
        <v>1.4157680414030702E-4</v>
      </c>
      <c r="G385" s="2903">
        <f t="shared" si="125"/>
        <v>4050</v>
      </c>
      <c r="H385" s="2903">
        <f t="shared" si="138"/>
        <v>0</v>
      </c>
      <c r="I385" s="2905">
        <f t="shared" si="126"/>
        <v>2565</v>
      </c>
      <c r="J385" s="1096">
        <v>784</v>
      </c>
      <c r="K385" s="2479">
        <f t="shared" si="139"/>
        <v>32112.639999999999</v>
      </c>
      <c r="L385" s="398">
        <f t="shared" si="127"/>
        <v>810</v>
      </c>
      <c r="M385" s="1095">
        <f t="shared" si="128"/>
        <v>4159</v>
      </c>
      <c r="N385" s="2906">
        <f t="shared" si="129"/>
        <v>1.3090106337112155E-4</v>
      </c>
      <c r="O385" s="2907">
        <f t="shared" si="140"/>
        <v>2.314204376613647E-6</v>
      </c>
      <c r="P385" s="2908">
        <f t="shared" si="141"/>
        <v>13500</v>
      </c>
      <c r="Q385" s="1095">
        <f t="shared" si="142"/>
        <v>3685.5</v>
      </c>
      <c r="R385" s="2909">
        <f t="shared" si="143"/>
        <v>17185.5</v>
      </c>
      <c r="S385" s="398">
        <f t="shared" si="144"/>
        <v>0</v>
      </c>
      <c r="T385" s="1095">
        <f t="shared" si="145"/>
        <v>0</v>
      </c>
      <c r="U385" s="398">
        <f t="shared" si="146"/>
        <v>0</v>
      </c>
      <c r="V385" s="2913">
        <v>0</v>
      </c>
      <c r="W385" s="1095">
        <f t="shared" si="130"/>
        <v>4170.88</v>
      </c>
      <c r="X385" s="1095">
        <f t="shared" si="131"/>
        <v>810</v>
      </c>
      <c r="Y385" s="2909">
        <f t="shared" si="134"/>
        <v>4980.88</v>
      </c>
      <c r="Z385" s="2913">
        <v>0</v>
      </c>
      <c r="AA385" s="1095">
        <f t="shared" si="132"/>
        <v>2250.08</v>
      </c>
      <c r="AB385" s="1095">
        <f t="shared" si="133"/>
        <v>0</v>
      </c>
      <c r="AC385" s="2909">
        <f t="shared" si="135"/>
        <v>2250.08</v>
      </c>
    </row>
    <row r="386" spans="1:29">
      <c r="A386" s="1780" t="s">
        <v>4460</v>
      </c>
      <c r="B386" s="1780"/>
      <c r="C386" s="2901">
        <v>135</v>
      </c>
      <c r="D386" s="2902">
        <f t="shared" si="136"/>
        <v>3.8576057698352375E-4</v>
      </c>
      <c r="E386" s="1083">
        <v>12150</v>
      </c>
      <c r="F386" s="2952">
        <f t="shared" si="137"/>
        <v>4.2473041242092104E-4</v>
      </c>
      <c r="G386" s="2903">
        <f t="shared" ref="G386:G449" si="147">C386*90</f>
        <v>12150</v>
      </c>
      <c r="H386" s="2903">
        <f t="shared" si="138"/>
        <v>0</v>
      </c>
      <c r="I386" s="2905">
        <f t="shared" ref="I386:I449" si="148">C386*57</f>
        <v>7695</v>
      </c>
      <c r="J386" s="1096">
        <v>1221</v>
      </c>
      <c r="K386" s="2479">
        <f t="shared" si="139"/>
        <v>50012.160000000003</v>
      </c>
      <c r="L386" s="398">
        <f t="shared" ref="L386:L449" si="149">E386/5</f>
        <v>2430</v>
      </c>
      <c r="M386" s="1095">
        <f t="shared" ref="M386:M449" si="150">I386+J386+L386</f>
        <v>11346</v>
      </c>
      <c r="N386" s="2906">
        <f t="shared" ref="N386:N449" si="151">M386/$M$612</f>
        <v>3.5710590647000364E-4</v>
      </c>
      <c r="O386" s="2907">
        <f t="shared" si="140"/>
        <v>-2.8654670513520114E-5</v>
      </c>
      <c r="P386" s="2908">
        <f t="shared" si="141"/>
        <v>40500</v>
      </c>
      <c r="Q386" s="1095">
        <f t="shared" si="142"/>
        <v>11056.5</v>
      </c>
      <c r="R386" s="2909">
        <f t="shared" si="143"/>
        <v>51556.5</v>
      </c>
      <c r="S386" s="398">
        <f t="shared" si="144"/>
        <v>0</v>
      </c>
      <c r="T386" s="1095">
        <f t="shared" si="145"/>
        <v>0</v>
      </c>
      <c r="U386" s="398">
        <f t="shared" si="146"/>
        <v>0</v>
      </c>
      <c r="V386" s="2913">
        <v>0</v>
      </c>
      <c r="W386" s="1095">
        <f t="shared" ref="W386:W449" si="152">J386*5.32</f>
        <v>6495.72</v>
      </c>
      <c r="X386" s="1095">
        <f t="shared" ref="X386:X449" si="153">L386*1</f>
        <v>2430</v>
      </c>
      <c r="Y386" s="2909">
        <f t="shared" si="134"/>
        <v>8925.7200000000012</v>
      </c>
      <c r="Z386" s="2913">
        <v>0</v>
      </c>
      <c r="AA386" s="1095">
        <f t="shared" ref="AA386:AA449" si="154">J386*2.87</f>
        <v>3504.27</v>
      </c>
      <c r="AB386" s="1095">
        <f t="shared" ref="AB386:AB449" si="155">L386*0</f>
        <v>0</v>
      </c>
      <c r="AC386" s="2909">
        <f t="shared" si="135"/>
        <v>3504.27</v>
      </c>
    </row>
    <row r="387" spans="1:29">
      <c r="A387" s="1780" t="s">
        <v>4461</v>
      </c>
      <c r="B387" s="1780"/>
      <c r="C387" s="2901">
        <v>30</v>
      </c>
      <c r="D387" s="2902">
        <f t="shared" si="136"/>
        <v>8.5724572663005281E-5</v>
      </c>
      <c r="E387" s="1083">
        <v>2700</v>
      </c>
      <c r="F387" s="2952">
        <f t="shared" si="137"/>
        <v>9.4384536093538007E-5</v>
      </c>
      <c r="G387" s="2903">
        <f t="shared" si="147"/>
        <v>2700</v>
      </c>
      <c r="H387" s="2903">
        <f t="shared" si="138"/>
        <v>0</v>
      </c>
      <c r="I387" s="2905">
        <f t="shared" si="148"/>
        <v>1710</v>
      </c>
      <c r="J387" s="1096">
        <v>523</v>
      </c>
      <c r="K387" s="2479">
        <f t="shared" si="139"/>
        <v>21422.080000000002</v>
      </c>
      <c r="L387" s="398">
        <f t="shared" si="149"/>
        <v>540</v>
      </c>
      <c r="M387" s="1095">
        <f t="shared" si="150"/>
        <v>2773</v>
      </c>
      <c r="N387" s="2906">
        <f t="shared" si="151"/>
        <v>8.7277866969973566E-5</v>
      </c>
      <c r="O387" s="2907">
        <f t="shared" si="140"/>
        <v>1.5532943069682852E-6</v>
      </c>
      <c r="P387" s="2908">
        <f t="shared" si="141"/>
        <v>9000</v>
      </c>
      <c r="Q387" s="1095">
        <f t="shared" si="142"/>
        <v>2457</v>
      </c>
      <c r="R387" s="2909">
        <f t="shared" si="143"/>
        <v>11457</v>
      </c>
      <c r="S387" s="398">
        <f t="shared" si="144"/>
        <v>0</v>
      </c>
      <c r="T387" s="1095">
        <f t="shared" si="145"/>
        <v>0</v>
      </c>
      <c r="U387" s="398">
        <f t="shared" si="146"/>
        <v>0</v>
      </c>
      <c r="V387" s="2913">
        <v>0</v>
      </c>
      <c r="W387" s="1095">
        <f t="shared" si="152"/>
        <v>2782.36</v>
      </c>
      <c r="X387" s="1095">
        <f t="shared" si="153"/>
        <v>540</v>
      </c>
      <c r="Y387" s="2909">
        <f t="shared" ref="Y387:Y450" si="156">SUM(V387:X387)</f>
        <v>3322.36</v>
      </c>
      <c r="Z387" s="2913">
        <v>0</v>
      </c>
      <c r="AA387" s="1095">
        <f t="shared" si="154"/>
        <v>1501.01</v>
      </c>
      <c r="AB387" s="1095">
        <f t="shared" si="155"/>
        <v>0</v>
      </c>
      <c r="AC387" s="2909">
        <f t="shared" ref="AC387:AC450" si="157">SUM(Z387:AB387)</f>
        <v>1501.01</v>
      </c>
    </row>
    <row r="388" spans="1:29">
      <c r="A388" s="1780" t="s">
        <v>4462</v>
      </c>
      <c r="B388" s="1780"/>
      <c r="C388" s="2901">
        <v>470</v>
      </c>
      <c r="D388" s="2902">
        <f t="shared" si="136"/>
        <v>1.3430183050537493E-3</v>
      </c>
      <c r="E388" s="1083">
        <v>42300</v>
      </c>
      <c r="F388" s="2952">
        <f t="shared" si="137"/>
        <v>1.4786910654654289E-3</v>
      </c>
      <c r="G388" s="2903">
        <f t="shared" si="147"/>
        <v>42300</v>
      </c>
      <c r="H388" s="2903">
        <f t="shared" si="138"/>
        <v>0</v>
      </c>
      <c r="I388" s="2905">
        <f t="shared" si="148"/>
        <v>26790</v>
      </c>
      <c r="J388" s="1096">
        <v>8197</v>
      </c>
      <c r="K388" s="2479">
        <f t="shared" si="139"/>
        <v>335749.12</v>
      </c>
      <c r="L388" s="398">
        <f t="shared" si="149"/>
        <v>8460</v>
      </c>
      <c r="M388" s="1095">
        <f t="shared" si="150"/>
        <v>43447</v>
      </c>
      <c r="N388" s="2906">
        <f t="shared" si="151"/>
        <v>1.3674581630885112E-3</v>
      </c>
      <c r="O388" s="2907">
        <f t="shared" si="140"/>
        <v>2.4439858034761962E-5</v>
      </c>
      <c r="P388" s="2908">
        <f t="shared" si="141"/>
        <v>141000</v>
      </c>
      <c r="Q388" s="1095">
        <f t="shared" si="142"/>
        <v>38493</v>
      </c>
      <c r="R388" s="2909">
        <f t="shared" si="143"/>
        <v>179493</v>
      </c>
      <c r="S388" s="398">
        <f t="shared" si="144"/>
        <v>0</v>
      </c>
      <c r="T388" s="1095">
        <f t="shared" si="145"/>
        <v>0</v>
      </c>
      <c r="U388" s="398">
        <f t="shared" si="146"/>
        <v>0</v>
      </c>
      <c r="V388" s="2913">
        <v>0</v>
      </c>
      <c r="W388" s="1095">
        <f t="shared" si="152"/>
        <v>43608.04</v>
      </c>
      <c r="X388" s="1095">
        <f t="shared" si="153"/>
        <v>8460</v>
      </c>
      <c r="Y388" s="2909">
        <f t="shared" si="156"/>
        <v>52068.04</v>
      </c>
      <c r="Z388" s="2913">
        <v>0</v>
      </c>
      <c r="AA388" s="1095">
        <f t="shared" si="154"/>
        <v>23525.39</v>
      </c>
      <c r="AB388" s="1095">
        <f t="shared" si="155"/>
        <v>0</v>
      </c>
      <c r="AC388" s="2909">
        <f t="shared" si="157"/>
        <v>23525.39</v>
      </c>
    </row>
    <row r="389" spans="1:29">
      <c r="A389" s="1780" t="s">
        <v>4463</v>
      </c>
      <c r="B389" s="1780"/>
      <c r="C389" s="2901">
        <v>425</v>
      </c>
      <c r="D389" s="2902">
        <f t="shared" si="136"/>
        <v>1.2144314460592414E-3</v>
      </c>
      <c r="E389" s="1083">
        <v>38250</v>
      </c>
      <c r="F389" s="2952">
        <f t="shared" si="137"/>
        <v>1.3371142613251218E-3</v>
      </c>
      <c r="G389" s="2903">
        <f t="shared" si="147"/>
        <v>38250</v>
      </c>
      <c r="H389" s="2903">
        <f t="shared" si="138"/>
        <v>0</v>
      </c>
      <c r="I389" s="2905">
        <f t="shared" si="148"/>
        <v>24225</v>
      </c>
      <c r="J389" s="1096">
        <v>7411</v>
      </c>
      <c r="K389" s="2479">
        <f t="shared" si="139"/>
        <v>303554.56</v>
      </c>
      <c r="L389" s="398">
        <f t="shared" si="149"/>
        <v>7650</v>
      </c>
      <c r="M389" s="1095">
        <f t="shared" si="150"/>
        <v>39286</v>
      </c>
      <c r="N389" s="2906">
        <f t="shared" si="151"/>
        <v>1.2364941513820346E-3</v>
      </c>
      <c r="O389" s="2907">
        <f t="shared" si="140"/>
        <v>2.2062705322793219E-5</v>
      </c>
      <c r="P389" s="2908">
        <f t="shared" si="141"/>
        <v>127500</v>
      </c>
      <c r="Q389" s="1095">
        <f t="shared" si="142"/>
        <v>34807.5</v>
      </c>
      <c r="R389" s="2909">
        <f t="shared" si="143"/>
        <v>162307.5</v>
      </c>
      <c r="S389" s="398">
        <f t="shared" si="144"/>
        <v>0</v>
      </c>
      <c r="T389" s="1095">
        <f t="shared" si="145"/>
        <v>0</v>
      </c>
      <c r="U389" s="398">
        <f t="shared" si="146"/>
        <v>0</v>
      </c>
      <c r="V389" s="2913">
        <v>0</v>
      </c>
      <c r="W389" s="1095">
        <f t="shared" si="152"/>
        <v>39426.520000000004</v>
      </c>
      <c r="X389" s="1095">
        <f t="shared" si="153"/>
        <v>7650</v>
      </c>
      <c r="Y389" s="2909">
        <f t="shared" si="156"/>
        <v>47076.520000000004</v>
      </c>
      <c r="Z389" s="2913">
        <v>0</v>
      </c>
      <c r="AA389" s="1095">
        <f t="shared" si="154"/>
        <v>21269.57</v>
      </c>
      <c r="AB389" s="1095">
        <f t="shared" si="155"/>
        <v>0</v>
      </c>
      <c r="AC389" s="2909">
        <f t="shared" si="157"/>
        <v>21269.57</v>
      </c>
    </row>
    <row r="390" spans="1:29">
      <c r="A390" s="1780" t="s">
        <v>4464</v>
      </c>
      <c r="B390" s="1780"/>
      <c r="C390" s="2901">
        <v>75</v>
      </c>
      <c r="D390" s="2902">
        <f t="shared" ref="D390:D453" si="158">C390/349958</f>
        <v>2.1431143165751319E-4</v>
      </c>
      <c r="E390" s="1083">
        <v>6750</v>
      </c>
      <c r="F390" s="2952">
        <f t="shared" ref="F390:F453" si="159">E390/$E$612</f>
        <v>2.3596134023384503E-4</v>
      </c>
      <c r="G390" s="2903">
        <f t="shared" si="147"/>
        <v>6750</v>
      </c>
      <c r="H390" s="2903">
        <f t="shared" ref="H390:H453" si="160">E390-G390</f>
        <v>0</v>
      </c>
      <c r="I390" s="2905">
        <f t="shared" si="148"/>
        <v>4275</v>
      </c>
      <c r="J390" s="1096">
        <v>1765</v>
      </c>
      <c r="K390" s="2479">
        <f t="shared" si="139"/>
        <v>72294.400000000009</v>
      </c>
      <c r="L390" s="398">
        <f t="shared" si="149"/>
        <v>1350</v>
      </c>
      <c r="M390" s="1095">
        <f t="shared" si="150"/>
        <v>7390</v>
      </c>
      <c r="N390" s="2906">
        <f t="shared" si="151"/>
        <v>2.3259409913743408E-4</v>
      </c>
      <c r="O390" s="2907">
        <f t="shared" si="140"/>
        <v>1.8282667479920889E-5</v>
      </c>
      <c r="P390" s="2908">
        <f t="shared" si="141"/>
        <v>22500</v>
      </c>
      <c r="Q390" s="1095">
        <f t="shared" si="142"/>
        <v>6142.5</v>
      </c>
      <c r="R390" s="2909">
        <f t="shared" si="143"/>
        <v>28642.5</v>
      </c>
      <c r="S390" s="398">
        <f t="shared" si="144"/>
        <v>0</v>
      </c>
      <c r="T390" s="1095">
        <f t="shared" si="145"/>
        <v>0</v>
      </c>
      <c r="U390" s="398">
        <f t="shared" si="146"/>
        <v>0</v>
      </c>
      <c r="V390" s="2913">
        <v>0</v>
      </c>
      <c r="W390" s="1095">
        <f t="shared" si="152"/>
        <v>9389.8000000000011</v>
      </c>
      <c r="X390" s="1095">
        <f t="shared" si="153"/>
        <v>1350</v>
      </c>
      <c r="Y390" s="2909">
        <f t="shared" si="156"/>
        <v>10739.800000000001</v>
      </c>
      <c r="Z390" s="2913">
        <v>0</v>
      </c>
      <c r="AA390" s="1095">
        <f t="shared" si="154"/>
        <v>5065.55</v>
      </c>
      <c r="AB390" s="1095">
        <f t="shared" si="155"/>
        <v>0</v>
      </c>
      <c r="AC390" s="2909">
        <f t="shared" si="157"/>
        <v>5065.55</v>
      </c>
    </row>
    <row r="391" spans="1:29">
      <c r="A391" s="1780" t="s">
        <v>4465</v>
      </c>
      <c r="B391" s="1780"/>
      <c r="C391" s="2901">
        <v>60</v>
      </c>
      <c r="D391" s="2902">
        <f t="shared" si="158"/>
        <v>1.7144914532601056E-4</v>
      </c>
      <c r="E391" s="1083">
        <v>5400</v>
      </c>
      <c r="F391" s="2952">
        <f t="shared" si="159"/>
        <v>1.8876907218707601E-4</v>
      </c>
      <c r="G391" s="2903">
        <f t="shared" si="147"/>
        <v>5400</v>
      </c>
      <c r="H391" s="2903">
        <f t="shared" si="160"/>
        <v>0</v>
      </c>
      <c r="I391" s="2905">
        <f t="shared" si="148"/>
        <v>3420</v>
      </c>
      <c r="J391" s="1096">
        <v>1106</v>
      </c>
      <c r="K391" s="2479">
        <f t="shared" ref="K391:K454" si="161">J391*40.96</f>
        <v>45301.760000000002</v>
      </c>
      <c r="L391" s="398">
        <f t="shared" si="149"/>
        <v>1080</v>
      </c>
      <c r="M391" s="1095">
        <f t="shared" si="150"/>
        <v>5606</v>
      </c>
      <c r="N391" s="2906">
        <f t="shared" si="151"/>
        <v>1.7644418400060289E-4</v>
      </c>
      <c r="O391" s="2907">
        <f t="shared" ref="O391:O454" si="162">N391-D391</f>
        <v>4.9950386745923258E-6</v>
      </c>
      <c r="P391" s="2908">
        <f t="shared" ref="P391:P454" si="163">C391*300</f>
        <v>18000</v>
      </c>
      <c r="Q391" s="1095">
        <f t="shared" ref="Q391:Q454" si="164">E391*0.91</f>
        <v>4914</v>
      </c>
      <c r="R391" s="2909">
        <f t="shared" ref="R391:R454" si="165">SUM(P391:Q391)</f>
        <v>22914</v>
      </c>
      <c r="S391" s="398">
        <f t="shared" ref="S391:S454" si="166">C391*0</f>
        <v>0</v>
      </c>
      <c r="T391" s="1095">
        <f t="shared" ref="T391:T454" si="167">E391*0</f>
        <v>0</v>
      </c>
      <c r="U391" s="398">
        <f t="shared" ref="U391:U454" si="168">SUM(S391:T391)</f>
        <v>0</v>
      </c>
      <c r="V391" s="2913">
        <v>0</v>
      </c>
      <c r="W391" s="1095">
        <f t="shared" si="152"/>
        <v>5883.92</v>
      </c>
      <c r="X391" s="1095">
        <f t="shared" si="153"/>
        <v>1080</v>
      </c>
      <c r="Y391" s="2909">
        <f t="shared" si="156"/>
        <v>6963.92</v>
      </c>
      <c r="Z391" s="2913">
        <v>0</v>
      </c>
      <c r="AA391" s="1095">
        <f t="shared" si="154"/>
        <v>3174.2200000000003</v>
      </c>
      <c r="AB391" s="1095">
        <f t="shared" si="155"/>
        <v>0</v>
      </c>
      <c r="AC391" s="2909">
        <f t="shared" si="157"/>
        <v>3174.2200000000003</v>
      </c>
    </row>
    <row r="392" spans="1:29">
      <c r="A392" s="1780" t="s">
        <v>4466</v>
      </c>
      <c r="B392" s="1780"/>
      <c r="C392" s="2901">
        <v>520</v>
      </c>
      <c r="D392" s="2902">
        <f t="shared" si="158"/>
        <v>1.4858925928254248E-3</v>
      </c>
      <c r="E392" s="1083">
        <v>46800</v>
      </c>
      <c r="F392" s="2952">
        <f t="shared" si="159"/>
        <v>1.6359986256213256E-3</v>
      </c>
      <c r="G392" s="2903">
        <f t="shared" si="147"/>
        <v>46800</v>
      </c>
      <c r="H392" s="2903">
        <f t="shared" si="160"/>
        <v>0</v>
      </c>
      <c r="I392" s="2905">
        <f t="shared" si="148"/>
        <v>29640</v>
      </c>
      <c r="J392" s="1096">
        <v>10166</v>
      </c>
      <c r="K392" s="2479">
        <f t="shared" si="161"/>
        <v>416399.35999999999</v>
      </c>
      <c r="L392" s="398">
        <f t="shared" si="149"/>
        <v>9360</v>
      </c>
      <c r="M392" s="1095">
        <f t="shared" si="150"/>
        <v>49166</v>
      </c>
      <c r="N392" s="2906">
        <f t="shared" si="151"/>
        <v>1.5474589280366825E-3</v>
      </c>
      <c r="O392" s="2907">
        <f t="shared" si="162"/>
        <v>6.1566335211257718E-5</v>
      </c>
      <c r="P392" s="2908">
        <f t="shared" si="163"/>
        <v>156000</v>
      </c>
      <c r="Q392" s="1095">
        <f t="shared" si="164"/>
        <v>42588</v>
      </c>
      <c r="R392" s="2909">
        <f t="shared" si="165"/>
        <v>198588</v>
      </c>
      <c r="S392" s="398">
        <f t="shared" si="166"/>
        <v>0</v>
      </c>
      <c r="T392" s="1095">
        <f t="shared" si="167"/>
        <v>0</v>
      </c>
      <c r="U392" s="398">
        <f t="shared" si="168"/>
        <v>0</v>
      </c>
      <c r="V392" s="2913">
        <v>0</v>
      </c>
      <c r="W392" s="1095">
        <f t="shared" si="152"/>
        <v>54083.12</v>
      </c>
      <c r="X392" s="1095">
        <f t="shared" si="153"/>
        <v>9360</v>
      </c>
      <c r="Y392" s="2909">
        <f t="shared" si="156"/>
        <v>63443.12</v>
      </c>
      <c r="Z392" s="2913">
        <v>0</v>
      </c>
      <c r="AA392" s="1095">
        <f t="shared" si="154"/>
        <v>29176.420000000002</v>
      </c>
      <c r="AB392" s="1095">
        <f t="shared" si="155"/>
        <v>0</v>
      </c>
      <c r="AC392" s="2909">
        <f t="shared" si="157"/>
        <v>29176.420000000002</v>
      </c>
    </row>
    <row r="393" spans="1:29">
      <c r="A393" s="1780" t="s">
        <v>4467</v>
      </c>
      <c r="B393" s="1780"/>
      <c r="C393" s="2901">
        <v>215</v>
      </c>
      <c r="D393" s="2902">
        <f t="shared" si="158"/>
        <v>6.143594374182045E-4</v>
      </c>
      <c r="E393" s="1083">
        <v>19350</v>
      </c>
      <c r="F393" s="2952">
        <f t="shared" si="159"/>
        <v>6.7642250867035571E-4</v>
      </c>
      <c r="G393" s="2903">
        <f t="shared" si="147"/>
        <v>19350</v>
      </c>
      <c r="H393" s="2903">
        <f t="shared" si="160"/>
        <v>0</v>
      </c>
      <c r="I393" s="2905">
        <f t="shared" si="148"/>
        <v>12255</v>
      </c>
      <c r="J393" s="1096">
        <v>3749</v>
      </c>
      <c r="K393" s="2479">
        <f t="shared" si="161"/>
        <v>153559.04000000001</v>
      </c>
      <c r="L393" s="398">
        <f t="shared" si="149"/>
        <v>3870</v>
      </c>
      <c r="M393" s="1095">
        <f t="shared" si="150"/>
        <v>19874</v>
      </c>
      <c r="N393" s="2906">
        <f t="shared" si="151"/>
        <v>6.2551760842454189E-4</v>
      </c>
      <c r="O393" s="2907">
        <f t="shared" si="162"/>
        <v>1.115817100633739E-5</v>
      </c>
      <c r="P393" s="2908">
        <f t="shared" si="163"/>
        <v>64500</v>
      </c>
      <c r="Q393" s="1095">
        <f t="shared" si="164"/>
        <v>17608.5</v>
      </c>
      <c r="R393" s="2909">
        <f t="shared" si="165"/>
        <v>82108.5</v>
      </c>
      <c r="S393" s="398">
        <f t="shared" si="166"/>
        <v>0</v>
      </c>
      <c r="T393" s="1095">
        <f t="shared" si="167"/>
        <v>0</v>
      </c>
      <c r="U393" s="398">
        <f t="shared" si="168"/>
        <v>0</v>
      </c>
      <c r="V393" s="2913">
        <v>0</v>
      </c>
      <c r="W393" s="1095">
        <f t="shared" si="152"/>
        <v>19944.68</v>
      </c>
      <c r="X393" s="1095">
        <f t="shared" si="153"/>
        <v>3870</v>
      </c>
      <c r="Y393" s="2909">
        <f t="shared" si="156"/>
        <v>23814.68</v>
      </c>
      <c r="Z393" s="2913">
        <v>0</v>
      </c>
      <c r="AA393" s="1095">
        <f t="shared" si="154"/>
        <v>10759.630000000001</v>
      </c>
      <c r="AB393" s="1095">
        <f t="shared" si="155"/>
        <v>0</v>
      </c>
      <c r="AC393" s="2909">
        <f t="shared" si="157"/>
        <v>10759.630000000001</v>
      </c>
    </row>
    <row r="394" spans="1:29">
      <c r="A394" s="1780" t="s">
        <v>4468</v>
      </c>
      <c r="B394" s="1780"/>
      <c r="C394" s="2901">
        <v>290</v>
      </c>
      <c r="D394" s="2902">
        <f t="shared" si="158"/>
        <v>8.2867086907571763E-4</v>
      </c>
      <c r="E394" s="1083">
        <v>26100</v>
      </c>
      <c r="F394" s="2952">
        <f t="shared" si="159"/>
        <v>9.1238384890420074E-4</v>
      </c>
      <c r="G394" s="2903">
        <f t="shared" si="147"/>
        <v>26100</v>
      </c>
      <c r="H394" s="2903">
        <f t="shared" si="160"/>
        <v>0</v>
      </c>
      <c r="I394" s="2905">
        <f t="shared" si="148"/>
        <v>16530</v>
      </c>
      <c r="J394" s="1096">
        <v>6825</v>
      </c>
      <c r="K394" s="2479">
        <f t="shared" si="161"/>
        <v>279552</v>
      </c>
      <c r="L394" s="398">
        <f t="shared" si="149"/>
        <v>5220</v>
      </c>
      <c r="M394" s="1095">
        <f t="shared" si="150"/>
        <v>28575</v>
      </c>
      <c r="N394" s="2906">
        <f t="shared" si="151"/>
        <v>8.9937434138730426E-4</v>
      </c>
      <c r="O394" s="2907">
        <f t="shared" si="162"/>
        <v>7.0703472311586628E-5</v>
      </c>
      <c r="P394" s="2908">
        <f t="shared" si="163"/>
        <v>87000</v>
      </c>
      <c r="Q394" s="1095">
        <f t="shared" si="164"/>
        <v>23751</v>
      </c>
      <c r="R394" s="2909">
        <f t="shared" si="165"/>
        <v>110751</v>
      </c>
      <c r="S394" s="398">
        <f t="shared" si="166"/>
        <v>0</v>
      </c>
      <c r="T394" s="1095">
        <f t="shared" si="167"/>
        <v>0</v>
      </c>
      <c r="U394" s="398">
        <f t="shared" si="168"/>
        <v>0</v>
      </c>
      <c r="V394" s="2913">
        <v>0</v>
      </c>
      <c r="W394" s="1095">
        <f t="shared" si="152"/>
        <v>36309</v>
      </c>
      <c r="X394" s="1095">
        <f t="shared" si="153"/>
        <v>5220</v>
      </c>
      <c r="Y394" s="2909">
        <f t="shared" si="156"/>
        <v>41529</v>
      </c>
      <c r="Z394" s="2913">
        <v>0</v>
      </c>
      <c r="AA394" s="1095">
        <f t="shared" si="154"/>
        <v>19587.75</v>
      </c>
      <c r="AB394" s="1095">
        <f t="shared" si="155"/>
        <v>0</v>
      </c>
      <c r="AC394" s="2909">
        <f t="shared" si="157"/>
        <v>19587.75</v>
      </c>
    </row>
    <row r="395" spans="1:29">
      <c r="A395" s="1780" t="s">
        <v>4469</v>
      </c>
      <c r="B395" s="1780"/>
      <c r="C395" s="2901">
        <v>345</v>
      </c>
      <c r="D395" s="2902">
        <f t="shared" si="158"/>
        <v>9.8583258562456063E-4</v>
      </c>
      <c r="E395" s="1083">
        <v>31050</v>
      </c>
      <c r="F395" s="2952">
        <f t="shared" si="159"/>
        <v>1.0854221650756872E-3</v>
      </c>
      <c r="G395" s="2903">
        <f t="shared" si="147"/>
        <v>31050</v>
      </c>
      <c r="H395" s="2903">
        <f t="shared" si="160"/>
        <v>0</v>
      </c>
      <c r="I395" s="2905">
        <f t="shared" si="148"/>
        <v>19665</v>
      </c>
      <c r="J395" s="1096">
        <v>6017</v>
      </c>
      <c r="K395" s="2479">
        <f t="shared" si="161"/>
        <v>246456.32000000001</v>
      </c>
      <c r="L395" s="398">
        <f t="shared" si="149"/>
        <v>6210</v>
      </c>
      <c r="M395" s="1095">
        <f t="shared" si="150"/>
        <v>31892</v>
      </c>
      <c r="N395" s="2906">
        <f t="shared" si="151"/>
        <v>1.00377415557389E-3</v>
      </c>
      <c r="O395" s="2907">
        <f t="shared" si="162"/>
        <v>1.7941569949329319E-5</v>
      </c>
      <c r="P395" s="2908">
        <f t="shared" si="163"/>
        <v>103500</v>
      </c>
      <c r="Q395" s="1095">
        <f t="shared" si="164"/>
        <v>28255.5</v>
      </c>
      <c r="R395" s="2909">
        <f t="shared" si="165"/>
        <v>131755.5</v>
      </c>
      <c r="S395" s="398">
        <f t="shared" si="166"/>
        <v>0</v>
      </c>
      <c r="T395" s="1095">
        <f t="shared" si="167"/>
        <v>0</v>
      </c>
      <c r="U395" s="398">
        <f t="shared" si="168"/>
        <v>0</v>
      </c>
      <c r="V395" s="2913">
        <v>0</v>
      </c>
      <c r="W395" s="1095">
        <f t="shared" si="152"/>
        <v>32010.440000000002</v>
      </c>
      <c r="X395" s="1095">
        <f t="shared" si="153"/>
        <v>6210</v>
      </c>
      <c r="Y395" s="2909">
        <f t="shared" si="156"/>
        <v>38220.44</v>
      </c>
      <c r="Z395" s="2913">
        <v>0</v>
      </c>
      <c r="AA395" s="1095">
        <f t="shared" si="154"/>
        <v>17268.79</v>
      </c>
      <c r="AB395" s="1095">
        <f t="shared" si="155"/>
        <v>0</v>
      </c>
      <c r="AC395" s="2909">
        <f t="shared" si="157"/>
        <v>17268.79</v>
      </c>
    </row>
    <row r="396" spans="1:29">
      <c r="A396" s="1780" t="s">
        <v>4470</v>
      </c>
      <c r="B396" s="1780"/>
      <c r="C396" s="2901">
        <v>165</v>
      </c>
      <c r="D396" s="2902">
        <f t="shared" si="158"/>
        <v>4.71485149646529E-4</v>
      </c>
      <c r="E396" s="1083">
        <v>14850</v>
      </c>
      <c r="F396" s="2952">
        <f t="shared" si="159"/>
        <v>5.1911494851445902E-4</v>
      </c>
      <c r="G396" s="2903">
        <f t="shared" si="147"/>
        <v>14850</v>
      </c>
      <c r="H396" s="2903">
        <f t="shared" si="160"/>
        <v>0</v>
      </c>
      <c r="I396" s="2905">
        <f t="shared" si="148"/>
        <v>9405</v>
      </c>
      <c r="J396" s="1096">
        <v>2877</v>
      </c>
      <c r="K396" s="2479">
        <f t="shared" si="161"/>
        <v>117841.92</v>
      </c>
      <c r="L396" s="398">
        <f t="shared" si="149"/>
        <v>2970</v>
      </c>
      <c r="M396" s="1095">
        <f t="shared" si="150"/>
        <v>15252</v>
      </c>
      <c r="N396" s="2906">
        <f t="shared" si="151"/>
        <v>4.8004400541869343E-4</v>
      </c>
      <c r="O396" s="2907">
        <f t="shared" si="162"/>
        <v>8.5588557721644307E-6</v>
      </c>
      <c r="P396" s="2908">
        <f t="shared" si="163"/>
        <v>49500</v>
      </c>
      <c r="Q396" s="1095">
        <f t="shared" si="164"/>
        <v>13513.5</v>
      </c>
      <c r="R396" s="2909">
        <f t="shared" si="165"/>
        <v>63013.5</v>
      </c>
      <c r="S396" s="398">
        <f t="shared" si="166"/>
        <v>0</v>
      </c>
      <c r="T396" s="1095">
        <f t="shared" si="167"/>
        <v>0</v>
      </c>
      <c r="U396" s="398">
        <f t="shared" si="168"/>
        <v>0</v>
      </c>
      <c r="V396" s="2913">
        <v>0</v>
      </c>
      <c r="W396" s="1095">
        <f t="shared" si="152"/>
        <v>15305.640000000001</v>
      </c>
      <c r="X396" s="1095">
        <f t="shared" si="153"/>
        <v>2970</v>
      </c>
      <c r="Y396" s="2909">
        <f t="shared" si="156"/>
        <v>18275.64</v>
      </c>
      <c r="Z396" s="2913">
        <v>0</v>
      </c>
      <c r="AA396" s="1095">
        <f t="shared" si="154"/>
        <v>8256.99</v>
      </c>
      <c r="AB396" s="1095">
        <f t="shared" si="155"/>
        <v>0</v>
      </c>
      <c r="AC396" s="2909">
        <f t="shared" si="157"/>
        <v>8256.99</v>
      </c>
    </row>
    <row r="397" spans="1:29">
      <c r="A397" s="1780" t="s">
        <v>4471</v>
      </c>
      <c r="B397" s="1780"/>
      <c r="C397" s="2901">
        <v>215</v>
      </c>
      <c r="D397" s="2902">
        <f t="shared" si="158"/>
        <v>6.143594374182045E-4</v>
      </c>
      <c r="E397" s="1083">
        <v>19350</v>
      </c>
      <c r="F397" s="2952">
        <f t="shared" si="159"/>
        <v>6.7642250867035571E-4</v>
      </c>
      <c r="G397" s="2903">
        <f t="shared" si="147"/>
        <v>19350</v>
      </c>
      <c r="H397" s="2903">
        <f t="shared" si="160"/>
        <v>0</v>
      </c>
      <c r="I397" s="2905">
        <f t="shared" si="148"/>
        <v>12255</v>
      </c>
      <c r="J397" s="1096">
        <v>3749</v>
      </c>
      <c r="K397" s="2479">
        <f t="shared" si="161"/>
        <v>153559.04000000001</v>
      </c>
      <c r="L397" s="398">
        <f t="shared" si="149"/>
        <v>3870</v>
      </c>
      <c r="M397" s="1095">
        <f t="shared" si="150"/>
        <v>19874</v>
      </c>
      <c r="N397" s="2906">
        <f t="shared" si="151"/>
        <v>6.2551760842454189E-4</v>
      </c>
      <c r="O397" s="2907">
        <f t="shared" si="162"/>
        <v>1.115817100633739E-5</v>
      </c>
      <c r="P397" s="2908">
        <f t="shared" si="163"/>
        <v>64500</v>
      </c>
      <c r="Q397" s="1095">
        <f t="shared" si="164"/>
        <v>17608.5</v>
      </c>
      <c r="R397" s="2909">
        <f t="shared" si="165"/>
        <v>82108.5</v>
      </c>
      <c r="S397" s="398">
        <f t="shared" si="166"/>
        <v>0</v>
      </c>
      <c r="T397" s="1095">
        <f t="shared" si="167"/>
        <v>0</v>
      </c>
      <c r="U397" s="398">
        <f t="shared" si="168"/>
        <v>0</v>
      </c>
      <c r="V397" s="2913">
        <v>0</v>
      </c>
      <c r="W397" s="1095">
        <f t="shared" si="152"/>
        <v>19944.68</v>
      </c>
      <c r="X397" s="1095">
        <f t="shared" si="153"/>
        <v>3870</v>
      </c>
      <c r="Y397" s="2909">
        <f t="shared" si="156"/>
        <v>23814.68</v>
      </c>
      <c r="Z397" s="2913">
        <v>0</v>
      </c>
      <c r="AA397" s="1095">
        <f t="shared" si="154"/>
        <v>10759.630000000001</v>
      </c>
      <c r="AB397" s="1095">
        <f t="shared" si="155"/>
        <v>0</v>
      </c>
      <c r="AC397" s="2909">
        <f t="shared" si="157"/>
        <v>10759.630000000001</v>
      </c>
    </row>
    <row r="398" spans="1:29">
      <c r="A398" s="1780" t="s">
        <v>4472</v>
      </c>
      <c r="B398" s="1780"/>
      <c r="C398" s="2901">
        <v>145</v>
      </c>
      <c r="D398" s="2902">
        <f t="shared" si="158"/>
        <v>4.1433543453785882E-4</v>
      </c>
      <c r="E398" s="1083">
        <v>13050</v>
      </c>
      <c r="F398" s="2952">
        <f t="shared" si="159"/>
        <v>4.5619192445210037E-4</v>
      </c>
      <c r="G398" s="2903">
        <f t="shared" si="147"/>
        <v>13050</v>
      </c>
      <c r="H398" s="2903">
        <f t="shared" si="160"/>
        <v>0</v>
      </c>
      <c r="I398" s="2905">
        <f t="shared" si="148"/>
        <v>8265</v>
      </c>
      <c r="J398" s="1096">
        <v>2528</v>
      </c>
      <c r="K398" s="2479">
        <f t="shared" si="161"/>
        <v>103546.88</v>
      </c>
      <c r="L398" s="398">
        <f t="shared" si="149"/>
        <v>2610</v>
      </c>
      <c r="M398" s="1095">
        <f t="shared" si="150"/>
        <v>13403</v>
      </c>
      <c r="N398" s="2906">
        <f t="shared" si="151"/>
        <v>4.2184826938281852E-4</v>
      </c>
      <c r="O398" s="2907">
        <f t="shared" si="162"/>
        <v>7.512834844959702E-6</v>
      </c>
      <c r="P398" s="2908">
        <f t="shared" si="163"/>
        <v>43500</v>
      </c>
      <c r="Q398" s="1095">
        <f t="shared" si="164"/>
        <v>11875.5</v>
      </c>
      <c r="R398" s="2909">
        <f t="shared" si="165"/>
        <v>55375.5</v>
      </c>
      <c r="S398" s="398">
        <f t="shared" si="166"/>
        <v>0</v>
      </c>
      <c r="T398" s="1095">
        <f t="shared" si="167"/>
        <v>0</v>
      </c>
      <c r="U398" s="398">
        <f t="shared" si="168"/>
        <v>0</v>
      </c>
      <c r="V398" s="2913">
        <v>0</v>
      </c>
      <c r="W398" s="1095">
        <f t="shared" si="152"/>
        <v>13448.960000000001</v>
      </c>
      <c r="X398" s="1095">
        <f t="shared" si="153"/>
        <v>2610</v>
      </c>
      <c r="Y398" s="2909">
        <f t="shared" si="156"/>
        <v>16058.960000000001</v>
      </c>
      <c r="Z398" s="2913">
        <v>0</v>
      </c>
      <c r="AA398" s="1095">
        <f t="shared" si="154"/>
        <v>7255.3600000000006</v>
      </c>
      <c r="AB398" s="1095">
        <f t="shared" si="155"/>
        <v>0</v>
      </c>
      <c r="AC398" s="2909">
        <f t="shared" si="157"/>
        <v>7255.3600000000006</v>
      </c>
    </row>
    <row r="399" spans="1:29">
      <c r="A399" s="1780" t="s">
        <v>4473</v>
      </c>
      <c r="B399" s="1780"/>
      <c r="C399" s="2901">
        <v>55</v>
      </c>
      <c r="D399" s="2902">
        <f t="shared" si="158"/>
        <v>1.57161716548843E-4</v>
      </c>
      <c r="E399" s="1083">
        <v>4950</v>
      </c>
      <c r="F399" s="2952">
        <f t="shared" si="159"/>
        <v>1.7303831617148635E-4</v>
      </c>
      <c r="G399" s="2903">
        <f t="shared" si="147"/>
        <v>4950</v>
      </c>
      <c r="H399" s="2903">
        <f t="shared" si="160"/>
        <v>0</v>
      </c>
      <c r="I399" s="2905">
        <f t="shared" si="148"/>
        <v>3135</v>
      </c>
      <c r="J399" s="1096">
        <v>959</v>
      </c>
      <c r="K399" s="2479">
        <f t="shared" si="161"/>
        <v>39280.639999999999</v>
      </c>
      <c r="L399" s="398">
        <f t="shared" si="149"/>
        <v>990</v>
      </c>
      <c r="M399" s="1095">
        <f t="shared" si="150"/>
        <v>5084</v>
      </c>
      <c r="N399" s="2906">
        <f t="shared" si="151"/>
        <v>1.6001466847289782E-4</v>
      </c>
      <c r="O399" s="2907">
        <f t="shared" si="162"/>
        <v>2.8529519240548193E-6</v>
      </c>
      <c r="P399" s="2908">
        <f t="shared" si="163"/>
        <v>16500</v>
      </c>
      <c r="Q399" s="1095">
        <f t="shared" si="164"/>
        <v>4504.5</v>
      </c>
      <c r="R399" s="2909">
        <f t="shared" si="165"/>
        <v>21004.5</v>
      </c>
      <c r="S399" s="398">
        <f t="shared" si="166"/>
        <v>0</v>
      </c>
      <c r="T399" s="1095">
        <f t="shared" si="167"/>
        <v>0</v>
      </c>
      <c r="U399" s="398">
        <f t="shared" si="168"/>
        <v>0</v>
      </c>
      <c r="V399" s="2913">
        <v>0</v>
      </c>
      <c r="W399" s="1095">
        <f t="shared" si="152"/>
        <v>5101.88</v>
      </c>
      <c r="X399" s="1095">
        <f t="shared" si="153"/>
        <v>990</v>
      </c>
      <c r="Y399" s="2909">
        <f t="shared" si="156"/>
        <v>6091.88</v>
      </c>
      <c r="Z399" s="2913">
        <v>0</v>
      </c>
      <c r="AA399" s="1095">
        <f t="shared" si="154"/>
        <v>2752.33</v>
      </c>
      <c r="AB399" s="1095">
        <f t="shared" si="155"/>
        <v>0</v>
      </c>
      <c r="AC399" s="2909">
        <f t="shared" si="157"/>
        <v>2752.33</v>
      </c>
    </row>
    <row r="400" spans="1:29">
      <c r="A400" s="1780" t="s">
        <v>4474</v>
      </c>
      <c r="B400" s="1780"/>
      <c r="C400" s="2901">
        <v>265</v>
      </c>
      <c r="D400" s="2902">
        <f t="shared" si="158"/>
        <v>7.5723372518987989E-4</v>
      </c>
      <c r="E400" s="1083">
        <v>23850</v>
      </c>
      <c r="F400" s="2952">
        <f t="shared" si="159"/>
        <v>8.337300688262524E-4</v>
      </c>
      <c r="G400" s="2903">
        <f t="shared" si="147"/>
        <v>23850</v>
      </c>
      <c r="H400" s="2903">
        <f t="shared" si="160"/>
        <v>0</v>
      </c>
      <c r="I400" s="2905">
        <f t="shared" si="148"/>
        <v>15105</v>
      </c>
      <c r="J400" s="1096">
        <v>6237</v>
      </c>
      <c r="K400" s="2479">
        <f t="shared" si="161"/>
        <v>255467.52000000002</v>
      </c>
      <c r="L400" s="398">
        <f t="shared" si="149"/>
        <v>4770</v>
      </c>
      <c r="M400" s="1095">
        <f t="shared" si="150"/>
        <v>26112</v>
      </c>
      <c r="N400" s="2906">
        <f t="shared" si="151"/>
        <v>8.2185346639738544E-4</v>
      </c>
      <c r="O400" s="2907">
        <f t="shared" si="162"/>
        <v>6.4619741207505555E-5</v>
      </c>
      <c r="P400" s="2908">
        <f t="shared" si="163"/>
        <v>79500</v>
      </c>
      <c r="Q400" s="1095">
        <f t="shared" si="164"/>
        <v>21703.5</v>
      </c>
      <c r="R400" s="2909">
        <f t="shared" si="165"/>
        <v>101203.5</v>
      </c>
      <c r="S400" s="398">
        <f t="shared" si="166"/>
        <v>0</v>
      </c>
      <c r="T400" s="1095">
        <f t="shared" si="167"/>
        <v>0</v>
      </c>
      <c r="U400" s="398">
        <f t="shared" si="168"/>
        <v>0</v>
      </c>
      <c r="V400" s="2913">
        <v>0</v>
      </c>
      <c r="W400" s="1095">
        <f t="shared" si="152"/>
        <v>33180.840000000004</v>
      </c>
      <c r="X400" s="1095">
        <f t="shared" si="153"/>
        <v>4770</v>
      </c>
      <c r="Y400" s="2909">
        <f t="shared" si="156"/>
        <v>37950.840000000004</v>
      </c>
      <c r="Z400" s="2913">
        <v>0</v>
      </c>
      <c r="AA400" s="1095">
        <f t="shared" si="154"/>
        <v>17900.190000000002</v>
      </c>
      <c r="AB400" s="1095">
        <f t="shared" si="155"/>
        <v>0</v>
      </c>
      <c r="AC400" s="2909">
        <f t="shared" si="157"/>
        <v>17900.190000000002</v>
      </c>
    </row>
    <row r="401" spans="1:29">
      <c r="A401" s="1780" t="s">
        <v>4475</v>
      </c>
      <c r="B401" s="1780"/>
      <c r="C401" s="2901">
        <v>250</v>
      </c>
      <c r="D401" s="2902">
        <f t="shared" si="158"/>
        <v>7.1437143885837726E-4</v>
      </c>
      <c r="E401" s="1083">
        <v>22500</v>
      </c>
      <c r="F401" s="2952">
        <f t="shared" si="159"/>
        <v>7.8653780077948343E-4</v>
      </c>
      <c r="G401" s="2903">
        <f t="shared" si="147"/>
        <v>22500</v>
      </c>
      <c r="H401" s="2903">
        <f t="shared" si="160"/>
        <v>0</v>
      </c>
      <c r="I401" s="2905">
        <f t="shared" si="148"/>
        <v>14250</v>
      </c>
      <c r="J401" s="1096">
        <v>1221</v>
      </c>
      <c r="K401" s="2479">
        <f t="shared" si="161"/>
        <v>50012.160000000003</v>
      </c>
      <c r="L401" s="398">
        <f t="shared" si="149"/>
        <v>4500</v>
      </c>
      <c r="M401" s="1095">
        <f t="shared" si="150"/>
        <v>19971</v>
      </c>
      <c r="N401" s="2906">
        <f t="shared" si="151"/>
        <v>6.2857060268926878E-4</v>
      </c>
      <c r="O401" s="2907">
        <f t="shared" si="162"/>
        <v>-8.580083616910848E-5</v>
      </c>
      <c r="P401" s="2908">
        <f t="shared" si="163"/>
        <v>75000</v>
      </c>
      <c r="Q401" s="1095">
        <f t="shared" si="164"/>
        <v>20475</v>
      </c>
      <c r="R401" s="2909">
        <f t="shared" si="165"/>
        <v>95475</v>
      </c>
      <c r="S401" s="398">
        <f t="shared" si="166"/>
        <v>0</v>
      </c>
      <c r="T401" s="1095">
        <f t="shared" si="167"/>
        <v>0</v>
      </c>
      <c r="U401" s="398">
        <f t="shared" si="168"/>
        <v>0</v>
      </c>
      <c r="V401" s="2913">
        <v>0</v>
      </c>
      <c r="W401" s="1095">
        <f t="shared" si="152"/>
        <v>6495.72</v>
      </c>
      <c r="X401" s="1095">
        <f t="shared" si="153"/>
        <v>4500</v>
      </c>
      <c r="Y401" s="2909">
        <f t="shared" si="156"/>
        <v>10995.720000000001</v>
      </c>
      <c r="Z401" s="2913">
        <v>0</v>
      </c>
      <c r="AA401" s="1095">
        <f t="shared" si="154"/>
        <v>3504.27</v>
      </c>
      <c r="AB401" s="1095">
        <f t="shared" si="155"/>
        <v>0</v>
      </c>
      <c r="AC401" s="2909">
        <f t="shared" si="157"/>
        <v>3504.27</v>
      </c>
    </row>
    <row r="402" spans="1:29">
      <c r="A402" s="1780" t="s">
        <v>4476</v>
      </c>
      <c r="B402" s="1780"/>
      <c r="C402" s="2901">
        <v>230</v>
      </c>
      <c r="D402" s="2902">
        <f t="shared" si="158"/>
        <v>6.5722172374970713E-4</v>
      </c>
      <c r="E402" s="1083">
        <v>20700</v>
      </c>
      <c r="F402" s="2952">
        <f t="shared" si="159"/>
        <v>7.2361477671712478E-4</v>
      </c>
      <c r="G402" s="2903">
        <f t="shared" si="147"/>
        <v>20700</v>
      </c>
      <c r="H402" s="2903">
        <f t="shared" si="160"/>
        <v>0</v>
      </c>
      <c r="I402" s="2905">
        <f t="shared" si="148"/>
        <v>13110</v>
      </c>
      <c r="J402" s="1096">
        <v>5413</v>
      </c>
      <c r="K402" s="2479">
        <f t="shared" si="161"/>
        <v>221716.48000000001</v>
      </c>
      <c r="L402" s="398">
        <f t="shared" si="149"/>
        <v>4140</v>
      </c>
      <c r="M402" s="1095">
        <f t="shared" si="150"/>
        <v>22663</v>
      </c>
      <c r="N402" s="2906">
        <f t="shared" si="151"/>
        <v>7.1329906207735706E-4</v>
      </c>
      <c r="O402" s="2907">
        <f t="shared" si="162"/>
        <v>5.6077338327649938E-5</v>
      </c>
      <c r="P402" s="2908">
        <f t="shared" si="163"/>
        <v>69000</v>
      </c>
      <c r="Q402" s="1095">
        <f t="shared" si="164"/>
        <v>18837</v>
      </c>
      <c r="R402" s="2909">
        <f t="shared" si="165"/>
        <v>87837</v>
      </c>
      <c r="S402" s="398">
        <f t="shared" si="166"/>
        <v>0</v>
      </c>
      <c r="T402" s="1095">
        <f t="shared" si="167"/>
        <v>0</v>
      </c>
      <c r="U402" s="398">
        <f t="shared" si="168"/>
        <v>0</v>
      </c>
      <c r="V402" s="2913">
        <v>0</v>
      </c>
      <c r="W402" s="1095">
        <f t="shared" si="152"/>
        <v>28797.16</v>
      </c>
      <c r="X402" s="1095">
        <f t="shared" si="153"/>
        <v>4140</v>
      </c>
      <c r="Y402" s="2909">
        <f t="shared" si="156"/>
        <v>32937.160000000003</v>
      </c>
      <c r="Z402" s="2913">
        <v>0</v>
      </c>
      <c r="AA402" s="1095">
        <f t="shared" si="154"/>
        <v>15535.310000000001</v>
      </c>
      <c r="AB402" s="1095">
        <f t="shared" si="155"/>
        <v>0</v>
      </c>
      <c r="AC402" s="2909">
        <f t="shared" si="157"/>
        <v>15535.310000000001</v>
      </c>
    </row>
    <row r="403" spans="1:29">
      <c r="A403" s="1780" t="s">
        <v>4477</v>
      </c>
      <c r="B403" s="1780"/>
      <c r="C403" s="2901">
        <v>160</v>
      </c>
      <c r="D403" s="2902">
        <f t="shared" si="158"/>
        <v>4.5719772086936144E-4</v>
      </c>
      <c r="E403" s="1083">
        <v>14400</v>
      </c>
      <c r="F403" s="2952">
        <f t="shared" si="159"/>
        <v>5.0338419249886944E-4</v>
      </c>
      <c r="G403" s="2903">
        <f t="shared" si="147"/>
        <v>14400</v>
      </c>
      <c r="H403" s="2903">
        <f t="shared" si="160"/>
        <v>0</v>
      </c>
      <c r="I403" s="2905">
        <f t="shared" si="148"/>
        <v>9120</v>
      </c>
      <c r="J403" s="1096">
        <v>3765</v>
      </c>
      <c r="K403" s="2479">
        <f t="shared" si="161"/>
        <v>154214.39999999999</v>
      </c>
      <c r="L403" s="398">
        <f t="shared" si="149"/>
        <v>2880</v>
      </c>
      <c r="M403" s="1095">
        <f t="shared" si="150"/>
        <v>15765</v>
      </c>
      <c r="N403" s="2906">
        <f t="shared" si="151"/>
        <v>4.961902534373002E-4</v>
      </c>
      <c r="O403" s="2907">
        <f t="shared" si="162"/>
        <v>3.899253256793876E-5</v>
      </c>
      <c r="P403" s="2908">
        <f t="shared" si="163"/>
        <v>48000</v>
      </c>
      <c r="Q403" s="1095">
        <f t="shared" si="164"/>
        <v>13104</v>
      </c>
      <c r="R403" s="2909">
        <f t="shared" si="165"/>
        <v>61104</v>
      </c>
      <c r="S403" s="398">
        <f t="shared" si="166"/>
        <v>0</v>
      </c>
      <c r="T403" s="1095">
        <f t="shared" si="167"/>
        <v>0</v>
      </c>
      <c r="U403" s="398">
        <f t="shared" si="168"/>
        <v>0</v>
      </c>
      <c r="V403" s="2913">
        <v>0</v>
      </c>
      <c r="W403" s="1095">
        <f t="shared" si="152"/>
        <v>20029.8</v>
      </c>
      <c r="X403" s="1095">
        <f t="shared" si="153"/>
        <v>2880</v>
      </c>
      <c r="Y403" s="2909">
        <f t="shared" si="156"/>
        <v>22909.8</v>
      </c>
      <c r="Z403" s="2913">
        <v>0</v>
      </c>
      <c r="AA403" s="1095">
        <f t="shared" si="154"/>
        <v>10805.550000000001</v>
      </c>
      <c r="AB403" s="1095">
        <f t="shared" si="155"/>
        <v>0</v>
      </c>
      <c r="AC403" s="2909">
        <f t="shared" si="157"/>
        <v>10805.550000000001</v>
      </c>
    </row>
    <row r="404" spans="1:29">
      <c r="A404" s="1780" t="s">
        <v>4478</v>
      </c>
      <c r="B404" s="1780"/>
      <c r="C404" s="2901">
        <v>75</v>
      </c>
      <c r="D404" s="2902">
        <f t="shared" si="158"/>
        <v>2.1431143165751319E-4</v>
      </c>
      <c r="E404" s="1083">
        <v>6750</v>
      </c>
      <c r="F404" s="2952">
        <f t="shared" si="159"/>
        <v>2.3596134023384503E-4</v>
      </c>
      <c r="G404" s="2903">
        <f t="shared" si="147"/>
        <v>6750</v>
      </c>
      <c r="H404" s="2903">
        <f t="shared" si="160"/>
        <v>0</v>
      </c>
      <c r="I404" s="2905">
        <f t="shared" si="148"/>
        <v>4275</v>
      </c>
      <c r="J404" s="1096">
        <v>0</v>
      </c>
      <c r="K404" s="2479">
        <f t="shared" si="161"/>
        <v>0</v>
      </c>
      <c r="L404" s="398">
        <f t="shared" si="149"/>
        <v>1350</v>
      </c>
      <c r="M404" s="1095">
        <f t="shared" si="150"/>
        <v>5625</v>
      </c>
      <c r="N404" s="2906">
        <f t="shared" si="151"/>
        <v>1.7704219318647721E-4</v>
      </c>
      <c r="O404" s="2907">
        <f t="shared" si="162"/>
        <v>-3.726923847103598E-5</v>
      </c>
      <c r="P404" s="2908">
        <f t="shared" si="163"/>
        <v>22500</v>
      </c>
      <c r="Q404" s="1095">
        <f t="shared" si="164"/>
        <v>6142.5</v>
      </c>
      <c r="R404" s="2909">
        <f t="shared" si="165"/>
        <v>28642.5</v>
      </c>
      <c r="S404" s="398">
        <f t="shared" si="166"/>
        <v>0</v>
      </c>
      <c r="T404" s="1095">
        <f t="shared" si="167"/>
        <v>0</v>
      </c>
      <c r="U404" s="398">
        <f t="shared" si="168"/>
        <v>0</v>
      </c>
      <c r="V404" s="2913">
        <v>0</v>
      </c>
      <c r="W404" s="1095">
        <f t="shared" si="152"/>
        <v>0</v>
      </c>
      <c r="X404" s="1095">
        <f t="shared" si="153"/>
        <v>1350</v>
      </c>
      <c r="Y404" s="2909">
        <f t="shared" si="156"/>
        <v>1350</v>
      </c>
      <c r="Z404" s="2913">
        <v>0</v>
      </c>
      <c r="AA404" s="1095">
        <f t="shared" si="154"/>
        <v>0</v>
      </c>
      <c r="AB404" s="1095">
        <f t="shared" si="155"/>
        <v>0</v>
      </c>
      <c r="AC404" s="2909">
        <f t="shared" si="157"/>
        <v>0</v>
      </c>
    </row>
    <row r="405" spans="1:29">
      <c r="A405" s="1780" t="s">
        <v>4479</v>
      </c>
      <c r="B405" s="1780"/>
      <c r="C405" s="2901">
        <v>390</v>
      </c>
      <c r="D405" s="2902">
        <f t="shared" si="158"/>
        <v>1.1144194446190685E-3</v>
      </c>
      <c r="E405" s="1083">
        <v>35100</v>
      </c>
      <c r="F405" s="2952">
        <f t="shared" si="159"/>
        <v>1.2269989692159941E-3</v>
      </c>
      <c r="G405" s="2903">
        <f t="shared" si="147"/>
        <v>35100</v>
      </c>
      <c r="H405" s="2903">
        <f t="shared" si="160"/>
        <v>0</v>
      </c>
      <c r="I405" s="2905">
        <f t="shared" si="148"/>
        <v>22230</v>
      </c>
      <c r="J405" s="1096">
        <v>6801</v>
      </c>
      <c r="K405" s="2479">
        <f t="shared" si="161"/>
        <v>278568.96000000002</v>
      </c>
      <c r="L405" s="398">
        <f t="shared" si="149"/>
        <v>7020</v>
      </c>
      <c r="M405" s="1095">
        <f t="shared" si="150"/>
        <v>36051</v>
      </c>
      <c r="N405" s="2906">
        <f t="shared" si="151"/>
        <v>1.1346752189450116E-3</v>
      </c>
      <c r="O405" s="2907">
        <f t="shared" si="162"/>
        <v>2.0255774325943048E-5</v>
      </c>
      <c r="P405" s="2908">
        <f t="shared" si="163"/>
        <v>117000</v>
      </c>
      <c r="Q405" s="1095">
        <f t="shared" si="164"/>
        <v>31941</v>
      </c>
      <c r="R405" s="2909">
        <f t="shared" si="165"/>
        <v>148941</v>
      </c>
      <c r="S405" s="398">
        <f t="shared" si="166"/>
        <v>0</v>
      </c>
      <c r="T405" s="1095">
        <f t="shared" si="167"/>
        <v>0</v>
      </c>
      <c r="U405" s="398">
        <f t="shared" si="168"/>
        <v>0</v>
      </c>
      <c r="V405" s="2913">
        <v>0</v>
      </c>
      <c r="W405" s="1095">
        <f t="shared" si="152"/>
        <v>36181.32</v>
      </c>
      <c r="X405" s="1095">
        <f t="shared" si="153"/>
        <v>7020</v>
      </c>
      <c r="Y405" s="2909">
        <f t="shared" si="156"/>
        <v>43201.32</v>
      </c>
      <c r="Z405" s="2913">
        <v>0</v>
      </c>
      <c r="AA405" s="1095">
        <f t="shared" si="154"/>
        <v>19518.87</v>
      </c>
      <c r="AB405" s="1095">
        <f t="shared" si="155"/>
        <v>0</v>
      </c>
      <c r="AC405" s="2909">
        <f t="shared" si="157"/>
        <v>19518.87</v>
      </c>
    </row>
    <row r="406" spans="1:29">
      <c r="A406" s="1780" t="s">
        <v>4480</v>
      </c>
      <c r="B406" s="1780"/>
      <c r="C406" s="2901">
        <v>65</v>
      </c>
      <c r="D406" s="2902">
        <f t="shared" si="158"/>
        <v>1.8573657410317809E-4</v>
      </c>
      <c r="E406" s="1083">
        <v>5850</v>
      </c>
      <c r="F406" s="2952">
        <f t="shared" si="159"/>
        <v>2.044998282026657E-4</v>
      </c>
      <c r="G406" s="2903">
        <f t="shared" si="147"/>
        <v>5850</v>
      </c>
      <c r="H406" s="2903">
        <f t="shared" si="160"/>
        <v>0</v>
      </c>
      <c r="I406" s="2905">
        <f t="shared" si="148"/>
        <v>3705</v>
      </c>
      <c r="J406" s="1096">
        <v>1133</v>
      </c>
      <c r="K406" s="2479">
        <f t="shared" si="161"/>
        <v>46407.68</v>
      </c>
      <c r="L406" s="398">
        <f t="shared" si="149"/>
        <v>1170</v>
      </c>
      <c r="M406" s="1095">
        <f t="shared" si="150"/>
        <v>6008</v>
      </c>
      <c r="N406" s="2906">
        <f t="shared" si="151"/>
        <v>1.8909679940699647E-4</v>
      </c>
      <c r="O406" s="2907">
        <f t="shared" si="162"/>
        <v>3.3602253038183757E-6</v>
      </c>
      <c r="P406" s="2908">
        <f t="shared" si="163"/>
        <v>19500</v>
      </c>
      <c r="Q406" s="1095">
        <f t="shared" si="164"/>
        <v>5323.5</v>
      </c>
      <c r="R406" s="2909">
        <f t="shared" si="165"/>
        <v>24823.5</v>
      </c>
      <c r="S406" s="398">
        <f t="shared" si="166"/>
        <v>0</v>
      </c>
      <c r="T406" s="1095">
        <f t="shared" si="167"/>
        <v>0</v>
      </c>
      <c r="U406" s="398">
        <f t="shared" si="168"/>
        <v>0</v>
      </c>
      <c r="V406" s="2913">
        <v>0</v>
      </c>
      <c r="W406" s="1095">
        <f t="shared" si="152"/>
        <v>6027.56</v>
      </c>
      <c r="X406" s="1095">
        <f t="shared" si="153"/>
        <v>1170</v>
      </c>
      <c r="Y406" s="2909">
        <f t="shared" si="156"/>
        <v>7197.56</v>
      </c>
      <c r="Z406" s="2913">
        <v>0</v>
      </c>
      <c r="AA406" s="1095">
        <f t="shared" si="154"/>
        <v>3251.71</v>
      </c>
      <c r="AB406" s="1095">
        <f t="shared" si="155"/>
        <v>0</v>
      </c>
      <c r="AC406" s="2909">
        <f t="shared" si="157"/>
        <v>3251.71</v>
      </c>
    </row>
    <row r="407" spans="1:29">
      <c r="A407" s="1780" t="s">
        <v>4481</v>
      </c>
      <c r="B407" s="1780"/>
      <c r="C407" s="2901">
        <v>565</v>
      </c>
      <c r="D407" s="2902">
        <f t="shared" si="158"/>
        <v>1.6144794518199326E-3</v>
      </c>
      <c r="E407" s="1083">
        <v>50850</v>
      </c>
      <c r="F407" s="2952">
        <f t="shared" si="159"/>
        <v>1.7775754297616325E-3</v>
      </c>
      <c r="G407" s="2903">
        <f t="shared" si="147"/>
        <v>50850</v>
      </c>
      <c r="H407" s="2903">
        <f t="shared" si="160"/>
        <v>0</v>
      </c>
      <c r="I407" s="2905">
        <f t="shared" si="148"/>
        <v>32205</v>
      </c>
      <c r="J407" s="1096">
        <v>9854</v>
      </c>
      <c r="K407" s="2479">
        <f t="shared" si="161"/>
        <v>403619.84000000003</v>
      </c>
      <c r="L407" s="398">
        <f t="shared" si="149"/>
        <v>10170</v>
      </c>
      <c r="M407" s="1095">
        <f t="shared" si="150"/>
        <v>52229</v>
      </c>
      <c r="N407" s="2906">
        <f t="shared" si="151"/>
        <v>1.6438643036331589E-3</v>
      </c>
      <c r="O407" s="2907">
        <f t="shared" si="162"/>
        <v>2.9384851813226212E-5</v>
      </c>
      <c r="P407" s="2908">
        <f t="shared" si="163"/>
        <v>169500</v>
      </c>
      <c r="Q407" s="1095">
        <f t="shared" si="164"/>
        <v>46273.5</v>
      </c>
      <c r="R407" s="2909">
        <f t="shared" si="165"/>
        <v>215773.5</v>
      </c>
      <c r="S407" s="398">
        <f t="shared" si="166"/>
        <v>0</v>
      </c>
      <c r="T407" s="1095">
        <f t="shared" si="167"/>
        <v>0</v>
      </c>
      <c r="U407" s="398">
        <f t="shared" si="168"/>
        <v>0</v>
      </c>
      <c r="V407" s="2913">
        <v>0</v>
      </c>
      <c r="W407" s="1095">
        <f t="shared" si="152"/>
        <v>52423.280000000006</v>
      </c>
      <c r="X407" s="1095">
        <f t="shared" si="153"/>
        <v>10170</v>
      </c>
      <c r="Y407" s="2909">
        <f t="shared" si="156"/>
        <v>62593.280000000006</v>
      </c>
      <c r="Z407" s="2913">
        <v>0</v>
      </c>
      <c r="AA407" s="1095">
        <f t="shared" si="154"/>
        <v>28280.98</v>
      </c>
      <c r="AB407" s="1095">
        <f t="shared" si="155"/>
        <v>0</v>
      </c>
      <c r="AC407" s="2909">
        <f t="shared" si="157"/>
        <v>28280.98</v>
      </c>
    </row>
    <row r="408" spans="1:29">
      <c r="A408" s="1780" t="s">
        <v>4482</v>
      </c>
      <c r="B408" s="1780"/>
      <c r="C408" s="2901">
        <v>60</v>
      </c>
      <c r="D408" s="2902">
        <f t="shared" si="158"/>
        <v>1.7144914532601056E-4</v>
      </c>
      <c r="E408" s="1083">
        <v>5400</v>
      </c>
      <c r="F408" s="2952">
        <f t="shared" si="159"/>
        <v>1.8876907218707601E-4</v>
      </c>
      <c r="G408" s="2903">
        <f t="shared" si="147"/>
        <v>5400</v>
      </c>
      <c r="H408" s="2903">
        <f t="shared" si="160"/>
        <v>0</v>
      </c>
      <c r="I408" s="2905">
        <f t="shared" si="148"/>
        <v>3420</v>
      </c>
      <c r="J408" s="1096">
        <v>0</v>
      </c>
      <c r="K408" s="2479">
        <f t="shared" si="161"/>
        <v>0</v>
      </c>
      <c r="L408" s="398">
        <f t="shared" si="149"/>
        <v>1080</v>
      </c>
      <c r="M408" s="1095">
        <f t="shared" si="150"/>
        <v>4500</v>
      </c>
      <c r="N408" s="2906">
        <f t="shared" si="151"/>
        <v>1.4163375454918177E-4</v>
      </c>
      <c r="O408" s="2907">
        <f t="shared" si="162"/>
        <v>-2.9815390776828795E-5</v>
      </c>
      <c r="P408" s="2908">
        <f t="shared" si="163"/>
        <v>18000</v>
      </c>
      <c r="Q408" s="1095">
        <f t="shared" si="164"/>
        <v>4914</v>
      </c>
      <c r="R408" s="2909">
        <f t="shared" si="165"/>
        <v>22914</v>
      </c>
      <c r="S408" s="398">
        <f t="shared" si="166"/>
        <v>0</v>
      </c>
      <c r="T408" s="1095">
        <f t="shared" si="167"/>
        <v>0</v>
      </c>
      <c r="U408" s="398">
        <f t="shared" si="168"/>
        <v>0</v>
      </c>
      <c r="V408" s="2913">
        <v>0</v>
      </c>
      <c r="W408" s="1095">
        <f t="shared" si="152"/>
        <v>0</v>
      </c>
      <c r="X408" s="1095">
        <f t="shared" si="153"/>
        <v>1080</v>
      </c>
      <c r="Y408" s="2909">
        <f t="shared" si="156"/>
        <v>1080</v>
      </c>
      <c r="Z408" s="2913">
        <v>0</v>
      </c>
      <c r="AA408" s="1095">
        <f t="shared" si="154"/>
        <v>0</v>
      </c>
      <c r="AB408" s="1095">
        <f t="shared" si="155"/>
        <v>0</v>
      </c>
      <c r="AC408" s="2909">
        <f t="shared" si="157"/>
        <v>0</v>
      </c>
    </row>
    <row r="409" spans="1:29">
      <c r="A409" s="1780" t="s">
        <v>4483</v>
      </c>
      <c r="B409" s="1780"/>
      <c r="C409" s="2901">
        <v>205</v>
      </c>
      <c r="D409" s="2902">
        <f t="shared" si="158"/>
        <v>5.8578457986386938E-4</v>
      </c>
      <c r="E409" s="1083">
        <v>18450</v>
      </c>
      <c r="F409" s="2952">
        <f t="shared" si="159"/>
        <v>6.4496099663917644E-4</v>
      </c>
      <c r="G409" s="2903">
        <f t="shared" si="147"/>
        <v>18450</v>
      </c>
      <c r="H409" s="2903">
        <f t="shared" si="160"/>
        <v>0</v>
      </c>
      <c r="I409" s="2905">
        <f t="shared" si="148"/>
        <v>11685</v>
      </c>
      <c r="J409" s="1096">
        <v>3575</v>
      </c>
      <c r="K409" s="2479">
        <f t="shared" si="161"/>
        <v>146432</v>
      </c>
      <c r="L409" s="398">
        <f t="shared" si="149"/>
        <v>3690</v>
      </c>
      <c r="M409" s="1095">
        <f t="shared" si="150"/>
        <v>18950</v>
      </c>
      <c r="N409" s="2906">
        <f t="shared" si="151"/>
        <v>5.9643547749044321E-4</v>
      </c>
      <c r="O409" s="2907">
        <f t="shared" si="162"/>
        <v>1.0650897626573834E-5</v>
      </c>
      <c r="P409" s="2908">
        <f t="shared" si="163"/>
        <v>61500</v>
      </c>
      <c r="Q409" s="1095">
        <f t="shared" si="164"/>
        <v>16789.5</v>
      </c>
      <c r="R409" s="2909">
        <f t="shared" si="165"/>
        <v>78289.5</v>
      </c>
      <c r="S409" s="398">
        <f t="shared" si="166"/>
        <v>0</v>
      </c>
      <c r="T409" s="1095">
        <f t="shared" si="167"/>
        <v>0</v>
      </c>
      <c r="U409" s="398">
        <f t="shared" si="168"/>
        <v>0</v>
      </c>
      <c r="V409" s="2913">
        <v>0</v>
      </c>
      <c r="W409" s="1095">
        <f t="shared" si="152"/>
        <v>19019</v>
      </c>
      <c r="X409" s="1095">
        <f t="shared" si="153"/>
        <v>3690</v>
      </c>
      <c r="Y409" s="2909">
        <f t="shared" si="156"/>
        <v>22709</v>
      </c>
      <c r="Z409" s="2913">
        <v>0</v>
      </c>
      <c r="AA409" s="1095">
        <f t="shared" si="154"/>
        <v>10260.25</v>
      </c>
      <c r="AB409" s="1095">
        <f t="shared" si="155"/>
        <v>0</v>
      </c>
      <c r="AC409" s="2909">
        <f t="shared" si="157"/>
        <v>10260.25</v>
      </c>
    </row>
    <row r="410" spans="1:29">
      <c r="A410" s="1780" t="s">
        <v>4484</v>
      </c>
      <c r="B410" s="1780"/>
      <c r="C410" s="2901">
        <v>90</v>
      </c>
      <c r="D410" s="2902">
        <f t="shared" si="158"/>
        <v>2.5717371798901582E-4</v>
      </c>
      <c r="E410" s="1083">
        <v>8100</v>
      </c>
      <c r="F410" s="2952">
        <f t="shared" si="159"/>
        <v>2.8315360828061405E-4</v>
      </c>
      <c r="G410" s="2903">
        <f t="shared" si="147"/>
        <v>8100</v>
      </c>
      <c r="H410" s="2903">
        <f t="shared" si="160"/>
        <v>0</v>
      </c>
      <c r="I410" s="2905">
        <f t="shared" si="148"/>
        <v>5130</v>
      </c>
      <c r="J410" s="1096">
        <v>1569</v>
      </c>
      <c r="K410" s="2479">
        <f t="shared" si="161"/>
        <v>64266.239999999998</v>
      </c>
      <c r="L410" s="398">
        <f t="shared" si="149"/>
        <v>1620</v>
      </c>
      <c r="M410" s="1095">
        <f t="shared" si="150"/>
        <v>8319</v>
      </c>
      <c r="N410" s="2906">
        <f t="shared" si="151"/>
        <v>2.6183360090992073E-4</v>
      </c>
      <c r="O410" s="2907">
        <f t="shared" si="162"/>
        <v>4.6598829209049098E-6</v>
      </c>
      <c r="P410" s="2908">
        <f t="shared" si="163"/>
        <v>27000</v>
      </c>
      <c r="Q410" s="1095">
        <f t="shared" si="164"/>
        <v>7371</v>
      </c>
      <c r="R410" s="2909">
        <f t="shared" si="165"/>
        <v>34371</v>
      </c>
      <c r="S410" s="398">
        <f t="shared" si="166"/>
        <v>0</v>
      </c>
      <c r="T410" s="1095">
        <f t="shared" si="167"/>
        <v>0</v>
      </c>
      <c r="U410" s="398">
        <f t="shared" si="168"/>
        <v>0</v>
      </c>
      <c r="V410" s="2913">
        <v>0</v>
      </c>
      <c r="W410" s="1095">
        <f t="shared" si="152"/>
        <v>8347.08</v>
      </c>
      <c r="X410" s="1095">
        <f t="shared" si="153"/>
        <v>1620</v>
      </c>
      <c r="Y410" s="2909">
        <f t="shared" si="156"/>
        <v>9967.08</v>
      </c>
      <c r="Z410" s="2913">
        <v>0</v>
      </c>
      <c r="AA410" s="1095">
        <f t="shared" si="154"/>
        <v>4503.03</v>
      </c>
      <c r="AB410" s="1095">
        <f t="shared" si="155"/>
        <v>0</v>
      </c>
      <c r="AC410" s="2909">
        <f t="shared" si="157"/>
        <v>4503.03</v>
      </c>
    </row>
    <row r="411" spans="1:29">
      <c r="A411" s="1780" t="s">
        <v>4485</v>
      </c>
      <c r="B411" s="1780"/>
      <c r="C411" s="2901">
        <v>80</v>
      </c>
      <c r="D411" s="2902">
        <f t="shared" si="158"/>
        <v>2.2859886043468072E-4</v>
      </c>
      <c r="E411" s="1083">
        <v>7200</v>
      </c>
      <c r="F411" s="2952">
        <f t="shared" si="159"/>
        <v>2.5169209624943472E-4</v>
      </c>
      <c r="G411" s="2903">
        <f t="shared" si="147"/>
        <v>7200</v>
      </c>
      <c r="H411" s="2903">
        <f t="shared" si="160"/>
        <v>0</v>
      </c>
      <c r="I411" s="2905">
        <f t="shared" si="148"/>
        <v>4560</v>
      </c>
      <c r="J411" s="1096">
        <v>0</v>
      </c>
      <c r="K411" s="2479">
        <f t="shared" si="161"/>
        <v>0</v>
      </c>
      <c r="L411" s="398">
        <f t="shared" si="149"/>
        <v>1440</v>
      </c>
      <c r="M411" s="1095">
        <f t="shared" si="150"/>
        <v>6000</v>
      </c>
      <c r="N411" s="2906">
        <f t="shared" si="151"/>
        <v>1.8884500606557571E-4</v>
      </c>
      <c r="O411" s="2907">
        <f t="shared" si="162"/>
        <v>-3.9753854369105015E-5</v>
      </c>
      <c r="P411" s="2908">
        <f t="shared" si="163"/>
        <v>24000</v>
      </c>
      <c r="Q411" s="1095">
        <f t="shared" si="164"/>
        <v>6552</v>
      </c>
      <c r="R411" s="2909">
        <f t="shared" si="165"/>
        <v>30552</v>
      </c>
      <c r="S411" s="398">
        <f t="shared" si="166"/>
        <v>0</v>
      </c>
      <c r="T411" s="1095">
        <f t="shared" si="167"/>
        <v>0</v>
      </c>
      <c r="U411" s="398">
        <f t="shared" si="168"/>
        <v>0</v>
      </c>
      <c r="V411" s="2913">
        <v>0</v>
      </c>
      <c r="W411" s="1095">
        <f t="shared" si="152"/>
        <v>0</v>
      </c>
      <c r="X411" s="1095">
        <f t="shared" si="153"/>
        <v>1440</v>
      </c>
      <c r="Y411" s="2909">
        <f t="shared" si="156"/>
        <v>1440</v>
      </c>
      <c r="Z411" s="2913">
        <v>0</v>
      </c>
      <c r="AA411" s="1095">
        <f t="shared" si="154"/>
        <v>0</v>
      </c>
      <c r="AB411" s="1095">
        <f t="shared" si="155"/>
        <v>0</v>
      </c>
      <c r="AC411" s="2909">
        <f t="shared" si="157"/>
        <v>0</v>
      </c>
    </row>
    <row r="412" spans="1:29">
      <c r="A412" s="1780" t="s">
        <v>4486</v>
      </c>
      <c r="B412" s="1780"/>
      <c r="C412" s="2901">
        <v>1325</v>
      </c>
      <c r="D412" s="2902">
        <f t="shared" si="158"/>
        <v>3.7861686259493994E-3</v>
      </c>
      <c r="E412" s="1083">
        <v>119250</v>
      </c>
      <c r="F412" s="2952">
        <f t="shared" si="159"/>
        <v>4.168650344131262E-3</v>
      </c>
      <c r="G412" s="2903">
        <f t="shared" si="147"/>
        <v>119250</v>
      </c>
      <c r="H412" s="2903">
        <f t="shared" si="160"/>
        <v>0</v>
      </c>
      <c r="I412" s="2905">
        <f t="shared" si="148"/>
        <v>75525</v>
      </c>
      <c r="J412" s="1096">
        <v>23108</v>
      </c>
      <c r="K412" s="2479">
        <f t="shared" si="161"/>
        <v>946503.68000000005</v>
      </c>
      <c r="L412" s="398">
        <f t="shared" si="149"/>
        <v>23850</v>
      </c>
      <c r="M412" s="1095">
        <f t="shared" si="150"/>
        <v>122483</v>
      </c>
      <c r="N412" s="2906">
        <f t="shared" si="151"/>
        <v>3.8550504796549846E-3</v>
      </c>
      <c r="O412" s="2907">
        <f t="shared" si="162"/>
        <v>6.8881853705585194E-5</v>
      </c>
      <c r="P412" s="2908">
        <f t="shared" si="163"/>
        <v>397500</v>
      </c>
      <c r="Q412" s="1095">
        <f t="shared" si="164"/>
        <v>108517.5</v>
      </c>
      <c r="R412" s="2909">
        <f t="shared" si="165"/>
        <v>506017.5</v>
      </c>
      <c r="S412" s="398">
        <f t="shared" si="166"/>
        <v>0</v>
      </c>
      <c r="T412" s="1095">
        <f t="shared" si="167"/>
        <v>0</v>
      </c>
      <c r="U412" s="398">
        <f t="shared" si="168"/>
        <v>0</v>
      </c>
      <c r="V412" s="2913">
        <v>0</v>
      </c>
      <c r="W412" s="1095">
        <f t="shared" si="152"/>
        <v>122934.56000000001</v>
      </c>
      <c r="X412" s="1095">
        <f t="shared" si="153"/>
        <v>23850</v>
      </c>
      <c r="Y412" s="2909">
        <f t="shared" si="156"/>
        <v>146784.56</v>
      </c>
      <c r="Z412" s="2913">
        <v>0</v>
      </c>
      <c r="AA412" s="1095">
        <f t="shared" si="154"/>
        <v>66319.960000000006</v>
      </c>
      <c r="AB412" s="1095">
        <f t="shared" si="155"/>
        <v>0</v>
      </c>
      <c r="AC412" s="2909">
        <f t="shared" si="157"/>
        <v>66319.960000000006</v>
      </c>
    </row>
    <row r="413" spans="1:29">
      <c r="A413" s="1780" t="s">
        <v>4487</v>
      </c>
      <c r="B413" s="1780"/>
      <c r="C413" s="2901">
        <v>265</v>
      </c>
      <c r="D413" s="2902">
        <f t="shared" si="158"/>
        <v>7.5723372518987989E-4</v>
      </c>
      <c r="E413" s="1083">
        <v>23850</v>
      </c>
      <c r="F413" s="2952">
        <f t="shared" si="159"/>
        <v>8.337300688262524E-4</v>
      </c>
      <c r="G413" s="2903">
        <f t="shared" si="147"/>
        <v>23850</v>
      </c>
      <c r="H413" s="2903">
        <f t="shared" si="160"/>
        <v>0</v>
      </c>
      <c r="I413" s="2905">
        <f t="shared" si="148"/>
        <v>15105</v>
      </c>
      <c r="J413" s="1096">
        <v>4621</v>
      </c>
      <c r="K413" s="2479">
        <f t="shared" si="161"/>
        <v>189276.16</v>
      </c>
      <c r="L413" s="398">
        <f t="shared" si="149"/>
        <v>4770</v>
      </c>
      <c r="M413" s="1095">
        <f t="shared" si="150"/>
        <v>24496</v>
      </c>
      <c r="N413" s="2906">
        <f t="shared" si="151"/>
        <v>7.709912114303904E-4</v>
      </c>
      <c r="O413" s="2907">
        <f t="shared" si="162"/>
        <v>1.3757486240510513E-5</v>
      </c>
      <c r="P413" s="2908">
        <f t="shared" si="163"/>
        <v>79500</v>
      </c>
      <c r="Q413" s="1095">
        <f t="shared" si="164"/>
        <v>21703.5</v>
      </c>
      <c r="R413" s="2909">
        <f t="shared" si="165"/>
        <v>101203.5</v>
      </c>
      <c r="S413" s="398">
        <f t="shared" si="166"/>
        <v>0</v>
      </c>
      <c r="T413" s="1095">
        <f t="shared" si="167"/>
        <v>0</v>
      </c>
      <c r="U413" s="398">
        <f t="shared" si="168"/>
        <v>0</v>
      </c>
      <c r="V413" s="2913">
        <v>0</v>
      </c>
      <c r="W413" s="1095">
        <f t="shared" si="152"/>
        <v>24583.72</v>
      </c>
      <c r="X413" s="1095">
        <f t="shared" si="153"/>
        <v>4770</v>
      </c>
      <c r="Y413" s="2909">
        <f t="shared" si="156"/>
        <v>29353.72</v>
      </c>
      <c r="Z413" s="2913">
        <v>0</v>
      </c>
      <c r="AA413" s="1095">
        <f t="shared" si="154"/>
        <v>13262.27</v>
      </c>
      <c r="AB413" s="1095">
        <f t="shared" si="155"/>
        <v>0</v>
      </c>
      <c r="AC413" s="2909">
        <f t="shared" si="157"/>
        <v>13262.27</v>
      </c>
    </row>
    <row r="414" spans="1:29">
      <c r="A414" s="1780" t="s">
        <v>4488</v>
      </c>
      <c r="B414" s="1780"/>
      <c r="C414" s="2901">
        <v>645</v>
      </c>
      <c r="D414" s="2902">
        <f t="shared" si="158"/>
        <v>1.8430783122546134E-3</v>
      </c>
      <c r="E414" s="1083">
        <v>58050</v>
      </c>
      <c r="F414" s="2952">
        <f t="shared" si="159"/>
        <v>2.0292675260110671E-3</v>
      </c>
      <c r="G414" s="2903">
        <f t="shared" si="147"/>
        <v>58050</v>
      </c>
      <c r="H414" s="2903">
        <f t="shared" si="160"/>
        <v>0</v>
      </c>
      <c r="I414" s="2905">
        <f t="shared" si="148"/>
        <v>36765</v>
      </c>
      <c r="J414" s="1096">
        <v>11249</v>
      </c>
      <c r="K414" s="2479">
        <f t="shared" si="161"/>
        <v>460759.04000000004</v>
      </c>
      <c r="L414" s="398">
        <f t="shared" si="149"/>
        <v>11610</v>
      </c>
      <c r="M414" s="1095">
        <f t="shared" si="150"/>
        <v>59624</v>
      </c>
      <c r="N414" s="2906">
        <f t="shared" si="151"/>
        <v>1.876615773608981E-3</v>
      </c>
      <c r="O414" s="2907">
        <f t="shared" si="162"/>
        <v>3.353746135436762E-5</v>
      </c>
      <c r="P414" s="2908">
        <f t="shared" si="163"/>
        <v>193500</v>
      </c>
      <c r="Q414" s="1095">
        <f t="shared" si="164"/>
        <v>52825.5</v>
      </c>
      <c r="R414" s="2909">
        <f t="shared" si="165"/>
        <v>246325.5</v>
      </c>
      <c r="S414" s="398">
        <f t="shared" si="166"/>
        <v>0</v>
      </c>
      <c r="T414" s="1095">
        <f t="shared" si="167"/>
        <v>0</v>
      </c>
      <c r="U414" s="398">
        <f t="shared" si="168"/>
        <v>0</v>
      </c>
      <c r="V414" s="2913">
        <v>0</v>
      </c>
      <c r="W414" s="1095">
        <f t="shared" si="152"/>
        <v>59844.68</v>
      </c>
      <c r="X414" s="1095">
        <f t="shared" si="153"/>
        <v>11610</v>
      </c>
      <c r="Y414" s="2909">
        <f t="shared" si="156"/>
        <v>71454.679999999993</v>
      </c>
      <c r="Z414" s="2913">
        <v>0</v>
      </c>
      <c r="AA414" s="1095">
        <f t="shared" si="154"/>
        <v>32284.63</v>
      </c>
      <c r="AB414" s="1095">
        <f t="shared" si="155"/>
        <v>0</v>
      </c>
      <c r="AC414" s="2909">
        <f t="shared" si="157"/>
        <v>32284.63</v>
      </c>
    </row>
    <row r="415" spans="1:29">
      <c r="A415" s="1780" t="s">
        <v>4489</v>
      </c>
      <c r="B415" s="1780"/>
      <c r="C415" s="2901">
        <v>75</v>
      </c>
      <c r="D415" s="2902">
        <f t="shared" si="158"/>
        <v>2.1431143165751319E-4</v>
      </c>
      <c r="E415" s="1083">
        <v>6750</v>
      </c>
      <c r="F415" s="2952">
        <f t="shared" si="159"/>
        <v>2.3596134023384503E-4</v>
      </c>
      <c r="G415" s="2903">
        <f t="shared" si="147"/>
        <v>6750</v>
      </c>
      <c r="H415" s="2903">
        <f t="shared" si="160"/>
        <v>0</v>
      </c>
      <c r="I415" s="2905">
        <f t="shared" si="148"/>
        <v>4275</v>
      </c>
      <c r="J415" s="1096">
        <v>1308</v>
      </c>
      <c r="K415" s="2479">
        <f t="shared" si="161"/>
        <v>53575.68</v>
      </c>
      <c r="L415" s="398">
        <f t="shared" si="149"/>
        <v>1350</v>
      </c>
      <c r="M415" s="1095">
        <f t="shared" si="150"/>
        <v>6933</v>
      </c>
      <c r="N415" s="2906">
        <f t="shared" si="151"/>
        <v>2.1821040450877274E-4</v>
      </c>
      <c r="O415" s="2907">
        <f t="shared" si="162"/>
        <v>3.898972851259548E-6</v>
      </c>
      <c r="P415" s="2908">
        <f t="shared" si="163"/>
        <v>22500</v>
      </c>
      <c r="Q415" s="1095">
        <f t="shared" si="164"/>
        <v>6142.5</v>
      </c>
      <c r="R415" s="2909">
        <f t="shared" si="165"/>
        <v>28642.5</v>
      </c>
      <c r="S415" s="398">
        <f t="shared" si="166"/>
        <v>0</v>
      </c>
      <c r="T415" s="1095">
        <f t="shared" si="167"/>
        <v>0</v>
      </c>
      <c r="U415" s="398">
        <f t="shared" si="168"/>
        <v>0</v>
      </c>
      <c r="V415" s="2913">
        <v>0</v>
      </c>
      <c r="W415" s="1095">
        <f t="shared" si="152"/>
        <v>6958.56</v>
      </c>
      <c r="X415" s="1095">
        <f t="shared" si="153"/>
        <v>1350</v>
      </c>
      <c r="Y415" s="2909">
        <f t="shared" si="156"/>
        <v>8308.5600000000013</v>
      </c>
      <c r="Z415" s="2913">
        <v>0</v>
      </c>
      <c r="AA415" s="1095">
        <f t="shared" si="154"/>
        <v>3753.96</v>
      </c>
      <c r="AB415" s="1095">
        <f t="shared" si="155"/>
        <v>0</v>
      </c>
      <c r="AC415" s="2909">
        <f t="shared" si="157"/>
        <v>3753.96</v>
      </c>
    </row>
    <row r="416" spans="1:29">
      <c r="A416" s="1780" t="s">
        <v>4490</v>
      </c>
      <c r="B416" s="1780"/>
      <c r="C416" s="2901">
        <v>145</v>
      </c>
      <c r="D416" s="2902">
        <f t="shared" si="158"/>
        <v>4.1433543453785882E-4</v>
      </c>
      <c r="E416" s="1083">
        <v>13050</v>
      </c>
      <c r="F416" s="2952">
        <f t="shared" si="159"/>
        <v>4.5619192445210037E-4</v>
      </c>
      <c r="G416" s="2903">
        <f t="shared" si="147"/>
        <v>13050</v>
      </c>
      <c r="H416" s="2903">
        <f t="shared" si="160"/>
        <v>0</v>
      </c>
      <c r="I416" s="2905">
        <f t="shared" si="148"/>
        <v>8265</v>
      </c>
      <c r="J416" s="1096">
        <v>3412</v>
      </c>
      <c r="K416" s="2479">
        <f t="shared" si="161"/>
        <v>139755.51999999999</v>
      </c>
      <c r="L416" s="398">
        <f t="shared" si="149"/>
        <v>2610</v>
      </c>
      <c r="M416" s="1095">
        <f t="shared" si="150"/>
        <v>14287</v>
      </c>
      <c r="N416" s="2906">
        <f t="shared" si="151"/>
        <v>4.4967143360981332E-4</v>
      </c>
      <c r="O416" s="2907">
        <f t="shared" si="162"/>
        <v>3.5335999071954506E-5</v>
      </c>
      <c r="P416" s="2908">
        <f t="shared" si="163"/>
        <v>43500</v>
      </c>
      <c r="Q416" s="1095">
        <f t="shared" si="164"/>
        <v>11875.5</v>
      </c>
      <c r="R416" s="2909">
        <f t="shared" si="165"/>
        <v>55375.5</v>
      </c>
      <c r="S416" s="398">
        <f t="shared" si="166"/>
        <v>0</v>
      </c>
      <c r="T416" s="1095">
        <f t="shared" si="167"/>
        <v>0</v>
      </c>
      <c r="U416" s="398">
        <f t="shared" si="168"/>
        <v>0</v>
      </c>
      <c r="V416" s="2913">
        <v>0</v>
      </c>
      <c r="W416" s="1095">
        <f t="shared" si="152"/>
        <v>18151.84</v>
      </c>
      <c r="X416" s="1095">
        <f t="shared" si="153"/>
        <v>2610</v>
      </c>
      <c r="Y416" s="2909">
        <f t="shared" si="156"/>
        <v>20761.84</v>
      </c>
      <c r="Z416" s="2913">
        <v>0</v>
      </c>
      <c r="AA416" s="1095">
        <f t="shared" si="154"/>
        <v>9792.44</v>
      </c>
      <c r="AB416" s="1095">
        <f t="shared" si="155"/>
        <v>0</v>
      </c>
      <c r="AC416" s="2909">
        <f t="shared" si="157"/>
        <v>9792.44</v>
      </c>
    </row>
    <row r="417" spans="1:29">
      <c r="A417" s="1780" t="s">
        <v>4491</v>
      </c>
      <c r="B417" s="1780"/>
      <c r="C417" s="2901">
        <v>215</v>
      </c>
      <c r="D417" s="2902">
        <f t="shared" si="158"/>
        <v>6.143594374182045E-4</v>
      </c>
      <c r="E417" s="1083">
        <v>19350</v>
      </c>
      <c r="F417" s="2952">
        <f t="shared" si="159"/>
        <v>6.7642250867035571E-4</v>
      </c>
      <c r="G417" s="2903">
        <f t="shared" si="147"/>
        <v>19350</v>
      </c>
      <c r="H417" s="2903">
        <f t="shared" si="160"/>
        <v>0</v>
      </c>
      <c r="I417" s="2905">
        <f t="shared" si="148"/>
        <v>12255</v>
      </c>
      <c r="J417" s="1096">
        <v>0</v>
      </c>
      <c r="K417" s="2479">
        <f t="shared" si="161"/>
        <v>0</v>
      </c>
      <c r="L417" s="398">
        <f t="shared" si="149"/>
        <v>3870</v>
      </c>
      <c r="M417" s="1095">
        <f t="shared" si="150"/>
        <v>16125</v>
      </c>
      <c r="N417" s="2906">
        <f t="shared" si="151"/>
        <v>5.0752095380123474E-4</v>
      </c>
      <c r="O417" s="2907">
        <f t="shared" si="162"/>
        <v>-1.0683848361696976E-4</v>
      </c>
      <c r="P417" s="2908">
        <f t="shared" si="163"/>
        <v>64500</v>
      </c>
      <c r="Q417" s="1095">
        <f t="shared" si="164"/>
        <v>17608.5</v>
      </c>
      <c r="R417" s="2909">
        <f t="shared" si="165"/>
        <v>82108.5</v>
      </c>
      <c r="S417" s="398">
        <f t="shared" si="166"/>
        <v>0</v>
      </c>
      <c r="T417" s="1095">
        <f t="shared" si="167"/>
        <v>0</v>
      </c>
      <c r="U417" s="398">
        <f t="shared" si="168"/>
        <v>0</v>
      </c>
      <c r="V417" s="2913">
        <v>0</v>
      </c>
      <c r="W417" s="1095">
        <f t="shared" si="152"/>
        <v>0</v>
      </c>
      <c r="X417" s="1095">
        <f t="shared" si="153"/>
        <v>3870</v>
      </c>
      <c r="Y417" s="2909">
        <f t="shared" si="156"/>
        <v>3870</v>
      </c>
      <c r="Z417" s="2913">
        <v>0</v>
      </c>
      <c r="AA417" s="1095">
        <f t="shared" si="154"/>
        <v>0</v>
      </c>
      <c r="AB417" s="1095">
        <f t="shared" si="155"/>
        <v>0</v>
      </c>
      <c r="AC417" s="2909">
        <f t="shared" si="157"/>
        <v>0</v>
      </c>
    </row>
    <row r="418" spans="1:29">
      <c r="A418" s="1780" t="s">
        <v>4492</v>
      </c>
      <c r="B418" s="1780"/>
      <c r="C418" s="2901">
        <v>210</v>
      </c>
      <c r="D418" s="2902">
        <f t="shared" si="158"/>
        <v>6.0007200864103688E-4</v>
      </c>
      <c r="E418" s="1083">
        <v>18900</v>
      </c>
      <c r="F418" s="2952">
        <f t="shared" si="159"/>
        <v>6.6069175265476613E-4</v>
      </c>
      <c r="G418" s="2903">
        <f t="shared" si="147"/>
        <v>18900</v>
      </c>
      <c r="H418" s="2903">
        <f t="shared" si="160"/>
        <v>0</v>
      </c>
      <c r="I418" s="2905">
        <f t="shared" si="148"/>
        <v>11970</v>
      </c>
      <c r="J418" s="1096">
        <v>3661.9999999999995</v>
      </c>
      <c r="K418" s="2479">
        <f t="shared" si="161"/>
        <v>149995.51999999999</v>
      </c>
      <c r="L418" s="398">
        <f t="shared" si="149"/>
        <v>3780</v>
      </c>
      <c r="M418" s="1095">
        <f t="shared" si="150"/>
        <v>19412</v>
      </c>
      <c r="N418" s="2906">
        <f t="shared" si="151"/>
        <v>6.1097654295749261E-4</v>
      </c>
      <c r="O418" s="2907">
        <f t="shared" si="162"/>
        <v>1.0904534316455721E-5</v>
      </c>
      <c r="P418" s="2908">
        <f t="shared" si="163"/>
        <v>63000</v>
      </c>
      <c r="Q418" s="1095">
        <f t="shared" si="164"/>
        <v>17199</v>
      </c>
      <c r="R418" s="2909">
        <f t="shared" si="165"/>
        <v>80199</v>
      </c>
      <c r="S418" s="398">
        <f t="shared" si="166"/>
        <v>0</v>
      </c>
      <c r="T418" s="1095">
        <f t="shared" si="167"/>
        <v>0</v>
      </c>
      <c r="U418" s="398">
        <f t="shared" si="168"/>
        <v>0</v>
      </c>
      <c r="V418" s="2913">
        <v>0</v>
      </c>
      <c r="W418" s="1095">
        <f t="shared" si="152"/>
        <v>19481.84</v>
      </c>
      <c r="X418" s="1095">
        <f t="shared" si="153"/>
        <v>3780</v>
      </c>
      <c r="Y418" s="2909">
        <f t="shared" si="156"/>
        <v>23261.84</v>
      </c>
      <c r="Z418" s="2913">
        <v>0</v>
      </c>
      <c r="AA418" s="1095">
        <f t="shared" si="154"/>
        <v>10509.939999999999</v>
      </c>
      <c r="AB418" s="1095">
        <f t="shared" si="155"/>
        <v>0</v>
      </c>
      <c r="AC418" s="2909">
        <f t="shared" si="157"/>
        <v>10509.939999999999</v>
      </c>
    </row>
    <row r="419" spans="1:29">
      <c r="A419" s="1780" t="s">
        <v>4493</v>
      </c>
      <c r="B419" s="1780"/>
      <c r="C419" s="2901">
        <v>810</v>
      </c>
      <c r="D419" s="2902">
        <f t="shared" si="158"/>
        <v>2.3145634619011423E-3</v>
      </c>
      <c r="E419" s="1083">
        <v>72900</v>
      </c>
      <c r="F419" s="2952">
        <f t="shared" si="159"/>
        <v>2.5483824745255262E-3</v>
      </c>
      <c r="G419" s="2903">
        <f t="shared" si="147"/>
        <v>72900</v>
      </c>
      <c r="H419" s="2903">
        <f t="shared" si="160"/>
        <v>0</v>
      </c>
      <c r="I419" s="2905">
        <f t="shared" si="148"/>
        <v>46170</v>
      </c>
      <c r="J419" s="1096">
        <v>14125.999999999998</v>
      </c>
      <c r="K419" s="2479">
        <f t="shared" si="161"/>
        <v>578600.95999999996</v>
      </c>
      <c r="L419" s="398">
        <f t="shared" si="149"/>
        <v>14580</v>
      </c>
      <c r="M419" s="1095">
        <f t="shared" si="150"/>
        <v>74876</v>
      </c>
      <c r="N419" s="2906">
        <f t="shared" si="151"/>
        <v>2.3566597790276745E-3</v>
      </c>
      <c r="O419" s="2907">
        <f t="shared" si="162"/>
        <v>4.2096317126532213E-5</v>
      </c>
      <c r="P419" s="2908">
        <f t="shared" si="163"/>
        <v>243000</v>
      </c>
      <c r="Q419" s="1095">
        <f t="shared" si="164"/>
        <v>66339</v>
      </c>
      <c r="R419" s="2909">
        <f t="shared" si="165"/>
        <v>309339</v>
      </c>
      <c r="S419" s="398">
        <f t="shared" si="166"/>
        <v>0</v>
      </c>
      <c r="T419" s="1095">
        <f t="shared" si="167"/>
        <v>0</v>
      </c>
      <c r="U419" s="398">
        <f t="shared" si="168"/>
        <v>0</v>
      </c>
      <c r="V419" s="2913">
        <v>0</v>
      </c>
      <c r="W419" s="1095">
        <f t="shared" si="152"/>
        <v>75150.319999999992</v>
      </c>
      <c r="X419" s="1095">
        <f t="shared" si="153"/>
        <v>14580</v>
      </c>
      <c r="Y419" s="2909">
        <f t="shared" si="156"/>
        <v>89730.319999999992</v>
      </c>
      <c r="Z419" s="2913">
        <v>0</v>
      </c>
      <c r="AA419" s="1095">
        <f t="shared" si="154"/>
        <v>40541.619999999995</v>
      </c>
      <c r="AB419" s="1095">
        <f t="shared" si="155"/>
        <v>0</v>
      </c>
      <c r="AC419" s="2909">
        <f t="shared" si="157"/>
        <v>40541.619999999995</v>
      </c>
    </row>
    <row r="420" spans="1:29">
      <c r="A420" s="1780" t="s">
        <v>4494</v>
      </c>
      <c r="B420" s="1780"/>
      <c r="C420" s="2901">
        <v>205</v>
      </c>
      <c r="D420" s="2902">
        <f t="shared" si="158"/>
        <v>5.8578457986386938E-4</v>
      </c>
      <c r="E420" s="1083">
        <v>18450</v>
      </c>
      <c r="F420" s="2952">
        <f t="shared" si="159"/>
        <v>6.4496099663917644E-4</v>
      </c>
      <c r="G420" s="2903">
        <f t="shared" si="147"/>
        <v>18450</v>
      </c>
      <c r="H420" s="2903">
        <f t="shared" si="160"/>
        <v>0</v>
      </c>
      <c r="I420" s="2905">
        <f t="shared" si="148"/>
        <v>11685</v>
      </c>
      <c r="J420" s="1096">
        <v>0</v>
      </c>
      <c r="K420" s="2479">
        <f t="shared" si="161"/>
        <v>0</v>
      </c>
      <c r="L420" s="398">
        <f t="shared" si="149"/>
        <v>3690</v>
      </c>
      <c r="M420" s="1095">
        <f t="shared" si="150"/>
        <v>15375</v>
      </c>
      <c r="N420" s="2906">
        <f t="shared" si="151"/>
        <v>4.8391532804303774E-4</v>
      </c>
      <c r="O420" s="2907">
        <f t="shared" si="162"/>
        <v>-1.0186925182083164E-4</v>
      </c>
      <c r="P420" s="2908">
        <f t="shared" si="163"/>
        <v>61500</v>
      </c>
      <c r="Q420" s="1095">
        <f t="shared" si="164"/>
        <v>16789.5</v>
      </c>
      <c r="R420" s="2909">
        <f t="shared" si="165"/>
        <v>78289.5</v>
      </c>
      <c r="S420" s="398">
        <f t="shared" si="166"/>
        <v>0</v>
      </c>
      <c r="T420" s="1095">
        <f t="shared" si="167"/>
        <v>0</v>
      </c>
      <c r="U420" s="398">
        <f t="shared" si="168"/>
        <v>0</v>
      </c>
      <c r="V420" s="2913">
        <v>0</v>
      </c>
      <c r="W420" s="1095">
        <f t="shared" si="152"/>
        <v>0</v>
      </c>
      <c r="X420" s="1095">
        <f t="shared" si="153"/>
        <v>3690</v>
      </c>
      <c r="Y420" s="2909">
        <f t="shared" si="156"/>
        <v>3690</v>
      </c>
      <c r="Z420" s="2913">
        <v>0</v>
      </c>
      <c r="AA420" s="1095">
        <f t="shared" si="154"/>
        <v>0</v>
      </c>
      <c r="AB420" s="1095">
        <f t="shared" si="155"/>
        <v>0</v>
      </c>
      <c r="AC420" s="2909">
        <f t="shared" si="157"/>
        <v>0</v>
      </c>
    </row>
    <row r="421" spans="1:29">
      <c r="A421" s="1780" t="s">
        <v>4495</v>
      </c>
      <c r="B421" s="1780"/>
      <c r="C421" s="2901">
        <v>805</v>
      </c>
      <c r="D421" s="2902">
        <f t="shared" si="158"/>
        <v>2.3002760331239749E-3</v>
      </c>
      <c r="E421" s="1083">
        <v>102105</v>
      </c>
      <c r="F421" s="2952">
        <f t="shared" si="159"/>
        <v>3.5693085399372956E-3</v>
      </c>
      <c r="G421" s="2903">
        <f t="shared" si="147"/>
        <v>72450</v>
      </c>
      <c r="H421" s="2903">
        <f t="shared" si="160"/>
        <v>29655</v>
      </c>
      <c r="I421" s="2905">
        <f t="shared" si="148"/>
        <v>45885</v>
      </c>
      <c r="J421" s="1096">
        <v>14039.000000000002</v>
      </c>
      <c r="K421" s="2479">
        <f t="shared" si="161"/>
        <v>575037.44000000006</v>
      </c>
      <c r="L421" s="398">
        <f t="shared" si="149"/>
        <v>20421</v>
      </c>
      <c r="M421" s="1095">
        <f t="shared" si="150"/>
        <v>80345</v>
      </c>
      <c r="N421" s="2906">
        <f t="shared" si="151"/>
        <v>2.5287920020564468E-3</v>
      </c>
      <c r="O421" s="2907">
        <f t="shared" si="162"/>
        <v>2.285159689324719E-4</v>
      </c>
      <c r="P421" s="2908">
        <f t="shared" si="163"/>
        <v>241500</v>
      </c>
      <c r="Q421" s="1095">
        <f t="shared" si="164"/>
        <v>92915.55</v>
      </c>
      <c r="R421" s="2909">
        <f t="shared" si="165"/>
        <v>334415.55</v>
      </c>
      <c r="S421" s="398">
        <f t="shared" si="166"/>
        <v>0</v>
      </c>
      <c r="T421" s="1095">
        <f t="shared" si="167"/>
        <v>0</v>
      </c>
      <c r="U421" s="398">
        <f t="shared" si="168"/>
        <v>0</v>
      </c>
      <c r="V421" s="2913">
        <v>0</v>
      </c>
      <c r="W421" s="1095">
        <f t="shared" si="152"/>
        <v>74687.48000000001</v>
      </c>
      <c r="X421" s="1095">
        <f t="shared" si="153"/>
        <v>20421</v>
      </c>
      <c r="Y421" s="2909">
        <f t="shared" si="156"/>
        <v>95108.48000000001</v>
      </c>
      <c r="Z421" s="2913">
        <v>0</v>
      </c>
      <c r="AA421" s="1095">
        <f t="shared" si="154"/>
        <v>40291.930000000008</v>
      </c>
      <c r="AB421" s="1095">
        <f t="shared" si="155"/>
        <v>0</v>
      </c>
      <c r="AC421" s="2909">
        <f t="shared" si="157"/>
        <v>40291.930000000008</v>
      </c>
    </row>
    <row r="422" spans="1:29">
      <c r="A422" s="1780" t="s">
        <v>4496</v>
      </c>
      <c r="B422" s="1780"/>
      <c r="C422" s="2901">
        <v>325</v>
      </c>
      <c r="D422" s="2902">
        <f t="shared" si="158"/>
        <v>9.286828705158905E-4</v>
      </c>
      <c r="E422" s="1083">
        <v>29250</v>
      </c>
      <c r="F422" s="2952">
        <f t="shared" si="159"/>
        <v>1.0224991410133285E-3</v>
      </c>
      <c r="G422" s="2903">
        <f t="shared" si="147"/>
        <v>29250</v>
      </c>
      <c r="H422" s="2903">
        <f t="shared" si="160"/>
        <v>0</v>
      </c>
      <c r="I422" s="2905">
        <f t="shared" si="148"/>
        <v>18525</v>
      </c>
      <c r="J422" s="1096">
        <v>0</v>
      </c>
      <c r="K422" s="2479">
        <f t="shared" si="161"/>
        <v>0</v>
      </c>
      <c r="L422" s="398">
        <f t="shared" si="149"/>
        <v>5850</v>
      </c>
      <c r="M422" s="1095">
        <f t="shared" si="150"/>
        <v>24375</v>
      </c>
      <c r="N422" s="2906">
        <f t="shared" si="151"/>
        <v>7.6718283714140127E-4</v>
      </c>
      <c r="O422" s="2907">
        <f t="shared" si="162"/>
        <v>-1.6150003337448923E-4</v>
      </c>
      <c r="P422" s="2908">
        <f t="shared" si="163"/>
        <v>97500</v>
      </c>
      <c r="Q422" s="1095">
        <f t="shared" si="164"/>
        <v>26617.5</v>
      </c>
      <c r="R422" s="2909">
        <f t="shared" si="165"/>
        <v>124117.5</v>
      </c>
      <c r="S422" s="398">
        <f t="shared" si="166"/>
        <v>0</v>
      </c>
      <c r="T422" s="1095">
        <f t="shared" si="167"/>
        <v>0</v>
      </c>
      <c r="U422" s="398">
        <f t="shared" si="168"/>
        <v>0</v>
      </c>
      <c r="V422" s="2913">
        <v>0</v>
      </c>
      <c r="W422" s="1095">
        <f t="shared" si="152"/>
        <v>0</v>
      </c>
      <c r="X422" s="1095">
        <f t="shared" si="153"/>
        <v>5850</v>
      </c>
      <c r="Y422" s="2909">
        <f t="shared" si="156"/>
        <v>5850</v>
      </c>
      <c r="Z422" s="2913">
        <v>0</v>
      </c>
      <c r="AA422" s="1095">
        <f t="shared" si="154"/>
        <v>0</v>
      </c>
      <c r="AB422" s="1095">
        <f t="shared" si="155"/>
        <v>0</v>
      </c>
      <c r="AC422" s="2909">
        <f t="shared" si="157"/>
        <v>0</v>
      </c>
    </row>
    <row r="423" spans="1:29">
      <c r="A423" s="1780" t="s">
        <v>4497</v>
      </c>
      <c r="B423" s="1780"/>
      <c r="C423" s="2901">
        <v>70</v>
      </c>
      <c r="D423" s="2902">
        <f t="shared" si="158"/>
        <v>2.0002400288034563E-4</v>
      </c>
      <c r="E423" s="1083">
        <v>6300</v>
      </c>
      <c r="F423" s="2952">
        <f t="shared" si="159"/>
        <v>2.2023058421825537E-4</v>
      </c>
      <c r="G423" s="2903">
        <f t="shared" si="147"/>
        <v>6300</v>
      </c>
      <c r="H423" s="2903">
        <f t="shared" si="160"/>
        <v>0</v>
      </c>
      <c r="I423" s="2905">
        <f t="shared" si="148"/>
        <v>3990</v>
      </c>
      <c r="J423" s="1096">
        <v>1646</v>
      </c>
      <c r="K423" s="2479">
        <f t="shared" si="161"/>
        <v>67420.160000000003</v>
      </c>
      <c r="L423" s="398">
        <f t="shared" si="149"/>
        <v>1260</v>
      </c>
      <c r="M423" s="1095">
        <f t="shared" si="150"/>
        <v>6896</v>
      </c>
      <c r="N423" s="2906">
        <f t="shared" si="151"/>
        <v>2.1704586030470168E-4</v>
      </c>
      <c r="O423" s="2907">
        <f t="shared" si="162"/>
        <v>1.7021857424356056E-5</v>
      </c>
      <c r="P423" s="2908">
        <f t="shared" si="163"/>
        <v>21000</v>
      </c>
      <c r="Q423" s="1095">
        <f t="shared" si="164"/>
        <v>5733</v>
      </c>
      <c r="R423" s="2909">
        <f t="shared" si="165"/>
        <v>26733</v>
      </c>
      <c r="S423" s="398">
        <f t="shared" si="166"/>
        <v>0</v>
      </c>
      <c r="T423" s="1095">
        <f t="shared" si="167"/>
        <v>0</v>
      </c>
      <c r="U423" s="398">
        <f t="shared" si="168"/>
        <v>0</v>
      </c>
      <c r="V423" s="2913">
        <v>0</v>
      </c>
      <c r="W423" s="1095">
        <f t="shared" si="152"/>
        <v>8756.7200000000012</v>
      </c>
      <c r="X423" s="1095">
        <f t="shared" si="153"/>
        <v>1260</v>
      </c>
      <c r="Y423" s="2909">
        <f t="shared" si="156"/>
        <v>10016.720000000001</v>
      </c>
      <c r="Z423" s="2913">
        <v>0</v>
      </c>
      <c r="AA423" s="1095">
        <f t="shared" si="154"/>
        <v>4724.0200000000004</v>
      </c>
      <c r="AB423" s="1095">
        <f t="shared" si="155"/>
        <v>0</v>
      </c>
      <c r="AC423" s="2909">
        <f t="shared" si="157"/>
        <v>4724.0200000000004</v>
      </c>
    </row>
    <row r="424" spans="1:29">
      <c r="A424" s="1780" t="s">
        <v>4498</v>
      </c>
      <c r="B424" s="1780"/>
      <c r="C424" s="2901">
        <v>100</v>
      </c>
      <c r="D424" s="2902">
        <f t="shared" si="158"/>
        <v>2.8574857554335094E-4</v>
      </c>
      <c r="E424" s="1083">
        <v>9000</v>
      </c>
      <c r="F424" s="2952">
        <f t="shared" si="159"/>
        <v>3.1461512031179337E-4</v>
      </c>
      <c r="G424" s="2903">
        <f t="shared" si="147"/>
        <v>9000</v>
      </c>
      <c r="H424" s="2903">
        <f t="shared" si="160"/>
        <v>0</v>
      </c>
      <c r="I424" s="2905">
        <f t="shared" si="148"/>
        <v>5700</v>
      </c>
      <c r="J424" s="1096">
        <v>1221</v>
      </c>
      <c r="K424" s="2479">
        <f t="shared" si="161"/>
        <v>50012.160000000003</v>
      </c>
      <c r="L424" s="398">
        <f t="shared" si="149"/>
        <v>1800</v>
      </c>
      <c r="M424" s="1095">
        <f t="shared" si="150"/>
        <v>8721</v>
      </c>
      <c r="N424" s="2906">
        <f t="shared" si="151"/>
        <v>2.7448621631631431E-4</v>
      </c>
      <c r="O424" s="2907">
        <f t="shared" si="162"/>
        <v>-1.1262359227036628E-5</v>
      </c>
      <c r="P424" s="2908">
        <f t="shared" si="163"/>
        <v>30000</v>
      </c>
      <c r="Q424" s="1095">
        <f t="shared" si="164"/>
        <v>8190</v>
      </c>
      <c r="R424" s="2909">
        <f t="shared" si="165"/>
        <v>38190</v>
      </c>
      <c r="S424" s="398">
        <f t="shared" si="166"/>
        <v>0</v>
      </c>
      <c r="T424" s="1095">
        <f t="shared" si="167"/>
        <v>0</v>
      </c>
      <c r="U424" s="398">
        <f t="shared" si="168"/>
        <v>0</v>
      </c>
      <c r="V424" s="2913">
        <v>0</v>
      </c>
      <c r="W424" s="1095">
        <f t="shared" si="152"/>
        <v>6495.72</v>
      </c>
      <c r="X424" s="1095">
        <f t="shared" si="153"/>
        <v>1800</v>
      </c>
      <c r="Y424" s="2909">
        <f t="shared" si="156"/>
        <v>8295.7200000000012</v>
      </c>
      <c r="Z424" s="2913">
        <v>0</v>
      </c>
      <c r="AA424" s="1095">
        <f t="shared" si="154"/>
        <v>3504.27</v>
      </c>
      <c r="AB424" s="1095">
        <f t="shared" si="155"/>
        <v>0</v>
      </c>
      <c r="AC424" s="2909">
        <f t="shared" si="157"/>
        <v>3504.27</v>
      </c>
    </row>
    <row r="425" spans="1:29">
      <c r="A425" s="1780" t="s">
        <v>4499</v>
      </c>
      <c r="B425" s="1780"/>
      <c r="C425" s="2901">
        <v>60</v>
      </c>
      <c r="D425" s="2902">
        <f t="shared" si="158"/>
        <v>1.7144914532601056E-4</v>
      </c>
      <c r="E425" s="1083">
        <v>5400</v>
      </c>
      <c r="F425" s="2952">
        <f t="shared" si="159"/>
        <v>1.8876907218707601E-4</v>
      </c>
      <c r="G425" s="2903">
        <f t="shared" si="147"/>
        <v>5400</v>
      </c>
      <c r="H425" s="2903">
        <f t="shared" si="160"/>
        <v>0</v>
      </c>
      <c r="I425" s="2905">
        <f t="shared" si="148"/>
        <v>3420</v>
      </c>
      <c r="J425" s="1096">
        <v>0</v>
      </c>
      <c r="K425" s="2479">
        <f t="shared" si="161"/>
        <v>0</v>
      </c>
      <c r="L425" s="398">
        <f t="shared" si="149"/>
        <v>1080</v>
      </c>
      <c r="M425" s="1095">
        <f t="shared" si="150"/>
        <v>4500</v>
      </c>
      <c r="N425" s="2906">
        <f t="shared" si="151"/>
        <v>1.4163375454918177E-4</v>
      </c>
      <c r="O425" s="2907">
        <f t="shared" si="162"/>
        <v>-2.9815390776828795E-5</v>
      </c>
      <c r="P425" s="2908">
        <f t="shared" si="163"/>
        <v>18000</v>
      </c>
      <c r="Q425" s="1095">
        <f t="shared" si="164"/>
        <v>4914</v>
      </c>
      <c r="R425" s="2909">
        <f t="shared" si="165"/>
        <v>22914</v>
      </c>
      <c r="S425" s="398">
        <f t="shared" si="166"/>
        <v>0</v>
      </c>
      <c r="T425" s="1095">
        <f t="shared" si="167"/>
        <v>0</v>
      </c>
      <c r="U425" s="398">
        <f t="shared" si="168"/>
        <v>0</v>
      </c>
      <c r="V425" s="2913">
        <v>0</v>
      </c>
      <c r="W425" s="1095">
        <f t="shared" si="152"/>
        <v>0</v>
      </c>
      <c r="X425" s="1095">
        <f t="shared" si="153"/>
        <v>1080</v>
      </c>
      <c r="Y425" s="2909">
        <f t="shared" si="156"/>
        <v>1080</v>
      </c>
      <c r="Z425" s="2913">
        <v>0</v>
      </c>
      <c r="AA425" s="1095">
        <f t="shared" si="154"/>
        <v>0</v>
      </c>
      <c r="AB425" s="1095">
        <f t="shared" si="155"/>
        <v>0</v>
      </c>
      <c r="AC425" s="2909">
        <f t="shared" si="157"/>
        <v>0</v>
      </c>
    </row>
    <row r="426" spans="1:29">
      <c r="A426" s="1780" t="s">
        <v>4500</v>
      </c>
      <c r="B426" s="1780"/>
      <c r="C426" s="2901">
        <v>660</v>
      </c>
      <c r="D426" s="2902">
        <f t="shared" si="158"/>
        <v>1.885940598586116E-3</v>
      </c>
      <c r="E426" s="1083">
        <v>59400</v>
      </c>
      <c r="F426" s="2952">
        <f t="shared" si="159"/>
        <v>2.0764597940578361E-3</v>
      </c>
      <c r="G426" s="2903">
        <f t="shared" si="147"/>
        <v>59400</v>
      </c>
      <c r="H426" s="2903">
        <f t="shared" si="160"/>
        <v>0</v>
      </c>
      <c r="I426" s="2905">
        <f t="shared" si="148"/>
        <v>37620</v>
      </c>
      <c r="J426" s="1096">
        <v>11510</v>
      </c>
      <c r="K426" s="2479">
        <f t="shared" si="161"/>
        <v>471449.60000000003</v>
      </c>
      <c r="L426" s="398">
        <f t="shared" si="149"/>
        <v>11880</v>
      </c>
      <c r="M426" s="1095">
        <f t="shared" si="150"/>
        <v>61010</v>
      </c>
      <c r="N426" s="2906">
        <f t="shared" si="151"/>
        <v>1.920238970010129E-3</v>
      </c>
      <c r="O426" s="2907">
        <f t="shared" si="162"/>
        <v>3.4298371424012954E-5</v>
      </c>
      <c r="P426" s="2908">
        <f t="shared" si="163"/>
        <v>198000</v>
      </c>
      <c r="Q426" s="1095">
        <f t="shared" si="164"/>
        <v>54054</v>
      </c>
      <c r="R426" s="2909">
        <f t="shared" si="165"/>
        <v>252054</v>
      </c>
      <c r="S426" s="398">
        <f t="shared" si="166"/>
        <v>0</v>
      </c>
      <c r="T426" s="1095">
        <f t="shared" si="167"/>
        <v>0</v>
      </c>
      <c r="U426" s="398">
        <f t="shared" si="168"/>
        <v>0</v>
      </c>
      <c r="V426" s="2913">
        <v>0</v>
      </c>
      <c r="W426" s="1095">
        <f t="shared" si="152"/>
        <v>61233.200000000004</v>
      </c>
      <c r="X426" s="1095">
        <f t="shared" si="153"/>
        <v>11880</v>
      </c>
      <c r="Y426" s="2909">
        <f t="shared" si="156"/>
        <v>73113.200000000012</v>
      </c>
      <c r="Z426" s="2913">
        <v>0</v>
      </c>
      <c r="AA426" s="1095">
        <f t="shared" si="154"/>
        <v>33033.700000000004</v>
      </c>
      <c r="AB426" s="1095">
        <f t="shared" si="155"/>
        <v>0</v>
      </c>
      <c r="AC426" s="2909">
        <f t="shared" si="157"/>
        <v>33033.700000000004</v>
      </c>
    </row>
    <row r="427" spans="1:29">
      <c r="A427" s="1780" t="s">
        <v>4501</v>
      </c>
      <c r="B427" s="1780"/>
      <c r="C427" s="2901">
        <v>280</v>
      </c>
      <c r="D427" s="2902">
        <f t="shared" si="158"/>
        <v>8.0009601152138251E-4</v>
      </c>
      <c r="E427" s="1083">
        <v>25200</v>
      </c>
      <c r="F427" s="2952">
        <f t="shared" si="159"/>
        <v>8.8092233687302147E-4</v>
      </c>
      <c r="G427" s="2903">
        <f t="shared" si="147"/>
        <v>25200</v>
      </c>
      <c r="H427" s="2903">
        <f t="shared" si="160"/>
        <v>0</v>
      </c>
      <c r="I427" s="2905">
        <f t="shared" si="148"/>
        <v>15960</v>
      </c>
      <c r="J427" s="1096">
        <v>5309</v>
      </c>
      <c r="K427" s="2479">
        <f t="shared" si="161"/>
        <v>217456.64000000001</v>
      </c>
      <c r="L427" s="398">
        <f t="shared" si="149"/>
        <v>5040</v>
      </c>
      <c r="M427" s="1095">
        <f t="shared" si="150"/>
        <v>26309</v>
      </c>
      <c r="N427" s="2906">
        <f t="shared" si="151"/>
        <v>8.2805387742987185E-4</v>
      </c>
      <c r="O427" s="2907">
        <f t="shared" si="162"/>
        <v>2.7957865908489338E-5</v>
      </c>
      <c r="P427" s="2908">
        <f t="shared" si="163"/>
        <v>84000</v>
      </c>
      <c r="Q427" s="1095">
        <f t="shared" si="164"/>
        <v>22932</v>
      </c>
      <c r="R427" s="2909">
        <f t="shared" si="165"/>
        <v>106932</v>
      </c>
      <c r="S427" s="398">
        <f t="shared" si="166"/>
        <v>0</v>
      </c>
      <c r="T427" s="1095">
        <f t="shared" si="167"/>
        <v>0</v>
      </c>
      <c r="U427" s="398">
        <f t="shared" si="168"/>
        <v>0</v>
      </c>
      <c r="V427" s="2913">
        <v>0</v>
      </c>
      <c r="W427" s="1095">
        <f t="shared" si="152"/>
        <v>28243.88</v>
      </c>
      <c r="X427" s="1095">
        <f t="shared" si="153"/>
        <v>5040</v>
      </c>
      <c r="Y427" s="2909">
        <f t="shared" si="156"/>
        <v>33283.880000000005</v>
      </c>
      <c r="Z427" s="2913">
        <v>0</v>
      </c>
      <c r="AA427" s="1095">
        <f t="shared" si="154"/>
        <v>15236.83</v>
      </c>
      <c r="AB427" s="1095">
        <f t="shared" si="155"/>
        <v>0</v>
      </c>
      <c r="AC427" s="2909">
        <f t="shared" si="157"/>
        <v>15236.83</v>
      </c>
    </row>
    <row r="428" spans="1:29">
      <c r="A428" s="1780" t="s">
        <v>4502</v>
      </c>
      <c r="B428" s="1780"/>
      <c r="C428" s="2901">
        <v>165</v>
      </c>
      <c r="D428" s="2902">
        <f t="shared" si="158"/>
        <v>4.71485149646529E-4</v>
      </c>
      <c r="E428" s="1083">
        <v>14850</v>
      </c>
      <c r="F428" s="2952">
        <f t="shared" si="159"/>
        <v>5.1911494851445902E-4</v>
      </c>
      <c r="G428" s="2903">
        <f t="shared" si="147"/>
        <v>14850</v>
      </c>
      <c r="H428" s="2903">
        <f t="shared" si="160"/>
        <v>0</v>
      </c>
      <c r="I428" s="2905">
        <f t="shared" si="148"/>
        <v>9405</v>
      </c>
      <c r="J428" s="1096">
        <v>2877</v>
      </c>
      <c r="K428" s="2479">
        <f t="shared" si="161"/>
        <v>117841.92</v>
      </c>
      <c r="L428" s="398">
        <f t="shared" si="149"/>
        <v>2970</v>
      </c>
      <c r="M428" s="1095">
        <f t="shared" si="150"/>
        <v>15252</v>
      </c>
      <c r="N428" s="2906">
        <f t="shared" si="151"/>
        <v>4.8004400541869343E-4</v>
      </c>
      <c r="O428" s="2907">
        <f t="shared" si="162"/>
        <v>8.5588557721644307E-6</v>
      </c>
      <c r="P428" s="2908">
        <f t="shared" si="163"/>
        <v>49500</v>
      </c>
      <c r="Q428" s="1095">
        <f t="shared" si="164"/>
        <v>13513.5</v>
      </c>
      <c r="R428" s="2909">
        <f t="shared" si="165"/>
        <v>63013.5</v>
      </c>
      <c r="S428" s="398">
        <f t="shared" si="166"/>
        <v>0</v>
      </c>
      <c r="T428" s="1095">
        <f t="shared" si="167"/>
        <v>0</v>
      </c>
      <c r="U428" s="398">
        <f t="shared" si="168"/>
        <v>0</v>
      </c>
      <c r="V428" s="2913">
        <v>0</v>
      </c>
      <c r="W428" s="1095">
        <f t="shared" si="152"/>
        <v>15305.640000000001</v>
      </c>
      <c r="X428" s="1095">
        <f t="shared" si="153"/>
        <v>2970</v>
      </c>
      <c r="Y428" s="2909">
        <f t="shared" si="156"/>
        <v>18275.64</v>
      </c>
      <c r="Z428" s="2913">
        <v>0</v>
      </c>
      <c r="AA428" s="1095">
        <f t="shared" si="154"/>
        <v>8256.99</v>
      </c>
      <c r="AB428" s="1095">
        <f t="shared" si="155"/>
        <v>0</v>
      </c>
      <c r="AC428" s="2909">
        <f t="shared" si="157"/>
        <v>8256.99</v>
      </c>
    </row>
    <row r="429" spans="1:29">
      <c r="A429" s="1780" t="s">
        <v>4503</v>
      </c>
      <c r="B429" s="1780"/>
      <c r="C429" s="2901">
        <v>115</v>
      </c>
      <c r="D429" s="2902">
        <f t="shared" si="158"/>
        <v>3.2861086187485356E-4</v>
      </c>
      <c r="E429" s="1083">
        <v>10350</v>
      </c>
      <c r="F429" s="2952">
        <f t="shared" si="159"/>
        <v>3.6180738835856239E-4</v>
      </c>
      <c r="G429" s="2903">
        <f t="shared" si="147"/>
        <v>10350</v>
      </c>
      <c r="H429" s="2903">
        <f t="shared" si="160"/>
        <v>0</v>
      </c>
      <c r="I429" s="2905">
        <f t="shared" si="148"/>
        <v>6555</v>
      </c>
      <c r="J429" s="1096">
        <v>2005</v>
      </c>
      <c r="K429" s="2479">
        <f t="shared" si="161"/>
        <v>82124.800000000003</v>
      </c>
      <c r="L429" s="398">
        <f t="shared" si="149"/>
        <v>2070</v>
      </c>
      <c r="M429" s="1095">
        <f t="shared" si="150"/>
        <v>10630</v>
      </c>
      <c r="N429" s="2906">
        <f t="shared" si="151"/>
        <v>3.3457040241284498E-4</v>
      </c>
      <c r="O429" s="2907">
        <f t="shared" si="162"/>
        <v>5.9595405379914168E-6</v>
      </c>
      <c r="P429" s="2908">
        <f t="shared" si="163"/>
        <v>34500</v>
      </c>
      <c r="Q429" s="1095">
        <f t="shared" si="164"/>
        <v>9418.5</v>
      </c>
      <c r="R429" s="2909">
        <f t="shared" si="165"/>
        <v>43918.5</v>
      </c>
      <c r="S429" s="398">
        <f t="shared" si="166"/>
        <v>0</v>
      </c>
      <c r="T429" s="1095">
        <f t="shared" si="167"/>
        <v>0</v>
      </c>
      <c r="U429" s="398">
        <f t="shared" si="168"/>
        <v>0</v>
      </c>
      <c r="V429" s="2913">
        <v>0</v>
      </c>
      <c r="W429" s="1095">
        <f t="shared" si="152"/>
        <v>10666.6</v>
      </c>
      <c r="X429" s="1095">
        <f t="shared" si="153"/>
        <v>2070</v>
      </c>
      <c r="Y429" s="2909">
        <f t="shared" si="156"/>
        <v>12736.6</v>
      </c>
      <c r="Z429" s="2913">
        <v>0</v>
      </c>
      <c r="AA429" s="1095">
        <f t="shared" si="154"/>
        <v>5754.35</v>
      </c>
      <c r="AB429" s="1095">
        <f t="shared" si="155"/>
        <v>0</v>
      </c>
      <c r="AC429" s="2909">
        <f t="shared" si="157"/>
        <v>5754.35</v>
      </c>
    </row>
    <row r="430" spans="1:29">
      <c r="A430" s="1780" t="s">
        <v>4504</v>
      </c>
      <c r="B430" s="1780"/>
      <c r="C430" s="2901">
        <v>120</v>
      </c>
      <c r="D430" s="2902">
        <f t="shared" si="158"/>
        <v>3.4289829065202112E-4</v>
      </c>
      <c r="E430" s="1083">
        <v>10800</v>
      </c>
      <c r="F430" s="2952">
        <f t="shared" si="159"/>
        <v>3.7753814437415203E-4</v>
      </c>
      <c r="G430" s="2903">
        <f t="shared" si="147"/>
        <v>10800</v>
      </c>
      <c r="H430" s="2903">
        <f t="shared" si="160"/>
        <v>0</v>
      </c>
      <c r="I430" s="2905">
        <f t="shared" si="148"/>
        <v>6840</v>
      </c>
      <c r="J430" s="1096">
        <v>0</v>
      </c>
      <c r="K430" s="2479">
        <f t="shared" si="161"/>
        <v>0</v>
      </c>
      <c r="L430" s="398">
        <f t="shared" si="149"/>
        <v>2160</v>
      </c>
      <c r="M430" s="1095">
        <f t="shared" si="150"/>
        <v>9000</v>
      </c>
      <c r="N430" s="2906">
        <f t="shared" si="151"/>
        <v>2.8326750909836353E-4</v>
      </c>
      <c r="O430" s="2907">
        <f t="shared" si="162"/>
        <v>-5.963078155365759E-5</v>
      </c>
      <c r="P430" s="2908">
        <f t="shared" si="163"/>
        <v>36000</v>
      </c>
      <c r="Q430" s="1095">
        <f t="shared" si="164"/>
        <v>9828</v>
      </c>
      <c r="R430" s="2909">
        <f t="shared" si="165"/>
        <v>45828</v>
      </c>
      <c r="S430" s="398">
        <f t="shared" si="166"/>
        <v>0</v>
      </c>
      <c r="T430" s="1095">
        <f t="shared" si="167"/>
        <v>0</v>
      </c>
      <c r="U430" s="398">
        <f t="shared" si="168"/>
        <v>0</v>
      </c>
      <c r="V430" s="2913">
        <v>0</v>
      </c>
      <c r="W430" s="1095">
        <f t="shared" si="152"/>
        <v>0</v>
      </c>
      <c r="X430" s="1095">
        <f t="shared" si="153"/>
        <v>2160</v>
      </c>
      <c r="Y430" s="2909">
        <f t="shared" si="156"/>
        <v>2160</v>
      </c>
      <c r="Z430" s="2913">
        <v>0</v>
      </c>
      <c r="AA430" s="1095">
        <f t="shared" si="154"/>
        <v>0</v>
      </c>
      <c r="AB430" s="1095">
        <f t="shared" si="155"/>
        <v>0</v>
      </c>
      <c r="AC430" s="2909">
        <f t="shared" si="157"/>
        <v>0</v>
      </c>
    </row>
    <row r="431" spans="1:29">
      <c r="A431" s="1780" t="s">
        <v>4505</v>
      </c>
      <c r="B431" s="1780"/>
      <c r="C431" s="2901">
        <v>765</v>
      </c>
      <c r="D431" s="2902">
        <f t="shared" si="158"/>
        <v>2.1859766029066344E-3</v>
      </c>
      <c r="E431" s="1083">
        <v>68850</v>
      </c>
      <c r="F431" s="2952">
        <f t="shared" si="159"/>
        <v>2.4068056703852193E-3</v>
      </c>
      <c r="G431" s="2903">
        <f t="shared" si="147"/>
        <v>68850</v>
      </c>
      <c r="H431" s="2903">
        <f t="shared" si="160"/>
        <v>0</v>
      </c>
      <c r="I431" s="2905">
        <f t="shared" si="148"/>
        <v>43605</v>
      </c>
      <c r="J431" s="1096">
        <v>13341</v>
      </c>
      <c r="K431" s="2479">
        <f t="shared" si="161"/>
        <v>546447.35999999999</v>
      </c>
      <c r="L431" s="398">
        <f t="shared" si="149"/>
        <v>13770</v>
      </c>
      <c r="M431" s="1095">
        <f t="shared" si="150"/>
        <v>70716</v>
      </c>
      <c r="N431" s="2906">
        <f t="shared" si="151"/>
        <v>2.2257272414888752E-3</v>
      </c>
      <c r="O431" s="2907">
        <f t="shared" si="162"/>
        <v>3.975063858224076E-5</v>
      </c>
      <c r="P431" s="2908">
        <f t="shared" si="163"/>
        <v>229500</v>
      </c>
      <c r="Q431" s="1095">
        <f t="shared" si="164"/>
        <v>62653.5</v>
      </c>
      <c r="R431" s="2909">
        <f t="shared" si="165"/>
        <v>292153.5</v>
      </c>
      <c r="S431" s="398">
        <f t="shared" si="166"/>
        <v>0</v>
      </c>
      <c r="T431" s="1095">
        <f t="shared" si="167"/>
        <v>0</v>
      </c>
      <c r="U431" s="398">
        <f t="shared" si="168"/>
        <v>0</v>
      </c>
      <c r="V431" s="2913">
        <v>0</v>
      </c>
      <c r="W431" s="1095">
        <f t="shared" si="152"/>
        <v>70974.12000000001</v>
      </c>
      <c r="X431" s="1095">
        <f t="shared" si="153"/>
        <v>13770</v>
      </c>
      <c r="Y431" s="2909">
        <f t="shared" si="156"/>
        <v>84744.12000000001</v>
      </c>
      <c r="Z431" s="2913">
        <v>0</v>
      </c>
      <c r="AA431" s="1095">
        <f t="shared" si="154"/>
        <v>38288.67</v>
      </c>
      <c r="AB431" s="1095">
        <f t="shared" si="155"/>
        <v>0</v>
      </c>
      <c r="AC431" s="2909">
        <f t="shared" si="157"/>
        <v>38288.67</v>
      </c>
    </row>
    <row r="432" spans="1:29">
      <c r="A432" s="1780" t="s">
        <v>4506</v>
      </c>
      <c r="B432" s="1780"/>
      <c r="C432" s="2901">
        <v>150</v>
      </c>
      <c r="D432" s="2902">
        <f t="shared" si="158"/>
        <v>4.2862286331502638E-4</v>
      </c>
      <c r="E432" s="1083">
        <v>13500</v>
      </c>
      <c r="F432" s="2952">
        <f t="shared" si="159"/>
        <v>4.7192268046769006E-4</v>
      </c>
      <c r="G432" s="2903">
        <f t="shared" si="147"/>
        <v>13500</v>
      </c>
      <c r="H432" s="2903">
        <f t="shared" si="160"/>
        <v>0</v>
      </c>
      <c r="I432" s="2905">
        <f t="shared" si="148"/>
        <v>8550</v>
      </c>
      <c r="J432" s="1096">
        <v>2616</v>
      </c>
      <c r="K432" s="2479">
        <f t="shared" si="161"/>
        <v>107151.36</v>
      </c>
      <c r="L432" s="398">
        <f t="shared" si="149"/>
        <v>2700</v>
      </c>
      <c r="M432" s="1095">
        <f t="shared" si="150"/>
        <v>13866</v>
      </c>
      <c r="N432" s="2906">
        <f t="shared" si="151"/>
        <v>4.3642080901754547E-4</v>
      </c>
      <c r="O432" s="2907">
        <f t="shared" si="162"/>
        <v>7.797945702519096E-6</v>
      </c>
      <c r="P432" s="2908">
        <f t="shared" si="163"/>
        <v>45000</v>
      </c>
      <c r="Q432" s="1095">
        <f t="shared" si="164"/>
        <v>12285</v>
      </c>
      <c r="R432" s="2909">
        <f t="shared" si="165"/>
        <v>57285</v>
      </c>
      <c r="S432" s="398">
        <f t="shared" si="166"/>
        <v>0</v>
      </c>
      <c r="T432" s="1095">
        <f t="shared" si="167"/>
        <v>0</v>
      </c>
      <c r="U432" s="398">
        <f t="shared" si="168"/>
        <v>0</v>
      </c>
      <c r="V432" s="2913">
        <v>0</v>
      </c>
      <c r="W432" s="1095">
        <f t="shared" si="152"/>
        <v>13917.12</v>
      </c>
      <c r="X432" s="1095">
        <f t="shared" si="153"/>
        <v>2700</v>
      </c>
      <c r="Y432" s="2909">
        <f t="shared" si="156"/>
        <v>16617.120000000003</v>
      </c>
      <c r="Z432" s="2913">
        <v>0</v>
      </c>
      <c r="AA432" s="1095">
        <f t="shared" si="154"/>
        <v>7507.92</v>
      </c>
      <c r="AB432" s="1095">
        <f t="shared" si="155"/>
        <v>0</v>
      </c>
      <c r="AC432" s="2909">
        <f t="shared" si="157"/>
        <v>7507.92</v>
      </c>
    </row>
    <row r="433" spans="1:29">
      <c r="A433" s="1780" t="s">
        <v>4507</v>
      </c>
      <c r="B433" s="1780"/>
      <c r="C433" s="2901">
        <v>165</v>
      </c>
      <c r="D433" s="2902">
        <f t="shared" si="158"/>
        <v>4.71485149646529E-4</v>
      </c>
      <c r="E433" s="1083">
        <v>14850</v>
      </c>
      <c r="F433" s="2952">
        <f t="shared" si="159"/>
        <v>5.1911494851445902E-4</v>
      </c>
      <c r="G433" s="2903">
        <f t="shared" si="147"/>
        <v>14850</v>
      </c>
      <c r="H433" s="2903">
        <f t="shared" si="160"/>
        <v>0</v>
      </c>
      <c r="I433" s="2905">
        <f t="shared" si="148"/>
        <v>9405</v>
      </c>
      <c r="J433" s="1096">
        <v>1221</v>
      </c>
      <c r="K433" s="2479">
        <f t="shared" si="161"/>
        <v>50012.160000000003</v>
      </c>
      <c r="L433" s="398">
        <f t="shared" si="149"/>
        <v>2970</v>
      </c>
      <c r="M433" s="1095">
        <f t="shared" si="150"/>
        <v>13596</v>
      </c>
      <c r="N433" s="2906">
        <f t="shared" si="151"/>
        <v>4.2792278374459452E-4</v>
      </c>
      <c r="O433" s="2907">
        <f t="shared" si="162"/>
        <v>-4.3562365901934485E-5</v>
      </c>
      <c r="P433" s="2908">
        <f t="shared" si="163"/>
        <v>49500</v>
      </c>
      <c r="Q433" s="1095">
        <f t="shared" si="164"/>
        <v>13513.5</v>
      </c>
      <c r="R433" s="2909">
        <f t="shared" si="165"/>
        <v>63013.5</v>
      </c>
      <c r="S433" s="398">
        <f t="shared" si="166"/>
        <v>0</v>
      </c>
      <c r="T433" s="1095">
        <f t="shared" si="167"/>
        <v>0</v>
      </c>
      <c r="U433" s="398">
        <f t="shared" si="168"/>
        <v>0</v>
      </c>
      <c r="V433" s="2913">
        <v>0</v>
      </c>
      <c r="W433" s="1095">
        <f t="shared" si="152"/>
        <v>6495.72</v>
      </c>
      <c r="X433" s="1095">
        <f t="shared" si="153"/>
        <v>2970</v>
      </c>
      <c r="Y433" s="2909">
        <f t="shared" si="156"/>
        <v>9465.7200000000012</v>
      </c>
      <c r="Z433" s="2913">
        <v>0</v>
      </c>
      <c r="AA433" s="1095">
        <f t="shared" si="154"/>
        <v>3504.27</v>
      </c>
      <c r="AB433" s="1095">
        <f t="shared" si="155"/>
        <v>0</v>
      </c>
      <c r="AC433" s="2909">
        <f t="shared" si="157"/>
        <v>3504.27</v>
      </c>
    </row>
    <row r="434" spans="1:29">
      <c r="A434" s="1780" t="s">
        <v>4508</v>
      </c>
      <c r="B434" s="1780"/>
      <c r="C434" s="2901">
        <v>75</v>
      </c>
      <c r="D434" s="2902">
        <f t="shared" si="158"/>
        <v>2.1431143165751319E-4</v>
      </c>
      <c r="E434" s="1083">
        <v>6750</v>
      </c>
      <c r="F434" s="2952">
        <f t="shared" si="159"/>
        <v>2.3596134023384503E-4</v>
      </c>
      <c r="G434" s="2903">
        <f t="shared" si="147"/>
        <v>6750</v>
      </c>
      <c r="H434" s="2903">
        <f t="shared" si="160"/>
        <v>0</v>
      </c>
      <c r="I434" s="2905">
        <f t="shared" si="148"/>
        <v>4275</v>
      </c>
      <c r="J434" s="1096">
        <v>1765</v>
      </c>
      <c r="K434" s="2479">
        <f t="shared" si="161"/>
        <v>72294.400000000009</v>
      </c>
      <c r="L434" s="398">
        <f t="shared" si="149"/>
        <v>1350</v>
      </c>
      <c r="M434" s="1095">
        <f t="shared" si="150"/>
        <v>7390</v>
      </c>
      <c r="N434" s="2906">
        <f t="shared" si="151"/>
        <v>2.3259409913743408E-4</v>
      </c>
      <c r="O434" s="2907">
        <f t="shared" si="162"/>
        <v>1.8282667479920889E-5</v>
      </c>
      <c r="P434" s="2908">
        <f t="shared" si="163"/>
        <v>22500</v>
      </c>
      <c r="Q434" s="1095">
        <f t="shared" si="164"/>
        <v>6142.5</v>
      </c>
      <c r="R434" s="2909">
        <f t="shared" si="165"/>
        <v>28642.5</v>
      </c>
      <c r="S434" s="398">
        <f t="shared" si="166"/>
        <v>0</v>
      </c>
      <c r="T434" s="1095">
        <f t="shared" si="167"/>
        <v>0</v>
      </c>
      <c r="U434" s="398">
        <f t="shared" si="168"/>
        <v>0</v>
      </c>
      <c r="V434" s="2913">
        <v>0</v>
      </c>
      <c r="W434" s="1095">
        <f t="shared" si="152"/>
        <v>9389.8000000000011</v>
      </c>
      <c r="X434" s="1095">
        <f t="shared" si="153"/>
        <v>1350</v>
      </c>
      <c r="Y434" s="2909">
        <f t="shared" si="156"/>
        <v>10739.800000000001</v>
      </c>
      <c r="Z434" s="2913">
        <v>0</v>
      </c>
      <c r="AA434" s="1095">
        <f t="shared" si="154"/>
        <v>5065.55</v>
      </c>
      <c r="AB434" s="1095">
        <f t="shared" si="155"/>
        <v>0</v>
      </c>
      <c r="AC434" s="2909">
        <f t="shared" si="157"/>
        <v>5065.55</v>
      </c>
    </row>
    <row r="435" spans="1:29">
      <c r="A435" s="1780" t="s">
        <v>4509</v>
      </c>
      <c r="B435" s="1780"/>
      <c r="C435" s="2901">
        <v>105</v>
      </c>
      <c r="D435" s="2902">
        <f t="shared" si="158"/>
        <v>3.0003600432051844E-4</v>
      </c>
      <c r="E435" s="1083">
        <v>9450</v>
      </c>
      <c r="F435" s="2952">
        <f t="shared" si="159"/>
        <v>3.3034587632738306E-4</v>
      </c>
      <c r="G435" s="2903">
        <f t="shared" si="147"/>
        <v>9450</v>
      </c>
      <c r="H435" s="2903">
        <f t="shared" si="160"/>
        <v>0</v>
      </c>
      <c r="I435" s="2905">
        <f t="shared" si="148"/>
        <v>5985</v>
      </c>
      <c r="J435" s="1096">
        <v>2471</v>
      </c>
      <c r="K435" s="2479">
        <f t="shared" si="161"/>
        <v>101212.16</v>
      </c>
      <c r="L435" s="398">
        <f t="shared" si="149"/>
        <v>1890</v>
      </c>
      <c r="M435" s="1095">
        <f t="shared" si="150"/>
        <v>10346</v>
      </c>
      <c r="N435" s="2906">
        <f t="shared" si="151"/>
        <v>3.2563173879240773E-4</v>
      </c>
      <c r="O435" s="2907">
        <f t="shared" si="162"/>
        <v>2.5595734471889288E-5</v>
      </c>
      <c r="P435" s="2908">
        <f t="shared" si="163"/>
        <v>31500</v>
      </c>
      <c r="Q435" s="1095">
        <f t="shared" si="164"/>
        <v>8599.5</v>
      </c>
      <c r="R435" s="2909">
        <f t="shared" si="165"/>
        <v>40099.5</v>
      </c>
      <c r="S435" s="398">
        <f t="shared" si="166"/>
        <v>0</v>
      </c>
      <c r="T435" s="1095">
        <f t="shared" si="167"/>
        <v>0</v>
      </c>
      <c r="U435" s="398">
        <f t="shared" si="168"/>
        <v>0</v>
      </c>
      <c r="V435" s="2913">
        <v>0</v>
      </c>
      <c r="W435" s="1095">
        <f t="shared" si="152"/>
        <v>13145.720000000001</v>
      </c>
      <c r="X435" s="1095">
        <f t="shared" si="153"/>
        <v>1890</v>
      </c>
      <c r="Y435" s="2909">
        <f t="shared" si="156"/>
        <v>15035.720000000001</v>
      </c>
      <c r="Z435" s="2913">
        <v>0</v>
      </c>
      <c r="AA435" s="1095">
        <f t="shared" si="154"/>
        <v>7091.77</v>
      </c>
      <c r="AB435" s="1095">
        <f t="shared" si="155"/>
        <v>0</v>
      </c>
      <c r="AC435" s="2909">
        <f t="shared" si="157"/>
        <v>7091.77</v>
      </c>
    </row>
    <row r="436" spans="1:29">
      <c r="A436" s="1780" t="s">
        <v>4510</v>
      </c>
      <c r="B436" s="1780"/>
      <c r="C436" s="2901">
        <v>175</v>
      </c>
      <c r="D436" s="2902">
        <f t="shared" si="158"/>
        <v>5.0006000720086412E-4</v>
      </c>
      <c r="E436" s="1083">
        <v>15750</v>
      </c>
      <c r="F436" s="2952">
        <f t="shared" si="159"/>
        <v>5.505764605456384E-4</v>
      </c>
      <c r="G436" s="2903">
        <f t="shared" si="147"/>
        <v>15750</v>
      </c>
      <c r="H436" s="2903">
        <f t="shared" si="160"/>
        <v>0</v>
      </c>
      <c r="I436" s="2905">
        <f t="shared" si="148"/>
        <v>9975</v>
      </c>
      <c r="J436" s="1096">
        <v>3052</v>
      </c>
      <c r="K436" s="2479">
        <f t="shared" si="161"/>
        <v>125009.92</v>
      </c>
      <c r="L436" s="398">
        <f t="shared" si="149"/>
        <v>3150</v>
      </c>
      <c r="M436" s="1095">
        <f t="shared" si="150"/>
        <v>16177</v>
      </c>
      <c r="N436" s="2906">
        <f t="shared" si="151"/>
        <v>5.0915761052046967E-4</v>
      </c>
      <c r="O436" s="2907">
        <f t="shared" si="162"/>
        <v>9.0976033196055487E-6</v>
      </c>
      <c r="P436" s="2908">
        <f t="shared" si="163"/>
        <v>52500</v>
      </c>
      <c r="Q436" s="1095">
        <f t="shared" si="164"/>
        <v>14332.5</v>
      </c>
      <c r="R436" s="2909">
        <f t="shared" si="165"/>
        <v>66832.5</v>
      </c>
      <c r="S436" s="398">
        <f t="shared" si="166"/>
        <v>0</v>
      </c>
      <c r="T436" s="1095">
        <f t="shared" si="167"/>
        <v>0</v>
      </c>
      <c r="U436" s="398">
        <f t="shared" si="168"/>
        <v>0</v>
      </c>
      <c r="V436" s="2913">
        <v>0</v>
      </c>
      <c r="W436" s="1095">
        <f t="shared" si="152"/>
        <v>16236.640000000001</v>
      </c>
      <c r="X436" s="1095">
        <f t="shared" si="153"/>
        <v>3150</v>
      </c>
      <c r="Y436" s="2909">
        <f t="shared" si="156"/>
        <v>19386.64</v>
      </c>
      <c r="Z436" s="2913">
        <v>0</v>
      </c>
      <c r="AA436" s="1095">
        <f t="shared" si="154"/>
        <v>8759.24</v>
      </c>
      <c r="AB436" s="1095">
        <f t="shared" si="155"/>
        <v>0</v>
      </c>
      <c r="AC436" s="2909">
        <f t="shared" si="157"/>
        <v>8759.24</v>
      </c>
    </row>
    <row r="437" spans="1:29">
      <c r="A437" s="1780" t="s">
        <v>4511</v>
      </c>
      <c r="B437" s="1780"/>
      <c r="C437" s="2901">
        <v>325</v>
      </c>
      <c r="D437" s="2902">
        <f t="shared" si="158"/>
        <v>9.286828705158905E-4</v>
      </c>
      <c r="E437" s="1083">
        <v>29250</v>
      </c>
      <c r="F437" s="2952">
        <f t="shared" si="159"/>
        <v>1.0224991410133285E-3</v>
      </c>
      <c r="G437" s="2903">
        <f t="shared" si="147"/>
        <v>29250</v>
      </c>
      <c r="H437" s="2903">
        <f t="shared" si="160"/>
        <v>0</v>
      </c>
      <c r="I437" s="2905">
        <f t="shared" si="148"/>
        <v>18525</v>
      </c>
      <c r="J437" s="1096">
        <v>5668</v>
      </c>
      <c r="K437" s="2479">
        <f t="shared" si="161"/>
        <v>232161.28</v>
      </c>
      <c r="L437" s="398">
        <f t="shared" si="149"/>
        <v>5850</v>
      </c>
      <c r="M437" s="1095">
        <f t="shared" si="150"/>
        <v>30043</v>
      </c>
      <c r="N437" s="2906">
        <f t="shared" si="151"/>
        <v>9.4557841953801509E-4</v>
      </c>
      <c r="O437" s="2907">
        <f t="shared" si="162"/>
        <v>1.6895549022124591E-5</v>
      </c>
      <c r="P437" s="2908">
        <f t="shared" si="163"/>
        <v>97500</v>
      </c>
      <c r="Q437" s="1095">
        <f t="shared" si="164"/>
        <v>26617.5</v>
      </c>
      <c r="R437" s="2909">
        <f t="shared" si="165"/>
        <v>124117.5</v>
      </c>
      <c r="S437" s="398">
        <f t="shared" si="166"/>
        <v>0</v>
      </c>
      <c r="T437" s="1095">
        <f t="shared" si="167"/>
        <v>0</v>
      </c>
      <c r="U437" s="398">
        <f t="shared" si="168"/>
        <v>0</v>
      </c>
      <c r="V437" s="2913">
        <v>0</v>
      </c>
      <c r="W437" s="1095">
        <f t="shared" si="152"/>
        <v>30153.760000000002</v>
      </c>
      <c r="X437" s="1095">
        <f t="shared" si="153"/>
        <v>5850</v>
      </c>
      <c r="Y437" s="2909">
        <f t="shared" si="156"/>
        <v>36003.760000000002</v>
      </c>
      <c r="Z437" s="2913">
        <v>0</v>
      </c>
      <c r="AA437" s="1095">
        <f t="shared" si="154"/>
        <v>16267.16</v>
      </c>
      <c r="AB437" s="1095">
        <f t="shared" si="155"/>
        <v>0</v>
      </c>
      <c r="AC437" s="2909">
        <f t="shared" si="157"/>
        <v>16267.16</v>
      </c>
    </row>
    <row r="438" spans="1:29">
      <c r="A438" s="1780" t="s">
        <v>4512</v>
      </c>
      <c r="B438" s="1780"/>
      <c r="C438" s="2901">
        <v>110</v>
      </c>
      <c r="D438" s="2902">
        <f t="shared" si="158"/>
        <v>3.14323433097686E-4</v>
      </c>
      <c r="E438" s="1083">
        <v>9900</v>
      </c>
      <c r="F438" s="2952">
        <f t="shared" si="159"/>
        <v>3.460766323429727E-4</v>
      </c>
      <c r="G438" s="2903">
        <f t="shared" si="147"/>
        <v>9900</v>
      </c>
      <c r="H438" s="2903">
        <f t="shared" si="160"/>
        <v>0</v>
      </c>
      <c r="I438" s="2905">
        <f t="shared" si="148"/>
        <v>6270</v>
      </c>
      <c r="J438" s="1096">
        <v>2588</v>
      </c>
      <c r="K438" s="2479">
        <f t="shared" si="161"/>
        <v>106004.48</v>
      </c>
      <c r="L438" s="398">
        <f t="shared" si="149"/>
        <v>1980</v>
      </c>
      <c r="M438" s="1095">
        <f t="shared" si="150"/>
        <v>10838</v>
      </c>
      <c r="N438" s="2906">
        <f t="shared" si="151"/>
        <v>3.4111702928978489E-4</v>
      </c>
      <c r="O438" s="2907">
        <f t="shared" si="162"/>
        <v>2.679359619209889E-5</v>
      </c>
      <c r="P438" s="2908">
        <f t="shared" si="163"/>
        <v>33000</v>
      </c>
      <c r="Q438" s="1095">
        <f t="shared" si="164"/>
        <v>9009</v>
      </c>
      <c r="R438" s="2909">
        <f t="shared" si="165"/>
        <v>42009</v>
      </c>
      <c r="S438" s="398">
        <f t="shared" si="166"/>
        <v>0</v>
      </c>
      <c r="T438" s="1095">
        <f t="shared" si="167"/>
        <v>0</v>
      </c>
      <c r="U438" s="398">
        <f t="shared" si="168"/>
        <v>0</v>
      </c>
      <c r="V438" s="2913">
        <v>0</v>
      </c>
      <c r="W438" s="1095">
        <f t="shared" si="152"/>
        <v>13768.16</v>
      </c>
      <c r="X438" s="1095">
        <f t="shared" si="153"/>
        <v>1980</v>
      </c>
      <c r="Y438" s="2909">
        <f t="shared" si="156"/>
        <v>15748.16</v>
      </c>
      <c r="Z438" s="2913">
        <v>0</v>
      </c>
      <c r="AA438" s="1095">
        <f t="shared" si="154"/>
        <v>7427.56</v>
      </c>
      <c r="AB438" s="1095">
        <f t="shared" si="155"/>
        <v>0</v>
      </c>
      <c r="AC438" s="2909">
        <f t="shared" si="157"/>
        <v>7427.56</v>
      </c>
    </row>
    <row r="439" spans="1:29">
      <c r="A439" s="1780" t="s">
        <v>4513</v>
      </c>
      <c r="B439" s="1780"/>
      <c r="C439" s="2901">
        <v>135</v>
      </c>
      <c r="D439" s="2902">
        <f t="shared" si="158"/>
        <v>3.8576057698352375E-4</v>
      </c>
      <c r="E439" s="1083">
        <v>12150</v>
      </c>
      <c r="F439" s="2952">
        <f t="shared" si="159"/>
        <v>4.2473041242092104E-4</v>
      </c>
      <c r="G439" s="2903">
        <f t="shared" si="147"/>
        <v>12150</v>
      </c>
      <c r="H439" s="2903">
        <f t="shared" si="160"/>
        <v>0</v>
      </c>
      <c r="I439" s="2905">
        <f t="shared" si="148"/>
        <v>7695</v>
      </c>
      <c r="J439" s="1096">
        <v>1221</v>
      </c>
      <c r="K439" s="2479">
        <f t="shared" si="161"/>
        <v>50012.160000000003</v>
      </c>
      <c r="L439" s="398">
        <f t="shared" si="149"/>
        <v>2430</v>
      </c>
      <c r="M439" s="1095">
        <f t="shared" si="150"/>
        <v>11346</v>
      </c>
      <c r="N439" s="2906">
        <f t="shared" si="151"/>
        <v>3.5710590647000364E-4</v>
      </c>
      <c r="O439" s="2907">
        <f t="shared" si="162"/>
        <v>-2.8654670513520114E-5</v>
      </c>
      <c r="P439" s="2908">
        <f t="shared" si="163"/>
        <v>40500</v>
      </c>
      <c r="Q439" s="1095">
        <f t="shared" si="164"/>
        <v>11056.5</v>
      </c>
      <c r="R439" s="2909">
        <f t="shared" si="165"/>
        <v>51556.5</v>
      </c>
      <c r="S439" s="398">
        <f t="shared" si="166"/>
        <v>0</v>
      </c>
      <c r="T439" s="1095">
        <f t="shared" si="167"/>
        <v>0</v>
      </c>
      <c r="U439" s="398">
        <f t="shared" si="168"/>
        <v>0</v>
      </c>
      <c r="V439" s="2913">
        <v>0</v>
      </c>
      <c r="W439" s="1095">
        <f t="shared" si="152"/>
        <v>6495.72</v>
      </c>
      <c r="X439" s="1095">
        <f t="shared" si="153"/>
        <v>2430</v>
      </c>
      <c r="Y439" s="2909">
        <f t="shared" si="156"/>
        <v>8925.7200000000012</v>
      </c>
      <c r="Z439" s="2913">
        <v>0</v>
      </c>
      <c r="AA439" s="1095">
        <f t="shared" si="154"/>
        <v>3504.27</v>
      </c>
      <c r="AB439" s="1095">
        <f t="shared" si="155"/>
        <v>0</v>
      </c>
      <c r="AC439" s="2909">
        <f t="shared" si="157"/>
        <v>3504.27</v>
      </c>
    </row>
    <row r="440" spans="1:29">
      <c r="A440" s="1780" t="s">
        <v>4514</v>
      </c>
      <c r="B440" s="1780"/>
      <c r="C440" s="2901">
        <v>75</v>
      </c>
      <c r="D440" s="2902">
        <f t="shared" si="158"/>
        <v>2.1431143165751319E-4</v>
      </c>
      <c r="E440" s="1083">
        <v>6750</v>
      </c>
      <c r="F440" s="2952">
        <f t="shared" si="159"/>
        <v>2.3596134023384503E-4</v>
      </c>
      <c r="G440" s="2903">
        <f t="shared" si="147"/>
        <v>6750</v>
      </c>
      <c r="H440" s="2903">
        <f t="shared" si="160"/>
        <v>0</v>
      </c>
      <c r="I440" s="2905">
        <f t="shared" si="148"/>
        <v>4275</v>
      </c>
      <c r="J440" s="1096">
        <v>1308</v>
      </c>
      <c r="K440" s="2479">
        <f t="shared" si="161"/>
        <v>53575.68</v>
      </c>
      <c r="L440" s="398">
        <f t="shared" si="149"/>
        <v>1350</v>
      </c>
      <c r="M440" s="1095">
        <f t="shared" si="150"/>
        <v>6933</v>
      </c>
      <c r="N440" s="2906">
        <f t="shared" si="151"/>
        <v>2.1821040450877274E-4</v>
      </c>
      <c r="O440" s="2907">
        <f t="shared" si="162"/>
        <v>3.898972851259548E-6</v>
      </c>
      <c r="P440" s="2908">
        <f t="shared" si="163"/>
        <v>22500</v>
      </c>
      <c r="Q440" s="1095">
        <f t="shared" si="164"/>
        <v>6142.5</v>
      </c>
      <c r="R440" s="2909">
        <f t="shared" si="165"/>
        <v>28642.5</v>
      </c>
      <c r="S440" s="398">
        <f t="shared" si="166"/>
        <v>0</v>
      </c>
      <c r="T440" s="1095">
        <f t="shared" si="167"/>
        <v>0</v>
      </c>
      <c r="U440" s="398">
        <f t="shared" si="168"/>
        <v>0</v>
      </c>
      <c r="V440" s="2913">
        <v>0</v>
      </c>
      <c r="W440" s="1095">
        <f t="shared" si="152"/>
        <v>6958.56</v>
      </c>
      <c r="X440" s="1095">
        <f t="shared" si="153"/>
        <v>1350</v>
      </c>
      <c r="Y440" s="2909">
        <f t="shared" si="156"/>
        <v>8308.5600000000013</v>
      </c>
      <c r="Z440" s="2913">
        <v>0</v>
      </c>
      <c r="AA440" s="1095">
        <f t="shared" si="154"/>
        <v>3753.96</v>
      </c>
      <c r="AB440" s="1095">
        <f t="shared" si="155"/>
        <v>0</v>
      </c>
      <c r="AC440" s="2909">
        <f t="shared" si="157"/>
        <v>3753.96</v>
      </c>
    </row>
    <row r="441" spans="1:29">
      <c r="A441" s="1780" t="s">
        <v>4515</v>
      </c>
      <c r="B441" s="1780"/>
      <c r="C441" s="2901">
        <v>170</v>
      </c>
      <c r="D441" s="2902">
        <f t="shared" si="158"/>
        <v>4.8577257842369656E-4</v>
      </c>
      <c r="E441" s="1083">
        <v>15300</v>
      </c>
      <c r="F441" s="2952">
        <f t="shared" si="159"/>
        <v>5.3484570453004871E-4</v>
      </c>
      <c r="G441" s="2903">
        <f t="shared" si="147"/>
        <v>15300</v>
      </c>
      <c r="H441" s="2903">
        <f t="shared" si="160"/>
        <v>0</v>
      </c>
      <c r="I441" s="2905">
        <f t="shared" si="148"/>
        <v>9690</v>
      </c>
      <c r="J441" s="1096">
        <v>2964</v>
      </c>
      <c r="K441" s="2479">
        <f t="shared" si="161"/>
        <v>121405.44</v>
      </c>
      <c r="L441" s="398">
        <f t="shared" si="149"/>
        <v>3060</v>
      </c>
      <c r="M441" s="1095">
        <f t="shared" si="150"/>
        <v>15714</v>
      </c>
      <c r="N441" s="2906">
        <f t="shared" si="151"/>
        <v>4.9458507088574277E-4</v>
      </c>
      <c r="O441" s="2907">
        <f t="shared" si="162"/>
        <v>8.8124924620462089E-6</v>
      </c>
      <c r="P441" s="2908">
        <f t="shared" si="163"/>
        <v>51000</v>
      </c>
      <c r="Q441" s="1095">
        <f t="shared" si="164"/>
        <v>13923</v>
      </c>
      <c r="R441" s="2909">
        <f t="shared" si="165"/>
        <v>64923</v>
      </c>
      <c r="S441" s="398">
        <f t="shared" si="166"/>
        <v>0</v>
      </c>
      <c r="T441" s="1095">
        <f t="shared" si="167"/>
        <v>0</v>
      </c>
      <c r="U441" s="398">
        <f t="shared" si="168"/>
        <v>0</v>
      </c>
      <c r="V441" s="2913">
        <v>0</v>
      </c>
      <c r="W441" s="1095">
        <f t="shared" si="152"/>
        <v>15768.480000000001</v>
      </c>
      <c r="X441" s="1095">
        <f t="shared" si="153"/>
        <v>3060</v>
      </c>
      <c r="Y441" s="2909">
        <f t="shared" si="156"/>
        <v>18828.480000000003</v>
      </c>
      <c r="Z441" s="2913">
        <v>0</v>
      </c>
      <c r="AA441" s="1095">
        <f t="shared" si="154"/>
        <v>8506.68</v>
      </c>
      <c r="AB441" s="1095">
        <f t="shared" si="155"/>
        <v>0</v>
      </c>
      <c r="AC441" s="2909">
        <f t="shared" si="157"/>
        <v>8506.68</v>
      </c>
    </row>
    <row r="442" spans="1:29">
      <c r="A442" s="1780" t="s">
        <v>4516</v>
      </c>
      <c r="B442" s="1780"/>
      <c r="C442" s="2901">
        <v>45</v>
      </c>
      <c r="D442" s="2902">
        <f t="shared" si="158"/>
        <v>1.2858685899450791E-4</v>
      </c>
      <c r="E442" s="1083">
        <v>4050</v>
      </c>
      <c r="F442" s="2952">
        <f t="shared" si="159"/>
        <v>1.4157680414030702E-4</v>
      </c>
      <c r="G442" s="2903">
        <f t="shared" si="147"/>
        <v>4050</v>
      </c>
      <c r="H442" s="2903">
        <f t="shared" si="160"/>
        <v>0</v>
      </c>
      <c r="I442" s="2905">
        <f t="shared" si="148"/>
        <v>2565</v>
      </c>
      <c r="J442" s="1096">
        <v>0</v>
      </c>
      <c r="K442" s="2479">
        <f t="shared" si="161"/>
        <v>0</v>
      </c>
      <c r="L442" s="398">
        <f t="shared" si="149"/>
        <v>810</v>
      </c>
      <c r="M442" s="1095">
        <f t="shared" si="150"/>
        <v>3375</v>
      </c>
      <c r="N442" s="2906">
        <f t="shared" si="151"/>
        <v>1.0622531591188634E-4</v>
      </c>
      <c r="O442" s="2907">
        <f t="shared" si="162"/>
        <v>-2.2361543082621569E-5</v>
      </c>
      <c r="P442" s="2908">
        <f t="shared" si="163"/>
        <v>13500</v>
      </c>
      <c r="Q442" s="1095">
        <f t="shared" si="164"/>
        <v>3685.5</v>
      </c>
      <c r="R442" s="2909">
        <f t="shared" si="165"/>
        <v>17185.5</v>
      </c>
      <c r="S442" s="398">
        <f t="shared" si="166"/>
        <v>0</v>
      </c>
      <c r="T442" s="1095">
        <f t="shared" si="167"/>
        <v>0</v>
      </c>
      <c r="U442" s="398">
        <f t="shared" si="168"/>
        <v>0</v>
      </c>
      <c r="V442" s="2913">
        <v>0</v>
      </c>
      <c r="W442" s="1095">
        <f t="shared" si="152"/>
        <v>0</v>
      </c>
      <c r="X442" s="1095">
        <f t="shared" si="153"/>
        <v>810</v>
      </c>
      <c r="Y442" s="2909">
        <f t="shared" si="156"/>
        <v>810</v>
      </c>
      <c r="Z442" s="2913">
        <v>0</v>
      </c>
      <c r="AA442" s="1095">
        <f t="shared" si="154"/>
        <v>0</v>
      </c>
      <c r="AB442" s="1095">
        <f t="shared" si="155"/>
        <v>0</v>
      </c>
      <c r="AC442" s="2909">
        <f t="shared" si="157"/>
        <v>0</v>
      </c>
    </row>
    <row r="443" spans="1:29">
      <c r="A443" s="1780" t="s">
        <v>4517</v>
      </c>
      <c r="B443" s="1780"/>
      <c r="C443" s="2901">
        <v>95</v>
      </c>
      <c r="D443" s="2902">
        <f t="shared" si="158"/>
        <v>2.7146114676618338E-4</v>
      </c>
      <c r="E443" s="1083">
        <v>8550</v>
      </c>
      <c r="F443" s="2952">
        <f t="shared" si="159"/>
        <v>2.9888436429620368E-4</v>
      </c>
      <c r="G443" s="2903">
        <f t="shared" si="147"/>
        <v>8550</v>
      </c>
      <c r="H443" s="2903">
        <f t="shared" si="160"/>
        <v>0</v>
      </c>
      <c r="I443" s="2905">
        <f t="shared" si="148"/>
        <v>5415</v>
      </c>
      <c r="J443" s="1096">
        <v>0</v>
      </c>
      <c r="K443" s="2479">
        <f t="shared" si="161"/>
        <v>0</v>
      </c>
      <c r="L443" s="398">
        <f t="shared" si="149"/>
        <v>1710</v>
      </c>
      <c r="M443" s="1095">
        <f t="shared" si="150"/>
        <v>7125</v>
      </c>
      <c r="N443" s="2906">
        <f t="shared" si="151"/>
        <v>2.2425344470287115E-4</v>
      </c>
      <c r="O443" s="2907">
        <f t="shared" si="162"/>
        <v>-4.7207702063312227E-5</v>
      </c>
      <c r="P443" s="2908">
        <f t="shared" si="163"/>
        <v>28500</v>
      </c>
      <c r="Q443" s="1095">
        <f t="shared" si="164"/>
        <v>7780.5</v>
      </c>
      <c r="R443" s="2909">
        <f t="shared" si="165"/>
        <v>36280.5</v>
      </c>
      <c r="S443" s="398">
        <f t="shared" si="166"/>
        <v>0</v>
      </c>
      <c r="T443" s="1095">
        <f t="shared" si="167"/>
        <v>0</v>
      </c>
      <c r="U443" s="398">
        <f t="shared" si="168"/>
        <v>0</v>
      </c>
      <c r="V443" s="2913">
        <v>0</v>
      </c>
      <c r="W443" s="1095">
        <f t="shared" si="152"/>
        <v>0</v>
      </c>
      <c r="X443" s="1095">
        <f t="shared" si="153"/>
        <v>1710</v>
      </c>
      <c r="Y443" s="2909">
        <f t="shared" si="156"/>
        <v>1710</v>
      </c>
      <c r="Z443" s="2913">
        <v>0</v>
      </c>
      <c r="AA443" s="1095">
        <f t="shared" si="154"/>
        <v>0</v>
      </c>
      <c r="AB443" s="1095">
        <f t="shared" si="155"/>
        <v>0</v>
      </c>
      <c r="AC443" s="2909">
        <f t="shared" si="157"/>
        <v>0</v>
      </c>
    </row>
    <row r="444" spans="1:29">
      <c r="A444" s="1780" t="s">
        <v>4518</v>
      </c>
      <c r="B444" s="1780"/>
      <c r="C444" s="2901">
        <v>2065</v>
      </c>
      <c r="D444" s="2902">
        <f t="shared" si="158"/>
        <v>5.9007080849701968E-3</v>
      </c>
      <c r="E444" s="1083">
        <v>185850</v>
      </c>
      <c r="F444" s="2952">
        <f t="shared" si="159"/>
        <v>6.4968022344385331E-3</v>
      </c>
      <c r="G444" s="2903">
        <f t="shared" si="147"/>
        <v>185850</v>
      </c>
      <c r="H444" s="2903">
        <f t="shared" si="160"/>
        <v>0</v>
      </c>
      <c r="I444" s="2905">
        <f t="shared" si="148"/>
        <v>117705</v>
      </c>
      <c r="J444" s="1096">
        <v>40496</v>
      </c>
      <c r="K444" s="2479">
        <f t="shared" si="161"/>
        <v>1658716.1600000001</v>
      </c>
      <c r="L444" s="398">
        <f t="shared" si="149"/>
        <v>37170</v>
      </c>
      <c r="M444" s="1095">
        <f t="shared" si="150"/>
        <v>195371</v>
      </c>
      <c r="N444" s="2906">
        <f t="shared" si="151"/>
        <v>6.1491396133395984E-3</v>
      </c>
      <c r="O444" s="2907">
        <f t="shared" si="162"/>
        <v>2.4843152836940153E-4</v>
      </c>
      <c r="P444" s="2908">
        <f t="shared" si="163"/>
        <v>619500</v>
      </c>
      <c r="Q444" s="1095">
        <f t="shared" si="164"/>
        <v>169123.5</v>
      </c>
      <c r="R444" s="2909">
        <f t="shared" si="165"/>
        <v>788623.5</v>
      </c>
      <c r="S444" s="398">
        <f t="shared" si="166"/>
        <v>0</v>
      </c>
      <c r="T444" s="1095">
        <f t="shared" si="167"/>
        <v>0</v>
      </c>
      <c r="U444" s="398">
        <f t="shared" si="168"/>
        <v>0</v>
      </c>
      <c r="V444" s="2913">
        <v>0</v>
      </c>
      <c r="W444" s="1095">
        <f t="shared" si="152"/>
        <v>215438.72</v>
      </c>
      <c r="X444" s="1095">
        <f t="shared" si="153"/>
        <v>37170</v>
      </c>
      <c r="Y444" s="2909">
        <f t="shared" si="156"/>
        <v>252608.72</v>
      </c>
      <c r="Z444" s="2913">
        <v>0</v>
      </c>
      <c r="AA444" s="1095">
        <f t="shared" si="154"/>
        <v>116223.52</v>
      </c>
      <c r="AB444" s="1095">
        <f t="shared" si="155"/>
        <v>0</v>
      </c>
      <c r="AC444" s="2909">
        <f t="shared" si="157"/>
        <v>116223.52</v>
      </c>
    </row>
    <row r="445" spans="1:29">
      <c r="A445" s="1780" t="s">
        <v>4519</v>
      </c>
      <c r="B445" s="1780"/>
      <c r="C445" s="2901">
        <v>315</v>
      </c>
      <c r="D445" s="2902">
        <f t="shared" si="158"/>
        <v>9.0010801296155538E-4</v>
      </c>
      <c r="E445" s="1083">
        <v>28350</v>
      </c>
      <c r="F445" s="2952">
        <f t="shared" si="159"/>
        <v>9.9103762898214908E-4</v>
      </c>
      <c r="G445" s="2903">
        <f t="shared" si="147"/>
        <v>28350</v>
      </c>
      <c r="H445" s="2903">
        <f t="shared" si="160"/>
        <v>0</v>
      </c>
      <c r="I445" s="2905">
        <f t="shared" si="148"/>
        <v>17955</v>
      </c>
      <c r="J445" s="1096">
        <v>0</v>
      </c>
      <c r="K445" s="2479">
        <f t="shared" si="161"/>
        <v>0</v>
      </c>
      <c r="L445" s="398">
        <f t="shared" si="149"/>
        <v>5670</v>
      </c>
      <c r="M445" s="1095">
        <f t="shared" si="150"/>
        <v>23625</v>
      </c>
      <c r="N445" s="2906">
        <f t="shared" si="151"/>
        <v>7.4357721138320427E-4</v>
      </c>
      <c r="O445" s="2907">
        <f t="shared" si="162"/>
        <v>-1.5653080157835111E-4</v>
      </c>
      <c r="P445" s="2908">
        <f t="shared" si="163"/>
        <v>94500</v>
      </c>
      <c r="Q445" s="1095">
        <f t="shared" si="164"/>
        <v>25798.5</v>
      </c>
      <c r="R445" s="2909">
        <f t="shared" si="165"/>
        <v>120298.5</v>
      </c>
      <c r="S445" s="398">
        <f t="shared" si="166"/>
        <v>0</v>
      </c>
      <c r="T445" s="1095">
        <f t="shared" si="167"/>
        <v>0</v>
      </c>
      <c r="U445" s="398">
        <f t="shared" si="168"/>
        <v>0</v>
      </c>
      <c r="V445" s="2913">
        <v>0</v>
      </c>
      <c r="W445" s="1095">
        <f t="shared" si="152"/>
        <v>0</v>
      </c>
      <c r="X445" s="1095">
        <f t="shared" si="153"/>
        <v>5670</v>
      </c>
      <c r="Y445" s="2909">
        <f t="shared" si="156"/>
        <v>5670</v>
      </c>
      <c r="Z445" s="2913">
        <v>0</v>
      </c>
      <c r="AA445" s="1095">
        <f t="shared" si="154"/>
        <v>0</v>
      </c>
      <c r="AB445" s="1095">
        <f t="shared" si="155"/>
        <v>0</v>
      </c>
      <c r="AC445" s="2909">
        <f t="shared" si="157"/>
        <v>0</v>
      </c>
    </row>
    <row r="446" spans="1:29">
      <c r="A446" s="1780" t="s">
        <v>4520</v>
      </c>
      <c r="B446" s="1780"/>
      <c r="C446" s="2901">
        <v>185</v>
      </c>
      <c r="D446" s="2902">
        <f t="shared" si="158"/>
        <v>5.2863486475519925E-4</v>
      </c>
      <c r="E446" s="1083">
        <v>16650</v>
      </c>
      <c r="F446" s="2952">
        <f t="shared" si="159"/>
        <v>5.8203797257681779E-4</v>
      </c>
      <c r="G446" s="2903">
        <f t="shared" si="147"/>
        <v>16650</v>
      </c>
      <c r="H446" s="2903">
        <f t="shared" si="160"/>
        <v>0</v>
      </c>
      <c r="I446" s="2905">
        <f t="shared" si="148"/>
        <v>10545</v>
      </c>
      <c r="J446" s="1096">
        <v>0</v>
      </c>
      <c r="K446" s="2479">
        <f t="shared" si="161"/>
        <v>0</v>
      </c>
      <c r="L446" s="398">
        <f t="shared" si="149"/>
        <v>3330</v>
      </c>
      <c r="M446" s="1095">
        <f t="shared" si="150"/>
        <v>13875</v>
      </c>
      <c r="N446" s="2906">
        <f t="shared" si="151"/>
        <v>4.367040765266438E-4</v>
      </c>
      <c r="O446" s="2907">
        <f t="shared" si="162"/>
        <v>-9.1930788228555447E-5</v>
      </c>
      <c r="P446" s="2908">
        <f t="shared" si="163"/>
        <v>55500</v>
      </c>
      <c r="Q446" s="1095">
        <f t="shared" si="164"/>
        <v>15151.5</v>
      </c>
      <c r="R446" s="2909">
        <f t="shared" si="165"/>
        <v>70651.5</v>
      </c>
      <c r="S446" s="398">
        <f t="shared" si="166"/>
        <v>0</v>
      </c>
      <c r="T446" s="1095">
        <f t="shared" si="167"/>
        <v>0</v>
      </c>
      <c r="U446" s="398">
        <f t="shared" si="168"/>
        <v>0</v>
      </c>
      <c r="V446" s="2913">
        <v>0</v>
      </c>
      <c r="W446" s="1095">
        <f t="shared" si="152"/>
        <v>0</v>
      </c>
      <c r="X446" s="1095">
        <f t="shared" si="153"/>
        <v>3330</v>
      </c>
      <c r="Y446" s="2909">
        <f t="shared" si="156"/>
        <v>3330</v>
      </c>
      <c r="Z446" s="2913">
        <v>0</v>
      </c>
      <c r="AA446" s="1095">
        <f t="shared" si="154"/>
        <v>0</v>
      </c>
      <c r="AB446" s="1095">
        <f t="shared" si="155"/>
        <v>0</v>
      </c>
      <c r="AC446" s="2909">
        <f t="shared" si="157"/>
        <v>0</v>
      </c>
    </row>
    <row r="447" spans="1:29">
      <c r="A447" s="1780" t="s">
        <v>4521</v>
      </c>
      <c r="B447" s="1780"/>
      <c r="C447" s="2901">
        <v>65</v>
      </c>
      <c r="D447" s="2902">
        <f t="shared" si="158"/>
        <v>1.8573657410317809E-4</v>
      </c>
      <c r="E447" s="1083">
        <v>5850</v>
      </c>
      <c r="F447" s="2952">
        <f t="shared" si="159"/>
        <v>2.044998282026657E-4</v>
      </c>
      <c r="G447" s="2903">
        <f t="shared" si="147"/>
        <v>5850</v>
      </c>
      <c r="H447" s="2903">
        <f t="shared" si="160"/>
        <v>0</v>
      </c>
      <c r="I447" s="2905">
        <f t="shared" si="148"/>
        <v>3705</v>
      </c>
      <c r="J447" s="1096">
        <v>1529</v>
      </c>
      <c r="K447" s="2479">
        <f t="shared" si="161"/>
        <v>62627.840000000004</v>
      </c>
      <c r="L447" s="398">
        <f t="shared" si="149"/>
        <v>1170</v>
      </c>
      <c r="M447" s="1095">
        <f t="shared" si="150"/>
        <v>6404</v>
      </c>
      <c r="N447" s="2906">
        <f t="shared" si="151"/>
        <v>2.0156056980732447E-4</v>
      </c>
      <c r="O447" s="2907">
        <f t="shared" si="162"/>
        <v>1.5823995704146372E-5</v>
      </c>
      <c r="P447" s="2908">
        <f t="shared" si="163"/>
        <v>19500</v>
      </c>
      <c r="Q447" s="1095">
        <f t="shared" si="164"/>
        <v>5323.5</v>
      </c>
      <c r="R447" s="2909">
        <f t="shared" si="165"/>
        <v>24823.5</v>
      </c>
      <c r="S447" s="398">
        <f t="shared" si="166"/>
        <v>0</v>
      </c>
      <c r="T447" s="1095">
        <f t="shared" si="167"/>
        <v>0</v>
      </c>
      <c r="U447" s="398">
        <f t="shared" si="168"/>
        <v>0</v>
      </c>
      <c r="V447" s="2913">
        <v>0</v>
      </c>
      <c r="W447" s="1095">
        <f t="shared" si="152"/>
        <v>8134.2800000000007</v>
      </c>
      <c r="X447" s="1095">
        <f t="shared" si="153"/>
        <v>1170</v>
      </c>
      <c r="Y447" s="2909">
        <f t="shared" si="156"/>
        <v>9304.2800000000007</v>
      </c>
      <c r="Z447" s="2913">
        <v>0</v>
      </c>
      <c r="AA447" s="1095">
        <f t="shared" si="154"/>
        <v>4388.2300000000005</v>
      </c>
      <c r="AB447" s="1095">
        <f t="shared" si="155"/>
        <v>0</v>
      </c>
      <c r="AC447" s="2909">
        <f t="shared" si="157"/>
        <v>4388.2300000000005</v>
      </c>
    </row>
    <row r="448" spans="1:29">
      <c r="A448" s="1780" t="s">
        <v>4522</v>
      </c>
      <c r="B448" s="1780"/>
      <c r="C448" s="2901">
        <v>110</v>
      </c>
      <c r="D448" s="2902">
        <f t="shared" si="158"/>
        <v>3.14323433097686E-4</v>
      </c>
      <c r="E448" s="1083">
        <v>9900</v>
      </c>
      <c r="F448" s="2952">
        <f t="shared" si="159"/>
        <v>3.460766323429727E-4</v>
      </c>
      <c r="G448" s="2903">
        <f t="shared" si="147"/>
        <v>9900</v>
      </c>
      <c r="H448" s="2903">
        <f t="shared" si="160"/>
        <v>0</v>
      </c>
      <c r="I448" s="2905">
        <f t="shared" si="148"/>
        <v>6270</v>
      </c>
      <c r="J448" s="1096">
        <v>2253</v>
      </c>
      <c r="K448" s="2479">
        <f t="shared" si="161"/>
        <v>92282.880000000005</v>
      </c>
      <c r="L448" s="398">
        <f t="shared" si="149"/>
        <v>1980</v>
      </c>
      <c r="M448" s="1095">
        <f t="shared" si="150"/>
        <v>10503</v>
      </c>
      <c r="N448" s="2906">
        <f t="shared" si="151"/>
        <v>3.3057318311779027E-4</v>
      </c>
      <c r="O448" s="2907">
        <f t="shared" si="162"/>
        <v>1.6249750020104264E-5</v>
      </c>
      <c r="P448" s="2908">
        <f t="shared" si="163"/>
        <v>33000</v>
      </c>
      <c r="Q448" s="1095">
        <f t="shared" si="164"/>
        <v>9009</v>
      </c>
      <c r="R448" s="2909">
        <f t="shared" si="165"/>
        <v>42009</v>
      </c>
      <c r="S448" s="398">
        <f t="shared" si="166"/>
        <v>0</v>
      </c>
      <c r="T448" s="1095">
        <f t="shared" si="167"/>
        <v>0</v>
      </c>
      <c r="U448" s="398">
        <f t="shared" si="168"/>
        <v>0</v>
      </c>
      <c r="V448" s="2913">
        <v>0</v>
      </c>
      <c r="W448" s="1095">
        <f t="shared" si="152"/>
        <v>11985.960000000001</v>
      </c>
      <c r="X448" s="1095">
        <f t="shared" si="153"/>
        <v>1980</v>
      </c>
      <c r="Y448" s="2909">
        <f t="shared" si="156"/>
        <v>13965.960000000001</v>
      </c>
      <c r="Z448" s="2913">
        <v>0</v>
      </c>
      <c r="AA448" s="1095">
        <f t="shared" si="154"/>
        <v>6466.1100000000006</v>
      </c>
      <c r="AB448" s="1095">
        <f t="shared" si="155"/>
        <v>0</v>
      </c>
      <c r="AC448" s="2909">
        <f t="shared" si="157"/>
        <v>6466.1100000000006</v>
      </c>
    </row>
    <row r="449" spans="1:29">
      <c r="A449" s="1780" t="s">
        <v>4523</v>
      </c>
      <c r="B449" s="1780"/>
      <c r="C449" s="2901">
        <v>190</v>
      </c>
      <c r="D449" s="2902">
        <f t="shared" si="158"/>
        <v>5.4292229353236675E-4</v>
      </c>
      <c r="E449" s="1083">
        <v>17100</v>
      </c>
      <c r="F449" s="2952">
        <f t="shared" si="159"/>
        <v>5.9776872859240737E-4</v>
      </c>
      <c r="G449" s="2903">
        <f t="shared" si="147"/>
        <v>17100</v>
      </c>
      <c r="H449" s="2903">
        <f t="shared" si="160"/>
        <v>0</v>
      </c>
      <c r="I449" s="2905">
        <f t="shared" si="148"/>
        <v>10830</v>
      </c>
      <c r="J449" s="1096">
        <v>3313</v>
      </c>
      <c r="K449" s="2479">
        <f t="shared" si="161"/>
        <v>135700.48000000001</v>
      </c>
      <c r="L449" s="398">
        <f t="shared" si="149"/>
        <v>3420</v>
      </c>
      <c r="M449" s="1095">
        <f t="shared" si="150"/>
        <v>17563</v>
      </c>
      <c r="N449" s="2906">
        <f t="shared" si="151"/>
        <v>5.5278080692161764E-4</v>
      </c>
      <c r="O449" s="2907">
        <f t="shared" si="162"/>
        <v>9.8585133892508834E-6</v>
      </c>
      <c r="P449" s="2908">
        <f t="shared" si="163"/>
        <v>57000</v>
      </c>
      <c r="Q449" s="1095">
        <f t="shared" si="164"/>
        <v>15561</v>
      </c>
      <c r="R449" s="2909">
        <f t="shared" si="165"/>
        <v>72561</v>
      </c>
      <c r="S449" s="398">
        <f t="shared" si="166"/>
        <v>0</v>
      </c>
      <c r="T449" s="1095">
        <f t="shared" si="167"/>
        <v>0</v>
      </c>
      <c r="U449" s="398">
        <f t="shared" si="168"/>
        <v>0</v>
      </c>
      <c r="V449" s="2913">
        <v>0</v>
      </c>
      <c r="W449" s="1095">
        <f t="shared" si="152"/>
        <v>17625.16</v>
      </c>
      <c r="X449" s="1095">
        <f t="shared" si="153"/>
        <v>3420</v>
      </c>
      <c r="Y449" s="2909">
        <f t="shared" si="156"/>
        <v>21045.16</v>
      </c>
      <c r="Z449" s="2913">
        <v>0</v>
      </c>
      <c r="AA449" s="1095">
        <f t="shared" si="154"/>
        <v>9508.31</v>
      </c>
      <c r="AB449" s="1095">
        <f t="shared" si="155"/>
        <v>0</v>
      </c>
      <c r="AC449" s="2909">
        <f t="shared" si="157"/>
        <v>9508.31</v>
      </c>
    </row>
    <row r="450" spans="1:29">
      <c r="A450" s="1780" t="s">
        <v>4524</v>
      </c>
      <c r="B450" s="1780"/>
      <c r="C450" s="2901">
        <v>560</v>
      </c>
      <c r="D450" s="2902">
        <f t="shared" si="158"/>
        <v>1.600192023042765E-3</v>
      </c>
      <c r="E450" s="1083">
        <v>50400</v>
      </c>
      <c r="F450" s="2952">
        <f t="shared" si="159"/>
        <v>1.7618446737460429E-3</v>
      </c>
      <c r="G450" s="2903">
        <f t="shared" ref="G450:G513" si="169">C450*90</f>
        <v>50400</v>
      </c>
      <c r="H450" s="2903">
        <f t="shared" si="160"/>
        <v>0</v>
      </c>
      <c r="I450" s="2905">
        <f t="shared" ref="I450:I513" si="170">C450*57</f>
        <v>31920</v>
      </c>
      <c r="J450" s="1096">
        <v>13181</v>
      </c>
      <c r="K450" s="2479">
        <f t="shared" si="161"/>
        <v>539893.76000000001</v>
      </c>
      <c r="L450" s="398">
        <f t="shared" ref="L450:L513" si="171">E450/5</f>
        <v>10080</v>
      </c>
      <c r="M450" s="1095">
        <f t="shared" ref="M450:M513" si="172">I450+J450+L450</f>
        <v>55181</v>
      </c>
      <c r="N450" s="2906">
        <f t="shared" ref="N450:N513" si="173">M450/$M$612</f>
        <v>1.7367760466174222E-3</v>
      </c>
      <c r="O450" s="2907">
        <f t="shared" si="162"/>
        <v>1.3658402357465712E-4</v>
      </c>
      <c r="P450" s="2908">
        <f t="shared" si="163"/>
        <v>168000</v>
      </c>
      <c r="Q450" s="1095">
        <f t="shared" si="164"/>
        <v>45864</v>
      </c>
      <c r="R450" s="2909">
        <f t="shared" si="165"/>
        <v>213864</v>
      </c>
      <c r="S450" s="398">
        <f t="shared" si="166"/>
        <v>0</v>
      </c>
      <c r="T450" s="1095">
        <f t="shared" si="167"/>
        <v>0</v>
      </c>
      <c r="U450" s="398">
        <f t="shared" si="168"/>
        <v>0</v>
      </c>
      <c r="V450" s="2913">
        <v>0</v>
      </c>
      <c r="W450" s="1095">
        <f t="shared" ref="W450:W513" si="174">J450*5.32</f>
        <v>70122.92</v>
      </c>
      <c r="X450" s="1095">
        <f t="shared" ref="X450:X513" si="175">L450*1</f>
        <v>10080</v>
      </c>
      <c r="Y450" s="2909">
        <f t="shared" si="156"/>
        <v>80202.92</v>
      </c>
      <c r="Z450" s="2913">
        <v>0</v>
      </c>
      <c r="AA450" s="1095">
        <f t="shared" ref="AA450:AA513" si="176">J450*2.87</f>
        <v>37829.47</v>
      </c>
      <c r="AB450" s="1095">
        <f t="shared" ref="AB450:AB513" si="177">L450*0</f>
        <v>0</v>
      </c>
      <c r="AC450" s="2909">
        <f t="shared" si="157"/>
        <v>37829.47</v>
      </c>
    </row>
    <row r="451" spans="1:29">
      <c r="A451" s="1780" t="s">
        <v>4525</v>
      </c>
      <c r="B451" s="1780"/>
      <c r="C451" s="2901">
        <v>105</v>
      </c>
      <c r="D451" s="2902">
        <f t="shared" si="158"/>
        <v>3.0003600432051844E-4</v>
      </c>
      <c r="E451" s="1083">
        <v>9450</v>
      </c>
      <c r="F451" s="2952">
        <f t="shared" si="159"/>
        <v>3.3034587632738306E-4</v>
      </c>
      <c r="G451" s="2903">
        <f t="shared" si="169"/>
        <v>9450</v>
      </c>
      <c r="H451" s="2903">
        <f t="shared" si="160"/>
        <v>0</v>
      </c>
      <c r="I451" s="2905">
        <f t="shared" si="170"/>
        <v>5985</v>
      </c>
      <c r="J451" s="1096">
        <v>0</v>
      </c>
      <c r="K451" s="2479">
        <f t="shared" si="161"/>
        <v>0</v>
      </c>
      <c r="L451" s="398">
        <f t="shared" si="171"/>
        <v>1890</v>
      </c>
      <c r="M451" s="1095">
        <f t="shared" si="172"/>
        <v>7875</v>
      </c>
      <c r="N451" s="2906">
        <f t="shared" si="173"/>
        <v>2.4785907046106809E-4</v>
      </c>
      <c r="O451" s="2907">
        <f t="shared" si="162"/>
        <v>-5.2176933859450351E-5</v>
      </c>
      <c r="P451" s="2908">
        <f t="shared" si="163"/>
        <v>31500</v>
      </c>
      <c r="Q451" s="1095">
        <f t="shared" si="164"/>
        <v>8599.5</v>
      </c>
      <c r="R451" s="2909">
        <f t="shared" si="165"/>
        <v>40099.5</v>
      </c>
      <c r="S451" s="398">
        <f t="shared" si="166"/>
        <v>0</v>
      </c>
      <c r="T451" s="1095">
        <f t="shared" si="167"/>
        <v>0</v>
      </c>
      <c r="U451" s="398">
        <f t="shared" si="168"/>
        <v>0</v>
      </c>
      <c r="V451" s="2913">
        <v>0</v>
      </c>
      <c r="W451" s="1095">
        <f t="shared" si="174"/>
        <v>0</v>
      </c>
      <c r="X451" s="1095">
        <f t="shared" si="175"/>
        <v>1890</v>
      </c>
      <c r="Y451" s="2909">
        <f t="shared" ref="Y451:Y514" si="178">SUM(V451:X451)</f>
        <v>1890</v>
      </c>
      <c r="Z451" s="2913">
        <v>0</v>
      </c>
      <c r="AA451" s="1095">
        <f t="shared" si="176"/>
        <v>0</v>
      </c>
      <c r="AB451" s="1095">
        <f t="shared" si="177"/>
        <v>0</v>
      </c>
      <c r="AC451" s="2909">
        <f t="shared" ref="AC451:AC514" si="179">SUM(Z451:AB451)</f>
        <v>0</v>
      </c>
    </row>
    <row r="452" spans="1:29">
      <c r="A452" s="1780" t="s">
        <v>4526</v>
      </c>
      <c r="B452" s="1780"/>
      <c r="C452" s="2901">
        <v>155</v>
      </c>
      <c r="D452" s="2902">
        <f t="shared" si="158"/>
        <v>4.4291029209219394E-4</v>
      </c>
      <c r="E452" s="1083">
        <v>13950</v>
      </c>
      <c r="F452" s="2952">
        <f t="shared" si="159"/>
        <v>4.8765343648327975E-4</v>
      </c>
      <c r="G452" s="2903">
        <f t="shared" si="169"/>
        <v>13950</v>
      </c>
      <c r="H452" s="2903">
        <f t="shared" si="160"/>
        <v>0</v>
      </c>
      <c r="I452" s="2905">
        <f t="shared" si="170"/>
        <v>8835</v>
      </c>
      <c r="J452" s="1096">
        <v>2703</v>
      </c>
      <c r="K452" s="2479">
        <f t="shared" si="161"/>
        <v>110714.88</v>
      </c>
      <c r="L452" s="398">
        <f t="shared" si="171"/>
        <v>2790</v>
      </c>
      <c r="M452" s="1095">
        <f t="shared" si="172"/>
        <v>14328</v>
      </c>
      <c r="N452" s="2906">
        <f t="shared" si="173"/>
        <v>4.5096187448459476E-4</v>
      </c>
      <c r="O452" s="2907">
        <f t="shared" si="162"/>
        <v>8.05158239240082E-6</v>
      </c>
      <c r="P452" s="2908">
        <f t="shared" si="163"/>
        <v>46500</v>
      </c>
      <c r="Q452" s="1095">
        <f t="shared" si="164"/>
        <v>12694.5</v>
      </c>
      <c r="R452" s="2909">
        <f t="shared" si="165"/>
        <v>59194.5</v>
      </c>
      <c r="S452" s="398">
        <f t="shared" si="166"/>
        <v>0</v>
      </c>
      <c r="T452" s="1095">
        <f t="shared" si="167"/>
        <v>0</v>
      </c>
      <c r="U452" s="398">
        <f t="shared" si="168"/>
        <v>0</v>
      </c>
      <c r="V452" s="2913">
        <v>0</v>
      </c>
      <c r="W452" s="1095">
        <f t="shared" si="174"/>
        <v>14379.960000000001</v>
      </c>
      <c r="X452" s="1095">
        <f t="shared" si="175"/>
        <v>2790</v>
      </c>
      <c r="Y452" s="2909">
        <f t="shared" si="178"/>
        <v>17169.96</v>
      </c>
      <c r="Z452" s="2913">
        <v>0</v>
      </c>
      <c r="AA452" s="1095">
        <f t="shared" si="176"/>
        <v>7757.6100000000006</v>
      </c>
      <c r="AB452" s="1095">
        <f t="shared" si="177"/>
        <v>0</v>
      </c>
      <c r="AC452" s="2909">
        <f t="shared" si="179"/>
        <v>7757.6100000000006</v>
      </c>
    </row>
    <row r="453" spans="1:29">
      <c r="A453" s="1780" t="s">
        <v>4527</v>
      </c>
      <c r="B453" s="1780"/>
      <c r="C453" s="2901">
        <v>85</v>
      </c>
      <c r="D453" s="2902">
        <f t="shared" si="158"/>
        <v>2.4288628921184828E-4</v>
      </c>
      <c r="E453" s="1083">
        <v>7650</v>
      </c>
      <c r="F453" s="2952">
        <f t="shared" si="159"/>
        <v>2.6742285226502436E-4</v>
      </c>
      <c r="G453" s="2903">
        <f t="shared" si="169"/>
        <v>7650</v>
      </c>
      <c r="H453" s="2903">
        <f t="shared" si="160"/>
        <v>0</v>
      </c>
      <c r="I453" s="2905">
        <f t="shared" si="170"/>
        <v>4845</v>
      </c>
      <c r="J453" s="1096">
        <v>1482</v>
      </c>
      <c r="K453" s="2479">
        <f t="shared" si="161"/>
        <v>60702.720000000001</v>
      </c>
      <c r="L453" s="398">
        <f t="shared" si="171"/>
        <v>1530</v>
      </c>
      <c r="M453" s="1095">
        <f t="shared" si="172"/>
        <v>7857</v>
      </c>
      <c r="N453" s="2906">
        <f t="shared" si="173"/>
        <v>2.4729253544287139E-4</v>
      </c>
      <c r="O453" s="2907">
        <f t="shared" si="162"/>
        <v>4.4062462310231045E-6</v>
      </c>
      <c r="P453" s="2908">
        <f t="shared" si="163"/>
        <v>25500</v>
      </c>
      <c r="Q453" s="1095">
        <f t="shared" si="164"/>
        <v>6961.5</v>
      </c>
      <c r="R453" s="2909">
        <f t="shared" si="165"/>
        <v>32461.5</v>
      </c>
      <c r="S453" s="398">
        <f t="shared" si="166"/>
        <v>0</v>
      </c>
      <c r="T453" s="1095">
        <f t="shared" si="167"/>
        <v>0</v>
      </c>
      <c r="U453" s="398">
        <f t="shared" si="168"/>
        <v>0</v>
      </c>
      <c r="V453" s="2913">
        <v>0</v>
      </c>
      <c r="W453" s="1095">
        <f t="shared" si="174"/>
        <v>7884.2400000000007</v>
      </c>
      <c r="X453" s="1095">
        <f t="shared" si="175"/>
        <v>1530</v>
      </c>
      <c r="Y453" s="2909">
        <f t="shared" si="178"/>
        <v>9414.2400000000016</v>
      </c>
      <c r="Z453" s="2913">
        <v>0</v>
      </c>
      <c r="AA453" s="1095">
        <f t="shared" si="176"/>
        <v>4253.34</v>
      </c>
      <c r="AB453" s="1095">
        <f t="shared" si="177"/>
        <v>0</v>
      </c>
      <c r="AC453" s="2909">
        <f t="shared" si="179"/>
        <v>4253.34</v>
      </c>
    </row>
    <row r="454" spans="1:29">
      <c r="A454" s="1780" t="s">
        <v>4528</v>
      </c>
      <c r="B454" s="1780"/>
      <c r="C454" s="2901">
        <v>400</v>
      </c>
      <c r="D454" s="2902">
        <f t="shared" ref="D454:D517" si="180">C454/349958</f>
        <v>1.1429943021734037E-3</v>
      </c>
      <c r="E454" s="1083">
        <v>36000</v>
      </c>
      <c r="F454" s="2952">
        <f t="shared" ref="F454:F517" si="181">E454/$E$612</f>
        <v>1.2584604812471735E-3</v>
      </c>
      <c r="G454" s="2903">
        <f t="shared" si="169"/>
        <v>36000</v>
      </c>
      <c r="H454" s="2903">
        <f t="shared" ref="H454:H517" si="182">E454-G454</f>
        <v>0</v>
      </c>
      <c r="I454" s="2905">
        <f t="shared" si="170"/>
        <v>22800</v>
      </c>
      <c r="J454" s="1096">
        <v>6976</v>
      </c>
      <c r="K454" s="2479">
        <f t="shared" si="161"/>
        <v>285736.96000000002</v>
      </c>
      <c r="L454" s="398">
        <f t="shared" si="171"/>
        <v>7200</v>
      </c>
      <c r="M454" s="1095">
        <f t="shared" si="172"/>
        <v>36976</v>
      </c>
      <c r="N454" s="2906">
        <f t="shared" si="173"/>
        <v>1.1637888240467879E-3</v>
      </c>
      <c r="O454" s="2907">
        <f t="shared" si="162"/>
        <v>2.0794521873384111E-5</v>
      </c>
      <c r="P454" s="2908">
        <f t="shared" si="163"/>
        <v>120000</v>
      </c>
      <c r="Q454" s="1095">
        <f t="shared" si="164"/>
        <v>32760</v>
      </c>
      <c r="R454" s="2909">
        <f t="shared" si="165"/>
        <v>152760</v>
      </c>
      <c r="S454" s="398">
        <f t="shared" si="166"/>
        <v>0</v>
      </c>
      <c r="T454" s="1095">
        <f t="shared" si="167"/>
        <v>0</v>
      </c>
      <c r="U454" s="398">
        <f t="shared" si="168"/>
        <v>0</v>
      </c>
      <c r="V454" s="2913">
        <v>0</v>
      </c>
      <c r="W454" s="1095">
        <f t="shared" si="174"/>
        <v>37112.32</v>
      </c>
      <c r="X454" s="1095">
        <f t="shared" si="175"/>
        <v>7200</v>
      </c>
      <c r="Y454" s="2909">
        <f t="shared" si="178"/>
        <v>44312.32</v>
      </c>
      <c r="Z454" s="2913">
        <v>0</v>
      </c>
      <c r="AA454" s="1095">
        <f t="shared" si="176"/>
        <v>20021.12</v>
      </c>
      <c r="AB454" s="1095">
        <f t="shared" si="177"/>
        <v>0</v>
      </c>
      <c r="AC454" s="2909">
        <f t="shared" si="179"/>
        <v>20021.12</v>
      </c>
    </row>
    <row r="455" spans="1:29">
      <c r="A455" s="1780" t="s">
        <v>4529</v>
      </c>
      <c r="B455" s="1780"/>
      <c r="C455" s="2901">
        <v>300</v>
      </c>
      <c r="D455" s="2902">
        <f t="shared" si="180"/>
        <v>8.5724572663005275E-4</v>
      </c>
      <c r="E455" s="1083">
        <v>27000</v>
      </c>
      <c r="F455" s="2952">
        <f t="shared" si="181"/>
        <v>9.4384536093538012E-4</v>
      </c>
      <c r="G455" s="2903">
        <f t="shared" si="169"/>
        <v>27000</v>
      </c>
      <c r="H455" s="2903">
        <f t="shared" si="182"/>
        <v>0</v>
      </c>
      <c r="I455" s="2905">
        <f t="shared" si="170"/>
        <v>17100</v>
      </c>
      <c r="J455" s="1096">
        <v>5232</v>
      </c>
      <c r="K455" s="2479">
        <f t="shared" ref="K455:K518" si="183">J455*40.96</f>
        <v>214302.72</v>
      </c>
      <c r="L455" s="398">
        <f t="shared" si="171"/>
        <v>5400</v>
      </c>
      <c r="M455" s="1095">
        <f t="shared" si="172"/>
        <v>27732</v>
      </c>
      <c r="N455" s="2906">
        <f t="shared" si="173"/>
        <v>8.7284161803509095E-4</v>
      </c>
      <c r="O455" s="2907">
        <f t="shared" ref="O455:O518" si="184">N455-D455</f>
        <v>1.5595891405038192E-5</v>
      </c>
      <c r="P455" s="2908">
        <f t="shared" ref="P455:P518" si="185">C455*300</f>
        <v>90000</v>
      </c>
      <c r="Q455" s="1095">
        <f t="shared" ref="Q455:Q518" si="186">E455*0.91</f>
        <v>24570</v>
      </c>
      <c r="R455" s="2909">
        <f t="shared" ref="R455:R518" si="187">SUM(P455:Q455)</f>
        <v>114570</v>
      </c>
      <c r="S455" s="398">
        <f t="shared" ref="S455:S518" si="188">C455*0</f>
        <v>0</v>
      </c>
      <c r="T455" s="1095">
        <f t="shared" ref="T455:T518" si="189">E455*0</f>
        <v>0</v>
      </c>
      <c r="U455" s="398">
        <f t="shared" ref="U455:U518" si="190">SUM(S455:T455)</f>
        <v>0</v>
      </c>
      <c r="V455" s="2913">
        <v>0</v>
      </c>
      <c r="W455" s="1095">
        <f t="shared" si="174"/>
        <v>27834.240000000002</v>
      </c>
      <c r="X455" s="1095">
        <f t="shared" si="175"/>
        <v>5400</v>
      </c>
      <c r="Y455" s="2909">
        <f t="shared" si="178"/>
        <v>33234.240000000005</v>
      </c>
      <c r="Z455" s="2913">
        <v>0</v>
      </c>
      <c r="AA455" s="1095">
        <f t="shared" si="176"/>
        <v>15015.84</v>
      </c>
      <c r="AB455" s="1095">
        <f t="shared" si="177"/>
        <v>0</v>
      </c>
      <c r="AC455" s="2909">
        <f t="shared" si="179"/>
        <v>15015.84</v>
      </c>
    </row>
    <row r="456" spans="1:29">
      <c r="A456" s="1780" t="s">
        <v>4530</v>
      </c>
      <c r="B456" s="1780"/>
      <c r="C456" s="2901">
        <v>105</v>
      </c>
      <c r="D456" s="2902">
        <f t="shared" si="180"/>
        <v>3.0003600432051844E-4</v>
      </c>
      <c r="E456" s="1083">
        <v>9450</v>
      </c>
      <c r="F456" s="2952">
        <f t="shared" si="181"/>
        <v>3.3034587632738306E-4</v>
      </c>
      <c r="G456" s="2903">
        <f t="shared" si="169"/>
        <v>9450</v>
      </c>
      <c r="H456" s="2903">
        <f t="shared" si="182"/>
        <v>0</v>
      </c>
      <c r="I456" s="2905">
        <f t="shared" si="170"/>
        <v>5985</v>
      </c>
      <c r="J456" s="1096">
        <v>1830.9999999999998</v>
      </c>
      <c r="K456" s="2479">
        <f t="shared" si="183"/>
        <v>74997.759999999995</v>
      </c>
      <c r="L456" s="398">
        <f t="shared" si="171"/>
        <v>1890</v>
      </c>
      <c r="M456" s="1095">
        <f t="shared" si="172"/>
        <v>9706</v>
      </c>
      <c r="N456" s="2906">
        <f t="shared" si="173"/>
        <v>3.054882714787463E-4</v>
      </c>
      <c r="O456" s="2907">
        <f t="shared" si="184"/>
        <v>5.4522671582278603E-6</v>
      </c>
      <c r="P456" s="2908">
        <f t="shared" si="185"/>
        <v>31500</v>
      </c>
      <c r="Q456" s="1095">
        <f t="shared" si="186"/>
        <v>8599.5</v>
      </c>
      <c r="R456" s="2909">
        <f t="shared" si="187"/>
        <v>40099.5</v>
      </c>
      <c r="S456" s="398">
        <f t="shared" si="188"/>
        <v>0</v>
      </c>
      <c r="T456" s="1095">
        <f t="shared" si="189"/>
        <v>0</v>
      </c>
      <c r="U456" s="398">
        <f t="shared" si="190"/>
        <v>0</v>
      </c>
      <c r="V456" s="2913">
        <v>0</v>
      </c>
      <c r="W456" s="1095">
        <f t="shared" si="174"/>
        <v>9740.92</v>
      </c>
      <c r="X456" s="1095">
        <f t="shared" si="175"/>
        <v>1890</v>
      </c>
      <c r="Y456" s="2909">
        <f t="shared" si="178"/>
        <v>11630.92</v>
      </c>
      <c r="Z456" s="2913">
        <v>0</v>
      </c>
      <c r="AA456" s="1095">
        <f t="shared" si="176"/>
        <v>5254.9699999999993</v>
      </c>
      <c r="AB456" s="1095">
        <f t="shared" si="177"/>
        <v>0</v>
      </c>
      <c r="AC456" s="2909">
        <f t="shared" si="179"/>
        <v>5254.9699999999993</v>
      </c>
    </row>
    <row r="457" spans="1:29">
      <c r="A457" s="1780" t="s">
        <v>4531</v>
      </c>
      <c r="B457" s="1780"/>
      <c r="C457" s="2901">
        <v>180</v>
      </c>
      <c r="D457" s="2902">
        <f t="shared" si="180"/>
        <v>5.1434743597803163E-4</v>
      </c>
      <c r="E457" s="1083">
        <v>16200</v>
      </c>
      <c r="F457" s="2952">
        <f t="shared" si="181"/>
        <v>5.6630721656122809E-4</v>
      </c>
      <c r="G457" s="2903">
        <f t="shared" si="169"/>
        <v>16200</v>
      </c>
      <c r="H457" s="2903">
        <f t="shared" si="182"/>
        <v>0</v>
      </c>
      <c r="I457" s="2905">
        <f t="shared" si="170"/>
        <v>10260</v>
      </c>
      <c r="J457" s="1096">
        <v>4236</v>
      </c>
      <c r="K457" s="2479">
        <f t="shared" si="183"/>
        <v>173506.56</v>
      </c>
      <c r="L457" s="398">
        <f t="shared" si="171"/>
        <v>3240</v>
      </c>
      <c r="M457" s="1095">
        <f t="shared" si="172"/>
        <v>17736</v>
      </c>
      <c r="N457" s="2906">
        <f t="shared" si="173"/>
        <v>5.5822583792984181E-4</v>
      </c>
      <c r="O457" s="2907">
        <f t="shared" si="184"/>
        <v>4.3878401951810177E-5</v>
      </c>
      <c r="P457" s="2908">
        <f t="shared" si="185"/>
        <v>54000</v>
      </c>
      <c r="Q457" s="1095">
        <f t="shared" si="186"/>
        <v>14742</v>
      </c>
      <c r="R457" s="2909">
        <f t="shared" si="187"/>
        <v>68742</v>
      </c>
      <c r="S457" s="398">
        <f t="shared" si="188"/>
        <v>0</v>
      </c>
      <c r="T457" s="1095">
        <f t="shared" si="189"/>
        <v>0</v>
      </c>
      <c r="U457" s="398">
        <f t="shared" si="190"/>
        <v>0</v>
      </c>
      <c r="V457" s="2913">
        <v>0</v>
      </c>
      <c r="W457" s="1095">
        <f t="shared" si="174"/>
        <v>22535.52</v>
      </c>
      <c r="X457" s="1095">
        <f t="shared" si="175"/>
        <v>3240</v>
      </c>
      <c r="Y457" s="2909">
        <f t="shared" si="178"/>
        <v>25775.52</v>
      </c>
      <c r="Z457" s="2913">
        <v>0</v>
      </c>
      <c r="AA457" s="1095">
        <f t="shared" si="176"/>
        <v>12157.32</v>
      </c>
      <c r="AB457" s="1095">
        <f t="shared" si="177"/>
        <v>0</v>
      </c>
      <c r="AC457" s="2909">
        <f t="shared" si="179"/>
        <v>12157.32</v>
      </c>
    </row>
    <row r="458" spans="1:29">
      <c r="A458" s="1780" t="s">
        <v>4532</v>
      </c>
      <c r="B458" s="1780"/>
      <c r="C458" s="2901">
        <v>140</v>
      </c>
      <c r="D458" s="2902">
        <f t="shared" si="180"/>
        <v>4.0004800576069126E-4</v>
      </c>
      <c r="E458" s="1083">
        <v>12600</v>
      </c>
      <c r="F458" s="2952">
        <f t="shared" si="181"/>
        <v>4.4046116843651073E-4</v>
      </c>
      <c r="G458" s="2903">
        <f t="shared" si="169"/>
        <v>12600</v>
      </c>
      <c r="H458" s="2903">
        <f t="shared" si="182"/>
        <v>0</v>
      </c>
      <c r="I458" s="2905">
        <f t="shared" si="170"/>
        <v>7980</v>
      </c>
      <c r="J458" s="1096">
        <v>0</v>
      </c>
      <c r="K458" s="2479">
        <f t="shared" si="183"/>
        <v>0</v>
      </c>
      <c r="L458" s="398">
        <f t="shared" si="171"/>
        <v>2520</v>
      </c>
      <c r="M458" s="1095">
        <f t="shared" si="172"/>
        <v>10500</v>
      </c>
      <c r="N458" s="2906">
        <f t="shared" si="173"/>
        <v>3.3047876061475747E-4</v>
      </c>
      <c r="O458" s="2907">
        <f t="shared" si="184"/>
        <v>-6.9569245145933783E-5</v>
      </c>
      <c r="P458" s="2908">
        <f t="shared" si="185"/>
        <v>42000</v>
      </c>
      <c r="Q458" s="1095">
        <f t="shared" si="186"/>
        <v>11466</v>
      </c>
      <c r="R458" s="2909">
        <f t="shared" si="187"/>
        <v>53466</v>
      </c>
      <c r="S458" s="398">
        <f t="shared" si="188"/>
        <v>0</v>
      </c>
      <c r="T458" s="1095">
        <f t="shared" si="189"/>
        <v>0</v>
      </c>
      <c r="U458" s="398">
        <f t="shared" si="190"/>
        <v>0</v>
      </c>
      <c r="V458" s="2913">
        <v>0</v>
      </c>
      <c r="W458" s="1095">
        <f t="shared" si="174"/>
        <v>0</v>
      </c>
      <c r="X458" s="1095">
        <f t="shared" si="175"/>
        <v>2520</v>
      </c>
      <c r="Y458" s="2909">
        <f t="shared" si="178"/>
        <v>2520</v>
      </c>
      <c r="Z458" s="2913">
        <v>0</v>
      </c>
      <c r="AA458" s="1095">
        <f t="shared" si="176"/>
        <v>0</v>
      </c>
      <c r="AB458" s="1095">
        <f t="shared" si="177"/>
        <v>0</v>
      </c>
      <c r="AC458" s="2909">
        <f t="shared" si="179"/>
        <v>0</v>
      </c>
    </row>
    <row r="459" spans="1:29">
      <c r="A459" s="1780" t="s">
        <v>4533</v>
      </c>
      <c r="B459" s="1780"/>
      <c r="C459" s="2901">
        <v>250</v>
      </c>
      <c r="D459" s="2902">
        <f t="shared" si="180"/>
        <v>7.1437143885837726E-4</v>
      </c>
      <c r="E459" s="1083">
        <v>22500</v>
      </c>
      <c r="F459" s="2952">
        <f t="shared" si="181"/>
        <v>7.8653780077948343E-4</v>
      </c>
      <c r="G459" s="2903">
        <f t="shared" si="169"/>
        <v>22500</v>
      </c>
      <c r="H459" s="2903">
        <f t="shared" si="182"/>
        <v>0</v>
      </c>
      <c r="I459" s="2905">
        <f t="shared" si="170"/>
        <v>14250</v>
      </c>
      <c r="J459" s="1096">
        <v>4360</v>
      </c>
      <c r="K459" s="2479">
        <f t="shared" si="183"/>
        <v>178585.60000000001</v>
      </c>
      <c r="L459" s="398">
        <f t="shared" si="171"/>
        <v>4500</v>
      </c>
      <c r="M459" s="1095">
        <f t="shared" si="172"/>
        <v>23110</v>
      </c>
      <c r="N459" s="2906">
        <f t="shared" si="173"/>
        <v>7.2736801502924244E-4</v>
      </c>
      <c r="O459" s="2907">
        <f t="shared" si="184"/>
        <v>1.2996576170865178E-5</v>
      </c>
      <c r="P459" s="2908">
        <f t="shared" si="185"/>
        <v>75000</v>
      </c>
      <c r="Q459" s="1095">
        <f t="shared" si="186"/>
        <v>20475</v>
      </c>
      <c r="R459" s="2909">
        <f t="shared" si="187"/>
        <v>95475</v>
      </c>
      <c r="S459" s="398">
        <f t="shared" si="188"/>
        <v>0</v>
      </c>
      <c r="T459" s="1095">
        <f t="shared" si="189"/>
        <v>0</v>
      </c>
      <c r="U459" s="398">
        <f t="shared" si="190"/>
        <v>0</v>
      </c>
      <c r="V459" s="2913">
        <v>0</v>
      </c>
      <c r="W459" s="1095">
        <f t="shared" si="174"/>
        <v>23195.200000000001</v>
      </c>
      <c r="X459" s="1095">
        <f t="shared" si="175"/>
        <v>4500</v>
      </c>
      <c r="Y459" s="2909">
        <f t="shared" si="178"/>
        <v>27695.200000000001</v>
      </c>
      <c r="Z459" s="2913">
        <v>0</v>
      </c>
      <c r="AA459" s="1095">
        <f t="shared" si="176"/>
        <v>12513.2</v>
      </c>
      <c r="AB459" s="1095">
        <f t="shared" si="177"/>
        <v>0</v>
      </c>
      <c r="AC459" s="2909">
        <f t="shared" si="179"/>
        <v>12513.2</v>
      </c>
    </row>
    <row r="460" spans="1:29">
      <c r="A460" s="1780" t="s">
        <v>4534</v>
      </c>
      <c r="B460" s="1780"/>
      <c r="C460" s="2901">
        <v>100</v>
      </c>
      <c r="D460" s="2902">
        <f t="shared" si="180"/>
        <v>2.8574857554335094E-4</v>
      </c>
      <c r="E460" s="1083">
        <v>9000</v>
      </c>
      <c r="F460" s="2952">
        <f t="shared" si="181"/>
        <v>3.1461512031179337E-4</v>
      </c>
      <c r="G460" s="2903">
        <f t="shared" si="169"/>
        <v>9000</v>
      </c>
      <c r="H460" s="2903">
        <f t="shared" si="182"/>
        <v>0</v>
      </c>
      <c r="I460" s="2905">
        <f t="shared" si="170"/>
        <v>5700</v>
      </c>
      <c r="J460" s="1096">
        <v>1744</v>
      </c>
      <c r="K460" s="2479">
        <f t="shared" si="183"/>
        <v>71434.240000000005</v>
      </c>
      <c r="L460" s="398">
        <f t="shared" si="171"/>
        <v>1800</v>
      </c>
      <c r="M460" s="1095">
        <f t="shared" si="172"/>
        <v>9244</v>
      </c>
      <c r="N460" s="2906">
        <f t="shared" si="173"/>
        <v>2.9094720601169696E-4</v>
      </c>
      <c r="O460" s="2907">
        <f t="shared" si="184"/>
        <v>5.1986304683460278E-6</v>
      </c>
      <c r="P460" s="2908">
        <f t="shared" si="185"/>
        <v>30000</v>
      </c>
      <c r="Q460" s="1095">
        <f t="shared" si="186"/>
        <v>8190</v>
      </c>
      <c r="R460" s="2909">
        <f t="shared" si="187"/>
        <v>38190</v>
      </c>
      <c r="S460" s="398">
        <f t="shared" si="188"/>
        <v>0</v>
      </c>
      <c r="T460" s="1095">
        <f t="shared" si="189"/>
        <v>0</v>
      </c>
      <c r="U460" s="398">
        <f t="shared" si="190"/>
        <v>0</v>
      </c>
      <c r="V460" s="2913">
        <v>0</v>
      </c>
      <c r="W460" s="1095">
        <f t="shared" si="174"/>
        <v>9278.08</v>
      </c>
      <c r="X460" s="1095">
        <f t="shared" si="175"/>
        <v>1800</v>
      </c>
      <c r="Y460" s="2909">
        <f t="shared" si="178"/>
        <v>11078.08</v>
      </c>
      <c r="Z460" s="2913">
        <v>0</v>
      </c>
      <c r="AA460" s="1095">
        <f t="shared" si="176"/>
        <v>5005.28</v>
      </c>
      <c r="AB460" s="1095">
        <f t="shared" si="177"/>
        <v>0</v>
      </c>
      <c r="AC460" s="2909">
        <f t="shared" si="179"/>
        <v>5005.28</v>
      </c>
    </row>
    <row r="461" spans="1:29">
      <c r="A461" s="1780" t="s">
        <v>4535</v>
      </c>
      <c r="B461" s="1780"/>
      <c r="C461" s="2901">
        <v>2305</v>
      </c>
      <c r="D461" s="2902">
        <f t="shared" si="180"/>
        <v>6.5865046662742389E-3</v>
      </c>
      <c r="E461" s="1083">
        <v>207450</v>
      </c>
      <c r="F461" s="2952">
        <f t="shared" si="181"/>
        <v>7.2518785231868374E-3</v>
      </c>
      <c r="G461" s="2903">
        <f t="shared" si="169"/>
        <v>207450</v>
      </c>
      <c r="H461" s="2903">
        <f t="shared" si="182"/>
        <v>0</v>
      </c>
      <c r="I461" s="2905">
        <f t="shared" si="170"/>
        <v>131385</v>
      </c>
      <c r="J461" s="1096">
        <v>54261</v>
      </c>
      <c r="K461" s="2479">
        <f t="shared" si="183"/>
        <v>2222530.5600000001</v>
      </c>
      <c r="L461" s="398">
        <f t="shared" si="171"/>
        <v>41490</v>
      </c>
      <c r="M461" s="1095">
        <f t="shared" si="172"/>
        <v>227136</v>
      </c>
      <c r="N461" s="2906">
        <f t="shared" si="173"/>
        <v>7.148916549618434E-3</v>
      </c>
      <c r="O461" s="2907">
        <f t="shared" si="184"/>
        <v>5.6241188334419517E-4</v>
      </c>
      <c r="P461" s="2908">
        <f t="shared" si="185"/>
        <v>691500</v>
      </c>
      <c r="Q461" s="1095">
        <f t="shared" si="186"/>
        <v>188779.5</v>
      </c>
      <c r="R461" s="2909">
        <f t="shared" si="187"/>
        <v>880279.5</v>
      </c>
      <c r="S461" s="398">
        <f t="shared" si="188"/>
        <v>0</v>
      </c>
      <c r="T461" s="1095">
        <f t="shared" si="189"/>
        <v>0</v>
      </c>
      <c r="U461" s="398">
        <f t="shared" si="190"/>
        <v>0</v>
      </c>
      <c r="V461" s="2913">
        <v>0</v>
      </c>
      <c r="W461" s="1095">
        <f t="shared" si="174"/>
        <v>288668.52</v>
      </c>
      <c r="X461" s="1095">
        <f t="shared" si="175"/>
        <v>41490</v>
      </c>
      <c r="Y461" s="2909">
        <f t="shared" si="178"/>
        <v>330158.52</v>
      </c>
      <c r="Z461" s="2913">
        <v>0</v>
      </c>
      <c r="AA461" s="1095">
        <f t="shared" si="176"/>
        <v>155729.07</v>
      </c>
      <c r="AB461" s="1095">
        <f t="shared" si="177"/>
        <v>0</v>
      </c>
      <c r="AC461" s="2909">
        <f t="shared" si="179"/>
        <v>155729.07</v>
      </c>
    </row>
    <row r="462" spans="1:29">
      <c r="A462" s="1780" t="s">
        <v>4536</v>
      </c>
      <c r="B462" s="1780"/>
      <c r="C462" s="2901">
        <v>115</v>
      </c>
      <c r="D462" s="2902">
        <f t="shared" si="180"/>
        <v>3.2861086187485356E-4</v>
      </c>
      <c r="E462" s="1083">
        <v>10350</v>
      </c>
      <c r="F462" s="2952">
        <f t="shared" si="181"/>
        <v>3.6180738835856239E-4</v>
      </c>
      <c r="G462" s="2903">
        <f t="shared" si="169"/>
        <v>10350</v>
      </c>
      <c r="H462" s="2903">
        <f t="shared" si="182"/>
        <v>0</v>
      </c>
      <c r="I462" s="2905">
        <f t="shared" si="170"/>
        <v>6555</v>
      </c>
      <c r="J462" s="1096">
        <v>2706</v>
      </c>
      <c r="K462" s="2479">
        <f t="shared" si="183"/>
        <v>110837.76000000001</v>
      </c>
      <c r="L462" s="398">
        <f t="shared" si="171"/>
        <v>2070</v>
      </c>
      <c r="M462" s="1095">
        <f t="shared" si="172"/>
        <v>11331</v>
      </c>
      <c r="N462" s="2906">
        <f t="shared" si="173"/>
        <v>3.5663379395483972E-4</v>
      </c>
      <c r="O462" s="2907">
        <f t="shared" si="184"/>
        <v>2.8022932079986161E-5</v>
      </c>
      <c r="P462" s="2908">
        <f t="shared" si="185"/>
        <v>34500</v>
      </c>
      <c r="Q462" s="1095">
        <f t="shared" si="186"/>
        <v>9418.5</v>
      </c>
      <c r="R462" s="2909">
        <f t="shared" si="187"/>
        <v>43918.5</v>
      </c>
      <c r="S462" s="398">
        <f t="shared" si="188"/>
        <v>0</v>
      </c>
      <c r="T462" s="1095">
        <f t="shared" si="189"/>
        <v>0</v>
      </c>
      <c r="U462" s="398">
        <f t="shared" si="190"/>
        <v>0</v>
      </c>
      <c r="V462" s="2913">
        <v>0</v>
      </c>
      <c r="W462" s="1095">
        <f t="shared" si="174"/>
        <v>14395.92</v>
      </c>
      <c r="X462" s="1095">
        <f t="shared" si="175"/>
        <v>2070</v>
      </c>
      <c r="Y462" s="2909">
        <f t="shared" si="178"/>
        <v>16465.919999999998</v>
      </c>
      <c r="Z462" s="2913">
        <v>0</v>
      </c>
      <c r="AA462" s="1095">
        <f t="shared" si="176"/>
        <v>7766.22</v>
      </c>
      <c r="AB462" s="1095">
        <f t="shared" si="177"/>
        <v>0</v>
      </c>
      <c r="AC462" s="2909">
        <f t="shared" si="179"/>
        <v>7766.22</v>
      </c>
    </row>
    <row r="463" spans="1:29">
      <c r="A463" s="1780" t="s">
        <v>4537</v>
      </c>
      <c r="B463" s="1780"/>
      <c r="C463" s="2901">
        <v>155</v>
      </c>
      <c r="D463" s="2902">
        <f t="shared" si="180"/>
        <v>4.4291029209219394E-4</v>
      </c>
      <c r="E463" s="1083">
        <v>0</v>
      </c>
      <c r="F463" s="2952">
        <f t="shared" si="181"/>
        <v>0</v>
      </c>
      <c r="G463" s="2903">
        <f t="shared" si="169"/>
        <v>13950</v>
      </c>
      <c r="H463" s="2903">
        <f t="shared" si="182"/>
        <v>-13950</v>
      </c>
      <c r="I463" s="2905">
        <f t="shared" si="170"/>
        <v>8835</v>
      </c>
      <c r="J463" s="1096">
        <v>2703</v>
      </c>
      <c r="K463" s="2479">
        <f t="shared" si="183"/>
        <v>110714.88</v>
      </c>
      <c r="L463" s="398">
        <f t="shared" si="171"/>
        <v>0</v>
      </c>
      <c r="M463" s="1095">
        <f t="shared" si="172"/>
        <v>11538</v>
      </c>
      <c r="N463" s="2906">
        <f t="shared" si="173"/>
        <v>3.6314894666410208E-4</v>
      </c>
      <c r="O463" s="2907">
        <f t="shared" si="184"/>
        <v>-7.9761345428091862E-5</v>
      </c>
      <c r="P463" s="2908">
        <f t="shared" si="185"/>
        <v>46500</v>
      </c>
      <c r="Q463" s="1095">
        <f t="shared" si="186"/>
        <v>0</v>
      </c>
      <c r="R463" s="2909">
        <f t="shared" si="187"/>
        <v>46500</v>
      </c>
      <c r="S463" s="398">
        <f t="shared" si="188"/>
        <v>0</v>
      </c>
      <c r="T463" s="1095">
        <f t="shared" si="189"/>
        <v>0</v>
      </c>
      <c r="U463" s="398">
        <f t="shared" si="190"/>
        <v>0</v>
      </c>
      <c r="V463" s="2913">
        <v>0</v>
      </c>
      <c r="W463" s="1095">
        <f t="shared" si="174"/>
        <v>14379.960000000001</v>
      </c>
      <c r="X463" s="1095">
        <f t="shared" si="175"/>
        <v>0</v>
      </c>
      <c r="Y463" s="2909">
        <f t="shared" si="178"/>
        <v>14379.960000000001</v>
      </c>
      <c r="Z463" s="2913">
        <v>0</v>
      </c>
      <c r="AA463" s="1095">
        <f t="shared" si="176"/>
        <v>7757.6100000000006</v>
      </c>
      <c r="AB463" s="1095">
        <f t="shared" si="177"/>
        <v>0</v>
      </c>
      <c r="AC463" s="2909">
        <f t="shared" si="179"/>
        <v>7757.6100000000006</v>
      </c>
    </row>
    <row r="464" spans="1:29">
      <c r="A464" s="1780" t="s">
        <v>4538</v>
      </c>
      <c r="B464" s="1780"/>
      <c r="C464" s="2901">
        <v>190</v>
      </c>
      <c r="D464" s="2902">
        <f t="shared" si="180"/>
        <v>5.4292229353236675E-4</v>
      </c>
      <c r="E464" s="1083">
        <v>17100</v>
      </c>
      <c r="F464" s="2952">
        <f t="shared" si="181"/>
        <v>5.9776872859240737E-4</v>
      </c>
      <c r="G464" s="2903">
        <f t="shared" si="169"/>
        <v>17100</v>
      </c>
      <c r="H464" s="2903">
        <f t="shared" si="182"/>
        <v>0</v>
      </c>
      <c r="I464" s="2905">
        <f t="shared" si="170"/>
        <v>10830</v>
      </c>
      <c r="J464" s="1096">
        <v>4471</v>
      </c>
      <c r="K464" s="2479">
        <f t="shared" si="183"/>
        <v>183132.16</v>
      </c>
      <c r="L464" s="398">
        <f t="shared" si="171"/>
        <v>3420</v>
      </c>
      <c r="M464" s="1095">
        <f t="shared" si="172"/>
        <v>18721</v>
      </c>
      <c r="N464" s="2906">
        <f t="shared" si="173"/>
        <v>5.8922789309227375E-4</v>
      </c>
      <c r="O464" s="2907">
        <f t="shared" si="184"/>
        <v>4.6305599559906996E-5</v>
      </c>
      <c r="P464" s="2908">
        <f t="shared" si="185"/>
        <v>57000</v>
      </c>
      <c r="Q464" s="1095">
        <f t="shared" si="186"/>
        <v>15561</v>
      </c>
      <c r="R464" s="2909">
        <f t="shared" si="187"/>
        <v>72561</v>
      </c>
      <c r="S464" s="398">
        <f t="shared" si="188"/>
        <v>0</v>
      </c>
      <c r="T464" s="1095">
        <f t="shared" si="189"/>
        <v>0</v>
      </c>
      <c r="U464" s="398">
        <f t="shared" si="190"/>
        <v>0</v>
      </c>
      <c r="V464" s="2913">
        <v>0</v>
      </c>
      <c r="W464" s="1095">
        <f t="shared" si="174"/>
        <v>23785.72</v>
      </c>
      <c r="X464" s="1095">
        <f t="shared" si="175"/>
        <v>3420</v>
      </c>
      <c r="Y464" s="2909">
        <f t="shared" si="178"/>
        <v>27205.72</v>
      </c>
      <c r="Z464" s="2913">
        <v>0</v>
      </c>
      <c r="AA464" s="1095">
        <f t="shared" si="176"/>
        <v>12831.77</v>
      </c>
      <c r="AB464" s="1095">
        <f t="shared" si="177"/>
        <v>0</v>
      </c>
      <c r="AC464" s="2909">
        <f t="shared" si="179"/>
        <v>12831.77</v>
      </c>
    </row>
    <row r="465" spans="1:29">
      <c r="A465" s="1780" t="s">
        <v>4539</v>
      </c>
      <c r="B465" s="1780"/>
      <c r="C465" s="2901">
        <v>105</v>
      </c>
      <c r="D465" s="2902">
        <f t="shared" si="180"/>
        <v>3.0003600432051844E-4</v>
      </c>
      <c r="E465" s="1083">
        <v>9450</v>
      </c>
      <c r="F465" s="2952">
        <f t="shared" si="181"/>
        <v>3.3034587632738306E-4</v>
      </c>
      <c r="G465" s="2903">
        <f t="shared" si="169"/>
        <v>9450</v>
      </c>
      <c r="H465" s="2903">
        <f t="shared" si="182"/>
        <v>0</v>
      </c>
      <c r="I465" s="2905">
        <f t="shared" si="170"/>
        <v>5985</v>
      </c>
      <c r="J465" s="1096">
        <v>0</v>
      </c>
      <c r="K465" s="2479">
        <f t="shared" si="183"/>
        <v>0</v>
      </c>
      <c r="L465" s="398">
        <f t="shared" si="171"/>
        <v>1890</v>
      </c>
      <c r="M465" s="1095">
        <f t="shared" si="172"/>
        <v>7875</v>
      </c>
      <c r="N465" s="2906">
        <f t="shared" si="173"/>
        <v>2.4785907046106809E-4</v>
      </c>
      <c r="O465" s="2907">
        <f t="shared" si="184"/>
        <v>-5.2176933859450351E-5</v>
      </c>
      <c r="P465" s="2908">
        <f t="shared" si="185"/>
        <v>31500</v>
      </c>
      <c r="Q465" s="1095">
        <f t="shared" si="186"/>
        <v>8599.5</v>
      </c>
      <c r="R465" s="2909">
        <f t="shared" si="187"/>
        <v>40099.5</v>
      </c>
      <c r="S465" s="398">
        <f t="shared" si="188"/>
        <v>0</v>
      </c>
      <c r="T465" s="1095">
        <f t="shared" si="189"/>
        <v>0</v>
      </c>
      <c r="U465" s="398">
        <f t="shared" si="190"/>
        <v>0</v>
      </c>
      <c r="V465" s="2913">
        <v>0</v>
      </c>
      <c r="W465" s="1095">
        <f t="shared" si="174"/>
        <v>0</v>
      </c>
      <c r="X465" s="1095">
        <f t="shared" si="175"/>
        <v>1890</v>
      </c>
      <c r="Y465" s="2909">
        <f t="shared" si="178"/>
        <v>1890</v>
      </c>
      <c r="Z465" s="2913">
        <v>0</v>
      </c>
      <c r="AA465" s="1095">
        <f t="shared" si="176"/>
        <v>0</v>
      </c>
      <c r="AB465" s="1095">
        <f t="shared" si="177"/>
        <v>0</v>
      </c>
      <c r="AC465" s="2909">
        <f t="shared" si="179"/>
        <v>0</v>
      </c>
    </row>
    <row r="466" spans="1:29">
      <c r="A466" s="1780" t="s">
        <v>4540</v>
      </c>
      <c r="B466" s="1780"/>
      <c r="C466" s="2901">
        <v>190</v>
      </c>
      <c r="D466" s="2902">
        <f t="shared" si="180"/>
        <v>5.4292229353236675E-4</v>
      </c>
      <c r="E466" s="1083">
        <v>17100</v>
      </c>
      <c r="F466" s="2952">
        <f t="shared" si="181"/>
        <v>5.9776872859240737E-4</v>
      </c>
      <c r="G466" s="2903">
        <f t="shared" si="169"/>
        <v>17100</v>
      </c>
      <c r="H466" s="2903">
        <f t="shared" si="182"/>
        <v>0</v>
      </c>
      <c r="I466" s="2905">
        <f t="shared" si="170"/>
        <v>10830</v>
      </c>
      <c r="J466" s="1096">
        <v>1221</v>
      </c>
      <c r="K466" s="2479">
        <f t="shared" si="183"/>
        <v>50012.160000000003</v>
      </c>
      <c r="L466" s="398">
        <f t="shared" si="171"/>
        <v>3420</v>
      </c>
      <c r="M466" s="1095">
        <f t="shared" si="172"/>
        <v>15471</v>
      </c>
      <c r="N466" s="2906">
        <f t="shared" si="173"/>
        <v>4.8693684814008696E-4</v>
      </c>
      <c r="O466" s="2907">
        <f t="shared" si="184"/>
        <v>-5.5985445392279793E-5</v>
      </c>
      <c r="P466" s="2908">
        <f t="shared" si="185"/>
        <v>57000</v>
      </c>
      <c r="Q466" s="1095">
        <f t="shared" si="186"/>
        <v>15561</v>
      </c>
      <c r="R466" s="2909">
        <f t="shared" si="187"/>
        <v>72561</v>
      </c>
      <c r="S466" s="398">
        <f t="shared" si="188"/>
        <v>0</v>
      </c>
      <c r="T466" s="1095">
        <f t="shared" si="189"/>
        <v>0</v>
      </c>
      <c r="U466" s="398">
        <f t="shared" si="190"/>
        <v>0</v>
      </c>
      <c r="V466" s="2913">
        <v>0</v>
      </c>
      <c r="W466" s="1095">
        <f t="shared" si="174"/>
        <v>6495.72</v>
      </c>
      <c r="X466" s="1095">
        <f t="shared" si="175"/>
        <v>3420</v>
      </c>
      <c r="Y466" s="2909">
        <f t="shared" si="178"/>
        <v>9915.7200000000012</v>
      </c>
      <c r="Z466" s="2913">
        <v>0</v>
      </c>
      <c r="AA466" s="1095">
        <f t="shared" si="176"/>
        <v>3504.27</v>
      </c>
      <c r="AB466" s="1095">
        <f t="shared" si="177"/>
        <v>0</v>
      </c>
      <c r="AC466" s="2909">
        <f t="shared" si="179"/>
        <v>3504.27</v>
      </c>
    </row>
    <row r="467" spans="1:29">
      <c r="A467" s="1780" t="s">
        <v>4541</v>
      </c>
      <c r="B467" s="1780"/>
      <c r="C467" s="2901">
        <v>300</v>
      </c>
      <c r="D467" s="2902">
        <f t="shared" si="180"/>
        <v>8.5724572663005275E-4</v>
      </c>
      <c r="E467" s="1083">
        <v>27000</v>
      </c>
      <c r="F467" s="2952">
        <f t="shared" si="181"/>
        <v>9.4384536093538012E-4</v>
      </c>
      <c r="G467" s="2903">
        <f t="shared" si="169"/>
        <v>27000</v>
      </c>
      <c r="H467" s="2903">
        <f t="shared" si="182"/>
        <v>0</v>
      </c>
      <c r="I467" s="2905">
        <f t="shared" si="170"/>
        <v>17100</v>
      </c>
      <c r="J467" s="1096">
        <v>2000</v>
      </c>
      <c r="K467" s="2479">
        <f t="shared" si="183"/>
        <v>81920</v>
      </c>
      <c r="L467" s="398">
        <f t="shared" si="171"/>
        <v>5400</v>
      </c>
      <c r="M467" s="1095">
        <f t="shared" si="172"/>
        <v>24500</v>
      </c>
      <c r="N467" s="2906">
        <f t="shared" si="173"/>
        <v>7.7111710810110075E-4</v>
      </c>
      <c r="O467" s="2907">
        <f t="shared" si="184"/>
        <v>-8.6128618528952001E-5</v>
      </c>
      <c r="P467" s="2908">
        <f t="shared" si="185"/>
        <v>90000</v>
      </c>
      <c r="Q467" s="1095">
        <f t="shared" si="186"/>
        <v>24570</v>
      </c>
      <c r="R467" s="2909">
        <f t="shared" si="187"/>
        <v>114570</v>
      </c>
      <c r="S467" s="398">
        <f t="shared" si="188"/>
        <v>0</v>
      </c>
      <c r="T467" s="1095">
        <f t="shared" si="189"/>
        <v>0</v>
      </c>
      <c r="U467" s="398">
        <f t="shared" si="190"/>
        <v>0</v>
      </c>
      <c r="V467" s="2913">
        <v>0</v>
      </c>
      <c r="W467" s="1095">
        <f t="shared" si="174"/>
        <v>10640</v>
      </c>
      <c r="X467" s="1095">
        <f t="shared" si="175"/>
        <v>5400</v>
      </c>
      <c r="Y467" s="2909">
        <f t="shared" si="178"/>
        <v>16040</v>
      </c>
      <c r="Z467" s="2913">
        <v>0</v>
      </c>
      <c r="AA467" s="1095">
        <f t="shared" si="176"/>
        <v>5740</v>
      </c>
      <c r="AB467" s="1095">
        <f t="shared" si="177"/>
        <v>0</v>
      </c>
      <c r="AC467" s="2909">
        <f t="shared" si="179"/>
        <v>5740</v>
      </c>
    </row>
    <row r="468" spans="1:29">
      <c r="A468" s="1780" t="s">
        <v>4542</v>
      </c>
      <c r="B468" s="1780"/>
      <c r="C468" s="2901">
        <v>545</v>
      </c>
      <c r="D468" s="2902">
        <f t="shared" si="180"/>
        <v>1.5573297367112624E-3</v>
      </c>
      <c r="E468" s="1083">
        <v>49050</v>
      </c>
      <c r="F468" s="2952">
        <f t="shared" si="181"/>
        <v>1.714652405699274E-3</v>
      </c>
      <c r="G468" s="2903">
        <f t="shared" si="169"/>
        <v>49050</v>
      </c>
      <c r="H468" s="2903">
        <f t="shared" si="182"/>
        <v>0</v>
      </c>
      <c r="I468" s="2905">
        <f t="shared" si="170"/>
        <v>31065</v>
      </c>
      <c r="J468" s="1096">
        <v>9505</v>
      </c>
      <c r="K468" s="2479">
        <f t="shared" si="183"/>
        <v>389324.79999999999</v>
      </c>
      <c r="L468" s="398">
        <f t="shared" si="171"/>
        <v>9810</v>
      </c>
      <c r="M468" s="1095">
        <f t="shared" si="172"/>
        <v>50380</v>
      </c>
      <c r="N468" s="2906">
        <f t="shared" si="173"/>
        <v>1.585668567597284E-3</v>
      </c>
      <c r="O468" s="2907">
        <f t="shared" si="184"/>
        <v>2.8338830886021592E-5</v>
      </c>
      <c r="P468" s="2908">
        <f t="shared" si="185"/>
        <v>163500</v>
      </c>
      <c r="Q468" s="1095">
        <f t="shared" si="186"/>
        <v>44635.5</v>
      </c>
      <c r="R468" s="2909">
        <f t="shared" si="187"/>
        <v>208135.5</v>
      </c>
      <c r="S468" s="398">
        <f t="shared" si="188"/>
        <v>0</v>
      </c>
      <c r="T468" s="1095">
        <f t="shared" si="189"/>
        <v>0</v>
      </c>
      <c r="U468" s="398">
        <f t="shared" si="190"/>
        <v>0</v>
      </c>
      <c r="V468" s="2913">
        <v>0</v>
      </c>
      <c r="W468" s="1095">
        <f t="shared" si="174"/>
        <v>50566.600000000006</v>
      </c>
      <c r="X468" s="1095">
        <f t="shared" si="175"/>
        <v>9810</v>
      </c>
      <c r="Y468" s="2909">
        <f t="shared" si="178"/>
        <v>60376.600000000006</v>
      </c>
      <c r="Z468" s="2913">
        <v>0</v>
      </c>
      <c r="AA468" s="1095">
        <f t="shared" si="176"/>
        <v>27279.350000000002</v>
      </c>
      <c r="AB468" s="1095">
        <f t="shared" si="177"/>
        <v>0</v>
      </c>
      <c r="AC468" s="2909">
        <f t="shared" si="179"/>
        <v>27279.350000000002</v>
      </c>
    </row>
    <row r="469" spans="1:29">
      <c r="A469" s="1780" t="s">
        <v>4543</v>
      </c>
      <c r="B469" s="1780"/>
      <c r="C469" s="2901">
        <v>355</v>
      </c>
      <c r="D469" s="2902">
        <f t="shared" si="180"/>
        <v>1.0144074431788956E-3</v>
      </c>
      <c r="E469" s="1083">
        <v>31950</v>
      </c>
      <c r="F469" s="2952">
        <f t="shared" si="181"/>
        <v>1.1168836771068664E-3</v>
      </c>
      <c r="G469" s="2903">
        <f t="shared" si="169"/>
        <v>31950</v>
      </c>
      <c r="H469" s="2903">
        <f t="shared" si="182"/>
        <v>0</v>
      </c>
      <c r="I469" s="2905">
        <f t="shared" si="170"/>
        <v>20235</v>
      </c>
      <c r="J469" s="1096">
        <v>6191</v>
      </c>
      <c r="K469" s="2479">
        <f t="shared" si="183"/>
        <v>253583.36000000002</v>
      </c>
      <c r="L469" s="398">
        <f t="shared" si="171"/>
        <v>6390</v>
      </c>
      <c r="M469" s="1095">
        <f t="shared" si="172"/>
        <v>32816</v>
      </c>
      <c r="N469" s="2906">
        <f t="shared" si="173"/>
        <v>1.0328562865079887E-3</v>
      </c>
      <c r="O469" s="2907">
        <f t="shared" si="184"/>
        <v>1.8448843329093093E-5</v>
      </c>
      <c r="P469" s="2908">
        <f t="shared" si="185"/>
        <v>106500</v>
      </c>
      <c r="Q469" s="1095">
        <f t="shared" si="186"/>
        <v>29074.5</v>
      </c>
      <c r="R469" s="2909">
        <f t="shared" si="187"/>
        <v>135574.5</v>
      </c>
      <c r="S469" s="398">
        <f t="shared" si="188"/>
        <v>0</v>
      </c>
      <c r="T469" s="1095">
        <f t="shared" si="189"/>
        <v>0</v>
      </c>
      <c r="U469" s="398">
        <f t="shared" si="190"/>
        <v>0</v>
      </c>
      <c r="V469" s="2913">
        <v>0</v>
      </c>
      <c r="W469" s="1095">
        <f t="shared" si="174"/>
        <v>32936.120000000003</v>
      </c>
      <c r="X469" s="1095">
        <f t="shared" si="175"/>
        <v>6390</v>
      </c>
      <c r="Y469" s="2909">
        <f t="shared" si="178"/>
        <v>39326.120000000003</v>
      </c>
      <c r="Z469" s="2913">
        <v>0</v>
      </c>
      <c r="AA469" s="1095">
        <f t="shared" si="176"/>
        <v>17768.170000000002</v>
      </c>
      <c r="AB469" s="1095">
        <f t="shared" si="177"/>
        <v>0</v>
      </c>
      <c r="AC469" s="2909">
        <f t="shared" si="179"/>
        <v>17768.170000000002</v>
      </c>
    </row>
    <row r="470" spans="1:29">
      <c r="A470" s="1780" t="s">
        <v>4544</v>
      </c>
      <c r="B470" s="1780"/>
      <c r="C470" s="2901">
        <v>80</v>
      </c>
      <c r="D470" s="2902">
        <f t="shared" si="180"/>
        <v>2.2859886043468072E-4</v>
      </c>
      <c r="E470" s="1083">
        <v>7200</v>
      </c>
      <c r="F470" s="2952">
        <f t="shared" si="181"/>
        <v>2.5169209624943472E-4</v>
      </c>
      <c r="G470" s="2903">
        <f t="shared" si="169"/>
        <v>7200</v>
      </c>
      <c r="H470" s="2903">
        <f t="shared" si="182"/>
        <v>0</v>
      </c>
      <c r="I470" s="2905">
        <f t="shared" si="170"/>
        <v>4560</v>
      </c>
      <c r="J470" s="1096">
        <v>1882</v>
      </c>
      <c r="K470" s="2479">
        <f t="shared" si="183"/>
        <v>77086.720000000001</v>
      </c>
      <c r="L470" s="398">
        <f t="shared" si="171"/>
        <v>1440</v>
      </c>
      <c r="M470" s="1095">
        <f t="shared" si="172"/>
        <v>7882</v>
      </c>
      <c r="N470" s="2906">
        <f t="shared" si="173"/>
        <v>2.4807938963481129E-4</v>
      </c>
      <c r="O470" s="2907">
        <f t="shared" si="184"/>
        <v>1.9480529200130572E-5</v>
      </c>
      <c r="P470" s="2908">
        <f t="shared" si="185"/>
        <v>24000</v>
      </c>
      <c r="Q470" s="1095">
        <f t="shared" si="186"/>
        <v>6552</v>
      </c>
      <c r="R470" s="2909">
        <f t="shared" si="187"/>
        <v>30552</v>
      </c>
      <c r="S470" s="398">
        <f t="shared" si="188"/>
        <v>0</v>
      </c>
      <c r="T470" s="1095">
        <f t="shared" si="189"/>
        <v>0</v>
      </c>
      <c r="U470" s="398">
        <f t="shared" si="190"/>
        <v>0</v>
      </c>
      <c r="V470" s="2913">
        <v>0</v>
      </c>
      <c r="W470" s="1095">
        <f t="shared" si="174"/>
        <v>10012.24</v>
      </c>
      <c r="X470" s="1095">
        <f t="shared" si="175"/>
        <v>1440</v>
      </c>
      <c r="Y470" s="2909">
        <f t="shared" si="178"/>
        <v>11452.24</v>
      </c>
      <c r="Z470" s="2913">
        <v>0</v>
      </c>
      <c r="AA470" s="1095">
        <f t="shared" si="176"/>
        <v>5401.34</v>
      </c>
      <c r="AB470" s="1095">
        <f t="shared" si="177"/>
        <v>0</v>
      </c>
      <c r="AC470" s="2909">
        <f t="shared" si="179"/>
        <v>5401.34</v>
      </c>
    </row>
    <row r="471" spans="1:29">
      <c r="A471" s="1780" t="s">
        <v>4545</v>
      </c>
      <c r="B471" s="1780"/>
      <c r="C471" s="2901">
        <v>155</v>
      </c>
      <c r="D471" s="2902">
        <f t="shared" si="180"/>
        <v>4.4291029209219394E-4</v>
      </c>
      <c r="E471" s="1083">
        <v>13950</v>
      </c>
      <c r="F471" s="2952">
        <f t="shared" si="181"/>
        <v>4.8765343648327975E-4</v>
      </c>
      <c r="G471" s="2903">
        <f t="shared" si="169"/>
        <v>13950</v>
      </c>
      <c r="H471" s="2903">
        <f t="shared" si="182"/>
        <v>0</v>
      </c>
      <c r="I471" s="2905">
        <f t="shared" si="170"/>
        <v>8835</v>
      </c>
      <c r="J471" s="1096">
        <v>3648</v>
      </c>
      <c r="K471" s="2479">
        <f t="shared" si="183"/>
        <v>149422.08000000002</v>
      </c>
      <c r="L471" s="398">
        <f t="shared" si="171"/>
        <v>2790</v>
      </c>
      <c r="M471" s="1095">
        <f t="shared" si="172"/>
        <v>15273</v>
      </c>
      <c r="N471" s="2906">
        <f t="shared" si="173"/>
        <v>4.8070496293992293E-4</v>
      </c>
      <c r="O471" s="2907">
        <f t="shared" si="184"/>
        <v>3.7794670847728995E-5</v>
      </c>
      <c r="P471" s="2908">
        <f t="shared" si="185"/>
        <v>46500</v>
      </c>
      <c r="Q471" s="1095">
        <f t="shared" si="186"/>
        <v>12694.5</v>
      </c>
      <c r="R471" s="2909">
        <f t="shared" si="187"/>
        <v>59194.5</v>
      </c>
      <c r="S471" s="398">
        <f t="shared" si="188"/>
        <v>0</v>
      </c>
      <c r="T471" s="1095">
        <f t="shared" si="189"/>
        <v>0</v>
      </c>
      <c r="U471" s="398">
        <f t="shared" si="190"/>
        <v>0</v>
      </c>
      <c r="V471" s="2913">
        <v>0</v>
      </c>
      <c r="W471" s="1095">
        <f t="shared" si="174"/>
        <v>19407.36</v>
      </c>
      <c r="X471" s="1095">
        <f t="shared" si="175"/>
        <v>2790</v>
      </c>
      <c r="Y471" s="2909">
        <f t="shared" si="178"/>
        <v>22197.360000000001</v>
      </c>
      <c r="Z471" s="2913">
        <v>0</v>
      </c>
      <c r="AA471" s="1095">
        <f t="shared" si="176"/>
        <v>10469.76</v>
      </c>
      <c r="AB471" s="1095">
        <f t="shared" si="177"/>
        <v>0</v>
      </c>
      <c r="AC471" s="2909">
        <f t="shared" si="179"/>
        <v>10469.76</v>
      </c>
    </row>
    <row r="472" spans="1:29">
      <c r="A472" s="1780" t="s">
        <v>4546</v>
      </c>
      <c r="B472" s="1780"/>
      <c r="C472" s="2901">
        <v>8300</v>
      </c>
      <c r="D472" s="2902">
        <f t="shared" si="180"/>
        <v>2.3717131770098127E-2</v>
      </c>
      <c r="E472" s="1083">
        <v>747000</v>
      </c>
      <c r="F472" s="2952">
        <f t="shared" si="181"/>
        <v>2.6113054985878851E-2</v>
      </c>
      <c r="G472" s="2903">
        <f t="shared" si="169"/>
        <v>747000</v>
      </c>
      <c r="H472" s="2903">
        <f t="shared" si="182"/>
        <v>0</v>
      </c>
      <c r="I472" s="2905">
        <f t="shared" si="170"/>
        <v>473100</v>
      </c>
      <c r="J472" s="1096">
        <v>195389</v>
      </c>
      <c r="K472" s="2479">
        <f t="shared" si="183"/>
        <v>8003133.4400000004</v>
      </c>
      <c r="L472" s="398">
        <f t="shared" si="171"/>
        <v>149400</v>
      </c>
      <c r="M472" s="1095">
        <f t="shared" si="172"/>
        <v>817889</v>
      </c>
      <c r="N472" s="2906">
        <f t="shared" si="173"/>
        <v>2.5742375527661274E-2</v>
      </c>
      <c r="O472" s="2907">
        <f t="shared" si="184"/>
        <v>2.0252437575631471E-3</v>
      </c>
      <c r="P472" s="2908">
        <f t="shared" si="185"/>
        <v>2490000</v>
      </c>
      <c r="Q472" s="1095">
        <f t="shared" si="186"/>
        <v>679770</v>
      </c>
      <c r="R472" s="2909">
        <f t="shared" si="187"/>
        <v>3169770</v>
      </c>
      <c r="S472" s="398">
        <f t="shared" si="188"/>
        <v>0</v>
      </c>
      <c r="T472" s="1095">
        <f t="shared" si="189"/>
        <v>0</v>
      </c>
      <c r="U472" s="398">
        <f t="shared" si="190"/>
        <v>0</v>
      </c>
      <c r="V472" s="2913">
        <v>0</v>
      </c>
      <c r="W472" s="1095">
        <f t="shared" si="174"/>
        <v>1039469.4800000001</v>
      </c>
      <c r="X472" s="1095">
        <f t="shared" si="175"/>
        <v>149400</v>
      </c>
      <c r="Y472" s="2909">
        <f t="shared" si="178"/>
        <v>1188869.48</v>
      </c>
      <c r="Z472" s="2913">
        <v>0</v>
      </c>
      <c r="AA472" s="1095">
        <f t="shared" si="176"/>
        <v>560766.43000000005</v>
      </c>
      <c r="AB472" s="1095">
        <f t="shared" si="177"/>
        <v>0</v>
      </c>
      <c r="AC472" s="2909">
        <f t="shared" si="179"/>
        <v>560766.43000000005</v>
      </c>
    </row>
    <row r="473" spans="1:29">
      <c r="A473" s="1780" t="s">
        <v>4547</v>
      </c>
      <c r="B473" s="1780"/>
      <c r="C473" s="2901">
        <v>130</v>
      </c>
      <c r="D473" s="2902">
        <f t="shared" si="180"/>
        <v>3.7147314820635619E-4</v>
      </c>
      <c r="E473" s="1083">
        <v>11700</v>
      </c>
      <c r="F473" s="2952">
        <f t="shared" si="181"/>
        <v>4.0899965640533141E-4</v>
      </c>
      <c r="G473" s="2903">
        <f t="shared" si="169"/>
        <v>11700</v>
      </c>
      <c r="H473" s="2903">
        <f t="shared" si="182"/>
        <v>0</v>
      </c>
      <c r="I473" s="2905">
        <f t="shared" si="170"/>
        <v>7410</v>
      </c>
      <c r="J473" s="1096">
        <v>0</v>
      </c>
      <c r="K473" s="2479">
        <f t="shared" si="183"/>
        <v>0</v>
      </c>
      <c r="L473" s="398">
        <f t="shared" si="171"/>
        <v>2340</v>
      </c>
      <c r="M473" s="1095">
        <f t="shared" si="172"/>
        <v>9750</v>
      </c>
      <c r="N473" s="2906">
        <f t="shared" si="173"/>
        <v>3.0687313485656053E-4</v>
      </c>
      <c r="O473" s="2907">
        <f t="shared" si="184"/>
        <v>-6.4600013349795659E-5</v>
      </c>
      <c r="P473" s="2908">
        <f t="shared" si="185"/>
        <v>39000</v>
      </c>
      <c r="Q473" s="1095">
        <f t="shared" si="186"/>
        <v>10647</v>
      </c>
      <c r="R473" s="2909">
        <f t="shared" si="187"/>
        <v>49647</v>
      </c>
      <c r="S473" s="398">
        <f t="shared" si="188"/>
        <v>0</v>
      </c>
      <c r="T473" s="1095">
        <f t="shared" si="189"/>
        <v>0</v>
      </c>
      <c r="U473" s="398">
        <f t="shared" si="190"/>
        <v>0</v>
      </c>
      <c r="V473" s="2913">
        <v>0</v>
      </c>
      <c r="W473" s="1095">
        <f t="shared" si="174"/>
        <v>0</v>
      </c>
      <c r="X473" s="1095">
        <f t="shared" si="175"/>
        <v>2340</v>
      </c>
      <c r="Y473" s="2909">
        <f t="shared" si="178"/>
        <v>2340</v>
      </c>
      <c r="Z473" s="2913">
        <v>0</v>
      </c>
      <c r="AA473" s="1095">
        <f t="shared" si="176"/>
        <v>0</v>
      </c>
      <c r="AB473" s="1095">
        <f t="shared" si="177"/>
        <v>0</v>
      </c>
      <c r="AC473" s="2909">
        <f t="shared" si="179"/>
        <v>0</v>
      </c>
    </row>
    <row r="474" spans="1:29">
      <c r="A474" s="1780" t="s">
        <v>4548</v>
      </c>
      <c r="B474" s="1780"/>
      <c r="C474" s="2901">
        <v>120</v>
      </c>
      <c r="D474" s="2902">
        <f t="shared" si="180"/>
        <v>3.4289829065202112E-4</v>
      </c>
      <c r="E474" s="1083">
        <v>10800</v>
      </c>
      <c r="F474" s="2952">
        <f t="shared" si="181"/>
        <v>3.7753814437415203E-4</v>
      </c>
      <c r="G474" s="2903">
        <f t="shared" si="169"/>
        <v>10800</v>
      </c>
      <c r="H474" s="2903">
        <f t="shared" si="182"/>
        <v>0</v>
      </c>
      <c r="I474" s="2905">
        <f t="shared" si="170"/>
        <v>6840</v>
      </c>
      <c r="J474" s="1096">
        <v>2092</v>
      </c>
      <c r="K474" s="2479">
        <f t="shared" si="183"/>
        <v>85688.320000000007</v>
      </c>
      <c r="L474" s="398">
        <f t="shared" si="171"/>
        <v>2160</v>
      </c>
      <c r="M474" s="1095">
        <f t="shared" si="172"/>
        <v>11092</v>
      </c>
      <c r="N474" s="2906">
        <f t="shared" si="173"/>
        <v>3.4911146787989426E-4</v>
      </c>
      <c r="O474" s="2907">
        <f t="shared" si="184"/>
        <v>6.2131772278731408E-6</v>
      </c>
      <c r="P474" s="2908">
        <f t="shared" si="185"/>
        <v>36000</v>
      </c>
      <c r="Q474" s="1095">
        <f t="shared" si="186"/>
        <v>9828</v>
      </c>
      <c r="R474" s="2909">
        <f t="shared" si="187"/>
        <v>45828</v>
      </c>
      <c r="S474" s="398">
        <f t="shared" si="188"/>
        <v>0</v>
      </c>
      <c r="T474" s="1095">
        <f t="shared" si="189"/>
        <v>0</v>
      </c>
      <c r="U474" s="398">
        <f t="shared" si="190"/>
        <v>0</v>
      </c>
      <c r="V474" s="2913">
        <v>0</v>
      </c>
      <c r="W474" s="1095">
        <f t="shared" si="174"/>
        <v>11129.44</v>
      </c>
      <c r="X474" s="1095">
        <f t="shared" si="175"/>
        <v>2160</v>
      </c>
      <c r="Y474" s="2909">
        <f t="shared" si="178"/>
        <v>13289.44</v>
      </c>
      <c r="Z474" s="2913">
        <v>0</v>
      </c>
      <c r="AA474" s="1095">
        <f t="shared" si="176"/>
        <v>6004.04</v>
      </c>
      <c r="AB474" s="1095">
        <f t="shared" si="177"/>
        <v>0</v>
      </c>
      <c r="AC474" s="2909">
        <f t="shared" si="179"/>
        <v>6004.04</v>
      </c>
    </row>
    <row r="475" spans="1:29">
      <c r="A475" s="1780" t="s">
        <v>4549</v>
      </c>
      <c r="B475" s="1780"/>
      <c r="C475" s="2901">
        <v>65</v>
      </c>
      <c r="D475" s="2902">
        <f t="shared" si="180"/>
        <v>1.8573657410317809E-4</v>
      </c>
      <c r="E475" s="1083">
        <v>5850</v>
      </c>
      <c r="F475" s="2952">
        <f t="shared" si="181"/>
        <v>2.044998282026657E-4</v>
      </c>
      <c r="G475" s="2903">
        <f t="shared" si="169"/>
        <v>5850</v>
      </c>
      <c r="H475" s="2903">
        <f t="shared" si="182"/>
        <v>0</v>
      </c>
      <c r="I475" s="2905">
        <f t="shared" si="170"/>
        <v>3705</v>
      </c>
      <c r="J475" s="1096">
        <v>1529</v>
      </c>
      <c r="K475" s="2479">
        <f t="shared" si="183"/>
        <v>62627.840000000004</v>
      </c>
      <c r="L475" s="398">
        <f t="shared" si="171"/>
        <v>1170</v>
      </c>
      <c r="M475" s="1095">
        <f t="shared" si="172"/>
        <v>6404</v>
      </c>
      <c r="N475" s="2906">
        <f t="shared" si="173"/>
        <v>2.0156056980732447E-4</v>
      </c>
      <c r="O475" s="2907">
        <f t="shared" si="184"/>
        <v>1.5823995704146372E-5</v>
      </c>
      <c r="P475" s="2908">
        <f t="shared" si="185"/>
        <v>19500</v>
      </c>
      <c r="Q475" s="1095">
        <f t="shared" si="186"/>
        <v>5323.5</v>
      </c>
      <c r="R475" s="2909">
        <f t="shared" si="187"/>
        <v>24823.5</v>
      </c>
      <c r="S475" s="398">
        <f t="shared" si="188"/>
        <v>0</v>
      </c>
      <c r="T475" s="1095">
        <f t="shared" si="189"/>
        <v>0</v>
      </c>
      <c r="U475" s="398">
        <f t="shared" si="190"/>
        <v>0</v>
      </c>
      <c r="V475" s="2913">
        <v>0</v>
      </c>
      <c r="W475" s="1095">
        <f t="shared" si="174"/>
        <v>8134.2800000000007</v>
      </c>
      <c r="X475" s="1095">
        <f t="shared" si="175"/>
        <v>1170</v>
      </c>
      <c r="Y475" s="2909">
        <f t="shared" si="178"/>
        <v>9304.2800000000007</v>
      </c>
      <c r="Z475" s="2913">
        <v>0</v>
      </c>
      <c r="AA475" s="1095">
        <f t="shared" si="176"/>
        <v>4388.2300000000005</v>
      </c>
      <c r="AB475" s="1095">
        <f t="shared" si="177"/>
        <v>0</v>
      </c>
      <c r="AC475" s="2909">
        <f t="shared" si="179"/>
        <v>4388.2300000000005</v>
      </c>
    </row>
    <row r="476" spans="1:29">
      <c r="A476" s="1780" t="s">
        <v>4550</v>
      </c>
      <c r="B476" s="1780"/>
      <c r="C476" s="2901">
        <v>110</v>
      </c>
      <c r="D476" s="2902">
        <f t="shared" si="180"/>
        <v>3.14323433097686E-4</v>
      </c>
      <c r="E476" s="1083">
        <v>9900</v>
      </c>
      <c r="F476" s="2952">
        <f t="shared" si="181"/>
        <v>3.460766323429727E-4</v>
      </c>
      <c r="G476" s="2903">
        <f t="shared" si="169"/>
        <v>9900</v>
      </c>
      <c r="H476" s="2903">
        <f t="shared" si="182"/>
        <v>0</v>
      </c>
      <c r="I476" s="2905">
        <f t="shared" si="170"/>
        <v>6270</v>
      </c>
      <c r="J476" s="1096">
        <v>2588</v>
      </c>
      <c r="K476" s="2479">
        <f t="shared" si="183"/>
        <v>106004.48</v>
      </c>
      <c r="L476" s="398">
        <f t="shared" si="171"/>
        <v>1980</v>
      </c>
      <c r="M476" s="1095">
        <f t="shared" si="172"/>
        <v>10838</v>
      </c>
      <c r="N476" s="2906">
        <f t="shared" si="173"/>
        <v>3.4111702928978489E-4</v>
      </c>
      <c r="O476" s="2907">
        <f t="shared" si="184"/>
        <v>2.679359619209889E-5</v>
      </c>
      <c r="P476" s="2908">
        <f t="shared" si="185"/>
        <v>33000</v>
      </c>
      <c r="Q476" s="1095">
        <f t="shared" si="186"/>
        <v>9009</v>
      </c>
      <c r="R476" s="2909">
        <f t="shared" si="187"/>
        <v>42009</v>
      </c>
      <c r="S476" s="398">
        <f t="shared" si="188"/>
        <v>0</v>
      </c>
      <c r="T476" s="1095">
        <f t="shared" si="189"/>
        <v>0</v>
      </c>
      <c r="U476" s="398">
        <f t="shared" si="190"/>
        <v>0</v>
      </c>
      <c r="V476" s="2913">
        <v>0</v>
      </c>
      <c r="W476" s="1095">
        <f t="shared" si="174"/>
        <v>13768.16</v>
      </c>
      <c r="X476" s="1095">
        <f t="shared" si="175"/>
        <v>1980</v>
      </c>
      <c r="Y476" s="2909">
        <f t="shared" si="178"/>
        <v>15748.16</v>
      </c>
      <c r="Z476" s="2913">
        <v>0</v>
      </c>
      <c r="AA476" s="1095">
        <f t="shared" si="176"/>
        <v>7427.56</v>
      </c>
      <c r="AB476" s="1095">
        <f t="shared" si="177"/>
        <v>0</v>
      </c>
      <c r="AC476" s="2909">
        <f t="shared" si="179"/>
        <v>7427.56</v>
      </c>
    </row>
    <row r="477" spans="1:29">
      <c r="A477" s="1780" t="s">
        <v>4551</v>
      </c>
      <c r="B477" s="1780"/>
      <c r="C477" s="2901">
        <v>80</v>
      </c>
      <c r="D477" s="2902">
        <f t="shared" si="180"/>
        <v>2.2859886043468072E-4</v>
      </c>
      <c r="E477" s="1083">
        <v>7200</v>
      </c>
      <c r="F477" s="2952">
        <f t="shared" si="181"/>
        <v>2.5169209624943472E-4</v>
      </c>
      <c r="G477" s="2903">
        <f t="shared" si="169"/>
        <v>7200</v>
      </c>
      <c r="H477" s="2903">
        <f t="shared" si="182"/>
        <v>0</v>
      </c>
      <c r="I477" s="2905">
        <f t="shared" si="170"/>
        <v>4560</v>
      </c>
      <c r="J477" s="1096">
        <v>0</v>
      </c>
      <c r="K477" s="2479">
        <f t="shared" si="183"/>
        <v>0</v>
      </c>
      <c r="L477" s="398">
        <f t="shared" si="171"/>
        <v>1440</v>
      </c>
      <c r="M477" s="1095">
        <f t="shared" si="172"/>
        <v>6000</v>
      </c>
      <c r="N477" s="2906">
        <f t="shared" si="173"/>
        <v>1.8884500606557571E-4</v>
      </c>
      <c r="O477" s="2907">
        <f t="shared" si="184"/>
        <v>-3.9753854369105015E-5</v>
      </c>
      <c r="P477" s="2908">
        <f t="shared" si="185"/>
        <v>24000</v>
      </c>
      <c r="Q477" s="1095">
        <f t="shared" si="186"/>
        <v>6552</v>
      </c>
      <c r="R477" s="2909">
        <f t="shared" si="187"/>
        <v>30552</v>
      </c>
      <c r="S477" s="398">
        <f t="shared" si="188"/>
        <v>0</v>
      </c>
      <c r="T477" s="1095">
        <f t="shared" si="189"/>
        <v>0</v>
      </c>
      <c r="U477" s="398">
        <f t="shared" si="190"/>
        <v>0</v>
      </c>
      <c r="V477" s="2913">
        <v>0</v>
      </c>
      <c r="W477" s="1095">
        <f t="shared" si="174"/>
        <v>0</v>
      </c>
      <c r="X477" s="1095">
        <f t="shared" si="175"/>
        <v>1440</v>
      </c>
      <c r="Y477" s="2909">
        <f t="shared" si="178"/>
        <v>1440</v>
      </c>
      <c r="Z477" s="2913">
        <v>0</v>
      </c>
      <c r="AA477" s="1095">
        <f t="shared" si="176"/>
        <v>0</v>
      </c>
      <c r="AB477" s="1095">
        <f t="shared" si="177"/>
        <v>0</v>
      </c>
      <c r="AC477" s="2909">
        <f t="shared" si="179"/>
        <v>0</v>
      </c>
    </row>
    <row r="478" spans="1:29">
      <c r="A478" s="1780" t="s">
        <v>4552</v>
      </c>
      <c r="B478" s="1780"/>
      <c r="C478" s="2901">
        <v>220</v>
      </c>
      <c r="D478" s="2902">
        <f t="shared" si="180"/>
        <v>6.2864686619537201E-4</v>
      </c>
      <c r="E478" s="1083">
        <v>19800</v>
      </c>
      <c r="F478" s="2952">
        <f t="shared" si="181"/>
        <v>6.921532646859454E-4</v>
      </c>
      <c r="G478" s="2903">
        <f t="shared" si="169"/>
        <v>19800</v>
      </c>
      <c r="H478" s="2903">
        <f t="shared" si="182"/>
        <v>0</v>
      </c>
      <c r="I478" s="2905">
        <f t="shared" si="170"/>
        <v>12540</v>
      </c>
      <c r="J478" s="1096">
        <v>3836</v>
      </c>
      <c r="K478" s="2479">
        <f t="shared" si="183"/>
        <v>157122.56</v>
      </c>
      <c r="L478" s="398">
        <f t="shared" si="171"/>
        <v>3960</v>
      </c>
      <c r="M478" s="1095">
        <f t="shared" si="172"/>
        <v>20336</v>
      </c>
      <c r="N478" s="2906">
        <f t="shared" si="173"/>
        <v>6.4005867389159128E-4</v>
      </c>
      <c r="O478" s="2907">
        <f t="shared" si="184"/>
        <v>1.1411807696219277E-5</v>
      </c>
      <c r="P478" s="2908">
        <f t="shared" si="185"/>
        <v>66000</v>
      </c>
      <c r="Q478" s="1095">
        <f t="shared" si="186"/>
        <v>18018</v>
      </c>
      <c r="R478" s="2909">
        <f t="shared" si="187"/>
        <v>84018</v>
      </c>
      <c r="S478" s="398">
        <f t="shared" si="188"/>
        <v>0</v>
      </c>
      <c r="T478" s="1095">
        <f t="shared" si="189"/>
        <v>0</v>
      </c>
      <c r="U478" s="398">
        <f t="shared" si="190"/>
        <v>0</v>
      </c>
      <c r="V478" s="2913">
        <v>0</v>
      </c>
      <c r="W478" s="1095">
        <f t="shared" si="174"/>
        <v>20407.52</v>
      </c>
      <c r="X478" s="1095">
        <f t="shared" si="175"/>
        <v>3960</v>
      </c>
      <c r="Y478" s="2909">
        <f t="shared" si="178"/>
        <v>24367.52</v>
      </c>
      <c r="Z478" s="2913">
        <v>0</v>
      </c>
      <c r="AA478" s="1095">
        <f t="shared" si="176"/>
        <v>11009.32</v>
      </c>
      <c r="AB478" s="1095">
        <f t="shared" si="177"/>
        <v>0</v>
      </c>
      <c r="AC478" s="2909">
        <f t="shared" si="179"/>
        <v>11009.32</v>
      </c>
    </row>
    <row r="479" spans="1:29">
      <c r="A479" s="1780" t="s">
        <v>4553</v>
      </c>
      <c r="B479" s="1780"/>
      <c r="C479" s="2901">
        <v>730</v>
      </c>
      <c r="D479" s="2902">
        <f t="shared" si="180"/>
        <v>2.0859646014664618E-3</v>
      </c>
      <c r="E479" s="1083">
        <v>65700</v>
      </c>
      <c r="F479" s="2952">
        <f t="shared" si="181"/>
        <v>2.2966903782760915E-3</v>
      </c>
      <c r="G479" s="2903">
        <f t="shared" si="169"/>
        <v>65700</v>
      </c>
      <c r="H479" s="2903">
        <f t="shared" si="182"/>
        <v>0</v>
      </c>
      <c r="I479" s="2905">
        <f t="shared" si="170"/>
        <v>41610</v>
      </c>
      <c r="J479" s="1096">
        <v>17184</v>
      </c>
      <c r="K479" s="2479">
        <f t="shared" si="183"/>
        <v>703856.64000000001</v>
      </c>
      <c r="L479" s="398">
        <f t="shared" si="171"/>
        <v>13140</v>
      </c>
      <c r="M479" s="1095">
        <f t="shared" si="172"/>
        <v>71934</v>
      </c>
      <c r="N479" s="2906">
        <f t="shared" si="173"/>
        <v>2.2640627777201871E-3</v>
      </c>
      <c r="O479" s="2907">
        <f t="shared" si="184"/>
        <v>1.7809817625372539E-4</v>
      </c>
      <c r="P479" s="2908">
        <f t="shared" si="185"/>
        <v>219000</v>
      </c>
      <c r="Q479" s="1095">
        <f t="shared" si="186"/>
        <v>59787</v>
      </c>
      <c r="R479" s="2909">
        <f t="shared" si="187"/>
        <v>278787</v>
      </c>
      <c r="S479" s="398">
        <f t="shared" si="188"/>
        <v>0</v>
      </c>
      <c r="T479" s="1095">
        <f t="shared" si="189"/>
        <v>0</v>
      </c>
      <c r="U479" s="398">
        <f t="shared" si="190"/>
        <v>0</v>
      </c>
      <c r="V479" s="2913">
        <v>0</v>
      </c>
      <c r="W479" s="1095">
        <f t="shared" si="174"/>
        <v>91418.880000000005</v>
      </c>
      <c r="X479" s="1095">
        <f t="shared" si="175"/>
        <v>13140</v>
      </c>
      <c r="Y479" s="2909">
        <f t="shared" si="178"/>
        <v>104558.88</v>
      </c>
      <c r="Z479" s="2913">
        <v>0</v>
      </c>
      <c r="AA479" s="1095">
        <f t="shared" si="176"/>
        <v>49318.080000000002</v>
      </c>
      <c r="AB479" s="1095">
        <f t="shared" si="177"/>
        <v>0</v>
      </c>
      <c r="AC479" s="2909">
        <f t="shared" si="179"/>
        <v>49318.080000000002</v>
      </c>
    </row>
    <row r="480" spans="1:29">
      <c r="A480" s="1780" t="s">
        <v>4554</v>
      </c>
      <c r="B480" s="1780"/>
      <c r="C480" s="2901">
        <v>65</v>
      </c>
      <c r="D480" s="2902">
        <f t="shared" si="180"/>
        <v>1.8573657410317809E-4</v>
      </c>
      <c r="E480" s="1083">
        <v>5850</v>
      </c>
      <c r="F480" s="2952">
        <f t="shared" si="181"/>
        <v>2.044998282026657E-4</v>
      </c>
      <c r="G480" s="2903">
        <f t="shared" si="169"/>
        <v>5850</v>
      </c>
      <c r="H480" s="2903">
        <f t="shared" si="182"/>
        <v>0</v>
      </c>
      <c r="I480" s="2905">
        <f t="shared" si="170"/>
        <v>3705</v>
      </c>
      <c r="J480" s="1096">
        <v>1133</v>
      </c>
      <c r="K480" s="2479">
        <f t="shared" si="183"/>
        <v>46407.68</v>
      </c>
      <c r="L480" s="398">
        <f t="shared" si="171"/>
        <v>1170</v>
      </c>
      <c r="M480" s="1095">
        <f t="shared" si="172"/>
        <v>6008</v>
      </c>
      <c r="N480" s="2906">
        <f t="shared" si="173"/>
        <v>1.8909679940699647E-4</v>
      </c>
      <c r="O480" s="2907">
        <f t="shared" si="184"/>
        <v>3.3602253038183757E-6</v>
      </c>
      <c r="P480" s="2908">
        <f t="shared" si="185"/>
        <v>19500</v>
      </c>
      <c r="Q480" s="1095">
        <f t="shared" si="186"/>
        <v>5323.5</v>
      </c>
      <c r="R480" s="2909">
        <f t="shared" si="187"/>
        <v>24823.5</v>
      </c>
      <c r="S480" s="398">
        <f t="shared" si="188"/>
        <v>0</v>
      </c>
      <c r="T480" s="1095">
        <f t="shared" si="189"/>
        <v>0</v>
      </c>
      <c r="U480" s="398">
        <f t="shared" si="190"/>
        <v>0</v>
      </c>
      <c r="V480" s="2913">
        <v>0</v>
      </c>
      <c r="W480" s="1095">
        <f t="shared" si="174"/>
        <v>6027.56</v>
      </c>
      <c r="X480" s="1095">
        <f t="shared" si="175"/>
        <v>1170</v>
      </c>
      <c r="Y480" s="2909">
        <f t="shared" si="178"/>
        <v>7197.56</v>
      </c>
      <c r="Z480" s="2913">
        <v>0</v>
      </c>
      <c r="AA480" s="1095">
        <f t="shared" si="176"/>
        <v>3251.71</v>
      </c>
      <c r="AB480" s="1095">
        <f t="shared" si="177"/>
        <v>0</v>
      </c>
      <c r="AC480" s="2909">
        <f t="shared" si="179"/>
        <v>3251.71</v>
      </c>
    </row>
    <row r="481" spans="1:29">
      <c r="A481" s="1780" t="s">
        <v>4555</v>
      </c>
      <c r="B481" s="1780"/>
      <c r="C481" s="2901">
        <v>264</v>
      </c>
      <c r="D481" s="2902">
        <f t="shared" si="180"/>
        <v>7.5437623943444641E-4</v>
      </c>
      <c r="E481" s="1083">
        <v>23760</v>
      </c>
      <c r="F481" s="2952">
        <f t="shared" si="181"/>
        <v>8.3058391762313446E-4</v>
      </c>
      <c r="G481" s="2903">
        <f t="shared" si="169"/>
        <v>23760</v>
      </c>
      <c r="H481" s="2903">
        <f t="shared" si="182"/>
        <v>0</v>
      </c>
      <c r="I481" s="2905">
        <f t="shared" si="170"/>
        <v>15048</v>
      </c>
      <c r="J481" s="1096">
        <v>6214</v>
      </c>
      <c r="K481" s="2479">
        <f t="shared" si="183"/>
        <v>254525.44</v>
      </c>
      <c r="L481" s="398">
        <f t="shared" si="171"/>
        <v>4752</v>
      </c>
      <c r="M481" s="1095">
        <f t="shared" si="172"/>
        <v>26014</v>
      </c>
      <c r="N481" s="2906">
        <f t="shared" si="173"/>
        <v>8.1876899796498104E-4</v>
      </c>
      <c r="O481" s="2907">
        <f t="shared" si="184"/>
        <v>6.4392758530534638E-5</v>
      </c>
      <c r="P481" s="2908">
        <f t="shared" si="185"/>
        <v>79200</v>
      </c>
      <c r="Q481" s="1095">
        <f t="shared" si="186"/>
        <v>21621.600000000002</v>
      </c>
      <c r="R481" s="2909">
        <f t="shared" si="187"/>
        <v>100821.6</v>
      </c>
      <c r="S481" s="398">
        <f t="shared" si="188"/>
        <v>0</v>
      </c>
      <c r="T481" s="1095">
        <f t="shared" si="189"/>
        <v>0</v>
      </c>
      <c r="U481" s="398">
        <f t="shared" si="190"/>
        <v>0</v>
      </c>
      <c r="V481" s="2913">
        <v>0</v>
      </c>
      <c r="W481" s="1095">
        <f t="shared" si="174"/>
        <v>33058.480000000003</v>
      </c>
      <c r="X481" s="1095">
        <f t="shared" si="175"/>
        <v>4752</v>
      </c>
      <c r="Y481" s="2909">
        <f t="shared" si="178"/>
        <v>37810.480000000003</v>
      </c>
      <c r="Z481" s="2913">
        <v>0</v>
      </c>
      <c r="AA481" s="1095">
        <f t="shared" si="176"/>
        <v>17834.18</v>
      </c>
      <c r="AB481" s="1095">
        <f t="shared" si="177"/>
        <v>0</v>
      </c>
      <c r="AC481" s="2909">
        <f t="shared" si="179"/>
        <v>17834.18</v>
      </c>
    </row>
    <row r="482" spans="1:29">
      <c r="A482" s="1780" t="s">
        <v>4556</v>
      </c>
      <c r="B482" s="1780"/>
      <c r="C482" s="2901">
        <v>165</v>
      </c>
      <c r="D482" s="2902">
        <f t="shared" si="180"/>
        <v>4.71485149646529E-4</v>
      </c>
      <c r="E482" s="1083">
        <v>14850</v>
      </c>
      <c r="F482" s="2952">
        <f t="shared" si="181"/>
        <v>5.1911494851445902E-4</v>
      </c>
      <c r="G482" s="2903">
        <f t="shared" si="169"/>
        <v>14850</v>
      </c>
      <c r="H482" s="2903">
        <f t="shared" si="182"/>
        <v>0</v>
      </c>
      <c r="I482" s="2905">
        <f t="shared" si="170"/>
        <v>9405</v>
      </c>
      <c r="J482" s="1096">
        <v>1221</v>
      </c>
      <c r="K482" s="2479">
        <f t="shared" si="183"/>
        <v>50012.160000000003</v>
      </c>
      <c r="L482" s="398">
        <f t="shared" si="171"/>
        <v>2970</v>
      </c>
      <c r="M482" s="1095">
        <f t="shared" si="172"/>
        <v>13596</v>
      </c>
      <c r="N482" s="2906">
        <f t="shared" si="173"/>
        <v>4.2792278374459452E-4</v>
      </c>
      <c r="O482" s="2907">
        <f t="shared" si="184"/>
        <v>-4.3562365901934485E-5</v>
      </c>
      <c r="P482" s="2908">
        <f t="shared" si="185"/>
        <v>49500</v>
      </c>
      <c r="Q482" s="1095">
        <f t="shared" si="186"/>
        <v>13513.5</v>
      </c>
      <c r="R482" s="2909">
        <f t="shared" si="187"/>
        <v>63013.5</v>
      </c>
      <c r="S482" s="398">
        <f t="shared" si="188"/>
        <v>0</v>
      </c>
      <c r="T482" s="1095">
        <f t="shared" si="189"/>
        <v>0</v>
      </c>
      <c r="U482" s="398">
        <f t="shared" si="190"/>
        <v>0</v>
      </c>
      <c r="V482" s="2913">
        <v>0</v>
      </c>
      <c r="W482" s="1095">
        <f t="shared" si="174"/>
        <v>6495.72</v>
      </c>
      <c r="X482" s="1095">
        <f t="shared" si="175"/>
        <v>2970</v>
      </c>
      <c r="Y482" s="2909">
        <f t="shared" si="178"/>
        <v>9465.7200000000012</v>
      </c>
      <c r="Z482" s="2913">
        <v>0</v>
      </c>
      <c r="AA482" s="1095">
        <f t="shared" si="176"/>
        <v>3504.27</v>
      </c>
      <c r="AB482" s="1095">
        <f t="shared" si="177"/>
        <v>0</v>
      </c>
      <c r="AC482" s="2909">
        <f t="shared" si="179"/>
        <v>3504.27</v>
      </c>
    </row>
    <row r="483" spans="1:29">
      <c r="A483" s="1780" t="s">
        <v>4557</v>
      </c>
      <c r="B483" s="1780"/>
      <c r="C483" s="2901">
        <v>40</v>
      </c>
      <c r="D483" s="2902">
        <f t="shared" si="180"/>
        <v>1.1429943021734036E-4</v>
      </c>
      <c r="E483" s="1083">
        <v>3600</v>
      </c>
      <c r="F483" s="2952">
        <f t="shared" si="181"/>
        <v>1.2584604812471736E-4</v>
      </c>
      <c r="G483" s="2903">
        <f t="shared" si="169"/>
        <v>3600</v>
      </c>
      <c r="H483" s="2903">
        <f t="shared" si="182"/>
        <v>0</v>
      </c>
      <c r="I483" s="2905">
        <f t="shared" si="170"/>
        <v>2280</v>
      </c>
      <c r="J483" s="1096">
        <v>940</v>
      </c>
      <c r="K483" s="2479">
        <f t="shared" si="183"/>
        <v>38502.400000000001</v>
      </c>
      <c r="L483" s="398">
        <f t="shared" si="171"/>
        <v>720</v>
      </c>
      <c r="M483" s="1095">
        <f t="shared" si="172"/>
        <v>3940</v>
      </c>
      <c r="N483" s="2906">
        <f t="shared" si="173"/>
        <v>1.2400822064972806E-4</v>
      </c>
      <c r="O483" s="2907">
        <f t="shared" si="184"/>
        <v>9.7087904323876973E-6</v>
      </c>
      <c r="P483" s="2908">
        <f t="shared" si="185"/>
        <v>12000</v>
      </c>
      <c r="Q483" s="1095">
        <f t="shared" si="186"/>
        <v>3276</v>
      </c>
      <c r="R483" s="2909">
        <f t="shared" si="187"/>
        <v>15276</v>
      </c>
      <c r="S483" s="398">
        <f t="shared" si="188"/>
        <v>0</v>
      </c>
      <c r="T483" s="1095">
        <f t="shared" si="189"/>
        <v>0</v>
      </c>
      <c r="U483" s="398">
        <f t="shared" si="190"/>
        <v>0</v>
      </c>
      <c r="V483" s="2913">
        <v>0</v>
      </c>
      <c r="W483" s="1095">
        <f t="shared" si="174"/>
        <v>5000.8</v>
      </c>
      <c r="X483" s="1095">
        <f t="shared" si="175"/>
        <v>720</v>
      </c>
      <c r="Y483" s="2909">
        <f t="shared" si="178"/>
        <v>5720.8</v>
      </c>
      <c r="Z483" s="2913">
        <v>0</v>
      </c>
      <c r="AA483" s="1095">
        <f t="shared" si="176"/>
        <v>2697.8</v>
      </c>
      <c r="AB483" s="1095">
        <f t="shared" si="177"/>
        <v>0</v>
      </c>
      <c r="AC483" s="2909">
        <f t="shared" si="179"/>
        <v>2697.8</v>
      </c>
    </row>
    <row r="484" spans="1:29">
      <c r="A484" s="1780" t="s">
        <v>4558</v>
      </c>
      <c r="B484" s="1780"/>
      <c r="C484" s="2901">
        <v>55</v>
      </c>
      <c r="D484" s="2902">
        <f t="shared" si="180"/>
        <v>1.57161716548843E-4</v>
      </c>
      <c r="E484" s="1083">
        <v>4950</v>
      </c>
      <c r="F484" s="2952">
        <f t="shared" si="181"/>
        <v>1.7303831617148635E-4</v>
      </c>
      <c r="G484" s="2903">
        <f t="shared" si="169"/>
        <v>4950</v>
      </c>
      <c r="H484" s="2903">
        <f t="shared" si="182"/>
        <v>0</v>
      </c>
      <c r="I484" s="2905">
        <f t="shared" si="170"/>
        <v>3135</v>
      </c>
      <c r="J484" s="1096">
        <v>0</v>
      </c>
      <c r="K484" s="2479">
        <f t="shared" si="183"/>
        <v>0</v>
      </c>
      <c r="L484" s="398">
        <f t="shared" si="171"/>
        <v>990</v>
      </c>
      <c r="M484" s="1095">
        <f t="shared" si="172"/>
        <v>4125</v>
      </c>
      <c r="N484" s="2906">
        <f t="shared" si="173"/>
        <v>1.298309416700833E-4</v>
      </c>
      <c r="O484" s="2907">
        <f t="shared" si="184"/>
        <v>-2.7330774878759706E-5</v>
      </c>
      <c r="P484" s="2908">
        <f t="shared" si="185"/>
        <v>16500</v>
      </c>
      <c r="Q484" s="1095">
        <f t="shared" si="186"/>
        <v>4504.5</v>
      </c>
      <c r="R484" s="2909">
        <f t="shared" si="187"/>
        <v>21004.5</v>
      </c>
      <c r="S484" s="398">
        <f t="shared" si="188"/>
        <v>0</v>
      </c>
      <c r="T484" s="1095">
        <f t="shared" si="189"/>
        <v>0</v>
      </c>
      <c r="U484" s="398">
        <f t="shared" si="190"/>
        <v>0</v>
      </c>
      <c r="V484" s="2913">
        <v>0</v>
      </c>
      <c r="W484" s="1095">
        <f t="shared" si="174"/>
        <v>0</v>
      </c>
      <c r="X484" s="1095">
        <f t="shared" si="175"/>
        <v>990</v>
      </c>
      <c r="Y484" s="2909">
        <f t="shared" si="178"/>
        <v>990</v>
      </c>
      <c r="Z484" s="2913">
        <v>0</v>
      </c>
      <c r="AA484" s="1095">
        <f t="shared" si="176"/>
        <v>0</v>
      </c>
      <c r="AB484" s="1095">
        <f t="shared" si="177"/>
        <v>0</v>
      </c>
      <c r="AC484" s="2909">
        <f t="shared" si="179"/>
        <v>0</v>
      </c>
    </row>
    <row r="485" spans="1:29">
      <c r="A485" s="1780" t="s">
        <v>4559</v>
      </c>
      <c r="B485" s="1780"/>
      <c r="C485" s="2901">
        <v>100</v>
      </c>
      <c r="D485" s="2902">
        <f t="shared" si="180"/>
        <v>2.8574857554335094E-4</v>
      </c>
      <c r="E485" s="1083">
        <v>9000</v>
      </c>
      <c r="F485" s="2952">
        <f t="shared" si="181"/>
        <v>3.1461512031179337E-4</v>
      </c>
      <c r="G485" s="2903">
        <f t="shared" si="169"/>
        <v>9000</v>
      </c>
      <c r="H485" s="2903">
        <f t="shared" si="182"/>
        <v>0</v>
      </c>
      <c r="I485" s="2905">
        <f t="shared" si="170"/>
        <v>5700</v>
      </c>
      <c r="J485" s="1096">
        <v>1744</v>
      </c>
      <c r="K485" s="2479">
        <f t="shared" si="183"/>
        <v>71434.240000000005</v>
      </c>
      <c r="L485" s="398">
        <f t="shared" si="171"/>
        <v>1800</v>
      </c>
      <c r="M485" s="1095">
        <f t="shared" si="172"/>
        <v>9244</v>
      </c>
      <c r="N485" s="2906">
        <f t="shared" si="173"/>
        <v>2.9094720601169696E-4</v>
      </c>
      <c r="O485" s="2907">
        <f t="shared" si="184"/>
        <v>5.1986304683460278E-6</v>
      </c>
      <c r="P485" s="2908">
        <f t="shared" si="185"/>
        <v>30000</v>
      </c>
      <c r="Q485" s="1095">
        <f t="shared" si="186"/>
        <v>8190</v>
      </c>
      <c r="R485" s="2909">
        <f t="shared" si="187"/>
        <v>38190</v>
      </c>
      <c r="S485" s="398">
        <f t="shared" si="188"/>
        <v>0</v>
      </c>
      <c r="T485" s="1095">
        <f t="shared" si="189"/>
        <v>0</v>
      </c>
      <c r="U485" s="398">
        <f t="shared" si="190"/>
        <v>0</v>
      </c>
      <c r="V485" s="2913">
        <v>0</v>
      </c>
      <c r="W485" s="1095">
        <f t="shared" si="174"/>
        <v>9278.08</v>
      </c>
      <c r="X485" s="1095">
        <f t="shared" si="175"/>
        <v>1800</v>
      </c>
      <c r="Y485" s="2909">
        <f t="shared" si="178"/>
        <v>11078.08</v>
      </c>
      <c r="Z485" s="2913">
        <v>0</v>
      </c>
      <c r="AA485" s="1095">
        <f t="shared" si="176"/>
        <v>5005.28</v>
      </c>
      <c r="AB485" s="1095">
        <f t="shared" si="177"/>
        <v>0</v>
      </c>
      <c r="AC485" s="2909">
        <f t="shared" si="179"/>
        <v>5005.28</v>
      </c>
    </row>
    <row r="486" spans="1:29">
      <c r="A486" s="1780" t="s">
        <v>4560</v>
      </c>
      <c r="B486" s="1780"/>
      <c r="C486" s="2901">
        <v>115</v>
      </c>
      <c r="D486" s="2902">
        <f t="shared" si="180"/>
        <v>3.2861086187485356E-4</v>
      </c>
      <c r="E486" s="1083">
        <v>10350</v>
      </c>
      <c r="F486" s="2952">
        <f t="shared" si="181"/>
        <v>3.6180738835856239E-4</v>
      </c>
      <c r="G486" s="2903">
        <f t="shared" si="169"/>
        <v>10350</v>
      </c>
      <c r="H486" s="2903">
        <f t="shared" si="182"/>
        <v>0</v>
      </c>
      <c r="I486" s="2905">
        <f t="shared" si="170"/>
        <v>6555</v>
      </c>
      <c r="J486" s="1096">
        <v>2706</v>
      </c>
      <c r="K486" s="2479">
        <f t="shared" si="183"/>
        <v>110837.76000000001</v>
      </c>
      <c r="L486" s="398">
        <f t="shared" si="171"/>
        <v>2070</v>
      </c>
      <c r="M486" s="1095">
        <f t="shared" si="172"/>
        <v>11331</v>
      </c>
      <c r="N486" s="2906">
        <f t="shared" si="173"/>
        <v>3.5663379395483972E-4</v>
      </c>
      <c r="O486" s="2907">
        <f t="shared" si="184"/>
        <v>2.8022932079986161E-5</v>
      </c>
      <c r="P486" s="2908">
        <f t="shared" si="185"/>
        <v>34500</v>
      </c>
      <c r="Q486" s="1095">
        <f t="shared" si="186"/>
        <v>9418.5</v>
      </c>
      <c r="R486" s="2909">
        <f t="shared" si="187"/>
        <v>43918.5</v>
      </c>
      <c r="S486" s="398">
        <f t="shared" si="188"/>
        <v>0</v>
      </c>
      <c r="T486" s="1095">
        <f t="shared" si="189"/>
        <v>0</v>
      </c>
      <c r="U486" s="398">
        <f t="shared" si="190"/>
        <v>0</v>
      </c>
      <c r="V486" s="2913">
        <v>0</v>
      </c>
      <c r="W486" s="1095">
        <f t="shared" si="174"/>
        <v>14395.92</v>
      </c>
      <c r="X486" s="1095">
        <f t="shared" si="175"/>
        <v>2070</v>
      </c>
      <c r="Y486" s="2909">
        <f t="shared" si="178"/>
        <v>16465.919999999998</v>
      </c>
      <c r="Z486" s="2913">
        <v>0</v>
      </c>
      <c r="AA486" s="1095">
        <f t="shared" si="176"/>
        <v>7766.22</v>
      </c>
      <c r="AB486" s="1095">
        <f t="shared" si="177"/>
        <v>0</v>
      </c>
      <c r="AC486" s="2909">
        <f t="shared" si="179"/>
        <v>7766.22</v>
      </c>
    </row>
    <row r="487" spans="1:29">
      <c r="A487" s="1780" t="s">
        <v>4561</v>
      </c>
      <c r="B487" s="1780"/>
      <c r="C487" s="2901">
        <v>275</v>
      </c>
      <c r="D487" s="2902">
        <f t="shared" si="180"/>
        <v>7.8580858274421501E-4</v>
      </c>
      <c r="E487" s="1083">
        <v>24750</v>
      </c>
      <c r="F487" s="2952">
        <f t="shared" si="181"/>
        <v>8.6519158085743178E-4</v>
      </c>
      <c r="G487" s="2903">
        <f t="shared" si="169"/>
        <v>24750</v>
      </c>
      <c r="H487" s="2903">
        <f t="shared" si="182"/>
        <v>0</v>
      </c>
      <c r="I487" s="2905">
        <f t="shared" si="170"/>
        <v>15675</v>
      </c>
      <c r="J487" s="1096">
        <v>4796</v>
      </c>
      <c r="K487" s="2479">
        <f t="shared" si="183"/>
        <v>196444.16</v>
      </c>
      <c r="L487" s="398">
        <f t="shared" si="171"/>
        <v>4950</v>
      </c>
      <c r="M487" s="1095">
        <f t="shared" si="172"/>
        <v>25421</v>
      </c>
      <c r="N487" s="2906">
        <f t="shared" si="173"/>
        <v>8.0010481653216669E-4</v>
      </c>
      <c r="O487" s="2907">
        <f t="shared" si="184"/>
        <v>1.4296233787951685E-5</v>
      </c>
      <c r="P487" s="2908">
        <f t="shared" si="185"/>
        <v>82500</v>
      </c>
      <c r="Q487" s="1095">
        <f t="shared" si="186"/>
        <v>22522.5</v>
      </c>
      <c r="R487" s="2909">
        <f t="shared" si="187"/>
        <v>105022.5</v>
      </c>
      <c r="S487" s="398">
        <f t="shared" si="188"/>
        <v>0</v>
      </c>
      <c r="T487" s="1095">
        <f t="shared" si="189"/>
        <v>0</v>
      </c>
      <c r="U487" s="398">
        <f t="shared" si="190"/>
        <v>0</v>
      </c>
      <c r="V487" s="2913">
        <v>0</v>
      </c>
      <c r="W487" s="1095">
        <f t="shared" si="174"/>
        <v>25514.720000000001</v>
      </c>
      <c r="X487" s="1095">
        <f t="shared" si="175"/>
        <v>4950</v>
      </c>
      <c r="Y487" s="2909">
        <f t="shared" si="178"/>
        <v>30464.720000000001</v>
      </c>
      <c r="Z487" s="2913">
        <v>0</v>
      </c>
      <c r="AA487" s="1095">
        <f t="shared" si="176"/>
        <v>13764.52</v>
      </c>
      <c r="AB487" s="1095">
        <f t="shared" si="177"/>
        <v>0</v>
      </c>
      <c r="AC487" s="2909">
        <f t="shared" si="179"/>
        <v>13764.52</v>
      </c>
    </row>
    <row r="488" spans="1:29">
      <c r="A488" s="1780" t="s">
        <v>4562</v>
      </c>
      <c r="B488" s="1780"/>
      <c r="C488" s="2901">
        <v>80</v>
      </c>
      <c r="D488" s="2902">
        <f t="shared" si="180"/>
        <v>2.2859886043468072E-4</v>
      </c>
      <c r="E488" s="1083">
        <v>7200</v>
      </c>
      <c r="F488" s="2952">
        <f t="shared" si="181"/>
        <v>2.5169209624943472E-4</v>
      </c>
      <c r="G488" s="2903">
        <f t="shared" si="169"/>
        <v>7200</v>
      </c>
      <c r="H488" s="2903">
        <f t="shared" si="182"/>
        <v>0</v>
      </c>
      <c r="I488" s="2905">
        <f t="shared" si="170"/>
        <v>4560</v>
      </c>
      <c r="J488" s="1096">
        <v>0</v>
      </c>
      <c r="K488" s="2479">
        <f t="shared" si="183"/>
        <v>0</v>
      </c>
      <c r="L488" s="398">
        <f t="shared" si="171"/>
        <v>1440</v>
      </c>
      <c r="M488" s="1095">
        <f t="shared" si="172"/>
        <v>6000</v>
      </c>
      <c r="N488" s="2906">
        <f t="shared" si="173"/>
        <v>1.8884500606557571E-4</v>
      </c>
      <c r="O488" s="2907">
        <f t="shared" si="184"/>
        <v>-3.9753854369105015E-5</v>
      </c>
      <c r="P488" s="2908">
        <f t="shared" si="185"/>
        <v>24000</v>
      </c>
      <c r="Q488" s="1095">
        <f t="shared" si="186"/>
        <v>6552</v>
      </c>
      <c r="R488" s="2909">
        <f t="shared" si="187"/>
        <v>30552</v>
      </c>
      <c r="S488" s="398">
        <f t="shared" si="188"/>
        <v>0</v>
      </c>
      <c r="T488" s="1095">
        <f t="shared" si="189"/>
        <v>0</v>
      </c>
      <c r="U488" s="398">
        <f t="shared" si="190"/>
        <v>0</v>
      </c>
      <c r="V488" s="2913">
        <v>0</v>
      </c>
      <c r="W488" s="1095">
        <f t="shared" si="174"/>
        <v>0</v>
      </c>
      <c r="X488" s="1095">
        <f t="shared" si="175"/>
        <v>1440</v>
      </c>
      <c r="Y488" s="2909">
        <f t="shared" si="178"/>
        <v>1440</v>
      </c>
      <c r="Z488" s="2913">
        <v>0</v>
      </c>
      <c r="AA488" s="1095">
        <f t="shared" si="176"/>
        <v>0</v>
      </c>
      <c r="AB488" s="1095">
        <f t="shared" si="177"/>
        <v>0</v>
      </c>
      <c r="AC488" s="2909">
        <f t="shared" si="179"/>
        <v>0</v>
      </c>
    </row>
    <row r="489" spans="1:29">
      <c r="A489" s="1780" t="s">
        <v>4563</v>
      </c>
      <c r="B489" s="1780"/>
      <c r="C489" s="2901">
        <v>145</v>
      </c>
      <c r="D489" s="2902">
        <f t="shared" si="180"/>
        <v>4.1433543453785882E-4</v>
      </c>
      <c r="E489" s="1083">
        <v>13050</v>
      </c>
      <c r="F489" s="2952">
        <f t="shared" si="181"/>
        <v>4.5619192445210037E-4</v>
      </c>
      <c r="G489" s="2903">
        <f t="shared" si="169"/>
        <v>13050</v>
      </c>
      <c r="H489" s="2903">
        <f t="shared" si="182"/>
        <v>0</v>
      </c>
      <c r="I489" s="2905">
        <f t="shared" si="170"/>
        <v>8265</v>
      </c>
      <c r="J489" s="1096">
        <v>2710</v>
      </c>
      <c r="K489" s="2479">
        <f t="shared" si="183"/>
        <v>111001.60000000001</v>
      </c>
      <c r="L489" s="398">
        <f t="shared" si="171"/>
        <v>2610</v>
      </c>
      <c r="M489" s="1095">
        <f t="shared" si="172"/>
        <v>13585</v>
      </c>
      <c r="N489" s="2906">
        <f t="shared" si="173"/>
        <v>4.2757656790014096E-4</v>
      </c>
      <c r="O489" s="2907">
        <f t="shared" si="184"/>
        <v>1.3241133362282146E-5</v>
      </c>
      <c r="P489" s="2908">
        <f t="shared" si="185"/>
        <v>43500</v>
      </c>
      <c r="Q489" s="1095">
        <f t="shared" si="186"/>
        <v>11875.5</v>
      </c>
      <c r="R489" s="2909">
        <f t="shared" si="187"/>
        <v>55375.5</v>
      </c>
      <c r="S489" s="398">
        <f t="shared" si="188"/>
        <v>0</v>
      </c>
      <c r="T489" s="1095">
        <f t="shared" si="189"/>
        <v>0</v>
      </c>
      <c r="U489" s="398">
        <f t="shared" si="190"/>
        <v>0</v>
      </c>
      <c r="V489" s="2913">
        <v>0</v>
      </c>
      <c r="W489" s="1095">
        <f t="shared" si="174"/>
        <v>14417.2</v>
      </c>
      <c r="X489" s="1095">
        <f t="shared" si="175"/>
        <v>2610</v>
      </c>
      <c r="Y489" s="2909">
        <f t="shared" si="178"/>
        <v>17027.2</v>
      </c>
      <c r="Z489" s="2913">
        <v>0</v>
      </c>
      <c r="AA489" s="1095">
        <f t="shared" si="176"/>
        <v>7777.7000000000007</v>
      </c>
      <c r="AB489" s="1095">
        <f t="shared" si="177"/>
        <v>0</v>
      </c>
      <c r="AC489" s="2909">
        <f t="shared" si="179"/>
        <v>7777.7000000000007</v>
      </c>
    </row>
    <row r="490" spans="1:29">
      <c r="A490" s="1780" t="s">
        <v>4564</v>
      </c>
      <c r="B490" s="1780"/>
      <c r="C490" s="2901">
        <v>3828</v>
      </c>
      <c r="D490" s="2902">
        <f t="shared" si="180"/>
        <v>1.0938455471799472E-2</v>
      </c>
      <c r="E490" s="1083">
        <v>344520</v>
      </c>
      <c r="F490" s="2952">
        <f t="shared" si="181"/>
        <v>1.204346680553545E-2</v>
      </c>
      <c r="G490" s="2903">
        <f t="shared" si="169"/>
        <v>344520</v>
      </c>
      <c r="H490" s="2903">
        <f t="shared" si="182"/>
        <v>0</v>
      </c>
      <c r="I490" s="2905">
        <f t="shared" si="170"/>
        <v>218196</v>
      </c>
      <c r="J490" s="1096">
        <v>90115</v>
      </c>
      <c r="K490" s="2479">
        <f t="shared" si="183"/>
        <v>3691110.3999999999</v>
      </c>
      <c r="L490" s="398">
        <f t="shared" si="171"/>
        <v>68904</v>
      </c>
      <c r="M490" s="1095">
        <f t="shared" si="172"/>
        <v>377215</v>
      </c>
      <c r="N490" s="2906">
        <f t="shared" si="173"/>
        <v>1.1872528160504357E-2</v>
      </c>
      <c r="O490" s="2907">
        <f t="shared" si="184"/>
        <v>9.3407268870488412E-4</v>
      </c>
      <c r="P490" s="2908">
        <f t="shared" si="185"/>
        <v>1148400</v>
      </c>
      <c r="Q490" s="1095">
        <f t="shared" si="186"/>
        <v>313513.2</v>
      </c>
      <c r="R490" s="2909">
        <f t="shared" si="187"/>
        <v>1461913.2</v>
      </c>
      <c r="S490" s="398">
        <f t="shared" si="188"/>
        <v>0</v>
      </c>
      <c r="T490" s="1095">
        <f t="shared" si="189"/>
        <v>0</v>
      </c>
      <c r="U490" s="398">
        <f t="shared" si="190"/>
        <v>0</v>
      </c>
      <c r="V490" s="2913">
        <v>0</v>
      </c>
      <c r="W490" s="1095">
        <f t="shared" si="174"/>
        <v>479411.80000000005</v>
      </c>
      <c r="X490" s="1095">
        <f t="shared" si="175"/>
        <v>68904</v>
      </c>
      <c r="Y490" s="2909">
        <f t="shared" si="178"/>
        <v>548315.80000000005</v>
      </c>
      <c r="Z490" s="2913">
        <v>0</v>
      </c>
      <c r="AA490" s="1095">
        <f t="shared" si="176"/>
        <v>258630.05000000002</v>
      </c>
      <c r="AB490" s="1095">
        <f t="shared" si="177"/>
        <v>0</v>
      </c>
      <c r="AC490" s="2909">
        <f t="shared" si="179"/>
        <v>258630.05000000002</v>
      </c>
    </row>
    <row r="491" spans="1:29">
      <c r="A491" s="1780" t="s">
        <v>4565</v>
      </c>
      <c r="B491" s="1780"/>
      <c r="C491" s="2901">
        <v>115</v>
      </c>
      <c r="D491" s="2902">
        <f t="shared" si="180"/>
        <v>3.2861086187485356E-4</v>
      </c>
      <c r="E491" s="1083">
        <v>10350</v>
      </c>
      <c r="F491" s="2952">
        <f t="shared" si="181"/>
        <v>3.6180738835856239E-4</v>
      </c>
      <c r="G491" s="2903">
        <f t="shared" si="169"/>
        <v>10350</v>
      </c>
      <c r="H491" s="2903">
        <f t="shared" si="182"/>
        <v>0</v>
      </c>
      <c r="I491" s="2905">
        <f t="shared" si="170"/>
        <v>6555</v>
      </c>
      <c r="J491" s="1096">
        <v>1250</v>
      </c>
      <c r="K491" s="2479">
        <f t="shared" si="183"/>
        <v>51200</v>
      </c>
      <c r="L491" s="398">
        <f t="shared" si="171"/>
        <v>2070</v>
      </c>
      <c r="M491" s="1095">
        <f t="shared" si="172"/>
        <v>9875</v>
      </c>
      <c r="N491" s="2906">
        <f t="shared" si="173"/>
        <v>3.1080740581626001E-4</v>
      </c>
      <c r="O491" s="2907">
        <f t="shared" si="184"/>
        <v>-1.7803456058593551E-5</v>
      </c>
      <c r="P491" s="2908">
        <f t="shared" si="185"/>
        <v>34500</v>
      </c>
      <c r="Q491" s="1095">
        <f t="shared" si="186"/>
        <v>9418.5</v>
      </c>
      <c r="R491" s="2909">
        <f t="shared" si="187"/>
        <v>43918.5</v>
      </c>
      <c r="S491" s="398">
        <f t="shared" si="188"/>
        <v>0</v>
      </c>
      <c r="T491" s="1095">
        <f t="shared" si="189"/>
        <v>0</v>
      </c>
      <c r="U491" s="398">
        <f t="shared" si="190"/>
        <v>0</v>
      </c>
      <c r="V491" s="2913">
        <v>0</v>
      </c>
      <c r="W491" s="1095">
        <f t="shared" si="174"/>
        <v>6650</v>
      </c>
      <c r="X491" s="1095">
        <f t="shared" si="175"/>
        <v>2070</v>
      </c>
      <c r="Y491" s="2909">
        <f t="shared" si="178"/>
        <v>8720</v>
      </c>
      <c r="Z491" s="2913">
        <v>0</v>
      </c>
      <c r="AA491" s="1095">
        <f t="shared" si="176"/>
        <v>3587.5</v>
      </c>
      <c r="AB491" s="1095">
        <f t="shared" si="177"/>
        <v>0</v>
      </c>
      <c r="AC491" s="2909">
        <f t="shared" si="179"/>
        <v>3587.5</v>
      </c>
    </row>
    <row r="492" spans="1:29">
      <c r="A492" s="1780" t="s">
        <v>4566</v>
      </c>
      <c r="B492" s="1780"/>
      <c r="C492" s="2901">
        <v>380</v>
      </c>
      <c r="D492" s="2902">
        <f t="shared" si="180"/>
        <v>1.0858445870647335E-3</v>
      </c>
      <c r="E492" s="1083">
        <v>34200</v>
      </c>
      <c r="F492" s="2952">
        <f t="shared" si="181"/>
        <v>1.1955374571848147E-3</v>
      </c>
      <c r="G492" s="2903">
        <f t="shared" si="169"/>
        <v>34200</v>
      </c>
      <c r="H492" s="2903">
        <f t="shared" si="182"/>
        <v>0</v>
      </c>
      <c r="I492" s="2905">
        <f t="shared" si="170"/>
        <v>21660</v>
      </c>
      <c r="J492" s="1096">
        <v>6626.9999999999991</v>
      </c>
      <c r="K492" s="2479">
        <f t="shared" si="183"/>
        <v>271441.91999999998</v>
      </c>
      <c r="L492" s="398">
        <f t="shared" si="171"/>
        <v>6840</v>
      </c>
      <c r="M492" s="1095">
        <f t="shared" si="172"/>
        <v>35127</v>
      </c>
      <c r="N492" s="2906">
        <f t="shared" si="173"/>
        <v>1.105593088010913E-3</v>
      </c>
      <c r="O492" s="2907">
        <f t="shared" si="184"/>
        <v>1.9748500946179491E-5</v>
      </c>
      <c r="P492" s="2908">
        <f t="shared" si="185"/>
        <v>114000</v>
      </c>
      <c r="Q492" s="1095">
        <f t="shared" si="186"/>
        <v>31122</v>
      </c>
      <c r="R492" s="2909">
        <f t="shared" si="187"/>
        <v>145122</v>
      </c>
      <c r="S492" s="398">
        <f t="shared" si="188"/>
        <v>0</v>
      </c>
      <c r="T492" s="1095">
        <f t="shared" si="189"/>
        <v>0</v>
      </c>
      <c r="U492" s="398">
        <f t="shared" si="190"/>
        <v>0</v>
      </c>
      <c r="V492" s="2913">
        <v>0</v>
      </c>
      <c r="W492" s="1095">
        <f t="shared" si="174"/>
        <v>35255.64</v>
      </c>
      <c r="X492" s="1095">
        <f t="shared" si="175"/>
        <v>6840</v>
      </c>
      <c r="Y492" s="2909">
        <f t="shared" si="178"/>
        <v>42095.64</v>
      </c>
      <c r="Z492" s="2913">
        <v>0</v>
      </c>
      <c r="AA492" s="1095">
        <f t="shared" si="176"/>
        <v>19019.489999999998</v>
      </c>
      <c r="AB492" s="1095">
        <f t="shared" si="177"/>
        <v>0</v>
      </c>
      <c r="AC492" s="2909">
        <f t="shared" si="179"/>
        <v>19019.489999999998</v>
      </c>
    </row>
    <row r="493" spans="1:29">
      <c r="A493" s="1780" t="s">
        <v>4567</v>
      </c>
      <c r="B493" s="1780"/>
      <c r="C493" s="2901">
        <v>95</v>
      </c>
      <c r="D493" s="2902">
        <f t="shared" si="180"/>
        <v>2.7146114676618338E-4</v>
      </c>
      <c r="E493" s="1083">
        <v>8550</v>
      </c>
      <c r="F493" s="2952">
        <f t="shared" si="181"/>
        <v>2.9888436429620368E-4</v>
      </c>
      <c r="G493" s="2903">
        <f t="shared" si="169"/>
        <v>8550</v>
      </c>
      <c r="H493" s="2903">
        <f t="shared" si="182"/>
        <v>0</v>
      </c>
      <c r="I493" s="2905">
        <f t="shared" si="170"/>
        <v>5415</v>
      </c>
      <c r="J493" s="1096">
        <v>2235</v>
      </c>
      <c r="K493" s="2479">
        <f t="shared" si="183"/>
        <v>91545.600000000006</v>
      </c>
      <c r="L493" s="398">
        <f t="shared" si="171"/>
        <v>1710</v>
      </c>
      <c r="M493" s="1095">
        <f t="shared" si="172"/>
        <v>9360</v>
      </c>
      <c r="N493" s="2906">
        <f t="shared" si="173"/>
        <v>2.9459820946229812E-4</v>
      </c>
      <c r="O493" s="2907">
        <f t="shared" si="184"/>
        <v>2.3137062696114744E-5</v>
      </c>
      <c r="P493" s="2908">
        <f t="shared" si="185"/>
        <v>28500</v>
      </c>
      <c r="Q493" s="1095">
        <f t="shared" si="186"/>
        <v>7780.5</v>
      </c>
      <c r="R493" s="2909">
        <f t="shared" si="187"/>
        <v>36280.5</v>
      </c>
      <c r="S493" s="398">
        <f t="shared" si="188"/>
        <v>0</v>
      </c>
      <c r="T493" s="1095">
        <f t="shared" si="189"/>
        <v>0</v>
      </c>
      <c r="U493" s="398">
        <f t="shared" si="190"/>
        <v>0</v>
      </c>
      <c r="V493" s="2913">
        <v>0</v>
      </c>
      <c r="W493" s="1095">
        <f t="shared" si="174"/>
        <v>11890.2</v>
      </c>
      <c r="X493" s="1095">
        <f t="shared" si="175"/>
        <v>1710</v>
      </c>
      <c r="Y493" s="2909">
        <f t="shared" si="178"/>
        <v>13600.2</v>
      </c>
      <c r="Z493" s="2913">
        <v>0</v>
      </c>
      <c r="AA493" s="1095">
        <f t="shared" si="176"/>
        <v>6414.45</v>
      </c>
      <c r="AB493" s="1095">
        <f t="shared" si="177"/>
        <v>0</v>
      </c>
      <c r="AC493" s="2909">
        <f t="shared" si="179"/>
        <v>6414.45</v>
      </c>
    </row>
    <row r="494" spans="1:29">
      <c r="A494" s="1780" t="s">
        <v>4568</v>
      </c>
      <c r="B494" s="1780"/>
      <c r="C494" s="2901">
        <v>445</v>
      </c>
      <c r="D494" s="2902">
        <f t="shared" si="180"/>
        <v>1.2715811611679116E-3</v>
      </c>
      <c r="E494" s="1083">
        <v>40050</v>
      </c>
      <c r="F494" s="2952">
        <f t="shared" si="181"/>
        <v>1.4000372853874806E-3</v>
      </c>
      <c r="G494" s="2903">
        <f t="shared" si="169"/>
        <v>40050</v>
      </c>
      <c r="H494" s="2903">
        <f t="shared" si="182"/>
        <v>0</v>
      </c>
      <c r="I494" s="2905">
        <f t="shared" si="170"/>
        <v>25365</v>
      </c>
      <c r="J494" s="1096">
        <v>8461</v>
      </c>
      <c r="K494" s="2479">
        <f t="shared" si="183"/>
        <v>346562.56</v>
      </c>
      <c r="L494" s="398">
        <f t="shared" si="171"/>
        <v>8010</v>
      </c>
      <c r="M494" s="1095">
        <f t="shared" si="172"/>
        <v>41836</v>
      </c>
      <c r="N494" s="2906">
        <f t="shared" si="173"/>
        <v>1.3167532789599042E-3</v>
      </c>
      <c r="O494" s="2907">
        <f t="shared" si="184"/>
        <v>4.517211779199253E-5</v>
      </c>
      <c r="P494" s="2908">
        <f t="shared" si="185"/>
        <v>133500</v>
      </c>
      <c r="Q494" s="1095">
        <f t="shared" si="186"/>
        <v>36445.5</v>
      </c>
      <c r="R494" s="2909">
        <f t="shared" si="187"/>
        <v>169945.5</v>
      </c>
      <c r="S494" s="398">
        <f t="shared" si="188"/>
        <v>0</v>
      </c>
      <c r="T494" s="1095">
        <f t="shared" si="189"/>
        <v>0</v>
      </c>
      <c r="U494" s="398">
        <f t="shared" si="190"/>
        <v>0</v>
      </c>
      <c r="V494" s="2913">
        <v>0</v>
      </c>
      <c r="W494" s="1095">
        <f t="shared" si="174"/>
        <v>45012.520000000004</v>
      </c>
      <c r="X494" s="1095">
        <f t="shared" si="175"/>
        <v>8010</v>
      </c>
      <c r="Y494" s="2909">
        <f t="shared" si="178"/>
        <v>53022.520000000004</v>
      </c>
      <c r="Z494" s="2913">
        <v>0</v>
      </c>
      <c r="AA494" s="1095">
        <f t="shared" si="176"/>
        <v>24283.07</v>
      </c>
      <c r="AB494" s="1095">
        <f t="shared" si="177"/>
        <v>0</v>
      </c>
      <c r="AC494" s="2909">
        <f t="shared" si="179"/>
        <v>24283.07</v>
      </c>
    </row>
    <row r="495" spans="1:29">
      <c r="A495" s="1780" t="s">
        <v>4569</v>
      </c>
      <c r="B495" s="1780"/>
      <c r="C495" s="2901">
        <v>2070</v>
      </c>
      <c r="D495" s="2902">
        <f t="shared" si="180"/>
        <v>5.9149955137473642E-3</v>
      </c>
      <c r="E495" s="1083">
        <v>186300</v>
      </c>
      <c r="F495" s="2952">
        <f t="shared" si="181"/>
        <v>6.5125329904541229E-3</v>
      </c>
      <c r="G495" s="2903">
        <f t="shared" si="169"/>
        <v>186300</v>
      </c>
      <c r="H495" s="2903">
        <f t="shared" si="182"/>
        <v>0</v>
      </c>
      <c r="I495" s="2905">
        <f t="shared" si="170"/>
        <v>117990</v>
      </c>
      <c r="J495" s="1096">
        <v>36102</v>
      </c>
      <c r="K495" s="2479">
        <f t="shared" si="183"/>
        <v>1478737.9199999999</v>
      </c>
      <c r="L495" s="398">
        <f t="shared" si="171"/>
        <v>37260</v>
      </c>
      <c r="M495" s="1095">
        <f t="shared" si="172"/>
        <v>191352</v>
      </c>
      <c r="N495" s="2906">
        <f t="shared" si="173"/>
        <v>6.0226449334433406E-3</v>
      </c>
      <c r="O495" s="2907">
        <f t="shared" si="184"/>
        <v>1.0764941969597635E-4</v>
      </c>
      <c r="P495" s="2908">
        <f t="shared" si="185"/>
        <v>621000</v>
      </c>
      <c r="Q495" s="1095">
        <f t="shared" si="186"/>
        <v>169533</v>
      </c>
      <c r="R495" s="2909">
        <f t="shared" si="187"/>
        <v>790533</v>
      </c>
      <c r="S495" s="398">
        <f t="shared" si="188"/>
        <v>0</v>
      </c>
      <c r="T495" s="1095">
        <f t="shared" si="189"/>
        <v>0</v>
      </c>
      <c r="U495" s="398">
        <f t="shared" si="190"/>
        <v>0</v>
      </c>
      <c r="V495" s="2913">
        <v>0</v>
      </c>
      <c r="W495" s="1095">
        <f t="shared" si="174"/>
        <v>192062.64</v>
      </c>
      <c r="X495" s="1095">
        <f t="shared" si="175"/>
        <v>37260</v>
      </c>
      <c r="Y495" s="2909">
        <f t="shared" si="178"/>
        <v>229322.64</v>
      </c>
      <c r="Z495" s="2913">
        <v>0</v>
      </c>
      <c r="AA495" s="1095">
        <f t="shared" si="176"/>
        <v>103612.74</v>
      </c>
      <c r="AB495" s="1095">
        <f t="shared" si="177"/>
        <v>0</v>
      </c>
      <c r="AC495" s="2909">
        <f t="shared" si="179"/>
        <v>103612.74</v>
      </c>
    </row>
    <row r="496" spans="1:29">
      <c r="A496" s="1780" t="s">
        <v>4570</v>
      </c>
      <c r="B496" s="1780"/>
      <c r="C496" s="2901">
        <v>70</v>
      </c>
      <c r="D496" s="2902">
        <f t="shared" si="180"/>
        <v>2.0002400288034563E-4</v>
      </c>
      <c r="E496" s="1083">
        <v>6300</v>
      </c>
      <c r="F496" s="2952">
        <f t="shared" si="181"/>
        <v>2.2023058421825537E-4</v>
      </c>
      <c r="G496" s="2903">
        <f t="shared" si="169"/>
        <v>6300</v>
      </c>
      <c r="H496" s="2903">
        <f t="shared" si="182"/>
        <v>0</v>
      </c>
      <c r="I496" s="2905">
        <f t="shared" si="170"/>
        <v>3990</v>
      </c>
      <c r="J496" s="1096">
        <v>0</v>
      </c>
      <c r="K496" s="2479">
        <f t="shared" si="183"/>
        <v>0</v>
      </c>
      <c r="L496" s="398">
        <f t="shared" si="171"/>
        <v>1260</v>
      </c>
      <c r="M496" s="1095">
        <f t="shared" si="172"/>
        <v>5250</v>
      </c>
      <c r="N496" s="2906">
        <f t="shared" si="173"/>
        <v>1.6523938030737874E-4</v>
      </c>
      <c r="O496" s="2907">
        <f t="shared" si="184"/>
        <v>-3.4784622572966891E-5</v>
      </c>
      <c r="P496" s="2908">
        <f t="shared" si="185"/>
        <v>21000</v>
      </c>
      <c r="Q496" s="1095">
        <f t="shared" si="186"/>
        <v>5733</v>
      </c>
      <c r="R496" s="2909">
        <f t="shared" si="187"/>
        <v>26733</v>
      </c>
      <c r="S496" s="398">
        <f t="shared" si="188"/>
        <v>0</v>
      </c>
      <c r="T496" s="1095">
        <f t="shared" si="189"/>
        <v>0</v>
      </c>
      <c r="U496" s="398">
        <f t="shared" si="190"/>
        <v>0</v>
      </c>
      <c r="V496" s="2913">
        <v>0</v>
      </c>
      <c r="W496" s="1095">
        <f t="shared" si="174"/>
        <v>0</v>
      </c>
      <c r="X496" s="1095">
        <f t="shared" si="175"/>
        <v>1260</v>
      </c>
      <c r="Y496" s="2909">
        <f t="shared" si="178"/>
        <v>1260</v>
      </c>
      <c r="Z496" s="2913">
        <v>0</v>
      </c>
      <c r="AA496" s="1095">
        <f t="shared" si="176"/>
        <v>0</v>
      </c>
      <c r="AB496" s="1095">
        <f t="shared" si="177"/>
        <v>0</v>
      </c>
      <c r="AC496" s="2909">
        <f t="shared" si="179"/>
        <v>0</v>
      </c>
    </row>
    <row r="497" spans="1:29">
      <c r="A497" s="1780" t="s">
        <v>4571</v>
      </c>
      <c r="B497" s="1780"/>
      <c r="C497" s="2901">
        <v>3862</v>
      </c>
      <c r="D497" s="2902">
        <f t="shared" si="180"/>
        <v>1.1035609987484212E-2</v>
      </c>
      <c r="E497" s="1083">
        <v>55000</v>
      </c>
      <c r="F497" s="2952">
        <f t="shared" si="181"/>
        <v>1.9226479574609595E-3</v>
      </c>
      <c r="G497" s="2903">
        <f t="shared" si="169"/>
        <v>347580</v>
      </c>
      <c r="H497" s="2903">
        <f t="shared" si="182"/>
        <v>-292580</v>
      </c>
      <c r="I497" s="2905">
        <f t="shared" si="170"/>
        <v>220134</v>
      </c>
      <c r="J497" s="1096">
        <v>90915</v>
      </c>
      <c r="K497" s="2479">
        <f t="shared" si="183"/>
        <v>3723878.3999999999</v>
      </c>
      <c r="L497" s="398">
        <f t="shared" si="171"/>
        <v>11000</v>
      </c>
      <c r="M497" s="1095">
        <f t="shared" si="172"/>
        <v>322049</v>
      </c>
      <c r="N497" s="2906">
        <f t="shared" si="173"/>
        <v>1.0136224226402098E-2</v>
      </c>
      <c r="O497" s="2907">
        <f t="shared" si="184"/>
        <v>-8.9938576108211481E-4</v>
      </c>
      <c r="P497" s="2908">
        <f t="shared" si="185"/>
        <v>1158600</v>
      </c>
      <c r="Q497" s="1095">
        <f t="shared" si="186"/>
        <v>50050</v>
      </c>
      <c r="R497" s="2909">
        <f t="shared" si="187"/>
        <v>1208650</v>
      </c>
      <c r="S497" s="398">
        <f t="shared" si="188"/>
        <v>0</v>
      </c>
      <c r="T497" s="1095">
        <f t="shared" si="189"/>
        <v>0</v>
      </c>
      <c r="U497" s="398">
        <f t="shared" si="190"/>
        <v>0</v>
      </c>
      <c r="V497" s="2913">
        <v>0</v>
      </c>
      <c r="W497" s="1095">
        <f t="shared" si="174"/>
        <v>483667.80000000005</v>
      </c>
      <c r="X497" s="1095">
        <f t="shared" si="175"/>
        <v>11000</v>
      </c>
      <c r="Y497" s="2909">
        <f t="shared" si="178"/>
        <v>494667.80000000005</v>
      </c>
      <c r="Z497" s="2913">
        <v>0</v>
      </c>
      <c r="AA497" s="1095">
        <f t="shared" si="176"/>
        <v>260926.05000000002</v>
      </c>
      <c r="AB497" s="1095">
        <f t="shared" si="177"/>
        <v>0</v>
      </c>
      <c r="AC497" s="2909">
        <f t="shared" si="179"/>
        <v>260926.05000000002</v>
      </c>
    </row>
    <row r="498" spans="1:29">
      <c r="A498" s="1780" t="s">
        <v>4572</v>
      </c>
      <c r="B498" s="1780"/>
      <c r="C498" s="2901">
        <v>55</v>
      </c>
      <c r="D498" s="2902">
        <f t="shared" si="180"/>
        <v>1.57161716548843E-4</v>
      </c>
      <c r="E498" s="1083">
        <v>10030</v>
      </c>
      <c r="F498" s="2952">
        <f t="shared" si="181"/>
        <v>3.5062107296969861E-4</v>
      </c>
      <c r="G498" s="2903">
        <f t="shared" si="169"/>
        <v>4950</v>
      </c>
      <c r="H498" s="2903">
        <f t="shared" si="182"/>
        <v>5080</v>
      </c>
      <c r="I498" s="2905">
        <f t="shared" si="170"/>
        <v>3135</v>
      </c>
      <c r="J498" s="1096">
        <v>0</v>
      </c>
      <c r="K498" s="2479">
        <f t="shared" si="183"/>
        <v>0</v>
      </c>
      <c r="L498" s="398">
        <f t="shared" si="171"/>
        <v>2006</v>
      </c>
      <c r="M498" s="1095">
        <f t="shared" si="172"/>
        <v>5141</v>
      </c>
      <c r="N498" s="2906">
        <f t="shared" si="173"/>
        <v>1.6180869603052078E-4</v>
      </c>
      <c r="O498" s="2907">
        <f t="shared" si="184"/>
        <v>4.6469794816777815E-6</v>
      </c>
      <c r="P498" s="2908">
        <f t="shared" si="185"/>
        <v>16500</v>
      </c>
      <c r="Q498" s="1095">
        <f t="shared" si="186"/>
        <v>9127.3000000000011</v>
      </c>
      <c r="R498" s="2909">
        <f t="shared" si="187"/>
        <v>25627.300000000003</v>
      </c>
      <c r="S498" s="398">
        <f t="shared" si="188"/>
        <v>0</v>
      </c>
      <c r="T498" s="1095">
        <f t="shared" si="189"/>
        <v>0</v>
      </c>
      <c r="U498" s="398">
        <f t="shared" si="190"/>
        <v>0</v>
      </c>
      <c r="V498" s="2913">
        <v>0</v>
      </c>
      <c r="W498" s="1095">
        <f t="shared" si="174"/>
        <v>0</v>
      </c>
      <c r="X498" s="1095">
        <f t="shared" si="175"/>
        <v>2006</v>
      </c>
      <c r="Y498" s="2909">
        <f t="shared" si="178"/>
        <v>2006</v>
      </c>
      <c r="Z498" s="2913">
        <v>0</v>
      </c>
      <c r="AA498" s="1095">
        <f t="shared" si="176"/>
        <v>0</v>
      </c>
      <c r="AB498" s="1095">
        <f t="shared" si="177"/>
        <v>0</v>
      </c>
      <c r="AC498" s="2909">
        <f t="shared" si="179"/>
        <v>0</v>
      </c>
    </row>
    <row r="499" spans="1:29">
      <c r="A499" s="1780" t="s">
        <v>4573</v>
      </c>
      <c r="B499" s="1780"/>
      <c r="C499" s="2901">
        <v>95</v>
      </c>
      <c r="D499" s="2902">
        <f t="shared" si="180"/>
        <v>2.7146114676618338E-4</v>
      </c>
      <c r="E499" s="1083">
        <v>8550</v>
      </c>
      <c r="F499" s="2952">
        <f t="shared" si="181"/>
        <v>2.9888436429620368E-4</v>
      </c>
      <c r="G499" s="2903">
        <f t="shared" si="169"/>
        <v>8550</v>
      </c>
      <c r="H499" s="2903">
        <f t="shared" si="182"/>
        <v>0</v>
      </c>
      <c r="I499" s="2905">
        <f t="shared" si="170"/>
        <v>5415</v>
      </c>
      <c r="J499" s="1096">
        <v>1655.9999999999998</v>
      </c>
      <c r="K499" s="2479">
        <f t="shared" si="183"/>
        <v>67829.759999999995</v>
      </c>
      <c r="L499" s="398">
        <f t="shared" si="171"/>
        <v>1710</v>
      </c>
      <c r="M499" s="1095">
        <f t="shared" si="172"/>
        <v>8781</v>
      </c>
      <c r="N499" s="2906">
        <f t="shared" si="173"/>
        <v>2.7637466637697006E-4</v>
      </c>
      <c r="O499" s="2907">
        <f t="shared" si="184"/>
        <v>4.913519610786688E-6</v>
      </c>
      <c r="P499" s="2908">
        <f t="shared" si="185"/>
        <v>28500</v>
      </c>
      <c r="Q499" s="1095">
        <f t="shared" si="186"/>
        <v>7780.5</v>
      </c>
      <c r="R499" s="2909">
        <f t="shared" si="187"/>
        <v>36280.5</v>
      </c>
      <c r="S499" s="398">
        <f t="shared" si="188"/>
        <v>0</v>
      </c>
      <c r="T499" s="1095">
        <f t="shared" si="189"/>
        <v>0</v>
      </c>
      <c r="U499" s="398">
        <f t="shared" si="190"/>
        <v>0</v>
      </c>
      <c r="V499" s="2913">
        <v>0</v>
      </c>
      <c r="W499" s="1095">
        <f t="shared" si="174"/>
        <v>8809.92</v>
      </c>
      <c r="X499" s="1095">
        <f t="shared" si="175"/>
        <v>1710</v>
      </c>
      <c r="Y499" s="2909">
        <f t="shared" si="178"/>
        <v>10519.92</v>
      </c>
      <c r="Z499" s="2913">
        <v>0</v>
      </c>
      <c r="AA499" s="1095">
        <f t="shared" si="176"/>
        <v>4752.7199999999993</v>
      </c>
      <c r="AB499" s="1095">
        <f t="shared" si="177"/>
        <v>0</v>
      </c>
      <c r="AC499" s="2909">
        <f t="shared" si="179"/>
        <v>4752.7199999999993</v>
      </c>
    </row>
    <row r="500" spans="1:29">
      <c r="A500" s="1780" t="s">
        <v>4574</v>
      </c>
      <c r="B500" s="1780"/>
      <c r="C500" s="2901">
        <v>150</v>
      </c>
      <c r="D500" s="2902">
        <f t="shared" si="180"/>
        <v>4.2862286331502638E-4</v>
      </c>
      <c r="E500" s="1083">
        <v>13500</v>
      </c>
      <c r="F500" s="2952">
        <f t="shared" si="181"/>
        <v>4.7192268046769006E-4</v>
      </c>
      <c r="G500" s="2903">
        <f t="shared" si="169"/>
        <v>13500</v>
      </c>
      <c r="H500" s="2903">
        <f t="shared" si="182"/>
        <v>0</v>
      </c>
      <c r="I500" s="2905">
        <f t="shared" si="170"/>
        <v>8550</v>
      </c>
      <c r="J500" s="1096">
        <v>2616</v>
      </c>
      <c r="K500" s="2479">
        <f t="shared" si="183"/>
        <v>107151.36</v>
      </c>
      <c r="L500" s="398">
        <f t="shared" si="171"/>
        <v>2700</v>
      </c>
      <c r="M500" s="1095">
        <f t="shared" si="172"/>
        <v>13866</v>
      </c>
      <c r="N500" s="2906">
        <f t="shared" si="173"/>
        <v>4.3642080901754547E-4</v>
      </c>
      <c r="O500" s="2907">
        <f t="shared" si="184"/>
        <v>7.797945702519096E-6</v>
      </c>
      <c r="P500" s="2908">
        <f t="shared" si="185"/>
        <v>45000</v>
      </c>
      <c r="Q500" s="1095">
        <f t="shared" si="186"/>
        <v>12285</v>
      </c>
      <c r="R500" s="2909">
        <f t="shared" si="187"/>
        <v>57285</v>
      </c>
      <c r="S500" s="398">
        <f t="shared" si="188"/>
        <v>0</v>
      </c>
      <c r="T500" s="1095">
        <f t="shared" si="189"/>
        <v>0</v>
      </c>
      <c r="U500" s="398">
        <f t="shared" si="190"/>
        <v>0</v>
      </c>
      <c r="V500" s="2913">
        <v>0</v>
      </c>
      <c r="W500" s="1095">
        <f t="shared" si="174"/>
        <v>13917.12</v>
      </c>
      <c r="X500" s="1095">
        <f t="shared" si="175"/>
        <v>2700</v>
      </c>
      <c r="Y500" s="2909">
        <f t="shared" si="178"/>
        <v>16617.120000000003</v>
      </c>
      <c r="Z500" s="2913">
        <v>0</v>
      </c>
      <c r="AA500" s="1095">
        <f t="shared" si="176"/>
        <v>7507.92</v>
      </c>
      <c r="AB500" s="1095">
        <f t="shared" si="177"/>
        <v>0</v>
      </c>
      <c r="AC500" s="2909">
        <f t="shared" si="179"/>
        <v>7507.92</v>
      </c>
    </row>
    <row r="501" spans="1:29">
      <c r="A501" s="1780" t="s">
        <v>4575</v>
      </c>
      <c r="B501" s="1780"/>
      <c r="C501" s="2901">
        <v>90</v>
      </c>
      <c r="D501" s="2902">
        <f t="shared" si="180"/>
        <v>2.5717371798901582E-4</v>
      </c>
      <c r="E501" s="1083">
        <v>8100</v>
      </c>
      <c r="F501" s="2952">
        <f t="shared" si="181"/>
        <v>2.8315360828061405E-4</v>
      </c>
      <c r="G501" s="2903">
        <f t="shared" si="169"/>
        <v>8100</v>
      </c>
      <c r="H501" s="2903">
        <f t="shared" si="182"/>
        <v>0</v>
      </c>
      <c r="I501" s="2905">
        <f t="shared" si="170"/>
        <v>5130</v>
      </c>
      <c r="J501" s="1096">
        <v>1221</v>
      </c>
      <c r="K501" s="2479">
        <f t="shared" si="183"/>
        <v>50012.160000000003</v>
      </c>
      <c r="L501" s="398">
        <f t="shared" si="171"/>
        <v>1620</v>
      </c>
      <c r="M501" s="1095">
        <f t="shared" si="172"/>
        <v>7971</v>
      </c>
      <c r="N501" s="2906">
        <f t="shared" si="173"/>
        <v>2.5088059055811731E-4</v>
      </c>
      <c r="O501" s="2907">
        <f t="shared" si="184"/>
        <v>-6.2931274308985043E-6</v>
      </c>
      <c r="P501" s="2908">
        <f t="shared" si="185"/>
        <v>27000</v>
      </c>
      <c r="Q501" s="1095">
        <f t="shared" si="186"/>
        <v>7371</v>
      </c>
      <c r="R501" s="2909">
        <f t="shared" si="187"/>
        <v>34371</v>
      </c>
      <c r="S501" s="398">
        <f t="shared" si="188"/>
        <v>0</v>
      </c>
      <c r="T501" s="1095">
        <f t="shared" si="189"/>
        <v>0</v>
      </c>
      <c r="U501" s="398">
        <f t="shared" si="190"/>
        <v>0</v>
      </c>
      <c r="V501" s="2913">
        <v>0</v>
      </c>
      <c r="W501" s="1095">
        <f t="shared" si="174"/>
        <v>6495.72</v>
      </c>
      <c r="X501" s="1095">
        <f t="shared" si="175"/>
        <v>1620</v>
      </c>
      <c r="Y501" s="2909">
        <f t="shared" si="178"/>
        <v>8115.72</v>
      </c>
      <c r="Z501" s="2913">
        <v>0</v>
      </c>
      <c r="AA501" s="1095">
        <f t="shared" si="176"/>
        <v>3504.27</v>
      </c>
      <c r="AB501" s="1095">
        <f t="shared" si="177"/>
        <v>0</v>
      </c>
      <c r="AC501" s="2909">
        <f t="shared" si="179"/>
        <v>3504.27</v>
      </c>
    </row>
    <row r="502" spans="1:29">
      <c r="A502" s="1780" t="s">
        <v>4576</v>
      </c>
      <c r="B502" s="1780"/>
      <c r="C502" s="2901">
        <v>344</v>
      </c>
      <c r="D502" s="2902">
        <f t="shared" si="180"/>
        <v>9.8297509986912716E-4</v>
      </c>
      <c r="E502" s="1083">
        <v>30960</v>
      </c>
      <c r="F502" s="2952">
        <f t="shared" si="181"/>
        <v>1.0822760138725692E-3</v>
      </c>
      <c r="G502" s="2903">
        <f t="shared" si="169"/>
        <v>30960</v>
      </c>
      <c r="H502" s="2903">
        <f t="shared" si="182"/>
        <v>0</v>
      </c>
      <c r="I502" s="2905">
        <f t="shared" si="170"/>
        <v>19608</v>
      </c>
      <c r="J502" s="1096">
        <v>5999</v>
      </c>
      <c r="K502" s="2479">
        <f t="shared" si="183"/>
        <v>245719.04000000001</v>
      </c>
      <c r="L502" s="398">
        <f t="shared" si="171"/>
        <v>6192</v>
      </c>
      <c r="M502" s="1095">
        <f t="shared" si="172"/>
        <v>31799</v>
      </c>
      <c r="N502" s="2906">
        <f t="shared" si="173"/>
        <v>1.0008470579798735E-3</v>
      </c>
      <c r="O502" s="2907">
        <f t="shared" si="184"/>
        <v>1.7871958110746372E-5</v>
      </c>
      <c r="P502" s="2908">
        <f t="shared" si="185"/>
        <v>103200</v>
      </c>
      <c r="Q502" s="1095">
        <f t="shared" si="186"/>
        <v>28173.600000000002</v>
      </c>
      <c r="R502" s="2909">
        <f t="shared" si="187"/>
        <v>131373.6</v>
      </c>
      <c r="S502" s="398">
        <f t="shared" si="188"/>
        <v>0</v>
      </c>
      <c r="T502" s="1095">
        <f t="shared" si="189"/>
        <v>0</v>
      </c>
      <c r="U502" s="398">
        <f t="shared" si="190"/>
        <v>0</v>
      </c>
      <c r="V502" s="2913">
        <v>0</v>
      </c>
      <c r="W502" s="1095">
        <f t="shared" si="174"/>
        <v>31914.68</v>
      </c>
      <c r="X502" s="1095">
        <f t="shared" si="175"/>
        <v>6192</v>
      </c>
      <c r="Y502" s="2909">
        <f t="shared" si="178"/>
        <v>38106.68</v>
      </c>
      <c r="Z502" s="2913">
        <v>0</v>
      </c>
      <c r="AA502" s="1095">
        <f t="shared" si="176"/>
        <v>17217.13</v>
      </c>
      <c r="AB502" s="1095">
        <f t="shared" si="177"/>
        <v>0</v>
      </c>
      <c r="AC502" s="2909">
        <f t="shared" si="179"/>
        <v>17217.13</v>
      </c>
    </row>
    <row r="503" spans="1:29">
      <c r="A503" s="1780" t="s">
        <v>4577</v>
      </c>
      <c r="B503" s="1780"/>
      <c r="C503" s="2901">
        <v>80</v>
      </c>
      <c r="D503" s="2902">
        <f t="shared" si="180"/>
        <v>2.2859886043468072E-4</v>
      </c>
      <c r="E503" s="1083">
        <v>7200</v>
      </c>
      <c r="F503" s="2952">
        <f t="shared" si="181"/>
        <v>2.5169209624943472E-4</v>
      </c>
      <c r="G503" s="2903">
        <f t="shared" si="169"/>
        <v>7200</v>
      </c>
      <c r="H503" s="2903">
        <f t="shared" si="182"/>
        <v>0</v>
      </c>
      <c r="I503" s="2905">
        <f t="shared" si="170"/>
        <v>4560</v>
      </c>
      <c r="J503" s="1096">
        <v>0</v>
      </c>
      <c r="K503" s="2479">
        <f t="shared" si="183"/>
        <v>0</v>
      </c>
      <c r="L503" s="398">
        <f t="shared" si="171"/>
        <v>1440</v>
      </c>
      <c r="M503" s="1095">
        <f t="shared" si="172"/>
        <v>6000</v>
      </c>
      <c r="N503" s="2906">
        <f t="shared" si="173"/>
        <v>1.8884500606557571E-4</v>
      </c>
      <c r="O503" s="2907">
        <f t="shared" si="184"/>
        <v>-3.9753854369105015E-5</v>
      </c>
      <c r="P503" s="2908">
        <f t="shared" si="185"/>
        <v>24000</v>
      </c>
      <c r="Q503" s="1095">
        <f t="shared" si="186"/>
        <v>6552</v>
      </c>
      <c r="R503" s="2909">
        <f t="shared" si="187"/>
        <v>30552</v>
      </c>
      <c r="S503" s="398">
        <f t="shared" si="188"/>
        <v>0</v>
      </c>
      <c r="T503" s="1095">
        <f t="shared" si="189"/>
        <v>0</v>
      </c>
      <c r="U503" s="398">
        <f t="shared" si="190"/>
        <v>0</v>
      </c>
      <c r="V503" s="2913">
        <v>0</v>
      </c>
      <c r="W503" s="1095">
        <f t="shared" si="174"/>
        <v>0</v>
      </c>
      <c r="X503" s="1095">
        <f t="shared" si="175"/>
        <v>1440</v>
      </c>
      <c r="Y503" s="2909">
        <f t="shared" si="178"/>
        <v>1440</v>
      </c>
      <c r="Z503" s="2913">
        <v>0</v>
      </c>
      <c r="AA503" s="1095">
        <f t="shared" si="176"/>
        <v>0</v>
      </c>
      <c r="AB503" s="1095">
        <f t="shared" si="177"/>
        <v>0</v>
      </c>
      <c r="AC503" s="2909">
        <f t="shared" si="179"/>
        <v>0</v>
      </c>
    </row>
    <row r="504" spans="1:29">
      <c r="A504" s="1780" t="s">
        <v>4578</v>
      </c>
      <c r="B504" s="1780"/>
      <c r="C504" s="2901">
        <v>50</v>
      </c>
      <c r="D504" s="2902">
        <f t="shared" si="180"/>
        <v>1.4287428777167547E-4</v>
      </c>
      <c r="E504" s="1083">
        <v>0</v>
      </c>
      <c r="F504" s="2952">
        <f t="shared" si="181"/>
        <v>0</v>
      </c>
      <c r="G504" s="2903">
        <f t="shared" si="169"/>
        <v>4500</v>
      </c>
      <c r="H504" s="2903">
        <f t="shared" si="182"/>
        <v>-4500</v>
      </c>
      <c r="I504" s="2905">
        <f t="shared" si="170"/>
        <v>2850</v>
      </c>
      <c r="J504" s="1096">
        <v>1177</v>
      </c>
      <c r="K504" s="2479">
        <f t="shared" si="183"/>
        <v>48209.919999999998</v>
      </c>
      <c r="L504" s="398">
        <f t="shared" si="171"/>
        <v>0</v>
      </c>
      <c r="M504" s="1095">
        <f t="shared" si="172"/>
        <v>4027</v>
      </c>
      <c r="N504" s="2906">
        <f t="shared" si="173"/>
        <v>1.267464732376789E-4</v>
      </c>
      <c r="O504" s="2907">
        <f t="shared" si="184"/>
        <v>-1.612781453399657E-5</v>
      </c>
      <c r="P504" s="2908">
        <f t="shared" si="185"/>
        <v>15000</v>
      </c>
      <c r="Q504" s="1095">
        <f t="shared" si="186"/>
        <v>0</v>
      </c>
      <c r="R504" s="2909">
        <f t="shared" si="187"/>
        <v>15000</v>
      </c>
      <c r="S504" s="398">
        <f t="shared" si="188"/>
        <v>0</v>
      </c>
      <c r="T504" s="1095">
        <f t="shared" si="189"/>
        <v>0</v>
      </c>
      <c r="U504" s="398">
        <f t="shared" si="190"/>
        <v>0</v>
      </c>
      <c r="V504" s="2913">
        <v>0</v>
      </c>
      <c r="W504" s="1095">
        <f t="shared" si="174"/>
        <v>6261.64</v>
      </c>
      <c r="X504" s="1095">
        <f t="shared" si="175"/>
        <v>0</v>
      </c>
      <c r="Y504" s="2909">
        <f t="shared" si="178"/>
        <v>6261.64</v>
      </c>
      <c r="Z504" s="2913">
        <v>0</v>
      </c>
      <c r="AA504" s="1095">
        <f t="shared" si="176"/>
        <v>3377.9900000000002</v>
      </c>
      <c r="AB504" s="1095">
        <f t="shared" si="177"/>
        <v>0</v>
      </c>
      <c r="AC504" s="2909">
        <f t="shared" si="179"/>
        <v>3377.9900000000002</v>
      </c>
    </row>
    <row r="505" spans="1:29">
      <c r="A505" s="1780" t="s">
        <v>4579</v>
      </c>
      <c r="B505" s="1780"/>
      <c r="C505" s="2901">
        <v>65</v>
      </c>
      <c r="D505" s="2902">
        <f t="shared" si="180"/>
        <v>1.8573657410317809E-4</v>
      </c>
      <c r="E505" s="1083">
        <v>5850</v>
      </c>
      <c r="F505" s="2952">
        <f t="shared" si="181"/>
        <v>2.044998282026657E-4</v>
      </c>
      <c r="G505" s="2903">
        <f t="shared" si="169"/>
        <v>5850</v>
      </c>
      <c r="H505" s="2903">
        <f t="shared" si="182"/>
        <v>0</v>
      </c>
      <c r="I505" s="2905">
        <f t="shared" si="170"/>
        <v>3705</v>
      </c>
      <c r="J505" s="1096">
        <v>1133</v>
      </c>
      <c r="K505" s="2479">
        <f t="shared" si="183"/>
        <v>46407.68</v>
      </c>
      <c r="L505" s="398">
        <f t="shared" si="171"/>
        <v>1170</v>
      </c>
      <c r="M505" s="1095">
        <f t="shared" si="172"/>
        <v>6008</v>
      </c>
      <c r="N505" s="2906">
        <f t="shared" si="173"/>
        <v>1.8909679940699647E-4</v>
      </c>
      <c r="O505" s="2907">
        <f t="shared" si="184"/>
        <v>3.3602253038183757E-6</v>
      </c>
      <c r="P505" s="2908">
        <f t="shared" si="185"/>
        <v>19500</v>
      </c>
      <c r="Q505" s="1095">
        <f t="shared" si="186"/>
        <v>5323.5</v>
      </c>
      <c r="R505" s="2909">
        <f t="shared" si="187"/>
        <v>24823.5</v>
      </c>
      <c r="S505" s="398">
        <f t="shared" si="188"/>
        <v>0</v>
      </c>
      <c r="T505" s="1095">
        <f t="shared" si="189"/>
        <v>0</v>
      </c>
      <c r="U505" s="398">
        <f t="shared" si="190"/>
        <v>0</v>
      </c>
      <c r="V505" s="2913">
        <v>0</v>
      </c>
      <c r="W505" s="1095">
        <f t="shared" si="174"/>
        <v>6027.56</v>
      </c>
      <c r="X505" s="1095">
        <f t="shared" si="175"/>
        <v>1170</v>
      </c>
      <c r="Y505" s="2909">
        <f t="shared" si="178"/>
        <v>7197.56</v>
      </c>
      <c r="Z505" s="2913">
        <v>0</v>
      </c>
      <c r="AA505" s="1095">
        <f t="shared" si="176"/>
        <v>3251.71</v>
      </c>
      <c r="AB505" s="1095">
        <f t="shared" si="177"/>
        <v>0</v>
      </c>
      <c r="AC505" s="2909">
        <f t="shared" si="179"/>
        <v>3251.71</v>
      </c>
    </row>
    <row r="506" spans="1:29">
      <c r="A506" s="1780" t="s">
        <v>4580</v>
      </c>
      <c r="B506" s="1780"/>
      <c r="C506" s="2901">
        <v>110</v>
      </c>
      <c r="D506" s="2902">
        <f t="shared" si="180"/>
        <v>3.14323433097686E-4</v>
      </c>
      <c r="E506" s="1083">
        <v>9900</v>
      </c>
      <c r="F506" s="2952">
        <f t="shared" si="181"/>
        <v>3.460766323429727E-4</v>
      </c>
      <c r="G506" s="2903">
        <f t="shared" si="169"/>
        <v>9900</v>
      </c>
      <c r="H506" s="2903">
        <f t="shared" si="182"/>
        <v>0</v>
      </c>
      <c r="I506" s="2905">
        <f t="shared" si="170"/>
        <v>6270</v>
      </c>
      <c r="J506" s="1096">
        <v>2588</v>
      </c>
      <c r="K506" s="2479">
        <f t="shared" si="183"/>
        <v>106004.48</v>
      </c>
      <c r="L506" s="398">
        <f t="shared" si="171"/>
        <v>1980</v>
      </c>
      <c r="M506" s="1095">
        <f t="shared" si="172"/>
        <v>10838</v>
      </c>
      <c r="N506" s="2906">
        <f t="shared" si="173"/>
        <v>3.4111702928978489E-4</v>
      </c>
      <c r="O506" s="2907">
        <f t="shared" si="184"/>
        <v>2.679359619209889E-5</v>
      </c>
      <c r="P506" s="2908">
        <f t="shared" si="185"/>
        <v>33000</v>
      </c>
      <c r="Q506" s="1095">
        <f t="shared" si="186"/>
        <v>9009</v>
      </c>
      <c r="R506" s="2909">
        <f t="shared" si="187"/>
        <v>42009</v>
      </c>
      <c r="S506" s="398">
        <f t="shared" si="188"/>
        <v>0</v>
      </c>
      <c r="T506" s="1095">
        <f t="shared" si="189"/>
        <v>0</v>
      </c>
      <c r="U506" s="398">
        <f t="shared" si="190"/>
        <v>0</v>
      </c>
      <c r="V506" s="2913">
        <v>0</v>
      </c>
      <c r="W506" s="1095">
        <f t="shared" si="174"/>
        <v>13768.16</v>
      </c>
      <c r="X506" s="1095">
        <f t="shared" si="175"/>
        <v>1980</v>
      </c>
      <c r="Y506" s="2909">
        <f t="shared" si="178"/>
        <v>15748.16</v>
      </c>
      <c r="Z506" s="2913">
        <v>0</v>
      </c>
      <c r="AA506" s="1095">
        <f t="shared" si="176"/>
        <v>7427.56</v>
      </c>
      <c r="AB506" s="1095">
        <f t="shared" si="177"/>
        <v>0</v>
      </c>
      <c r="AC506" s="2909">
        <f t="shared" si="179"/>
        <v>7427.56</v>
      </c>
    </row>
    <row r="507" spans="1:29">
      <c r="A507" s="1780" t="s">
        <v>4581</v>
      </c>
      <c r="B507" s="1780"/>
      <c r="C507" s="2901">
        <v>220</v>
      </c>
      <c r="D507" s="2902">
        <f t="shared" si="180"/>
        <v>6.2864686619537201E-4</v>
      </c>
      <c r="E507" s="1083">
        <v>19800</v>
      </c>
      <c r="F507" s="2952">
        <f t="shared" si="181"/>
        <v>6.921532646859454E-4</v>
      </c>
      <c r="G507" s="2903">
        <f t="shared" si="169"/>
        <v>19800</v>
      </c>
      <c r="H507" s="2903">
        <f t="shared" si="182"/>
        <v>0</v>
      </c>
      <c r="I507" s="2905">
        <f t="shared" si="170"/>
        <v>12540</v>
      </c>
      <c r="J507" s="1096">
        <v>3836</v>
      </c>
      <c r="K507" s="2479">
        <f t="shared" si="183"/>
        <v>157122.56</v>
      </c>
      <c r="L507" s="398">
        <f t="shared" si="171"/>
        <v>3960</v>
      </c>
      <c r="M507" s="1095">
        <f t="shared" si="172"/>
        <v>20336</v>
      </c>
      <c r="N507" s="2906">
        <f t="shared" si="173"/>
        <v>6.4005867389159128E-4</v>
      </c>
      <c r="O507" s="2907">
        <f t="shared" si="184"/>
        <v>1.1411807696219277E-5</v>
      </c>
      <c r="P507" s="2908">
        <f t="shared" si="185"/>
        <v>66000</v>
      </c>
      <c r="Q507" s="1095">
        <f t="shared" si="186"/>
        <v>18018</v>
      </c>
      <c r="R507" s="2909">
        <f t="shared" si="187"/>
        <v>84018</v>
      </c>
      <c r="S507" s="398">
        <f t="shared" si="188"/>
        <v>0</v>
      </c>
      <c r="T507" s="1095">
        <f t="shared" si="189"/>
        <v>0</v>
      </c>
      <c r="U507" s="398">
        <f t="shared" si="190"/>
        <v>0</v>
      </c>
      <c r="V507" s="2913">
        <v>0</v>
      </c>
      <c r="W507" s="1095">
        <f t="shared" si="174"/>
        <v>20407.52</v>
      </c>
      <c r="X507" s="1095">
        <f t="shared" si="175"/>
        <v>3960</v>
      </c>
      <c r="Y507" s="2909">
        <f t="shared" si="178"/>
        <v>24367.52</v>
      </c>
      <c r="Z507" s="2913">
        <v>0</v>
      </c>
      <c r="AA507" s="1095">
        <f t="shared" si="176"/>
        <v>11009.32</v>
      </c>
      <c r="AB507" s="1095">
        <f t="shared" si="177"/>
        <v>0</v>
      </c>
      <c r="AC507" s="2909">
        <f t="shared" si="179"/>
        <v>11009.32</v>
      </c>
    </row>
    <row r="508" spans="1:29">
      <c r="A508" s="1780" t="s">
        <v>4582</v>
      </c>
      <c r="B508" s="1780"/>
      <c r="C508" s="2901">
        <v>185</v>
      </c>
      <c r="D508" s="2902">
        <f t="shared" si="180"/>
        <v>5.2863486475519925E-4</v>
      </c>
      <c r="E508" s="1083">
        <v>16650</v>
      </c>
      <c r="F508" s="2952">
        <f t="shared" si="181"/>
        <v>5.8203797257681779E-4</v>
      </c>
      <c r="G508" s="2903">
        <f t="shared" si="169"/>
        <v>16650</v>
      </c>
      <c r="H508" s="2903">
        <f t="shared" si="182"/>
        <v>0</v>
      </c>
      <c r="I508" s="2905">
        <f t="shared" si="170"/>
        <v>10545</v>
      </c>
      <c r="J508" s="1096">
        <v>4354</v>
      </c>
      <c r="K508" s="2479">
        <f t="shared" si="183"/>
        <v>178339.84</v>
      </c>
      <c r="L508" s="398">
        <f t="shared" si="171"/>
        <v>3330</v>
      </c>
      <c r="M508" s="1095">
        <f t="shared" si="172"/>
        <v>18229</v>
      </c>
      <c r="N508" s="2906">
        <f t="shared" si="173"/>
        <v>5.7374260259489653E-4</v>
      </c>
      <c r="O508" s="2907">
        <f t="shared" si="184"/>
        <v>4.5107737839697286E-5</v>
      </c>
      <c r="P508" s="2908">
        <f t="shared" si="185"/>
        <v>55500</v>
      </c>
      <c r="Q508" s="1095">
        <f t="shared" si="186"/>
        <v>15151.5</v>
      </c>
      <c r="R508" s="2909">
        <f t="shared" si="187"/>
        <v>70651.5</v>
      </c>
      <c r="S508" s="398">
        <f t="shared" si="188"/>
        <v>0</v>
      </c>
      <c r="T508" s="1095">
        <f t="shared" si="189"/>
        <v>0</v>
      </c>
      <c r="U508" s="398">
        <f t="shared" si="190"/>
        <v>0</v>
      </c>
      <c r="V508" s="2913">
        <v>0</v>
      </c>
      <c r="W508" s="1095">
        <f t="shared" si="174"/>
        <v>23163.280000000002</v>
      </c>
      <c r="X508" s="1095">
        <f t="shared" si="175"/>
        <v>3330</v>
      </c>
      <c r="Y508" s="2909">
        <f t="shared" si="178"/>
        <v>26493.280000000002</v>
      </c>
      <c r="Z508" s="2913">
        <v>0</v>
      </c>
      <c r="AA508" s="1095">
        <f t="shared" si="176"/>
        <v>12495.98</v>
      </c>
      <c r="AB508" s="1095">
        <f t="shared" si="177"/>
        <v>0</v>
      </c>
      <c r="AC508" s="2909">
        <f t="shared" si="179"/>
        <v>12495.98</v>
      </c>
    </row>
    <row r="509" spans="1:29">
      <c r="A509" s="1780" t="s">
        <v>4583</v>
      </c>
      <c r="B509" s="1780"/>
      <c r="C509" s="2901">
        <v>55</v>
      </c>
      <c r="D509" s="2902">
        <f t="shared" si="180"/>
        <v>1.57161716548843E-4</v>
      </c>
      <c r="E509" s="1083">
        <v>4950</v>
      </c>
      <c r="F509" s="2952">
        <f t="shared" si="181"/>
        <v>1.7303831617148635E-4</v>
      </c>
      <c r="G509" s="2903">
        <f t="shared" si="169"/>
        <v>4950</v>
      </c>
      <c r="H509" s="2903">
        <f t="shared" si="182"/>
        <v>0</v>
      </c>
      <c r="I509" s="2905">
        <f t="shared" si="170"/>
        <v>3135</v>
      </c>
      <c r="J509" s="1096">
        <v>1294</v>
      </c>
      <c r="K509" s="2479">
        <f t="shared" si="183"/>
        <v>53002.239999999998</v>
      </c>
      <c r="L509" s="398">
        <f t="shared" si="171"/>
        <v>990</v>
      </c>
      <c r="M509" s="1095">
        <f t="shared" si="172"/>
        <v>5419</v>
      </c>
      <c r="N509" s="2906">
        <f t="shared" si="173"/>
        <v>1.7055851464489245E-4</v>
      </c>
      <c r="O509" s="2907">
        <f t="shared" si="184"/>
        <v>1.3396798096049445E-5</v>
      </c>
      <c r="P509" s="2908">
        <f t="shared" si="185"/>
        <v>16500</v>
      </c>
      <c r="Q509" s="1095">
        <f t="shared" si="186"/>
        <v>4504.5</v>
      </c>
      <c r="R509" s="2909">
        <f t="shared" si="187"/>
        <v>21004.5</v>
      </c>
      <c r="S509" s="398">
        <f t="shared" si="188"/>
        <v>0</v>
      </c>
      <c r="T509" s="1095">
        <f t="shared" si="189"/>
        <v>0</v>
      </c>
      <c r="U509" s="398">
        <f t="shared" si="190"/>
        <v>0</v>
      </c>
      <c r="V509" s="2913">
        <v>0</v>
      </c>
      <c r="W509" s="1095">
        <f t="shared" si="174"/>
        <v>6884.08</v>
      </c>
      <c r="X509" s="1095">
        <f t="shared" si="175"/>
        <v>990</v>
      </c>
      <c r="Y509" s="2909">
        <f t="shared" si="178"/>
        <v>7874.08</v>
      </c>
      <c r="Z509" s="2913">
        <v>0</v>
      </c>
      <c r="AA509" s="1095">
        <f t="shared" si="176"/>
        <v>3713.78</v>
      </c>
      <c r="AB509" s="1095">
        <f t="shared" si="177"/>
        <v>0</v>
      </c>
      <c r="AC509" s="2909">
        <f t="shared" si="179"/>
        <v>3713.78</v>
      </c>
    </row>
    <row r="510" spans="1:29">
      <c r="A510" s="1780" t="s">
        <v>4584</v>
      </c>
      <c r="B510" s="1780"/>
      <c r="C510" s="2901">
        <v>360</v>
      </c>
      <c r="D510" s="2902">
        <f t="shared" si="180"/>
        <v>1.0286948719560633E-3</v>
      </c>
      <c r="E510" s="1083">
        <v>32400</v>
      </c>
      <c r="F510" s="2952">
        <f t="shared" si="181"/>
        <v>1.1326144331224562E-3</v>
      </c>
      <c r="G510" s="2903">
        <f t="shared" si="169"/>
        <v>32400</v>
      </c>
      <c r="H510" s="2903">
        <f t="shared" si="182"/>
        <v>0</v>
      </c>
      <c r="I510" s="2905">
        <f t="shared" si="170"/>
        <v>20520</v>
      </c>
      <c r="J510" s="1096">
        <v>6278</v>
      </c>
      <c r="K510" s="2479">
        <f t="shared" si="183"/>
        <v>257146.88</v>
      </c>
      <c r="L510" s="398">
        <f t="shared" si="171"/>
        <v>6480</v>
      </c>
      <c r="M510" s="1095">
        <f t="shared" si="172"/>
        <v>33278</v>
      </c>
      <c r="N510" s="2906">
        <f t="shared" si="173"/>
        <v>1.0473973519750381E-3</v>
      </c>
      <c r="O510" s="2907">
        <f t="shared" si="184"/>
        <v>1.8702480018974871E-5</v>
      </c>
      <c r="P510" s="2908">
        <f t="shared" si="185"/>
        <v>108000</v>
      </c>
      <c r="Q510" s="1095">
        <f t="shared" si="186"/>
        <v>29484</v>
      </c>
      <c r="R510" s="2909">
        <f t="shared" si="187"/>
        <v>137484</v>
      </c>
      <c r="S510" s="398">
        <f t="shared" si="188"/>
        <v>0</v>
      </c>
      <c r="T510" s="1095">
        <f t="shared" si="189"/>
        <v>0</v>
      </c>
      <c r="U510" s="398">
        <f t="shared" si="190"/>
        <v>0</v>
      </c>
      <c r="V510" s="2913">
        <v>0</v>
      </c>
      <c r="W510" s="1095">
        <f t="shared" si="174"/>
        <v>33398.959999999999</v>
      </c>
      <c r="X510" s="1095">
        <f t="shared" si="175"/>
        <v>6480</v>
      </c>
      <c r="Y510" s="2909">
        <f t="shared" si="178"/>
        <v>39878.959999999999</v>
      </c>
      <c r="Z510" s="2913">
        <v>0</v>
      </c>
      <c r="AA510" s="1095">
        <f t="shared" si="176"/>
        <v>18017.86</v>
      </c>
      <c r="AB510" s="1095">
        <f t="shared" si="177"/>
        <v>0</v>
      </c>
      <c r="AC510" s="2909">
        <f t="shared" si="179"/>
        <v>18017.86</v>
      </c>
    </row>
    <row r="511" spans="1:29">
      <c r="A511" s="1780" t="s">
        <v>4585</v>
      </c>
      <c r="B511" s="1780"/>
      <c r="C511" s="2901">
        <v>130</v>
      </c>
      <c r="D511" s="2902">
        <f t="shared" si="180"/>
        <v>3.7147314820635619E-4</v>
      </c>
      <c r="E511" s="1083">
        <v>11700</v>
      </c>
      <c r="F511" s="2952">
        <f t="shared" si="181"/>
        <v>4.0899965640533141E-4</v>
      </c>
      <c r="G511" s="2903">
        <f t="shared" si="169"/>
        <v>11700</v>
      </c>
      <c r="H511" s="2903">
        <f t="shared" si="182"/>
        <v>0</v>
      </c>
      <c r="I511" s="2905">
        <f t="shared" si="170"/>
        <v>7410</v>
      </c>
      <c r="J511" s="1096">
        <v>0</v>
      </c>
      <c r="K511" s="2479">
        <f t="shared" si="183"/>
        <v>0</v>
      </c>
      <c r="L511" s="398">
        <f t="shared" si="171"/>
        <v>2340</v>
      </c>
      <c r="M511" s="1095">
        <f t="shared" si="172"/>
        <v>9750</v>
      </c>
      <c r="N511" s="2906">
        <f t="shared" si="173"/>
        <v>3.0687313485656053E-4</v>
      </c>
      <c r="O511" s="2907">
        <f t="shared" si="184"/>
        <v>-6.4600013349795659E-5</v>
      </c>
      <c r="P511" s="2908">
        <f t="shared" si="185"/>
        <v>39000</v>
      </c>
      <c r="Q511" s="1095">
        <f t="shared" si="186"/>
        <v>10647</v>
      </c>
      <c r="R511" s="2909">
        <f t="shared" si="187"/>
        <v>49647</v>
      </c>
      <c r="S511" s="398">
        <f t="shared" si="188"/>
        <v>0</v>
      </c>
      <c r="T511" s="1095">
        <f t="shared" si="189"/>
        <v>0</v>
      </c>
      <c r="U511" s="398">
        <f t="shared" si="190"/>
        <v>0</v>
      </c>
      <c r="V511" s="2913">
        <v>0</v>
      </c>
      <c r="W511" s="1095">
        <f t="shared" si="174"/>
        <v>0</v>
      </c>
      <c r="X511" s="1095">
        <f t="shared" si="175"/>
        <v>2340</v>
      </c>
      <c r="Y511" s="2909">
        <f t="shared" si="178"/>
        <v>2340</v>
      </c>
      <c r="Z511" s="2913">
        <v>0</v>
      </c>
      <c r="AA511" s="1095">
        <f t="shared" si="176"/>
        <v>0</v>
      </c>
      <c r="AB511" s="1095">
        <f t="shared" si="177"/>
        <v>0</v>
      </c>
      <c r="AC511" s="2909">
        <f t="shared" si="179"/>
        <v>0</v>
      </c>
    </row>
    <row r="512" spans="1:29">
      <c r="A512" s="1780" t="s">
        <v>4586</v>
      </c>
      <c r="B512" s="1780"/>
      <c r="C512" s="2901">
        <v>135</v>
      </c>
      <c r="D512" s="2902">
        <f t="shared" si="180"/>
        <v>3.8576057698352375E-4</v>
      </c>
      <c r="E512" s="1083">
        <v>12150</v>
      </c>
      <c r="F512" s="2952">
        <f t="shared" si="181"/>
        <v>4.2473041242092104E-4</v>
      </c>
      <c r="G512" s="2903">
        <f t="shared" si="169"/>
        <v>12150</v>
      </c>
      <c r="H512" s="2903">
        <f t="shared" si="182"/>
        <v>0</v>
      </c>
      <c r="I512" s="2905">
        <f t="shared" si="170"/>
        <v>7695</v>
      </c>
      <c r="J512" s="1096">
        <v>2354</v>
      </c>
      <c r="K512" s="2479">
        <f t="shared" si="183"/>
        <v>96419.839999999997</v>
      </c>
      <c r="L512" s="398">
        <f t="shared" si="171"/>
        <v>2430</v>
      </c>
      <c r="M512" s="1095">
        <f t="shared" si="172"/>
        <v>12479</v>
      </c>
      <c r="N512" s="2906">
        <f t="shared" si="173"/>
        <v>3.9276613844871984E-4</v>
      </c>
      <c r="O512" s="2907">
        <f t="shared" si="184"/>
        <v>7.0055614651960913E-6</v>
      </c>
      <c r="P512" s="2908">
        <f t="shared" si="185"/>
        <v>40500</v>
      </c>
      <c r="Q512" s="1095">
        <f t="shared" si="186"/>
        <v>11056.5</v>
      </c>
      <c r="R512" s="2909">
        <f t="shared" si="187"/>
        <v>51556.5</v>
      </c>
      <c r="S512" s="398">
        <f t="shared" si="188"/>
        <v>0</v>
      </c>
      <c r="T512" s="1095">
        <f t="shared" si="189"/>
        <v>0</v>
      </c>
      <c r="U512" s="398">
        <f t="shared" si="190"/>
        <v>0</v>
      </c>
      <c r="V512" s="2913">
        <v>0</v>
      </c>
      <c r="W512" s="1095">
        <f t="shared" si="174"/>
        <v>12523.28</v>
      </c>
      <c r="X512" s="1095">
        <f t="shared" si="175"/>
        <v>2430</v>
      </c>
      <c r="Y512" s="2909">
        <f t="shared" si="178"/>
        <v>14953.28</v>
      </c>
      <c r="Z512" s="2913">
        <v>0</v>
      </c>
      <c r="AA512" s="1095">
        <f t="shared" si="176"/>
        <v>6755.9800000000005</v>
      </c>
      <c r="AB512" s="1095">
        <f t="shared" si="177"/>
        <v>0</v>
      </c>
      <c r="AC512" s="2909">
        <f t="shared" si="179"/>
        <v>6755.9800000000005</v>
      </c>
    </row>
    <row r="513" spans="1:29">
      <c r="A513" s="1780" t="s">
        <v>4587</v>
      </c>
      <c r="B513" s="1780"/>
      <c r="C513" s="2901">
        <v>210</v>
      </c>
      <c r="D513" s="2902">
        <f t="shared" si="180"/>
        <v>6.0007200864103688E-4</v>
      </c>
      <c r="E513" s="1083">
        <v>18900</v>
      </c>
      <c r="F513" s="2952">
        <f t="shared" si="181"/>
        <v>6.6069175265476613E-4</v>
      </c>
      <c r="G513" s="2903">
        <f t="shared" si="169"/>
        <v>18900</v>
      </c>
      <c r="H513" s="2903">
        <f t="shared" si="182"/>
        <v>0</v>
      </c>
      <c r="I513" s="2905">
        <f t="shared" si="170"/>
        <v>11970</v>
      </c>
      <c r="J513" s="1096">
        <v>1221</v>
      </c>
      <c r="K513" s="2479">
        <f t="shared" si="183"/>
        <v>50012.160000000003</v>
      </c>
      <c r="L513" s="398">
        <f t="shared" si="171"/>
        <v>3780</v>
      </c>
      <c r="M513" s="1095">
        <f t="shared" si="172"/>
        <v>16971</v>
      </c>
      <c r="N513" s="2906">
        <f t="shared" si="173"/>
        <v>5.341480996564809E-4</v>
      </c>
      <c r="O513" s="2907">
        <f t="shared" si="184"/>
        <v>-6.5923908984555986E-5</v>
      </c>
      <c r="P513" s="2908">
        <f t="shared" si="185"/>
        <v>63000</v>
      </c>
      <c r="Q513" s="1095">
        <f t="shared" si="186"/>
        <v>17199</v>
      </c>
      <c r="R513" s="2909">
        <f t="shared" si="187"/>
        <v>80199</v>
      </c>
      <c r="S513" s="398">
        <f t="shared" si="188"/>
        <v>0</v>
      </c>
      <c r="T513" s="1095">
        <f t="shared" si="189"/>
        <v>0</v>
      </c>
      <c r="U513" s="398">
        <f t="shared" si="190"/>
        <v>0</v>
      </c>
      <c r="V513" s="2913">
        <v>0</v>
      </c>
      <c r="W513" s="1095">
        <f t="shared" si="174"/>
        <v>6495.72</v>
      </c>
      <c r="X513" s="1095">
        <f t="shared" si="175"/>
        <v>3780</v>
      </c>
      <c r="Y513" s="2909">
        <f t="shared" si="178"/>
        <v>10275.720000000001</v>
      </c>
      <c r="Z513" s="2913">
        <v>0</v>
      </c>
      <c r="AA513" s="1095">
        <f t="shared" si="176"/>
        <v>3504.27</v>
      </c>
      <c r="AB513" s="1095">
        <f t="shared" si="177"/>
        <v>0</v>
      </c>
      <c r="AC513" s="2909">
        <f t="shared" si="179"/>
        <v>3504.27</v>
      </c>
    </row>
    <row r="514" spans="1:29">
      <c r="A514" s="1780" t="s">
        <v>4588</v>
      </c>
      <c r="B514" s="1780"/>
      <c r="C514" s="2901">
        <v>470</v>
      </c>
      <c r="D514" s="2902">
        <f t="shared" si="180"/>
        <v>1.3430183050537493E-3</v>
      </c>
      <c r="E514" s="1083">
        <v>42300</v>
      </c>
      <c r="F514" s="2952">
        <f t="shared" si="181"/>
        <v>1.4786910654654289E-3</v>
      </c>
      <c r="G514" s="2903">
        <f t="shared" ref="G514:G577" si="191">C514*90</f>
        <v>42300</v>
      </c>
      <c r="H514" s="2903">
        <f t="shared" si="182"/>
        <v>0</v>
      </c>
      <c r="I514" s="2905">
        <f t="shared" ref="I514:I577" si="192">C514*57</f>
        <v>26790</v>
      </c>
      <c r="J514" s="1096">
        <v>8197</v>
      </c>
      <c r="K514" s="2479">
        <f t="shared" si="183"/>
        <v>335749.12</v>
      </c>
      <c r="L514" s="398">
        <f t="shared" ref="L514:L577" si="193">E514/5</f>
        <v>8460</v>
      </c>
      <c r="M514" s="1095">
        <f t="shared" ref="M514:M577" si="194">I514+J514+L514</f>
        <v>43447</v>
      </c>
      <c r="N514" s="2906">
        <f t="shared" ref="N514:N577" si="195">M514/$M$612</f>
        <v>1.3674581630885112E-3</v>
      </c>
      <c r="O514" s="2907">
        <f t="shared" si="184"/>
        <v>2.4439858034761962E-5</v>
      </c>
      <c r="P514" s="2908">
        <f t="shared" si="185"/>
        <v>141000</v>
      </c>
      <c r="Q514" s="1095">
        <f t="shared" si="186"/>
        <v>38493</v>
      </c>
      <c r="R514" s="2909">
        <f t="shared" si="187"/>
        <v>179493</v>
      </c>
      <c r="S514" s="398">
        <f t="shared" si="188"/>
        <v>0</v>
      </c>
      <c r="T514" s="1095">
        <f t="shared" si="189"/>
        <v>0</v>
      </c>
      <c r="U514" s="398">
        <f t="shared" si="190"/>
        <v>0</v>
      </c>
      <c r="V514" s="2913">
        <v>0</v>
      </c>
      <c r="W514" s="1095">
        <f t="shared" ref="W514:W577" si="196">J514*5.32</f>
        <v>43608.04</v>
      </c>
      <c r="X514" s="1095">
        <f t="shared" ref="X514:X577" si="197">L514*1</f>
        <v>8460</v>
      </c>
      <c r="Y514" s="2909">
        <f t="shared" si="178"/>
        <v>52068.04</v>
      </c>
      <c r="Z514" s="2913">
        <v>0</v>
      </c>
      <c r="AA514" s="1095">
        <f t="shared" ref="AA514:AA577" si="198">J514*2.87</f>
        <v>23525.39</v>
      </c>
      <c r="AB514" s="1095">
        <f t="shared" ref="AB514:AB577" si="199">L514*0</f>
        <v>0</v>
      </c>
      <c r="AC514" s="2909">
        <f t="shared" si="179"/>
        <v>23525.39</v>
      </c>
    </row>
    <row r="515" spans="1:29">
      <c r="A515" s="1780" t="s">
        <v>4589</v>
      </c>
      <c r="B515" s="1780"/>
      <c r="C515" s="2901">
        <v>120</v>
      </c>
      <c r="D515" s="2902">
        <f t="shared" si="180"/>
        <v>3.4289829065202112E-4</v>
      </c>
      <c r="E515" s="1083">
        <v>10800</v>
      </c>
      <c r="F515" s="2952">
        <f t="shared" si="181"/>
        <v>3.7753814437415203E-4</v>
      </c>
      <c r="G515" s="2903">
        <f t="shared" si="191"/>
        <v>10800</v>
      </c>
      <c r="H515" s="2903">
        <f t="shared" si="182"/>
        <v>0</v>
      </c>
      <c r="I515" s="2905">
        <f t="shared" si="192"/>
        <v>6840</v>
      </c>
      <c r="J515" s="1096">
        <v>2092</v>
      </c>
      <c r="K515" s="2479">
        <f t="shared" si="183"/>
        <v>85688.320000000007</v>
      </c>
      <c r="L515" s="398">
        <f t="shared" si="193"/>
        <v>2160</v>
      </c>
      <c r="M515" s="1095">
        <f t="shared" si="194"/>
        <v>11092</v>
      </c>
      <c r="N515" s="2906">
        <f t="shared" si="195"/>
        <v>3.4911146787989426E-4</v>
      </c>
      <c r="O515" s="2907">
        <f t="shared" si="184"/>
        <v>6.2131772278731408E-6</v>
      </c>
      <c r="P515" s="2908">
        <f t="shared" si="185"/>
        <v>36000</v>
      </c>
      <c r="Q515" s="1095">
        <f t="shared" si="186"/>
        <v>9828</v>
      </c>
      <c r="R515" s="2909">
        <f t="shared" si="187"/>
        <v>45828</v>
      </c>
      <c r="S515" s="398">
        <f t="shared" si="188"/>
        <v>0</v>
      </c>
      <c r="T515" s="1095">
        <f t="shared" si="189"/>
        <v>0</v>
      </c>
      <c r="U515" s="398">
        <f t="shared" si="190"/>
        <v>0</v>
      </c>
      <c r="V515" s="2913">
        <v>0</v>
      </c>
      <c r="W515" s="1095">
        <f t="shared" si="196"/>
        <v>11129.44</v>
      </c>
      <c r="X515" s="1095">
        <f t="shared" si="197"/>
        <v>2160</v>
      </c>
      <c r="Y515" s="2909">
        <f t="shared" ref="Y515:Y578" si="200">SUM(V515:X515)</f>
        <v>13289.44</v>
      </c>
      <c r="Z515" s="2913">
        <v>0</v>
      </c>
      <c r="AA515" s="1095">
        <f t="shared" si="198"/>
        <v>6004.04</v>
      </c>
      <c r="AB515" s="1095">
        <f t="shared" si="199"/>
        <v>0</v>
      </c>
      <c r="AC515" s="2909">
        <f t="shared" ref="AC515:AC578" si="201">SUM(Z515:AB515)</f>
        <v>6004.04</v>
      </c>
    </row>
    <row r="516" spans="1:29">
      <c r="A516" s="1780" t="s">
        <v>4590</v>
      </c>
      <c r="B516" s="1780"/>
      <c r="C516" s="2901">
        <v>150</v>
      </c>
      <c r="D516" s="2902">
        <f t="shared" si="180"/>
        <v>4.2862286331502638E-4</v>
      </c>
      <c r="E516" s="1083">
        <v>13500</v>
      </c>
      <c r="F516" s="2952">
        <f t="shared" si="181"/>
        <v>4.7192268046769006E-4</v>
      </c>
      <c r="G516" s="2903">
        <f t="shared" si="191"/>
        <v>13500</v>
      </c>
      <c r="H516" s="2903">
        <f t="shared" si="182"/>
        <v>0</v>
      </c>
      <c r="I516" s="2905">
        <f t="shared" si="192"/>
        <v>8550</v>
      </c>
      <c r="J516" s="1096">
        <v>2616</v>
      </c>
      <c r="K516" s="2479">
        <f t="shared" si="183"/>
        <v>107151.36</v>
      </c>
      <c r="L516" s="398">
        <f t="shared" si="193"/>
        <v>2700</v>
      </c>
      <c r="M516" s="1095">
        <f t="shared" si="194"/>
        <v>13866</v>
      </c>
      <c r="N516" s="2906">
        <f t="shared" si="195"/>
        <v>4.3642080901754547E-4</v>
      </c>
      <c r="O516" s="2907">
        <f t="shared" si="184"/>
        <v>7.797945702519096E-6</v>
      </c>
      <c r="P516" s="2908">
        <f t="shared" si="185"/>
        <v>45000</v>
      </c>
      <c r="Q516" s="1095">
        <f t="shared" si="186"/>
        <v>12285</v>
      </c>
      <c r="R516" s="2909">
        <f t="shared" si="187"/>
        <v>57285</v>
      </c>
      <c r="S516" s="398">
        <f t="shared" si="188"/>
        <v>0</v>
      </c>
      <c r="T516" s="1095">
        <f t="shared" si="189"/>
        <v>0</v>
      </c>
      <c r="U516" s="398">
        <f t="shared" si="190"/>
        <v>0</v>
      </c>
      <c r="V516" s="2913">
        <v>0</v>
      </c>
      <c r="W516" s="1095">
        <f t="shared" si="196"/>
        <v>13917.12</v>
      </c>
      <c r="X516" s="1095">
        <f t="shared" si="197"/>
        <v>2700</v>
      </c>
      <c r="Y516" s="2909">
        <f t="shared" si="200"/>
        <v>16617.120000000003</v>
      </c>
      <c r="Z516" s="2913">
        <v>0</v>
      </c>
      <c r="AA516" s="1095">
        <f t="shared" si="198"/>
        <v>7507.92</v>
      </c>
      <c r="AB516" s="1095">
        <f t="shared" si="199"/>
        <v>0</v>
      </c>
      <c r="AC516" s="2909">
        <f t="shared" si="201"/>
        <v>7507.92</v>
      </c>
    </row>
    <row r="517" spans="1:29">
      <c r="A517" s="1780" t="s">
        <v>4591</v>
      </c>
      <c r="B517" s="1780"/>
      <c r="C517" s="2901">
        <v>220</v>
      </c>
      <c r="D517" s="2902">
        <f t="shared" si="180"/>
        <v>6.2864686619537201E-4</v>
      </c>
      <c r="E517" s="1083">
        <v>9900</v>
      </c>
      <c r="F517" s="2952">
        <f t="shared" si="181"/>
        <v>3.460766323429727E-4</v>
      </c>
      <c r="G517" s="2903">
        <f t="shared" si="191"/>
        <v>19800</v>
      </c>
      <c r="H517" s="2903">
        <f t="shared" si="182"/>
        <v>-9900</v>
      </c>
      <c r="I517" s="2905">
        <f t="shared" si="192"/>
        <v>12540</v>
      </c>
      <c r="J517" s="1096">
        <v>1221</v>
      </c>
      <c r="K517" s="2479">
        <f t="shared" si="183"/>
        <v>50012.160000000003</v>
      </c>
      <c r="L517" s="398">
        <f t="shared" si="193"/>
        <v>1980</v>
      </c>
      <c r="M517" s="1095">
        <f t="shared" si="194"/>
        <v>15741</v>
      </c>
      <c r="N517" s="2906">
        <f t="shared" si="195"/>
        <v>4.9543487341303786E-4</v>
      </c>
      <c r="O517" s="2907">
        <f t="shared" si="184"/>
        <v>-1.3321199278233415E-4</v>
      </c>
      <c r="P517" s="2908">
        <f t="shared" si="185"/>
        <v>66000</v>
      </c>
      <c r="Q517" s="1095">
        <f t="shared" si="186"/>
        <v>9009</v>
      </c>
      <c r="R517" s="2909">
        <f t="shared" si="187"/>
        <v>75009</v>
      </c>
      <c r="S517" s="398">
        <f t="shared" si="188"/>
        <v>0</v>
      </c>
      <c r="T517" s="1095">
        <f t="shared" si="189"/>
        <v>0</v>
      </c>
      <c r="U517" s="398">
        <f t="shared" si="190"/>
        <v>0</v>
      </c>
      <c r="V517" s="2913">
        <v>0</v>
      </c>
      <c r="W517" s="1095">
        <f t="shared" si="196"/>
        <v>6495.72</v>
      </c>
      <c r="X517" s="1095">
        <f t="shared" si="197"/>
        <v>1980</v>
      </c>
      <c r="Y517" s="2909">
        <f t="shared" si="200"/>
        <v>8475.7200000000012</v>
      </c>
      <c r="Z517" s="2913">
        <v>0</v>
      </c>
      <c r="AA517" s="1095">
        <f t="shared" si="198"/>
        <v>3504.27</v>
      </c>
      <c r="AB517" s="1095">
        <f t="shared" si="199"/>
        <v>0</v>
      </c>
      <c r="AC517" s="2909">
        <f t="shared" si="201"/>
        <v>3504.27</v>
      </c>
    </row>
    <row r="518" spans="1:29">
      <c r="A518" s="1780" t="s">
        <v>4592</v>
      </c>
      <c r="B518" s="1780"/>
      <c r="C518" s="2901">
        <v>455</v>
      </c>
      <c r="D518" s="2902">
        <f t="shared" ref="D518:D581" si="202">C518/349958</f>
        <v>1.3001560187222466E-3</v>
      </c>
      <c r="E518" s="1083">
        <v>40950</v>
      </c>
      <c r="F518" s="2952">
        <f t="shared" ref="F518:F581" si="203">E518/$E$612</f>
        <v>1.4314987974186598E-3</v>
      </c>
      <c r="G518" s="2903">
        <f t="shared" si="191"/>
        <v>40950</v>
      </c>
      <c r="H518" s="2903">
        <f t="shared" ref="H518:H581" si="204">E518-G518</f>
        <v>0</v>
      </c>
      <c r="I518" s="2905">
        <f t="shared" si="192"/>
        <v>25935</v>
      </c>
      <c r="J518" s="1096">
        <v>10710</v>
      </c>
      <c r="K518" s="2479">
        <f t="shared" si="183"/>
        <v>438681.60000000003</v>
      </c>
      <c r="L518" s="398">
        <f t="shared" si="193"/>
        <v>8190</v>
      </c>
      <c r="M518" s="1095">
        <f t="shared" si="194"/>
        <v>44835</v>
      </c>
      <c r="N518" s="2906">
        <f t="shared" si="195"/>
        <v>1.4111443078250144E-3</v>
      </c>
      <c r="O518" s="2907">
        <f t="shared" si="184"/>
        <v>1.1098828910276778E-4</v>
      </c>
      <c r="P518" s="2908">
        <f t="shared" si="185"/>
        <v>136500</v>
      </c>
      <c r="Q518" s="1095">
        <f t="shared" si="186"/>
        <v>37264.5</v>
      </c>
      <c r="R518" s="2909">
        <f t="shared" si="187"/>
        <v>173764.5</v>
      </c>
      <c r="S518" s="398">
        <f t="shared" si="188"/>
        <v>0</v>
      </c>
      <c r="T518" s="1095">
        <f t="shared" si="189"/>
        <v>0</v>
      </c>
      <c r="U518" s="398">
        <f t="shared" si="190"/>
        <v>0</v>
      </c>
      <c r="V518" s="2913">
        <v>0</v>
      </c>
      <c r="W518" s="1095">
        <f t="shared" si="196"/>
        <v>56977.200000000004</v>
      </c>
      <c r="X518" s="1095">
        <f t="shared" si="197"/>
        <v>8190</v>
      </c>
      <c r="Y518" s="2909">
        <f t="shared" si="200"/>
        <v>65167.200000000004</v>
      </c>
      <c r="Z518" s="2913">
        <v>0</v>
      </c>
      <c r="AA518" s="1095">
        <f t="shared" si="198"/>
        <v>30737.7</v>
      </c>
      <c r="AB518" s="1095">
        <f t="shared" si="199"/>
        <v>0</v>
      </c>
      <c r="AC518" s="2909">
        <f t="shared" si="201"/>
        <v>30737.7</v>
      </c>
    </row>
    <row r="519" spans="1:29">
      <c r="A519" s="1780" t="s">
        <v>4593</v>
      </c>
      <c r="B519" s="1780"/>
      <c r="C519" s="2901">
        <v>180</v>
      </c>
      <c r="D519" s="2902">
        <f t="shared" si="202"/>
        <v>5.1434743597803163E-4</v>
      </c>
      <c r="E519" s="1083">
        <v>16200</v>
      </c>
      <c r="F519" s="2952">
        <f t="shared" si="203"/>
        <v>5.6630721656122809E-4</v>
      </c>
      <c r="G519" s="2903">
        <f t="shared" si="191"/>
        <v>16200</v>
      </c>
      <c r="H519" s="2903">
        <f t="shared" si="204"/>
        <v>0</v>
      </c>
      <c r="I519" s="2905">
        <f t="shared" si="192"/>
        <v>10260</v>
      </c>
      <c r="J519" s="1096">
        <v>3139</v>
      </c>
      <c r="K519" s="2479">
        <f t="shared" ref="K519:K582" si="205">J519*40.96</f>
        <v>128573.44</v>
      </c>
      <c r="L519" s="398">
        <f t="shared" si="193"/>
        <v>3240</v>
      </c>
      <c r="M519" s="1095">
        <f t="shared" si="194"/>
        <v>16639</v>
      </c>
      <c r="N519" s="2906">
        <f t="shared" si="195"/>
        <v>5.2369867598751907E-4</v>
      </c>
      <c r="O519" s="2907">
        <f t="shared" ref="O519:O582" si="206">N519-D519</f>
        <v>9.3512400094874354E-6</v>
      </c>
      <c r="P519" s="2908">
        <f t="shared" ref="P519:P582" si="207">C519*300</f>
        <v>54000</v>
      </c>
      <c r="Q519" s="1095">
        <f t="shared" ref="Q519:Q582" si="208">E519*0.91</f>
        <v>14742</v>
      </c>
      <c r="R519" s="2909">
        <f t="shared" ref="R519:R582" si="209">SUM(P519:Q519)</f>
        <v>68742</v>
      </c>
      <c r="S519" s="398">
        <f t="shared" ref="S519:S582" si="210">C519*0</f>
        <v>0</v>
      </c>
      <c r="T519" s="1095">
        <f t="shared" ref="T519:T582" si="211">E519*0</f>
        <v>0</v>
      </c>
      <c r="U519" s="398">
        <f t="shared" ref="U519:U582" si="212">SUM(S519:T519)</f>
        <v>0</v>
      </c>
      <c r="V519" s="2913">
        <v>0</v>
      </c>
      <c r="W519" s="1095">
        <f t="shared" si="196"/>
        <v>16699.48</v>
      </c>
      <c r="X519" s="1095">
        <f t="shared" si="197"/>
        <v>3240</v>
      </c>
      <c r="Y519" s="2909">
        <f t="shared" si="200"/>
        <v>19939.48</v>
      </c>
      <c r="Z519" s="2913">
        <v>0</v>
      </c>
      <c r="AA519" s="1095">
        <f t="shared" si="198"/>
        <v>9008.93</v>
      </c>
      <c r="AB519" s="1095">
        <f t="shared" si="199"/>
        <v>0</v>
      </c>
      <c r="AC519" s="2909">
        <f t="shared" si="201"/>
        <v>9008.93</v>
      </c>
    </row>
    <row r="520" spans="1:29">
      <c r="A520" s="1780" t="s">
        <v>4594</v>
      </c>
      <c r="B520" s="1780"/>
      <c r="C520" s="2901">
        <v>525</v>
      </c>
      <c r="D520" s="2902">
        <f t="shared" si="202"/>
        <v>1.5001800216025924E-3</v>
      </c>
      <c r="E520" s="1083">
        <v>47250</v>
      </c>
      <c r="F520" s="2952">
        <f t="shared" si="203"/>
        <v>1.6517293816369152E-3</v>
      </c>
      <c r="G520" s="2903">
        <f t="shared" si="191"/>
        <v>47250</v>
      </c>
      <c r="H520" s="2903">
        <f t="shared" si="204"/>
        <v>0</v>
      </c>
      <c r="I520" s="2905">
        <f t="shared" si="192"/>
        <v>29925</v>
      </c>
      <c r="J520" s="1096">
        <v>9156</v>
      </c>
      <c r="K520" s="2479">
        <f t="shared" si="205"/>
        <v>375029.76000000001</v>
      </c>
      <c r="L520" s="398">
        <f t="shared" si="193"/>
        <v>9450</v>
      </c>
      <c r="M520" s="1095">
        <f t="shared" si="194"/>
        <v>48531</v>
      </c>
      <c r="N520" s="2906">
        <f t="shared" si="195"/>
        <v>1.5274728315614091E-3</v>
      </c>
      <c r="O520" s="2907">
        <f t="shared" si="206"/>
        <v>2.7292809958816755E-5</v>
      </c>
      <c r="P520" s="2908">
        <f t="shared" si="207"/>
        <v>157500</v>
      </c>
      <c r="Q520" s="1095">
        <f t="shared" si="208"/>
        <v>42997.5</v>
      </c>
      <c r="R520" s="2909">
        <f t="shared" si="209"/>
        <v>200497.5</v>
      </c>
      <c r="S520" s="398">
        <f t="shared" si="210"/>
        <v>0</v>
      </c>
      <c r="T520" s="1095">
        <f t="shared" si="211"/>
        <v>0</v>
      </c>
      <c r="U520" s="398">
        <f t="shared" si="212"/>
        <v>0</v>
      </c>
      <c r="V520" s="2913">
        <v>0</v>
      </c>
      <c r="W520" s="1095">
        <f t="shared" si="196"/>
        <v>48709.920000000006</v>
      </c>
      <c r="X520" s="1095">
        <f t="shared" si="197"/>
        <v>9450</v>
      </c>
      <c r="Y520" s="2909">
        <f t="shared" si="200"/>
        <v>58159.920000000006</v>
      </c>
      <c r="Z520" s="2913">
        <v>0</v>
      </c>
      <c r="AA520" s="1095">
        <f t="shared" si="198"/>
        <v>26277.72</v>
      </c>
      <c r="AB520" s="1095">
        <f t="shared" si="199"/>
        <v>0</v>
      </c>
      <c r="AC520" s="2909">
        <f t="shared" si="201"/>
        <v>26277.72</v>
      </c>
    </row>
    <row r="521" spans="1:29">
      <c r="A521" s="1780" t="s">
        <v>4595</v>
      </c>
      <c r="B521" s="1780"/>
      <c r="C521" s="2901">
        <v>175</v>
      </c>
      <c r="D521" s="2902">
        <f t="shared" si="202"/>
        <v>5.0006000720086412E-4</v>
      </c>
      <c r="E521" s="1083">
        <v>15750</v>
      </c>
      <c r="F521" s="2952">
        <f t="shared" si="203"/>
        <v>5.505764605456384E-4</v>
      </c>
      <c r="G521" s="2903">
        <f t="shared" si="191"/>
        <v>15750</v>
      </c>
      <c r="H521" s="2903">
        <f t="shared" si="204"/>
        <v>0</v>
      </c>
      <c r="I521" s="2905">
        <f t="shared" si="192"/>
        <v>9975</v>
      </c>
      <c r="J521" s="1096">
        <v>0</v>
      </c>
      <c r="K521" s="2479">
        <f t="shared" si="205"/>
        <v>0</v>
      </c>
      <c r="L521" s="398">
        <f t="shared" si="193"/>
        <v>3150</v>
      </c>
      <c r="M521" s="1095">
        <f t="shared" si="194"/>
        <v>13125</v>
      </c>
      <c r="N521" s="2906">
        <f t="shared" si="195"/>
        <v>4.1309845076844686E-4</v>
      </c>
      <c r="O521" s="2907">
        <f t="shared" si="206"/>
        <v>-8.6961556432417269E-5</v>
      </c>
      <c r="P521" s="2908">
        <f t="shared" si="207"/>
        <v>52500</v>
      </c>
      <c r="Q521" s="1095">
        <f t="shared" si="208"/>
        <v>14332.5</v>
      </c>
      <c r="R521" s="2909">
        <f t="shared" si="209"/>
        <v>66832.5</v>
      </c>
      <c r="S521" s="398">
        <f t="shared" si="210"/>
        <v>0</v>
      </c>
      <c r="T521" s="1095">
        <f t="shared" si="211"/>
        <v>0</v>
      </c>
      <c r="U521" s="398">
        <f t="shared" si="212"/>
        <v>0</v>
      </c>
      <c r="V521" s="2913">
        <v>0</v>
      </c>
      <c r="W521" s="1095">
        <f t="shared" si="196"/>
        <v>0</v>
      </c>
      <c r="X521" s="1095">
        <f t="shared" si="197"/>
        <v>3150</v>
      </c>
      <c r="Y521" s="2909">
        <f t="shared" si="200"/>
        <v>3150</v>
      </c>
      <c r="Z521" s="2913">
        <v>0</v>
      </c>
      <c r="AA521" s="1095">
        <f t="shared" si="198"/>
        <v>0</v>
      </c>
      <c r="AB521" s="1095">
        <f t="shared" si="199"/>
        <v>0</v>
      </c>
      <c r="AC521" s="2909">
        <f t="shared" si="201"/>
        <v>0</v>
      </c>
    </row>
    <row r="522" spans="1:29">
      <c r="A522" s="1780" t="s">
        <v>4596</v>
      </c>
      <c r="B522" s="1780"/>
      <c r="C522" s="2901">
        <v>210</v>
      </c>
      <c r="D522" s="2902">
        <f t="shared" si="202"/>
        <v>6.0007200864103688E-4</v>
      </c>
      <c r="E522" s="1083">
        <v>18900</v>
      </c>
      <c r="F522" s="2952">
        <f t="shared" si="203"/>
        <v>6.6069175265476613E-4</v>
      </c>
      <c r="G522" s="2903">
        <f t="shared" si="191"/>
        <v>18900</v>
      </c>
      <c r="H522" s="2903">
        <f t="shared" si="204"/>
        <v>0</v>
      </c>
      <c r="I522" s="2905">
        <f t="shared" si="192"/>
        <v>11970</v>
      </c>
      <c r="J522" s="1096">
        <v>0</v>
      </c>
      <c r="K522" s="2479">
        <f t="shared" si="205"/>
        <v>0</v>
      </c>
      <c r="L522" s="398">
        <f t="shared" si="193"/>
        <v>3780</v>
      </c>
      <c r="M522" s="1095">
        <f t="shared" si="194"/>
        <v>15750</v>
      </c>
      <c r="N522" s="2906">
        <f t="shared" si="195"/>
        <v>4.9571814092213618E-4</v>
      </c>
      <c r="O522" s="2907">
        <f t="shared" si="206"/>
        <v>-1.043538677189007E-4</v>
      </c>
      <c r="P522" s="2908">
        <f t="shared" si="207"/>
        <v>63000</v>
      </c>
      <c r="Q522" s="1095">
        <f t="shared" si="208"/>
        <v>17199</v>
      </c>
      <c r="R522" s="2909">
        <f t="shared" si="209"/>
        <v>80199</v>
      </c>
      <c r="S522" s="398">
        <f t="shared" si="210"/>
        <v>0</v>
      </c>
      <c r="T522" s="1095">
        <f t="shared" si="211"/>
        <v>0</v>
      </c>
      <c r="U522" s="398">
        <f t="shared" si="212"/>
        <v>0</v>
      </c>
      <c r="V522" s="2913">
        <v>0</v>
      </c>
      <c r="W522" s="1095">
        <f t="shared" si="196"/>
        <v>0</v>
      </c>
      <c r="X522" s="1095">
        <f t="shared" si="197"/>
        <v>3780</v>
      </c>
      <c r="Y522" s="2909">
        <f t="shared" si="200"/>
        <v>3780</v>
      </c>
      <c r="Z522" s="2913">
        <v>0</v>
      </c>
      <c r="AA522" s="1095">
        <f t="shared" si="198"/>
        <v>0</v>
      </c>
      <c r="AB522" s="1095">
        <f t="shared" si="199"/>
        <v>0</v>
      </c>
      <c r="AC522" s="2909">
        <f t="shared" si="201"/>
        <v>0</v>
      </c>
    </row>
    <row r="523" spans="1:29">
      <c r="A523" s="1780" t="s">
        <v>4597</v>
      </c>
      <c r="B523" s="1780"/>
      <c r="C523" s="2901">
        <v>120</v>
      </c>
      <c r="D523" s="2902">
        <f t="shared" si="202"/>
        <v>3.4289829065202112E-4</v>
      </c>
      <c r="E523" s="1083">
        <v>10800</v>
      </c>
      <c r="F523" s="2952">
        <f t="shared" si="203"/>
        <v>3.7753814437415203E-4</v>
      </c>
      <c r="G523" s="2903">
        <f t="shared" si="191"/>
        <v>10800</v>
      </c>
      <c r="H523" s="2903">
        <f t="shared" si="204"/>
        <v>0</v>
      </c>
      <c r="I523" s="2905">
        <f t="shared" si="192"/>
        <v>6840</v>
      </c>
      <c r="J523" s="1096">
        <v>2092</v>
      </c>
      <c r="K523" s="2479">
        <f t="shared" si="205"/>
        <v>85688.320000000007</v>
      </c>
      <c r="L523" s="398">
        <f t="shared" si="193"/>
        <v>2160</v>
      </c>
      <c r="M523" s="1095">
        <f t="shared" si="194"/>
        <v>11092</v>
      </c>
      <c r="N523" s="2906">
        <f t="shared" si="195"/>
        <v>3.4911146787989426E-4</v>
      </c>
      <c r="O523" s="2907">
        <f t="shared" si="206"/>
        <v>6.2131772278731408E-6</v>
      </c>
      <c r="P523" s="2908">
        <f t="shared" si="207"/>
        <v>36000</v>
      </c>
      <c r="Q523" s="1095">
        <f t="shared" si="208"/>
        <v>9828</v>
      </c>
      <c r="R523" s="2909">
        <f t="shared" si="209"/>
        <v>45828</v>
      </c>
      <c r="S523" s="398">
        <f t="shared" si="210"/>
        <v>0</v>
      </c>
      <c r="T523" s="1095">
        <f t="shared" si="211"/>
        <v>0</v>
      </c>
      <c r="U523" s="398">
        <f t="shared" si="212"/>
        <v>0</v>
      </c>
      <c r="V523" s="2913">
        <v>0</v>
      </c>
      <c r="W523" s="1095">
        <f t="shared" si="196"/>
        <v>11129.44</v>
      </c>
      <c r="X523" s="1095">
        <f t="shared" si="197"/>
        <v>2160</v>
      </c>
      <c r="Y523" s="2909">
        <f t="shared" si="200"/>
        <v>13289.44</v>
      </c>
      <c r="Z523" s="2913">
        <v>0</v>
      </c>
      <c r="AA523" s="1095">
        <f t="shared" si="198"/>
        <v>6004.04</v>
      </c>
      <c r="AB523" s="1095">
        <f t="shared" si="199"/>
        <v>0</v>
      </c>
      <c r="AC523" s="2909">
        <f t="shared" si="201"/>
        <v>6004.04</v>
      </c>
    </row>
    <row r="524" spans="1:29">
      <c r="A524" s="1780" t="s">
        <v>4598</v>
      </c>
      <c r="B524" s="1780"/>
      <c r="C524" s="2901">
        <v>90</v>
      </c>
      <c r="D524" s="2902">
        <f t="shared" si="202"/>
        <v>2.5717371798901582E-4</v>
      </c>
      <c r="E524" s="1083">
        <v>8100</v>
      </c>
      <c r="F524" s="2952">
        <f t="shared" si="203"/>
        <v>2.8315360828061405E-4</v>
      </c>
      <c r="G524" s="2903">
        <f t="shared" si="191"/>
        <v>8100</v>
      </c>
      <c r="H524" s="2903">
        <f t="shared" si="204"/>
        <v>0</v>
      </c>
      <c r="I524" s="2905">
        <f t="shared" si="192"/>
        <v>5130</v>
      </c>
      <c r="J524" s="1096">
        <v>2117</v>
      </c>
      <c r="K524" s="2479">
        <f t="shared" si="205"/>
        <v>86712.320000000007</v>
      </c>
      <c r="L524" s="398">
        <f t="shared" si="193"/>
        <v>1620</v>
      </c>
      <c r="M524" s="1095">
        <f t="shared" si="194"/>
        <v>8867</v>
      </c>
      <c r="N524" s="2906">
        <f t="shared" si="195"/>
        <v>2.7908144479724329E-4</v>
      </c>
      <c r="O524" s="2907">
        <f t="shared" si="206"/>
        <v>2.1907726808227473E-5</v>
      </c>
      <c r="P524" s="2908">
        <f t="shared" si="207"/>
        <v>27000</v>
      </c>
      <c r="Q524" s="1095">
        <f t="shared" si="208"/>
        <v>7371</v>
      </c>
      <c r="R524" s="2909">
        <f t="shared" si="209"/>
        <v>34371</v>
      </c>
      <c r="S524" s="398">
        <f t="shared" si="210"/>
        <v>0</v>
      </c>
      <c r="T524" s="1095">
        <f t="shared" si="211"/>
        <v>0</v>
      </c>
      <c r="U524" s="398">
        <f t="shared" si="212"/>
        <v>0</v>
      </c>
      <c r="V524" s="2913">
        <v>0</v>
      </c>
      <c r="W524" s="1095">
        <f t="shared" si="196"/>
        <v>11262.44</v>
      </c>
      <c r="X524" s="1095">
        <f t="shared" si="197"/>
        <v>1620</v>
      </c>
      <c r="Y524" s="2909">
        <f t="shared" si="200"/>
        <v>12882.44</v>
      </c>
      <c r="Z524" s="2913">
        <v>0</v>
      </c>
      <c r="AA524" s="1095">
        <f t="shared" si="198"/>
        <v>6075.79</v>
      </c>
      <c r="AB524" s="1095">
        <f t="shared" si="199"/>
        <v>0</v>
      </c>
      <c r="AC524" s="2909">
        <f t="shared" si="201"/>
        <v>6075.79</v>
      </c>
    </row>
    <row r="525" spans="1:29">
      <c r="A525" s="1780" t="s">
        <v>4599</v>
      </c>
      <c r="B525" s="1780"/>
      <c r="C525" s="2901">
        <v>155</v>
      </c>
      <c r="D525" s="2902">
        <f t="shared" si="202"/>
        <v>4.4291029209219394E-4</v>
      </c>
      <c r="E525" s="1083">
        <v>13950</v>
      </c>
      <c r="F525" s="2952">
        <f t="shared" si="203"/>
        <v>4.8765343648327975E-4</v>
      </c>
      <c r="G525" s="2903">
        <f t="shared" si="191"/>
        <v>13950</v>
      </c>
      <c r="H525" s="2903">
        <f t="shared" si="204"/>
        <v>0</v>
      </c>
      <c r="I525" s="2905">
        <f t="shared" si="192"/>
        <v>8835</v>
      </c>
      <c r="J525" s="1096">
        <v>2703</v>
      </c>
      <c r="K525" s="2479">
        <f t="shared" si="205"/>
        <v>110714.88</v>
      </c>
      <c r="L525" s="398">
        <f t="shared" si="193"/>
        <v>2790</v>
      </c>
      <c r="M525" s="1095">
        <f t="shared" si="194"/>
        <v>14328</v>
      </c>
      <c r="N525" s="2906">
        <f t="shared" si="195"/>
        <v>4.5096187448459476E-4</v>
      </c>
      <c r="O525" s="2907">
        <f t="shared" si="206"/>
        <v>8.05158239240082E-6</v>
      </c>
      <c r="P525" s="2908">
        <f t="shared" si="207"/>
        <v>46500</v>
      </c>
      <c r="Q525" s="1095">
        <f t="shared" si="208"/>
        <v>12694.5</v>
      </c>
      <c r="R525" s="2909">
        <f t="shared" si="209"/>
        <v>59194.5</v>
      </c>
      <c r="S525" s="398">
        <f t="shared" si="210"/>
        <v>0</v>
      </c>
      <c r="T525" s="1095">
        <f t="shared" si="211"/>
        <v>0</v>
      </c>
      <c r="U525" s="398">
        <f t="shared" si="212"/>
        <v>0</v>
      </c>
      <c r="V525" s="2913">
        <v>0</v>
      </c>
      <c r="W525" s="1095">
        <f t="shared" si="196"/>
        <v>14379.960000000001</v>
      </c>
      <c r="X525" s="1095">
        <f t="shared" si="197"/>
        <v>2790</v>
      </c>
      <c r="Y525" s="2909">
        <f t="shared" si="200"/>
        <v>17169.96</v>
      </c>
      <c r="Z525" s="2913">
        <v>0</v>
      </c>
      <c r="AA525" s="1095">
        <f t="shared" si="198"/>
        <v>7757.6100000000006</v>
      </c>
      <c r="AB525" s="1095">
        <f t="shared" si="199"/>
        <v>0</v>
      </c>
      <c r="AC525" s="2909">
        <f t="shared" si="201"/>
        <v>7757.6100000000006</v>
      </c>
    </row>
    <row r="526" spans="1:29">
      <c r="A526" s="1780" t="s">
        <v>4600</v>
      </c>
      <c r="B526" s="1780"/>
      <c r="C526" s="2901">
        <v>115</v>
      </c>
      <c r="D526" s="2902">
        <f t="shared" si="202"/>
        <v>3.2861086187485356E-4</v>
      </c>
      <c r="E526" s="1083">
        <v>10350</v>
      </c>
      <c r="F526" s="2952">
        <f t="shared" si="203"/>
        <v>3.6180738835856239E-4</v>
      </c>
      <c r="G526" s="2903">
        <f t="shared" si="191"/>
        <v>10350</v>
      </c>
      <c r="H526" s="2903">
        <f t="shared" si="204"/>
        <v>0</v>
      </c>
      <c r="I526" s="2905">
        <f t="shared" si="192"/>
        <v>6555</v>
      </c>
      <c r="J526" s="1096">
        <v>0</v>
      </c>
      <c r="K526" s="2479">
        <f t="shared" si="205"/>
        <v>0</v>
      </c>
      <c r="L526" s="398">
        <f t="shared" si="193"/>
        <v>2070</v>
      </c>
      <c r="M526" s="1095">
        <f t="shared" si="194"/>
        <v>8625</v>
      </c>
      <c r="N526" s="2906">
        <f t="shared" si="195"/>
        <v>2.7146469621926509E-4</v>
      </c>
      <c r="O526" s="2907">
        <f t="shared" si="206"/>
        <v>-5.7146165655588474E-5</v>
      </c>
      <c r="P526" s="2908">
        <f t="shared" si="207"/>
        <v>34500</v>
      </c>
      <c r="Q526" s="1095">
        <f t="shared" si="208"/>
        <v>9418.5</v>
      </c>
      <c r="R526" s="2909">
        <f t="shared" si="209"/>
        <v>43918.5</v>
      </c>
      <c r="S526" s="398">
        <f t="shared" si="210"/>
        <v>0</v>
      </c>
      <c r="T526" s="1095">
        <f t="shared" si="211"/>
        <v>0</v>
      </c>
      <c r="U526" s="398">
        <f t="shared" si="212"/>
        <v>0</v>
      </c>
      <c r="V526" s="2913">
        <v>0</v>
      </c>
      <c r="W526" s="1095">
        <f t="shared" si="196"/>
        <v>0</v>
      </c>
      <c r="X526" s="1095">
        <f t="shared" si="197"/>
        <v>2070</v>
      </c>
      <c r="Y526" s="2909">
        <f t="shared" si="200"/>
        <v>2070</v>
      </c>
      <c r="Z526" s="2913">
        <v>0</v>
      </c>
      <c r="AA526" s="1095">
        <f t="shared" si="198"/>
        <v>0</v>
      </c>
      <c r="AB526" s="1095">
        <f t="shared" si="199"/>
        <v>0</v>
      </c>
      <c r="AC526" s="2909">
        <f t="shared" si="201"/>
        <v>0</v>
      </c>
    </row>
    <row r="527" spans="1:29">
      <c r="A527" s="1780" t="s">
        <v>4601</v>
      </c>
      <c r="B527" s="1780"/>
      <c r="C527" s="2901">
        <v>50</v>
      </c>
      <c r="D527" s="2902">
        <f t="shared" si="202"/>
        <v>1.4287428777167547E-4</v>
      </c>
      <c r="E527" s="1083">
        <v>4500</v>
      </c>
      <c r="F527" s="2952">
        <f t="shared" si="203"/>
        <v>1.5730756015589669E-4</v>
      </c>
      <c r="G527" s="2903">
        <f t="shared" si="191"/>
        <v>4500</v>
      </c>
      <c r="H527" s="2903">
        <f t="shared" si="204"/>
        <v>0</v>
      </c>
      <c r="I527" s="2905">
        <f t="shared" si="192"/>
        <v>2850</v>
      </c>
      <c r="J527" s="1096">
        <v>1177</v>
      </c>
      <c r="K527" s="2479">
        <f t="shared" si="205"/>
        <v>48209.919999999998</v>
      </c>
      <c r="L527" s="398">
        <f t="shared" si="193"/>
        <v>900</v>
      </c>
      <c r="M527" s="1095">
        <f t="shared" si="194"/>
        <v>4927</v>
      </c>
      <c r="N527" s="2906">
        <f t="shared" si="195"/>
        <v>1.5507322414751526E-4</v>
      </c>
      <c r="O527" s="2907">
        <f t="shared" si="206"/>
        <v>1.2198936375839789E-5</v>
      </c>
      <c r="P527" s="2908">
        <f t="shared" si="207"/>
        <v>15000</v>
      </c>
      <c r="Q527" s="1095">
        <f t="shared" si="208"/>
        <v>4095</v>
      </c>
      <c r="R527" s="2909">
        <f t="shared" si="209"/>
        <v>19095</v>
      </c>
      <c r="S527" s="398">
        <f t="shared" si="210"/>
        <v>0</v>
      </c>
      <c r="T527" s="1095">
        <f t="shared" si="211"/>
        <v>0</v>
      </c>
      <c r="U527" s="398">
        <f t="shared" si="212"/>
        <v>0</v>
      </c>
      <c r="V527" s="2913">
        <v>0</v>
      </c>
      <c r="W527" s="1095">
        <f t="shared" si="196"/>
        <v>6261.64</v>
      </c>
      <c r="X527" s="1095">
        <f t="shared" si="197"/>
        <v>900</v>
      </c>
      <c r="Y527" s="2909">
        <f t="shared" si="200"/>
        <v>7161.64</v>
      </c>
      <c r="Z527" s="2913">
        <v>0</v>
      </c>
      <c r="AA527" s="1095">
        <f t="shared" si="198"/>
        <v>3377.9900000000002</v>
      </c>
      <c r="AB527" s="1095">
        <f t="shared" si="199"/>
        <v>0</v>
      </c>
      <c r="AC527" s="2909">
        <f t="shared" si="201"/>
        <v>3377.9900000000002</v>
      </c>
    </row>
    <row r="528" spans="1:29">
      <c r="A528" s="1780" t="s">
        <v>4602</v>
      </c>
      <c r="B528" s="1780"/>
      <c r="C528" s="2901">
        <v>300</v>
      </c>
      <c r="D528" s="2902">
        <f t="shared" si="202"/>
        <v>8.5724572663005275E-4</v>
      </c>
      <c r="E528" s="1083">
        <v>27000</v>
      </c>
      <c r="F528" s="2952">
        <f t="shared" si="203"/>
        <v>9.4384536093538012E-4</v>
      </c>
      <c r="G528" s="2903">
        <f t="shared" si="191"/>
        <v>27000</v>
      </c>
      <c r="H528" s="2903">
        <f t="shared" si="204"/>
        <v>0</v>
      </c>
      <c r="I528" s="2905">
        <f t="shared" si="192"/>
        <v>17100</v>
      </c>
      <c r="J528" s="1096">
        <v>7062</v>
      </c>
      <c r="K528" s="2479">
        <f t="shared" si="205"/>
        <v>289259.52000000002</v>
      </c>
      <c r="L528" s="398">
        <f t="shared" si="193"/>
        <v>5400</v>
      </c>
      <c r="M528" s="1095">
        <f t="shared" si="194"/>
        <v>29562</v>
      </c>
      <c r="N528" s="2906">
        <f t="shared" si="195"/>
        <v>9.3043934488509143E-4</v>
      </c>
      <c r="O528" s="2907">
        <f t="shared" si="206"/>
        <v>7.3193618255038679E-5</v>
      </c>
      <c r="P528" s="2908">
        <f t="shared" si="207"/>
        <v>90000</v>
      </c>
      <c r="Q528" s="1095">
        <f t="shared" si="208"/>
        <v>24570</v>
      </c>
      <c r="R528" s="2909">
        <f t="shared" si="209"/>
        <v>114570</v>
      </c>
      <c r="S528" s="398">
        <f t="shared" si="210"/>
        <v>0</v>
      </c>
      <c r="T528" s="1095">
        <f t="shared" si="211"/>
        <v>0</v>
      </c>
      <c r="U528" s="398">
        <f t="shared" si="212"/>
        <v>0</v>
      </c>
      <c r="V528" s="2913">
        <v>0</v>
      </c>
      <c r="W528" s="1095">
        <f t="shared" si="196"/>
        <v>37569.840000000004</v>
      </c>
      <c r="X528" s="1095">
        <f t="shared" si="197"/>
        <v>5400</v>
      </c>
      <c r="Y528" s="2909">
        <f t="shared" si="200"/>
        <v>42969.840000000004</v>
      </c>
      <c r="Z528" s="2913">
        <v>0</v>
      </c>
      <c r="AA528" s="1095">
        <f t="shared" si="198"/>
        <v>20267.940000000002</v>
      </c>
      <c r="AB528" s="1095">
        <f t="shared" si="199"/>
        <v>0</v>
      </c>
      <c r="AC528" s="2909">
        <f t="shared" si="201"/>
        <v>20267.940000000002</v>
      </c>
    </row>
    <row r="529" spans="1:29">
      <c r="A529" s="1780" t="s">
        <v>4603</v>
      </c>
      <c r="B529" s="1780"/>
      <c r="C529" s="2901">
        <v>250</v>
      </c>
      <c r="D529" s="2902">
        <f t="shared" si="202"/>
        <v>7.1437143885837726E-4</v>
      </c>
      <c r="E529" s="1083">
        <v>22500</v>
      </c>
      <c r="F529" s="2952">
        <f t="shared" si="203"/>
        <v>7.8653780077948343E-4</v>
      </c>
      <c r="G529" s="2903">
        <f t="shared" si="191"/>
        <v>22500</v>
      </c>
      <c r="H529" s="2903">
        <f t="shared" si="204"/>
        <v>0</v>
      </c>
      <c r="I529" s="2905">
        <f t="shared" si="192"/>
        <v>14250</v>
      </c>
      <c r="J529" s="1096">
        <v>4360</v>
      </c>
      <c r="K529" s="2479">
        <f t="shared" si="205"/>
        <v>178585.60000000001</v>
      </c>
      <c r="L529" s="398">
        <f t="shared" si="193"/>
        <v>4500</v>
      </c>
      <c r="M529" s="1095">
        <f t="shared" si="194"/>
        <v>23110</v>
      </c>
      <c r="N529" s="2906">
        <f t="shared" si="195"/>
        <v>7.2736801502924244E-4</v>
      </c>
      <c r="O529" s="2907">
        <f t="shared" si="206"/>
        <v>1.2996576170865178E-5</v>
      </c>
      <c r="P529" s="2908">
        <f t="shared" si="207"/>
        <v>75000</v>
      </c>
      <c r="Q529" s="1095">
        <f t="shared" si="208"/>
        <v>20475</v>
      </c>
      <c r="R529" s="2909">
        <f t="shared" si="209"/>
        <v>95475</v>
      </c>
      <c r="S529" s="398">
        <f t="shared" si="210"/>
        <v>0</v>
      </c>
      <c r="T529" s="1095">
        <f t="shared" si="211"/>
        <v>0</v>
      </c>
      <c r="U529" s="398">
        <f t="shared" si="212"/>
        <v>0</v>
      </c>
      <c r="V529" s="2913">
        <v>0</v>
      </c>
      <c r="W529" s="1095">
        <f t="shared" si="196"/>
        <v>23195.200000000001</v>
      </c>
      <c r="X529" s="1095">
        <f t="shared" si="197"/>
        <v>4500</v>
      </c>
      <c r="Y529" s="2909">
        <f t="shared" si="200"/>
        <v>27695.200000000001</v>
      </c>
      <c r="Z529" s="2913">
        <v>0</v>
      </c>
      <c r="AA529" s="1095">
        <f t="shared" si="198"/>
        <v>12513.2</v>
      </c>
      <c r="AB529" s="1095">
        <f t="shared" si="199"/>
        <v>0</v>
      </c>
      <c r="AC529" s="2909">
        <f t="shared" si="201"/>
        <v>12513.2</v>
      </c>
    </row>
    <row r="530" spans="1:29">
      <c r="A530" s="1780" t="s">
        <v>4604</v>
      </c>
      <c r="B530" s="1780"/>
      <c r="C530" s="2901">
        <v>30</v>
      </c>
      <c r="D530" s="2902">
        <f t="shared" si="202"/>
        <v>8.5724572663005281E-5</v>
      </c>
      <c r="E530" s="1083">
        <v>2700</v>
      </c>
      <c r="F530" s="2952">
        <f t="shared" si="203"/>
        <v>9.4384536093538007E-5</v>
      </c>
      <c r="G530" s="2903">
        <f t="shared" si="191"/>
        <v>2700</v>
      </c>
      <c r="H530" s="2903">
        <f t="shared" si="204"/>
        <v>0</v>
      </c>
      <c r="I530" s="2905">
        <f t="shared" si="192"/>
        <v>1710</v>
      </c>
      <c r="J530" s="1096">
        <v>0</v>
      </c>
      <c r="K530" s="2479">
        <f t="shared" si="205"/>
        <v>0</v>
      </c>
      <c r="L530" s="398">
        <f t="shared" si="193"/>
        <v>540</v>
      </c>
      <c r="M530" s="1095">
        <f t="shared" si="194"/>
        <v>2250</v>
      </c>
      <c r="N530" s="2906">
        <f t="shared" si="195"/>
        <v>7.0816877274590883E-5</v>
      </c>
      <c r="O530" s="2907">
        <f t="shared" si="206"/>
        <v>-1.4907695388414398E-5</v>
      </c>
      <c r="P530" s="2908">
        <f t="shared" si="207"/>
        <v>9000</v>
      </c>
      <c r="Q530" s="1095">
        <f t="shared" si="208"/>
        <v>2457</v>
      </c>
      <c r="R530" s="2909">
        <f t="shared" si="209"/>
        <v>11457</v>
      </c>
      <c r="S530" s="398">
        <f t="shared" si="210"/>
        <v>0</v>
      </c>
      <c r="T530" s="1095">
        <f t="shared" si="211"/>
        <v>0</v>
      </c>
      <c r="U530" s="398">
        <f t="shared" si="212"/>
        <v>0</v>
      </c>
      <c r="V530" s="2913">
        <v>0</v>
      </c>
      <c r="W530" s="1095">
        <f t="shared" si="196"/>
        <v>0</v>
      </c>
      <c r="X530" s="1095">
        <f t="shared" si="197"/>
        <v>540</v>
      </c>
      <c r="Y530" s="2909">
        <f t="shared" si="200"/>
        <v>540</v>
      </c>
      <c r="Z530" s="2913">
        <v>0</v>
      </c>
      <c r="AA530" s="1095">
        <f t="shared" si="198"/>
        <v>0</v>
      </c>
      <c r="AB530" s="1095">
        <f t="shared" si="199"/>
        <v>0</v>
      </c>
      <c r="AC530" s="2909">
        <f t="shared" si="201"/>
        <v>0</v>
      </c>
    </row>
    <row r="531" spans="1:29">
      <c r="A531" s="1780" t="s">
        <v>4605</v>
      </c>
      <c r="B531" s="1780"/>
      <c r="C531" s="2901">
        <v>125</v>
      </c>
      <c r="D531" s="2902">
        <f t="shared" si="202"/>
        <v>3.5718571942918863E-4</v>
      </c>
      <c r="E531" s="1083">
        <v>11250</v>
      </c>
      <c r="F531" s="2952">
        <f t="shared" si="203"/>
        <v>3.9326890038974172E-4</v>
      </c>
      <c r="G531" s="2903">
        <f t="shared" si="191"/>
        <v>11250</v>
      </c>
      <c r="H531" s="2903">
        <f t="shared" si="204"/>
        <v>0</v>
      </c>
      <c r="I531" s="2905">
        <f t="shared" si="192"/>
        <v>7125</v>
      </c>
      <c r="J531" s="1096">
        <v>2180</v>
      </c>
      <c r="K531" s="2479">
        <f t="shared" si="205"/>
        <v>89292.800000000003</v>
      </c>
      <c r="L531" s="398">
        <f t="shared" si="193"/>
        <v>2250</v>
      </c>
      <c r="M531" s="1095">
        <f t="shared" si="194"/>
        <v>11555</v>
      </c>
      <c r="N531" s="2906">
        <f t="shared" si="195"/>
        <v>3.6368400751462122E-4</v>
      </c>
      <c r="O531" s="2907">
        <f t="shared" si="206"/>
        <v>6.498288085432589E-6</v>
      </c>
      <c r="P531" s="2908">
        <f t="shared" si="207"/>
        <v>37500</v>
      </c>
      <c r="Q531" s="1095">
        <f t="shared" si="208"/>
        <v>10237.5</v>
      </c>
      <c r="R531" s="2909">
        <f t="shared" si="209"/>
        <v>47737.5</v>
      </c>
      <c r="S531" s="398">
        <f t="shared" si="210"/>
        <v>0</v>
      </c>
      <c r="T531" s="1095">
        <f t="shared" si="211"/>
        <v>0</v>
      </c>
      <c r="U531" s="398">
        <f t="shared" si="212"/>
        <v>0</v>
      </c>
      <c r="V531" s="2913">
        <v>0</v>
      </c>
      <c r="W531" s="1095">
        <f t="shared" si="196"/>
        <v>11597.6</v>
      </c>
      <c r="X531" s="1095">
        <f t="shared" si="197"/>
        <v>2250</v>
      </c>
      <c r="Y531" s="2909">
        <f t="shared" si="200"/>
        <v>13847.6</v>
      </c>
      <c r="Z531" s="2913">
        <v>0</v>
      </c>
      <c r="AA531" s="1095">
        <f t="shared" si="198"/>
        <v>6256.6</v>
      </c>
      <c r="AB531" s="1095">
        <f t="shared" si="199"/>
        <v>0</v>
      </c>
      <c r="AC531" s="2909">
        <f t="shared" si="201"/>
        <v>6256.6</v>
      </c>
    </row>
    <row r="532" spans="1:29">
      <c r="A532" s="1780" t="s">
        <v>4606</v>
      </c>
      <c r="B532" s="1780"/>
      <c r="C532" s="2901">
        <v>55</v>
      </c>
      <c r="D532" s="2902">
        <f t="shared" si="202"/>
        <v>1.57161716548843E-4</v>
      </c>
      <c r="E532" s="1083">
        <v>4950</v>
      </c>
      <c r="F532" s="2952">
        <f t="shared" si="203"/>
        <v>1.7303831617148635E-4</v>
      </c>
      <c r="G532" s="2903">
        <f t="shared" si="191"/>
        <v>4950</v>
      </c>
      <c r="H532" s="2903">
        <f t="shared" si="204"/>
        <v>0</v>
      </c>
      <c r="I532" s="2905">
        <f t="shared" si="192"/>
        <v>3135</v>
      </c>
      <c r="J532" s="1096">
        <v>1294</v>
      </c>
      <c r="K532" s="2479">
        <f t="shared" si="205"/>
        <v>53002.239999999998</v>
      </c>
      <c r="L532" s="398">
        <f t="shared" si="193"/>
        <v>990</v>
      </c>
      <c r="M532" s="1095">
        <f t="shared" si="194"/>
        <v>5419</v>
      </c>
      <c r="N532" s="2906">
        <f t="shared" si="195"/>
        <v>1.7055851464489245E-4</v>
      </c>
      <c r="O532" s="2907">
        <f t="shared" si="206"/>
        <v>1.3396798096049445E-5</v>
      </c>
      <c r="P532" s="2908">
        <f t="shared" si="207"/>
        <v>16500</v>
      </c>
      <c r="Q532" s="1095">
        <f t="shared" si="208"/>
        <v>4504.5</v>
      </c>
      <c r="R532" s="2909">
        <f t="shared" si="209"/>
        <v>21004.5</v>
      </c>
      <c r="S532" s="398">
        <f t="shared" si="210"/>
        <v>0</v>
      </c>
      <c r="T532" s="1095">
        <f t="shared" si="211"/>
        <v>0</v>
      </c>
      <c r="U532" s="398">
        <f t="shared" si="212"/>
        <v>0</v>
      </c>
      <c r="V532" s="2913">
        <v>0</v>
      </c>
      <c r="W532" s="1095">
        <f t="shared" si="196"/>
        <v>6884.08</v>
      </c>
      <c r="X532" s="1095">
        <f t="shared" si="197"/>
        <v>990</v>
      </c>
      <c r="Y532" s="2909">
        <f t="shared" si="200"/>
        <v>7874.08</v>
      </c>
      <c r="Z532" s="2913">
        <v>0</v>
      </c>
      <c r="AA532" s="1095">
        <f t="shared" si="198"/>
        <v>3713.78</v>
      </c>
      <c r="AB532" s="1095">
        <f t="shared" si="199"/>
        <v>0</v>
      </c>
      <c r="AC532" s="2909">
        <f t="shared" si="201"/>
        <v>3713.78</v>
      </c>
    </row>
    <row r="533" spans="1:29">
      <c r="A533" s="1780" t="s">
        <v>4607</v>
      </c>
      <c r="B533" s="1780"/>
      <c r="C533" s="2901">
        <v>125</v>
      </c>
      <c r="D533" s="2902">
        <f t="shared" si="202"/>
        <v>3.5718571942918863E-4</v>
      </c>
      <c r="E533" s="1083">
        <v>11250</v>
      </c>
      <c r="F533" s="2952">
        <f t="shared" si="203"/>
        <v>3.9326890038974172E-4</v>
      </c>
      <c r="G533" s="2903">
        <f t="shared" si="191"/>
        <v>11250</v>
      </c>
      <c r="H533" s="2903">
        <f t="shared" si="204"/>
        <v>0</v>
      </c>
      <c r="I533" s="2905">
        <f t="shared" si="192"/>
        <v>7125</v>
      </c>
      <c r="J533" s="1096">
        <v>2942</v>
      </c>
      <c r="K533" s="2479">
        <f t="shared" si="205"/>
        <v>120504.32000000001</v>
      </c>
      <c r="L533" s="398">
        <f t="shared" si="193"/>
        <v>2250</v>
      </c>
      <c r="M533" s="1095">
        <f t="shared" si="194"/>
        <v>12317</v>
      </c>
      <c r="N533" s="2906">
        <f t="shared" si="195"/>
        <v>3.8766732328494933E-4</v>
      </c>
      <c r="O533" s="2907">
        <f t="shared" si="206"/>
        <v>3.0481603855760705E-5</v>
      </c>
      <c r="P533" s="2908">
        <f t="shared" si="207"/>
        <v>37500</v>
      </c>
      <c r="Q533" s="1095">
        <f t="shared" si="208"/>
        <v>10237.5</v>
      </c>
      <c r="R533" s="2909">
        <f t="shared" si="209"/>
        <v>47737.5</v>
      </c>
      <c r="S533" s="398">
        <f t="shared" si="210"/>
        <v>0</v>
      </c>
      <c r="T533" s="1095">
        <f t="shared" si="211"/>
        <v>0</v>
      </c>
      <c r="U533" s="398">
        <f t="shared" si="212"/>
        <v>0</v>
      </c>
      <c r="V533" s="2913">
        <v>0</v>
      </c>
      <c r="W533" s="1095">
        <f t="shared" si="196"/>
        <v>15651.44</v>
      </c>
      <c r="X533" s="1095">
        <f t="shared" si="197"/>
        <v>2250</v>
      </c>
      <c r="Y533" s="2909">
        <f t="shared" si="200"/>
        <v>17901.440000000002</v>
      </c>
      <c r="Z533" s="2913">
        <v>0</v>
      </c>
      <c r="AA533" s="1095">
        <f t="shared" si="198"/>
        <v>8443.5400000000009</v>
      </c>
      <c r="AB533" s="1095">
        <f t="shared" si="199"/>
        <v>0</v>
      </c>
      <c r="AC533" s="2909">
        <f t="shared" si="201"/>
        <v>8443.5400000000009</v>
      </c>
    </row>
    <row r="534" spans="1:29">
      <c r="A534" s="1780" t="s">
        <v>4608</v>
      </c>
      <c r="B534" s="1780"/>
      <c r="C534" s="2901">
        <v>515</v>
      </c>
      <c r="D534" s="2902">
        <f t="shared" si="202"/>
        <v>1.4716051640482571E-3</v>
      </c>
      <c r="E534" s="1083">
        <v>46350</v>
      </c>
      <c r="F534" s="2952">
        <f t="shared" si="203"/>
        <v>1.6202678696057358E-3</v>
      </c>
      <c r="G534" s="2903">
        <f t="shared" si="191"/>
        <v>46350</v>
      </c>
      <c r="H534" s="2903">
        <f t="shared" si="204"/>
        <v>0</v>
      </c>
      <c r="I534" s="2905">
        <f t="shared" si="192"/>
        <v>29355</v>
      </c>
      <c r="J534" s="1096">
        <v>2518</v>
      </c>
      <c r="K534" s="2479">
        <f t="shared" si="205"/>
        <v>103137.28</v>
      </c>
      <c r="L534" s="398">
        <f t="shared" si="193"/>
        <v>9270</v>
      </c>
      <c r="M534" s="1095">
        <f t="shared" si="194"/>
        <v>41143</v>
      </c>
      <c r="N534" s="2906">
        <f t="shared" si="195"/>
        <v>1.2949416807593302E-3</v>
      </c>
      <c r="O534" s="2907">
        <f t="shared" si="206"/>
        <v>-1.7666348328892697E-4</v>
      </c>
      <c r="P534" s="2908">
        <f t="shared" si="207"/>
        <v>154500</v>
      </c>
      <c r="Q534" s="1095">
        <f t="shared" si="208"/>
        <v>42178.5</v>
      </c>
      <c r="R534" s="2909">
        <f t="shared" si="209"/>
        <v>196678.5</v>
      </c>
      <c r="S534" s="398">
        <f t="shared" si="210"/>
        <v>0</v>
      </c>
      <c r="T534" s="1095">
        <f t="shared" si="211"/>
        <v>0</v>
      </c>
      <c r="U534" s="398">
        <f t="shared" si="212"/>
        <v>0</v>
      </c>
      <c r="V534" s="2913">
        <v>0</v>
      </c>
      <c r="W534" s="1095">
        <f t="shared" si="196"/>
        <v>13395.76</v>
      </c>
      <c r="X534" s="1095">
        <f t="shared" si="197"/>
        <v>9270</v>
      </c>
      <c r="Y534" s="2909">
        <f t="shared" si="200"/>
        <v>22665.760000000002</v>
      </c>
      <c r="Z534" s="2913">
        <v>0</v>
      </c>
      <c r="AA534" s="1095">
        <f t="shared" si="198"/>
        <v>7226.66</v>
      </c>
      <c r="AB534" s="1095">
        <f t="shared" si="199"/>
        <v>0</v>
      </c>
      <c r="AC534" s="2909">
        <f t="shared" si="201"/>
        <v>7226.66</v>
      </c>
    </row>
    <row r="535" spans="1:29">
      <c r="A535" s="1780" t="s">
        <v>4609</v>
      </c>
      <c r="B535" s="1780"/>
      <c r="C535" s="2901">
        <v>155</v>
      </c>
      <c r="D535" s="2902">
        <f t="shared" si="202"/>
        <v>4.4291029209219394E-4</v>
      </c>
      <c r="E535" s="1083">
        <v>13950</v>
      </c>
      <c r="F535" s="2952">
        <f t="shared" si="203"/>
        <v>4.8765343648327975E-4</v>
      </c>
      <c r="G535" s="2903">
        <f t="shared" si="191"/>
        <v>13950</v>
      </c>
      <c r="H535" s="2903">
        <f t="shared" si="204"/>
        <v>0</v>
      </c>
      <c r="I535" s="2905">
        <f t="shared" si="192"/>
        <v>8835</v>
      </c>
      <c r="J535" s="1096">
        <v>2703</v>
      </c>
      <c r="K535" s="2479">
        <f t="shared" si="205"/>
        <v>110714.88</v>
      </c>
      <c r="L535" s="398">
        <f t="shared" si="193"/>
        <v>2790</v>
      </c>
      <c r="M535" s="1095">
        <f t="shared" si="194"/>
        <v>14328</v>
      </c>
      <c r="N535" s="2906">
        <f t="shared" si="195"/>
        <v>4.5096187448459476E-4</v>
      </c>
      <c r="O535" s="2907">
        <f t="shared" si="206"/>
        <v>8.05158239240082E-6</v>
      </c>
      <c r="P535" s="2908">
        <f t="shared" si="207"/>
        <v>46500</v>
      </c>
      <c r="Q535" s="1095">
        <f t="shared" si="208"/>
        <v>12694.5</v>
      </c>
      <c r="R535" s="2909">
        <f t="shared" si="209"/>
        <v>59194.5</v>
      </c>
      <c r="S535" s="398">
        <f t="shared" si="210"/>
        <v>0</v>
      </c>
      <c r="T535" s="1095">
        <f t="shared" si="211"/>
        <v>0</v>
      </c>
      <c r="U535" s="398">
        <f t="shared" si="212"/>
        <v>0</v>
      </c>
      <c r="V535" s="2913">
        <v>0</v>
      </c>
      <c r="W535" s="1095">
        <f t="shared" si="196"/>
        <v>14379.960000000001</v>
      </c>
      <c r="X535" s="1095">
        <f t="shared" si="197"/>
        <v>2790</v>
      </c>
      <c r="Y535" s="2909">
        <f t="shared" si="200"/>
        <v>17169.96</v>
      </c>
      <c r="Z535" s="2913">
        <v>0</v>
      </c>
      <c r="AA535" s="1095">
        <f t="shared" si="198"/>
        <v>7757.6100000000006</v>
      </c>
      <c r="AB535" s="1095">
        <f t="shared" si="199"/>
        <v>0</v>
      </c>
      <c r="AC535" s="2909">
        <f t="shared" si="201"/>
        <v>7757.6100000000006</v>
      </c>
    </row>
    <row r="536" spans="1:29">
      <c r="A536" s="1780" t="s">
        <v>4610</v>
      </c>
      <c r="B536" s="1780"/>
      <c r="C536" s="2901">
        <v>55</v>
      </c>
      <c r="D536" s="2902">
        <f t="shared" si="202"/>
        <v>1.57161716548843E-4</v>
      </c>
      <c r="E536" s="1083">
        <v>4950</v>
      </c>
      <c r="F536" s="2952">
        <f t="shared" si="203"/>
        <v>1.7303831617148635E-4</v>
      </c>
      <c r="G536" s="2903">
        <f t="shared" si="191"/>
        <v>4950</v>
      </c>
      <c r="H536" s="2903">
        <f t="shared" si="204"/>
        <v>0</v>
      </c>
      <c r="I536" s="2905">
        <f t="shared" si="192"/>
        <v>3135</v>
      </c>
      <c r="J536" s="1096">
        <v>1294</v>
      </c>
      <c r="K536" s="2479">
        <f t="shared" si="205"/>
        <v>53002.239999999998</v>
      </c>
      <c r="L536" s="398">
        <f t="shared" si="193"/>
        <v>990</v>
      </c>
      <c r="M536" s="1095">
        <f t="shared" si="194"/>
        <v>5419</v>
      </c>
      <c r="N536" s="2906">
        <f t="shared" si="195"/>
        <v>1.7055851464489245E-4</v>
      </c>
      <c r="O536" s="2907">
        <f t="shared" si="206"/>
        <v>1.3396798096049445E-5</v>
      </c>
      <c r="P536" s="2908">
        <f t="shared" si="207"/>
        <v>16500</v>
      </c>
      <c r="Q536" s="1095">
        <f t="shared" si="208"/>
        <v>4504.5</v>
      </c>
      <c r="R536" s="2909">
        <f t="shared" si="209"/>
        <v>21004.5</v>
      </c>
      <c r="S536" s="398">
        <f t="shared" si="210"/>
        <v>0</v>
      </c>
      <c r="T536" s="1095">
        <f t="shared" si="211"/>
        <v>0</v>
      </c>
      <c r="U536" s="398">
        <f t="shared" si="212"/>
        <v>0</v>
      </c>
      <c r="V536" s="2913">
        <v>0</v>
      </c>
      <c r="W536" s="1095">
        <f t="shared" si="196"/>
        <v>6884.08</v>
      </c>
      <c r="X536" s="1095">
        <f t="shared" si="197"/>
        <v>990</v>
      </c>
      <c r="Y536" s="2909">
        <f t="shared" si="200"/>
        <v>7874.08</v>
      </c>
      <c r="Z536" s="2913">
        <v>0</v>
      </c>
      <c r="AA536" s="1095">
        <f t="shared" si="198"/>
        <v>3713.78</v>
      </c>
      <c r="AB536" s="1095">
        <f t="shared" si="199"/>
        <v>0</v>
      </c>
      <c r="AC536" s="2909">
        <f t="shared" si="201"/>
        <v>3713.78</v>
      </c>
    </row>
    <row r="537" spans="1:29">
      <c r="A537" s="1780" t="s">
        <v>4611</v>
      </c>
      <c r="B537" s="1780"/>
      <c r="C537" s="2901">
        <v>1775</v>
      </c>
      <c r="D537" s="2902">
        <f t="shared" si="202"/>
        <v>5.0720372158944791E-3</v>
      </c>
      <c r="E537" s="1083">
        <v>159750</v>
      </c>
      <c r="F537" s="2952">
        <f t="shared" si="203"/>
        <v>5.5844183855343326E-3</v>
      </c>
      <c r="G537" s="2903">
        <f t="shared" si="191"/>
        <v>159750</v>
      </c>
      <c r="H537" s="2903">
        <f t="shared" si="204"/>
        <v>0</v>
      </c>
      <c r="I537" s="2905">
        <f t="shared" si="192"/>
        <v>101175</v>
      </c>
      <c r="J537" s="1096">
        <v>30957</v>
      </c>
      <c r="K537" s="2479">
        <f t="shared" si="205"/>
        <v>1267998.72</v>
      </c>
      <c r="L537" s="398">
        <f t="shared" si="193"/>
        <v>31950</v>
      </c>
      <c r="M537" s="1095">
        <f t="shared" si="194"/>
        <v>164082</v>
      </c>
      <c r="N537" s="2906">
        <f t="shared" si="195"/>
        <v>5.1643443808752987E-3</v>
      </c>
      <c r="O537" s="2907">
        <f t="shared" si="206"/>
        <v>9.230716498081961E-5</v>
      </c>
      <c r="P537" s="2908">
        <f t="shared" si="207"/>
        <v>532500</v>
      </c>
      <c r="Q537" s="1095">
        <f t="shared" si="208"/>
        <v>145372.5</v>
      </c>
      <c r="R537" s="2909">
        <f t="shared" si="209"/>
        <v>677872.5</v>
      </c>
      <c r="S537" s="398">
        <f t="shared" si="210"/>
        <v>0</v>
      </c>
      <c r="T537" s="1095">
        <f t="shared" si="211"/>
        <v>0</v>
      </c>
      <c r="U537" s="398">
        <f t="shared" si="212"/>
        <v>0</v>
      </c>
      <c r="V537" s="2913">
        <v>0</v>
      </c>
      <c r="W537" s="1095">
        <f t="shared" si="196"/>
        <v>164691.24000000002</v>
      </c>
      <c r="X537" s="1095">
        <f t="shared" si="197"/>
        <v>31950</v>
      </c>
      <c r="Y537" s="2909">
        <f t="shared" si="200"/>
        <v>196641.24000000002</v>
      </c>
      <c r="Z537" s="2913">
        <v>0</v>
      </c>
      <c r="AA537" s="1095">
        <f t="shared" si="198"/>
        <v>88846.59</v>
      </c>
      <c r="AB537" s="1095">
        <f t="shared" si="199"/>
        <v>0</v>
      </c>
      <c r="AC537" s="2909">
        <f t="shared" si="201"/>
        <v>88846.59</v>
      </c>
    </row>
    <row r="538" spans="1:29">
      <c r="A538" s="1780" t="s">
        <v>4612</v>
      </c>
      <c r="B538" s="1780"/>
      <c r="C538" s="2901">
        <v>725</v>
      </c>
      <c r="D538" s="2902">
        <f t="shared" si="202"/>
        <v>2.0716771726892944E-3</v>
      </c>
      <c r="E538" s="1083">
        <v>65250</v>
      </c>
      <c r="F538" s="2952">
        <f t="shared" si="203"/>
        <v>2.2809596222605017E-3</v>
      </c>
      <c r="G538" s="2903">
        <f t="shared" si="191"/>
        <v>65250</v>
      </c>
      <c r="H538" s="2903">
        <f t="shared" si="204"/>
        <v>0</v>
      </c>
      <c r="I538" s="2905">
        <f t="shared" si="192"/>
        <v>41325</v>
      </c>
      <c r="J538" s="1096">
        <v>17066</v>
      </c>
      <c r="K538" s="2479">
        <f t="shared" si="205"/>
        <v>699023.35999999999</v>
      </c>
      <c r="L538" s="398">
        <f t="shared" si="193"/>
        <v>13050</v>
      </c>
      <c r="M538" s="1095">
        <f t="shared" si="194"/>
        <v>71441</v>
      </c>
      <c r="N538" s="2906">
        <f t="shared" si="195"/>
        <v>2.2485460130551322E-3</v>
      </c>
      <c r="O538" s="2907">
        <f t="shared" si="206"/>
        <v>1.7686884036583785E-4</v>
      </c>
      <c r="P538" s="2908">
        <f t="shared" si="207"/>
        <v>217500</v>
      </c>
      <c r="Q538" s="1095">
        <f t="shared" si="208"/>
        <v>59377.5</v>
      </c>
      <c r="R538" s="2909">
        <f t="shared" si="209"/>
        <v>276877.5</v>
      </c>
      <c r="S538" s="398">
        <f t="shared" si="210"/>
        <v>0</v>
      </c>
      <c r="T538" s="1095">
        <f t="shared" si="211"/>
        <v>0</v>
      </c>
      <c r="U538" s="398">
        <f t="shared" si="212"/>
        <v>0</v>
      </c>
      <c r="V538" s="2913">
        <v>0</v>
      </c>
      <c r="W538" s="1095">
        <f t="shared" si="196"/>
        <v>90791.12000000001</v>
      </c>
      <c r="X538" s="1095">
        <f t="shared" si="197"/>
        <v>13050</v>
      </c>
      <c r="Y538" s="2909">
        <f t="shared" si="200"/>
        <v>103841.12000000001</v>
      </c>
      <c r="Z538" s="2913">
        <v>0</v>
      </c>
      <c r="AA538" s="1095">
        <f t="shared" si="198"/>
        <v>48979.42</v>
      </c>
      <c r="AB538" s="1095">
        <f t="shared" si="199"/>
        <v>0</v>
      </c>
      <c r="AC538" s="2909">
        <f t="shared" si="201"/>
        <v>48979.42</v>
      </c>
    </row>
    <row r="539" spans="1:29">
      <c r="A539" s="1780" t="s">
        <v>4613</v>
      </c>
      <c r="B539" s="1780"/>
      <c r="C539" s="2901">
        <v>175</v>
      </c>
      <c r="D539" s="2902">
        <f t="shared" si="202"/>
        <v>5.0006000720086412E-4</v>
      </c>
      <c r="E539" s="1083">
        <v>15750</v>
      </c>
      <c r="F539" s="2952">
        <f t="shared" si="203"/>
        <v>5.505764605456384E-4</v>
      </c>
      <c r="G539" s="2903">
        <f t="shared" si="191"/>
        <v>15750</v>
      </c>
      <c r="H539" s="2903">
        <f t="shared" si="204"/>
        <v>0</v>
      </c>
      <c r="I539" s="2905">
        <f t="shared" si="192"/>
        <v>9975</v>
      </c>
      <c r="J539" s="1096">
        <v>3052</v>
      </c>
      <c r="K539" s="2479">
        <f t="shared" si="205"/>
        <v>125009.92</v>
      </c>
      <c r="L539" s="398">
        <f t="shared" si="193"/>
        <v>3150</v>
      </c>
      <c r="M539" s="1095">
        <f t="shared" si="194"/>
        <v>16177</v>
      </c>
      <c r="N539" s="2906">
        <f t="shared" si="195"/>
        <v>5.0915761052046967E-4</v>
      </c>
      <c r="O539" s="2907">
        <f t="shared" si="206"/>
        <v>9.0976033196055487E-6</v>
      </c>
      <c r="P539" s="2908">
        <f t="shared" si="207"/>
        <v>52500</v>
      </c>
      <c r="Q539" s="1095">
        <f t="shared" si="208"/>
        <v>14332.5</v>
      </c>
      <c r="R539" s="2909">
        <f t="shared" si="209"/>
        <v>66832.5</v>
      </c>
      <c r="S539" s="398">
        <f t="shared" si="210"/>
        <v>0</v>
      </c>
      <c r="T539" s="1095">
        <f t="shared" si="211"/>
        <v>0</v>
      </c>
      <c r="U539" s="398">
        <f t="shared" si="212"/>
        <v>0</v>
      </c>
      <c r="V539" s="2913">
        <v>0</v>
      </c>
      <c r="W539" s="1095">
        <f t="shared" si="196"/>
        <v>16236.640000000001</v>
      </c>
      <c r="X539" s="1095">
        <f t="shared" si="197"/>
        <v>3150</v>
      </c>
      <c r="Y539" s="2909">
        <f t="shared" si="200"/>
        <v>19386.64</v>
      </c>
      <c r="Z539" s="2913">
        <v>0</v>
      </c>
      <c r="AA539" s="1095">
        <f t="shared" si="198"/>
        <v>8759.24</v>
      </c>
      <c r="AB539" s="1095">
        <f t="shared" si="199"/>
        <v>0</v>
      </c>
      <c r="AC539" s="2909">
        <f t="shared" si="201"/>
        <v>8759.24</v>
      </c>
    </row>
    <row r="540" spans="1:29">
      <c r="A540" s="1780" t="s">
        <v>4614</v>
      </c>
      <c r="B540" s="1780"/>
      <c r="C540" s="2901">
        <v>255</v>
      </c>
      <c r="D540" s="2902">
        <f t="shared" si="202"/>
        <v>7.2865886763554487E-4</v>
      </c>
      <c r="E540" s="1083">
        <v>22950</v>
      </c>
      <c r="F540" s="2952">
        <f t="shared" si="203"/>
        <v>8.0226855679507313E-4</v>
      </c>
      <c r="G540" s="2903">
        <f t="shared" si="191"/>
        <v>22950</v>
      </c>
      <c r="H540" s="2903">
        <f t="shared" si="204"/>
        <v>0</v>
      </c>
      <c r="I540" s="2905">
        <f t="shared" si="192"/>
        <v>14535</v>
      </c>
      <c r="J540" s="1096">
        <v>6002</v>
      </c>
      <c r="K540" s="2479">
        <f t="shared" si="205"/>
        <v>245841.92000000001</v>
      </c>
      <c r="L540" s="398">
        <f t="shared" si="193"/>
        <v>4590</v>
      </c>
      <c r="M540" s="1095">
        <f t="shared" si="194"/>
        <v>25127</v>
      </c>
      <c r="N540" s="2906">
        <f t="shared" si="195"/>
        <v>7.9085141123495339E-4</v>
      </c>
      <c r="O540" s="2907">
        <f t="shared" si="206"/>
        <v>6.2192543599408519E-5</v>
      </c>
      <c r="P540" s="2908">
        <f t="shared" si="207"/>
        <v>76500</v>
      </c>
      <c r="Q540" s="1095">
        <f t="shared" si="208"/>
        <v>20884.5</v>
      </c>
      <c r="R540" s="2909">
        <f t="shared" si="209"/>
        <v>97384.5</v>
      </c>
      <c r="S540" s="398">
        <f t="shared" si="210"/>
        <v>0</v>
      </c>
      <c r="T540" s="1095">
        <f t="shared" si="211"/>
        <v>0</v>
      </c>
      <c r="U540" s="398">
        <f t="shared" si="212"/>
        <v>0</v>
      </c>
      <c r="V540" s="2913">
        <v>0</v>
      </c>
      <c r="W540" s="1095">
        <f t="shared" si="196"/>
        <v>31930.640000000003</v>
      </c>
      <c r="X540" s="1095">
        <f t="shared" si="197"/>
        <v>4590</v>
      </c>
      <c r="Y540" s="2909">
        <f t="shared" si="200"/>
        <v>36520.639999999999</v>
      </c>
      <c r="Z540" s="2913">
        <v>0</v>
      </c>
      <c r="AA540" s="1095">
        <f t="shared" si="198"/>
        <v>17225.740000000002</v>
      </c>
      <c r="AB540" s="1095">
        <f t="shared" si="199"/>
        <v>0</v>
      </c>
      <c r="AC540" s="2909">
        <f t="shared" si="201"/>
        <v>17225.740000000002</v>
      </c>
    </row>
    <row r="541" spans="1:29">
      <c r="A541" s="1780" t="s">
        <v>4615</v>
      </c>
      <c r="B541" s="1780"/>
      <c r="C541" s="2901">
        <v>6870</v>
      </c>
      <c r="D541" s="2902">
        <f t="shared" si="202"/>
        <v>1.9630927139828207E-2</v>
      </c>
      <c r="E541" s="1083">
        <v>618300</v>
      </c>
      <c r="F541" s="2952">
        <f t="shared" si="203"/>
        <v>2.1614058765420205E-2</v>
      </c>
      <c r="G541" s="2903">
        <f t="shared" si="191"/>
        <v>618300</v>
      </c>
      <c r="H541" s="2903">
        <f t="shared" si="204"/>
        <v>0</v>
      </c>
      <c r="I541" s="2905">
        <f t="shared" si="192"/>
        <v>391590</v>
      </c>
      <c r="J541" s="1096">
        <v>119817</v>
      </c>
      <c r="K541" s="2479">
        <f t="shared" si="205"/>
        <v>4907704.3200000003</v>
      </c>
      <c r="L541" s="398">
        <f t="shared" si="193"/>
        <v>123660</v>
      </c>
      <c r="M541" s="1095">
        <f t="shared" si="194"/>
        <v>635067</v>
      </c>
      <c r="N541" s="2906">
        <f t="shared" si="195"/>
        <v>1.9988205244507829E-2</v>
      </c>
      <c r="O541" s="2907">
        <f t="shared" si="206"/>
        <v>3.5727810467962168E-4</v>
      </c>
      <c r="P541" s="2908">
        <f t="shared" si="207"/>
        <v>2061000</v>
      </c>
      <c r="Q541" s="1095">
        <f t="shared" si="208"/>
        <v>562653</v>
      </c>
      <c r="R541" s="2909">
        <f t="shared" si="209"/>
        <v>2623653</v>
      </c>
      <c r="S541" s="398">
        <f t="shared" si="210"/>
        <v>0</v>
      </c>
      <c r="T541" s="1095">
        <f t="shared" si="211"/>
        <v>0</v>
      </c>
      <c r="U541" s="398">
        <f t="shared" si="212"/>
        <v>0</v>
      </c>
      <c r="V541" s="2913">
        <v>0</v>
      </c>
      <c r="W541" s="1095">
        <f t="shared" si="196"/>
        <v>637426.44000000006</v>
      </c>
      <c r="X541" s="1095">
        <f t="shared" si="197"/>
        <v>123660</v>
      </c>
      <c r="Y541" s="2909">
        <f t="shared" si="200"/>
        <v>761086.44000000006</v>
      </c>
      <c r="Z541" s="2913">
        <v>0</v>
      </c>
      <c r="AA541" s="1095">
        <f t="shared" si="198"/>
        <v>343874.79000000004</v>
      </c>
      <c r="AB541" s="1095">
        <f t="shared" si="199"/>
        <v>0</v>
      </c>
      <c r="AC541" s="2909">
        <f t="shared" si="201"/>
        <v>343874.79000000004</v>
      </c>
    </row>
    <row r="542" spans="1:29">
      <c r="A542" s="1780" t="s">
        <v>4616</v>
      </c>
      <c r="B542" s="1780"/>
      <c r="C542" s="2901">
        <v>150</v>
      </c>
      <c r="D542" s="2902">
        <f t="shared" si="202"/>
        <v>4.2862286331502638E-4</v>
      </c>
      <c r="E542" s="1083">
        <v>13500</v>
      </c>
      <c r="F542" s="2952">
        <f t="shared" si="203"/>
        <v>4.7192268046769006E-4</v>
      </c>
      <c r="G542" s="2903">
        <f t="shared" si="191"/>
        <v>13500</v>
      </c>
      <c r="H542" s="2903">
        <f t="shared" si="204"/>
        <v>0</v>
      </c>
      <c r="I542" s="2905">
        <f t="shared" si="192"/>
        <v>8550</v>
      </c>
      <c r="J542" s="1096">
        <v>2616</v>
      </c>
      <c r="K542" s="2479">
        <f t="shared" si="205"/>
        <v>107151.36</v>
      </c>
      <c r="L542" s="398">
        <f t="shared" si="193"/>
        <v>2700</v>
      </c>
      <c r="M542" s="1095">
        <f t="shared" si="194"/>
        <v>13866</v>
      </c>
      <c r="N542" s="2906">
        <f t="shared" si="195"/>
        <v>4.3642080901754547E-4</v>
      </c>
      <c r="O542" s="2907">
        <f t="shared" si="206"/>
        <v>7.797945702519096E-6</v>
      </c>
      <c r="P542" s="2908">
        <f t="shared" si="207"/>
        <v>45000</v>
      </c>
      <c r="Q542" s="1095">
        <f t="shared" si="208"/>
        <v>12285</v>
      </c>
      <c r="R542" s="2909">
        <f t="shared" si="209"/>
        <v>57285</v>
      </c>
      <c r="S542" s="398">
        <f t="shared" si="210"/>
        <v>0</v>
      </c>
      <c r="T542" s="1095">
        <f t="shared" si="211"/>
        <v>0</v>
      </c>
      <c r="U542" s="398">
        <f t="shared" si="212"/>
        <v>0</v>
      </c>
      <c r="V542" s="2913">
        <v>0</v>
      </c>
      <c r="W542" s="1095">
        <f t="shared" si="196"/>
        <v>13917.12</v>
      </c>
      <c r="X542" s="1095">
        <f t="shared" si="197"/>
        <v>2700</v>
      </c>
      <c r="Y542" s="2909">
        <f t="shared" si="200"/>
        <v>16617.120000000003</v>
      </c>
      <c r="Z542" s="2913">
        <v>0</v>
      </c>
      <c r="AA542" s="1095">
        <f t="shared" si="198"/>
        <v>7507.92</v>
      </c>
      <c r="AB542" s="1095">
        <f t="shared" si="199"/>
        <v>0</v>
      </c>
      <c r="AC542" s="2909">
        <f t="shared" si="201"/>
        <v>7507.92</v>
      </c>
    </row>
    <row r="543" spans="1:29">
      <c r="A543" s="1780" t="s">
        <v>4617</v>
      </c>
      <c r="B543" s="1780"/>
      <c r="C543" s="2901">
        <v>120</v>
      </c>
      <c r="D543" s="2902">
        <f t="shared" si="202"/>
        <v>3.4289829065202112E-4</v>
      </c>
      <c r="E543" s="1083">
        <v>10800</v>
      </c>
      <c r="F543" s="2952">
        <f t="shared" si="203"/>
        <v>3.7753814437415203E-4</v>
      </c>
      <c r="G543" s="2903">
        <f t="shared" si="191"/>
        <v>10800</v>
      </c>
      <c r="H543" s="2903">
        <f t="shared" si="204"/>
        <v>0</v>
      </c>
      <c r="I543" s="2905">
        <f t="shared" si="192"/>
        <v>6840</v>
      </c>
      <c r="J543" s="1096">
        <v>2823</v>
      </c>
      <c r="K543" s="2479">
        <f t="shared" si="205"/>
        <v>115630.08</v>
      </c>
      <c r="L543" s="398">
        <f t="shared" si="193"/>
        <v>2160</v>
      </c>
      <c r="M543" s="1095">
        <f t="shared" si="194"/>
        <v>11823</v>
      </c>
      <c r="N543" s="2906">
        <f t="shared" si="195"/>
        <v>3.7211908445221694E-4</v>
      </c>
      <c r="O543" s="2907">
        <f t="shared" si="206"/>
        <v>2.9220793800195817E-5</v>
      </c>
      <c r="P543" s="2908">
        <f t="shared" si="207"/>
        <v>36000</v>
      </c>
      <c r="Q543" s="1095">
        <f t="shared" si="208"/>
        <v>9828</v>
      </c>
      <c r="R543" s="2909">
        <f t="shared" si="209"/>
        <v>45828</v>
      </c>
      <c r="S543" s="398">
        <f t="shared" si="210"/>
        <v>0</v>
      </c>
      <c r="T543" s="1095">
        <f t="shared" si="211"/>
        <v>0</v>
      </c>
      <c r="U543" s="398">
        <f t="shared" si="212"/>
        <v>0</v>
      </c>
      <c r="V543" s="2913">
        <v>0</v>
      </c>
      <c r="W543" s="1095">
        <f t="shared" si="196"/>
        <v>15018.36</v>
      </c>
      <c r="X543" s="1095">
        <f t="shared" si="197"/>
        <v>2160</v>
      </c>
      <c r="Y543" s="2909">
        <f t="shared" si="200"/>
        <v>17178.36</v>
      </c>
      <c r="Z543" s="2913">
        <v>0</v>
      </c>
      <c r="AA543" s="1095">
        <f t="shared" si="198"/>
        <v>8102.01</v>
      </c>
      <c r="AB543" s="1095">
        <f t="shared" si="199"/>
        <v>0</v>
      </c>
      <c r="AC543" s="2909">
        <f t="shared" si="201"/>
        <v>8102.01</v>
      </c>
    </row>
    <row r="544" spans="1:29">
      <c r="A544" s="1780" t="s">
        <v>4618</v>
      </c>
      <c r="B544" s="1780"/>
      <c r="C544" s="2901">
        <v>700</v>
      </c>
      <c r="D544" s="2902">
        <f t="shared" si="202"/>
        <v>2.0002400288034565E-3</v>
      </c>
      <c r="E544" s="1083">
        <v>63000</v>
      </c>
      <c r="F544" s="2952">
        <f t="shared" si="203"/>
        <v>2.2023058421825536E-3</v>
      </c>
      <c r="G544" s="2903">
        <f t="shared" si="191"/>
        <v>63000</v>
      </c>
      <c r="H544" s="2903">
        <f t="shared" si="204"/>
        <v>0</v>
      </c>
      <c r="I544" s="2905">
        <f t="shared" si="192"/>
        <v>39900</v>
      </c>
      <c r="J544" s="1096">
        <v>12208</v>
      </c>
      <c r="K544" s="2479">
        <f t="shared" si="205"/>
        <v>500039.67999999999</v>
      </c>
      <c r="L544" s="398">
        <f t="shared" si="193"/>
        <v>12600</v>
      </c>
      <c r="M544" s="1095">
        <f t="shared" si="194"/>
        <v>64708</v>
      </c>
      <c r="N544" s="2906">
        <f t="shared" si="195"/>
        <v>2.0366304420818787E-3</v>
      </c>
      <c r="O544" s="2907">
        <f t="shared" si="206"/>
        <v>3.6390413278422195E-5</v>
      </c>
      <c r="P544" s="2908">
        <f t="shared" si="207"/>
        <v>210000</v>
      </c>
      <c r="Q544" s="1095">
        <f t="shared" si="208"/>
        <v>57330</v>
      </c>
      <c r="R544" s="2909">
        <f t="shared" si="209"/>
        <v>267330</v>
      </c>
      <c r="S544" s="398">
        <f t="shared" si="210"/>
        <v>0</v>
      </c>
      <c r="T544" s="1095">
        <f t="shared" si="211"/>
        <v>0</v>
      </c>
      <c r="U544" s="398">
        <f t="shared" si="212"/>
        <v>0</v>
      </c>
      <c r="V544" s="2913">
        <v>0</v>
      </c>
      <c r="W544" s="1095">
        <f t="shared" si="196"/>
        <v>64946.560000000005</v>
      </c>
      <c r="X544" s="1095">
        <f t="shared" si="197"/>
        <v>12600</v>
      </c>
      <c r="Y544" s="2909">
        <f t="shared" si="200"/>
        <v>77546.559999999998</v>
      </c>
      <c r="Z544" s="2913">
        <v>0</v>
      </c>
      <c r="AA544" s="1095">
        <f t="shared" si="198"/>
        <v>35036.959999999999</v>
      </c>
      <c r="AB544" s="1095">
        <f t="shared" si="199"/>
        <v>0</v>
      </c>
      <c r="AC544" s="2909">
        <f t="shared" si="201"/>
        <v>35036.959999999999</v>
      </c>
    </row>
    <row r="545" spans="1:29">
      <c r="A545" s="1780" t="s">
        <v>4619</v>
      </c>
      <c r="B545" s="1780"/>
      <c r="C545" s="2901">
        <v>190</v>
      </c>
      <c r="D545" s="2902">
        <f t="shared" si="202"/>
        <v>5.4292229353236675E-4</v>
      </c>
      <c r="E545" s="1083">
        <v>17100</v>
      </c>
      <c r="F545" s="2952">
        <f t="shared" si="203"/>
        <v>5.9776872859240737E-4</v>
      </c>
      <c r="G545" s="2903">
        <f t="shared" si="191"/>
        <v>17100</v>
      </c>
      <c r="H545" s="2903">
        <f t="shared" si="204"/>
        <v>0</v>
      </c>
      <c r="I545" s="2905">
        <f t="shared" si="192"/>
        <v>10830</v>
      </c>
      <c r="J545" s="1096">
        <v>0</v>
      </c>
      <c r="K545" s="2479">
        <f t="shared" si="205"/>
        <v>0</v>
      </c>
      <c r="L545" s="398">
        <f t="shared" si="193"/>
        <v>3420</v>
      </c>
      <c r="M545" s="1095">
        <f t="shared" si="194"/>
        <v>14250</v>
      </c>
      <c r="N545" s="2906">
        <f t="shared" si="195"/>
        <v>4.485068894057423E-4</v>
      </c>
      <c r="O545" s="2907">
        <f t="shared" si="206"/>
        <v>-9.4415404126624454E-5</v>
      </c>
      <c r="P545" s="2908">
        <f t="shared" si="207"/>
        <v>57000</v>
      </c>
      <c r="Q545" s="1095">
        <f t="shared" si="208"/>
        <v>15561</v>
      </c>
      <c r="R545" s="2909">
        <f t="shared" si="209"/>
        <v>72561</v>
      </c>
      <c r="S545" s="398">
        <f t="shared" si="210"/>
        <v>0</v>
      </c>
      <c r="T545" s="1095">
        <f t="shared" si="211"/>
        <v>0</v>
      </c>
      <c r="U545" s="398">
        <f t="shared" si="212"/>
        <v>0</v>
      </c>
      <c r="V545" s="2913">
        <v>0</v>
      </c>
      <c r="W545" s="1095">
        <f t="shared" si="196"/>
        <v>0</v>
      </c>
      <c r="X545" s="1095">
        <f t="shared" si="197"/>
        <v>3420</v>
      </c>
      <c r="Y545" s="2909">
        <f t="shared" si="200"/>
        <v>3420</v>
      </c>
      <c r="Z545" s="2913">
        <v>0</v>
      </c>
      <c r="AA545" s="1095">
        <f t="shared" si="198"/>
        <v>0</v>
      </c>
      <c r="AB545" s="1095">
        <f t="shared" si="199"/>
        <v>0</v>
      </c>
      <c r="AC545" s="2909">
        <f t="shared" si="201"/>
        <v>0</v>
      </c>
    </row>
    <row r="546" spans="1:29">
      <c r="A546" s="1780" t="s">
        <v>4620</v>
      </c>
      <c r="B546" s="1780"/>
      <c r="C546" s="2901">
        <v>70</v>
      </c>
      <c r="D546" s="2902">
        <f t="shared" si="202"/>
        <v>2.0002400288034563E-4</v>
      </c>
      <c r="E546" s="1083">
        <v>6300</v>
      </c>
      <c r="F546" s="2952">
        <f t="shared" si="203"/>
        <v>2.2023058421825537E-4</v>
      </c>
      <c r="G546" s="2903">
        <f t="shared" si="191"/>
        <v>6300</v>
      </c>
      <c r="H546" s="2903">
        <f t="shared" si="204"/>
        <v>0</v>
      </c>
      <c r="I546" s="2905">
        <f t="shared" si="192"/>
        <v>3990</v>
      </c>
      <c r="J546" s="1096">
        <v>1646</v>
      </c>
      <c r="K546" s="2479">
        <f t="shared" si="205"/>
        <v>67420.160000000003</v>
      </c>
      <c r="L546" s="398">
        <f t="shared" si="193"/>
        <v>1260</v>
      </c>
      <c r="M546" s="1095">
        <f t="shared" si="194"/>
        <v>6896</v>
      </c>
      <c r="N546" s="2906">
        <f t="shared" si="195"/>
        <v>2.1704586030470168E-4</v>
      </c>
      <c r="O546" s="2907">
        <f t="shared" si="206"/>
        <v>1.7021857424356056E-5</v>
      </c>
      <c r="P546" s="2908">
        <f t="shared" si="207"/>
        <v>21000</v>
      </c>
      <c r="Q546" s="1095">
        <f t="shared" si="208"/>
        <v>5733</v>
      </c>
      <c r="R546" s="2909">
        <f t="shared" si="209"/>
        <v>26733</v>
      </c>
      <c r="S546" s="398">
        <f t="shared" si="210"/>
        <v>0</v>
      </c>
      <c r="T546" s="1095">
        <f t="shared" si="211"/>
        <v>0</v>
      </c>
      <c r="U546" s="398">
        <f t="shared" si="212"/>
        <v>0</v>
      </c>
      <c r="V546" s="2913">
        <v>0</v>
      </c>
      <c r="W546" s="1095">
        <f t="shared" si="196"/>
        <v>8756.7200000000012</v>
      </c>
      <c r="X546" s="1095">
        <f t="shared" si="197"/>
        <v>1260</v>
      </c>
      <c r="Y546" s="2909">
        <f t="shared" si="200"/>
        <v>10016.720000000001</v>
      </c>
      <c r="Z546" s="2913">
        <v>0</v>
      </c>
      <c r="AA546" s="1095">
        <f t="shared" si="198"/>
        <v>4724.0200000000004</v>
      </c>
      <c r="AB546" s="1095">
        <f t="shared" si="199"/>
        <v>0</v>
      </c>
      <c r="AC546" s="2909">
        <f t="shared" si="201"/>
        <v>4724.0200000000004</v>
      </c>
    </row>
    <row r="547" spans="1:29">
      <c r="A547" s="1780" t="s">
        <v>4621</v>
      </c>
      <c r="B547" s="1780"/>
      <c r="C547" s="2901">
        <v>265</v>
      </c>
      <c r="D547" s="2902">
        <f t="shared" si="202"/>
        <v>7.5723372518987989E-4</v>
      </c>
      <c r="E547" s="1083">
        <v>23850</v>
      </c>
      <c r="F547" s="2952">
        <f t="shared" si="203"/>
        <v>8.337300688262524E-4</v>
      </c>
      <c r="G547" s="2903">
        <f t="shared" si="191"/>
        <v>23850</v>
      </c>
      <c r="H547" s="2903">
        <f t="shared" si="204"/>
        <v>0</v>
      </c>
      <c r="I547" s="2905">
        <f t="shared" si="192"/>
        <v>15105</v>
      </c>
      <c r="J547" s="1096">
        <v>0</v>
      </c>
      <c r="K547" s="2479">
        <f t="shared" si="205"/>
        <v>0</v>
      </c>
      <c r="L547" s="398">
        <f t="shared" si="193"/>
        <v>4770</v>
      </c>
      <c r="M547" s="1095">
        <f t="shared" si="194"/>
        <v>19875</v>
      </c>
      <c r="N547" s="2906">
        <f t="shared" si="195"/>
        <v>6.2554908259221951E-4</v>
      </c>
      <c r="O547" s="2907">
        <f t="shared" si="206"/>
        <v>-1.3168464259766038E-4</v>
      </c>
      <c r="P547" s="2908">
        <f t="shared" si="207"/>
        <v>79500</v>
      </c>
      <c r="Q547" s="1095">
        <f t="shared" si="208"/>
        <v>21703.5</v>
      </c>
      <c r="R547" s="2909">
        <f t="shared" si="209"/>
        <v>101203.5</v>
      </c>
      <c r="S547" s="398">
        <f t="shared" si="210"/>
        <v>0</v>
      </c>
      <c r="T547" s="1095">
        <f t="shared" si="211"/>
        <v>0</v>
      </c>
      <c r="U547" s="398">
        <f t="shared" si="212"/>
        <v>0</v>
      </c>
      <c r="V547" s="2913">
        <v>0</v>
      </c>
      <c r="W547" s="1095">
        <f t="shared" si="196"/>
        <v>0</v>
      </c>
      <c r="X547" s="1095">
        <f t="shared" si="197"/>
        <v>4770</v>
      </c>
      <c r="Y547" s="2909">
        <f t="shared" si="200"/>
        <v>4770</v>
      </c>
      <c r="Z547" s="2913">
        <v>0</v>
      </c>
      <c r="AA547" s="1095">
        <f t="shared" si="198"/>
        <v>0</v>
      </c>
      <c r="AB547" s="1095">
        <f t="shared" si="199"/>
        <v>0</v>
      </c>
      <c r="AC547" s="2909">
        <f t="shared" si="201"/>
        <v>0</v>
      </c>
    </row>
    <row r="548" spans="1:29">
      <c r="A548" s="1780" t="s">
        <v>4622</v>
      </c>
      <c r="B548" s="1780"/>
      <c r="C548" s="2901">
        <v>895</v>
      </c>
      <c r="D548" s="2902">
        <f t="shared" si="202"/>
        <v>2.5574497511129906E-3</v>
      </c>
      <c r="E548" s="1083">
        <v>80550</v>
      </c>
      <c r="F548" s="2952">
        <f t="shared" si="203"/>
        <v>2.8158053267905506E-3</v>
      </c>
      <c r="G548" s="2903">
        <f t="shared" si="191"/>
        <v>80550</v>
      </c>
      <c r="H548" s="2903">
        <f t="shared" si="204"/>
        <v>0</v>
      </c>
      <c r="I548" s="2905">
        <f t="shared" si="192"/>
        <v>51015</v>
      </c>
      <c r="J548" s="1096">
        <v>21068</v>
      </c>
      <c r="K548" s="2479">
        <f t="shared" si="205"/>
        <v>862945.28000000003</v>
      </c>
      <c r="L548" s="398">
        <f t="shared" si="193"/>
        <v>16110</v>
      </c>
      <c r="M548" s="1095">
        <f t="shared" si="194"/>
        <v>88193</v>
      </c>
      <c r="N548" s="2906">
        <f t="shared" si="195"/>
        <v>2.7758012699902195E-3</v>
      </c>
      <c r="O548" s="2907">
        <f t="shared" si="206"/>
        <v>2.1835151887722882E-4</v>
      </c>
      <c r="P548" s="2908">
        <f t="shared" si="207"/>
        <v>268500</v>
      </c>
      <c r="Q548" s="1095">
        <f t="shared" si="208"/>
        <v>73300.5</v>
      </c>
      <c r="R548" s="2909">
        <f t="shared" si="209"/>
        <v>341800.5</v>
      </c>
      <c r="S548" s="398">
        <f t="shared" si="210"/>
        <v>0</v>
      </c>
      <c r="T548" s="1095">
        <f t="shared" si="211"/>
        <v>0</v>
      </c>
      <c r="U548" s="398">
        <f t="shared" si="212"/>
        <v>0</v>
      </c>
      <c r="V548" s="2913">
        <v>0</v>
      </c>
      <c r="W548" s="1095">
        <f t="shared" si="196"/>
        <v>112081.76000000001</v>
      </c>
      <c r="X548" s="1095">
        <f t="shared" si="197"/>
        <v>16110</v>
      </c>
      <c r="Y548" s="2909">
        <f t="shared" si="200"/>
        <v>128191.76000000001</v>
      </c>
      <c r="Z548" s="2913">
        <v>0</v>
      </c>
      <c r="AA548" s="1095">
        <f t="shared" si="198"/>
        <v>60465.16</v>
      </c>
      <c r="AB548" s="1095">
        <f t="shared" si="199"/>
        <v>0</v>
      </c>
      <c r="AC548" s="2909">
        <f t="shared" si="201"/>
        <v>60465.16</v>
      </c>
    </row>
    <row r="549" spans="1:29">
      <c r="A549" s="1780" t="s">
        <v>4623</v>
      </c>
      <c r="B549" s="1780"/>
      <c r="C549" s="2901">
        <v>225</v>
      </c>
      <c r="D549" s="2902">
        <f t="shared" si="202"/>
        <v>6.4293429497253951E-4</v>
      </c>
      <c r="E549" s="1083">
        <v>20250</v>
      </c>
      <c r="F549" s="2952">
        <f t="shared" si="203"/>
        <v>7.0788402070153509E-4</v>
      </c>
      <c r="G549" s="2903">
        <f t="shared" si="191"/>
        <v>20250</v>
      </c>
      <c r="H549" s="2903">
        <f t="shared" si="204"/>
        <v>0</v>
      </c>
      <c r="I549" s="2905">
        <f t="shared" si="192"/>
        <v>12825</v>
      </c>
      <c r="J549" s="1096">
        <v>1221</v>
      </c>
      <c r="K549" s="2479">
        <f t="shared" si="205"/>
        <v>50012.160000000003</v>
      </c>
      <c r="L549" s="398">
        <f t="shared" si="193"/>
        <v>4050</v>
      </c>
      <c r="M549" s="1095">
        <f t="shared" si="194"/>
        <v>18096</v>
      </c>
      <c r="N549" s="2906">
        <f t="shared" si="195"/>
        <v>5.6955653829377634E-4</v>
      </c>
      <c r="O549" s="2907">
        <f t="shared" si="206"/>
        <v>-7.3377756678763171E-5</v>
      </c>
      <c r="P549" s="2908">
        <f t="shared" si="207"/>
        <v>67500</v>
      </c>
      <c r="Q549" s="1095">
        <f t="shared" si="208"/>
        <v>18427.5</v>
      </c>
      <c r="R549" s="2909">
        <f t="shared" si="209"/>
        <v>85927.5</v>
      </c>
      <c r="S549" s="398">
        <f t="shared" si="210"/>
        <v>0</v>
      </c>
      <c r="T549" s="1095">
        <f t="shared" si="211"/>
        <v>0</v>
      </c>
      <c r="U549" s="398">
        <f t="shared" si="212"/>
        <v>0</v>
      </c>
      <c r="V549" s="2913">
        <v>0</v>
      </c>
      <c r="W549" s="1095">
        <f t="shared" si="196"/>
        <v>6495.72</v>
      </c>
      <c r="X549" s="1095">
        <f t="shared" si="197"/>
        <v>4050</v>
      </c>
      <c r="Y549" s="2909">
        <f t="shared" si="200"/>
        <v>10545.720000000001</v>
      </c>
      <c r="Z549" s="2913">
        <v>0</v>
      </c>
      <c r="AA549" s="1095">
        <f t="shared" si="198"/>
        <v>3504.27</v>
      </c>
      <c r="AB549" s="1095">
        <f t="shared" si="199"/>
        <v>0</v>
      </c>
      <c r="AC549" s="2909">
        <f t="shared" si="201"/>
        <v>3504.27</v>
      </c>
    </row>
    <row r="550" spans="1:29">
      <c r="A550" s="1780" t="s">
        <v>4624</v>
      </c>
      <c r="B550" s="1780"/>
      <c r="C550" s="2901">
        <v>125</v>
      </c>
      <c r="D550" s="2902">
        <f t="shared" si="202"/>
        <v>3.5718571942918863E-4</v>
      </c>
      <c r="E550" s="1083">
        <v>11250</v>
      </c>
      <c r="F550" s="2952">
        <f t="shared" si="203"/>
        <v>3.9326890038974172E-4</v>
      </c>
      <c r="G550" s="2903">
        <f t="shared" si="191"/>
        <v>11250</v>
      </c>
      <c r="H550" s="2903">
        <f t="shared" si="204"/>
        <v>0</v>
      </c>
      <c r="I550" s="2905">
        <f t="shared" si="192"/>
        <v>7125</v>
      </c>
      <c r="J550" s="1096">
        <v>2180</v>
      </c>
      <c r="K550" s="2479">
        <f t="shared" si="205"/>
        <v>89292.800000000003</v>
      </c>
      <c r="L550" s="398">
        <f t="shared" si="193"/>
        <v>2250</v>
      </c>
      <c r="M550" s="1095">
        <f t="shared" si="194"/>
        <v>11555</v>
      </c>
      <c r="N550" s="2906">
        <f t="shared" si="195"/>
        <v>3.6368400751462122E-4</v>
      </c>
      <c r="O550" s="2907">
        <f t="shared" si="206"/>
        <v>6.498288085432589E-6</v>
      </c>
      <c r="P550" s="2908">
        <f t="shared" si="207"/>
        <v>37500</v>
      </c>
      <c r="Q550" s="1095">
        <f t="shared" si="208"/>
        <v>10237.5</v>
      </c>
      <c r="R550" s="2909">
        <f t="shared" si="209"/>
        <v>47737.5</v>
      </c>
      <c r="S550" s="398">
        <f t="shared" si="210"/>
        <v>0</v>
      </c>
      <c r="T550" s="1095">
        <f t="shared" si="211"/>
        <v>0</v>
      </c>
      <c r="U550" s="398">
        <f t="shared" si="212"/>
        <v>0</v>
      </c>
      <c r="V550" s="2913">
        <v>0</v>
      </c>
      <c r="W550" s="1095">
        <f t="shared" si="196"/>
        <v>11597.6</v>
      </c>
      <c r="X550" s="1095">
        <f t="shared" si="197"/>
        <v>2250</v>
      </c>
      <c r="Y550" s="2909">
        <f t="shared" si="200"/>
        <v>13847.6</v>
      </c>
      <c r="Z550" s="2913">
        <v>0</v>
      </c>
      <c r="AA550" s="1095">
        <f t="shared" si="198"/>
        <v>6256.6</v>
      </c>
      <c r="AB550" s="1095">
        <f t="shared" si="199"/>
        <v>0</v>
      </c>
      <c r="AC550" s="2909">
        <f t="shared" si="201"/>
        <v>6256.6</v>
      </c>
    </row>
    <row r="551" spans="1:29">
      <c r="A551" s="1780" t="s">
        <v>4625</v>
      </c>
      <c r="B551" s="1780"/>
      <c r="C551" s="2901">
        <v>55</v>
      </c>
      <c r="D551" s="2902">
        <f t="shared" si="202"/>
        <v>1.57161716548843E-4</v>
      </c>
      <c r="E551" s="1083">
        <v>4950</v>
      </c>
      <c r="F551" s="2952">
        <f t="shared" si="203"/>
        <v>1.7303831617148635E-4</v>
      </c>
      <c r="G551" s="2903">
        <f t="shared" si="191"/>
        <v>4950</v>
      </c>
      <c r="H551" s="2903">
        <f t="shared" si="204"/>
        <v>0</v>
      </c>
      <c r="I551" s="2905">
        <f t="shared" si="192"/>
        <v>3135</v>
      </c>
      <c r="J551" s="1096">
        <v>0</v>
      </c>
      <c r="K551" s="2479">
        <f t="shared" si="205"/>
        <v>0</v>
      </c>
      <c r="L551" s="398">
        <f t="shared" si="193"/>
        <v>990</v>
      </c>
      <c r="M551" s="1095">
        <f t="shared" si="194"/>
        <v>4125</v>
      </c>
      <c r="N551" s="2906">
        <f t="shared" si="195"/>
        <v>1.298309416700833E-4</v>
      </c>
      <c r="O551" s="2907">
        <f t="shared" si="206"/>
        <v>-2.7330774878759706E-5</v>
      </c>
      <c r="P551" s="2908">
        <f t="shared" si="207"/>
        <v>16500</v>
      </c>
      <c r="Q551" s="1095">
        <f t="shared" si="208"/>
        <v>4504.5</v>
      </c>
      <c r="R551" s="2909">
        <f t="shared" si="209"/>
        <v>21004.5</v>
      </c>
      <c r="S551" s="398">
        <f t="shared" si="210"/>
        <v>0</v>
      </c>
      <c r="T551" s="1095">
        <f t="shared" si="211"/>
        <v>0</v>
      </c>
      <c r="U551" s="398">
        <f t="shared" si="212"/>
        <v>0</v>
      </c>
      <c r="V551" s="2913">
        <v>0</v>
      </c>
      <c r="W551" s="1095">
        <f t="shared" si="196"/>
        <v>0</v>
      </c>
      <c r="X551" s="1095">
        <f t="shared" si="197"/>
        <v>990</v>
      </c>
      <c r="Y551" s="2909">
        <f t="shared" si="200"/>
        <v>990</v>
      </c>
      <c r="Z551" s="2913">
        <v>0</v>
      </c>
      <c r="AA551" s="1095">
        <f t="shared" si="198"/>
        <v>0</v>
      </c>
      <c r="AB551" s="1095">
        <f t="shared" si="199"/>
        <v>0</v>
      </c>
      <c r="AC551" s="2909">
        <f t="shared" si="201"/>
        <v>0</v>
      </c>
    </row>
    <row r="552" spans="1:29">
      <c r="A552" s="1780" t="s">
        <v>4626</v>
      </c>
      <c r="B552" s="1780"/>
      <c r="C552" s="2901">
        <v>35</v>
      </c>
      <c r="D552" s="2902">
        <f t="shared" si="202"/>
        <v>1.0001200144017281E-4</v>
      </c>
      <c r="E552" s="1083">
        <v>3150</v>
      </c>
      <c r="F552" s="2952">
        <f t="shared" si="203"/>
        <v>1.1011529210912768E-4</v>
      </c>
      <c r="G552" s="2903">
        <f t="shared" si="191"/>
        <v>3150</v>
      </c>
      <c r="H552" s="2903">
        <f t="shared" si="204"/>
        <v>0</v>
      </c>
      <c r="I552" s="2905">
        <f t="shared" si="192"/>
        <v>1995</v>
      </c>
      <c r="J552" s="1096">
        <v>823</v>
      </c>
      <c r="K552" s="2479">
        <f t="shared" si="205"/>
        <v>33710.080000000002</v>
      </c>
      <c r="L552" s="398">
        <f t="shared" si="193"/>
        <v>630</v>
      </c>
      <c r="M552" s="1095">
        <f t="shared" si="194"/>
        <v>3448</v>
      </c>
      <c r="N552" s="2906">
        <f t="shared" si="195"/>
        <v>1.0852293015235084E-4</v>
      </c>
      <c r="O552" s="2907">
        <f t="shared" si="206"/>
        <v>8.5109287121780278E-6</v>
      </c>
      <c r="P552" s="2908">
        <f t="shared" si="207"/>
        <v>10500</v>
      </c>
      <c r="Q552" s="1095">
        <f t="shared" si="208"/>
        <v>2866.5</v>
      </c>
      <c r="R552" s="2909">
        <f t="shared" si="209"/>
        <v>13366.5</v>
      </c>
      <c r="S552" s="398">
        <f t="shared" si="210"/>
        <v>0</v>
      </c>
      <c r="T552" s="1095">
        <f t="shared" si="211"/>
        <v>0</v>
      </c>
      <c r="U552" s="398">
        <f t="shared" si="212"/>
        <v>0</v>
      </c>
      <c r="V552" s="2913">
        <v>0</v>
      </c>
      <c r="W552" s="1095">
        <f t="shared" si="196"/>
        <v>4378.3600000000006</v>
      </c>
      <c r="X552" s="1095">
        <f t="shared" si="197"/>
        <v>630</v>
      </c>
      <c r="Y552" s="2909">
        <f t="shared" si="200"/>
        <v>5008.3600000000006</v>
      </c>
      <c r="Z552" s="2913">
        <v>0</v>
      </c>
      <c r="AA552" s="1095">
        <f t="shared" si="198"/>
        <v>2362.0100000000002</v>
      </c>
      <c r="AB552" s="1095">
        <f t="shared" si="199"/>
        <v>0</v>
      </c>
      <c r="AC552" s="2909">
        <f t="shared" si="201"/>
        <v>2362.0100000000002</v>
      </c>
    </row>
    <row r="553" spans="1:29">
      <c r="A553" s="1780" t="s">
        <v>4627</v>
      </c>
      <c r="B553" s="1780"/>
      <c r="C553" s="2901">
        <v>45</v>
      </c>
      <c r="D553" s="2902">
        <f t="shared" si="202"/>
        <v>1.2858685899450791E-4</v>
      </c>
      <c r="E553" s="1083">
        <v>4050</v>
      </c>
      <c r="F553" s="2952">
        <f t="shared" si="203"/>
        <v>1.4157680414030702E-4</v>
      </c>
      <c r="G553" s="2903">
        <f t="shared" si="191"/>
        <v>4050</v>
      </c>
      <c r="H553" s="2903">
        <f t="shared" si="204"/>
        <v>0</v>
      </c>
      <c r="I553" s="2905">
        <f t="shared" si="192"/>
        <v>2565</v>
      </c>
      <c r="J553" s="1096">
        <v>0</v>
      </c>
      <c r="K553" s="2479">
        <f t="shared" si="205"/>
        <v>0</v>
      </c>
      <c r="L553" s="398">
        <f t="shared" si="193"/>
        <v>810</v>
      </c>
      <c r="M553" s="1095">
        <f t="shared" si="194"/>
        <v>3375</v>
      </c>
      <c r="N553" s="2906">
        <f t="shared" si="195"/>
        <v>1.0622531591188634E-4</v>
      </c>
      <c r="O553" s="2907">
        <f t="shared" si="206"/>
        <v>-2.2361543082621569E-5</v>
      </c>
      <c r="P553" s="2908">
        <f t="shared" si="207"/>
        <v>13500</v>
      </c>
      <c r="Q553" s="1095">
        <f t="shared" si="208"/>
        <v>3685.5</v>
      </c>
      <c r="R553" s="2909">
        <f t="shared" si="209"/>
        <v>17185.5</v>
      </c>
      <c r="S553" s="398">
        <f t="shared" si="210"/>
        <v>0</v>
      </c>
      <c r="T553" s="1095">
        <f t="shared" si="211"/>
        <v>0</v>
      </c>
      <c r="U553" s="398">
        <f t="shared" si="212"/>
        <v>0</v>
      </c>
      <c r="V553" s="2913">
        <v>0</v>
      </c>
      <c r="W553" s="1095">
        <f t="shared" si="196"/>
        <v>0</v>
      </c>
      <c r="X553" s="1095">
        <f t="shared" si="197"/>
        <v>810</v>
      </c>
      <c r="Y553" s="2909">
        <f t="shared" si="200"/>
        <v>810</v>
      </c>
      <c r="Z553" s="2913">
        <v>0</v>
      </c>
      <c r="AA553" s="1095">
        <f t="shared" si="198"/>
        <v>0</v>
      </c>
      <c r="AB553" s="1095">
        <f t="shared" si="199"/>
        <v>0</v>
      </c>
      <c r="AC553" s="2909">
        <f t="shared" si="201"/>
        <v>0</v>
      </c>
    </row>
    <row r="554" spans="1:29">
      <c r="A554" s="1780" t="s">
        <v>4628</v>
      </c>
      <c r="B554" s="1780"/>
      <c r="C554" s="2901">
        <v>355</v>
      </c>
      <c r="D554" s="2902">
        <f t="shared" si="202"/>
        <v>1.0144074431788956E-3</v>
      </c>
      <c r="E554" s="1083">
        <v>31950</v>
      </c>
      <c r="F554" s="2952">
        <f t="shared" si="203"/>
        <v>1.1168836771068664E-3</v>
      </c>
      <c r="G554" s="2903">
        <f t="shared" si="191"/>
        <v>31950</v>
      </c>
      <c r="H554" s="2903">
        <f t="shared" si="204"/>
        <v>0</v>
      </c>
      <c r="I554" s="2905">
        <f t="shared" si="192"/>
        <v>20235</v>
      </c>
      <c r="J554" s="1096">
        <v>0</v>
      </c>
      <c r="K554" s="2479">
        <f t="shared" si="205"/>
        <v>0</v>
      </c>
      <c r="L554" s="398">
        <f t="shared" si="193"/>
        <v>6390</v>
      </c>
      <c r="M554" s="1095">
        <f t="shared" si="194"/>
        <v>26625</v>
      </c>
      <c r="N554" s="2906">
        <f t="shared" si="195"/>
        <v>8.3799971441599216E-4</v>
      </c>
      <c r="O554" s="2907">
        <f t="shared" si="206"/>
        <v>-1.7640772876290349E-4</v>
      </c>
      <c r="P554" s="2908">
        <f t="shared" si="207"/>
        <v>106500</v>
      </c>
      <c r="Q554" s="1095">
        <f t="shared" si="208"/>
        <v>29074.5</v>
      </c>
      <c r="R554" s="2909">
        <f t="shared" si="209"/>
        <v>135574.5</v>
      </c>
      <c r="S554" s="398">
        <f t="shared" si="210"/>
        <v>0</v>
      </c>
      <c r="T554" s="1095">
        <f t="shared" si="211"/>
        <v>0</v>
      </c>
      <c r="U554" s="398">
        <f t="shared" si="212"/>
        <v>0</v>
      </c>
      <c r="V554" s="2913">
        <v>0</v>
      </c>
      <c r="W554" s="1095">
        <f t="shared" si="196"/>
        <v>0</v>
      </c>
      <c r="X554" s="1095">
        <f t="shared" si="197"/>
        <v>6390</v>
      </c>
      <c r="Y554" s="2909">
        <f t="shared" si="200"/>
        <v>6390</v>
      </c>
      <c r="Z554" s="2913">
        <v>0</v>
      </c>
      <c r="AA554" s="1095">
        <f t="shared" si="198"/>
        <v>0</v>
      </c>
      <c r="AB554" s="1095">
        <f t="shared" si="199"/>
        <v>0</v>
      </c>
      <c r="AC554" s="2909">
        <f t="shared" si="201"/>
        <v>0</v>
      </c>
    </row>
    <row r="555" spans="1:29">
      <c r="A555" s="1780" t="s">
        <v>4629</v>
      </c>
      <c r="B555" s="1780"/>
      <c r="C555" s="2901">
        <v>85</v>
      </c>
      <c r="D555" s="2902">
        <f t="shared" si="202"/>
        <v>2.4288628921184828E-4</v>
      </c>
      <c r="E555" s="1083">
        <v>7650</v>
      </c>
      <c r="F555" s="2952">
        <f t="shared" si="203"/>
        <v>2.6742285226502436E-4</v>
      </c>
      <c r="G555" s="2903">
        <f t="shared" si="191"/>
        <v>7650</v>
      </c>
      <c r="H555" s="2903">
        <f t="shared" si="204"/>
        <v>0</v>
      </c>
      <c r="I555" s="2905">
        <f t="shared" si="192"/>
        <v>4845</v>
      </c>
      <c r="J555" s="1096">
        <v>1482</v>
      </c>
      <c r="K555" s="2479">
        <f t="shared" si="205"/>
        <v>60702.720000000001</v>
      </c>
      <c r="L555" s="398">
        <f t="shared" si="193"/>
        <v>1530</v>
      </c>
      <c r="M555" s="1095">
        <f t="shared" si="194"/>
        <v>7857</v>
      </c>
      <c r="N555" s="2906">
        <f t="shared" si="195"/>
        <v>2.4729253544287139E-4</v>
      </c>
      <c r="O555" s="2907">
        <f t="shared" si="206"/>
        <v>4.4062462310231045E-6</v>
      </c>
      <c r="P555" s="2908">
        <f t="shared" si="207"/>
        <v>25500</v>
      </c>
      <c r="Q555" s="1095">
        <f t="shared" si="208"/>
        <v>6961.5</v>
      </c>
      <c r="R555" s="2909">
        <f t="shared" si="209"/>
        <v>32461.5</v>
      </c>
      <c r="S555" s="398">
        <f t="shared" si="210"/>
        <v>0</v>
      </c>
      <c r="T555" s="1095">
        <f t="shared" si="211"/>
        <v>0</v>
      </c>
      <c r="U555" s="398">
        <f t="shared" si="212"/>
        <v>0</v>
      </c>
      <c r="V555" s="2913">
        <v>0</v>
      </c>
      <c r="W555" s="1095">
        <f t="shared" si="196"/>
        <v>7884.2400000000007</v>
      </c>
      <c r="X555" s="1095">
        <f t="shared" si="197"/>
        <v>1530</v>
      </c>
      <c r="Y555" s="2909">
        <f t="shared" si="200"/>
        <v>9414.2400000000016</v>
      </c>
      <c r="Z555" s="2913">
        <v>0</v>
      </c>
      <c r="AA555" s="1095">
        <f t="shared" si="198"/>
        <v>4253.34</v>
      </c>
      <c r="AB555" s="1095">
        <f t="shared" si="199"/>
        <v>0</v>
      </c>
      <c r="AC555" s="2909">
        <f t="shared" si="201"/>
        <v>4253.34</v>
      </c>
    </row>
    <row r="556" spans="1:29">
      <c r="A556" s="1780" t="s">
        <v>4630</v>
      </c>
      <c r="B556" s="1780"/>
      <c r="C556" s="2901">
        <v>265</v>
      </c>
      <c r="D556" s="2902">
        <f t="shared" si="202"/>
        <v>7.5723372518987989E-4</v>
      </c>
      <c r="E556" s="1083">
        <v>23850</v>
      </c>
      <c r="F556" s="2952">
        <f t="shared" si="203"/>
        <v>8.337300688262524E-4</v>
      </c>
      <c r="G556" s="2903">
        <f t="shared" si="191"/>
        <v>23850</v>
      </c>
      <c r="H556" s="2903">
        <f t="shared" si="204"/>
        <v>0</v>
      </c>
      <c r="I556" s="2905">
        <f t="shared" si="192"/>
        <v>15105</v>
      </c>
      <c r="J556" s="1096">
        <v>6237</v>
      </c>
      <c r="K556" s="2479">
        <f t="shared" si="205"/>
        <v>255467.52000000002</v>
      </c>
      <c r="L556" s="398">
        <f t="shared" si="193"/>
        <v>4770</v>
      </c>
      <c r="M556" s="1095">
        <f t="shared" si="194"/>
        <v>26112</v>
      </c>
      <c r="N556" s="2906">
        <f t="shared" si="195"/>
        <v>8.2185346639738544E-4</v>
      </c>
      <c r="O556" s="2907">
        <f t="shared" si="206"/>
        <v>6.4619741207505555E-5</v>
      </c>
      <c r="P556" s="2908">
        <f t="shared" si="207"/>
        <v>79500</v>
      </c>
      <c r="Q556" s="1095">
        <f t="shared" si="208"/>
        <v>21703.5</v>
      </c>
      <c r="R556" s="2909">
        <f t="shared" si="209"/>
        <v>101203.5</v>
      </c>
      <c r="S556" s="398">
        <f t="shared" si="210"/>
        <v>0</v>
      </c>
      <c r="T556" s="1095">
        <f t="shared" si="211"/>
        <v>0</v>
      </c>
      <c r="U556" s="398">
        <f t="shared" si="212"/>
        <v>0</v>
      </c>
      <c r="V556" s="2913">
        <v>0</v>
      </c>
      <c r="W556" s="1095">
        <f t="shared" si="196"/>
        <v>33180.840000000004</v>
      </c>
      <c r="X556" s="1095">
        <f t="shared" si="197"/>
        <v>4770</v>
      </c>
      <c r="Y556" s="2909">
        <f t="shared" si="200"/>
        <v>37950.840000000004</v>
      </c>
      <c r="Z556" s="2913">
        <v>0</v>
      </c>
      <c r="AA556" s="1095">
        <f t="shared" si="198"/>
        <v>17900.190000000002</v>
      </c>
      <c r="AB556" s="1095">
        <f t="shared" si="199"/>
        <v>0</v>
      </c>
      <c r="AC556" s="2909">
        <f t="shared" si="201"/>
        <v>17900.190000000002</v>
      </c>
    </row>
    <row r="557" spans="1:29">
      <c r="A557" s="1780" t="s">
        <v>4631</v>
      </c>
      <c r="B557" s="1780"/>
      <c r="C557" s="2901">
        <v>40</v>
      </c>
      <c r="D557" s="2902">
        <f t="shared" si="202"/>
        <v>1.1429943021734036E-4</v>
      </c>
      <c r="E557" s="1083">
        <v>3600</v>
      </c>
      <c r="F557" s="2952">
        <f t="shared" si="203"/>
        <v>1.2584604812471736E-4</v>
      </c>
      <c r="G557" s="2903">
        <f t="shared" si="191"/>
        <v>3600</v>
      </c>
      <c r="H557" s="2903">
        <f t="shared" si="204"/>
        <v>0</v>
      </c>
      <c r="I557" s="2905">
        <f t="shared" si="192"/>
        <v>2280</v>
      </c>
      <c r="J557" s="1096">
        <v>697</v>
      </c>
      <c r="K557" s="2479">
        <f t="shared" si="205"/>
        <v>28549.119999999999</v>
      </c>
      <c r="L557" s="398">
        <f t="shared" si="193"/>
        <v>720</v>
      </c>
      <c r="M557" s="1095">
        <f t="shared" si="194"/>
        <v>3697</v>
      </c>
      <c r="N557" s="2906">
        <f t="shared" si="195"/>
        <v>1.1635999790407223E-4</v>
      </c>
      <c r="O557" s="2907">
        <f t="shared" si="206"/>
        <v>2.0605676867318688E-6</v>
      </c>
      <c r="P557" s="2908">
        <f t="shared" si="207"/>
        <v>12000</v>
      </c>
      <c r="Q557" s="1095">
        <f t="shared" si="208"/>
        <v>3276</v>
      </c>
      <c r="R557" s="2909">
        <f t="shared" si="209"/>
        <v>15276</v>
      </c>
      <c r="S557" s="398">
        <f t="shared" si="210"/>
        <v>0</v>
      </c>
      <c r="T557" s="1095">
        <f t="shared" si="211"/>
        <v>0</v>
      </c>
      <c r="U557" s="398">
        <f t="shared" si="212"/>
        <v>0</v>
      </c>
      <c r="V557" s="2913">
        <v>0</v>
      </c>
      <c r="W557" s="1095">
        <f t="shared" si="196"/>
        <v>3708.0400000000004</v>
      </c>
      <c r="X557" s="1095">
        <f t="shared" si="197"/>
        <v>720</v>
      </c>
      <c r="Y557" s="2909">
        <f t="shared" si="200"/>
        <v>4428.0400000000009</v>
      </c>
      <c r="Z557" s="2913">
        <v>0</v>
      </c>
      <c r="AA557" s="1095">
        <f t="shared" si="198"/>
        <v>2000.39</v>
      </c>
      <c r="AB557" s="1095">
        <f t="shared" si="199"/>
        <v>0</v>
      </c>
      <c r="AC557" s="2909">
        <f t="shared" si="201"/>
        <v>2000.39</v>
      </c>
    </row>
    <row r="558" spans="1:29">
      <c r="A558" s="1780" t="s">
        <v>4632</v>
      </c>
      <c r="B558" s="1780"/>
      <c r="C558" s="2901">
        <v>75</v>
      </c>
      <c r="D558" s="2902">
        <f t="shared" si="202"/>
        <v>2.1431143165751319E-4</v>
      </c>
      <c r="E558" s="1083">
        <v>6750</v>
      </c>
      <c r="F558" s="2952">
        <f t="shared" si="203"/>
        <v>2.3596134023384503E-4</v>
      </c>
      <c r="G558" s="2903">
        <f t="shared" si="191"/>
        <v>6750</v>
      </c>
      <c r="H558" s="2903">
        <f t="shared" si="204"/>
        <v>0</v>
      </c>
      <c r="I558" s="2905">
        <f t="shared" si="192"/>
        <v>4275</v>
      </c>
      <c r="J558" s="1096">
        <v>1308</v>
      </c>
      <c r="K558" s="2479">
        <f t="shared" si="205"/>
        <v>53575.68</v>
      </c>
      <c r="L558" s="398">
        <f t="shared" si="193"/>
        <v>1350</v>
      </c>
      <c r="M558" s="1095">
        <f t="shared" si="194"/>
        <v>6933</v>
      </c>
      <c r="N558" s="2906">
        <f t="shared" si="195"/>
        <v>2.1821040450877274E-4</v>
      </c>
      <c r="O558" s="2907">
        <f t="shared" si="206"/>
        <v>3.898972851259548E-6</v>
      </c>
      <c r="P558" s="2908">
        <f t="shared" si="207"/>
        <v>22500</v>
      </c>
      <c r="Q558" s="1095">
        <f t="shared" si="208"/>
        <v>6142.5</v>
      </c>
      <c r="R558" s="2909">
        <f t="shared" si="209"/>
        <v>28642.5</v>
      </c>
      <c r="S558" s="398">
        <f t="shared" si="210"/>
        <v>0</v>
      </c>
      <c r="T558" s="1095">
        <f t="shared" si="211"/>
        <v>0</v>
      </c>
      <c r="U558" s="398">
        <f t="shared" si="212"/>
        <v>0</v>
      </c>
      <c r="V558" s="2913">
        <v>0</v>
      </c>
      <c r="W558" s="1095">
        <f t="shared" si="196"/>
        <v>6958.56</v>
      </c>
      <c r="X558" s="1095">
        <f t="shared" si="197"/>
        <v>1350</v>
      </c>
      <c r="Y558" s="2909">
        <f t="shared" si="200"/>
        <v>8308.5600000000013</v>
      </c>
      <c r="Z558" s="2913">
        <v>0</v>
      </c>
      <c r="AA558" s="1095">
        <f t="shared" si="198"/>
        <v>3753.96</v>
      </c>
      <c r="AB558" s="1095">
        <f t="shared" si="199"/>
        <v>0</v>
      </c>
      <c r="AC558" s="2909">
        <f t="shared" si="201"/>
        <v>3753.96</v>
      </c>
    </row>
    <row r="559" spans="1:29">
      <c r="A559" s="1780" t="s">
        <v>4633</v>
      </c>
      <c r="B559" s="1780"/>
      <c r="C559" s="2901">
        <v>4050</v>
      </c>
      <c r="D559" s="2902">
        <f t="shared" si="202"/>
        <v>1.1572817309505712E-2</v>
      </c>
      <c r="E559" s="1083">
        <v>364500</v>
      </c>
      <c r="F559" s="2952">
        <f t="shared" si="203"/>
        <v>1.2741912372627631E-2</v>
      </c>
      <c r="G559" s="2903">
        <f t="shared" si="191"/>
        <v>364500</v>
      </c>
      <c r="H559" s="2903">
        <f t="shared" si="204"/>
        <v>0</v>
      </c>
      <c r="I559" s="2905">
        <f t="shared" si="192"/>
        <v>230850</v>
      </c>
      <c r="J559" s="1096">
        <v>70634</v>
      </c>
      <c r="K559" s="2479">
        <f t="shared" si="205"/>
        <v>2893168.6400000001</v>
      </c>
      <c r="L559" s="398">
        <f t="shared" si="193"/>
        <v>72900</v>
      </c>
      <c r="M559" s="1095">
        <f t="shared" si="194"/>
        <v>374384</v>
      </c>
      <c r="N559" s="2906">
        <f t="shared" si="195"/>
        <v>1.1783424791809083E-2</v>
      </c>
      <c r="O559" s="2907">
        <f t="shared" si="206"/>
        <v>2.1060748230337066E-4</v>
      </c>
      <c r="P559" s="2908">
        <f t="shared" si="207"/>
        <v>1215000</v>
      </c>
      <c r="Q559" s="1095">
        <f t="shared" si="208"/>
        <v>331695</v>
      </c>
      <c r="R559" s="2909">
        <f t="shared" si="209"/>
        <v>1546695</v>
      </c>
      <c r="S559" s="398">
        <f t="shared" si="210"/>
        <v>0</v>
      </c>
      <c r="T559" s="1095">
        <f t="shared" si="211"/>
        <v>0</v>
      </c>
      <c r="U559" s="398">
        <f t="shared" si="212"/>
        <v>0</v>
      </c>
      <c r="V559" s="2913">
        <v>0</v>
      </c>
      <c r="W559" s="1095">
        <f t="shared" si="196"/>
        <v>375772.88</v>
      </c>
      <c r="X559" s="1095">
        <f t="shared" si="197"/>
        <v>72900</v>
      </c>
      <c r="Y559" s="2909">
        <f t="shared" si="200"/>
        <v>448672.88</v>
      </c>
      <c r="Z559" s="2913">
        <v>0</v>
      </c>
      <c r="AA559" s="1095">
        <f t="shared" si="198"/>
        <v>202719.58000000002</v>
      </c>
      <c r="AB559" s="1095">
        <f t="shared" si="199"/>
        <v>0</v>
      </c>
      <c r="AC559" s="2909">
        <f t="shared" si="201"/>
        <v>202719.58000000002</v>
      </c>
    </row>
    <row r="560" spans="1:29">
      <c r="A560" s="1780" t="s">
        <v>4634</v>
      </c>
      <c r="B560" s="1780"/>
      <c r="C560" s="2901">
        <v>50</v>
      </c>
      <c r="D560" s="2902">
        <f t="shared" si="202"/>
        <v>1.4287428777167547E-4</v>
      </c>
      <c r="E560" s="1083">
        <v>4500</v>
      </c>
      <c r="F560" s="2952">
        <f t="shared" si="203"/>
        <v>1.5730756015589669E-4</v>
      </c>
      <c r="G560" s="2903">
        <f t="shared" si="191"/>
        <v>4500</v>
      </c>
      <c r="H560" s="2903">
        <f t="shared" si="204"/>
        <v>0</v>
      </c>
      <c r="I560" s="2905">
        <f t="shared" si="192"/>
        <v>2850</v>
      </c>
      <c r="J560" s="1096">
        <v>0</v>
      </c>
      <c r="K560" s="2479">
        <f t="shared" si="205"/>
        <v>0</v>
      </c>
      <c r="L560" s="398">
        <f t="shared" si="193"/>
        <v>900</v>
      </c>
      <c r="M560" s="1095">
        <f t="shared" si="194"/>
        <v>3750</v>
      </c>
      <c r="N560" s="2906">
        <f t="shared" si="195"/>
        <v>1.1802812879098481E-4</v>
      </c>
      <c r="O560" s="2907">
        <f t="shared" si="206"/>
        <v>-2.4846158980690658E-5</v>
      </c>
      <c r="P560" s="2908">
        <f t="shared" si="207"/>
        <v>15000</v>
      </c>
      <c r="Q560" s="1095">
        <f t="shared" si="208"/>
        <v>4095</v>
      </c>
      <c r="R560" s="2909">
        <f t="shared" si="209"/>
        <v>19095</v>
      </c>
      <c r="S560" s="398">
        <f t="shared" si="210"/>
        <v>0</v>
      </c>
      <c r="T560" s="1095">
        <f t="shared" si="211"/>
        <v>0</v>
      </c>
      <c r="U560" s="398">
        <f t="shared" si="212"/>
        <v>0</v>
      </c>
      <c r="V560" s="2913">
        <v>0</v>
      </c>
      <c r="W560" s="1095">
        <f t="shared" si="196"/>
        <v>0</v>
      </c>
      <c r="X560" s="1095">
        <f t="shared" si="197"/>
        <v>900</v>
      </c>
      <c r="Y560" s="2909">
        <f t="shared" si="200"/>
        <v>900</v>
      </c>
      <c r="Z560" s="2913">
        <v>0</v>
      </c>
      <c r="AA560" s="1095">
        <f t="shared" si="198"/>
        <v>0</v>
      </c>
      <c r="AB560" s="1095">
        <f t="shared" si="199"/>
        <v>0</v>
      </c>
      <c r="AC560" s="2909">
        <f t="shared" si="201"/>
        <v>0</v>
      </c>
    </row>
    <row r="561" spans="1:29">
      <c r="A561" s="1780" t="s">
        <v>4635</v>
      </c>
      <c r="B561" s="1780"/>
      <c r="C561" s="2901">
        <v>190</v>
      </c>
      <c r="D561" s="2902">
        <f t="shared" si="202"/>
        <v>5.4292229353236675E-4</v>
      </c>
      <c r="E561" s="1083">
        <v>17100</v>
      </c>
      <c r="F561" s="2952">
        <f t="shared" si="203"/>
        <v>5.9776872859240737E-4</v>
      </c>
      <c r="G561" s="2903">
        <f t="shared" si="191"/>
        <v>17100</v>
      </c>
      <c r="H561" s="2903">
        <f t="shared" si="204"/>
        <v>0</v>
      </c>
      <c r="I561" s="2905">
        <f t="shared" si="192"/>
        <v>10830</v>
      </c>
      <c r="J561" s="1096">
        <v>3313</v>
      </c>
      <c r="K561" s="2479">
        <f t="shared" si="205"/>
        <v>135700.48000000001</v>
      </c>
      <c r="L561" s="398">
        <f t="shared" si="193"/>
        <v>3420</v>
      </c>
      <c r="M561" s="1095">
        <f t="shared" si="194"/>
        <v>17563</v>
      </c>
      <c r="N561" s="2906">
        <f t="shared" si="195"/>
        <v>5.5278080692161764E-4</v>
      </c>
      <c r="O561" s="2907">
        <f t="shared" si="206"/>
        <v>9.8585133892508834E-6</v>
      </c>
      <c r="P561" s="2908">
        <f t="shared" si="207"/>
        <v>57000</v>
      </c>
      <c r="Q561" s="1095">
        <f t="shared" si="208"/>
        <v>15561</v>
      </c>
      <c r="R561" s="2909">
        <f t="shared" si="209"/>
        <v>72561</v>
      </c>
      <c r="S561" s="398">
        <f t="shared" si="210"/>
        <v>0</v>
      </c>
      <c r="T561" s="1095">
        <f t="shared" si="211"/>
        <v>0</v>
      </c>
      <c r="U561" s="398">
        <f t="shared" si="212"/>
        <v>0</v>
      </c>
      <c r="V561" s="2913">
        <v>0</v>
      </c>
      <c r="W561" s="1095">
        <f t="shared" si="196"/>
        <v>17625.16</v>
      </c>
      <c r="X561" s="1095">
        <f t="shared" si="197"/>
        <v>3420</v>
      </c>
      <c r="Y561" s="2909">
        <f t="shared" si="200"/>
        <v>21045.16</v>
      </c>
      <c r="Z561" s="2913">
        <v>0</v>
      </c>
      <c r="AA561" s="1095">
        <f t="shared" si="198"/>
        <v>9508.31</v>
      </c>
      <c r="AB561" s="1095">
        <f t="shared" si="199"/>
        <v>0</v>
      </c>
      <c r="AC561" s="2909">
        <f t="shared" si="201"/>
        <v>9508.31</v>
      </c>
    </row>
    <row r="562" spans="1:29">
      <c r="A562" s="1780" t="s">
        <v>4636</v>
      </c>
      <c r="B562" s="1780"/>
      <c r="C562" s="2901">
        <v>390</v>
      </c>
      <c r="D562" s="2902">
        <f t="shared" si="202"/>
        <v>1.1144194446190685E-3</v>
      </c>
      <c r="E562" s="1083">
        <v>35100</v>
      </c>
      <c r="F562" s="2952">
        <f t="shared" si="203"/>
        <v>1.2269989692159941E-3</v>
      </c>
      <c r="G562" s="2903">
        <f t="shared" si="191"/>
        <v>35100</v>
      </c>
      <c r="H562" s="2903">
        <f t="shared" si="204"/>
        <v>0</v>
      </c>
      <c r="I562" s="2905">
        <f t="shared" si="192"/>
        <v>22230</v>
      </c>
      <c r="J562" s="1096">
        <v>6812</v>
      </c>
      <c r="K562" s="2479">
        <f t="shared" si="205"/>
        <v>279019.52000000002</v>
      </c>
      <c r="L562" s="398">
        <f t="shared" si="193"/>
        <v>7020</v>
      </c>
      <c r="M562" s="1095">
        <f t="shared" si="194"/>
        <v>36062</v>
      </c>
      <c r="N562" s="2906">
        <f t="shared" si="195"/>
        <v>1.1350214347894652E-3</v>
      </c>
      <c r="O562" s="2907">
        <f t="shared" si="206"/>
        <v>2.0601990170396713E-5</v>
      </c>
      <c r="P562" s="2908">
        <f t="shared" si="207"/>
        <v>117000</v>
      </c>
      <c r="Q562" s="1095">
        <f t="shared" si="208"/>
        <v>31941</v>
      </c>
      <c r="R562" s="2909">
        <f t="shared" si="209"/>
        <v>148941</v>
      </c>
      <c r="S562" s="398">
        <f t="shared" si="210"/>
        <v>0</v>
      </c>
      <c r="T562" s="1095">
        <f t="shared" si="211"/>
        <v>0</v>
      </c>
      <c r="U562" s="398">
        <f t="shared" si="212"/>
        <v>0</v>
      </c>
      <c r="V562" s="2913">
        <v>0</v>
      </c>
      <c r="W562" s="1095">
        <f t="shared" si="196"/>
        <v>36239.840000000004</v>
      </c>
      <c r="X562" s="1095">
        <f t="shared" si="197"/>
        <v>7020</v>
      </c>
      <c r="Y562" s="2909">
        <f t="shared" si="200"/>
        <v>43259.840000000004</v>
      </c>
      <c r="Z562" s="2913">
        <v>0</v>
      </c>
      <c r="AA562" s="1095">
        <f t="shared" si="198"/>
        <v>19550.440000000002</v>
      </c>
      <c r="AB562" s="1095">
        <f t="shared" si="199"/>
        <v>0</v>
      </c>
      <c r="AC562" s="2909">
        <f t="shared" si="201"/>
        <v>19550.440000000002</v>
      </c>
    </row>
    <row r="563" spans="1:29">
      <c r="A563" s="1780" t="s">
        <v>4637</v>
      </c>
      <c r="B563" s="1780"/>
      <c r="C563" s="2901">
        <v>105</v>
      </c>
      <c r="D563" s="2902">
        <f t="shared" si="202"/>
        <v>3.0003600432051844E-4</v>
      </c>
      <c r="E563" s="1083">
        <v>9450</v>
      </c>
      <c r="F563" s="2952">
        <f t="shared" si="203"/>
        <v>3.3034587632738306E-4</v>
      </c>
      <c r="G563" s="2903">
        <f t="shared" si="191"/>
        <v>9450</v>
      </c>
      <c r="H563" s="2903">
        <f t="shared" si="204"/>
        <v>0</v>
      </c>
      <c r="I563" s="2905">
        <f t="shared" si="192"/>
        <v>5985</v>
      </c>
      <c r="J563" s="1096">
        <v>0</v>
      </c>
      <c r="K563" s="2479">
        <f t="shared" si="205"/>
        <v>0</v>
      </c>
      <c r="L563" s="398">
        <f t="shared" si="193"/>
        <v>1890</v>
      </c>
      <c r="M563" s="1095">
        <f t="shared" si="194"/>
        <v>7875</v>
      </c>
      <c r="N563" s="2906">
        <f t="shared" si="195"/>
        <v>2.4785907046106809E-4</v>
      </c>
      <c r="O563" s="2907">
        <f t="shared" si="206"/>
        <v>-5.2176933859450351E-5</v>
      </c>
      <c r="P563" s="2908">
        <f t="shared" si="207"/>
        <v>31500</v>
      </c>
      <c r="Q563" s="1095">
        <f t="shared" si="208"/>
        <v>8599.5</v>
      </c>
      <c r="R563" s="2909">
        <f t="shared" si="209"/>
        <v>40099.5</v>
      </c>
      <c r="S563" s="398">
        <f t="shared" si="210"/>
        <v>0</v>
      </c>
      <c r="T563" s="1095">
        <f t="shared" si="211"/>
        <v>0</v>
      </c>
      <c r="U563" s="398">
        <f t="shared" si="212"/>
        <v>0</v>
      </c>
      <c r="V563" s="2913">
        <v>0</v>
      </c>
      <c r="W563" s="1095">
        <f t="shared" si="196"/>
        <v>0</v>
      </c>
      <c r="X563" s="1095">
        <f t="shared" si="197"/>
        <v>1890</v>
      </c>
      <c r="Y563" s="2909">
        <f t="shared" si="200"/>
        <v>1890</v>
      </c>
      <c r="Z563" s="2913">
        <v>0</v>
      </c>
      <c r="AA563" s="1095">
        <f t="shared" si="198"/>
        <v>0</v>
      </c>
      <c r="AB563" s="1095">
        <f t="shared" si="199"/>
        <v>0</v>
      </c>
      <c r="AC563" s="2909">
        <f t="shared" si="201"/>
        <v>0</v>
      </c>
    </row>
    <row r="564" spans="1:29">
      <c r="A564" s="1780" t="s">
        <v>4638</v>
      </c>
      <c r="B564" s="1780"/>
      <c r="C564" s="2901">
        <v>50</v>
      </c>
      <c r="D564" s="2902">
        <f t="shared" si="202"/>
        <v>1.4287428777167547E-4</v>
      </c>
      <c r="E564" s="1083">
        <v>4500</v>
      </c>
      <c r="F564" s="2952">
        <f t="shared" si="203"/>
        <v>1.5730756015589669E-4</v>
      </c>
      <c r="G564" s="2903">
        <f t="shared" si="191"/>
        <v>4500</v>
      </c>
      <c r="H564" s="2903">
        <f t="shared" si="204"/>
        <v>0</v>
      </c>
      <c r="I564" s="2905">
        <f t="shared" si="192"/>
        <v>2850</v>
      </c>
      <c r="J564" s="1096">
        <v>1177</v>
      </c>
      <c r="K564" s="2479">
        <f t="shared" si="205"/>
        <v>48209.919999999998</v>
      </c>
      <c r="L564" s="398">
        <f t="shared" si="193"/>
        <v>900</v>
      </c>
      <c r="M564" s="1095">
        <f t="shared" si="194"/>
        <v>4927</v>
      </c>
      <c r="N564" s="2906">
        <f t="shared" si="195"/>
        <v>1.5507322414751526E-4</v>
      </c>
      <c r="O564" s="2907">
        <f t="shared" si="206"/>
        <v>1.2198936375839789E-5</v>
      </c>
      <c r="P564" s="2908">
        <f t="shared" si="207"/>
        <v>15000</v>
      </c>
      <c r="Q564" s="1095">
        <f t="shared" si="208"/>
        <v>4095</v>
      </c>
      <c r="R564" s="2909">
        <f t="shared" si="209"/>
        <v>19095</v>
      </c>
      <c r="S564" s="398">
        <f t="shared" si="210"/>
        <v>0</v>
      </c>
      <c r="T564" s="1095">
        <f t="shared" si="211"/>
        <v>0</v>
      </c>
      <c r="U564" s="398">
        <f t="shared" si="212"/>
        <v>0</v>
      </c>
      <c r="V564" s="2913">
        <v>0</v>
      </c>
      <c r="W564" s="1095">
        <f t="shared" si="196"/>
        <v>6261.64</v>
      </c>
      <c r="X564" s="1095">
        <f t="shared" si="197"/>
        <v>900</v>
      </c>
      <c r="Y564" s="2909">
        <f t="shared" si="200"/>
        <v>7161.64</v>
      </c>
      <c r="Z564" s="2913">
        <v>0</v>
      </c>
      <c r="AA564" s="1095">
        <f t="shared" si="198"/>
        <v>3377.9900000000002</v>
      </c>
      <c r="AB564" s="1095">
        <f t="shared" si="199"/>
        <v>0</v>
      </c>
      <c r="AC564" s="2909">
        <f t="shared" si="201"/>
        <v>3377.9900000000002</v>
      </c>
    </row>
    <row r="565" spans="1:29">
      <c r="A565" s="1780" t="s">
        <v>4639</v>
      </c>
      <c r="B565" s="1780"/>
      <c r="C565" s="2901">
        <v>3075</v>
      </c>
      <c r="D565" s="2902">
        <f t="shared" si="202"/>
        <v>8.7867686979580407E-3</v>
      </c>
      <c r="E565" s="1083">
        <v>201750</v>
      </c>
      <c r="F565" s="2952">
        <f t="shared" si="203"/>
        <v>7.0526222803227014E-3</v>
      </c>
      <c r="G565" s="2903">
        <f t="shared" si="191"/>
        <v>276750</v>
      </c>
      <c r="H565" s="2903">
        <f t="shared" si="204"/>
        <v>-75000</v>
      </c>
      <c r="I565" s="2905">
        <f t="shared" si="192"/>
        <v>175275</v>
      </c>
      <c r="J565" s="1096">
        <v>53629.999999999993</v>
      </c>
      <c r="K565" s="2479">
        <f t="shared" si="205"/>
        <v>2196684.7999999998</v>
      </c>
      <c r="L565" s="398">
        <f t="shared" si="193"/>
        <v>40350</v>
      </c>
      <c r="M565" s="1095">
        <f t="shared" si="194"/>
        <v>269255</v>
      </c>
      <c r="N565" s="2906">
        <f t="shared" si="195"/>
        <v>8.4745770180310979E-3</v>
      </c>
      <c r="O565" s="2907">
        <f t="shared" si="206"/>
        <v>-3.1219167992694273E-4</v>
      </c>
      <c r="P565" s="2908">
        <f t="shared" si="207"/>
        <v>922500</v>
      </c>
      <c r="Q565" s="1095">
        <f t="shared" si="208"/>
        <v>183592.5</v>
      </c>
      <c r="R565" s="2909">
        <f t="shared" si="209"/>
        <v>1106092.5</v>
      </c>
      <c r="S565" s="398">
        <f t="shared" si="210"/>
        <v>0</v>
      </c>
      <c r="T565" s="1095">
        <f t="shared" si="211"/>
        <v>0</v>
      </c>
      <c r="U565" s="398">
        <f t="shared" si="212"/>
        <v>0</v>
      </c>
      <c r="V565" s="2913">
        <v>0</v>
      </c>
      <c r="W565" s="1095">
        <f t="shared" si="196"/>
        <v>285311.59999999998</v>
      </c>
      <c r="X565" s="1095">
        <f t="shared" si="197"/>
        <v>40350</v>
      </c>
      <c r="Y565" s="2909">
        <f t="shared" si="200"/>
        <v>325661.59999999998</v>
      </c>
      <c r="Z565" s="2913">
        <v>0</v>
      </c>
      <c r="AA565" s="1095">
        <f t="shared" si="198"/>
        <v>153918.09999999998</v>
      </c>
      <c r="AB565" s="1095">
        <f t="shared" si="199"/>
        <v>0</v>
      </c>
      <c r="AC565" s="2909">
        <f t="shared" si="201"/>
        <v>153918.09999999998</v>
      </c>
    </row>
    <row r="566" spans="1:29">
      <c r="A566" s="1780" t="s">
        <v>4640</v>
      </c>
      <c r="B566" s="1780"/>
      <c r="C566" s="2901">
        <v>135</v>
      </c>
      <c r="D566" s="2902">
        <f t="shared" si="202"/>
        <v>3.8576057698352375E-4</v>
      </c>
      <c r="E566" s="1083">
        <v>12150</v>
      </c>
      <c r="F566" s="2952">
        <f t="shared" si="203"/>
        <v>4.2473041242092104E-4</v>
      </c>
      <c r="G566" s="2903">
        <f t="shared" si="191"/>
        <v>12150</v>
      </c>
      <c r="H566" s="2903">
        <f t="shared" si="204"/>
        <v>0</v>
      </c>
      <c r="I566" s="2905">
        <f t="shared" si="192"/>
        <v>7695</v>
      </c>
      <c r="J566" s="1096">
        <v>2354</v>
      </c>
      <c r="K566" s="2479">
        <f t="shared" si="205"/>
        <v>96419.839999999997</v>
      </c>
      <c r="L566" s="398">
        <f t="shared" si="193"/>
        <v>2430</v>
      </c>
      <c r="M566" s="1095">
        <f t="shared" si="194"/>
        <v>12479</v>
      </c>
      <c r="N566" s="2906">
        <f t="shared" si="195"/>
        <v>3.9276613844871984E-4</v>
      </c>
      <c r="O566" s="2907">
        <f t="shared" si="206"/>
        <v>7.0055614651960913E-6</v>
      </c>
      <c r="P566" s="2908">
        <f t="shared" si="207"/>
        <v>40500</v>
      </c>
      <c r="Q566" s="1095">
        <f t="shared" si="208"/>
        <v>11056.5</v>
      </c>
      <c r="R566" s="2909">
        <f t="shared" si="209"/>
        <v>51556.5</v>
      </c>
      <c r="S566" s="398">
        <f t="shared" si="210"/>
        <v>0</v>
      </c>
      <c r="T566" s="1095">
        <f t="shared" si="211"/>
        <v>0</v>
      </c>
      <c r="U566" s="398">
        <f t="shared" si="212"/>
        <v>0</v>
      </c>
      <c r="V566" s="2913">
        <v>0</v>
      </c>
      <c r="W566" s="1095">
        <f t="shared" si="196"/>
        <v>12523.28</v>
      </c>
      <c r="X566" s="1095">
        <f t="shared" si="197"/>
        <v>2430</v>
      </c>
      <c r="Y566" s="2909">
        <f t="shared" si="200"/>
        <v>14953.28</v>
      </c>
      <c r="Z566" s="2913">
        <v>0</v>
      </c>
      <c r="AA566" s="1095">
        <f t="shared" si="198"/>
        <v>6755.9800000000005</v>
      </c>
      <c r="AB566" s="1095">
        <f t="shared" si="199"/>
        <v>0</v>
      </c>
      <c r="AC566" s="2909">
        <f t="shared" si="201"/>
        <v>6755.9800000000005</v>
      </c>
    </row>
    <row r="567" spans="1:29">
      <c r="A567" s="1780" t="s">
        <v>4641</v>
      </c>
      <c r="B567" s="1780"/>
      <c r="C567" s="2901">
        <v>250</v>
      </c>
      <c r="D567" s="2902">
        <f t="shared" si="202"/>
        <v>7.1437143885837726E-4</v>
      </c>
      <c r="E567" s="1083">
        <v>22500</v>
      </c>
      <c r="F567" s="2952">
        <f t="shared" si="203"/>
        <v>7.8653780077948343E-4</v>
      </c>
      <c r="G567" s="2903">
        <f t="shared" si="191"/>
        <v>22500</v>
      </c>
      <c r="H567" s="2903">
        <f t="shared" si="204"/>
        <v>0</v>
      </c>
      <c r="I567" s="2905">
        <f t="shared" si="192"/>
        <v>14250</v>
      </c>
      <c r="J567" s="1096">
        <v>4360</v>
      </c>
      <c r="K567" s="2479">
        <f t="shared" si="205"/>
        <v>178585.60000000001</v>
      </c>
      <c r="L567" s="398">
        <f t="shared" si="193"/>
        <v>4500</v>
      </c>
      <c r="M567" s="1095">
        <f t="shared" si="194"/>
        <v>23110</v>
      </c>
      <c r="N567" s="2906">
        <f t="shared" si="195"/>
        <v>7.2736801502924244E-4</v>
      </c>
      <c r="O567" s="2907">
        <f t="shared" si="206"/>
        <v>1.2996576170865178E-5</v>
      </c>
      <c r="P567" s="2908">
        <f t="shared" si="207"/>
        <v>75000</v>
      </c>
      <c r="Q567" s="1095">
        <f t="shared" si="208"/>
        <v>20475</v>
      </c>
      <c r="R567" s="2909">
        <f t="shared" si="209"/>
        <v>95475</v>
      </c>
      <c r="S567" s="398">
        <f t="shared" si="210"/>
        <v>0</v>
      </c>
      <c r="T567" s="1095">
        <f t="shared" si="211"/>
        <v>0</v>
      </c>
      <c r="U567" s="398">
        <f t="shared" si="212"/>
        <v>0</v>
      </c>
      <c r="V567" s="2913">
        <v>0</v>
      </c>
      <c r="W567" s="1095">
        <f t="shared" si="196"/>
        <v>23195.200000000001</v>
      </c>
      <c r="X567" s="1095">
        <f t="shared" si="197"/>
        <v>4500</v>
      </c>
      <c r="Y567" s="2909">
        <f t="shared" si="200"/>
        <v>27695.200000000001</v>
      </c>
      <c r="Z567" s="2913">
        <v>0</v>
      </c>
      <c r="AA567" s="1095">
        <f t="shared" si="198"/>
        <v>12513.2</v>
      </c>
      <c r="AB567" s="1095">
        <f t="shared" si="199"/>
        <v>0</v>
      </c>
      <c r="AC567" s="2909">
        <f t="shared" si="201"/>
        <v>12513.2</v>
      </c>
    </row>
    <row r="568" spans="1:29">
      <c r="A568" s="1780" t="s">
        <v>4642</v>
      </c>
      <c r="B568" s="1780"/>
      <c r="C568" s="2901">
        <v>115</v>
      </c>
      <c r="D568" s="2902">
        <f t="shared" si="202"/>
        <v>3.2861086187485356E-4</v>
      </c>
      <c r="E568" s="1083">
        <v>10350</v>
      </c>
      <c r="F568" s="2952">
        <f t="shared" si="203"/>
        <v>3.6180738835856239E-4</v>
      </c>
      <c r="G568" s="2903">
        <f t="shared" si="191"/>
        <v>10350</v>
      </c>
      <c r="H568" s="2903">
        <f t="shared" si="204"/>
        <v>0</v>
      </c>
      <c r="I568" s="2905">
        <f t="shared" si="192"/>
        <v>6555</v>
      </c>
      <c r="J568" s="1096">
        <v>2005</v>
      </c>
      <c r="K568" s="2479">
        <f t="shared" si="205"/>
        <v>82124.800000000003</v>
      </c>
      <c r="L568" s="398">
        <f t="shared" si="193"/>
        <v>2070</v>
      </c>
      <c r="M568" s="1095">
        <f t="shared" si="194"/>
        <v>10630</v>
      </c>
      <c r="N568" s="2906">
        <f t="shared" si="195"/>
        <v>3.3457040241284498E-4</v>
      </c>
      <c r="O568" s="2907">
        <f t="shared" si="206"/>
        <v>5.9595405379914168E-6</v>
      </c>
      <c r="P568" s="2908">
        <f t="shared" si="207"/>
        <v>34500</v>
      </c>
      <c r="Q568" s="1095">
        <f t="shared" si="208"/>
        <v>9418.5</v>
      </c>
      <c r="R568" s="2909">
        <f t="shared" si="209"/>
        <v>43918.5</v>
      </c>
      <c r="S568" s="398">
        <f t="shared" si="210"/>
        <v>0</v>
      </c>
      <c r="T568" s="1095">
        <f t="shared" si="211"/>
        <v>0</v>
      </c>
      <c r="U568" s="398">
        <f t="shared" si="212"/>
        <v>0</v>
      </c>
      <c r="V568" s="2913">
        <v>0</v>
      </c>
      <c r="W568" s="1095">
        <f t="shared" si="196"/>
        <v>10666.6</v>
      </c>
      <c r="X568" s="1095">
        <f t="shared" si="197"/>
        <v>2070</v>
      </c>
      <c r="Y568" s="2909">
        <f t="shared" si="200"/>
        <v>12736.6</v>
      </c>
      <c r="Z568" s="2913">
        <v>0</v>
      </c>
      <c r="AA568" s="1095">
        <f t="shared" si="198"/>
        <v>5754.35</v>
      </c>
      <c r="AB568" s="1095">
        <f t="shared" si="199"/>
        <v>0</v>
      </c>
      <c r="AC568" s="2909">
        <f t="shared" si="201"/>
        <v>5754.35</v>
      </c>
    </row>
    <row r="569" spans="1:29">
      <c r="A569" s="1780" t="s">
        <v>4643</v>
      </c>
      <c r="B569" s="1780"/>
      <c r="C569" s="2901">
        <v>150</v>
      </c>
      <c r="D569" s="2902">
        <f t="shared" si="202"/>
        <v>4.2862286331502638E-4</v>
      </c>
      <c r="E569" s="1083">
        <v>13500</v>
      </c>
      <c r="F569" s="2952">
        <f t="shared" si="203"/>
        <v>4.7192268046769006E-4</v>
      </c>
      <c r="G569" s="2903">
        <f t="shared" si="191"/>
        <v>13500</v>
      </c>
      <c r="H569" s="2903">
        <f t="shared" si="204"/>
        <v>0</v>
      </c>
      <c r="I569" s="2905">
        <f t="shared" si="192"/>
        <v>8550</v>
      </c>
      <c r="J569" s="1096">
        <v>2616</v>
      </c>
      <c r="K569" s="2479">
        <f t="shared" si="205"/>
        <v>107151.36</v>
      </c>
      <c r="L569" s="398">
        <f t="shared" si="193"/>
        <v>2700</v>
      </c>
      <c r="M569" s="1095">
        <f t="shared" si="194"/>
        <v>13866</v>
      </c>
      <c r="N569" s="2906">
        <f t="shared" si="195"/>
        <v>4.3642080901754547E-4</v>
      </c>
      <c r="O569" s="2907">
        <f t="shared" si="206"/>
        <v>7.797945702519096E-6</v>
      </c>
      <c r="P569" s="2908">
        <f t="shared" si="207"/>
        <v>45000</v>
      </c>
      <c r="Q569" s="1095">
        <f t="shared" si="208"/>
        <v>12285</v>
      </c>
      <c r="R569" s="2909">
        <f t="shared" si="209"/>
        <v>57285</v>
      </c>
      <c r="S569" s="398">
        <f t="shared" si="210"/>
        <v>0</v>
      </c>
      <c r="T569" s="1095">
        <f t="shared" si="211"/>
        <v>0</v>
      </c>
      <c r="U569" s="398">
        <f t="shared" si="212"/>
        <v>0</v>
      </c>
      <c r="V569" s="2913">
        <v>0</v>
      </c>
      <c r="W569" s="1095">
        <f t="shared" si="196"/>
        <v>13917.12</v>
      </c>
      <c r="X569" s="1095">
        <f t="shared" si="197"/>
        <v>2700</v>
      </c>
      <c r="Y569" s="2909">
        <f t="shared" si="200"/>
        <v>16617.120000000003</v>
      </c>
      <c r="Z569" s="2913">
        <v>0</v>
      </c>
      <c r="AA569" s="1095">
        <f t="shared" si="198"/>
        <v>7507.92</v>
      </c>
      <c r="AB569" s="1095">
        <f t="shared" si="199"/>
        <v>0</v>
      </c>
      <c r="AC569" s="2909">
        <f t="shared" si="201"/>
        <v>7507.92</v>
      </c>
    </row>
    <row r="570" spans="1:29">
      <c r="A570" s="1780" t="s">
        <v>4644</v>
      </c>
      <c r="B570" s="1780"/>
      <c r="C570" s="2901">
        <v>245</v>
      </c>
      <c r="D570" s="2902">
        <f t="shared" si="202"/>
        <v>7.0008401008120975E-4</v>
      </c>
      <c r="E570" s="1083">
        <v>22050</v>
      </c>
      <c r="F570" s="2952">
        <f t="shared" si="203"/>
        <v>7.7080704476389374E-4</v>
      </c>
      <c r="G570" s="2903">
        <f t="shared" si="191"/>
        <v>22050</v>
      </c>
      <c r="H570" s="2903">
        <f t="shared" si="204"/>
        <v>0</v>
      </c>
      <c r="I570" s="2905">
        <f t="shared" si="192"/>
        <v>13965</v>
      </c>
      <c r="J570" s="1096">
        <v>4272</v>
      </c>
      <c r="K570" s="2479">
        <f t="shared" si="205"/>
        <v>174981.12</v>
      </c>
      <c r="L570" s="398">
        <f t="shared" si="193"/>
        <v>4410</v>
      </c>
      <c r="M570" s="1095">
        <f t="shared" si="194"/>
        <v>22647</v>
      </c>
      <c r="N570" s="2906">
        <f t="shared" si="195"/>
        <v>7.1279547539451554E-4</v>
      </c>
      <c r="O570" s="2907">
        <f t="shared" si="206"/>
        <v>1.2711465313305784E-5</v>
      </c>
      <c r="P570" s="2908">
        <f t="shared" si="207"/>
        <v>73500</v>
      </c>
      <c r="Q570" s="1095">
        <f t="shared" si="208"/>
        <v>20065.5</v>
      </c>
      <c r="R570" s="2909">
        <f t="shared" si="209"/>
        <v>93565.5</v>
      </c>
      <c r="S570" s="398">
        <f t="shared" si="210"/>
        <v>0</v>
      </c>
      <c r="T570" s="1095">
        <f t="shared" si="211"/>
        <v>0</v>
      </c>
      <c r="U570" s="398">
        <f t="shared" si="212"/>
        <v>0</v>
      </c>
      <c r="V570" s="2913">
        <v>0</v>
      </c>
      <c r="W570" s="1095">
        <f t="shared" si="196"/>
        <v>22727.040000000001</v>
      </c>
      <c r="X570" s="1095">
        <f t="shared" si="197"/>
        <v>4410</v>
      </c>
      <c r="Y570" s="2909">
        <f t="shared" si="200"/>
        <v>27137.040000000001</v>
      </c>
      <c r="Z570" s="2913">
        <v>0</v>
      </c>
      <c r="AA570" s="1095">
        <f t="shared" si="198"/>
        <v>12260.640000000001</v>
      </c>
      <c r="AB570" s="1095">
        <f t="shared" si="199"/>
        <v>0</v>
      </c>
      <c r="AC570" s="2909">
        <f t="shared" si="201"/>
        <v>12260.640000000001</v>
      </c>
    </row>
    <row r="571" spans="1:29">
      <c r="A571" s="1780" t="s">
        <v>4645</v>
      </c>
      <c r="B571" s="1780"/>
      <c r="C571" s="2901">
        <v>320</v>
      </c>
      <c r="D571" s="2902">
        <f t="shared" si="202"/>
        <v>9.1439544173872289E-4</v>
      </c>
      <c r="E571" s="1083">
        <v>28800</v>
      </c>
      <c r="F571" s="2952">
        <f t="shared" si="203"/>
        <v>1.0067683849977389E-3</v>
      </c>
      <c r="G571" s="2903">
        <f t="shared" si="191"/>
        <v>28800</v>
      </c>
      <c r="H571" s="2903">
        <f t="shared" si="204"/>
        <v>0</v>
      </c>
      <c r="I571" s="2905">
        <f t="shared" si="192"/>
        <v>18240</v>
      </c>
      <c r="J571" s="1096">
        <v>2929</v>
      </c>
      <c r="K571" s="2479">
        <f t="shared" si="205"/>
        <v>119971.84</v>
      </c>
      <c r="L571" s="398">
        <f t="shared" si="193"/>
        <v>5760</v>
      </c>
      <c r="M571" s="1095">
        <f t="shared" si="194"/>
        <v>26929</v>
      </c>
      <c r="N571" s="2906">
        <f t="shared" si="195"/>
        <v>8.475678613899814E-4</v>
      </c>
      <c r="O571" s="2907">
        <f t="shared" si="206"/>
        <v>-6.6827580348741492E-5</v>
      </c>
      <c r="P571" s="2908">
        <f t="shared" si="207"/>
        <v>96000</v>
      </c>
      <c r="Q571" s="1095">
        <f t="shared" si="208"/>
        <v>26208</v>
      </c>
      <c r="R571" s="2909">
        <f t="shared" si="209"/>
        <v>122208</v>
      </c>
      <c r="S571" s="398">
        <f t="shared" si="210"/>
        <v>0</v>
      </c>
      <c r="T571" s="1095">
        <f t="shared" si="211"/>
        <v>0</v>
      </c>
      <c r="U571" s="398">
        <f t="shared" si="212"/>
        <v>0</v>
      </c>
      <c r="V571" s="2913">
        <v>0</v>
      </c>
      <c r="W571" s="1095">
        <f t="shared" si="196"/>
        <v>15582.28</v>
      </c>
      <c r="X571" s="1095">
        <f t="shared" si="197"/>
        <v>5760</v>
      </c>
      <c r="Y571" s="2909">
        <f t="shared" si="200"/>
        <v>21342.28</v>
      </c>
      <c r="Z571" s="2913">
        <v>0</v>
      </c>
      <c r="AA571" s="1095">
        <f t="shared" si="198"/>
        <v>8406.23</v>
      </c>
      <c r="AB571" s="1095">
        <f t="shared" si="199"/>
        <v>0</v>
      </c>
      <c r="AC571" s="2909">
        <f t="shared" si="201"/>
        <v>8406.23</v>
      </c>
    </row>
    <row r="572" spans="1:29">
      <c r="A572" s="1780" t="s">
        <v>4646</v>
      </c>
      <c r="B572" s="1780"/>
      <c r="C572" s="2901">
        <v>85</v>
      </c>
      <c r="D572" s="2902">
        <f t="shared" si="202"/>
        <v>2.4288628921184828E-4</v>
      </c>
      <c r="E572" s="1083">
        <v>7650</v>
      </c>
      <c r="F572" s="2952">
        <f t="shared" si="203"/>
        <v>2.6742285226502436E-4</v>
      </c>
      <c r="G572" s="2903">
        <f t="shared" si="191"/>
        <v>7650</v>
      </c>
      <c r="H572" s="2903">
        <f t="shared" si="204"/>
        <v>0</v>
      </c>
      <c r="I572" s="2905">
        <f t="shared" si="192"/>
        <v>4845</v>
      </c>
      <c r="J572" s="1096">
        <v>0</v>
      </c>
      <c r="K572" s="2479">
        <f t="shared" si="205"/>
        <v>0</v>
      </c>
      <c r="L572" s="398">
        <f t="shared" si="193"/>
        <v>1530</v>
      </c>
      <c r="M572" s="1095">
        <f t="shared" si="194"/>
        <v>6375</v>
      </c>
      <c r="N572" s="2906">
        <f t="shared" si="195"/>
        <v>2.0064781894467418E-4</v>
      </c>
      <c r="O572" s="2907">
        <f t="shared" si="206"/>
        <v>-4.2238470267174104E-5</v>
      </c>
      <c r="P572" s="2908">
        <f t="shared" si="207"/>
        <v>25500</v>
      </c>
      <c r="Q572" s="1095">
        <f t="shared" si="208"/>
        <v>6961.5</v>
      </c>
      <c r="R572" s="2909">
        <f t="shared" si="209"/>
        <v>32461.5</v>
      </c>
      <c r="S572" s="398">
        <f t="shared" si="210"/>
        <v>0</v>
      </c>
      <c r="T572" s="1095">
        <f t="shared" si="211"/>
        <v>0</v>
      </c>
      <c r="U572" s="398">
        <f t="shared" si="212"/>
        <v>0</v>
      </c>
      <c r="V572" s="2913">
        <v>0</v>
      </c>
      <c r="W572" s="1095">
        <f t="shared" si="196"/>
        <v>0</v>
      </c>
      <c r="X572" s="1095">
        <f t="shared" si="197"/>
        <v>1530</v>
      </c>
      <c r="Y572" s="2909">
        <f t="shared" si="200"/>
        <v>1530</v>
      </c>
      <c r="Z572" s="2913">
        <v>0</v>
      </c>
      <c r="AA572" s="1095">
        <f t="shared" si="198"/>
        <v>0</v>
      </c>
      <c r="AB572" s="1095">
        <f t="shared" si="199"/>
        <v>0</v>
      </c>
      <c r="AC572" s="2909">
        <f t="shared" si="201"/>
        <v>0</v>
      </c>
    </row>
    <row r="573" spans="1:29">
      <c r="A573" s="1780" t="s">
        <v>4647</v>
      </c>
      <c r="B573" s="1780"/>
      <c r="C573" s="2901">
        <v>115</v>
      </c>
      <c r="D573" s="2902">
        <f t="shared" si="202"/>
        <v>3.2861086187485356E-4</v>
      </c>
      <c r="E573" s="1083">
        <v>10350</v>
      </c>
      <c r="F573" s="2952">
        <f t="shared" si="203"/>
        <v>3.6180738835856239E-4</v>
      </c>
      <c r="G573" s="2903">
        <f t="shared" si="191"/>
        <v>10350</v>
      </c>
      <c r="H573" s="2903">
        <f t="shared" si="204"/>
        <v>0</v>
      </c>
      <c r="I573" s="2905">
        <f t="shared" si="192"/>
        <v>6555</v>
      </c>
      <c r="J573" s="1096">
        <v>2005</v>
      </c>
      <c r="K573" s="2479">
        <f t="shared" si="205"/>
        <v>82124.800000000003</v>
      </c>
      <c r="L573" s="398">
        <f t="shared" si="193"/>
        <v>2070</v>
      </c>
      <c r="M573" s="1095">
        <f t="shared" si="194"/>
        <v>10630</v>
      </c>
      <c r="N573" s="2906">
        <f t="shared" si="195"/>
        <v>3.3457040241284498E-4</v>
      </c>
      <c r="O573" s="2907">
        <f t="shared" si="206"/>
        <v>5.9595405379914168E-6</v>
      </c>
      <c r="P573" s="2908">
        <f t="shared" si="207"/>
        <v>34500</v>
      </c>
      <c r="Q573" s="1095">
        <f t="shared" si="208"/>
        <v>9418.5</v>
      </c>
      <c r="R573" s="2909">
        <f t="shared" si="209"/>
        <v>43918.5</v>
      </c>
      <c r="S573" s="398">
        <f t="shared" si="210"/>
        <v>0</v>
      </c>
      <c r="T573" s="1095">
        <f t="shared" si="211"/>
        <v>0</v>
      </c>
      <c r="U573" s="398">
        <f t="shared" si="212"/>
        <v>0</v>
      </c>
      <c r="V573" s="2913">
        <v>0</v>
      </c>
      <c r="W573" s="1095">
        <f t="shared" si="196"/>
        <v>10666.6</v>
      </c>
      <c r="X573" s="1095">
        <f t="shared" si="197"/>
        <v>2070</v>
      </c>
      <c r="Y573" s="2909">
        <f t="shared" si="200"/>
        <v>12736.6</v>
      </c>
      <c r="Z573" s="2913">
        <v>0</v>
      </c>
      <c r="AA573" s="1095">
        <f t="shared" si="198"/>
        <v>5754.35</v>
      </c>
      <c r="AB573" s="1095">
        <f t="shared" si="199"/>
        <v>0</v>
      </c>
      <c r="AC573" s="2909">
        <f t="shared" si="201"/>
        <v>5754.35</v>
      </c>
    </row>
    <row r="574" spans="1:29">
      <c r="A574" s="1780" t="s">
        <v>4648</v>
      </c>
      <c r="B574" s="1780"/>
      <c r="C574" s="2901">
        <v>280</v>
      </c>
      <c r="D574" s="2902">
        <f t="shared" si="202"/>
        <v>8.0009601152138251E-4</v>
      </c>
      <c r="E574" s="1083">
        <v>25200</v>
      </c>
      <c r="F574" s="2952">
        <f t="shared" si="203"/>
        <v>8.8092233687302147E-4</v>
      </c>
      <c r="G574" s="2903">
        <f t="shared" si="191"/>
        <v>25200</v>
      </c>
      <c r="H574" s="2903">
        <f t="shared" si="204"/>
        <v>0</v>
      </c>
      <c r="I574" s="2905">
        <f t="shared" si="192"/>
        <v>15960</v>
      </c>
      <c r="J574" s="1096">
        <v>0</v>
      </c>
      <c r="K574" s="2479">
        <f t="shared" si="205"/>
        <v>0</v>
      </c>
      <c r="L574" s="398">
        <f t="shared" si="193"/>
        <v>5040</v>
      </c>
      <c r="M574" s="1095">
        <f t="shared" si="194"/>
        <v>21000</v>
      </c>
      <c r="N574" s="2906">
        <f t="shared" si="195"/>
        <v>6.6095752122951495E-4</v>
      </c>
      <c r="O574" s="2907">
        <f t="shared" si="206"/>
        <v>-1.3913849029186757E-4</v>
      </c>
      <c r="P574" s="2908">
        <f t="shared" si="207"/>
        <v>84000</v>
      </c>
      <c r="Q574" s="1095">
        <f t="shared" si="208"/>
        <v>22932</v>
      </c>
      <c r="R574" s="2909">
        <f t="shared" si="209"/>
        <v>106932</v>
      </c>
      <c r="S574" s="398">
        <f t="shared" si="210"/>
        <v>0</v>
      </c>
      <c r="T574" s="1095">
        <f t="shared" si="211"/>
        <v>0</v>
      </c>
      <c r="U574" s="398">
        <f t="shared" si="212"/>
        <v>0</v>
      </c>
      <c r="V574" s="2913">
        <v>0</v>
      </c>
      <c r="W574" s="1095">
        <f t="shared" si="196"/>
        <v>0</v>
      </c>
      <c r="X574" s="1095">
        <f t="shared" si="197"/>
        <v>5040</v>
      </c>
      <c r="Y574" s="2909">
        <f t="shared" si="200"/>
        <v>5040</v>
      </c>
      <c r="Z574" s="2913">
        <v>0</v>
      </c>
      <c r="AA574" s="1095">
        <f t="shared" si="198"/>
        <v>0</v>
      </c>
      <c r="AB574" s="1095">
        <f t="shared" si="199"/>
        <v>0</v>
      </c>
      <c r="AC574" s="2909">
        <f t="shared" si="201"/>
        <v>0</v>
      </c>
    </row>
    <row r="575" spans="1:29">
      <c r="A575" s="1780" t="s">
        <v>4649</v>
      </c>
      <c r="B575" s="1780"/>
      <c r="C575" s="2901">
        <v>90</v>
      </c>
      <c r="D575" s="2902">
        <f t="shared" si="202"/>
        <v>2.5717371798901582E-4</v>
      </c>
      <c r="E575" s="1083">
        <v>8100</v>
      </c>
      <c r="F575" s="2952">
        <f t="shared" si="203"/>
        <v>2.8315360828061405E-4</v>
      </c>
      <c r="G575" s="2903">
        <f t="shared" si="191"/>
        <v>8100</v>
      </c>
      <c r="H575" s="2903">
        <f t="shared" si="204"/>
        <v>0</v>
      </c>
      <c r="I575" s="2905">
        <f t="shared" si="192"/>
        <v>5130</v>
      </c>
      <c r="J575" s="1096">
        <v>1569</v>
      </c>
      <c r="K575" s="2479">
        <f t="shared" si="205"/>
        <v>64266.239999999998</v>
      </c>
      <c r="L575" s="398">
        <f t="shared" si="193"/>
        <v>1620</v>
      </c>
      <c r="M575" s="1095">
        <f t="shared" si="194"/>
        <v>8319</v>
      </c>
      <c r="N575" s="2906">
        <f t="shared" si="195"/>
        <v>2.6183360090992073E-4</v>
      </c>
      <c r="O575" s="2907">
        <f t="shared" si="206"/>
        <v>4.6598829209049098E-6</v>
      </c>
      <c r="P575" s="2908">
        <f t="shared" si="207"/>
        <v>27000</v>
      </c>
      <c r="Q575" s="1095">
        <f t="shared" si="208"/>
        <v>7371</v>
      </c>
      <c r="R575" s="2909">
        <f t="shared" si="209"/>
        <v>34371</v>
      </c>
      <c r="S575" s="398">
        <f t="shared" si="210"/>
        <v>0</v>
      </c>
      <c r="T575" s="1095">
        <f t="shared" si="211"/>
        <v>0</v>
      </c>
      <c r="U575" s="398">
        <f t="shared" si="212"/>
        <v>0</v>
      </c>
      <c r="V575" s="2913">
        <v>0</v>
      </c>
      <c r="W575" s="1095">
        <f t="shared" si="196"/>
        <v>8347.08</v>
      </c>
      <c r="X575" s="1095">
        <f t="shared" si="197"/>
        <v>1620</v>
      </c>
      <c r="Y575" s="2909">
        <f t="shared" si="200"/>
        <v>9967.08</v>
      </c>
      <c r="Z575" s="2913">
        <v>0</v>
      </c>
      <c r="AA575" s="1095">
        <f t="shared" si="198"/>
        <v>4503.03</v>
      </c>
      <c r="AB575" s="1095">
        <f t="shared" si="199"/>
        <v>0</v>
      </c>
      <c r="AC575" s="2909">
        <f t="shared" si="201"/>
        <v>4503.03</v>
      </c>
    </row>
    <row r="576" spans="1:29">
      <c r="A576" s="1780" t="s">
        <v>4650</v>
      </c>
      <c r="B576" s="1780"/>
      <c r="C576" s="2901">
        <v>245</v>
      </c>
      <c r="D576" s="2902">
        <f t="shared" si="202"/>
        <v>7.0008401008120975E-4</v>
      </c>
      <c r="E576" s="1083">
        <v>22050</v>
      </c>
      <c r="F576" s="2952">
        <f t="shared" si="203"/>
        <v>7.7080704476389374E-4</v>
      </c>
      <c r="G576" s="2903">
        <f t="shared" si="191"/>
        <v>22050</v>
      </c>
      <c r="H576" s="2903">
        <f t="shared" si="204"/>
        <v>0</v>
      </c>
      <c r="I576" s="2905">
        <f t="shared" si="192"/>
        <v>13965</v>
      </c>
      <c r="J576" s="1096">
        <v>5766</v>
      </c>
      <c r="K576" s="2479">
        <f t="shared" si="205"/>
        <v>236175.36000000002</v>
      </c>
      <c r="L576" s="398">
        <f t="shared" si="193"/>
        <v>4410</v>
      </c>
      <c r="M576" s="1095">
        <f t="shared" si="194"/>
        <v>24141</v>
      </c>
      <c r="N576" s="2906">
        <f t="shared" si="195"/>
        <v>7.5981788190484384E-4</v>
      </c>
      <c r="O576" s="2907">
        <f t="shared" si="206"/>
        <v>5.9733871823634084E-5</v>
      </c>
      <c r="P576" s="2908">
        <f t="shared" si="207"/>
        <v>73500</v>
      </c>
      <c r="Q576" s="1095">
        <f t="shared" si="208"/>
        <v>20065.5</v>
      </c>
      <c r="R576" s="2909">
        <f t="shared" si="209"/>
        <v>93565.5</v>
      </c>
      <c r="S576" s="398">
        <f t="shared" si="210"/>
        <v>0</v>
      </c>
      <c r="T576" s="1095">
        <f t="shared" si="211"/>
        <v>0</v>
      </c>
      <c r="U576" s="398">
        <f t="shared" si="212"/>
        <v>0</v>
      </c>
      <c r="V576" s="2913">
        <v>0</v>
      </c>
      <c r="W576" s="1095">
        <f t="shared" si="196"/>
        <v>30675.120000000003</v>
      </c>
      <c r="X576" s="1095">
        <f t="shared" si="197"/>
        <v>4410</v>
      </c>
      <c r="Y576" s="2909">
        <f t="shared" si="200"/>
        <v>35085.120000000003</v>
      </c>
      <c r="Z576" s="2913">
        <v>0</v>
      </c>
      <c r="AA576" s="1095">
        <f t="shared" si="198"/>
        <v>16548.420000000002</v>
      </c>
      <c r="AB576" s="1095">
        <f t="shared" si="199"/>
        <v>0</v>
      </c>
      <c r="AC576" s="2909">
        <f t="shared" si="201"/>
        <v>16548.420000000002</v>
      </c>
    </row>
    <row r="577" spans="1:29">
      <c r="A577" s="1780" t="s">
        <v>4651</v>
      </c>
      <c r="B577" s="1780"/>
      <c r="C577" s="2901">
        <v>225</v>
      </c>
      <c r="D577" s="2902">
        <f t="shared" si="202"/>
        <v>6.4293429497253951E-4</v>
      </c>
      <c r="E577" s="1083">
        <v>20250</v>
      </c>
      <c r="F577" s="2952">
        <f t="shared" si="203"/>
        <v>7.0788402070153509E-4</v>
      </c>
      <c r="G577" s="2903">
        <f t="shared" si="191"/>
        <v>20250</v>
      </c>
      <c r="H577" s="2903">
        <f t="shared" si="204"/>
        <v>0</v>
      </c>
      <c r="I577" s="2905">
        <f t="shared" si="192"/>
        <v>12825</v>
      </c>
      <c r="J577" s="1096">
        <v>3924</v>
      </c>
      <c r="K577" s="2479">
        <f t="shared" si="205"/>
        <v>160727.04000000001</v>
      </c>
      <c r="L577" s="398">
        <f t="shared" si="193"/>
        <v>4050</v>
      </c>
      <c r="M577" s="1095">
        <f t="shared" si="194"/>
        <v>20799</v>
      </c>
      <c r="N577" s="2906">
        <f t="shared" si="195"/>
        <v>6.5463121352631818E-4</v>
      </c>
      <c r="O577" s="2907">
        <f t="shared" si="206"/>
        <v>1.1696918553778671E-5</v>
      </c>
      <c r="P577" s="2908">
        <f t="shared" si="207"/>
        <v>67500</v>
      </c>
      <c r="Q577" s="1095">
        <f t="shared" si="208"/>
        <v>18427.5</v>
      </c>
      <c r="R577" s="2909">
        <f t="shared" si="209"/>
        <v>85927.5</v>
      </c>
      <c r="S577" s="398">
        <f t="shared" si="210"/>
        <v>0</v>
      </c>
      <c r="T577" s="1095">
        <f t="shared" si="211"/>
        <v>0</v>
      </c>
      <c r="U577" s="398">
        <f t="shared" si="212"/>
        <v>0</v>
      </c>
      <c r="V577" s="2913">
        <v>0</v>
      </c>
      <c r="W577" s="1095">
        <f t="shared" si="196"/>
        <v>20875.68</v>
      </c>
      <c r="X577" s="1095">
        <f t="shared" si="197"/>
        <v>4050</v>
      </c>
      <c r="Y577" s="2909">
        <f t="shared" si="200"/>
        <v>24925.68</v>
      </c>
      <c r="Z577" s="2913">
        <v>0</v>
      </c>
      <c r="AA577" s="1095">
        <f t="shared" si="198"/>
        <v>11261.880000000001</v>
      </c>
      <c r="AB577" s="1095">
        <f t="shared" si="199"/>
        <v>0</v>
      </c>
      <c r="AC577" s="2909">
        <f t="shared" si="201"/>
        <v>11261.880000000001</v>
      </c>
    </row>
    <row r="578" spans="1:29">
      <c r="A578" s="1780" t="s">
        <v>4652</v>
      </c>
      <c r="B578" s="1780"/>
      <c r="C578" s="2901">
        <v>70</v>
      </c>
      <c r="D578" s="2902">
        <f t="shared" si="202"/>
        <v>2.0002400288034563E-4</v>
      </c>
      <c r="E578" s="1083">
        <v>6300</v>
      </c>
      <c r="F578" s="2952">
        <f t="shared" si="203"/>
        <v>2.2023058421825537E-4</v>
      </c>
      <c r="G578" s="2903">
        <f t="shared" ref="G578:G583" si="213">C578*90</f>
        <v>6300</v>
      </c>
      <c r="H578" s="2903">
        <f t="shared" si="204"/>
        <v>0</v>
      </c>
      <c r="I578" s="2905">
        <f t="shared" ref="I578:I583" si="214">C578*57</f>
        <v>3990</v>
      </c>
      <c r="J578" s="1096">
        <v>1646</v>
      </c>
      <c r="K578" s="2479">
        <f t="shared" si="205"/>
        <v>67420.160000000003</v>
      </c>
      <c r="L578" s="398">
        <f t="shared" ref="L578:L583" si="215">E578/5</f>
        <v>1260</v>
      </c>
      <c r="M578" s="1095">
        <f t="shared" ref="M578:M583" si="216">I578+J578+L578</f>
        <v>6896</v>
      </c>
      <c r="N578" s="2906">
        <f t="shared" ref="N578:N583" si="217">M578/$M$612</f>
        <v>2.1704586030470168E-4</v>
      </c>
      <c r="O578" s="2907">
        <f t="shared" si="206"/>
        <v>1.7021857424356056E-5</v>
      </c>
      <c r="P578" s="2908">
        <f t="shared" si="207"/>
        <v>21000</v>
      </c>
      <c r="Q578" s="1095">
        <f t="shared" si="208"/>
        <v>5733</v>
      </c>
      <c r="R578" s="2909">
        <f t="shared" si="209"/>
        <v>26733</v>
      </c>
      <c r="S578" s="398">
        <f t="shared" si="210"/>
        <v>0</v>
      </c>
      <c r="T578" s="1095">
        <f t="shared" si="211"/>
        <v>0</v>
      </c>
      <c r="U578" s="398">
        <f t="shared" si="212"/>
        <v>0</v>
      </c>
      <c r="V578" s="2913">
        <v>0</v>
      </c>
      <c r="W578" s="1095">
        <f t="shared" ref="W578:W583" si="218">J578*5.32</f>
        <v>8756.7200000000012</v>
      </c>
      <c r="X578" s="1095">
        <f t="shared" ref="X578:X583" si="219">L578*1</f>
        <v>1260</v>
      </c>
      <c r="Y578" s="2909">
        <f t="shared" si="200"/>
        <v>10016.720000000001</v>
      </c>
      <c r="Z578" s="2913">
        <v>0</v>
      </c>
      <c r="AA578" s="1095">
        <f t="shared" ref="AA578:AA583" si="220">J578*2.87</f>
        <v>4724.0200000000004</v>
      </c>
      <c r="AB578" s="1095">
        <f t="shared" ref="AB578:AB583" si="221">L578*0</f>
        <v>0</v>
      </c>
      <c r="AC578" s="2909">
        <f t="shared" si="201"/>
        <v>4724.0200000000004</v>
      </c>
    </row>
    <row r="579" spans="1:29">
      <c r="A579" s="1780" t="s">
        <v>4653</v>
      </c>
      <c r="B579" s="1780"/>
      <c r="C579" s="2901">
        <v>250</v>
      </c>
      <c r="D579" s="2902">
        <f t="shared" si="202"/>
        <v>7.1437143885837726E-4</v>
      </c>
      <c r="E579" s="1083">
        <v>22500</v>
      </c>
      <c r="F579" s="2952">
        <f t="shared" si="203"/>
        <v>7.8653780077948343E-4</v>
      </c>
      <c r="G579" s="2903">
        <f t="shared" si="213"/>
        <v>22500</v>
      </c>
      <c r="H579" s="2903">
        <f t="shared" si="204"/>
        <v>0</v>
      </c>
      <c r="I579" s="2905">
        <f t="shared" si="214"/>
        <v>14250</v>
      </c>
      <c r="J579" s="1096">
        <v>5885</v>
      </c>
      <c r="K579" s="2479">
        <f t="shared" si="205"/>
        <v>241049.60000000001</v>
      </c>
      <c r="L579" s="398">
        <f t="shared" si="215"/>
        <v>4500</v>
      </c>
      <c r="M579" s="1095">
        <f t="shared" si="216"/>
        <v>24635</v>
      </c>
      <c r="N579" s="2906">
        <f t="shared" si="217"/>
        <v>7.7536612073757628E-4</v>
      </c>
      <c r="O579" s="2907">
        <f t="shared" si="206"/>
        <v>6.0994681879199025E-5</v>
      </c>
      <c r="P579" s="2908">
        <f t="shared" si="207"/>
        <v>75000</v>
      </c>
      <c r="Q579" s="1095">
        <f t="shared" si="208"/>
        <v>20475</v>
      </c>
      <c r="R579" s="2909">
        <f t="shared" si="209"/>
        <v>95475</v>
      </c>
      <c r="S579" s="398">
        <f t="shared" si="210"/>
        <v>0</v>
      </c>
      <c r="T579" s="1095">
        <f t="shared" si="211"/>
        <v>0</v>
      </c>
      <c r="U579" s="398">
        <f t="shared" si="212"/>
        <v>0</v>
      </c>
      <c r="V579" s="2913">
        <v>0</v>
      </c>
      <c r="W579" s="1095">
        <f t="shared" si="218"/>
        <v>31308.2</v>
      </c>
      <c r="X579" s="1095">
        <f t="shared" si="219"/>
        <v>4500</v>
      </c>
      <c r="Y579" s="2909">
        <f>SUM(V579:X579)</f>
        <v>35808.199999999997</v>
      </c>
      <c r="Z579" s="2913">
        <v>0</v>
      </c>
      <c r="AA579" s="1095">
        <f t="shared" si="220"/>
        <v>16889.95</v>
      </c>
      <c r="AB579" s="1095">
        <f t="shared" si="221"/>
        <v>0</v>
      </c>
      <c r="AC579" s="2909">
        <f>SUM(Z579:AB579)</f>
        <v>16889.95</v>
      </c>
    </row>
    <row r="580" spans="1:29">
      <c r="A580" s="1780" t="s">
        <v>4654</v>
      </c>
      <c r="B580" s="1780"/>
      <c r="C580" s="2901">
        <v>380</v>
      </c>
      <c r="D580" s="2902">
        <f t="shared" si="202"/>
        <v>1.0858445870647335E-3</v>
      </c>
      <c r="E580" s="1083">
        <v>34200</v>
      </c>
      <c r="F580" s="2952">
        <f t="shared" si="203"/>
        <v>1.1955374571848147E-3</v>
      </c>
      <c r="G580" s="2903">
        <f t="shared" si="213"/>
        <v>34200</v>
      </c>
      <c r="H580" s="2903">
        <f t="shared" si="204"/>
        <v>0</v>
      </c>
      <c r="I580" s="2905">
        <f t="shared" si="214"/>
        <v>21660</v>
      </c>
      <c r="J580" s="1096">
        <v>8944</v>
      </c>
      <c r="K580" s="2479">
        <f t="shared" si="205"/>
        <v>366346.23999999999</v>
      </c>
      <c r="L580" s="398">
        <f t="shared" si="215"/>
        <v>6840</v>
      </c>
      <c r="M580" s="1095">
        <f t="shared" si="216"/>
        <v>37444</v>
      </c>
      <c r="N580" s="2906">
        <f t="shared" si="217"/>
        <v>1.1785187345199027E-3</v>
      </c>
      <c r="O580" s="2907">
        <f t="shared" si="206"/>
        <v>9.2674147455169224E-5</v>
      </c>
      <c r="P580" s="2908">
        <f t="shared" si="207"/>
        <v>114000</v>
      </c>
      <c r="Q580" s="1095">
        <f t="shared" si="208"/>
        <v>31122</v>
      </c>
      <c r="R580" s="2909">
        <f t="shared" si="209"/>
        <v>145122</v>
      </c>
      <c r="S580" s="398">
        <f t="shared" si="210"/>
        <v>0</v>
      </c>
      <c r="T580" s="1095">
        <f t="shared" si="211"/>
        <v>0</v>
      </c>
      <c r="U580" s="398">
        <f t="shared" si="212"/>
        <v>0</v>
      </c>
      <c r="V580" s="2913">
        <v>0</v>
      </c>
      <c r="W580" s="1095">
        <f t="shared" si="218"/>
        <v>47582.080000000002</v>
      </c>
      <c r="X580" s="1095">
        <f t="shared" si="219"/>
        <v>6840</v>
      </c>
      <c r="Y580" s="2909">
        <f>SUM(V580:X580)</f>
        <v>54422.080000000002</v>
      </c>
      <c r="Z580" s="2913">
        <v>0</v>
      </c>
      <c r="AA580" s="1095">
        <f t="shared" si="220"/>
        <v>25669.280000000002</v>
      </c>
      <c r="AB580" s="1095">
        <f t="shared" si="221"/>
        <v>0</v>
      </c>
      <c r="AC580" s="2909">
        <f>SUM(Z580:AB580)</f>
        <v>25669.280000000002</v>
      </c>
    </row>
    <row r="581" spans="1:29">
      <c r="A581" s="1780" t="s">
        <v>4655</v>
      </c>
      <c r="B581" s="1780"/>
      <c r="C581" s="2901">
        <v>160</v>
      </c>
      <c r="D581" s="2902">
        <f t="shared" si="202"/>
        <v>4.5719772086936144E-4</v>
      </c>
      <c r="E581" s="1083">
        <v>14400</v>
      </c>
      <c r="F581" s="2952">
        <f t="shared" si="203"/>
        <v>5.0338419249886944E-4</v>
      </c>
      <c r="G581" s="2903">
        <f t="shared" si="213"/>
        <v>14400</v>
      </c>
      <c r="H581" s="2903">
        <f t="shared" si="204"/>
        <v>0</v>
      </c>
      <c r="I581" s="2905">
        <f t="shared" si="214"/>
        <v>9120</v>
      </c>
      <c r="J581" s="1096">
        <v>2790</v>
      </c>
      <c r="K581" s="2479">
        <f t="shared" si="205"/>
        <v>114278.40000000001</v>
      </c>
      <c r="L581" s="398">
        <f t="shared" si="215"/>
        <v>2880</v>
      </c>
      <c r="M581" s="1095">
        <f t="shared" si="216"/>
        <v>14790</v>
      </c>
      <c r="N581" s="2906">
        <f t="shared" si="217"/>
        <v>4.655029399516441E-4</v>
      </c>
      <c r="O581" s="2907">
        <f t="shared" si="206"/>
        <v>8.3052190822826524E-6</v>
      </c>
      <c r="P581" s="2908">
        <f t="shared" si="207"/>
        <v>48000</v>
      </c>
      <c r="Q581" s="1095">
        <f t="shared" si="208"/>
        <v>13104</v>
      </c>
      <c r="R581" s="2909">
        <f t="shared" si="209"/>
        <v>61104</v>
      </c>
      <c r="S581" s="398">
        <f t="shared" si="210"/>
        <v>0</v>
      </c>
      <c r="T581" s="1095">
        <f t="shared" si="211"/>
        <v>0</v>
      </c>
      <c r="U581" s="398">
        <f t="shared" si="212"/>
        <v>0</v>
      </c>
      <c r="V581" s="2913">
        <v>0</v>
      </c>
      <c r="W581" s="1095">
        <f t="shared" si="218"/>
        <v>14842.800000000001</v>
      </c>
      <c r="X581" s="1095">
        <f t="shared" si="219"/>
        <v>2880</v>
      </c>
      <c r="Y581" s="2909">
        <f>SUM(V581:X581)</f>
        <v>17722.800000000003</v>
      </c>
      <c r="Z581" s="2913">
        <v>0</v>
      </c>
      <c r="AA581" s="1095">
        <f t="shared" si="220"/>
        <v>8007.3</v>
      </c>
      <c r="AB581" s="1095">
        <f t="shared" si="221"/>
        <v>0</v>
      </c>
      <c r="AC581" s="2909">
        <f>SUM(Z581:AB581)</f>
        <v>8007.3</v>
      </c>
    </row>
    <row r="582" spans="1:29">
      <c r="A582" s="1780" t="s">
        <v>4656</v>
      </c>
      <c r="B582" s="1780"/>
      <c r="C582" s="2901">
        <v>45</v>
      </c>
      <c r="D582" s="2902">
        <f t="shared" ref="D582:D610" si="222">C582/349958</f>
        <v>1.2858685899450791E-4</v>
      </c>
      <c r="E582" s="1083">
        <v>4050</v>
      </c>
      <c r="F582" s="2952">
        <f t="shared" ref="F582:F610" si="223">E582/$E$612</f>
        <v>1.4157680414030702E-4</v>
      </c>
      <c r="G582" s="2903">
        <f t="shared" si="213"/>
        <v>4050</v>
      </c>
      <c r="H582" s="2903">
        <f t="shared" ref="H582:H610" si="224">E582-G582</f>
        <v>0</v>
      </c>
      <c r="I582" s="2905">
        <f t="shared" si="214"/>
        <v>2565</v>
      </c>
      <c r="J582" s="1096">
        <v>784</v>
      </c>
      <c r="K582" s="2479">
        <f t="shared" si="205"/>
        <v>32112.639999999999</v>
      </c>
      <c r="L582" s="398">
        <f t="shared" si="215"/>
        <v>810</v>
      </c>
      <c r="M582" s="1095">
        <f t="shared" si="216"/>
        <v>4159</v>
      </c>
      <c r="N582" s="2906">
        <f t="shared" si="217"/>
        <v>1.3090106337112155E-4</v>
      </c>
      <c r="O582" s="2907">
        <f t="shared" si="206"/>
        <v>2.314204376613647E-6</v>
      </c>
      <c r="P582" s="2908">
        <f t="shared" si="207"/>
        <v>13500</v>
      </c>
      <c r="Q582" s="1095">
        <f t="shared" si="208"/>
        <v>3685.5</v>
      </c>
      <c r="R582" s="2909">
        <f t="shared" si="209"/>
        <v>17185.5</v>
      </c>
      <c r="S582" s="398">
        <f t="shared" si="210"/>
        <v>0</v>
      </c>
      <c r="T582" s="1095">
        <f t="shared" si="211"/>
        <v>0</v>
      </c>
      <c r="U582" s="398">
        <f t="shared" si="212"/>
        <v>0</v>
      </c>
      <c r="V582" s="2913">
        <v>0</v>
      </c>
      <c r="W582" s="1095">
        <f t="shared" si="218"/>
        <v>4170.88</v>
      </c>
      <c r="X582" s="1095">
        <f t="shared" si="219"/>
        <v>810</v>
      </c>
      <c r="Y582" s="2909">
        <f>SUM(V582:X582)</f>
        <v>4980.88</v>
      </c>
      <c r="Z582" s="2913">
        <v>0</v>
      </c>
      <c r="AA582" s="1095">
        <f t="shared" si="220"/>
        <v>2250.08</v>
      </c>
      <c r="AB582" s="1095">
        <f t="shared" si="221"/>
        <v>0</v>
      </c>
      <c r="AC582" s="2909">
        <f>SUM(Z582:AB582)</f>
        <v>2250.08</v>
      </c>
    </row>
    <row r="583" spans="1:29" ht="13.5" thickBot="1">
      <c r="A583" s="1780" t="s">
        <v>4657</v>
      </c>
      <c r="B583" s="1780"/>
      <c r="C583" s="2901">
        <v>185</v>
      </c>
      <c r="D583" s="2902">
        <f t="shared" si="222"/>
        <v>5.2863486475519925E-4</v>
      </c>
      <c r="E583" s="1083">
        <v>16650</v>
      </c>
      <c r="F583" s="2952">
        <f t="shared" si="223"/>
        <v>5.8203797257681779E-4</v>
      </c>
      <c r="G583" s="2903">
        <f t="shared" si="213"/>
        <v>16650</v>
      </c>
      <c r="H583" s="2903">
        <f t="shared" si="224"/>
        <v>0</v>
      </c>
      <c r="I583" s="2905">
        <f t="shared" si="214"/>
        <v>10545</v>
      </c>
      <c r="J583" s="1096">
        <v>4354</v>
      </c>
      <c r="K583" s="2479">
        <f t="shared" ref="K583:K609" si="225">J583*40.96</f>
        <v>178339.84</v>
      </c>
      <c r="L583" s="398">
        <f t="shared" si="215"/>
        <v>3330</v>
      </c>
      <c r="M583" s="1095">
        <f t="shared" si="216"/>
        <v>18229</v>
      </c>
      <c r="N583" s="2906">
        <f t="shared" si="217"/>
        <v>5.7374260259489653E-4</v>
      </c>
      <c r="O583" s="2907">
        <f t="shared" ref="O583:O612" si="226">N583-D583</f>
        <v>4.5107737839697286E-5</v>
      </c>
      <c r="P583" s="2908">
        <f t="shared" ref="P583:P609" si="227">C583*300</f>
        <v>55500</v>
      </c>
      <c r="Q583" s="1095">
        <f t="shared" ref="Q583:Q610" si="228">E583*0.91</f>
        <v>15151.5</v>
      </c>
      <c r="R583" s="2909">
        <f t="shared" ref="R583:R610" si="229">SUM(P583:Q583)</f>
        <v>70651.5</v>
      </c>
      <c r="S583" s="398">
        <f t="shared" ref="S583:S610" si="230">C583*0</f>
        <v>0</v>
      </c>
      <c r="T583" s="1095">
        <f t="shared" ref="T583:T610" si="231">E583*0</f>
        <v>0</v>
      </c>
      <c r="U583" s="398">
        <f t="shared" ref="U583:U610" si="232">SUM(S583:T583)</f>
        <v>0</v>
      </c>
      <c r="V583" s="2913">
        <v>0</v>
      </c>
      <c r="W583" s="1095">
        <f t="shared" si="218"/>
        <v>23163.280000000002</v>
      </c>
      <c r="X583" s="1095">
        <f t="shared" si="219"/>
        <v>3330</v>
      </c>
      <c r="Y583" s="2909">
        <f>SUM(V583:X583)</f>
        <v>26493.280000000002</v>
      </c>
      <c r="Z583" s="2913">
        <v>0</v>
      </c>
      <c r="AA583" s="1095">
        <f t="shared" si="220"/>
        <v>12495.98</v>
      </c>
      <c r="AB583" s="1095">
        <f t="shared" si="221"/>
        <v>0</v>
      </c>
      <c r="AC583" s="2909">
        <f>SUM(Z583:AB583)</f>
        <v>12495.98</v>
      </c>
    </row>
    <row r="584" spans="1:29" ht="13.5" thickBot="1">
      <c r="A584" s="2929" t="s">
        <v>4658</v>
      </c>
      <c r="B584" s="2950"/>
      <c r="C584" s="2930">
        <f>SUM(C322:C583)</f>
        <v>111818</v>
      </c>
      <c r="D584" s="2931">
        <f t="shared" si="222"/>
        <v>0.31951834220106412</v>
      </c>
      <c r="E584" s="2932">
        <f>SUM(E322:E583)</f>
        <v>9578010</v>
      </c>
      <c r="F584" s="2933">
        <f t="shared" si="223"/>
        <v>0.33482075205528444</v>
      </c>
      <c r="G584" s="2932">
        <f>SUM(G322:G583)</f>
        <v>10063620</v>
      </c>
      <c r="H584" s="2932">
        <f t="shared" si="224"/>
        <v>-485610</v>
      </c>
      <c r="I584" s="2934">
        <f t="shared" ref="I584:AC584" si="233">SUM(I322:I583)</f>
        <v>6373626</v>
      </c>
      <c r="J584" s="2935">
        <f t="shared" si="233"/>
        <v>1927141</v>
      </c>
      <c r="K584" s="2936">
        <f t="shared" si="233"/>
        <v>78935695.359999985</v>
      </c>
      <c r="L584" s="2937">
        <f t="shared" si="233"/>
        <v>1915602</v>
      </c>
      <c r="M584" s="2937">
        <f t="shared" si="233"/>
        <v>10216369</v>
      </c>
      <c r="N584" s="2938">
        <f t="shared" si="233"/>
        <v>0.3215517109621932</v>
      </c>
      <c r="O584" s="2939">
        <f t="shared" si="226"/>
        <v>2.033368761129084E-3</v>
      </c>
      <c r="P584" s="2940">
        <f t="shared" si="227"/>
        <v>33545400</v>
      </c>
      <c r="Q584" s="2941">
        <f t="shared" si="228"/>
        <v>8715989.0999999996</v>
      </c>
      <c r="R584" s="2942">
        <f t="shared" si="229"/>
        <v>42261389.100000001</v>
      </c>
      <c r="S584" s="2937">
        <f t="shared" si="230"/>
        <v>0</v>
      </c>
      <c r="T584" s="2941">
        <f t="shared" si="231"/>
        <v>0</v>
      </c>
      <c r="U584" s="2937">
        <f t="shared" si="232"/>
        <v>0</v>
      </c>
      <c r="V584" s="2943">
        <f t="shared" si="233"/>
        <v>0</v>
      </c>
      <c r="W584" s="2941">
        <f t="shared" si="233"/>
        <v>10252390.119999995</v>
      </c>
      <c r="X584" s="2941">
        <f t="shared" si="233"/>
        <v>1915602</v>
      </c>
      <c r="Y584" s="2942">
        <f t="shared" si="233"/>
        <v>12167992.119999992</v>
      </c>
      <c r="Z584" s="2943">
        <f t="shared" si="233"/>
        <v>0</v>
      </c>
      <c r="AA584" s="2941">
        <f t="shared" si="233"/>
        <v>5530894.6699999999</v>
      </c>
      <c r="AB584" s="2941">
        <f t="shared" si="233"/>
        <v>0</v>
      </c>
      <c r="AC584" s="2942">
        <f t="shared" si="233"/>
        <v>5530894.6699999999</v>
      </c>
    </row>
    <row r="585" spans="1:29">
      <c r="A585" s="1148" t="s">
        <v>4659</v>
      </c>
      <c r="B585" s="1148"/>
      <c r="C585" s="2901">
        <v>285</v>
      </c>
      <c r="D585" s="2902">
        <f t="shared" si="222"/>
        <v>8.1438344029855013E-4</v>
      </c>
      <c r="E585" s="2903">
        <v>25650</v>
      </c>
      <c r="F585" s="2904">
        <f t="shared" si="223"/>
        <v>8.9665309288861116E-4</v>
      </c>
      <c r="G585" s="2903">
        <f>C585*90</f>
        <v>25650</v>
      </c>
      <c r="H585" s="2903">
        <f t="shared" si="224"/>
        <v>0</v>
      </c>
      <c r="I585" s="2905">
        <f>C585*57</f>
        <v>16245</v>
      </c>
      <c r="J585" s="1096">
        <v>6708</v>
      </c>
      <c r="K585" s="2479">
        <f t="shared" si="225"/>
        <v>274759.67999999999</v>
      </c>
      <c r="L585" s="398">
        <f>E585/5</f>
        <v>5130</v>
      </c>
      <c r="M585" s="1095">
        <f>I585+J585+L585</f>
        <v>28083</v>
      </c>
      <c r="N585" s="2906">
        <f t="shared" ref="N585:N609" si="234">M585/$M$612</f>
        <v>8.8388905088992705E-4</v>
      </c>
      <c r="O585" s="2907">
        <f t="shared" si="226"/>
        <v>6.9505610591376918E-5</v>
      </c>
      <c r="P585" s="2908">
        <f t="shared" si="227"/>
        <v>85500</v>
      </c>
      <c r="Q585" s="1095">
        <f t="shared" si="228"/>
        <v>23341.5</v>
      </c>
      <c r="R585" s="2909">
        <f t="shared" si="229"/>
        <v>108841.5</v>
      </c>
      <c r="S585" s="398">
        <f t="shared" si="230"/>
        <v>0</v>
      </c>
      <c r="T585" s="1095">
        <f t="shared" si="231"/>
        <v>0</v>
      </c>
      <c r="U585" s="398">
        <f t="shared" si="232"/>
        <v>0</v>
      </c>
      <c r="V585" s="2913">
        <v>0</v>
      </c>
      <c r="W585" s="1095">
        <f>J585*5.32</f>
        <v>35686.560000000005</v>
      </c>
      <c r="X585" s="1095">
        <f>L585*1</f>
        <v>5130</v>
      </c>
      <c r="Y585" s="2909">
        <f>SUM(V585:X585)</f>
        <v>40816.560000000005</v>
      </c>
      <c r="Z585" s="2913">
        <v>0</v>
      </c>
      <c r="AA585" s="1095">
        <f>J585*2.87</f>
        <v>19251.96</v>
      </c>
      <c r="AB585" s="1095">
        <f>L585*0</f>
        <v>0</v>
      </c>
      <c r="AC585" s="2909">
        <f>SUM(Z585:AB585)</f>
        <v>19251.96</v>
      </c>
    </row>
    <row r="586" spans="1:29">
      <c r="A586" s="1148" t="s">
        <v>4660</v>
      </c>
      <c r="B586" s="1148"/>
      <c r="C586" s="2901">
        <v>7720</v>
      </c>
      <c r="D586" s="2902">
        <f t="shared" si="222"/>
        <v>2.2059790031946691E-2</v>
      </c>
      <c r="E586" s="2903">
        <v>694800</v>
      </c>
      <c r="F586" s="2904">
        <f t="shared" si="223"/>
        <v>2.4288287288070448E-2</v>
      </c>
      <c r="G586" s="2903">
        <f>C586*90</f>
        <v>694800</v>
      </c>
      <c r="H586" s="2903">
        <f t="shared" si="224"/>
        <v>0</v>
      </c>
      <c r="I586" s="2905">
        <f>C586*57</f>
        <v>440040</v>
      </c>
      <c r="J586" s="1096">
        <v>134642</v>
      </c>
      <c r="K586" s="2479">
        <f t="shared" si="225"/>
        <v>5514936.3200000003</v>
      </c>
      <c r="L586" s="398">
        <f>E586/5</f>
        <v>138960</v>
      </c>
      <c r="M586" s="1095">
        <f>I586+J586+L586</f>
        <v>713642</v>
      </c>
      <c r="N586" s="2906">
        <f t="shared" si="234"/>
        <v>2.246128796977493E-2</v>
      </c>
      <c r="O586" s="2907">
        <f t="shared" si="226"/>
        <v>4.0149793782823934E-4</v>
      </c>
      <c r="P586" s="2908">
        <f t="shared" si="227"/>
        <v>2316000</v>
      </c>
      <c r="Q586" s="1095">
        <f t="shared" si="228"/>
        <v>632268</v>
      </c>
      <c r="R586" s="2909">
        <f t="shared" si="229"/>
        <v>2948268</v>
      </c>
      <c r="S586" s="398">
        <f t="shared" si="230"/>
        <v>0</v>
      </c>
      <c r="T586" s="1095">
        <f t="shared" si="231"/>
        <v>0</v>
      </c>
      <c r="U586" s="398">
        <f t="shared" si="232"/>
        <v>0</v>
      </c>
      <c r="V586" s="2913">
        <v>0</v>
      </c>
      <c r="W586" s="1095">
        <f>J586*5.32</f>
        <v>716295.44000000006</v>
      </c>
      <c r="X586" s="1095">
        <f>L586*1</f>
        <v>138960</v>
      </c>
      <c r="Y586" s="2909">
        <f>SUM(V586:X586)</f>
        <v>855255.44000000006</v>
      </c>
      <c r="Z586" s="2913">
        <v>0</v>
      </c>
      <c r="AA586" s="1095">
        <f>J586*2.87</f>
        <v>386422.54000000004</v>
      </c>
      <c r="AB586" s="1095">
        <f>L586*0</f>
        <v>0</v>
      </c>
      <c r="AC586" s="2909">
        <f>SUM(Z586:AB586)</f>
        <v>386422.54000000004</v>
      </c>
    </row>
    <row r="587" spans="1:29">
      <c r="A587" s="1780" t="s">
        <v>4546</v>
      </c>
      <c r="B587" s="1148"/>
      <c r="C587" s="2901">
        <v>6465</v>
      </c>
      <c r="D587" s="2902">
        <f t="shared" si="222"/>
        <v>1.8473645408877637E-2</v>
      </c>
      <c r="E587" s="2903">
        <v>581850</v>
      </c>
      <c r="F587" s="2904">
        <f t="shared" si="223"/>
        <v>2.0339867528157442E-2</v>
      </c>
      <c r="G587" s="2903">
        <f>C587*90</f>
        <v>581850</v>
      </c>
      <c r="H587" s="2903">
        <f t="shared" si="224"/>
        <v>0</v>
      </c>
      <c r="I587" s="2905">
        <f>C587*57</f>
        <v>368505</v>
      </c>
      <c r="J587" s="1096">
        <v>152192</v>
      </c>
      <c r="K587" s="2479">
        <f t="shared" si="225"/>
        <v>6233784.3200000003</v>
      </c>
      <c r="L587" s="398">
        <f>E587/5</f>
        <v>116370</v>
      </c>
      <c r="M587" s="1095">
        <f>I587+J587+L587</f>
        <v>637067</v>
      </c>
      <c r="N587" s="2906">
        <f t="shared" si="234"/>
        <v>2.0051153579863021E-2</v>
      </c>
      <c r="O587" s="2907">
        <f t="shared" si="226"/>
        <v>1.5775081709853839E-3</v>
      </c>
      <c r="P587" s="2908">
        <f t="shared" si="227"/>
        <v>1939500</v>
      </c>
      <c r="Q587" s="1095">
        <f t="shared" si="228"/>
        <v>529483.5</v>
      </c>
      <c r="R587" s="2909">
        <f t="shared" si="229"/>
        <v>2468983.5</v>
      </c>
      <c r="S587" s="398">
        <f t="shared" si="230"/>
        <v>0</v>
      </c>
      <c r="T587" s="1095">
        <f t="shared" si="231"/>
        <v>0</v>
      </c>
      <c r="U587" s="398">
        <f t="shared" si="232"/>
        <v>0</v>
      </c>
      <c r="V587" s="2913">
        <v>0</v>
      </c>
      <c r="W587" s="1095">
        <f>J587*5.32</f>
        <v>809661.44000000006</v>
      </c>
      <c r="X587" s="1095">
        <f>L587*1</f>
        <v>116370</v>
      </c>
      <c r="Y587" s="2909">
        <f>SUM(V587:X587)</f>
        <v>926031.44000000006</v>
      </c>
      <c r="Z587" s="2913">
        <v>0</v>
      </c>
      <c r="AA587" s="1095">
        <f>J587*2.87</f>
        <v>436791.04000000004</v>
      </c>
      <c r="AB587" s="1095">
        <f>L587*0</f>
        <v>0</v>
      </c>
      <c r="AC587" s="2909">
        <f>SUM(Z587:AB587)</f>
        <v>436791.04000000004</v>
      </c>
    </row>
    <row r="588" spans="1:29">
      <c r="A588" s="1780" t="s">
        <v>4661</v>
      </c>
      <c r="B588" s="1148"/>
      <c r="C588" s="2901">
        <v>590</v>
      </c>
      <c r="D588" s="2902">
        <f t="shared" si="222"/>
        <v>1.6859165957057705E-3</v>
      </c>
      <c r="E588" s="2903">
        <v>53100</v>
      </c>
      <c r="F588" s="2904">
        <f t="shared" si="223"/>
        <v>1.8562292098395809E-3</v>
      </c>
      <c r="G588" s="2903">
        <f>C588*90</f>
        <v>53100</v>
      </c>
      <c r="H588" s="2903">
        <f t="shared" si="224"/>
        <v>0</v>
      </c>
      <c r="I588" s="2905">
        <f>C588*57</f>
        <v>33630</v>
      </c>
      <c r="J588" s="1096">
        <v>10290</v>
      </c>
      <c r="K588" s="2479">
        <f t="shared" si="225"/>
        <v>421478.40000000002</v>
      </c>
      <c r="L588" s="398">
        <f>E588/5</f>
        <v>10620</v>
      </c>
      <c r="M588" s="1095">
        <f>I588+J588+L588</f>
        <v>54540</v>
      </c>
      <c r="N588" s="2906">
        <f t="shared" si="234"/>
        <v>1.7166011051360831E-3</v>
      </c>
      <c r="O588" s="2907">
        <f t="shared" si="226"/>
        <v>3.0684509430312611E-5</v>
      </c>
      <c r="P588" s="2908">
        <f t="shared" si="227"/>
        <v>177000</v>
      </c>
      <c r="Q588" s="1095">
        <f t="shared" si="228"/>
        <v>48321</v>
      </c>
      <c r="R588" s="2909">
        <f t="shared" si="229"/>
        <v>225321</v>
      </c>
      <c r="S588" s="398">
        <f t="shared" si="230"/>
        <v>0</v>
      </c>
      <c r="T588" s="1095">
        <f t="shared" si="231"/>
        <v>0</v>
      </c>
      <c r="U588" s="398">
        <f t="shared" si="232"/>
        <v>0</v>
      </c>
      <c r="V588" s="2913">
        <v>0</v>
      </c>
      <c r="W588" s="1095">
        <f>J588*5.32</f>
        <v>54742.8</v>
      </c>
      <c r="X588" s="1095">
        <f>L588*1</f>
        <v>10620</v>
      </c>
      <c r="Y588" s="2909">
        <f>SUM(V588:X588)</f>
        <v>65362.8</v>
      </c>
      <c r="Z588" s="2913">
        <v>0</v>
      </c>
      <c r="AA588" s="1095">
        <f>J588*2.87</f>
        <v>29532.300000000003</v>
      </c>
      <c r="AB588" s="1095">
        <f>L588*0</f>
        <v>0</v>
      </c>
      <c r="AC588" s="2909">
        <f>SUM(Z588:AB588)</f>
        <v>29532.300000000003</v>
      </c>
    </row>
    <row r="589" spans="1:29" ht="13.5" thickBot="1">
      <c r="A589" s="1780" t="s">
        <v>4571</v>
      </c>
      <c r="B589" s="1148"/>
      <c r="C589" s="2901">
        <v>1160</v>
      </c>
      <c r="D589" s="2902">
        <f t="shared" si="222"/>
        <v>3.3146834763028705E-3</v>
      </c>
      <c r="E589" s="2903">
        <v>104400</v>
      </c>
      <c r="F589" s="2904">
        <f t="shared" si="223"/>
        <v>3.649535395616803E-3</v>
      </c>
      <c r="G589" s="2903">
        <f>C589*90</f>
        <v>104400</v>
      </c>
      <c r="H589" s="2903">
        <f t="shared" si="224"/>
        <v>0</v>
      </c>
      <c r="I589" s="2905">
        <f>C589*57</f>
        <v>66120</v>
      </c>
      <c r="J589" s="1096">
        <v>20231</v>
      </c>
      <c r="K589" s="2479">
        <f t="shared" si="225"/>
        <v>828661.76000000001</v>
      </c>
      <c r="L589" s="398">
        <f>E589/5</f>
        <v>20880</v>
      </c>
      <c r="M589" s="1095">
        <f>I589+J589+L589</f>
        <v>107231</v>
      </c>
      <c r="N589" s="2906">
        <f t="shared" si="234"/>
        <v>3.3750064742362916E-3</v>
      </c>
      <c r="O589" s="2907">
        <f t="shared" si="226"/>
        <v>6.0322997933421035E-5</v>
      </c>
      <c r="P589" s="2908">
        <f t="shared" si="227"/>
        <v>348000</v>
      </c>
      <c r="Q589" s="1095">
        <f t="shared" si="228"/>
        <v>95004</v>
      </c>
      <c r="R589" s="2909">
        <f t="shared" si="229"/>
        <v>443004</v>
      </c>
      <c r="S589" s="398">
        <f t="shared" si="230"/>
        <v>0</v>
      </c>
      <c r="T589" s="1095">
        <f t="shared" si="231"/>
        <v>0</v>
      </c>
      <c r="U589" s="398">
        <f t="shared" si="232"/>
        <v>0</v>
      </c>
      <c r="V589" s="2913">
        <v>0</v>
      </c>
      <c r="W589" s="1095">
        <f>J589*5.32</f>
        <v>107628.92000000001</v>
      </c>
      <c r="X589" s="1095">
        <f>L589*1</f>
        <v>20880</v>
      </c>
      <c r="Y589" s="2909">
        <f>SUM(V589:X589)</f>
        <v>128508.92000000001</v>
      </c>
      <c r="Z589" s="2913">
        <v>0</v>
      </c>
      <c r="AA589" s="1095">
        <f>J589*2.87</f>
        <v>58062.97</v>
      </c>
      <c r="AB589" s="1095">
        <f>L589*0</f>
        <v>0</v>
      </c>
      <c r="AC589" s="2909">
        <f>SUM(Z589:AB589)</f>
        <v>58062.97</v>
      </c>
    </row>
    <row r="590" spans="1:29" ht="13.5" thickBot="1">
      <c r="A590" s="2929" t="s">
        <v>4662</v>
      </c>
      <c r="B590" s="2950"/>
      <c r="C590" s="2930">
        <f>SUM(C584:C589)</f>
        <v>128038</v>
      </c>
      <c r="D590" s="2931">
        <f t="shared" si="222"/>
        <v>0.36586676115419564</v>
      </c>
      <c r="E590" s="2932">
        <f>SUM(E584:E589)</f>
        <v>11037810</v>
      </c>
      <c r="F590" s="2933">
        <f t="shared" si="223"/>
        <v>0.38585132456985732</v>
      </c>
      <c r="G590" s="2932">
        <f>SUM(G584:G589)</f>
        <v>11523420</v>
      </c>
      <c r="H590" s="2932">
        <f t="shared" si="224"/>
        <v>-485610</v>
      </c>
      <c r="I590" s="2934">
        <f>SUM(I584:I589)</f>
        <v>7298166</v>
      </c>
      <c r="J590" s="2935">
        <f>SUM(J584:J589)</f>
        <v>2251204</v>
      </c>
      <c r="K590" s="2936">
        <f>J590*40.96</f>
        <v>92209315.840000004</v>
      </c>
      <c r="L590" s="2937">
        <f>SUM(L584:L589)</f>
        <v>2207562</v>
      </c>
      <c r="M590" s="2937">
        <f>J590+I590+L590</f>
        <v>11756932</v>
      </c>
      <c r="N590" s="2938">
        <f t="shared" si="234"/>
        <v>0.37003964914209353</v>
      </c>
      <c r="O590" s="2939">
        <f t="shared" si="226"/>
        <v>4.1728879878978886E-3</v>
      </c>
      <c r="P590" s="2940">
        <f t="shared" si="227"/>
        <v>38411400</v>
      </c>
      <c r="Q590" s="2941">
        <f t="shared" si="228"/>
        <v>10044407.1</v>
      </c>
      <c r="R590" s="2942">
        <f t="shared" si="229"/>
        <v>48455807.100000001</v>
      </c>
      <c r="S590" s="2937">
        <f t="shared" si="230"/>
        <v>0</v>
      </c>
      <c r="T590" s="2941">
        <f t="shared" si="231"/>
        <v>0</v>
      </c>
      <c r="U590" s="2937">
        <f t="shared" si="232"/>
        <v>0</v>
      </c>
      <c r="V590" s="2943">
        <f t="shared" ref="V590:AC590" si="235">SUM(V584:V589)</f>
        <v>0</v>
      </c>
      <c r="W590" s="2941">
        <f t="shared" si="235"/>
        <v>11976405.279999996</v>
      </c>
      <c r="X590" s="2941">
        <f t="shared" si="235"/>
        <v>2207562</v>
      </c>
      <c r="Y590" s="2942">
        <f t="shared" si="235"/>
        <v>14183967.279999992</v>
      </c>
      <c r="Z590" s="2943">
        <f t="shared" si="235"/>
        <v>0</v>
      </c>
      <c r="AA590" s="2941">
        <f t="shared" si="235"/>
        <v>6460955.4799999995</v>
      </c>
      <c r="AB590" s="2941">
        <f t="shared" si="235"/>
        <v>0</v>
      </c>
      <c r="AC590" s="2942">
        <f t="shared" si="235"/>
        <v>6460955.4799999995</v>
      </c>
    </row>
    <row r="591" spans="1:29">
      <c r="A591" s="2953" t="s">
        <v>4663</v>
      </c>
      <c r="B591" s="2954">
        <v>10240</v>
      </c>
      <c r="C591" s="2955">
        <v>10240</v>
      </c>
      <c r="D591" s="2902">
        <f t="shared" si="222"/>
        <v>2.9260654135639132E-2</v>
      </c>
      <c r="E591" s="2903">
        <v>0</v>
      </c>
      <c r="F591" s="2904">
        <f t="shared" si="223"/>
        <v>0</v>
      </c>
      <c r="G591" s="2903">
        <f t="shared" ref="G591:G609" si="236">C591*90</f>
        <v>921600</v>
      </c>
      <c r="H591" s="2903">
        <f t="shared" si="224"/>
        <v>-921600</v>
      </c>
      <c r="I591" s="2905">
        <f t="shared" ref="I591:I609" si="237">C591*57</f>
        <v>583680</v>
      </c>
      <c r="J591" s="1096">
        <v>208330</v>
      </c>
      <c r="K591" s="2479">
        <f t="shared" si="225"/>
        <v>8533196.8000000007</v>
      </c>
      <c r="L591" s="398">
        <f t="shared" ref="L591:L609" si="238">E591/5</f>
        <v>0</v>
      </c>
      <c r="M591" s="1095">
        <f t="shared" ref="M591:M610" si="239">I591+J591+L591</f>
        <v>792010</v>
      </c>
      <c r="N591" s="2906">
        <f t="shared" si="234"/>
        <v>2.4927855542332768E-2</v>
      </c>
      <c r="O591" s="2907">
        <f t="shared" si="226"/>
        <v>-4.3327985933063647E-3</v>
      </c>
      <c r="P591" s="2908">
        <f t="shared" si="227"/>
        <v>3072000</v>
      </c>
      <c r="Q591" s="1095">
        <f t="shared" si="228"/>
        <v>0</v>
      </c>
      <c r="R591" s="2909">
        <f t="shared" si="229"/>
        <v>3072000</v>
      </c>
      <c r="S591" s="398">
        <f t="shared" si="230"/>
        <v>0</v>
      </c>
      <c r="T591" s="1095">
        <f t="shared" si="231"/>
        <v>0</v>
      </c>
      <c r="U591" s="398">
        <f t="shared" si="232"/>
        <v>0</v>
      </c>
      <c r="V591" s="2913">
        <v>0</v>
      </c>
      <c r="W591" s="1095">
        <f t="shared" ref="W591:W609" si="240">J591*5.32</f>
        <v>1108315.6000000001</v>
      </c>
      <c r="X591" s="1095">
        <f t="shared" ref="X591:X609" si="241">L591*1</f>
        <v>0</v>
      </c>
      <c r="Y591" s="2909">
        <f>SUM(V591:X591)</f>
        <v>1108315.6000000001</v>
      </c>
      <c r="Z591" s="2913">
        <v>0</v>
      </c>
      <c r="AA591" s="1095">
        <f t="shared" ref="AA591:AA609" si="242">J591*2.87</f>
        <v>597907.1</v>
      </c>
      <c r="AB591" s="1095">
        <f t="shared" ref="AB591:AB609" si="243">L591*0</f>
        <v>0</v>
      </c>
      <c r="AC591" s="2909">
        <f>SUM(Z591:AB591)</f>
        <v>597907.1</v>
      </c>
    </row>
    <row r="592" spans="1:29">
      <c r="A592" s="2953" t="s">
        <v>4664</v>
      </c>
      <c r="B592" s="2954">
        <v>7537</v>
      </c>
      <c r="C592" s="2955">
        <v>7537</v>
      </c>
      <c r="D592" s="2902">
        <f t="shared" si="222"/>
        <v>2.1536870138702358E-2</v>
      </c>
      <c r="E592" s="2903">
        <v>678330</v>
      </c>
      <c r="F592" s="2904">
        <f t="shared" si="223"/>
        <v>2.3712541617899867E-2</v>
      </c>
      <c r="G592" s="2903">
        <f t="shared" si="236"/>
        <v>678330</v>
      </c>
      <c r="H592" s="2903">
        <f t="shared" si="224"/>
        <v>0</v>
      </c>
      <c r="I592" s="2905">
        <f t="shared" si="237"/>
        <v>429609</v>
      </c>
      <c r="J592" s="1096">
        <v>153338</v>
      </c>
      <c r="K592" s="2479">
        <f t="shared" si="225"/>
        <v>6280724.4800000004</v>
      </c>
      <c r="L592" s="398">
        <f t="shared" si="238"/>
        <v>135666</v>
      </c>
      <c r="M592" s="1095">
        <f t="shared" si="239"/>
        <v>718613</v>
      </c>
      <c r="N592" s="2906">
        <f t="shared" si="234"/>
        <v>2.2617746057300259E-2</v>
      </c>
      <c r="O592" s="2907">
        <f t="shared" si="226"/>
        <v>1.0808759185979011E-3</v>
      </c>
      <c r="P592" s="2908">
        <f t="shared" si="227"/>
        <v>2261100</v>
      </c>
      <c r="Q592" s="1095">
        <f t="shared" si="228"/>
        <v>617280.30000000005</v>
      </c>
      <c r="R592" s="2909">
        <f t="shared" si="229"/>
        <v>2878380.3</v>
      </c>
      <c r="S592" s="398">
        <f t="shared" si="230"/>
        <v>0</v>
      </c>
      <c r="T592" s="1095">
        <f t="shared" si="231"/>
        <v>0</v>
      </c>
      <c r="U592" s="398">
        <f t="shared" si="232"/>
        <v>0</v>
      </c>
      <c r="V592" s="2913">
        <v>0</v>
      </c>
      <c r="W592" s="1095">
        <f t="shared" si="240"/>
        <v>815758.16</v>
      </c>
      <c r="X592" s="1095">
        <f t="shared" si="241"/>
        <v>135666</v>
      </c>
      <c r="Y592" s="2909">
        <f t="shared" ref="Y592:Y609" si="244">SUM(V592:X592)</f>
        <v>951424.16</v>
      </c>
      <c r="Z592" s="2913">
        <v>0</v>
      </c>
      <c r="AA592" s="1095">
        <f t="shared" si="242"/>
        <v>440080.06</v>
      </c>
      <c r="AB592" s="1095">
        <f t="shared" si="243"/>
        <v>0</v>
      </c>
      <c r="AC592" s="2909">
        <f t="shared" ref="AC592:AC609" si="245">SUM(Z592:AB592)</f>
        <v>440080.06</v>
      </c>
    </row>
    <row r="593" spans="1:29">
      <c r="A593" s="2953" t="s">
        <v>4665</v>
      </c>
      <c r="B593" s="2954">
        <v>6810</v>
      </c>
      <c r="C593" s="2955">
        <v>6810</v>
      </c>
      <c r="D593" s="2902">
        <f t="shared" si="222"/>
        <v>1.9459477994502199E-2</v>
      </c>
      <c r="E593" s="2903">
        <v>612900</v>
      </c>
      <c r="F593" s="2904">
        <f t="shared" si="223"/>
        <v>2.1425289693233127E-2</v>
      </c>
      <c r="G593" s="2903">
        <f t="shared" si="236"/>
        <v>612900</v>
      </c>
      <c r="H593" s="2903">
        <f t="shared" si="224"/>
        <v>0</v>
      </c>
      <c r="I593" s="2905">
        <f t="shared" si="237"/>
        <v>388170</v>
      </c>
      <c r="J593" s="1096">
        <v>138548</v>
      </c>
      <c r="K593" s="2479">
        <f t="shared" si="225"/>
        <v>5674926.0800000001</v>
      </c>
      <c r="L593" s="398">
        <f t="shared" si="238"/>
        <v>122580</v>
      </c>
      <c r="M593" s="1095">
        <f t="shared" si="239"/>
        <v>649298</v>
      </c>
      <c r="N593" s="2906">
        <f t="shared" si="234"/>
        <v>2.0436114124727695E-2</v>
      </c>
      <c r="O593" s="2907">
        <f t="shared" si="226"/>
        <v>9.7663613022549653E-4</v>
      </c>
      <c r="P593" s="2908">
        <f t="shared" si="227"/>
        <v>2043000</v>
      </c>
      <c r="Q593" s="1095">
        <f t="shared" si="228"/>
        <v>557739</v>
      </c>
      <c r="R593" s="2909">
        <f t="shared" si="229"/>
        <v>2600739</v>
      </c>
      <c r="S593" s="398">
        <f t="shared" si="230"/>
        <v>0</v>
      </c>
      <c r="T593" s="1095">
        <f t="shared" si="231"/>
        <v>0</v>
      </c>
      <c r="U593" s="398">
        <f t="shared" si="232"/>
        <v>0</v>
      </c>
      <c r="V593" s="2913">
        <v>0</v>
      </c>
      <c r="W593" s="1095">
        <f t="shared" si="240"/>
        <v>737075.36</v>
      </c>
      <c r="X593" s="1095">
        <f t="shared" si="241"/>
        <v>122580</v>
      </c>
      <c r="Y593" s="2909">
        <f t="shared" si="244"/>
        <v>859655.36</v>
      </c>
      <c r="Z593" s="2913">
        <v>0</v>
      </c>
      <c r="AA593" s="1095">
        <f t="shared" si="242"/>
        <v>397632.76</v>
      </c>
      <c r="AB593" s="1095">
        <f t="shared" si="243"/>
        <v>0</v>
      </c>
      <c r="AC593" s="2909">
        <f t="shared" si="245"/>
        <v>397632.76</v>
      </c>
    </row>
    <row r="594" spans="1:29">
      <c r="A594" s="2953" t="s">
        <v>4666</v>
      </c>
      <c r="B594" s="2954">
        <v>2865</v>
      </c>
      <c r="C594" s="2955">
        <v>2865</v>
      </c>
      <c r="D594" s="2902">
        <f t="shared" si="222"/>
        <v>8.186696689317003E-3</v>
      </c>
      <c r="E594" s="2903">
        <v>257850</v>
      </c>
      <c r="F594" s="2904">
        <f t="shared" si="223"/>
        <v>9.0137231969328793E-3</v>
      </c>
      <c r="G594" s="2903">
        <f t="shared" si="236"/>
        <v>257850</v>
      </c>
      <c r="H594" s="2903">
        <f t="shared" si="224"/>
        <v>0</v>
      </c>
      <c r="I594" s="2905">
        <f t="shared" si="237"/>
        <v>163305</v>
      </c>
      <c r="J594" s="1096">
        <v>58287</v>
      </c>
      <c r="K594" s="2479">
        <f t="shared" si="225"/>
        <v>2387435.52</v>
      </c>
      <c r="L594" s="398">
        <f t="shared" si="238"/>
        <v>51570</v>
      </c>
      <c r="M594" s="1095">
        <f t="shared" si="239"/>
        <v>273162</v>
      </c>
      <c r="N594" s="2906">
        <f t="shared" si="234"/>
        <v>8.5975465911474654E-3</v>
      </c>
      <c r="O594" s="2907">
        <f t="shared" si="226"/>
        <v>4.1084990183046233E-4</v>
      </c>
      <c r="P594" s="2908">
        <f t="shared" si="227"/>
        <v>859500</v>
      </c>
      <c r="Q594" s="1095">
        <f t="shared" si="228"/>
        <v>234643.5</v>
      </c>
      <c r="R594" s="2909">
        <f t="shared" si="229"/>
        <v>1094143.5</v>
      </c>
      <c r="S594" s="398">
        <f t="shared" si="230"/>
        <v>0</v>
      </c>
      <c r="T594" s="1095">
        <f t="shared" si="231"/>
        <v>0</v>
      </c>
      <c r="U594" s="398">
        <f t="shared" si="232"/>
        <v>0</v>
      </c>
      <c r="V594" s="2913">
        <v>0</v>
      </c>
      <c r="W594" s="1095">
        <f t="shared" si="240"/>
        <v>310086.84000000003</v>
      </c>
      <c r="X594" s="1095">
        <f t="shared" si="241"/>
        <v>51570</v>
      </c>
      <c r="Y594" s="2909">
        <f t="shared" si="244"/>
        <v>361656.84</v>
      </c>
      <c r="Z594" s="2913">
        <v>0</v>
      </c>
      <c r="AA594" s="1095">
        <f t="shared" si="242"/>
        <v>167283.69</v>
      </c>
      <c r="AB594" s="1095">
        <f t="shared" si="243"/>
        <v>0</v>
      </c>
      <c r="AC594" s="2909">
        <f t="shared" si="245"/>
        <v>167283.69</v>
      </c>
    </row>
    <row r="595" spans="1:29">
      <c r="A595" s="2953" t="s">
        <v>4667</v>
      </c>
      <c r="B595" s="2956">
        <v>875</v>
      </c>
      <c r="C595" s="2957">
        <v>875</v>
      </c>
      <c r="D595" s="2902">
        <f t="shared" si="222"/>
        <v>2.5003000360043206E-3</v>
      </c>
      <c r="E595" s="2903">
        <v>78750</v>
      </c>
      <c r="F595" s="2904">
        <f t="shared" si="223"/>
        <v>2.7528823027281918E-3</v>
      </c>
      <c r="G595" s="2903">
        <f t="shared" si="236"/>
        <v>78750</v>
      </c>
      <c r="H595" s="2903">
        <f t="shared" si="224"/>
        <v>0</v>
      </c>
      <c r="I595" s="2905">
        <f t="shared" si="237"/>
        <v>49875</v>
      </c>
      <c r="J595" s="1096">
        <v>17801</v>
      </c>
      <c r="K595" s="2479">
        <f t="shared" si="225"/>
        <v>729128.95999999996</v>
      </c>
      <c r="L595" s="398">
        <f t="shared" si="238"/>
        <v>15750</v>
      </c>
      <c r="M595" s="1095">
        <f t="shared" si="239"/>
        <v>83426</v>
      </c>
      <c r="N595" s="2906">
        <f t="shared" si="234"/>
        <v>2.6257639126711198E-3</v>
      </c>
      <c r="O595" s="2907">
        <f t="shared" si="226"/>
        <v>1.2546387666679919E-4</v>
      </c>
      <c r="P595" s="2908">
        <f t="shared" si="227"/>
        <v>262500</v>
      </c>
      <c r="Q595" s="1095">
        <f t="shared" si="228"/>
        <v>71662.5</v>
      </c>
      <c r="R595" s="2909">
        <f t="shared" si="229"/>
        <v>334162.5</v>
      </c>
      <c r="S595" s="398">
        <f t="shared" si="230"/>
        <v>0</v>
      </c>
      <c r="T595" s="1095">
        <f t="shared" si="231"/>
        <v>0</v>
      </c>
      <c r="U595" s="398">
        <f t="shared" si="232"/>
        <v>0</v>
      </c>
      <c r="V595" s="2913">
        <v>0</v>
      </c>
      <c r="W595" s="1095">
        <f t="shared" si="240"/>
        <v>94701.32</v>
      </c>
      <c r="X595" s="1095">
        <f t="shared" si="241"/>
        <v>15750</v>
      </c>
      <c r="Y595" s="2909">
        <f t="shared" si="244"/>
        <v>110451.32</v>
      </c>
      <c r="Z595" s="2913">
        <v>0</v>
      </c>
      <c r="AA595" s="1095">
        <f t="shared" si="242"/>
        <v>51088.87</v>
      </c>
      <c r="AB595" s="1095">
        <f t="shared" si="243"/>
        <v>0</v>
      </c>
      <c r="AC595" s="2909">
        <f t="shared" si="245"/>
        <v>51088.87</v>
      </c>
    </row>
    <row r="596" spans="1:29">
      <c r="A596" s="2953" t="s">
        <v>4668</v>
      </c>
      <c r="B596" s="2956">
        <v>320</v>
      </c>
      <c r="C596" s="2957">
        <v>320</v>
      </c>
      <c r="D596" s="2902">
        <f t="shared" si="222"/>
        <v>9.1439544173872289E-4</v>
      </c>
      <c r="E596" s="2903">
        <v>28800</v>
      </c>
      <c r="F596" s="2904">
        <f t="shared" si="223"/>
        <v>1.0067683849977389E-3</v>
      </c>
      <c r="G596" s="2903">
        <f t="shared" si="236"/>
        <v>28800</v>
      </c>
      <c r="H596" s="2903">
        <f t="shared" si="224"/>
        <v>0</v>
      </c>
      <c r="I596" s="2905">
        <f t="shared" si="237"/>
        <v>18240</v>
      </c>
      <c r="J596" s="1096">
        <v>5581</v>
      </c>
      <c r="K596" s="2479">
        <f t="shared" si="225"/>
        <v>228597.76000000001</v>
      </c>
      <c r="L596" s="398">
        <f t="shared" si="238"/>
        <v>5760</v>
      </c>
      <c r="M596" s="1095">
        <f t="shared" si="239"/>
        <v>29581</v>
      </c>
      <c r="N596" s="2906">
        <f t="shared" si="234"/>
        <v>9.3103735407096581E-4</v>
      </c>
      <c r="O596" s="2907">
        <f t="shared" si="226"/>
        <v>1.6641912332242921E-5</v>
      </c>
      <c r="P596" s="2908">
        <f t="shared" si="227"/>
        <v>96000</v>
      </c>
      <c r="Q596" s="1095">
        <f t="shared" si="228"/>
        <v>26208</v>
      </c>
      <c r="R596" s="2909">
        <f t="shared" si="229"/>
        <v>122208</v>
      </c>
      <c r="S596" s="398">
        <f t="shared" si="230"/>
        <v>0</v>
      </c>
      <c r="T596" s="1095">
        <f t="shared" si="231"/>
        <v>0</v>
      </c>
      <c r="U596" s="398">
        <f t="shared" si="232"/>
        <v>0</v>
      </c>
      <c r="V596" s="2913">
        <v>0</v>
      </c>
      <c r="W596" s="1095">
        <f t="shared" si="240"/>
        <v>29690.920000000002</v>
      </c>
      <c r="X596" s="1095">
        <f t="shared" si="241"/>
        <v>5760</v>
      </c>
      <c r="Y596" s="2909">
        <f t="shared" si="244"/>
        <v>35450.92</v>
      </c>
      <c r="Z596" s="2913">
        <v>0</v>
      </c>
      <c r="AA596" s="1095">
        <f t="shared" si="242"/>
        <v>16017.470000000001</v>
      </c>
      <c r="AB596" s="1095">
        <f t="shared" si="243"/>
        <v>0</v>
      </c>
      <c r="AC596" s="2909">
        <f t="shared" si="245"/>
        <v>16017.470000000001</v>
      </c>
    </row>
    <row r="597" spans="1:29">
      <c r="A597" s="2953" t="s">
        <v>4669</v>
      </c>
      <c r="B597" s="2954">
        <v>2520</v>
      </c>
      <c r="C597" s="2955">
        <v>2520</v>
      </c>
      <c r="D597" s="2902">
        <f t="shared" si="222"/>
        <v>7.200864103692443E-3</v>
      </c>
      <c r="E597" s="2903">
        <v>223800</v>
      </c>
      <c r="F597" s="2904">
        <f t="shared" si="223"/>
        <v>7.8234293250865946E-3</v>
      </c>
      <c r="G597" s="2903">
        <f t="shared" si="236"/>
        <v>226800</v>
      </c>
      <c r="H597" s="2903">
        <f t="shared" si="224"/>
        <v>-3000</v>
      </c>
      <c r="I597" s="2905">
        <f t="shared" si="237"/>
        <v>143640</v>
      </c>
      <c r="J597" s="1096">
        <v>43950</v>
      </c>
      <c r="K597" s="2479">
        <f t="shared" si="225"/>
        <v>1800192</v>
      </c>
      <c r="L597" s="398">
        <f t="shared" si="238"/>
        <v>44760</v>
      </c>
      <c r="M597" s="1095">
        <f t="shared" si="239"/>
        <v>232350</v>
      </c>
      <c r="N597" s="2906">
        <f t="shared" si="234"/>
        <v>7.313022859889419E-3</v>
      </c>
      <c r="O597" s="2907">
        <f t="shared" si="226"/>
        <v>1.1215875619697592E-4</v>
      </c>
      <c r="P597" s="2908">
        <f t="shared" si="227"/>
        <v>756000</v>
      </c>
      <c r="Q597" s="1095">
        <f t="shared" si="228"/>
        <v>203658</v>
      </c>
      <c r="R597" s="2909">
        <f t="shared" si="229"/>
        <v>959658</v>
      </c>
      <c r="S597" s="398">
        <f t="shared" si="230"/>
        <v>0</v>
      </c>
      <c r="T597" s="1095">
        <f t="shared" si="231"/>
        <v>0</v>
      </c>
      <c r="U597" s="398">
        <f t="shared" si="232"/>
        <v>0</v>
      </c>
      <c r="V597" s="2913">
        <v>0</v>
      </c>
      <c r="W597" s="1095">
        <f t="shared" si="240"/>
        <v>233814</v>
      </c>
      <c r="X597" s="1095">
        <f t="shared" si="241"/>
        <v>44760</v>
      </c>
      <c r="Y597" s="2909">
        <f t="shared" si="244"/>
        <v>278574</v>
      </c>
      <c r="Z597" s="2913">
        <v>0</v>
      </c>
      <c r="AA597" s="1095">
        <f t="shared" si="242"/>
        <v>126136.5</v>
      </c>
      <c r="AB597" s="1095">
        <f t="shared" si="243"/>
        <v>0</v>
      </c>
      <c r="AC597" s="2909">
        <f t="shared" si="245"/>
        <v>126136.5</v>
      </c>
    </row>
    <row r="598" spans="1:29">
      <c r="A598" s="2953" t="s">
        <v>4670</v>
      </c>
      <c r="B598" s="2956">
        <v>420</v>
      </c>
      <c r="C598" s="2957">
        <v>420</v>
      </c>
      <c r="D598" s="2902">
        <f t="shared" si="222"/>
        <v>1.2001440172820738E-3</v>
      </c>
      <c r="E598" s="2903">
        <v>37800</v>
      </c>
      <c r="F598" s="2904">
        <f t="shared" si="223"/>
        <v>1.3213835053095323E-3</v>
      </c>
      <c r="G598" s="2903">
        <f t="shared" si="236"/>
        <v>37800</v>
      </c>
      <c r="H598" s="2903">
        <f t="shared" si="224"/>
        <v>0</v>
      </c>
      <c r="I598" s="2905">
        <f t="shared" si="237"/>
        <v>23940</v>
      </c>
      <c r="J598" s="1096">
        <v>8544</v>
      </c>
      <c r="K598" s="2479">
        <f t="shared" si="225"/>
        <v>349962.23999999999</v>
      </c>
      <c r="L598" s="398">
        <f t="shared" si="238"/>
        <v>7560</v>
      </c>
      <c r="M598" s="1095">
        <f t="shared" si="239"/>
        <v>40044</v>
      </c>
      <c r="N598" s="2906">
        <f t="shared" si="234"/>
        <v>1.2603515704816522E-3</v>
      </c>
      <c r="O598" s="2907">
        <f t="shared" si="226"/>
        <v>6.0207553199578432E-5</v>
      </c>
      <c r="P598" s="2908">
        <f t="shared" si="227"/>
        <v>126000</v>
      </c>
      <c r="Q598" s="1095">
        <f t="shared" si="228"/>
        <v>34398</v>
      </c>
      <c r="R598" s="2909">
        <f t="shared" si="229"/>
        <v>160398</v>
      </c>
      <c r="S598" s="398">
        <f t="shared" si="230"/>
        <v>0</v>
      </c>
      <c r="T598" s="1095">
        <f t="shared" si="231"/>
        <v>0</v>
      </c>
      <c r="U598" s="398">
        <f t="shared" si="232"/>
        <v>0</v>
      </c>
      <c r="V598" s="2913">
        <v>0</v>
      </c>
      <c r="W598" s="1095">
        <f t="shared" si="240"/>
        <v>45454.080000000002</v>
      </c>
      <c r="X598" s="1095">
        <f t="shared" si="241"/>
        <v>7560</v>
      </c>
      <c r="Y598" s="2909">
        <f t="shared" si="244"/>
        <v>53014.080000000002</v>
      </c>
      <c r="Z598" s="2913">
        <v>0</v>
      </c>
      <c r="AA598" s="1095">
        <f t="shared" si="242"/>
        <v>24521.280000000002</v>
      </c>
      <c r="AB598" s="1095">
        <f t="shared" si="243"/>
        <v>0</v>
      </c>
      <c r="AC598" s="2909">
        <f t="shared" si="245"/>
        <v>24521.280000000002</v>
      </c>
    </row>
    <row r="599" spans="1:29">
      <c r="A599" s="2953" t="s">
        <v>4671</v>
      </c>
      <c r="B599" s="2954">
        <v>1175</v>
      </c>
      <c r="C599" s="2955">
        <v>1175</v>
      </c>
      <c r="D599" s="2902">
        <f t="shared" si="222"/>
        <v>3.3575457626343732E-3</v>
      </c>
      <c r="E599" s="2903">
        <v>105750</v>
      </c>
      <c r="F599" s="2904">
        <f t="shared" si="223"/>
        <v>3.6967276636635719E-3</v>
      </c>
      <c r="G599" s="2903">
        <f t="shared" si="236"/>
        <v>105750</v>
      </c>
      <c r="H599" s="2903">
        <f t="shared" si="224"/>
        <v>0</v>
      </c>
      <c r="I599" s="2905">
        <f t="shared" si="237"/>
        <v>66975</v>
      </c>
      <c r="J599" s="1096">
        <v>23904</v>
      </c>
      <c r="K599" s="2479">
        <f t="shared" si="225"/>
        <v>979107.83999999997</v>
      </c>
      <c r="L599" s="398">
        <f t="shared" si="238"/>
        <v>21150</v>
      </c>
      <c r="M599" s="1095">
        <f t="shared" si="239"/>
        <v>112029</v>
      </c>
      <c r="N599" s="2906">
        <f t="shared" si="234"/>
        <v>3.5260195307533966E-3</v>
      </c>
      <c r="O599" s="2907">
        <f t="shared" si="226"/>
        <v>1.6847376811902339E-4</v>
      </c>
      <c r="P599" s="2908">
        <f t="shared" si="227"/>
        <v>352500</v>
      </c>
      <c r="Q599" s="1095">
        <f t="shared" si="228"/>
        <v>96232.5</v>
      </c>
      <c r="R599" s="2909">
        <f t="shared" si="229"/>
        <v>448732.5</v>
      </c>
      <c r="S599" s="398">
        <f t="shared" si="230"/>
        <v>0</v>
      </c>
      <c r="T599" s="1095">
        <f t="shared" si="231"/>
        <v>0</v>
      </c>
      <c r="U599" s="398">
        <f t="shared" si="232"/>
        <v>0</v>
      </c>
      <c r="V599" s="2913">
        <v>0</v>
      </c>
      <c r="W599" s="1095">
        <f t="shared" si="240"/>
        <v>127169.28000000001</v>
      </c>
      <c r="X599" s="1095">
        <f t="shared" si="241"/>
        <v>21150</v>
      </c>
      <c r="Y599" s="2909">
        <f t="shared" si="244"/>
        <v>148319.28000000003</v>
      </c>
      <c r="Z599" s="2913">
        <v>0</v>
      </c>
      <c r="AA599" s="1095">
        <f t="shared" si="242"/>
        <v>68604.479999999996</v>
      </c>
      <c r="AB599" s="1095">
        <f t="shared" si="243"/>
        <v>0</v>
      </c>
      <c r="AC599" s="2909">
        <f t="shared" si="245"/>
        <v>68604.479999999996</v>
      </c>
    </row>
    <row r="600" spans="1:29">
      <c r="A600" s="2953" t="s">
        <v>4672</v>
      </c>
      <c r="B600" s="2954">
        <v>11425</v>
      </c>
      <c r="C600" s="2955">
        <v>11425</v>
      </c>
      <c r="D600" s="2902">
        <f t="shared" si="222"/>
        <v>3.2646774755827841E-2</v>
      </c>
      <c r="E600" s="2903">
        <v>1028250</v>
      </c>
      <c r="F600" s="2904">
        <f t="shared" si="223"/>
        <v>3.5944777495622394E-2</v>
      </c>
      <c r="G600" s="2903">
        <f t="shared" si="236"/>
        <v>1028250</v>
      </c>
      <c r="H600" s="2903">
        <f t="shared" si="224"/>
        <v>0</v>
      </c>
      <c r="I600" s="2905">
        <f t="shared" si="237"/>
        <v>651225</v>
      </c>
      <c r="J600" s="1096">
        <v>232439</v>
      </c>
      <c r="K600" s="2479">
        <f t="shared" si="225"/>
        <v>9520701.4399999995</v>
      </c>
      <c r="L600" s="398">
        <f t="shared" si="238"/>
        <v>205650</v>
      </c>
      <c r="M600" s="1095">
        <f t="shared" si="239"/>
        <v>1089314</v>
      </c>
      <c r="N600" s="2906">
        <f t="shared" si="234"/>
        <v>3.4285251489552755E-2</v>
      </c>
      <c r="O600" s="2907">
        <f t="shared" si="226"/>
        <v>1.638476733724914E-3</v>
      </c>
      <c r="P600" s="2908">
        <f t="shared" si="227"/>
        <v>3427500</v>
      </c>
      <c r="Q600" s="1095">
        <f t="shared" si="228"/>
        <v>935707.5</v>
      </c>
      <c r="R600" s="2909">
        <f t="shared" si="229"/>
        <v>4363207.5</v>
      </c>
      <c r="S600" s="398">
        <f t="shared" si="230"/>
        <v>0</v>
      </c>
      <c r="T600" s="1095">
        <f t="shared" si="231"/>
        <v>0</v>
      </c>
      <c r="U600" s="398">
        <f t="shared" si="232"/>
        <v>0</v>
      </c>
      <c r="V600" s="2913">
        <v>0</v>
      </c>
      <c r="W600" s="1095">
        <f t="shared" si="240"/>
        <v>1236575.48</v>
      </c>
      <c r="X600" s="1095">
        <f t="shared" si="241"/>
        <v>205650</v>
      </c>
      <c r="Y600" s="2909">
        <f t="shared" si="244"/>
        <v>1442225.48</v>
      </c>
      <c r="Z600" s="2913">
        <v>0</v>
      </c>
      <c r="AA600" s="1095">
        <f t="shared" si="242"/>
        <v>667099.93000000005</v>
      </c>
      <c r="AB600" s="1095">
        <f t="shared" si="243"/>
        <v>0</v>
      </c>
      <c r="AC600" s="2909">
        <f t="shared" si="245"/>
        <v>667099.93000000005</v>
      </c>
    </row>
    <row r="601" spans="1:29">
      <c r="A601" s="2953" t="s">
        <v>4673</v>
      </c>
      <c r="B601" s="2956">
        <v>460</v>
      </c>
      <c r="C601" s="2957">
        <v>460</v>
      </c>
      <c r="D601" s="2902">
        <f t="shared" si="222"/>
        <v>1.3144434474994143E-3</v>
      </c>
      <c r="E601" s="2903">
        <v>41400</v>
      </c>
      <c r="F601" s="2904">
        <f t="shared" si="223"/>
        <v>1.4472295534342496E-3</v>
      </c>
      <c r="G601" s="2903">
        <f t="shared" si="236"/>
        <v>41400</v>
      </c>
      <c r="H601" s="2903">
        <f t="shared" si="224"/>
        <v>0</v>
      </c>
      <c r="I601" s="2905">
        <f t="shared" si="237"/>
        <v>26220</v>
      </c>
      <c r="J601" s="1096">
        <v>9357</v>
      </c>
      <c r="K601" s="2479">
        <f t="shared" si="225"/>
        <v>383262.72000000003</v>
      </c>
      <c r="L601" s="398">
        <f t="shared" si="238"/>
        <v>8280</v>
      </c>
      <c r="M601" s="1095">
        <f t="shared" si="239"/>
        <v>43857</v>
      </c>
      <c r="N601" s="2906">
        <f t="shared" si="234"/>
        <v>1.3803625718363257E-3</v>
      </c>
      <c r="O601" s="2907">
        <f t="shared" si="226"/>
        <v>6.591912433691143E-5</v>
      </c>
      <c r="P601" s="2908">
        <f t="shared" si="227"/>
        <v>138000</v>
      </c>
      <c r="Q601" s="1095">
        <f t="shared" si="228"/>
        <v>37674</v>
      </c>
      <c r="R601" s="2909">
        <f t="shared" si="229"/>
        <v>175674</v>
      </c>
      <c r="S601" s="398">
        <f t="shared" si="230"/>
        <v>0</v>
      </c>
      <c r="T601" s="1095">
        <f t="shared" si="231"/>
        <v>0</v>
      </c>
      <c r="U601" s="398">
        <f t="shared" si="232"/>
        <v>0</v>
      </c>
      <c r="V601" s="2913">
        <v>0</v>
      </c>
      <c r="W601" s="1095">
        <f t="shared" si="240"/>
        <v>49779.240000000005</v>
      </c>
      <c r="X601" s="1095">
        <f t="shared" si="241"/>
        <v>8280</v>
      </c>
      <c r="Y601" s="2909">
        <f t="shared" si="244"/>
        <v>58059.240000000005</v>
      </c>
      <c r="Z601" s="2913">
        <v>0</v>
      </c>
      <c r="AA601" s="1095">
        <f t="shared" si="242"/>
        <v>26854.59</v>
      </c>
      <c r="AB601" s="1095">
        <f t="shared" si="243"/>
        <v>0</v>
      </c>
      <c r="AC601" s="2909">
        <f t="shared" si="245"/>
        <v>26854.59</v>
      </c>
    </row>
    <row r="602" spans="1:29">
      <c r="A602" s="2953" t="s">
        <v>4674</v>
      </c>
      <c r="B602" s="2954">
        <v>5605</v>
      </c>
      <c r="C602" s="2955">
        <v>5605</v>
      </c>
      <c r="D602" s="2902">
        <f t="shared" si="222"/>
        <v>1.601620765920482E-2</v>
      </c>
      <c r="E602" s="2903">
        <v>504450</v>
      </c>
      <c r="F602" s="2904">
        <f t="shared" si="223"/>
        <v>1.7634177493476018E-2</v>
      </c>
      <c r="G602" s="2903">
        <f t="shared" si="236"/>
        <v>504450</v>
      </c>
      <c r="H602" s="2903">
        <f t="shared" si="224"/>
        <v>0</v>
      </c>
      <c r="I602" s="2905">
        <f t="shared" si="237"/>
        <v>319485</v>
      </c>
      <c r="J602" s="1096">
        <v>97755</v>
      </c>
      <c r="K602" s="2479">
        <f t="shared" si="225"/>
        <v>4004044.8000000003</v>
      </c>
      <c r="L602" s="398">
        <f t="shared" si="238"/>
        <v>100890</v>
      </c>
      <c r="M602" s="1095">
        <f t="shared" si="239"/>
        <v>518130</v>
      </c>
      <c r="N602" s="2906">
        <f t="shared" si="234"/>
        <v>1.6307710498792791E-2</v>
      </c>
      <c r="O602" s="2907">
        <f t="shared" si="226"/>
        <v>2.915028395879711E-4</v>
      </c>
      <c r="P602" s="2908">
        <f t="shared" si="227"/>
        <v>1681500</v>
      </c>
      <c r="Q602" s="1095">
        <f t="shared" si="228"/>
        <v>459049.5</v>
      </c>
      <c r="R602" s="2909">
        <f t="shared" si="229"/>
        <v>2140549.5</v>
      </c>
      <c r="S602" s="398">
        <f t="shared" si="230"/>
        <v>0</v>
      </c>
      <c r="T602" s="1095">
        <f t="shared" si="231"/>
        <v>0</v>
      </c>
      <c r="U602" s="398">
        <f t="shared" si="232"/>
        <v>0</v>
      </c>
      <c r="V602" s="2913">
        <v>0</v>
      </c>
      <c r="W602" s="1095">
        <f t="shared" si="240"/>
        <v>520056.60000000003</v>
      </c>
      <c r="X602" s="1095">
        <f t="shared" si="241"/>
        <v>100890</v>
      </c>
      <c r="Y602" s="2909">
        <f t="shared" si="244"/>
        <v>620946.60000000009</v>
      </c>
      <c r="Z602" s="2913">
        <v>0</v>
      </c>
      <c r="AA602" s="1095">
        <f t="shared" si="242"/>
        <v>280556.85000000003</v>
      </c>
      <c r="AB602" s="1095">
        <f t="shared" si="243"/>
        <v>0</v>
      </c>
      <c r="AC602" s="2909">
        <f t="shared" si="245"/>
        <v>280556.85000000003</v>
      </c>
    </row>
    <row r="603" spans="1:29">
      <c r="A603" s="2953" t="s">
        <v>4675</v>
      </c>
      <c r="B603" s="2954">
        <v>4300</v>
      </c>
      <c r="C603" s="2955">
        <v>4300</v>
      </c>
      <c r="D603" s="2902">
        <f t="shared" si="222"/>
        <v>1.2287188748364089E-2</v>
      </c>
      <c r="E603" s="2903">
        <v>387000</v>
      </c>
      <c r="F603" s="2904">
        <f t="shared" si="223"/>
        <v>1.3528450173407114E-2</v>
      </c>
      <c r="G603" s="2903">
        <f t="shared" si="236"/>
        <v>387000</v>
      </c>
      <c r="H603" s="2903">
        <f t="shared" si="224"/>
        <v>0</v>
      </c>
      <c r="I603" s="2905">
        <f t="shared" si="237"/>
        <v>245100</v>
      </c>
      <c r="J603" s="1096">
        <v>74995</v>
      </c>
      <c r="K603" s="2479">
        <f t="shared" si="225"/>
        <v>3071795.2000000002</v>
      </c>
      <c r="L603" s="398">
        <f t="shared" si="238"/>
        <v>77400</v>
      </c>
      <c r="M603" s="1095">
        <f t="shared" si="239"/>
        <v>397495</v>
      </c>
      <c r="N603" s="2906">
        <f t="shared" si="234"/>
        <v>1.2510824281006002E-2</v>
      </c>
      <c r="O603" s="2907">
        <f t="shared" si="226"/>
        <v>2.2363553264191302E-4</v>
      </c>
      <c r="P603" s="2908">
        <f t="shared" si="227"/>
        <v>1290000</v>
      </c>
      <c r="Q603" s="1095">
        <f t="shared" si="228"/>
        <v>352170</v>
      </c>
      <c r="R603" s="2909">
        <f t="shared" si="229"/>
        <v>1642170</v>
      </c>
      <c r="S603" s="398">
        <f t="shared" si="230"/>
        <v>0</v>
      </c>
      <c r="T603" s="1095">
        <f t="shared" si="231"/>
        <v>0</v>
      </c>
      <c r="U603" s="398">
        <f t="shared" si="232"/>
        <v>0</v>
      </c>
      <c r="V603" s="2913">
        <v>0</v>
      </c>
      <c r="W603" s="1095">
        <f t="shared" si="240"/>
        <v>398973.4</v>
      </c>
      <c r="X603" s="1095">
        <f t="shared" si="241"/>
        <v>77400</v>
      </c>
      <c r="Y603" s="2909">
        <f t="shared" si="244"/>
        <v>476373.4</v>
      </c>
      <c r="Z603" s="2913">
        <v>0</v>
      </c>
      <c r="AA603" s="1095">
        <f t="shared" si="242"/>
        <v>215235.65</v>
      </c>
      <c r="AB603" s="1095">
        <f t="shared" si="243"/>
        <v>0</v>
      </c>
      <c r="AC603" s="2909">
        <f t="shared" si="245"/>
        <v>215235.65</v>
      </c>
    </row>
    <row r="604" spans="1:29">
      <c r="A604" s="2953" t="s">
        <v>4676</v>
      </c>
      <c r="B604" s="2954">
        <v>3615</v>
      </c>
      <c r="C604" s="2955">
        <v>3615</v>
      </c>
      <c r="D604" s="2902">
        <f t="shared" si="222"/>
        <v>1.0329811005892135E-2</v>
      </c>
      <c r="E604" s="2903">
        <v>325350</v>
      </c>
      <c r="F604" s="2904">
        <f t="shared" si="223"/>
        <v>1.137333659927133E-2</v>
      </c>
      <c r="G604" s="2903">
        <f t="shared" si="236"/>
        <v>325350</v>
      </c>
      <c r="H604" s="2903">
        <f t="shared" si="224"/>
        <v>0</v>
      </c>
      <c r="I604" s="2905">
        <f t="shared" si="237"/>
        <v>206055</v>
      </c>
      <c r="J604" s="1096">
        <v>63048</v>
      </c>
      <c r="K604" s="2479">
        <f t="shared" si="225"/>
        <v>2582446.0800000001</v>
      </c>
      <c r="L604" s="398">
        <f t="shared" si="238"/>
        <v>65070</v>
      </c>
      <c r="M604" s="1095">
        <f t="shared" si="239"/>
        <v>334173</v>
      </c>
      <c r="N604" s="2906">
        <f t="shared" si="234"/>
        <v>1.0517817035325271E-2</v>
      </c>
      <c r="O604" s="2907">
        <f t="shared" si="226"/>
        <v>1.8800602943313573E-4</v>
      </c>
      <c r="P604" s="2908">
        <f t="shared" si="227"/>
        <v>1084500</v>
      </c>
      <c r="Q604" s="1095">
        <f t="shared" si="228"/>
        <v>296068.5</v>
      </c>
      <c r="R604" s="2909">
        <f t="shared" si="229"/>
        <v>1380568.5</v>
      </c>
      <c r="S604" s="398">
        <f t="shared" si="230"/>
        <v>0</v>
      </c>
      <c r="T604" s="1095">
        <f t="shared" si="231"/>
        <v>0</v>
      </c>
      <c r="U604" s="398">
        <f t="shared" si="232"/>
        <v>0</v>
      </c>
      <c r="V604" s="2913">
        <v>0</v>
      </c>
      <c r="W604" s="1095">
        <f t="shared" si="240"/>
        <v>335415.36000000004</v>
      </c>
      <c r="X604" s="1095">
        <f t="shared" si="241"/>
        <v>65070</v>
      </c>
      <c r="Y604" s="2909">
        <f t="shared" si="244"/>
        <v>400485.36000000004</v>
      </c>
      <c r="Z604" s="2913">
        <v>0</v>
      </c>
      <c r="AA604" s="1095">
        <f t="shared" si="242"/>
        <v>180947.76</v>
      </c>
      <c r="AB604" s="1095">
        <f t="shared" si="243"/>
        <v>0</v>
      </c>
      <c r="AC604" s="2909">
        <f t="shared" si="245"/>
        <v>180947.76</v>
      </c>
    </row>
    <row r="605" spans="1:29">
      <c r="A605" s="2953" t="s">
        <v>4677</v>
      </c>
      <c r="B605" s="2954">
        <v>1645</v>
      </c>
      <c r="C605" s="2955">
        <v>1645</v>
      </c>
      <c r="D605" s="2902">
        <f t="shared" si="222"/>
        <v>4.7005640676881224E-3</v>
      </c>
      <c r="E605" s="2903">
        <v>148050</v>
      </c>
      <c r="F605" s="2904">
        <f t="shared" si="223"/>
        <v>5.1754187291290013E-3</v>
      </c>
      <c r="G605" s="2903">
        <f t="shared" si="236"/>
        <v>148050</v>
      </c>
      <c r="H605" s="2903">
        <f t="shared" si="224"/>
        <v>0</v>
      </c>
      <c r="I605" s="2905">
        <f t="shared" si="237"/>
        <v>93765</v>
      </c>
      <c r="J605" s="1096">
        <v>0</v>
      </c>
      <c r="K605" s="2479">
        <f t="shared" si="225"/>
        <v>0</v>
      </c>
      <c r="L605" s="398">
        <f t="shared" si="238"/>
        <v>29610</v>
      </c>
      <c r="M605" s="1095">
        <f t="shared" si="239"/>
        <v>123375</v>
      </c>
      <c r="N605" s="2906">
        <f t="shared" si="234"/>
        <v>3.8831254372234006E-3</v>
      </c>
      <c r="O605" s="2907">
        <f t="shared" si="226"/>
        <v>-8.1743863046472185E-4</v>
      </c>
      <c r="P605" s="2908">
        <f t="shared" si="227"/>
        <v>493500</v>
      </c>
      <c r="Q605" s="1095">
        <f t="shared" si="228"/>
        <v>134725.5</v>
      </c>
      <c r="R605" s="2909">
        <f t="shared" si="229"/>
        <v>628225.5</v>
      </c>
      <c r="S605" s="398">
        <f t="shared" si="230"/>
        <v>0</v>
      </c>
      <c r="T605" s="1095">
        <f t="shared" si="231"/>
        <v>0</v>
      </c>
      <c r="U605" s="398">
        <f t="shared" si="232"/>
        <v>0</v>
      </c>
      <c r="V605" s="2913">
        <v>0</v>
      </c>
      <c r="W605" s="1095">
        <f t="shared" si="240"/>
        <v>0</v>
      </c>
      <c r="X605" s="1095">
        <f t="shared" si="241"/>
        <v>29610</v>
      </c>
      <c r="Y605" s="2909">
        <f t="shared" si="244"/>
        <v>29610</v>
      </c>
      <c r="Z605" s="2913">
        <v>0</v>
      </c>
      <c r="AA605" s="1095">
        <f t="shared" si="242"/>
        <v>0</v>
      </c>
      <c r="AB605" s="1095">
        <f t="shared" si="243"/>
        <v>0</v>
      </c>
      <c r="AC605" s="2909">
        <f t="shared" si="245"/>
        <v>0</v>
      </c>
    </row>
    <row r="606" spans="1:29">
      <c r="A606" s="2953" t="s">
        <v>4678</v>
      </c>
      <c r="B606" s="2956">
        <v>845</v>
      </c>
      <c r="C606" s="2957">
        <v>845</v>
      </c>
      <c r="D606" s="2902">
        <f t="shared" si="222"/>
        <v>2.4145754633413154E-3</v>
      </c>
      <c r="E606" s="2903">
        <v>76050</v>
      </c>
      <c r="F606" s="2904">
        <f t="shared" si="223"/>
        <v>2.6584977666346539E-3</v>
      </c>
      <c r="G606" s="2903">
        <f t="shared" si="236"/>
        <v>76050</v>
      </c>
      <c r="H606" s="2903">
        <f t="shared" si="224"/>
        <v>0</v>
      </c>
      <c r="I606" s="2905">
        <f t="shared" si="237"/>
        <v>48165</v>
      </c>
      <c r="J606" s="1096">
        <v>14737</v>
      </c>
      <c r="K606" s="2479">
        <f t="shared" si="225"/>
        <v>603627.52000000002</v>
      </c>
      <c r="L606" s="398">
        <f t="shared" si="238"/>
        <v>15210</v>
      </c>
      <c r="M606" s="1095">
        <f t="shared" si="239"/>
        <v>78112</v>
      </c>
      <c r="N606" s="2906">
        <f t="shared" si="234"/>
        <v>2.458510185632375E-3</v>
      </c>
      <c r="O606" s="2907">
        <f t="shared" si="226"/>
        <v>4.3934722291059675E-5</v>
      </c>
      <c r="P606" s="2908">
        <f t="shared" si="227"/>
        <v>253500</v>
      </c>
      <c r="Q606" s="1095">
        <f t="shared" si="228"/>
        <v>69205.5</v>
      </c>
      <c r="R606" s="2909">
        <f t="shared" si="229"/>
        <v>322705.5</v>
      </c>
      <c r="S606" s="398">
        <f t="shared" si="230"/>
        <v>0</v>
      </c>
      <c r="T606" s="1095">
        <f t="shared" si="231"/>
        <v>0</v>
      </c>
      <c r="U606" s="398">
        <f t="shared" si="232"/>
        <v>0</v>
      </c>
      <c r="V606" s="2913">
        <v>0</v>
      </c>
      <c r="W606" s="1095">
        <f t="shared" si="240"/>
        <v>78400.840000000011</v>
      </c>
      <c r="X606" s="1095">
        <f t="shared" si="241"/>
        <v>15210</v>
      </c>
      <c r="Y606" s="2909">
        <f t="shared" si="244"/>
        <v>93610.840000000011</v>
      </c>
      <c r="Z606" s="2913">
        <v>0</v>
      </c>
      <c r="AA606" s="1095">
        <f t="shared" si="242"/>
        <v>42295.19</v>
      </c>
      <c r="AB606" s="1095">
        <f t="shared" si="243"/>
        <v>0</v>
      </c>
      <c r="AC606" s="2909">
        <f t="shared" si="245"/>
        <v>42295.19</v>
      </c>
    </row>
    <row r="607" spans="1:29">
      <c r="A607" s="2953" t="s">
        <v>4679</v>
      </c>
      <c r="B607" s="2954">
        <v>4025</v>
      </c>
      <c r="C607" s="2955">
        <v>4025</v>
      </c>
      <c r="D607" s="2902">
        <f t="shared" si="222"/>
        <v>1.1501380165619874E-2</v>
      </c>
      <c r="E607" s="2903">
        <v>362250</v>
      </c>
      <c r="F607" s="2904">
        <f t="shared" si="223"/>
        <v>1.2663258592549683E-2</v>
      </c>
      <c r="G607" s="2903">
        <f t="shared" si="236"/>
        <v>362250</v>
      </c>
      <c r="H607" s="2903">
        <f t="shared" si="224"/>
        <v>0</v>
      </c>
      <c r="I607" s="2905">
        <f t="shared" si="237"/>
        <v>229425</v>
      </c>
      <c r="J607" s="1096">
        <v>70198</v>
      </c>
      <c r="K607" s="2479">
        <f t="shared" si="225"/>
        <v>2875310.0800000001</v>
      </c>
      <c r="L607" s="398">
        <f t="shared" si="238"/>
        <v>72450</v>
      </c>
      <c r="M607" s="1095">
        <f t="shared" si="239"/>
        <v>372073</v>
      </c>
      <c r="N607" s="2906">
        <f t="shared" si="234"/>
        <v>1.1710687990306157E-2</v>
      </c>
      <c r="O607" s="2907">
        <f t="shared" si="226"/>
        <v>2.0930782468628339E-4</v>
      </c>
      <c r="P607" s="2908">
        <f t="shared" si="227"/>
        <v>1207500</v>
      </c>
      <c r="Q607" s="1095">
        <f t="shared" si="228"/>
        <v>329647.5</v>
      </c>
      <c r="R607" s="2909">
        <f t="shared" si="229"/>
        <v>1537147.5</v>
      </c>
      <c r="S607" s="398">
        <f t="shared" si="230"/>
        <v>0</v>
      </c>
      <c r="T607" s="1095">
        <f t="shared" si="231"/>
        <v>0</v>
      </c>
      <c r="U607" s="398">
        <f t="shared" si="232"/>
        <v>0</v>
      </c>
      <c r="V607" s="2913">
        <v>0</v>
      </c>
      <c r="W607" s="1095">
        <f t="shared" si="240"/>
        <v>373453.36000000004</v>
      </c>
      <c r="X607" s="1095">
        <f t="shared" si="241"/>
        <v>72450</v>
      </c>
      <c r="Y607" s="2909">
        <f t="shared" si="244"/>
        <v>445903.36000000004</v>
      </c>
      <c r="Z607" s="2913">
        <v>0</v>
      </c>
      <c r="AA607" s="1095">
        <f t="shared" si="242"/>
        <v>201468.26</v>
      </c>
      <c r="AB607" s="1095">
        <f t="shared" si="243"/>
        <v>0</v>
      </c>
      <c r="AC607" s="2909">
        <f t="shared" si="245"/>
        <v>201468.26</v>
      </c>
    </row>
    <row r="608" spans="1:29">
      <c r="A608" s="2953" t="s">
        <v>4680</v>
      </c>
      <c r="B608" s="2954">
        <v>2250</v>
      </c>
      <c r="C608" s="2955">
        <v>2250</v>
      </c>
      <c r="D608" s="2902">
        <f t="shared" si="222"/>
        <v>6.4293429497253958E-3</v>
      </c>
      <c r="E608" s="2903">
        <v>202500</v>
      </c>
      <c r="F608" s="2904">
        <f t="shared" si="223"/>
        <v>7.0788402070153505E-3</v>
      </c>
      <c r="G608" s="2903">
        <f t="shared" si="236"/>
        <v>202500</v>
      </c>
      <c r="H608" s="2903">
        <f t="shared" si="224"/>
        <v>0</v>
      </c>
      <c r="I608" s="2905">
        <f t="shared" si="237"/>
        <v>128250</v>
      </c>
      <c r="J608" s="1096">
        <v>39241</v>
      </c>
      <c r="K608" s="2479">
        <f t="shared" si="225"/>
        <v>1607311.3600000001</v>
      </c>
      <c r="L608" s="398">
        <f t="shared" si="238"/>
        <v>40500</v>
      </c>
      <c r="M608" s="1095">
        <f t="shared" si="239"/>
        <v>207991</v>
      </c>
      <c r="N608" s="2906">
        <f t="shared" si="234"/>
        <v>6.5463436094308596E-3</v>
      </c>
      <c r="O608" s="2907">
        <f t="shared" si="226"/>
        <v>1.1700065970546378E-4</v>
      </c>
      <c r="P608" s="2908">
        <f t="shared" si="227"/>
        <v>675000</v>
      </c>
      <c r="Q608" s="1095">
        <f t="shared" si="228"/>
        <v>184275</v>
      </c>
      <c r="R608" s="2909">
        <f t="shared" si="229"/>
        <v>859275</v>
      </c>
      <c r="S608" s="398">
        <f t="shared" si="230"/>
        <v>0</v>
      </c>
      <c r="T608" s="1095">
        <f t="shared" si="231"/>
        <v>0</v>
      </c>
      <c r="U608" s="398">
        <f t="shared" si="232"/>
        <v>0</v>
      </c>
      <c r="V608" s="2913">
        <v>0</v>
      </c>
      <c r="W608" s="1095">
        <f t="shared" si="240"/>
        <v>208762.12000000002</v>
      </c>
      <c r="X608" s="1095">
        <f t="shared" si="241"/>
        <v>40500</v>
      </c>
      <c r="Y608" s="2909">
        <f t="shared" si="244"/>
        <v>249262.12000000002</v>
      </c>
      <c r="Z608" s="2913">
        <v>0</v>
      </c>
      <c r="AA608" s="1095">
        <f t="shared" si="242"/>
        <v>112621.67</v>
      </c>
      <c r="AB608" s="1095">
        <f t="shared" si="243"/>
        <v>0</v>
      </c>
      <c r="AC608" s="2909">
        <f t="shared" si="245"/>
        <v>112621.67</v>
      </c>
    </row>
    <row r="609" spans="1:29" ht="13.5" thickBot="1">
      <c r="A609" s="2953" t="s">
        <v>4681</v>
      </c>
      <c r="B609" s="2954">
        <v>1100</v>
      </c>
      <c r="C609" s="2955">
        <v>1100</v>
      </c>
      <c r="D609" s="2902">
        <f t="shared" si="222"/>
        <v>3.14323433097686E-3</v>
      </c>
      <c r="E609" s="2903">
        <v>99000</v>
      </c>
      <c r="F609" s="2904">
        <f t="shared" si="223"/>
        <v>3.4607663234297271E-3</v>
      </c>
      <c r="G609" s="2903">
        <f t="shared" si="236"/>
        <v>99000</v>
      </c>
      <c r="H609" s="2903">
        <f t="shared" si="224"/>
        <v>0</v>
      </c>
      <c r="I609" s="2905">
        <f t="shared" si="237"/>
        <v>62700</v>
      </c>
      <c r="J609" s="1096">
        <v>19184</v>
      </c>
      <c r="K609" s="2479">
        <f t="shared" si="225"/>
        <v>785776.64000000001</v>
      </c>
      <c r="L609" s="398">
        <f t="shared" si="238"/>
        <v>19800</v>
      </c>
      <c r="M609" s="1095">
        <f t="shared" si="239"/>
        <v>101684</v>
      </c>
      <c r="N609" s="2906">
        <f t="shared" si="234"/>
        <v>3.2004192661286668E-3</v>
      </c>
      <c r="O609" s="2907">
        <f t="shared" si="226"/>
        <v>5.718493515180674E-5</v>
      </c>
      <c r="P609" s="2908">
        <f t="shared" si="227"/>
        <v>330000</v>
      </c>
      <c r="Q609" s="1095">
        <f t="shared" si="228"/>
        <v>90090</v>
      </c>
      <c r="R609" s="2909">
        <f t="shared" si="229"/>
        <v>420090</v>
      </c>
      <c r="S609" s="398">
        <f t="shared" si="230"/>
        <v>0</v>
      </c>
      <c r="T609" s="1095">
        <f t="shared" si="231"/>
        <v>0</v>
      </c>
      <c r="U609" s="398">
        <f t="shared" si="232"/>
        <v>0</v>
      </c>
      <c r="V609" s="2913">
        <v>0</v>
      </c>
      <c r="W609" s="1095">
        <f t="shared" si="240"/>
        <v>102058.88</v>
      </c>
      <c r="X609" s="1095">
        <f t="shared" si="241"/>
        <v>19800</v>
      </c>
      <c r="Y609" s="2909">
        <f t="shared" si="244"/>
        <v>121858.88</v>
      </c>
      <c r="Z609" s="2913">
        <v>0</v>
      </c>
      <c r="AA609" s="1095">
        <f t="shared" si="242"/>
        <v>55058.080000000002</v>
      </c>
      <c r="AB609" s="1095">
        <f t="shared" si="243"/>
        <v>0</v>
      </c>
      <c r="AC609" s="2909">
        <f t="shared" si="245"/>
        <v>55058.080000000002</v>
      </c>
    </row>
    <row r="610" spans="1:29" ht="13.5" thickBot="1">
      <c r="A610" s="2958" t="s">
        <v>4682</v>
      </c>
      <c r="B610" s="1206"/>
      <c r="C610" s="2934">
        <f>SUM(C591:C609)</f>
        <v>68032</v>
      </c>
      <c r="D610" s="2959">
        <f t="shared" si="222"/>
        <v>0.19440047091365251</v>
      </c>
      <c r="E610" s="2937">
        <f>SUM(E591:E609)</f>
        <v>5198280</v>
      </c>
      <c r="F610" s="2960">
        <f t="shared" si="223"/>
        <v>0.18171749862382103</v>
      </c>
      <c r="G610" s="2937">
        <f>SUM(G591:G609)</f>
        <v>6122880</v>
      </c>
      <c r="H610" s="2937">
        <f t="shared" si="224"/>
        <v>-924600</v>
      </c>
      <c r="I610" s="2934">
        <f>SUM(I591:I609)</f>
        <v>3877824</v>
      </c>
      <c r="J610" s="2935">
        <f>SUM(J591:J609)</f>
        <v>1279237</v>
      </c>
      <c r="K610" s="2936">
        <f>J610*40.96</f>
        <v>52397547.520000003</v>
      </c>
      <c r="L610" s="2937">
        <f>SUM(L591:L609)</f>
        <v>1039656</v>
      </c>
      <c r="M610" s="2941">
        <f t="shared" si="239"/>
        <v>6196717</v>
      </c>
      <c r="N610" s="2938">
        <f>M610/$M$612</f>
        <v>0.19503650990860935</v>
      </c>
      <c r="O610" s="2939">
        <f t="shared" si="226"/>
        <v>6.3603899495684457E-4</v>
      </c>
      <c r="P610" s="2940">
        <f>SUM(P591:P609)</f>
        <v>20409600</v>
      </c>
      <c r="Q610" s="2941">
        <f t="shared" si="228"/>
        <v>4730434.8</v>
      </c>
      <c r="R610" s="2942">
        <f t="shared" si="229"/>
        <v>25140034.800000001</v>
      </c>
      <c r="S610" s="2937">
        <f t="shared" si="230"/>
        <v>0</v>
      </c>
      <c r="T610" s="2941">
        <f t="shared" si="231"/>
        <v>0</v>
      </c>
      <c r="U610" s="2937">
        <f t="shared" si="232"/>
        <v>0</v>
      </c>
      <c r="V610" s="2943">
        <f t="shared" ref="V610:AC610" si="246">SUM(V591:V609)</f>
        <v>0</v>
      </c>
      <c r="W610" s="2941">
        <f t="shared" si="246"/>
        <v>6805540.8399999999</v>
      </c>
      <c r="X610" s="2941">
        <f t="shared" si="246"/>
        <v>1039656</v>
      </c>
      <c r="Y610" s="2942">
        <f t="shared" si="246"/>
        <v>7845196.8399999999</v>
      </c>
      <c r="Z610" s="2943">
        <f t="shared" si="246"/>
        <v>0</v>
      </c>
      <c r="AA610" s="2941">
        <f t="shared" si="246"/>
        <v>3671410.1900000004</v>
      </c>
      <c r="AB610" s="2941">
        <f t="shared" si="246"/>
        <v>0</v>
      </c>
      <c r="AC610" s="2942">
        <f t="shared" si="246"/>
        <v>3671410.1900000004</v>
      </c>
    </row>
    <row r="611" spans="1:29" ht="13.5" thickBot="1">
      <c r="C611" s="2961"/>
      <c r="D611" s="2962"/>
      <c r="F611" s="2963"/>
      <c r="I611" s="2905"/>
      <c r="J611" s="1206"/>
      <c r="K611" s="398"/>
      <c r="L611" s="2964"/>
      <c r="M611" s="2964"/>
      <c r="N611" s="2965"/>
      <c r="O611" s="2966"/>
      <c r="P611" s="2967"/>
      <c r="Q611" s="2967"/>
      <c r="R611" s="2967"/>
      <c r="S611" s="2967"/>
      <c r="T611" s="2967"/>
      <c r="U611" s="2967"/>
      <c r="V611" s="393"/>
      <c r="W611" s="393"/>
      <c r="X611" s="393"/>
      <c r="Y611" s="393"/>
    </row>
    <row r="612" spans="1:29" ht="16.5" thickBot="1">
      <c r="A612" s="2968" t="s">
        <v>4683</v>
      </c>
      <c r="B612" s="2969"/>
      <c r="C612" s="2970">
        <f>C610+C590+C321</f>
        <v>349958</v>
      </c>
      <c r="D612" s="2971">
        <f>C612/349958</f>
        <v>1</v>
      </c>
      <c r="E612" s="2972">
        <f>E610+E590+E321</f>
        <v>28606381</v>
      </c>
      <c r="F612" s="2973">
        <f>E612/$E$612</f>
        <v>1</v>
      </c>
      <c r="G612" s="2972">
        <f>G610+G590+G321</f>
        <v>31496220</v>
      </c>
      <c r="H612" s="2972">
        <f>E612-G612</f>
        <v>-2889839</v>
      </c>
      <c r="I612" s="2970">
        <f t="shared" ref="I612:AC612" si="247">I610+I590+I321</f>
        <v>19947606</v>
      </c>
      <c r="J612" s="2974">
        <f t="shared" si="247"/>
        <v>6103205</v>
      </c>
      <c r="K612" s="2974">
        <f t="shared" si="247"/>
        <v>249987276.79999995</v>
      </c>
      <c r="L612" s="2974">
        <f t="shared" si="247"/>
        <v>5721276.2000000002</v>
      </c>
      <c r="M612" s="2974">
        <f>M610+M590+M321</f>
        <v>31772087.199999999</v>
      </c>
      <c r="N612" s="2975">
        <f t="shared" si="247"/>
        <v>1</v>
      </c>
      <c r="O612" s="2976">
        <f t="shared" si="226"/>
        <v>0</v>
      </c>
      <c r="P612" s="2977">
        <f t="shared" ref="P612:U612" si="248">P610+P590+P321</f>
        <v>104987400</v>
      </c>
      <c r="Q612" s="2974">
        <f t="shared" si="248"/>
        <v>26031806.710000001</v>
      </c>
      <c r="R612" s="2978">
        <f t="shared" si="248"/>
        <v>131019206.71000001</v>
      </c>
      <c r="S612" s="2977">
        <f t="shared" si="248"/>
        <v>0</v>
      </c>
      <c r="T612" s="2974">
        <f t="shared" si="248"/>
        <v>0</v>
      </c>
      <c r="U612" s="2978">
        <f t="shared" si="248"/>
        <v>0</v>
      </c>
      <c r="V612" s="2977">
        <f t="shared" si="247"/>
        <v>0</v>
      </c>
      <c r="W612" s="2974">
        <f t="shared" si="247"/>
        <v>32469050.600000001</v>
      </c>
      <c r="X612" s="2974">
        <f t="shared" si="247"/>
        <v>5721276.2000000002</v>
      </c>
      <c r="Y612" s="2978">
        <f t="shared" si="247"/>
        <v>38190326.79999999</v>
      </c>
      <c r="Z612" s="2977">
        <f t="shared" si="247"/>
        <v>0</v>
      </c>
      <c r="AA612" s="2974">
        <f t="shared" si="247"/>
        <v>17516198.350000005</v>
      </c>
      <c r="AB612" s="2974">
        <f t="shared" si="247"/>
        <v>0</v>
      </c>
      <c r="AC612" s="2978">
        <f t="shared" si="247"/>
        <v>17516198.350000005</v>
      </c>
    </row>
    <row r="613" spans="1:29" ht="13.5" thickBot="1">
      <c r="H613" s="2979"/>
      <c r="L613" s="1003"/>
      <c r="M613" s="1003"/>
    </row>
    <row r="614" spans="1:29" ht="15">
      <c r="E614" s="2980" t="s">
        <v>4684</v>
      </c>
      <c r="F614" s="2981"/>
      <c r="G614" s="2981"/>
      <c r="H614" s="2982"/>
      <c r="J614" s="2983" t="s">
        <v>4685</v>
      </c>
      <c r="K614" s="2981"/>
      <c r="L614" s="2984"/>
      <c r="M614" s="2985"/>
    </row>
    <row r="615" spans="1:29">
      <c r="E615" s="2986" t="s">
        <v>4686</v>
      </c>
      <c r="F615" s="2987"/>
      <c r="G615" s="2987"/>
      <c r="H615" s="2988">
        <f>SUM(G616:G618)</f>
        <v>5</v>
      </c>
      <c r="J615" s="2986" t="s">
        <v>4687</v>
      </c>
      <c r="K615" s="2987"/>
      <c r="L615" s="2989"/>
      <c r="M615" s="2990"/>
    </row>
    <row r="616" spans="1:29">
      <c r="E616" s="2986"/>
      <c r="F616" s="2991" t="s">
        <v>4688</v>
      </c>
      <c r="G616" s="2987">
        <f>COUNTIF($H$6:$H$313,"&gt;0")</f>
        <v>1</v>
      </c>
      <c r="H616" s="2988"/>
      <c r="J616" s="2992"/>
      <c r="K616" s="2991" t="s">
        <v>4688</v>
      </c>
      <c r="L616" s="2989">
        <f>308+5+1-L620</f>
        <v>252</v>
      </c>
      <c r="M616" s="2993">
        <f>L616/314</f>
        <v>0.80254777070063699</v>
      </c>
    </row>
    <row r="617" spans="1:29">
      <c r="E617" s="2986"/>
      <c r="F617" s="2991" t="s">
        <v>4689</v>
      </c>
      <c r="G617" s="2987">
        <f>COUNTIF($H$322:$H$583,"&gt;0")</f>
        <v>4</v>
      </c>
      <c r="H617" s="2988"/>
      <c r="J617" s="2992"/>
      <c r="K617" s="2991" t="s">
        <v>4690</v>
      </c>
      <c r="L617" s="2989">
        <f>262-L621+5</f>
        <v>220</v>
      </c>
      <c r="M617" s="2993">
        <f>L617/(262+5)</f>
        <v>0.82397003745318353</v>
      </c>
    </row>
    <row r="618" spans="1:29">
      <c r="E618" s="2986"/>
      <c r="F618" s="2991" t="s">
        <v>4691</v>
      </c>
      <c r="G618" s="2987">
        <f>COUNTIF($H$591:$H$609,"&gt;0")</f>
        <v>0</v>
      </c>
      <c r="H618" s="2988"/>
      <c r="J618" s="2992"/>
      <c r="K618" s="2991" t="s">
        <v>4691</v>
      </c>
      <c r="L618" s="2989">
        <f>19-L622</f>
        <v>18</v>
      </c>
      <c r="M618" s="2993">
        <f>L618/19</f>
        <v>0.94736842105263153</v>
      </c>
    </row>
    <row r="619" spans="1:29">
      <c r="E619" s="2986" t="s">
        <v>4692</v>
      </c>
      <c r="F619" s="2987"/>
      <c r="G619" s="2987"/>
      <c r="H619" s="2990">
        <f>SUM(G620:G622)</f>
        <v>22</v>
      </c>
      <c r="J619" s="2986" t="s">
        <v>4693</v>
      </c>
      <c r="K619" s="2987"/>
      <c r="L619" s="2989"/>
      <c r="M619" s="2990"/>
    </row>
    <row r="620" spans="1:29">
      <c r="E620" s="2992"/>
      <c r="F620" s="2991" t="s">
        <v>4688</v>
      </c>
      <c r="G620" s="2987">
        <f>COUNTIF($H$6:$H$313,"&lt;0")</f>
        <v>12</v>
      </c>
      <c r="H620" s="2988"/>
      <c r="J620" s="2992"/>
      <c r="K620" s="2991" t="s">
        <v>4688</v>
      </c>
      <c r="L620" s="2987">
        <f>COUNTIF(J6:J321,0)</f>
        <v>62</v>
      </c>
      <c r="M620" s="2993">
        <f>L620/314</f>
        <v>0.19745222929936307</v>
      </c>
    </row>
    <row r="621" spans="1:29">
      <c r="E621" s="2992"/>
      <c r="F621" s="2991" t="s">
        <v>4689</v>
      </c>
      <c r="G621" s="2987">
        <f>COUNTIF($H$322:$H$583,"&lt;0")</f>
        <v>8</v>
      </c>
      <c r="H621" s="2988"/>
      <c r="J621" s="2992"/>
      <c r="K621" s="2991" t="s">
        <v>4690</v>
      </c>
      <c r="L621" s="2987">
        <f>COUNTIF(J322:J590,0)</f>
        <v>47</v>
      </c>
      <c r="M621" s="2993">
        <f>L621/(262+5)</f>
        <v>0.17602996254681649</v>
      </c>
    </row>
    <row r="622" spans="1:29" ht="13.5" thickBot="1">
      <c r="E622" s="2994"/>
      <c r="F622" s="2995" t="s">
        <v>4691</v>
      </c>
      <c r="G622" s="2996">
        <f>COUNTIF($H$591:$H$609,"&lt;0")</f>
        <v>2</v>
      </c>
      <c r="H622" s="2997"/>
      <c r="J622" s="2994"/>
      <c r="K622" s="2995" t="s">
        <v>4691</v>
      </c>
      <c r="L622" s="2996">
        <v>1</v>
      </c>
      <c r="M622" s="2998">
        <f>L622/19</f>
        <v>5.2631578947368418E-2</v>
      </c>
    </row>
  </sheetData>
  <mergeCells count="24">
    <mergeCell ref="A1:H1"/>
    <mergeCell ref="C3:D4"/>
    <mergeCell ref="E3:H4"/>
    <mergeCell ref="I3:O3"/>
    <mergeCell ref="P3:R3"/>
    <mergeCell ref="J4:K4"/>
    <mergeCell ref="M4:M5"/>
    <mergeCell ref="N4:N5"/>
    <mergeCell ref="AC4:AC5"/>
    <mergeCell ref="Z3:AC3"/>
    <mergeCell ref="O4:O5"/>
    <mergeCell ref="P4:P5"/>
    <mergeCell ref="Z4:Z5"/>
    <mergeCell ref="AA4:AA5"/>
    <mergeCell ref="AB4:AB5"/>
    <mergeCell ref="Q4:Q5"/>
    <mergeCell ref="S4:S5"/>
    <mergeCell ref="T4:T5"/>
    <mergeCell ref="V4:V5"/>
    <mergeCell ref="V3:Y3"/>
    <mergeCell ref="W4:W5"/>
    <mergeCell ref="X4:X5"/>
    <mergeCell ref="Y4:Y5"/>
    <mergeCell ref="S3:U3"/>
  </mergeCells>
  <conditionalFormatting sqref="O611:U611 Q6 O6:O610 S6:U610 O612">
    <cfRule type="cellIs" dxfId="1" priority="1" stopIfTrue="1" operator="lessThan">
      <formula>0</formula>
    </cfRule>
    <cfRule type="cellIs" dxfId="0" priority="2" stopIfTrue="1" operator="greaterThan">
      <formula>0</formula>
    </cfRule>
  </conditionalFormatting>
  <hyperlinks>
    <hyperlink ref="A1:H1" location="FINANCIËN!A1" display="DEXIA" xr:uid="{00000000-0004-0000-5600-000000000000}"/>
  </hyperlink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EBD531"/>
  </sheetPr>
  <dimension ref="A1:Q25"/>
  <sheetViews>
    <sheetView workbookViewId="0">
      <selection sqref="A1:N1"/>
    </sheetView>
  </sheetViews>
  <sheetFormatPr defaultColWidth="9.140625" defaultRowHeight="12.75"/>
  <cols>
    <col min="1" max="1" width="9.140625" style="395"/>
    <col min="2" max="6" width="9.140625" style="1003"/>
    <col min="7" max="16384" width="9.140625" style="395"/>
  </cols>
  <sheetData>
    <row r="1" spans="1:17" ht="21">
      <c r="A1" s="4935" t="s">
        <v>7138</v>
      </c>
      <c r="B1" s="4935"/>
      <c r="C1" s="4935"/>
      <c r="D1" s="4935"/>
      <c r="E1" s="4935"/>
      <c r="F1" s="4935"/>
      <c r="G1" s="4935"/>
      <c r="H1" s="4935"/>
      <c r="I1" s="4935"/>
      <c r="J1" s="4935"/>
      <c r="K1" s="4935"/>
      <c r="L1" s="4935"/>
      <c r="M1" s="4935"/>
      <c r="N1" s="4935"/>
    </row>
    <row r="3" spans="1:17">
      <c r="K3" s="3156" t="s">
        <v>634</v>
      </c>
      <c r="L3" s="3157" t="s">
        <v>5392</v>
      </c>
      <c r="M3" s="3157"/>
      <c r="N3" s="3157" t="s">
        <v>5393</v>
      </c>
      <c r="O3" s="3157" t="s">
        <v>5394</v>
      </c>
      <c r="P3" s="3157" t="s">
        <v>5395</v>
      </c>
      <c r="Q3" s="2029"/>
    </row>
    <row r="4" spans="1:17">
      <c r="K4" s="2072">
        <v>2002</v>
      </c>
      <c r="L4" s="398">
        <v>2379427.89</v>
      </c>
      <c r="M4" s="398"/>
      <c r="N4" s="398"/>
      <c r="O4" s="398"/>
      <c r="P4" s="398">
        <v>1985482.16</v>
      </c>
      <c r="Q4" s="1998"/>
    </row>
    <row r="5" spans="1:17">
      <c r="K5" s="2072">
        <v>2003</v>
      </c>
      <c r="L5" s="398">
        <v>2552051.02</v>
      </c>
      <c r="M5" s="398">
        <f>L5-L4</f>
        <v>172623.12999999989</v>
      </c>
      <c r="N5" s="398"/>
      <c r="O5" s="398"/>
      <c r="P5" s="398">
        <v>2150939.17</v>
      </c>
      <c r="Q5" s="2479">
        <f>P5-P4</f>
        <v>165457.01</v>
      </c>
    </row>
    <row r="6" spans="1:17">
      <c r="K6" s="2072">
        <v>2004</v>
      </c>
      <c r="L6" s="398">
        <v>2708430.25</v>
      </c>
      <c r="M6" s="398">
        <f t="shared" ref="M6:M21" si="0">L6-L5</f>
        <v>156379.22999999998</v>
      </c>
      <c r="N6" s="398"/>
      <c r="O6" s="398"/>
      <c r="P6" s="398">
        <v>2174647.59</v>
      </c>
      <c r="Q6" s="2479">
        <f t="shared" ref="Q6:Q21" si="1">P6-P5</f>
        <v>23708.419999999925</v>
      </c>
    </row>
    <row r="7" spans="1:17">
      <c r="K7" s="2072">
        <v>2005</v>
      </c>
      <c r="L7" s="398">
        <v>2717876.33</v>
      </c>
      <c r="M7" s="398">
        <f t="shared" si="0"/>
        <v>9446.0800000000745</v>
      </c>
      <c r="N7" s="398"/>
      <c r="O7" s="398"/>
      <c r="P7" s="398">
        <v>2124268.17</v>
      </c>
      <c r="Q7" s="2479">
        <f t="shared" si="1"/>
        <v>-50379.419999999925</v>
      </c>
    </row>
    <row r="8" spans="1:17">
      <c r="K8" s="2072">
        <v>2006</v>
      </c>
      <c r="L8" s="398">
        <v>2639433.7799999998</v>
      </c>
      <c r="M8" s="398">
        <f t="shared" si="0"/>
        <v>-78442.550000000279</v>
      </c>
      <c r="N8" s="398"/>
      <c r="O8" s="398"/>
      <c r="P8" s="398">
        <v>2192190.2999999998</v>
      </c>
      <c r="Q8" s="2479">
        <f t="shared" si="1"/>
        <v>67922.129999999888</v>
      </c>
    </row>
    <row r="9" spans="1:17">
      <c r="K9" s="2072">
        <v>2007</v>
      </c>
      <c r="L9" s="398">
        <v>2734345.44</v>
      </c>
      <c r="M9" s="398">
        <f t="shared" si="0"/>
        <v>94911.660000000149</v>
      </c>
      <c r="N9" s="398"/>
      <c r="O9" s="398"/>
      <c r="P9" s="398">
        <v>2271959.54</v>
      </c>
      <c r="Q9" s="2479">
        <f>P9-P8</f>
        <v>79769.240000000224</v>
      </c>
    </row>
    <row r="10" spans="1:17">
      <c r="K10" s="2072">
        <v>2008</v>
      </c>
      <c r="L10" s="398">
        <v>2957691.3</v>
      </c>
      <c r="M10" s="398">
        <f t="shared" si="0"/>
        <v>223345.85999999987</v>
      </c>
      <c r="N10" s="398"/>
      <c r="O10" s="398"/>
      <c r="P10" s="398">
        <v>2316272.36</v>
      </c>
      <c r="Q10" s="2479">
        <f t="shared" si="1"/>
        <v>44312.819999999832</v>
      </c>
    </row>
    <row r="11" spans="1:17">
      <c r="K11" s="2072">
        <v>2009</v>
      </c>
      <c r="L11" s="398">
        <v>3090089.47</v>
      </c>
      <c r="M11" s="398">
        <f t="shared" si="0"/>
        <v>132398.17000000039</v>
      </c>
      <c r="N11" s="398"/>
      <c r="O11" s="398"/>
      <c r="P11" s="398">
        <v>2405668.88</v>
      </c>
      <c r="Q11" s="2479">
        <f t="shared" si="1"/>
        <v>89396.520000000019</v>
      </c>
    </row>
    <row r="12" spans="1:17">
      <c r="K12" s="2072">
        <v>2010</v>
      </c>
      <c r="L12" s="398">
        <v>3450365.88</v>
      </c>
      <c r="M12" s="398">
        <f t="shared" si="0"/>
        <v>360276.40999999968</v>
      </c>
      <c r="N12" s="398"/>
      <c r="O12" s="398"/>
      <c r="P12" s="398">
        <v>2421711.44</v>
      </c>
      <c r="Q12" s="2479">
        <f t="shared" si="1"/>
        <v>16042.560000000056</v>
      </c>
    </row>
    <row r="13" spans="1:17">
      <c r="K13" s="2072">
        <v>2011</v>
      </c>
      <c r="L13" s="398">
        <v>3608817.68</v>
      </c>
      <c r="M13" s="398">
        <f t="shared" si="0"/>
        <v>158451.80000000028</v>
      </c>
      <c r="N13" s="398"/>
      <c r="O13" s="398"/>
      <c r="P13" s="398">
        <v>2406079.08</v>
      </c>
      <c r="Q13" s="2479">
        <f t="shared" si="1"/>
        <v>-15632.35999999987</v>
      </c>
    </row>
    <row r="14" spans="1:17">
      <c r="K14" s="2072">
        <v>2012</v>
      </c>
      <c r="L14" s="398">
        <v>3730728.68</v>
      </c>
      <c r="M14" s="398">
        <f t="shared" si="0"/>
        <v>121911</v>
      </c>
      <c r="N14" s="398"/>
      <c r="O14" s="398"/>
      <c r="P14" s="398">
        <v>2603128.6</v>
      </c>
      <c r="Q14" s="2479">
        <f t="shared" si="1"/>
        <v>197049.52000000002</v>
      </c>
    </row>
    <row r="15" spans="1:17">
      <c r="K15" s="2072">
        <v>2013</v>
      </c>
      <c r="L15" s="398">
        <v>3872461.33</v>
      </c>
      <c r="M15" s="398">
        <f t="shared" si="0"/>
        <v>141732.64999999991</v>
      </c>
      <c r="N15" s="398"/>
      <c r="O15" s="398"/>
      <c r="P15" s="398">
        <v>2724815.7</v>
      </c>
      <c r="Q15" s="2479">
        <f t="shared" si="1"/>
        <v>121687.10000000009</v>
      </c>
    </row>
    <row r="16" spans="1:17">
      <c r="K16" s="2072">
        <v>2014</v>
      </c>
      <c r="L16" s="398">
        <v>3960989.95</v>
      </c>
      <c r="M16" s="398">
        <f t="shared" si="0"/>
        <v>88528.620000000112</v>
      </c>
      <c r="N16" s="398"/>
      <c r="O16" s="398"/>
      <c r="P16" s="398">
        <v>2851113.9</v>
      </c>
      <c r="Q16" s="2479">
        <f t="shared" si="1"/>
        <v>126298.19999999972</v>
      </c>
    </row>
    <row r="17" spans="2:17">
      <c r="K17" s="2072">
        <v>2015</v>
      </c>
      <c r="L17" s="398">
        <v>4039961.71</v>
      </c>
      <c r="M17" s="398">
        <f t="shared" si="0"/>
        <v>78971.759999999776</v>
      </c>
      <c r="N17" s="398"/>
      <c r="O17" s="398"/>
      <c r="P17" s="398">
        <v>2843869.5</v>
      </c>
      <c r="Q17" s="2479">
        <f t="shared" si="1"/>
        <v>-7244.3999999999069</v>
      </c>
    </row>
    <row r="18" spans="2:17">
      <c r="K18" s="2072">
        <v>2016</v>
      </c>
      <c r="L18" s="398">
        <v>4224565.5199999996</v>
      </c>
      <c r="M18" s="398">
        <f t="shared" si="0"/>
        <v>184603.80999999959</v>
      </c>
      <c r="N18" s="398"/>
      <c r="O18" s="398"/>
      <c r="P18" s="398">
        <v>2916425.54</v>
      </c>
      <c r="Q18" s="2479">
        <f t="shared" si="1"/>
        <v>72556.040000000037</v>
      </c>
    </row>
    <row r="19" spans="2:17">
      <c r="K19" s="2072">
        <v>2017</v>
      </c>
      <c r="L19" s="398">
        <v>4261665.68</v>
      </c>
      <c r="M19" s="398">
        <f t="shared" si="0"/>
        <v>37100.160000000149</v>
      </c>
      <c r="N19" s="398"/>
      <c r="O19" s="398"/>
      <c r="P19" s="398">
        <v>2904141.63</v>
      </c>
      <c r="Q19" s="2479">
        <f t="shared" si="1"/>
        <v>-12283.910000000149</v>
      </c>
    </row>
    <row r="20" spans="2:17">
      <c r="K20" s="2072">
        <v>2018</v>
      </c>
      <c r="L20" s="398">
        <v>4406110.34</v>
      </c>
      <c r="M20" s="398">
        <f t="shared" si="0"/>
        <v>144444.66000000015</v>
      </c>
      <c r="N20" s="398"/>
      <c r="O20" s="398"/>
      <c r="P20" s="398">
        <v>2980674.13</v>
      </c>
      <c r="Q20" s="2479">
        <f t="shared" si="1"/>
        <v>76532.5</v>
      </c>
    </row>
    <row r="21" spans="2:17">
      <c r="K21" s="2072">
        <v>2019</v>
      </c>
      <c r="L21" s="398">
        <f>4657109.55</f>
        <v>4657109.55</v>
      </c>
      <c r="M21" s="398">
        <f t="shared" si="0"/>
        <v>250999.20999999996</v>
      </c>
      <c r="N21" s="398"/>
      <c r="O21" s="398"/>
      <c r="P21" s="398">
        <f>3054228.55</f>
        <v>3054228.55</v>
      </c>
      <c r="Q21" s="2479">
        <f t="shared" si="1"/>
        <v>73554.419999999925</v>
      </c>
    </row>
    <row r="22" spans="2:17">
      <c r="K22" s="2072">
        <v>2020</v>
      </c>
      <c r="L22" s="398">
        <f>4838991.45</f>
        <v>4838991.45</v>
      </c>
      <c r="M22" s="398">
        <f>L22-L20</f>
        <v>432881.11000000034</v>
      </c>
      <c r="N22" s="398"/>
      <c r="O22" s="398"/>
      <c r="P22" s="398">
        <v>3089799.71</v>
      </c>
      <c r="Q22" s="2479">
        <f>P22-P20</f>
        <v>109125.58000000007</v>
      </c>
    </row>
    <row r="23" spans="2:17">
      <c r="B23" s="395"/>
      <c r="C23" s="395"/>
      <c r="D23" s="395"/>
      <c r="E23" s="395"/>
      <c r="F23" s="395"/>
      <c r="K23" s="2072">
        <v>2021</v>
      </c>
      <c r="L23" s="398">
        <f>4420257.26</f>
        <v>4420257.26</v>
      </c>
      <c r="M23" s="398">
        <f>L23-L21</f>
        <v>-236852.29000000004</v>
      </c>
      <c r="N23" s="398"/>
      <c r="O23" s="398"/>
      <c r="P23" s="398">
        <f>2734530.16</f>
        <v>2734530.16</v>
      </c>
      <c r="Q23" s="2479">
        <f>P23-P21</f>
        <v>-319698.38999999966</v>
      </c>
    </row>
    <row r="24" spans="2:17">
      <c r="B24" s="395"/>
      <c r="C24" s="395"/>
      <c r="D24" s="395"/>
      <c r="E24" s="395"/>
      <c r="F24" s="395"/>
      <c r="K24" s="2073">
        <v>2022</v>
      </c>
      <c r="L24" s="2480">
        <f>5471034.05</f>
        <v>5471034.0499999998</v>
      </c>
      <c r="M24" s="2480">
        <f>L24-L22</f>
        <v>632042.59999999963</v>
      </c>
      <c r="N24" s="2480"/>
      <c r="O24" s="2480"/>
      <c r="P24" s="2480">
        <f>3290634.89</f>
        <v>3290634.89</v>
      </c>
      <c r="Q24" s="3155">
        <f>P24-P22</f>
        <v>200835.18000000017</v>
      </c>
    </row>
    <row r="25" spans="2:17">
      <c r="B25" s="395"/>
      <c r="C25" s="395"/>
      <c r="D25" s="395"/>
      <c r="E25" s="395"/>
      <c r="F25" s="395"/>
    </row>
  </sheetData>
  <mergeCells count="1">
    <mergeCell ref="A1:N1"/>
  </mergeCells>
  <hyperlinks>
    <hyperlink ref="A1:N1" location="FINANCIËN!A1" display="RIZIV BEWONERS" xr:uid="{00000000-0004-0000-5700-000000000000}"/>
  </hyperlinks>
  <pageMargins left="0.7" right="0.7" top="0.75" bottom="0.75" header="0.3" footer="0.3"/>
  <pageSetup paperSize="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theme="8" tint="0.59999389629810485"/>
    <pageSetUpPr fitToPage="1"/>
  </sheetPr>
  <dimension ref="A1:Q41"/>
  <sheetViews>
    <sheetView workbookViewId="0">
      <pane xSplit="1" ySplit="3" topLeftCell="D4" activePane="bottomRight" state="frozen"/>
      <selection pane="topRight" activeCell="B1" sqref="B1"/>
      <selection pane="bottomLeft" activeCell="A4" sqref="A4"/>
      <selection pane="bottomRight" sqref="A1:Q1"/>
    </sheetView>
  </sheetViews>
  <sheetFormatPr defaultColWidth="10.7109375" defaultRowHeight="12.75"/>
  <cols>
    <col min="1" max="1" width="55.42578125" style="1324" bestFit="1" customWidth="1"/>
    <col min="2" max="18" width="10.7109375" style="1324" customWidth="1"/>
    <col min="19" max="16384" width="10.7109375" style="1324"/>
  </cols>
  <sheetData>
    <row r="1" spans="1:17" ht="18.75">
      <c r="A1" s="4771" t="s">
        <v>5725</v>
      </c>
      <c r="B1" s="4772"/>
      <c r="C1" s="4772"/>
      <c r="D1" s="4772"/>
      <c r="E1" s="4772"/>
      <c r="F1" s="4772"/>
      <c r="G1" s="4772"/>
      <c r="H1" s="4772"/>
      <c r="I1" s="4772"/>
      <c r="J1" s="4772"/>
      <c r="K1" s="4772"/>
      <c r="L1" s="4772"/>
      <c r="M1" s="4772"/>
      <c r="N1" s="4772"/>
      <c r="O1" s="4772"/>
      <c r="P1" s="4772"/>
      <c r="Q1" s="4772"/>
    </row>
    <row r="3" spans="1:17" ht="16.5" customHeight="1">
      <c r="A3" s="3554" t="s">
        <v>7209</v>
      </c>
      <c r="B3" s="4976">
        <v>2015</v>
      </c>
      <c r="C3" s="4977"/>
      <c r="D3" s="4976">
        <v>2016</v>
      </c>
      <c r="E3" s="4977"/>
      <c r="F3" s="4976">
        <v>2017</v>
      </c>
      <c r="G3" s="4977"/>
      <c r="H3" s="4976">
        <v>2018</v>
      </c>
      <c r="I3" s="4977"/>
      <c r="J3" s="4976">
        <v>2019</v>
      </c>
      <c r="K3" s="4977"/>
      <c r="L3" s="4976">
        <v>2020</v>
      </c>
      <c r="M3" s="4977"/>
      <c r="N3" s="4976">
        <v>2021</v>
      </c>
      <c r="O3" s="4977"/>
      <c r="P3" s="4976">
        <v>2022</v>
      </c>
      <c r="Q3" s="4977"/>
    </row>
    <row r="4" spans="1:17" ht="16.5" customHeight="1">
      <c r="A4" s="3486" t="s">
        <v>5616</v>
      </c>
      <c r="B4" s="4972">
        <v>287</v>
      </c>
      <c r="C4" s="4973"/>
      <c r="D4" s="4972">
        <v>343</v>
      </c>
      <c r="E4" s="4973"/>
      <c r="F4" s="4972">
        <v>289</v>
      </c>
      <c r="G4" s="4973"/>
      <c r="H4" s="4972">
        <v>174</v>
      </c>
      <c r="I4" s="4973"/>
      <c r="J4" s="4972">
        <v>107</v>
      </c>
      <c r="K4" s="4973"/>
      <c r="L4" s="4972">
        <v>85</v>
      </c>
      <c r="M4" s="4973"/>
      <c r="N4" s="4972">
        <v>97</v>
      </c>
      <c r="O4" s="4973"/>
      <c r="P4" s="4972">
        <v>143</v>
      </c>
      <c r="Q4" s="4973"/>
    </row>
    <row r="5" spans="1:17" ht="16.5" customHeight="1">
      <c r="A5" s="3486" t="s">
        <v>5617</v>
      </c>
      <c r="B5" s="4972">
        <v>9</v>
      </c>
      <c r="C5" s="4973"/>
      <c r="D5" s="4972">
        <v>8</v>
      </c>
      <c r="E5" s="4973"/>
      <c r="F5" s="4972">
        <v>14</v>
      </c>
      <c r="G5" s="4973"/>
      <c r="H5" s="4972">
        <v>45</v>
      </c>
      <c r="I5" s="4973"/>
      <c r="J5" s="4972">
        <v>44</v>
      </c>
      <c r="K5" s="4973"/>
      <c r="L5" s="4972">
        <v>16</v>
      </c>
      <c r="M5" s="4973"/>
      <c r="N5" s="4972">
        <v>23</v>
      </c>
      <c r="O5" s="4973"/>
      <c r="P5" s="4972">
        <v>9</v>
      </c>
      <c r="Q5" s="4973"/>
    </row>
    <row r="6" spans="1:17" ht="16.5" customHeight="1">
      <c r="A6" s="3486" t="s">
        <v>5618</v>
      </c>
      <c r="B6" s="4972">
        <v>5</v>
      </c>
      <c r="C6" s="4973"/>
      <c r="D6" s="4972">
        <v>9</v>
      </c>
      <c r="E6" s="4973"/>
      <c r="F6" s="4972">
        <v>3</v>
      </c>
      <c r="G6" s="4973"/>
      <c r="H6" s="4972">
        <v>7</v>
      </c>
      <c r="I6" s="4973"/>
      <c r="J6" s="4972">
        <v>19</v>
      </c>
      <c r="K6" s="4973"/>
      <c r="L6" s="4972">
        <v>24</v>
      </c>
      <c r="M6" s="4973"/>
      <c r="N6" s="4972">
        <v>22</v>
      </c>
      <c r="O6" s="4973"/>
      <c r="P6" s="4972">
        <v>18</v>
      </c>
      <c r="Q6" s="4973"/>
    </row>
    <row r="7" spans="1:17" ht="16.5" customHeight="1">
      <c r="A7" s="3486" t="s">
        <v>5619</v>
      </c>
      <c r="B7" s="4972">
        <v>315</v>
      </c>
      <c r="C7" s="4973"/>
      <c r="D7" s="4972">
        <v>390</v>
      </c>
      <c r="E7" s="4973"/>
      <c r="F7" s="4972">
        <v>480</v>
      </c>
      <c r="G7" s="4973"/>
      <c r="H7" s="4972">
        <v>448</v>
      </c>
      <c r="I7" s="4973"/>
      <c r="J7" s="4972">
        <v>346</v>
      </c>
      <c r="K7" s="4973"/>
      <c r="L7" s="4972">
        <v>187</v>
      </c>
      <c r="M7" s="4973"/>
      <c r="N7" s="4972">
        <v>194</v>
      </c>
      <c r="O7" s="4973"/>
      <c r="P7" s="4972">
        <v>217</v>
      </c>
      <c r="Q7" s="4973"/>
    </row>
    <row r="8" spans="1:17" ht="16.5" customHeight="1">
      <c r="A8" s="3486" t="s">
        <v>5620</v>
      </c>
      <c r="B8" s="4972"/>
      <c r="C8" s="4973"/>
      <c r="D8" s="4972"/>
      <c r="E8" s="4973"/>
      <c r="F8" s="4972">
        <v>1</v>
      </c>
      <c r="G8" s="4973"/>
      <c r="H8" s="4972">
        <v>1</v>
      </c>
      <c r="I8" s="4973"/>
      <c r="J8" s="4972">
        <v>1</v>
      </c>
      <c r="K8" s="4973"/>
      <c r="L8" s="4972">
        <v>0</v>
      </c>
      <c r="M8" s="4973"/>
      <c r="N8" s="4972">
        <v>0</v>
      </c>
      <c r="O8" s="4973"/>
      <c r="P8" s="4972">
        <v>0</v>
      </c>
      <c r="Q8" s="4973"/>
    </row>
    <row r="9" spans="1:17" ht="16.5" customHeight="1">
      <c r="B9" s="4974">
        <f>SUM(B4:B8)</f>
        <v>616</v>
      </c>
      <c r="C9" s="4975"/>
      <c r="D9" s="4974">
        <f>SUM(D4:D8)</f>
        <v>750</v>
      </c>
      <c r="E9" s="4975"/>
      <c r="F9" s="4974">
        <f>SUM(F4:F8)</f>
        <v>787</v>
      </c>
      <c r="G9" s="4975"/>
      <c r="H9" s="4974">
        <f>SUM(H4:H8)</f>
        <v>675</v>
      </c>
      <c r="I9" s="4975"/>
      <c r="J9" s="4974">
        <f>SUM(J4:J8)</f>
        <v>517</v>
      </c>
      <c r="K9" s="4975"/>
      <c r="L9" s="4974">
        <f>SUM(L4:L8)</f>
        <v>312</v>
      </c>
      <c r="M9" s="4975"/>
      <c r="N9" s="4974">
        <f>SUM(N4:N8)</f>
        <v>336</v>
      </c>
      <c r="O9" s="4975"/>
      <c r="P9" s="4974">
        <f>SUM(P4:P8)</f>
        <v>387</v>
      </c>
      <c r="Q9" s="4975"/>
    </row>
    <row r="10" spans="1:17" ht="13.5" customHeight="1"/>
    <row r="11" spans="1:17" ht="16.5" customHeight="1">
      <c r="A11" s="3554" t="s">
        <v>7210</v>
      </c>
      <c r="B11" s="4976">
        <f>B3</f>
        <v>2015</v>
      </c>
      <c r="C11" s="4977"/>
      <c r="D11" s="4976">
        <f>D3</f>
        <v>2016</v>
      </c>
      <c r="E11" s="4977"/>
      <c r="F11" s="4976">
        <f>F3</f>
        <v>2017</v>
      </c>
      <c r="G11" s="4977"/>
      <c r="H11" s="4976">
        <f>H3</f>
        <v>2018</v>
      </c>
      <c r="I11" s="4977"/>
      <c r="J11" s="4976">
        <f>J3</f>
        <v>2019</v>
      </c>
      <c r="K11" s="4977"/>
      <c r="L11" s="4976">
        <f>L3</f>
        <v>2020</v>
      </c>
      <c r="M11" s="4977"/>
      <c r="N11" s="4976">
        <f>N3</f>
        <v>2021</v>
      </c>
      <c r="O11" s="4977"/>
      <c r="P11" s="4976">
        <f>P3</f>
        <v>2022</v>
      </c>
      <c r="Q11" s="4977"/>
    </row>
    <row r="12" spans="1:17" ht="16.5" customHeight="1">
      <c r="A12" s="3486" t="s">
        <v>5621</v>
      </c>
      <c r="B12" s="4972">
        <v>299</v>
      </c>
      <c r="C12" s="4973"/>
      <c r="D12" s="4972">
        <v>403</v>
      </c>
      <c r="E12" s="4973"/>
      <c r="F12" s="4972">
        <v>280</v>
      </c>
      <c r="G12" s="4973"/>
      <c r="H12" s="4972">
        <v>166</v>
      </c>
      <c r="I12" s="4973"/>
      <c r="J12" s="4972">
        <v>129</v>
      </c>
      <c r="K12" s="4973"/>
      <c r="L12" s="4972">
        <v>82</v>
      </c>
      <c r="M12" s="4973"/>
      <c r="N12" s="4972">
        <v>97</v>
      </c>
      <c r="O12" s="4973"/>
      <c r="P12" s="4972">
        <v>155</v>
      </c>
      <c r="Q12" s="4973"/>
    </row>
    <row r="13" spans="1:17" ht="16.5" customHeight="1">
      <c r="A13" s="3486" t="s">
        <v>5622</v>
      </c>
      <c r="B13" s="4972">
        <v>316</v>
      </c>
      <c r="C13" s="4973"/>
      <c r="D13" s="4972">
        <v>333</v>
      </c>
      <c r="E13" s="4973"/>
      <c r="F13" s="4972">
        <v>479</v>
      </c>
      <c r="G13" s="4973"/>
      <c r="H13" s="4972">
        <v>448</v>
      </c>
      <c r="I13" s="4973"/>
      <c r="J13" s="4972">
        <v>345</v>
      </c>
      <c r="K13" s="4973"/>
      <c r="L13" s="4972">
        <v>184</v>
      </c>
      <c r="M13" s="4973"/>
      <c r="N13" s="4972">
        <v>189</v>
      </c>
      <c r="O13" s="4973"/>
      <c r="P13" s="4972">
        <v>217</v>
      </c>
      <c r="Q13" s="4973"/>
    </row>
    <row r="14" spans="1:17" ht="16.5" customHeight="1">
      <c r="A14" s="3486" t="s">
        <v>5623</v>
      </c>
      <c r="B14" s="4972"/>
      <c r="C14" s="4973"/>
      <c r="D14" s="4972"/>
      <c r="E14" s="4973"/>
      <c r="F14" s="4972">
        <v>4</v>
      </c>
      <c r="G14" s="4973"/>
      <c r="H14" s="4972"/>
      <c r="I14" s="4973"/>
      <c r="J14" s="4972"/>
      <c r="K14" s="4973"/>
      <c r="L14" s="4972"/>
      <c r="M14" s="4973"/>
      <c r="N14" s="4972"/>
      <c r="O14" s="4973"/>
      <c r="P14" s="4972"/>
      <c r="Q14" s="4973"/>
    </row>
    <row r="15" spans="1:17" ht="16.5" customHeight="1">
      <c r="A15" s="3486" t="s">
        <v>5624</v>
      </c>
      <c r="B15" s="4972">
        <v>1</v>
      </c>
      <c r="C15" s="4973"/>
      <c r="D15" s="4972"/>
      <c r="E15" s="4973"/>
      <c r="F15" s="4972"/>
      <c r="G15" s="4973"/>
      <c r="H15" s="4972"/>
      <c r="I15" s="4973"/>
      <c r="J15" s="4972"/>
      <c r="K15" s="4973"/>
      <c r="L15" s="4972"/>
      <c r="M15" s="4973"/>
      <c r="N15" s="4972"/>
      <c r="O15" s="4973"/>
      <c r="P15" s="4972"/>
      <c r="Q15" s="4973"/>
    </row>
    <row r="16" spans="1:17" ht="16.5" customHeight="1">
      <c r="A16" s="3486" t="s">
        <v>5625</v>
      </c>
      <c r="B16" s="4972">
        <v>1</v>
      </c>
      <c r="C16" s="4973"/>
      <c r="D16" s="4972">
        <v>1</v>
      </c>
      <c r="E16" s="4973"/>
      <c r="F16" s="4972">
        <v>3</v>
      </c>
      <c r="G16" s="4973"/>
      <c r="H16" s="4972">
        <v>2</v>
      </c>
      <c r="I16" s="4973"/>
      <c r="J16" s="4972"/>
      <c r="K16" s="4973"/>
      <c r="L16" s="4972">
        <v>2</v>
      </c>
      <c r="M16" s="4973"/>
      <c r="N16" s="4972"/>
      <c r="O16" s="4973"/>
      <c r="P16" s="4972">
        <v>1</v>
      </c>
      <c r="Q16" s="4973"/>
    </row>
    <row r="17" spans="1:17" ht="16.5" customHeight="1">
      <c r="A17" s="3486" t="s">
        <v>5626</v>
      </c>
      <c r="B17" s="4972">
        <v>3</v>
      </c>
      <c r="C17" s="4973"/>
      <c r="D17" s="4972">
        <v>4</v>
      </c>
      <c r="E17" s="4973"/>
      <c r="F17" s="4972">
        <v>1</v>
      </c>
      <c r="G17" s="4973"/>
      <c r="H17" s="4972">
        <v>10</v>
      </c>
      <c r="I17" s="4973"/>
      <c r="J17" s="4972">
        <v>11</v>
      </c>
      <c r="K17" s="4973"/>
      <c r="L17" s="4972">
        <v>16</v>
      </c>
      <c r="M17" s="4973"/>
      <c r="N17" s="4972">
        <v>13</v>
      </c>
      <c r="O17" s="4973"/>
      <c r="P17" s="4972">
        <v>18</v>
      </c>
      <c r="Q17" s="4973"/>
    </row>
    <row r="18" spans="1:17" ht="16.5" customHeight="1">
      <c r="A18" s="3486" t="s">
        <v>5627</v>
      </c>
      <c r="B18" s="4972">
        <v>1</v>
      </c>
      <c r="C18" s="4973"/>
      <c r="D18" s="4972"/>
      <c r="E18" s="4973"/>
      <c r="F18" s="4972"/>
      <c r="G18" s="4973"/>
      <c r="H18" s="4972"/>
      <c r="I18" s="4973"/>
      <c r="J18" s="4972"/>
      <c r="K18" s="4973"/>
      <c r="L18" s="4972"/>
      <c r="M18" s="4973"/>
      <c r="N18" s="4972">
        <v>1</v>
      </c>
      <c r="O18" s="4973"/>
      <c r="P18" s="4972"/>
      <c r="Q18" s="4973"/>
    </row>
    <row r="19" spans="1:17" ht="16.5" customHeight="1">
      <c r="A19" s="3486" t="s">
        <v>5628</v>
      </c>
      <c r="B19" s="4972">
        <v>1</v>
      </c>
      <c r="C19" s="4973"/>
      <c r="D19" s="4972"/>
      <c r="E19" s="4973"/>
      <c r="F19" s="4972">
        <v>1</v>
      </c>
      <c r="G19" s="4973"/>
      <c r="H19" s="4972">
        <v>3</v>
      </c>
      <c r="I19" s="4973"/>
      <c r="J19" s="4972"/>
      <c r="K19" s="4973"/>
      <c r="L19" s="4972"/>
      <c r="M19" s="4973"/>
      <c r="N19" s="4972"/>
      <c r="O19" s="4973"/>
      <c r="P19" s="4972"/>
      <c r="Q19" s="4973"/>
    </row>
    <row r="20" spans="1:17" ht="16.5" customHeight="1">
      <c r="A20" s="3486" t="s">
        <v>5629</v>
      </c>
      <c r="B20" s="4972">
        <v>5</v>
      </c>
      <c r="C20" s="4973"/>
      <c r="D20" s="4972">
        <v>9</v>
      </c>
      <c r="E20" s="4973"/>
      <c r="F20" s="4972">
        <v>9</v>
      </c>
      <c r="G20" s="4973"/>
      <c r="H20" s="4972">
        <v>13</v>
      </c>
      <c r="I20" s="4973"/>
      <c r="J20" s="4972">
        <v>4</v>
      </c>
      <c r="K20" s="4973"/>
      <c r="L20" s="4972">
        <v>14</v>
      </c>
      <c r="M20" s="4973"/>
      <c r="N20" s="4972">
        <v>22</v>
      </c>
      <c r="O20" s="4973"/>
      <c r="P20" s="4972">
        <v>23</v>
      </c>
      <c r="Q20" s="4973"/>
    </row>
    <row r="21" spans="1:17" ht="16.5" customHeight="1">
      <c r="A21" s="3486" t="s">
        <v>5630</v>
      </c>
      <c r="B21" s="4972"/>
      <c r="C21" s="4973"/>
      <c r="D21" s="4972">
        <v>1</v>
      </c>
      <c r="E21" s="4973"/>
      <c r="F21" s="4972"/>
      <c r="G21" s="4973"/>
      <c r="H21" s="4972"/>
      <c r="I21" s="4973"/>
      <c r="J21" s="4972"/>
      <c r="K21" s="4973"/>
      <c r="L21" s="4972"/>
      <c r="M21" s="4973"/>
      <c r="N21" s="4972">
        <v>1</v>
      </c>
      <c r="O21" s="4973"/>
      <c r="P21" s="4972"/>
      <c r="Q21" s="4973"/>
    </row>
    <row r="22" spans="1:17" ht="16.5" customHeight="1">
      <c r="A22" s="3486" t="s">
        <v>5401</v>
      </c>
      <c r="B22" s="4972">
        <v>9</v>
      </c>
      <c r="C22" s="4973"/>
      <c r="D22" s="4972">
        <v>4</v>
      </c>
      <c r="E22" s="4973"/>
      <c r="F22" s="4972">
        <v>9</v>
      </c>
      <c r="G22" s="4973"/>
      <c r="H22" s="4972">
        <v>10</v>
      </c>
      <c r="I22" s="4973"/>
      <c r="J22" s="4972">
        <v>3</v>
      </c>
      <c r="K22" s="4973"/>
      <c r="L22" s="4972">
        <v>6</v>
      </c>
      <c r="M22" s="4973"/>
      <c r="N22" s="4972">
        <v>10</v>
      </c>
      <c r="O22" s="4973"/>
      <c r="P22" s="4972">
        <v>13</v>
      </c>
      <c r="Q22" s="4973"/>
    </row>
    <row r="23" spans="1:17" ht="16.5" customHeight="1">
      <c r="A23" s="3486" t="s">
        <v>5631</v>
      </c>
      <c r="B23" s="4972"/>
      <c r="C23" s="4973"/>
      <c r="D23" s="4972"/>
      <c r="E23" s="4973"/>
      <c r="F23" s="4972">
        <v>1</v>
      </c>
      <c r="G23" s="4973"/>
      <c r="H23" s="4972">
        <v>1</v>
      </c>
      <c r="I23" s="4973"/>
      <c r="J23" s="4972"/>
      <c r="K23" s="4973"/>
      <c r="L23" s="4972">
        <v>1</v>
      </c>
      <c r="M23" s="4973"/>
      <c r="N23" s="4972"/>
      <c r="O23" s="4973"/>
      <c r="P23" s="4972"/>
      <c r="Q23" s="4973"/>
    </row>
    <row r="24" spans="1:17" ht="16.5" customHeight="1">
      <c r="A24" s="3486" t="s">
        <v>5632</v>
      </c>
      <c r="B24" s="4972"/>
      <c r="C24" s="4973"/>
      <c r="D24" s="4972"/>
      <c r="E24" s="4973"/>
      <c r="F24" s="4972"/>
      <c r="G24" s="4973"/>
      <c r="H24" s="4972">
        <v>1</v>
      </c>
      <c r="I24" s="4973"/>
      <c r="J24" s="4972"/>
      <c r="K24" s="4973"/>
      <c r="L24" s="4972"/>
      <c r="M24" s="4973"/>
      <c r="N24" s="4972"/>
      <c r="O24" s="4973"/>
      <c r="P24" s="4972"/>
      <c r="Q24" s="4973"/>
    </row>
    <row r="25" spans="1:17" ht="16.5" customHeight="1">
      <c r="B25" s="4974">
        <f>SUM(B12:B24)</f>
        <v>636</v>
      </c>
      <c r="C25" s="4975"/>
      <c r="D25" s="4974">
        <f>SUM(D12:D24)</f>
        <v>755</v>
      </c>
      <c r="E25" s="4975"/>
      <c r="F25" s="4974">
        <f>SUM(F12:F24)</f>
        <v>787</v>
      </c>
      <c r="G25" s="4975"/>
      <c r="H25" s="4974">
        <f>SUM(H12:H24)</f>
        <v>654</v>
      </c>
      <c r="I25" s="4975"/>
      <c r="J25" s="4974">
        <f>SUM(J12:J24)</f>
        <v>492</v>
      </c>
      <c r="K25" s="4975"/>
      <c r="L25" s="4974">
        <f>SUM(L12:L24)</f>
        <v>305</v>
      </c>
      <c r="M25" s="4975"/>
      <c r="N25" s="4974">
        <f>SUM(N12:N24)</f>
        <v>333</v>
      </c>
      <c r="O25" s="4975"/>
      <c r="P25" s="4974">
        <f>SUM(P12:P24)</f>
        <v>427</v>
      </c>
      <c r="Q25" s="4975"/>
    </row>
    <row r="26" spans="1:17" ht="16.5" customHeight="1"/>
    <row r="27" spans="1:17" ht="16.5" customHeight="1">
      <c r="A27" s="2758" t="s">
        <v>5633</v>
      </c>
      <c r="B27" s="4978">
        <f>B11</f>
        <v>2015</v>
      </c>
      <c r="C27" s="4978"/>
      <c r="D27" s="4978">
        <f>D11</f>
        <v>2016</v>
      </c>
      <c r="E27" s="4978"/>
      <c r="F27" s="4978">
        <f>F11</f>
        <v>2017</v>
      </c>
      <c r="G27" s="4978"/>
      <c r="H27" s="4978">
        <f>H11</f>
        <v>2018</v>
      </c>
      <c r="I27" s="4978"/>
      <c r="J27" s="4978">
        <f>J11</f>
        <v>2019</v>
      </c>
      <c r="K27" s="4978"/>
      <c r="L27" s="4976">
        <f>L11</f>
        <v>2020</v>
      </c>
      <c r="M27" s="4977"/>
      <c r="N27" s="4976">
        <f>N11</f>
        <v>2021</v>
      </c>
      <c r="O27" s="4977"/>
      <c r="P27" s="4976">
        <f>P11</f>
        <v>2022</v>
      </c>
      <c r="Q27" s="4977"/>
    </row>
    <row r="28" spans="1:17" ht="50.25" customHeight="1">
      <c r="A28" s="3488" t="s">
        <v>624</v>
      </c>
      <c r="B28" s="3489" t="s">
        <v>5634</v>
      </c>
      <c r="C28" s="3489" t="s">
        <v>5528</v>
      </c>
      <c r="D28" s="3489" t="s">
        <v>5634</v>
      </c>
      <c r="E28" s="3489" t="s">
        <v>5528</v>
      </c>
      <c r="F28" s="3489" t="s">
        <v>5634</v>
      </c>
      <c r="G28" s="3489" t="s">
        <v>5528</v>
      </c>
      <c r="H28" s="3489" t="s">
        <v>5634</v>
      </c>
      <c r="I28" s="3489" t="s">
        <v>5528</v>
      </c>
      <c r="J28" s="3489" t="s">
        <v>5634</v>
      </c>
      <c r="K28" s="3489" t="s">
        <v>5528</v>
      </c>
      <c r="L28" s="3489" t="s">
        <v>5634</v>
      </c>
      <c r="M28" s="3489" t="s">
        <v>5528</v>
      </c>
      <c r="N28" s="3489" t="s">
        <v>5634</v>
      </c>
      <c r="O28" s="3489" t="s">
        <v>5528</v>
      </c>
      <c r="P28" s="3489" t="s">
        <v>5634</v>
      </c>
      <c r="Q28" s="3489" t="s">
        <v>5528</v>
      </c>
    </row>
    <row r="29" spans="1:17" ht="16.5" customHeight="1">
      <c r="A29" s="3486" t="s">
        <v>5635</v>
      </c>
      <c r="B29" s="3490">
        <v>504</v>
      </c>
      <c r="C29" s="3490">
        <v>7</v>
      </c>
      <c r="D29" s="3490">
        <v>155</v>
      </c>
      <c r="E29" s="3490">
        <v>7</v>
      </c>
      <c r="F29" s="3490">
        <v>785</v>
      </c>
      <c r="G29" s="3490">
        <v>11</v>
      </c>
      <c r="H29" s="3490">
        <v>491</v>
      </c>
      <c r="I29" s="3490">
        <v>9</v>
      </c>
      <c r="J29" s="3490">
        <v>133</v>
      </c>
      <c r="K29" s="3490">
        <v>6</v>
      </c>
      <c r="L29" s="3490">
        <v>285</v>
      </c>
      <c r="M29" s="3490">
        <v>8</v>
      </c>
      <c r="N29" s="3490">
        <v>61</v>
      </c>
      <c r="O29" s="3490">
        <v>8</v>
      </c>
      <c r="P29" s="3490">
        <v>160</v>
      </c>
      <c r="Q29" s="3490">
        <v>8</v>
      </c>
    </row>
    <row r="30" spans="1:17" ht="16.5" customHeight="1">
      <c r="A30" s="3486" t="s">
        <v>5636</v>
      </c>
      <c r="B30" s="3490">
        <v>727</v>
      </c>
      <c r="C30" s="3490">
        <v>5</v>
      </c>
      <c r="D30" s="3490">
        <v>1158</v>
      </c>
      <c r="E30" s="3490">
        <v>8</v>
      </c>
      <c r="F30" s="3490">
        <v>1233</v>
      </c>
      <c r="G30" s="3490">
        <v>13</v>
      </c>
      <c r="H30" s="3490">
        <v>1807</v>
      </c>
      <c r="I30" s="3490">
        <v>11</v>
      </c>
      <c r="J30" s="3490">
        <v>1337</v>
      </c>
      <c r="K30" s="3490">
        <v>7</v>
      </c>
      <c r="L30" s="3490">
        <v>961</v>
      </c>
      <c r="M30" s="3490">
        <v>13</v>
      </c>
      <c r="N30" s="3490">
        <v>810</v>
      </c>
      <c r="O30" s="3490">
        <v>11</v>
      </c>
      <c r="P30" s="3490">
        <v>1386</v>
      </c>
      <c r="Q30" s="3490">
        <v>9</v>
      </c>
    </row>
    <row r="31" spans="1:17" ht="16.5" customHeight="1">
      <c r="A31" s="3486" t="s">
        <v>5637</v>
      </c>
      <c r="B31" s="3490"/>
      <c r="C31" s="3490"/>
      <c r="D31" s="3490">
        <v>123</v>
      </c>
      <c r="E31" s="3490">
        <v>1</v>
      </c>
      <c r="F31" s="3490">
        <v>603</v>
      </c>
      <c r="G31" s="3490">
        <v>3</v>
      </c>
      <c r="H31" s="3490">
        <v>357</v>
      </c>
      <c r="I31" s="3490">
        <v>3</v>
      </c>
      <c r="J31" s="3490">
        <v>203</v>
      </c>
      <c r="K31" s="3490">
        <v>1</v>
      </c>
      <c r="L31" s="3490">
        <v>388</v>
      </c>
      <c r="M31" s="3490">
        <v>2</v>
      </c>
      <c r="N31" s="3490">
        <v>117</v>
      </c>
      <c r="O31" s="3490">
        <v>1</v>
      </c>
      <c r="P31" s="3490"/>
      <c r="Q31" s="3490"/>
    </row>
    <row r="32" spans="1:17" ht="16.5" customHeight="1">
      <c r="A32" s="3486" t="s">
        <v>5638</v>
      </c>
      <c r="B32" s="3490">
        <v>679</v>
      </c>
      <c r="C32" s="3490">
        <v>10</v>
      </c>
      <c r="D32" s="3490">
        <v>237</v>
      </c>
      <c r="E32" s="3490">
        <v>7</v>
      </c>
      <c r="F32" s="3490">
        <v>989</v>
      </c>
      <c r="G32" s="3490">
        <v>5</v>
      </c>
      <c r="H32" s="3490">
        <v>253</v>
      </c>
      <c r="I32" s="3490">
        <v>6</v>
      </c>
      <c r="J32" s="3490">
        <v>166</v>
      </c>
      <c r="K32" s="3490">
        <v>10</v>
      </c>
      <c r="L32" s="3490">
        <v>771</v>
      </c>
      <c r="M32" s="3490">
        <v>11</v>
      </c>
      <c r="N32" s="3490">
        <v>1389</v>
      </c>
      <c r="O32" s="3490">
        <v>11</v>
      </c>
      <c r="P32" s="3490">
        <v>194</v>
      </c>
      <c r="Q32" s="3490">
        <v>7</v>
      </c>
    </row>
    <row r="33" spans="1:17" ht="16.5" customHeight="1">
      <c r="A33" s="3486" t="s">
        <v>5639</v>
      </c>
      <c r="B33" s="3490">
        <v>6445</v>
      </c>
      <c r="C33" s="3490">
        <v>182</v>
      </c>
      <c r="D33" s="3490">
        <v>4176</v>
      </c>
      <c r="E33" s="3490">
        <v>178</v>
      </c>
      <c r="F33" s="3490">
        <v>7128</v>
      </c>
      <c r="G33" s="3490">
        <v>184</v>
      </c>
      <c r="H33" s="3490">
        <v>6563</v>
      </c>
      <c r="I33" s="3490">
        <v>191</v>
      </c>
      <c r="J33" s="3490">
        <v>7283</v>
      </c>
      <c r="K33" s="3490">
        <v>159</v>
      </c>
      <c r="L33" s="3490">
        <v>6503</v>
      </c>
      <c r="M33" s="3490">
        <v>175</v>
      </c>
      <c r="N33" s="3490">
        <v>8213</v>
      </c>
      <c r="O33" s="3490">
        <v>183</v>
      </c>
      <c r="P33" s="3490">
        <v>9107</v>
      </c>
      <c r="Q33" s="3490">
        <v>205</v>
      </c>
    </row>
    <row r="34" spans="1:17" ht="16.5" customHeight="1">
      <c r="A34" s="3486" t="s">
        <v>7219</v>
      </c>
      <c r="B34" s="3490">
        <v>6084</v>
      </c>
      <c r="C34" s="3490">
        <v>19</v>
      </c>
      <c r="D34" s="3490">
        <v>5822</v>
      </c>
      <c r="E34" s="3490">
        <v>19</v>
      </c>
      <c r="F34" s="3490">
        <v>5899</v>
      </c>
      <c r="G34" s="3490">
        <v>19</v>
      </c>
      <c r="H34" s="3490">
        <v>5475</v>
      </c>
      <c r="I34" s="3490">
        <v>15</v>
      </c>
      <c r="J34" s="3490">
        <v>4931</v>
      </c>
      <c r="K34" s="3490">
        <v>14</v>
      </c>
      <c r="L34" s="3490">
        <v>4298</v>
      </c>
      <c r="M34" s="3490">
        <v>13</v>
      </c>
      <c r="N34" s="3490">
        <v>4443</v>
      </c>
      <c r="O34" s="3490">
        <v>13</v>
      </c>
      <c r="P34" s="3490">
        <v>6106</v>
      </c>
      <c r="Q34" s="3490">
        <v>18</v>
      </c>
    </row>
    <row r="35" spans="1:17" ht="16.5" customHeight="1">
      <c r="A35" s="3486" t="s">
        <v>5640</v>
      </c>
      <c r="B35" s="3490">
        <v>26</v>
      </c>
      <c r="C35" s="3490">
        <v>2</v>
      </c>
      <c r="D35" s="3490"/>
      <c r="E35" s="3490"/>
      <c r="F35" s="3490">
        <v>7</v>
      </c>
      <c r="G35" s="3490">
        <v>1</v>
      </c>
      <c r="H35" s="3490">
        <v>48</v>
      </c>
      <c r="I35" s="3490">
        <v>4</v>
      </c>
      <c r="J35" s="3490"/>
      <c r="K35" s="3490"/>
      <c r="L35" s="3490">
        <v>16</v>
      </c>
      <c r="M35" s="3490">
        <v>2</v>
      </c>
      <c r="N35" s="3490"/>
      <c r="O35" s="3490"/>
      <c r="P35" s="3490"/>
      <c r="Q35" s="3490"/>
    </row>
    <row r="36" spans="1:17" ht="16.5" customHeight="1">
      <c r="A36" s="3486" t="s">
        <v>5641</v>
      </c>
      <c r="B36" s="3490">
        <v>20</v>
      </c>
      <c r="C36" s="3490">
        <v>3</v>
      </c>
      <c r="D36" s="3490"/>
      <c r="E36" s="3490"/>
      <c r="F36" s="3490"/>
      <c r="G36" s="3490"/>
      <c r="H36" s="3490">
        <v>7</v>
      </c>
      <c r="I36" s="3490">
        <v>1</v>
      </c>
      <c r="J36" s="3490">
        <v>10</v>
      </c>
      <c r="K36" s="3490">
        <v>4</v>
      </c>
      <c r="L36" s="3490">
        <v>7</v>
      </c>
      <c r="M36" s="3490">
        <v>1</v>
      </c>
      <c r="N36" s="3490">
        <v>40</v>
      </c>
      <c r="O36" s="3490">
        <v>4</v>
      </c>
      <c r="P36" s="3490">
        <v>26</v>
      </c>
      <c r="Q36" s="3490">
        <v>3</v>
      </c>
    </row>
    <row r="37" spans="1:17" ht="16.5" customHeight="1">
      <c r="A37" s="3486" t="s">
        <v>5642</v>
      </c>
      <c r="B37" s="3490">
        <v>126</v>
      </c>
      <c r="C37" s="3490">
        <v>1</v>
      </c>
      <c r="D37" s="3490"/>
      <c r="E37" s="3490"/>
      <c r="F37" s="3490">
        <v>26</v>
      </c>
      <c r="G37" s="3490">
        <v>1</v>
      </c>
      <c r="H37" s="3490"/>
      <c r="I37" s="3490"/>
      <c r="J37" s="3490">
        <v>15</v>
      </c>
      <c r="K37" s="3490">
        <v>3</v>
      </c>
      <c r="L37" s="3490">
        <v>6</v>
      </c>
      <c r="M37" s="3490">
        <v>2</v>
      </c>
      <c r="N37" s="3490"/>
      <c r="O37" s="3490"/>
      <c r="P37" s="3490">
        <v>14</v>
      </c>
      <c r="Q37" s="3490">
        <v>2</v>
      </c>
    </row>
    <row r="38" spans="1:17" ht="16.5" customHeight="1">
      <c r="A38" s="3487" t="s">
        <v>5643</v>
      </c>
      <c r="B38" s="3490">
        <v>10</v>
      </c>
      <c r="C38" s="3490">
        <v>1</v>
      </c>
      <c r="D38" s="3490"/>
      <c r="E38" s="3490"/>
      <c r="F38" s="3490"/>
      <c r="G38" s="3490"/>
      <c r="H38" s="3490"/>
      <c r="I38" s="3490"/>
      <c r="J38" s="3490">
        <v>12</v>
      </c>
      <c r="K38" s="3490">
        <v>1</v>
      </c>
      <c r="L38" s="3490"/>
      <c r="M38" s="3490"/>
      <c r="N38" s="3490"/>
      <c r="O38" s="3490"/>
      <c r="P38" s="3490"/>
      <c r="Q38" s="3490"/>
    </row>
    <row r="39" spans="1:17" ht="16.5" customHeight="1">
      <c r="A39" s="3486" t="s">
        <v>5644</v>
      </c>
      <c r="B39" s="3490">
        <v>5</v>
      </c>
      <c r="C39" s="3490">
        <v>4</v>
      </c>
      <c r="D39" s="3490"/>
      <c r="E39" s="3490"/>
      <c r="F39" s="3490">
        <v>3</v>
      </c>
      <c r="G39" s="3490">
        <v>2</v>
      </c>
      <c r="H39" s="3490"/>
      <c r="I39" s="3490"/>
      <c r="J39" s="3490">
        <v>2</v>
      </c>
      <c r="K39" s="3490">
        <v>2</v>
      </c>
      <c r="L39" s="3490"/>
      <c r="M39" s="3490"/>
      <c r="N39" s="3490"/>
      <c r="O39" s="3490"/>
      <c r="P39" s="3490"/>
      <c r="Q39" s="3490"/>
    </row>
    <row r="40" spans="1:17" ht="16.5" customHeight="1">
      <c r="A40" s="3486" t="s">
        <v>5645</v>
      </c>
      <c r="B40" s="3490"/>
      <c r="C40" s="3490"/>
      <c r="D40" s="3490"/>
      <c r="E40" s="3490"/>
      <c r="F40" s="3490"/>
      <c r="G40" s="3490"/>
      <c r="H40" s="3490"/>
      <c r="I40" s="3490"/>
      <c r="J40" s="3490"/>
      <c r="K40" s="3490"/>
      <c r="L40" s="3490">
        <v>571</v>
      </c>
      <c r="M40" s="3490">
        <v>33</v>
      </c>
      <c r="N40" s="3490">
        <v>110</v>
      </c>
      <c r="O40" s="3490">
        <v>22</v>
      </c>
      <c r="P40" s="3490">
        <v>22</v>
      </c>
      <c r="Q40" s="3490">
        <v>2</v>
      </c>
    </row>
    <row r="41" spans="1:17" ht="16.5" customHeight="1">
      <c r="A41" s="3491" t="s">
        <v>165</v>
      </c>
      <c r="B41" s="3492">
        <f t="shared" ref="B41:Q41" si="0">SUM(B28:B40)</f>
        <v>14626</v>
      </c>
      <c r="C41" s="3492">
        <f t="shared" si="0"/>
        <v>234</v>
      </c>
      <c r="D41" s="3492">
        <f t="shared" si="0"/>
        <v>11671</v>
      </c>
      <c r="E41" s="3492">
        <f t="shared" si="0"/>
        <v>220</v>
      </c>
      <c r="F41" s="3492">
        <f t="shared" si="0"/>
        <v>16673</v>
      </c>
      <c r="G41" s="3492">
        <f t="shared" si="0"/>
        <v>239</v>
      </c>
      <c r="H41" s="3492">
        <f t="shared" si="0"/>
        <v>15001</v>
      </c>
      <c r="I41" s="3492">
        <f t="shared" si="0"/>
        <v>240</v>
      </c>
      <c r="J41" s="3492">
        <f t="shared" si="0"/>
        <v>14092</v>
      </c>
      <c r="K41" s="3492">
        <f t="shared" si="0"/>
        <v>207</v>
      </c>
      <c r="L41" s="3492">
        <f t="shared" si="0"/>
        <v>13806</v>
      </c>
      <c r="M41" s="3492">
        <f t="shared" si="0"/>
        <v>260</v>
      </c>
      <c r="N41" s="3492">
        <f t="shared" si="0"/>
        <v>15183</v>
      </c>
      <c r="O41" s="3492">
        <f t="shared" si="0"/>
        <v>253</v>
      </c>
      <c r="P41" s="3492">
        <f t="shared" si="0"/>
        <v>17015</v>
      </c>
      <c r="Q41" s="3492">
        <f t="shared" si="0"/>
        <v>254</v>
      </c>
    </row>
  </sheetData>
  <mergeCells count="185">
    <mergeCell ref="A1:Q1"/>
    <mergeCell ref="B27:C27"/>
    <mergeCell ref="J27:K27"/>
    <mergeCell ref="H27:I27"/>
    <mergeCell ref="F27:G27"/>
    <mergeCell ref="D27:E27"/>
    <mergeCell ref="L27:M27"/>
    <mergeCell ref="B3:C3"/>
    <mergeCell ref="B4:C4"/>
    <mergeCell ref="B5:C5"/>
    <mergeCell ref="B6:C6"/>
    <mergeCell ref="B7:C7"/>
    <mergeCell ref="B8:C8"/>
    <mergeCell ref="B9:C9"/>
    <mergeCell ref="B12:C12"/>
    <mergeCell ref="B13:C13"/>
    <mergeCell ref="B24:C24"/>
    <mergeCell ref="B11:C11"/>
    <mergeCell ref="B25:C25"/>
    <mergeCell ref="D3:E3"/>
    <mergeCell ref="D4:E4"/>
    <mergeCell ref="D5:E5"/>
    <mergeCell ref="D6:E6"/>
    <mergeCell ref="D7:E7"/>
    <mergeCell ref="D8:E8"/>
    <mergeCell ref="D9:E9"/>
    <mergeCell ref="D11:E11"/>
    <mergeCell ref="D12:E12"/>
    <mergeCell ref="D13:E13"/>
    <mergeCell ref="D14:E14"/>
    <mergeCell ref="D15:E15"/>
    <mergeCell ref="D16:E16"/>
    <mergeCell ref="B19:C19"/>
    <mergeCell ref="B20:C20"/>
    <mergeCell ref="B21:C21"/>
    <mergeCell ref="B22:C22"/>
    <mergeCell ref="B23:C23"/>
    <mergeCell ref="B14:C14"/>
    <mergeCell ref="B15:C15"/>
    <mergeCell ref="B16:C16"/>
    <mergeCell ref="D22:E22"/>
    <mergeCell ref="D23:E23"/>
    <mergeCell ref="B17:C17"/>
    <mergeCell ref="B18:C18"/>
    <mergeCell ref="D24:E24"/>
    <mergeCell ref="D25:E25"/>
    <mergeCell ref="F3:G3"/>
    <mergeCell ref="F4:G4"/>
    <mergeCell ref="F5:G5"/>
    <mergeCell ref="F6:G6"/>
    <mergeCell ref="F7:G7"/>
    <mergeCell ref="F8:G8"/>
    <mergeCell ref="F9:G9"/>
    <mergeCell ref="F11:G11"/>
    <mergeCell ref="F12:G12"/>
    <mergeCell ref="F13:G13"/>
    <mergeCell ref="F14:G14"/>
    <mergeCell ref="F15:G15"/>
    <mergeCell ref="D17:E17"/>
    <mergeCell ref="D18:E18"/>
    <mergeCell ref="D19:E19"/>
    <mergeCell ref="D20:E20"/>
    <mergeCell ref="D21:E21"/>
    <mergeCell ref="F21:G21"/>
    <mergeCell ref="F22:G22"/>
    <mergeCell ref="F23:G23"/>
    <mergeCell ref="F24:G24"/>
    <mergeCell ref="F25:G25"/>
    <mergeCell ref="F16:G16"/>
    <mergeCell ref="F17:G17"/>
    <mergeCell ref="F18:G18"/>
    <mergeCell ref="F19:G19"/>
    <mergeCell ref="F20:G20"/>
    <mergeCell ref="H17:I17"/>
    <mergeCell ref="H18:I18"/>
    <mergeCell ref="H8:I8"/>
    <mergeCell ref="H9:I9"/>
    <mergeCell ref="H11:I11"/>
    <mergeCell ref="H12:I12"/>
    <mergeCell ref="H13:I13"/>
    <mergeCell ref="H3:I3"/>
    <mergeCell ref="H4:I4"/>
    <mergeCell ref="H5:I5"/>
    <mergeCell ref="H6:I6"/>
    <mergeCell ref="H7:I7"/>
    <mergeCell ref="H24:I24"/>
    <mergeCell ref="H25:I25"/>
    <mergeCell ref="J3:K3"/>
    <mergeCell ref="J4:K4"/>
    <mergeCell ref="J5:K5"/>
    <mergeCell ref="J6:K6"/>
    <mergeCell ref="J7:K7"/>
    <mergeCell ref="J8:K8"/>
    <mergeCell ref="J9:K9"/>
    <mergeCell ref="J11:K11"/>
    <mergeCell ref="J12:K12"/>
    <mergeCell ref="J13:K13"/>
    <mergeCell ref="J14:K14"/>
    <mergeCell ref="J15:K15"/>
    <mergeCell ref="J16:K16"/>
    <mergeCell ref="J17:K17"/>
    <mergeCell ref="H19:I19"/>
    <mergeCell ref="H20:I20"/>
    <mergeCell ref="H21:I21"/>
    <mergeCell ref="H23:I23"/>
    <mergeCell ref="H14:I14"/>
    <mergeCell ref="H15:I15"/>
    <mergeCell ref="H16:I16"/>
    <mergeCell ref="L13:M13"/>
    <mergeCell ref="L14:M14"/>
    <mergeCell ref="L15:M15"/>
    <mergeCell ref="L16:M16"/>
    <mergeCell ref="J18:K18"/>
    <mergeCell ref="J19:K19"/>
    <mergeCell ref="J20:K20"/>
    <mergeCell ref="J21:K21"/>
    <mergeCell ref="J22:K22"/>
    <mergeCell ref="L22:M22"/>
    <mergeCell ref="L23:M23"/>
    <mergeCell ref="J23:K23"/>
    <mergeCell ref="L4:M4"/>
    <mergeCell ref="L5:M5"/>
    <mergeCell ref="L6:M6"/>
    <mergeCell ref="L7:M7"/>
    <mergeCell ref="L8:M8"/>
    <mergeCell ref="L9:M9"/>
    <mergeCell ref="L11:M11"/>
    <mergeCell ref="L12:M12"/>
    <mergeCell ref="H22:I22"/>
    <mergeCell ref="N11:O11"/>
    <mergeCell ref="N12:O12"/>
    <mergeCell ref="N13:O13"/>
    <mergeCell ref="N14:O14"/>
    <mergeCell ref="L17:M17"/>
    <mergeCell ref="L18:M18"/>
    <mergeCell ref="L19:M19"/>
    <mergeCell ref="L20:M20"/>
    <mergeCell ref="L21:M21"/>
    <mergeCell ref="J24:K24"/>
    <mergeCell ref="J25:K25"/>
    <mergeCell ref="N25:O25"/>
    <mergeCell ref="L3:M3"/>
    <mergeCell ref="N27:O27"/>
    <mergeCell ref="N20:O20"/>
    <mergeCell ref="N21:O21"/>
    <mergeCell ref="N22:O22"/>
    <mergeCell ref="N23:O23"/>
    <mergeCell ref="N24:O24"/>
    <mergeCell ref="N15:O15"/>
    <mergeCell ref="N16:O16"/>
    <mergeCell ref="N17:O17"/>
    <mergeCell ref="N18:O18"/>
    <mergeCell ref="N19:O19"/>
    <mergeCell ref="L24:M24"/>
    <mergeCell ref="L25:M25"/>
    <mergeCell ref="N3:O3"/>
    <mergeCell ref="N4:O4"/>
    <mergeCell ref="N5:O5"/>
    <mergeCell ref="N6:O6"/>
    <mergeCell ref="N7:O7"/>
    <mergeCell ref="N8:O8"/>
    <mergeCell ref="N9:O9"/>
    <mergeCell ref="P3:Q3"/>
    <mergeCell ref="P4:Q4"/>
    <mergeCell ref="P5:Q5"/>
    <mergeCell ref="P6:Q6"/>
    <mergeCell ref="P7:Q7"/>
    <mergeCell ref="P8:Q8"/>
    <mergeCell ref="P9:Q9"/>
    <mergeCell ref="P11:Q11"/>
    <mergeCell ref="P12:Q12"/>
    <mergeCell ref="P22:Q22"/>
    <mergeCell ref="P23:Q23"/>
    <mergeCell ref="P24:Q24"/>
    <mergeCell ref="P25:Q25"/>
    <mergeCell ref="P27:Q27"/>
    <mergeCell ref="P13:Q13"/>
    <mergeCell ref="P14:Q14"/>
    <mergeCell ref="P15:Q15"/>
    <mergeCell ref="P16:Q16"/>
    <mergeCell ref="P17:Q17"/>
    <mergeCell ref="P18:Q18"/>
    <mergeCell ref="P19:Q19"/>
    <mergeCell ref="P20:Q20"/>
    <mergeCell ref="P21:Q21"/>
  </mergeCells>
  <printOptions horizontalCentered="1"/>
  <pageMargins left="0.78740157480314965" right="0.78740157480314965" top="0.78740157480314965" bottom="0.78740157480314965" header="0.59055118110236227" footer="0.59055118110236227"/>
  <pageSetup paperSize="9" scale="36"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theme="8" tint="0.59999389629810485"/>
  </sheetPr>
  <dimension ref="A1:S328"/>
  <sheetViews>
    <sheetView zoomScaleNormal="100" workbookViewId="0">
      <pane ySplit="3" topLeftCell="A13" activePane="bottomLeft" state="frozen"/>
      <selection activeCell="E37" sqref="E37"/>
      <selection pane="bottomLeft" sqref="A1:L1"/>
    </sheetView>
  </sheetViews>
  <sheetFormatPr defaultColWidth="9.140625" defaultRowHeight="15"/>
  <cols>
    <col min="1" max="1" width="33.7109375" style="1286" customWidth="1"/>
    <col min="2" max="7" width="11.7109375" style="1286" customWidth="1"/>
    <col min="8" max="8" width="1.7109375" style="1286" customWidth="1"/>
    <col min="9" max="9" width="25.7109375" style="1286" customWidth="1"/>
    <col min="10" max="16" width="8.5703125" style="1286" customWidth="1"/>
    <col min="17" max="16384" width="9.140625" style="1286"/>
  </cols>
  <sheetData>
    <row r="1" spans="1:12" s="1285" customFormat="1" ht="18.75">
      <c r="A1" s="4771" t="s">
        <v>5648</v>
      </c>
      <c r="B1" s="4772"/>
      <c r="C1" s="4772"/>
      <c r="D1" s="4772"/>
      <c r="E1" s="4772"/>
      <c r="F1" s="4772"/>
      <c r="G1" s="4772"/>
      <c r="H1" s="4772"/>
      <c r="I1" s="4772"/>
      <c r="J1" s="4772"/>
      <c r="K1" s="4772"/>
      <c r="L1" s="4772"/>
    </row>
    <row r="3" spans="1:12">
      <c r="A3" s="2765" t="s">
        <v>7824</v>
      </c>
      <c r="B3" s="2766">
        <v>2017</v>
      </c>
      <c r="C3" s="2766">
        <v>2018</v>
      </c>
      <c r="D3" s="2766">
        <v>2019</v>
      </c>
      <c r="E3" s="2766">
        <v>2020</v>
      </c>
      <c r="F3" s="2766">
        <v>2021</v>
      </c>
      <c r="G3" s="2766">
        <v>2022</v>
      </c>
    </row>
    <row r="4" spans="1:12">
      <c r="A4" s="1287" t="s">
        <v>4755</v>
      </c>
      <c r="B4" s="1288">
        <f t="shared" ref="B4:G4" si="0">SUM(B68,B78,B86,B99,B114,B136,B176,B211,B227,B252)</f>
        <v>33.909999999999997</v>
      </c>
      <c r="C4" s="1288">
        <f t="shared" si="0"/>
        <v>29.130000000000003</v>
      </c>
      <c r="D4" s="1288">
        <f t="shared" si="0"/>
        <v>26.990000000000002</v>
      </c>
      <c r="E4" s="1288">
        <f t="shared" si="0"/>
        <v>24.08</v>
      </c>
      <c r="F4" s="1288">
        <f t="shared" si="0"/>
        <v>20.07</v>
      </c>
      <c r="G4" s="1288">
        <f t="shared" si="0"/>
        <v>16.980699999999999</v>
      </c>
    </row>
    <row r="5" spans="1:12">
      <c r="A5" s="1287" t="s">
        <v>5650</v>
      </c>
      <c r="B5" s="1288">
        <f t="shared" ref="B5:G5" si="1">SUM(B62,B72,B90,B102,B118,B130,B141,B152,B162,B170,B184,B205,B214,B220,B232,B245,B269)</f>
        <v>154.51999999999998</v>
      </c>
      <c r="C5" s="1288">
        <f t="shared" si="1"/>
        <v>163.7234</v>
      </c>
      <c r="D5" s="1288">
        <f t="shared" si="1"/>
        <v>167.48990000000001</v>
      </c>
      <c r="E5" s="1288">
        <f t="shared" si="1"/>
        <v>170.965</v>
      </c>
      <c r="F5" s="1288">
        <f t="shared" si="1"/>
        <v>166.47800000000001</v>
      </c>
      <c r="G5" s="1288">
        <f t="shared" si="1"/>
        <v>168.61689999999999</v>
      </c>
    </row>
    <row r="6" spans="1:12">
      <c r="A6" s="1287" t="s">
        <v>5651</v>
      </c>
      <c r="B6" s="1288">
        <f t="shared" ref="B6:G6" si="2">SUM(B93,B108,B124,B146,B198,B238,B313)</f>
        <v>4.8600000000000003</v>
      </c>
      <c r="C6" s="1288">
        <f t="shared" si="2"/>
        <v>5.31</v>
      </c>
      <c r="D6" s="1288">
        <f t="shared" si="2"/>
        <v>4.21</v>
      </c>
      <c r="E6" s="1288">
        <f t="shared" si="2"/>
        <v>4.01</v>
      </c>
      <c r="F6" s="1288">
        <f t="shared" si="2"/>
        <v>4.05</v>
      </c>
      <c r="G6" s="1288">
        <f t="shared" si="2"/>
        <v>3.6867000000000001</v>
      </c>
    </row>
    <row r="7" spans="1:12">
      <c r="A7" s="1287" t="s">
        <v>5652</v>
      </c>
      <c r="B7" s="1288">
        <f t="shared" ref="B7:G7" si="3">SUM(B165)</f>
        <v>2.4500000000000002</v>
      </c>
      <c r="C7" s="1288">
        <f t="shared" si="3"/>
        <v>3.35</v>
      </c>
      <c r="D7" s="1288">
        <f t="shared" si="3"/>
        <v>11.02</v>
      </c>
      <c r="E7" s="1288">
        <f t="shared" si="3"/>
        <v>9.14</v>
      </c>
      <c r="F7" s="1288">
        <f t="shared" si="3"/>
        <v>8.09</v>
      </c>
      <c r="G7" s="1288">
        <f t="shared" si="3"/>
        <v>4.7138999999999998</v>
      </c>
    </row>
    <row r="8" spans="1:12">
      <c r="A8" s="1290" t="s">
        <v>5653</v>
      </c>
      <c r="B8" s="1288">
        <f t="shared" ref="B8:G8" si="4">SUM(B156,B325)</f>
        <v>1.04</v>
      </c>
      <c r="C8" s="1288">
        <f t="shared" si="4"/>
        <v>0</v>
      </c>
      <c r="D8" s="1288">
        <f t="shared" si="4"/>
        <v>0</v>
      </c>
      <c r="E8" s="1288">
        <f t="shared" si="4"/>
        <v>0</v>
      </c>
      <c r="F8" s="1288">
        <f t="shared" si="4"/>
        <v>0</v>
      </c>
      <c r="G8" s="1288">
        <f t="shared" si="4"/>
        <v>0</v>
      </c>
    </row>
    <row r="9" spans="1:12" s="1291" customFormat="1">
      <c r="A9" s="2767" t="s">
        <v>8</v>
      </c>
      <c r="B9" s="2768">
        <f t="shared" ref="B9:G9" si="5">SUM(B4:B8)</f>
        <v>196.77999999999997</v>
      </c>
      <c r="C9" s="2768">
        <f t="shared" si="5"/>
        <v>201.51339999999999</v>
      </c>
      <c r="D9" s="2768">
        <f t="shared" si="5"/>
        <v>209.70990000000003</v>
      </c>
      <c r="E9" s="2768">
        <f t="shared" si="5"/>
        <v>208.19499999999999</v>
      </c>
      <c r="F9" s="2768">
        <f t="shared" si="5"/>
        <v>198.68800000000002</v>
      </c>
      <c r="G9" s="2768">
        <f t="shared" si="5"/>
        <v>193.9982</v>
      </c>
    </row>
    <row r="10" spans="1:12">
      <c r="A10" s="1292"/>
      <c r="B10" s="1293"/>
      <c r="C10" s="1293"/>
      <c r="D10" s="1293"/>
      <c r="E10" s="1293"/>
      <c r="F10" s="1293"/>
      <c r="G10" s="1293"/>
      <c r="H10" s="1293"/>
    </row>
    <row r="12" spans="1:12">
      <c r="J12" s="1294"/>
    </row>
    <row r="13" spans="1:12">
      <c r="J13" s="1295"/>
    </row>
    <row r="14" spans="1:12">
      <c r="J14" s="1296"/>
    </row>
    <row r="15" spans="1:12">
      <c r="J15" s="1296"/>
    </row>
    <row r="16" spans="1:12">
      <c r="J16" s="1296"/>
    </row>
    <row r="17" spans="9:14">
      <c r="I17" s="1298"/>
      <c r="J17" s="1296"/>
    </row>
    <row r="18" spans="9:14">
      <c r="J18" s="1296"/>
    </row>
    <row r="22" spans="9:14">
      <c r="I22" s="1299"/>
      <c r="J22" s="1297"/>
      <c r="K22" s="1297"/>
      <c r="L22" s="1297"/>
      <c r="M22" s="1297"/>
      <c r="N22" s="1297"/>
    </row>
    <row r="23" spans="9:14">
      <c r="I23" s="1299"/>
      <c r="K23" s="1300"/>
      <c r="L23" s="1300"/>
      <c r="M23" s="1300"/>
    </row>
    <row r="25" spans="9:14">
      <c r="I25" s="1299"/>
    </row>
    <row r="26" spans="9:14">
      <c r="I26" s="1299"/>
      <c r="J26" s="1298"/>
      <c r="K26" s="1298"/>
      <c r="L26" s="1298"/>
    </row>
    <row r="27" spans="9:14">
      <c r="I27" s="1299"/>
      <c r="J27" s="1300"/>
      <c r="K27" s="1300"/>
      <c r="L27" s="1300"/>
    </row>
    <row r="28" spans="9:14">
      <c r="J28" s="1300"/>
      <c r="K28" s="1300"/>
      <c r="L28" s="1300"/>
    </row>
    <row r="29" spans="9:14">
      <c r="I29" s="1299"/>
      <c r="J29" s="1300"/>
      <c r="K29" s="1300"/>
      <c r="L29" s="1300"/>
    </row>
    <row r="30" spans="9:14">
      <c r="I30" s="1299"/>
      <c r="J30" s="1300"/>
      <c r="K30" s="1300"/>
      <c r="L30" s="1300"/>
    </row>
    <row r="31" spans="9:14">
      <c r="I31" s="1299"/>
      <c r="J31" s="1300"/>
      <c r="K31" s="1300"/>
      <c r="L31" s="1300"/>
    </row>
    <row r="33" spans="9:19">
      <c r="I33" s="1299"/>
      <c r="J33" s="1298"/>
      <c r="K33" s="1298"/>
      <c r="L33" s="1298"/>
      <c r="M33" s="1298"/>
      <c r="N33" s="1298"/>
    </row>
    <row r="34" spans="9:19">
      <c r="I34" s="1299"/>
      <c r="J34" s="1301"/>
      <c r="K34" s="1301"/>
      <c r="L34" s="1301"/>
      <c r="M34" s="1301"/>
      <c r="N34" s="1301"/>
    </row>
    <row r="35" spans="9:19">
      <c r="I35" s="1299"/>
      <c r="J35" s="1301"/>
      <c r="K35" s="1301"/>
      <c r="L35" s="1301"/>
      <c r="M35" s="1301"/>
      <c r="N35" s="1301"/>
    </row>
    <row r="36" spans="9:19">
      <c r="I36" s="1299"/>
      <c r="J36" s="1301"/>
      <c r="K36" s="1301"/>
      <c r="L36" s="1301"/>
      <c r="M36" s="1301"/>
      <c r="N36" s="1301"/>
    </row>
    <row r="37" spans="9:19">
      <c r="I37" s="1299"/>
      <c r="J37" s="1301"/>
      <c r="K37" s="1301"/>
      <c r="L37" s="1301"/>
      <c r="M37" s="1301"/>
      <c r="N37" s="1301"/>
    </row>
    <row r="38" spans="9:19">
      <c r="J38" s="1301"/>
      <c r="K38" s="1301"/>
      <c r="L38" s="1301"/>
      <c r="M38" s="1301"/>
    </row>
    <row r="39" spans="9:19">
      <c r="I39" s="1299"/>
    </row>
    <row r="40" spans="9:19">
      <c r="J40" s="1302"/>
      <c r="K40" s="1302"/>
      <c r="L40" s="1302"/>
      <c r="R40" s="1300"/>
      <c r="S40" s="1300"/>
    </row>
    <row r="41" spans="9:19">
      <c r="J41" s="1301"/>
      <c r="K41" s="1301"/>
      <c r="L41" s="1301"/>
      <c r="R41" s="1300"/>
    </row>
    <row r="42" spans="9:19">
      <c r="J42" s="1298"/>
      <c r="K42" s="1298"/>
      <c r="L42" s="1298"/>
      <c r="R42" s="1300"/>
    </row>
    <row r="43" spans="9:19">
      <c r="J43" s="1302"/>
      <c r="K43" s="1302"/>
      <c r="L43" s="1302"/>
      <c r="R43" s="1300"/>
    </row>
    <row r="44" spans="9:19">
      <c r="J44" s="1302"/>
      <c r="K44" s="1302"/>
      <c r="L44" s="1302"/>
      <c r="R44" s="1300"/>
    </row>
    <row r="45" spans="9:19">
      <c r="J45" s="1298"/>
      <c r="K45" s="1298"/>
      <c r="L45" s="1298"/>
      <c r="R45" s="1300"/>
    </row>
    <row r="46" spans="9:19">
      <c r="J46" s="1302"/>
      <c r="K46" s="1302"/>
      <c r="L46" s="1302"/>
    </row>
    <row r="47" spans="9:19">
      <c r="J47" s="1302"/>
      <c r="K47" s="1302"/>
      <c r="L47" s="1302"/>
    </row>
    <row r="48" spans="9:19">
      <c r="J48" s="1298"/>
      <c r="K48" s="1298"/>
      <c r="L48" s="1298"/>
      <c r="N48" s="1297"/>
      <c r="P48" s="1297"/>
    </row>
    <row r="49" spans="1:12">
      <c r="J49" s="1302"/>
      <c r="K49" s="1302"/>
      <c r="L49" s="1302"/>
    </row>
    <row r="50" spans="1:12">
      <c r="J50" s="1302"/>
      <c r="K50" s="1302"/>
      <c r="L50" s="1302"/>
    </row>
    <row r="51" spans="1:12">
      <c r="J51" s="1298"/>
      <c r="K51" s="1298"/>
      <c r="L51" s="1298"/>
    </row>
    <row r="52" spans="1:12">
      <c r="J52" s="1302"/>
      <c r="K52" s="1302"/>
      <c r="L52" s="1302"/>
    </row>
    <row r="53" spans="1:12">
      <c r="J53" s="1302"/>
      <c r="K53" s="1302"/>
      <c r="L53" s="1302"/>
    </row>
    <row r="54" spans="1:12">
      <c r="J54" s="1298"/>
      <c r="K54" s="1298"/>
      <c r="L54" s="1298"/>
    </row>
    <row r="55" spans="1:12">
      <c r="J55" s="1302"/>
      <c r="K55" s="1302"/>
      <c r="L55" s="1302"/>
    </row>
    <row r="56" spans="1:12">
      <c r="J56" s="1302"/>
      <c r="K56" s="1302"/>
      <c r="L56" s="1302"/>
    </row>
    <row r="57" spans="1:12">
      <c r="J57" s="1298"/>
      <c r="K57" s="1298"/>
      <c r="L57" s="1298"/>
    </row>
    <row r="58" spans="1:12">
      <c r="J58" s="1302"/>
      <c r="K58" s="1302"/>
      <c r="L58" s="1302"/>
    </row>
    <row r="59" spans="1:12">
      <c r="J59" s="1302"/>
      <c r="K59" s="1302"/>
      <c r="L59" s="1302"/>
    </row>
    <row r="61" spans="1:12">
      <c r="A61" s="2772" t="s">
        <v>5654</v>
      </c>
      <c r="B61" s="2774">
        <f t="shared" ref="B61:G61" si="6">B3</f>
        <v>2017</v>
      </c>
      <c r="C61" s="2774">
        <f t="shared" si="6"/>
        <v>2018</v>
      </c>
      <c r="D61" s="2774">
        <f t="shared" si="6"/>
        <v>2019</v>
      </c>
      <c r="E61" s="2774">
        <f t="shared" si="6"/>
        <v>2020</v>
      </c>
      <c r="F61" s="2774">
        <f t="shared" si="6"/>
        <v>2021</v>
      </c>
      <c r="G61" s="2774">
        <f t="shared" si="6"/>
        <v>2022</v>
      </c>
    </row>
    <row r="62" spans="1:12">
      <c r="A62" s="1303" t="s">
        <v>5650</v>
      </c>
      <c r="B62" s="1304">
        <f t="shared" ref="B62:G62" si="7">SUM(B63:B64)</f>
        <v>0.73</v>
      </c>
      <c r="C62" s="1304">
        <f t="shared" si="7"/>
        <v>0.73</v>
      </c>
      <c r="D62" s="1304">
        <f t="shared" si="7"/>
        <v>0.94</v>
      </c>
      <c r="E62" s="1304">
        <f t="shared" si="7"/>
        <v>0.67</v>
      </c>
      <c r="F62" s="1304">
        <f t="shared" si="7"/>
        <v>0.55000000000000004</v>
      </c>
      <c r="G62" s="1304">
        <f t="shared" si="7"/>
        <v>4.1700000000000001E-2</v>
      </c>
    </row>
    <row r="63" spans="1:12">
      <c r="A63" s="1305" t="s">
        <v>5655</v>
      </c>
      <c r="B63" s="1306">
        <v>0.73</v>
      </c>
      <c r="C63" s="1306">
        <v>0.73</v>
      </c>
      <c r="D63" s="1306">
        <v>0.94</v>
      </c>
      <c r="E63" s="1306">
        <v>0.67</v>
      </c>
      <c r="F63" s="1306">
        <v>0.55000000000000004</v>
      </c>
      <c r="G63" s="1306">
        <v>4.1700000000000001E-2</v>
      </c>
    </row>
    <row r="64" spans="1:12">
      <c r="A64" s="1305"/>
      <c r="B64" s="1307"/>
      <c r="C64" s="1306"/>
      <c r="D64" s="1306"/>
      <c r="E64" s="1306"/>
      <c r="F64" s="1306"/>
      <c r="G64" s="1306"/>
    </row>
    <row r="65" spans="1:12">
      <c r="A65" s="2769" t="s">
        <v>8</v>
      </c>
      <c r="B65" s="2770">
        <f t="shared" ref="B65:G65" si="8">B62</f>
        <v>0.73</v>
      </c>
      <c r="C65" s="2770">
        <f t="shared" si="8"/>
        <v>0.73</v>
      </c>
      <c r="D65" s="2770">
        <f t="shared" si="8"/>
        <v>0.94</v>
      </c>
      <c r="E65" s="2770">
        <f t="shared" si="8"/>
        <v>0.67</v>
      </c>
      <c r="F65" s="2770">
        <f t="shared" si="8"/>
        <v>0.55000000000000004</v>
      </c>
      <c r="G65" s="2770">
        <f t="shared" si="8"/>
        <v>4.1700000000000001E-2</v>
      </c>
    </row>
    <row r="67" spans="1:12">
      <c r="A67" s="2772" t="s">
        <v>5656</v>
      </c>
      <c r="B67" s="2773">
        <f t="shared" ref="B67:G67" si="9">B3</f>
        <v>2017</v>
      </c>
      <c r="C67" s="2773">
        <f t="shared" si="9"/>
        <v>2018</v>
      </c>
      <c r="D67" s="2773">
        <f t="shared" si="9"/>
        <v>2019</v>
      </c>
      <c r="E67" s="2773">
        <f t="shared" si="9"/>
        <v>2020</v>
      </c>
      <c r="F67" s="2773">
        <f t="shared" si="9"/>
        <v>2021</v>
      </c>
      <c r="G67" s="2773">
        <f t="shared" si="9"/>
        <v>2022</v>
      </c>
    </row>
    <row r="68" spans="1:12">
      <c r="A68" s="1303" t="s">
        <v>4755</v>
      </c>
      <c r="B68" s="1304">
        <f t="shared" ref="B68:G68" si="10">SUM(B69:B70)</f>
        <v>1.6099999999999999</v>
      </c>
      <c r="C68" s="1304">
        <f t="shared" si="10"/>
        <v>1.77</v>
      </c>
      <c r="D68" s="1304">
        <f t="shared" si="10"/>
        <v>1.05</v>
      </c>
      <c r="E68" s="1304">
        <f t="shared" si="10"/>
        <v>0.75</v>
      </c>
      <c r="F68" s="1304">
        <f t="shared" si="10"/>
        <v>0.8</v>
      </c>
      <c r="G68" s="1304">
        <f t="shared" si="10"/>
        <v>0.8</v>
      </c>
    </row>
    <row r="69" spans="1:12">
      <c r="A69" s="1308" t="s">
        <v>5657</v>
      </c>
      <c r="B69" s="1309">
        <v>0.61</v>
      </c>
      <c r="C69" s="1309">
        <v>0.77</v>
      </c>
      <c r="D69" s="1309">
        <v>0.8</v>
      </c>
      <c r="E69" s="1309">
        <v>0.75</v>
      </c>
      <c r="F69" s="1309">
        <v>0.8</v>
      </c>
      <c r="G69" s="1309">
        <v>0.8</v>
      </c>
    </row>
    <row r="70" spans="1:12">
      <c r="A70" s="1305" t="s">
        <v>5658</v>
      </c>
      <c r="B70" s="1306">
        <v>1</v>
      </c>
      <c r="C70" s="1306">
        <v>1</v>
      </c>
      <c r="D70" s="1306">
        <v>0.25</v>
      </c>
      <c r="E70" s="1306"/>
      <c r="F70" s="1306"/>
      <c r="G70" s="1306"/>
      <c r="H70" s="1310"/>
      <c r="K70" s="1298"/>
      <c r="L70" s="1298"/>
    </row>
    <row r="71" spans="1:12">
      <c r="A71" s="1305"/>
      <c r="B71" s="1306"/>
      <c r="C71" s="1306"/>
      <c r="D71" s="1306"/>
      <c r="E71" s="1306"/>
      <c r="F71" s="1306"/>
      <c r="G71" s="1306"/>
      <c r="H71" s="1310"/>
      <c r="K71" s="1298"/>
      <c r="L71" s="1298"/>
    </row>
    <row r="72" spans="1:12">
      <c r="A72" s="1303" t="s">
        <v>5650</v>
      </c>
      <c r="B72" s="1304">
        <f t="shared" ref="B72:G72" si="11">SUM(B73:B74)</f>
        <v>0.5</v>
      </c>
      <c r="C72" s="1304">
        <f t="shared" si="11"/>
        <v>0.73</v>
      </c>
      <c r="D72" s="1304">
        <f t="shared" si="11"/>
        <v>0.5</v>
      </c>
      <c r="E72" s="1311">
        <f t="shared" si="11"/>
        <v>0.65999999999999992</v>
      </c>
      <c r="F72" s="1311">
        <f t="shared" si="11"/>
        <v>0.49000000000000005</v>
      </c>
      <c r="G72" s="1311">
        <f t="shared" si="11"/>
        <v>0</v>
      </c>
    </row>
    <row r="73" spans="1:12">
      <c r="A73" s="1308" t="s">
        <v>5657</v>
      </c>
      <c r="B73" s="1306">
        <v>0.5</v>
      </c>
      <c r="C73" s="1306">
        <v>0.73</v>
      </c>
      <c r="D73" s="1306">
        <v>0.5</v>
      </c>
      <c r="E73" s="1306">
        <f>0.6+0.06</f>
        <v>0.65999999999999992</v>
      </c>
      <c r="F73" s="1306">
        <f>0.8-0.31</f>
        <v>0.49000000000000005</v>
      </c>
      <c r="G73" s="1306"/>
    </row>
    <row r="74" spans="1:12">
      <c r="A74" s="1305"/>
      <c r="B74" s="1306"/>
      <c r="C74" s="1306"/>
      <c r="D74" s="1306"/>
      <c r="E74" s="1306"/>
      <c r="F74" s="1306"/>
      <c r="G74" s="1306"/>
    </row>
    <row r="75" spans="1:12">
      <c r="A75" s="2769" t="s">
        <v>8</v>
      </c>
      <c r="B75" s="2770">
        <f t="shared" ref="B75:G75" si="12">B68+B72</f>
        <v>2.11</v>
      </c>
      <c r="C75" s="2770">
        <f t="shared" si="12"/>
        <v>2.5</v>
      </c>
      <c r="D75" s="2770">
        <f t="shared" si="12"/>
        <v>1.55</v>
      </c>
      <c r="E75" s="2770">
        <f t="shared" si="12"/>
        <v>1.41</v>
      </c>
      <c r="F75" s="2770">
        <f t="shared" si="12"/>
        <v>1.29</v>
      </c>
      <c r="G75" s="2770">
        <f t="shared" si="12"/>
        <v>0.8</v>
      </c>
    </row>
    <row r="77" spans="1:12">
      <c r="A77" s="2772" t="s">
        <v>5659</v>
      </c>
      <c r="B77" s="2773">
        <f t="shared" ref="B77:G77" si="13">B3</f>
        <v>2017</v>
      </c>
      <c r="C77" s="2773">
        <f t="shared" si="13"/>
        <v>2018</v>
      </c>
      <c r="D77" s="2773">
        <f t="shared" si="13"/>
        <v>2019</v>
      </c>
      <c r="E77" s="2773">
        <f t="shared" si="13"/>
        <v>2020</v>
      </c>
      <c r="F77" s="2773">
        <f t="shared" si="13"/>
        <v>2021</v>
      </c>
      <c r="G77" s="2773">
        <f t="shared" si="13"/>
        <v>2022</v>
      </c>
    </row>
    <row r="78" spans="1:12">
      <c r="A78" s="1303" t="s">
        <v>4755</v>
      </c>
      <c r="B78" s="1304">
        <f t="shared" ref="B78:G78" si="14">SUM(B79:B82)</f>
        <v>1</v>
      </c>
      <c r="C78" s="1304">
        <f t="shared" si="14"/>
        <v>1</v>
      </c>
      <c r="D78" s="1304">
        <f t="shared" si="14"/>
        <v>1</v>
      </c>
      <c r="E78" s="1304">
        <f t="shared" si="14"/>
        <v>1</v>
      </c>
      <c r="F78" s="1304">
        <f t="shared" si="14"/>
        <v>1</v>
      </c>
      <c r="G78" s="1304">
        <f t="shared" si="14"/>
        <v>1</v>
      </c>
    </row>
    <row r="79" spans="1:12">
      <c r="A79" s="1305" t="s">
        <v>5660</v>
      </c>
      <c r="B79" s="1306">
        <v>0.75</v>
      </c>
      <c r="C79" s="1306">
        <v>1</v>
      </c>
      <c r="D79" s="1306">
        <v>1</v>
      </c>
      <c r="E79" s="1306">
        <v>1</v>
      </c>
      <c r="F79" s="1306">
        <v>1</v>
      </c>
      <c r="G79" s="1306">
        <v>1</v>
      </c>
    </row>
    <row r="80" spans="1:12">
      <c r="A80" s="1305" t="s">
        <v>5661</v>
      </c>
      <c r="B80" s="1306">
        <v>0.06</v>
      </c>
      <c r="C80" s="1306"/>
      <c r="D80" s="1306"/>
      <c r="E80" s="1306"/>
      <c r="F80" s="1306"/>
      <c r="G80" s="1306"/>
    </row>
    <row r="81" spans="1:7">
      <c r="A81" s="1305" t="s">
        <v>5662</v>
      </c>
      <c r="B81" s="1306">
        <v>0.19</v>
      </c>
      <c r="C81" s="1306"/>
      <c r="D81" s="1306"/>
      <c r="E81" s="1306"/>
      <c r="F81" s="1306"/>
      <c r="G81" s="1306"/>
    </row>
    <row r="82" spans="1:7">
      <c r="A82" s="1305"/>
      <c r="B82" s="1306"/>
      <c r="C82" s="1306"/>
      <c r="D82" s="1306"/>
      <c r="E82" s="1306"/>
      <c r="F82" s="1306"/>
      <c r="G82" s="1306"/>
    </row>
    <row r="83" spans="1:7">
      <c r="A83" s="2769" t="s">
        <v>8</v>
      </c>
      <c r="B83" s="2770">
        <f t="shared" ref="B83:G83" si="15">B78</f>
        <v>1</v>
      </c>
      <c r="C83" s="2770">
        <f t="shared" si="15"/>
        <v>1</v>
      </c>
      <c r="D83" s="2770">
        <f t="shared" si="15"/>
        <v>1</v>
      </c>
      <c r="E83" s="2770">
        <f t="shared" si="15"/>
        <v>1</v>
      </c>
      <c r="F83" s="2770">
        <f t="shared" si="15"/>
        <v>1</v>
      </c>
      <c r="G83" s="2770">
        <f t="shared" si="15"/>
        <v>1</v>
      </c>
    </row>
    <row r="85" spans="1:7">
      <c r="A85" s="2772" t="s">
        <v>5663</v>
      </c>
      <c r="B85" s="2773">
        <f t="shared" ref="B85:G85" si="16">B3</f>
        <v>2017</v>
      </c>
      <c r="C85" s="2773">
        <f t="shared" si="16"/>
        <v>2018</v>
      </c>
      <c r="D85" s="2773">
        <f t="shared" si="16"/>
        <v>2019</v>
      </c>
      <c r="E85" s="2773">
        <f t="shared" si="16"/>
        <v>2020</v>
      </c>
      <c r="F85" s="2773">
        <f t="shared" si="16"/>
        <v>2021</v>
      </c>
      <c r="G85" s="2773">
        <f t="shared" si="16"/>
        <v>2022</v>
      </c>
    </row>
    <row r="86" spans="1:7">
      <c r="A86" s="1303" t="s">
        <v>4755</v>
      </c>
      <c r="B86" s="1304">
        <f t="shared" ref="B86:G86" si="17">SUM(B87:B89)</f>
        <v>1</v>
      </c>
      <c r="C86" s="1304">
        <f t="shared" si="17"/>
        <v>1</v>
      </c>
      <c r="D86" s="1304">
        <f t="shared" si="17"/>
        <v>1</v>
      </c>
      <c r="E86" s="1304">
        <f t="shared" si="17"/>
        <v>1</v>
      </c>
      <c r="F86" s="1304">
        <f t="shared" si="17"/>
        <v>1</v>
      </c>
      <c r="G86" s="1304">
        <f t="shared" si="17"/>
        <v>0.8</v>
      </c>
    </row>
    <row r="87" spans="1:7">
      <c r="A87" s="1305" t="s">
        <v>5664</v>
      </c>
      <c r="B87" s="1306">
        <v>1</v>
      </c>
      <c r="C87" s="1306">
        <v>1</v>
      </c>
      <c r="D87" s="1306"/>
      <c r="E87" s="1306"/>
      <c r="F87" s="1306"/>
      <c r="G87" s="1306"/>
    </row>
    <row r="88" spans="1:7">
      <c r="A88" s="1305" t="s">
        <v>5665</v>
      </c>
      <c r="B88" s="1306"/>
      <c r="C88" s="1306"/>
      <c r="D88" s="1306">
        <v>1</v>
      </c>
      <c r="E88" s="1306">
        <v>1</v>
      </c>
      <c r="F88" s="1306">
        <v>1</v>
      </c>
      <c r="G88" s="1306">
        <v>0.8</v>
      </c>
    </row>
    <row r="89" spans="1:7">
      <c r="A89" s="1305"/>
      <c r="B89" s="1306"/>
      <c r="C89" s="1306"/>
      <c r="D89" s="1306"/>
      <c r="E89" s="1306"/>
      <c r="F89" s="1306"/>
      <c r="G89" s="1306"/>
    </row>
    <row r="90" spans="1:7">
      <c r="A90" s="1303" t="s">
        <v>5650</v>
      </c>
      <c r="B90" s="1304">
        <f t="shared" ref="B90:G90" si="18">SUM(B91:B91)</f>
        <v>0.3498</v>
      </c>
      <c r="C90" s="1304">
        <f t="shared" si="18"/>
        <v>0</v>
      </c>
      <c r="D90" s="1304">
        <f t="shared" si="18"/>
        <v>0</v>
      </c>
      <c r="E90" s="1304">
        <f t="shared" si="18"/>
        <v>0</v>
      </c>
      <c r="F90" s="1304">
        <f t="shared" si="18"/>
        <v>0</v>
      </c>
      <c r="G90" s="1304">
        <f t="shared" si="18"/>
        <v>0</v>
      </c>
    </row>
    <row r="91" spans="1:7">
      <c r="A91" s="1308" t="s">
        <v>5657</v>
      </c>
      <c r="B91" s="1306">
        <v>0.3498</v>
      </c>
      <c r="C91" s="1306"/>
      <c r="D91" s="1306"/>
      <c r="E91" s="1306"/>
      <c r="F91" s="1306"/>
      <c r="G91" s="1306"/>
    </row>
    <row r="92" spans="1:7">
      <c r="A92" s="1305"/>
      <c r="B92" s="1306"/>
      <c r="C92" s="1306"/>
      <c r="D92" s="1306"/>
      <c r="E92" s="1306"/>
      <c r="F92" s="1306"/>
      <c r="G92" s="1306"/>
    </row>
    <row r="93" spans="1:7">
      <c r="A93" s="1303" t="s">
        <v>5651</v>
      </c>
      <c r="B93" s="1304">
        <f t="shared" ref="B93:G93" si="19">SUM(B94:B94)</f>
        <v>0</v>
      </c>
      <c r="C93" s="1304">
        <f t="shared" si="19"/>
        <v>0.1</v>
      </c>
      <c r="D93" s="1304">
        <f t="shared" si="19"/>
        <v>0</v>
      </c>
      <c r="E93" s="1304">
        <f t="shared" si="19"/>
        <v>0</v>
      </c>
      <c r="F93" s="1304">
        <f t="shared" si="19"/>
        <v>0</v>
      </c>
      <c r="G93" s="1304">
        <f t="shared" si="19"/>
        <v>0</v>
      </c>
    </row>
    <row r="94" spans="1:7">
      <c r="A94" s="1308" t="s">
        <v>5657</v>
      </c>
      <c r="B94" s="1306"/>
      <c r="C94" s="1306">
        <v>0.1</v>
      </c>
      <c r="D94" s="1306"/>
      <c r="E94" s="1306"/>
      <c r="F94" s="1306"/>
      <c r="G94" s="1306"/>
    </row>
    <row r="95" spans="1:7">
      <c r="A95" s="1308"/>
      <c r="B95" s="1306"/>
      <c r="C95" s="1306"/>
      <c r="D95" s="1306"/>
      <c r="E95" s="1306"/>
      <c r="F95" s="1306"/>
      <c r="G95" s="1306"/>
    </row>
    <row r="96" spans="1:7">
      <c r="A96" s="2769" t="s">
        <v>8</v>
      </c>
      <c r="B96" s="2770">
        <f t="shared" ref="B96:G96" si="20">B86+B90+B93</f>
        <v>1.3498000000000001</v>
      </c>
      <c r="C96" s="2770">
        <f t="shared" si="20"/>
        <v>1.1000000000000001</v>
      </c>
      <c r="D96" s="2770">
        <f t="shared" si="20"/>
        <v>1</v>
      </c>
      <c r="E96" s="2770">
        <f t="shared" si="20"/>
        <v>1</v>
      </c>
      <c r="F96" s="2770">
        <f t="shared" si="20"/>
        <v>1</v>
      </c>
      <c r="G96" s="2770">
        <f t="shared" si="20"/>
        <v>0.8</v>
      </c>
    </row>
    <row r="98" spans="1:7">
      <c r="A98" s="2772" t="s">
        <v>5666</v>
      </c>
      <c r="B98" s="2773">
        <f t="shared" ref="B98:G98" si="21">B3</f>
        <v>2017</v>
      </c>
      <c r="C98" s="2773">
        <f t="shared" si="21"/>
        <v>2018</v>
      </c>
      <c r="D98" s="2773">
        <f t="shared" si="21"/>
        <v>2019</v>
      </c>
      <c r="E98" s="2773">
        <f t="shared" si="21"/>
        <v>2020</v>
      </c>
      <c r="F98" s="2773">
        <f t="shared" si="21"/>
        <v>2021</v>
      </c>
      <c r="G98" s="2773">
        <f t="shared" si="21"/>
        <v>2022</v>
      </c>
    </row>
    <row r="99" spans="1:7">
      <c r="A99" s="1303" t="s">
        <v>4755</v>
      </c>
      <c r="B99" s="1304">
        <f t="shared" ref="B99:G99" si="22">SUM(B100:B101)</f>
        <v>1</v>
      </c>
      <c r="C99" s="1304">
        <f t="shared" si="22"/>
        <v>0.04</v>
      </c>
      <c r="D99" s="1304">
        <f t="shared" si="22"/>
        <v>0.79</v>
      </c>
      <c r="E99" s="1304">
        <f t="shared" si="22"/>
        <v>0.95</v>
      </c>
      <c r="F99" s="1304">
        <f t="shared" si="22"/>
        <v>0.95</v>
      </c>
      <c r="G99" s="1304">
        <f t="shared" si="22"/>
        <v>0.95</v>
      </c>
    </row>
    <row r="100" spans="1:7">
      <c r="A100" s="1305" t="s">
        <v>5667</v>
      </c>
      <c r="B100" s="1306">
        <v>1</v>
      </c>
      <c r="C100" s="1306">
        <v>0.04</v>
      </c>
      <c r="D100" s="1306">
        <v>0.79</v>
      </c>
      <c r="E100" s="1306">
        <v>0.95</v>
      </c>
      <c r="F100" s="1306">
        <v>0.95</v>
      </c>
      <c r="G100" s="1306">
        <v>0.95</v>
      </c>
    </row>
    <row r="101" spans="1:7">
      <c r="A101" s="1305"/>
      <c r="B101" s="1306"/>
      <c r="C101" s="1306"/>
      <c r="D101" s="1306"/>
      <c r="E101" s="1306"/>
      <c r="F101" s="1306"/>
      <c r="G101" s="1306"/>
    </row>
    <row r="102" spans="1:7">
      <c r="A102" s="1303" t="s">
        <v>5650</v>
      </c>
      <c r="B102" s="1304">
        <f t="shared" ref="B102:G102" si="23">SUM(B103:B107)</f>
        <v>0</v>
      </c>
      <c r="C102" s="1304">
        <f t="shared" si="23"/>
        <v>0.05</v>
      </c>
      <c r="D102" s="1304">
        <f t="shared" si="23"/>
        <v>0.57999999999999996</v>
      </c>
      <c r="E102" s="1311">
        <f t="shared" si="23"/>
        <v>1.6400000000000001</v>
      </c>
      <c r="F102" s="1311">
        <f t="shared" si="23"/>
        <v>2.76</v>
      </c>
      <c r="G102" s="1311">
        <f t="shared" si="23"/>
        <v>3</v>
      </c>
    </row>
    <row r="103" spans="1:7">
      <c r="A103" s="1305" t="s">
        <v>7213</v>
      </c>
      <c r="B103" s="1306"/>
      <c r="C103" s="1306"/>
      <c r="D103" s="1306"/>
      <c r="E103" s="1306">
        <v>0.5</v>
      </c>
      <c r="F103" s="1306">
        <v>1</v>
      </c>
      <c r="G103" s="1306">
        <v>1</v>
      </c>
    </row>
    <row r="104" spans="1:7">
      <c r="A104" s="1305" t="s">
        <v>5669</v>
      </c>
      <c r="B104" s="1306"/>
      <c r="C104" s="1306"/>
      <c r="D104" s="1306">
        <v>0.33</v>
      </c>
      <c r="E104" s="1306">
        <v>1</v>
      </c>
      <c r="F104" s="1306">
        <v>1</v>
      </c>
      <c r="G104" s="1306">
        <v>1</v>
      </c>
    </row>
    <row r="105" spans="1:7">
      <c r="A105" s="1305" t="s">
        <v>5667</v>
      </c>
      <c r="B105" s="1306"/>
      <c r="C105" s="1306">
        <v>0.05</v>
      </c>
      <c r="D105" s="1306"/>
      <c r="E105" s="1306"/>
      <c r="F105" s="1306"/>
      <c r="G105" s="1306"/>
    </row>
    <row r="106" spans="1:7">
      <c r="A106" s="1305" t="s">
        <v>5668</v>
      </c>
      <c r="B106" s="1306"/>
      <c r="C106" s="1306"/>
      <c r="D106" s="1306">
        <v>0.24999999999999994</v>
      </c>
      <c r="E106" s="1306">
        <v>0.14000000000000001</v>
      </c>
      <c r="F106" s="1306">
        <v>0.76</v>
      </c>
      <c r="G106" s="1306">
        <v>1</v>
      </c>
    </row>
    <row r="107" spans="1:7">
      <c r="A107" s="1305"/>
      <c r="B107" s="1306"/>
      <c r="C107" s="1306"/>
      <c r="D107" s="1306"/>
      <c r="E107" s="1306"/>
      <c r="F107" s="1306"/>
      <c r="G107" s="1306"/>
    </row>
    <row r="108" spans="1:7">
      <c r="A108" s="1303" t="s">
        <v>5651</v>
      </c>
      <c r="B108" s="1304">
        <f t="shared" ref="B108:G108" si="24">SUM(B109:B109)</f>
        <v>0</v>
      </c>
      <c r="C108" s="1304">
        <f t="shared" si="24"/>
        <v>0</v>
      </c>
      <c r="D108" s="1304">
        <f t="shared" si="24"/>
        <v>0.08</v>
      </c>
      <c r="E108" s="1311">
        <f t="shared" si="24"/>
        <v>0.08</v>
      </c>
      <c r="F108" s="1311">
        <f t="shared" si="24"/>
        <v>0</v>
      </c>
      <c r="G108" s="1311">
        <f t="shared" si="24"/>
        <v>0</v>
      </c>
    </row>
    <row r="109" spans="1:7">
      <c r="A109" s="1308" t="s">
        <v>5657</v>
      </c>
      <c r="B109" s="1306"/>
      <c r="C109" s="1306"/>
      <c r="D109" s="1306">
        <v>0.08</v>
      </c>
      <c r="E109" s="1306">
        <v>0.08</v>
      </c>
      <c r="F109" s="1306"/>
      <c r="G109" s="1306"/>
    </row>
    <row r="110" spans="1:7">
      <c r="A110" s="1308"/>
      <c r="B110" s="1306"/>
      <c r="C110" s="1306"/>
      <c r="D110" s="1306"/>
      <c r="E110" s="1306"/>
      <c r="F110" s="1306"/>
      <c r="G110" s="1306"/>
    </row>
    <row r="111" spans="1:7">
      <c r="A111" s="2769" t="s">
        <v>8</v>
      </c>
      <c r="B111" s="2770">
        <f t="shared" ref="B111:G111" si="25">B99+B102+B108</f>
        <v>1</v>
      </c>
      <c r="C111" s="2770">
        <f t="shared" si="25"/>
        <v>0.09</v>
      </c>
      <c r="D111" s="2770">
        <f t="shared" si="25"/>
        <v>1.4500000000000002</v>
      </c>
      <c r="E111" s="2770">
        <f t="shared" si="25"/>
        <v>2.67</v>
      </c>
      <c r="F111" s="2770">
        <f t="shared" si="25"/>
        <v>3.71</v>
      </c>
      <c r="G111" s="2770">
        <f t="shared" si="25"/>
        <v>3.95</v>
      </c>
    </row>
    <row r="113" spans="1:7">
      <c r="A113" s="2772" t="s">
        <v>5670</v>
      </c>
      <c r="B113" s="2773">
        <f t="shared" ref="B113:G113" si="26">B3</f>
        <v>2017</v>
      </c>
      <c r="C113" s="2773">
        <f t="shared" si="26"/>
        <v>2018</v>
      </c>
      <c r="D113" s="2773">
        <f t="shared" si="26"/>
        <v>2019</v>
      </c>
      <c r="E113" s="2773">
        <f t="shared" si="26"/>
        <v>2020</v>
      </c>
      <c r="F113" s="2773">
        <f t="shared" si="26"/>
        <v>2021</v>
      </c>
      <c r="G113" s="2773">
        <f t="shared" si="26"/>
        <v>2022</v>
      </c>
    </row>
    <row r="114" spans="1:7">
      <c r="A114" s="1303" t="s">
        <v>4755</v>
      </c>
      <c r="B114" s="1304">
        <f t="shared" ref="B114:G114" si="27">SUM(B115:B117)</f>
        <v>1.74</v>
      </c>
      <c r="C114" s="1304">
        <f t="shared" si="27"/>
        <v>1.8</v>
      </c>
      <c r="D114" s="1304">
        <f t="shared" si="27"/>
        <v>1.7999999999999994</v>
      </c>
      <c r="E114" s="1311">
        <f t="shared" si="27"/>
        <v>1.22</v>
      </c>
      <c r="F114" s="1311">
        <f t="shared" si="27"/>
        <v>0.8</v>
      </c>
      <c r="G114" s="1311">
        <f t="shared" si="27"/>
        <v>0.26669999999999999</v>
      </c>
    </row>
    <row r="115" spans="1:7">
      <c r="A115" s="1305" t="s">
        <v>5671</v>
      </c>
      <c r="B115" s="1306">
        <v>0.8</v>
      </c>
      <c r="C115" s="1306">
        <v>0.8</v>
      </c>
      <c r="D115" s="1306">
        <v>0.79999999999999993</v>
      </c>
      <c r="E115" s="1306">
        <v>0.8</v>
      </c>
      <c r="F115" s="1306">
        <v>0.8</v>
      </c>
      <c r="G115" s="1306">
        <v>0.26669999999999999</v>
      </c>
    </row>
    <row r="116" spans="1:7">
      <c r="A116" s="1305" t="s">
        <v>5672</v>
      </c>
      <c r="B116" s="1306">
        <v>0.94</v>
      </c>
      <c r="C116" s="1306">
        <v>1</v>
      </c>
      <c r="D116" s="1306">
        <v>0.99999999999999956</v>
      </c>
      <c r="E116" s="1306">
        <v>0.42</v>
      </c>
      <c r="F116" s="1306"/>
      <c r="G116" s="1306"/>
    </row>
    <row r="117" spans="1:7">
      <c r="A117" s="1305"/>
      <c r="B117" s="1306"/>
      <c r="C117" s="1306"/>
      <c r="D117" s="1306"/>
      <c r="E117" s="1306"/>
      <c r="F117" s="1306"/>
      <c r="G117" s="1306"/>
    </row>
    <row r="118" spans="1:7">
      <c r="A118" s="1303" t="s">
        <v>5650</v>
      </c>
      <c r="B118" s="1304">
        <f t="shared" ref="B118:G118" si="28">SUM(B119:B123)</f>
        <v>5.7881</v>
      </c>
      <c r="C118" s="1304">
        <f t="shared" si="28"/>
        <v>5.28</v>
      </c>
      <c r="D118" s="1304">
        <f t="shared" si="28"/>
        <v>3.6799999999999997</v>
      </c>
      <c r="E118" s="1311">
        <f t="shared" si="28"/>
        <v>3.22</v>
      </c>
      <c r="F118" s="1311">
        <f t="shared" si="28"/>
        <v>2.218</v>
      </c>
      <c r="G118" s="1311">
        <f t="shared" si="28"/>
        <v>1.5999999999999999</v>
      </c>
    </row>
    <row r="119" spans="1:7">
      <c r="A119" s="1305" t="s">
        <v>5673</v>
      </c>
      <c r="B119" s="1306">
        <v>1</v>
      </c>
      <c r="C119" s="1306">
        <v>0.42</v>
      </c>
      <c r="D119" s="1306"/>
      <c r="E119" s="1306"/>
      <c r="F119" s="1306"/>
      <c r="G119" s="1306"/>
    </row>
    <row r="120" spans="1:7">
      <c r="A120" s="1305" t="s">
        <v>5674</v>
      </c>
      <c r="B120" s="1306">
        <f>5.21-0.7469-0.675</f>
        <v>3.7881</v>
      </c>
      <c r="C120" s="1306">
        <f>5.21-0.75-0.6</f>
        <v>3.86</v>
      </c>
      <c r="D120" s="1306">
        <f>4.28-1.35</f>
        <v>2.93</v>
      </c>
      <c r="E120" s="1306">
        <v>2.4700000000000002</v>
      </c>
      <c r="F120" s="1306">
        <v>1.954</v>
      </c>
      <c r="G120" s="1306">
        <f>0.8028+0.1639</f>
        <v>0.96669999999999989</v>
      </c>
    </row>
    <row r="121" spans="1:7">
      <c r="A121" s="1305" t="s">
        <v>5672</v>
      </c>
      <c r="B121" s="1306">
        <v>1</v>
      </c>
      <c r="C121" s="1306">
        <v>1</v>
      </c>
      <c r="D121" s="1306">
        <v>0.74999999999999956</v>
      </c>
      <c r="E121" s="1306">
        <v>0.75</v>
      </c>
      <c r="F121" s="1306"/>
      <c r="G121" s="1306"/>
    </row>
    <row r="122" spans="1:7">
      <c r="A122" s="1305" t="s">
        <v>7825</v>
      </c>
      <c r="B122" s="1306"/>
      <c r="C122" s="1306"/>
      <c r="D122" s="1306"/>
      <c r="E122" s="1306"/>
      <c r="F122" s="1306">
        <v>0.26400000000000001</v>
      </c>
      <c r="G122" s="1306">
        <v>0.63329999999999997</v>
      </c>
    </row>
    <row r="123" spans="1:7">
      <c r="A123" s="1305"/>
      <c r="B123" s="1306"/>
      <c r="C123" s="1306"/>
      <c r="D123" s="1306"/>
      <c r="E123" s="1306"/>
      <c r="F123" s="1306"/>
      <c r="G123" s="1306"/>
    </row>
    <row r="124" spans="1:7" s="1291" customFormat="1">
      <c r="A124" s="1303" t="s">
        <v>5651</v>
      </c>
      <c r="B124" s="1311">
        <f t="shared" ref="B124:G124" si="29">SUM(B125:B126)</f>
        <v>0.09</v>
      </c>
      <c r="C124" s="1311">
        <f t="shared" si="29"/>
        <v>0.19</v>
      </c>
      <c r="D124" s="1311">
        <f t="shared" si="29"/>
        <v>0.12</v>
      </c>
      <c r="E124" s="1311">
        <f t="shared" si="29"/>
        <v>0</v>
      </c>
      <c r="F124" s="1311">
        <f t="shared" si="29"/>
        <v>0</v>
      </c>
      <c r="G124" s="1311">
        <f t="shared" si="29"/>
        <v>0</v>
      </c>
    </row>
    <row r="125" spans="1:7">
      <c r="A125" s="1305" t="s">
        <v>5674</v>
      </c>
      <c r="B125" s="1306">
        <v>0.09</v>
      </c>
      <c r="C125" s="1306">
        <v>0.19</v>
      </c>
      <c r="D125" s="1306">
        <v>0.12</v>
      </c>
      <c r="E125" s="1306"/>
      <c r="F125" s="1306"/>
      <c r="G125" s="1306"/>
    </row>
    <row r="126" spans="1:7">
      <c r="A126" s="1305"/>
      <c r="B126" s="1306"/>
      <c r="C126" s="1306"/>
      <c r="D126" s="1306"/>
      <c r="E126" s="1306"/>
      <c r="F126" s="1306"/>
      <c r="G126" s="1306"/>
    </row>
    <row r="127" spans="1:7">
      <c r="A127" s="2769" t="s">
        <v>8</v>
      </c>
      <c r="B127" s="2770">
        <f t="shared" ref="B127:G127" si="30">B114+B118+B124</f>
        <v>7.6181000000000001</v>
      </c>
      <c r="C127" s="2770">
        <f t="shared" si="30"/>
        <v>7.2700000000000005</v>
      </c>
      <c r="D127" s="2770">
        <f t="shared" si="30"/>
        <v>5.5999999999999988</v>
      </c>
      <c r="E127" s="2770">
        <f t="shared" si="30"/>
        <v>4.4400000000000004</v>
      </c>
      <c r="F127" s="2770">
        <f t="shared" si="30"/>
        <v>3.0179999999999998</v>
      </c>
      <c r="G127" s="2770">
        <f t="shared" si="30"/>
        <v>1.8666999999999998</v>
      </c>
    </row>
    <row r="129" spans="1:7">
      <c r="A129" s="2772" t="s">
        <v>7217</v>
      </c>
      <c r="B129" s="2773">
        <f t="shared" ref="B129:G129" si="31">B3</f>
        <v>2017</v>
      </c>
      <c r="C129" s="2773">
        <f t="shared" si="31"/>
        <v>2018</v>
      </c>
      <c r="D129" s="2773">
        <f t="shared" si="31"/>
        <v>2019</v>
      </c>
      <c r="E129" s="2773">
        <f t="shared" si="31"/>
        <v>2020</v>
      </c>
      <c r="F129" s="2773">
        <f t="shared" si="31"/>
        <v>2021</v>
      </c>
      <c r="G129" s="2773">
        <f t="shared" si="31"/>
        <v>2022</v>
      </c>
    </row>
    <row r="130" spans="1:7">
      <c r="A130" s="1303" t="s">
        <v>5650</v>
      </c>
      <c r="B130" s="1304">
        <f t="shared" ref="B130:G130" si="32">SUM(B131:B132)</f>
        <v>0</v>
      </c>
      <c r="C130" s="1304">
        <f t="shared" si="32"/>
        <v>0</v>
      </c>
      <c r="D130" s="1304">
        <f t="shared" si="32"/>
        <v>0</v>
      </c>
      <c r="E130" s="1304">
        <f t="shared" si="32"/>
        <v>1</v>
      </c>
      <c r="F130" s="1304">
        <f t="shared" si="32"/>
        <v>1</v>
      </c>
      <c r="G130" s="1304">
        <f t="shared" si="32"/>
        <v>1</v>
      </c>
    </row>
    <row r="131" spans="1:7">
      <c r="A131" s="1305" t="s">
        <v>5710</v>
      </c>
      <c r="B131" s="1306"/>
      <c r="C131" s="1306"/>
      <c r="D131" s="1306"/>
      <c r="E131" s="1306">
        <v>1</v>
      </c>
      <c r="F131" s="1306">
        <v>1</v>
      </c>
      <c r="G131" s="1306">
        <v>1</v>
      </c>
    </row>
    <row r="132" spans="1:7">
      <c r="A132" s="1305"/>
      <c r="B132" s="1306"/>
      <c r="C132" s="1306"/>
      <c r="D132" s="1306"/>
      <c r="E132" s="1306"/>
      <c r="F132" s="1306"/>
      <c r="G132" s="1306"/>
    </row>
    <row r="133" spans="1:7">
      <c r="A133" s="2769" t="s">
        <v>8</v>
      </c>
      <c r="B133" s="2770">
        <f t="shared" ref="B133:G133" si="33">B130</f>
        <v>0</v>
      </c>
      <c r="C133" s="2770">
        <f t="shared" si="33"/>
        <v>0</v>
      </c>
      <c r="D133" s="2770">
        <f t="shared" si="33"/>
        <v>0</v>
      </c>
      <c r="E133" s="2770">
        <f t="shared" si="33"/>
        <v>1</v>
      </c>
      <c r="F133" s="2770">
        <f t="shared" si="33"/>
        <v>1</v>
      </c>
      <c r="G133" s="2770">
        <f t="shared" si="33"/>
        <v>1</v>
      </c>
    </row>
    <row r="135" spans="1:7">
      <c r="A135" s="2772" t="s">
        <v>5675</v>
      </c>
      <c r="B135" s="2773">
        <f t="shared" ref="B135:G135" si="34">B3</f>
        <v>2017</v>
      </c>
      <c r="C135" s="2773">
        <f t="shared" si="34"/>
        <v>2018</v>
      </c>
      <c r="D135" s="2773">
        <f t="shared" si="34"/>
        <v>2019</v>
      </c>
      <c r="E135" s="2773">
        <f t="shared" si="34"/>
        <v>2020</v>
      </c>
      <c r="F135" s="2773">
        <f t="shared" si="34"/>
        <v>2021</v>
      </c>
      <c r="G135" s="2773">
        <f t="shared" si="34"/>
        <v>2022</v>
      </c>
    </row>
    <row r="136" spans="1:7">
      <c r="A136" s="1303" t="s">
        <v>4755</v>
      </c>
      <c r="B136" s="1304">
        <f t="shared" ref="B136:G136" si="35">SUM(B137:B140)</f>
        <v>3.1300000000000003</v>
      </c>
      <c r="C136" s="1304">
        <f t="shared" si="35"/>
        <v>3.27</v>
      </c>
      <c r="D136" s="1304">
        <f t="shared" si="35"/>
        <v>3.1899999999999995</v>
      </c>
      <c r="E136" s="1304">
        <f t="shared" si="35"/>
        <v>3.3</v>
      </c>
      <c r="F136" s="1304">
        <f t="shared" si="35"/>
        <v>3.3</v>
      </c>
      <c r="G136" s="1304">
        <f t="shared" si="35"/>
        <v>2.8</v>
      </c>
    </row>
    <row r="137" spans="1:7">
      <c r="A137" s="1312" t="s">
        <v>5657</v>
      </c>
      <c r="B137" s="1306">
        <v>1</v>
      </c>
      <c r="C137" s="1306">
        <v>1</v>
      </c>
      <c r="D137" s="1306">
        <f>1+0.25</f>
        <v>1.25</v>
      </c>
      <c r="E137" s="1306">
        <f>1+0.5</f>
        <v>1.5</v>
      </c>
      <c r="F137" s="1306">
        <f>0.5+1</f>
        <v>1.5</v>
      </c>
      <c r="G137" s="1306">
        <f>1+0.1667</f>
        <v>1.1667000000000001</v>
      </c>
    </row>
    <row r="138" spans="1:7">
      <c r="A138" s="1312" t="s">
        <v>5676</v>
      </c>
      <c r="B138" s="1306">
        <v>1.24</v>
      </c>
      <c r="C138" s="1306">
        <v>1.71</v>
      </c>
      <c r="D138" s="1306">
        <v>0.99999999999999956</v>
      </c>
      <c r="E138" s="1306">
        <v>1</v>
      </c>
      <c r="F138" s="1306">
        <v>1</v>
      </c>
      <c r="G138" s="1306">
        <v>0.83330000000000004</v>
      </c>
    </row>
    <row r="139" spans="1:7">
      <c r="A139" s="1312" t="s">
        <v>5677</v>
      </c>
      <c r="B139" s="1306">
        <v>0.89</v>
      </c>
      <c r="C139" s="1306">
        <v>0.56000000000000005</v>
      </c>
      <c r="D139" s="1306">
        <v>0.94</v>
      </c>
      <c r="E139" s="1306">
        <v>0.8</v>
      </c>
      <c r="F139" s="1306">
        <v>0.8</v>
      </c>
      <c r="G139" s="1306">
        <v>0.8</v>
      </c>
    </row>
    <row r="140" spans="1:7">
      <c r="A140" s="1313"/>
      <c r="B140" s="1306"/>
      <c r="C140" s="1306"/>
      <c r="D140" s="1306"/>
      <c r="E140" s="1306"/>
      <c r="F140" s="1306"/>
      <c r="G140" s="1306"/>
    </row>
    <row r="141" spans="1:7">
      <c r="A141" s="1314" t="s">
        <v>5650</v>
      </c>
      <c r="B141" s="1304">
        <f t="shared" ref="B141:G141" si="36">SUM(B142:B144)</f>
        <v>2.8267000000000002</v>
      </c>
      <c r="C141" s="1304">
        <f t="shared" si="36"/>
        <v>4.42</v>
      </c>
      <c r="D141" s="1304">
        <f t="shared" si="36"/>
        <v>4.9382999999999999</v>
      </c>
      <c r="E141" s="1311">
        <f t="shared" si="36"/>
        <v>5.3</v>
      </c>
      <c r="F141" s="1311">
        <f t="shared" si="36"/>
        <v>5.87</v>
      </c>
      <c r="G141" s="1311">
        <f t="shared" si="36"/>
        <v>7.8864999999999998</v>
      </c>
    </row>
    <row r="142" spans="1:7">
      <c r="A142" s="1312" t="s">
        <v>5657</v>
      </c>
      <c r="B142" s="1306"/>
      <c r="C142" s="1306">
        <v>0.43</v>
      </c>
      <c r="D142" s="1306">
        <v>0.1</v>
      </c>
      <c r="E142" s="1306"/>
      <c r="F142" s="1306">
        <v>0.18</v>
      </c>
      <c r="G142" s="1306">
        <f>0.2056+0.1667</f>
        <v>0.37229999999999996</v>
      </c>
    </row>
    <row r="143" spans="1:7">
      <c r="A143" s="4447" t="s">
        <v>5676</v>
      </c>
      <c r="B143" s="1306"/>
      <c r="C143" s="1306"/>
      <c r="D143" s="1306"/>
      <c r="E143" s="1306"/>
      <c r="F143" s="1306"/>
      <c r="G143" s="1306">
        <f>0.1667</f>
        <v>0.16669999999999999</v>
      </c>
    </row>
    <row r="144" spans="1:7">
      <c r="A144" s="1312" t="s">
        <v>5678</v>
      </c>
      <c r="B144" s="1306">
        <f>2.66+0.1667</f>
        <v>2.8267000000000002</v>
      </c>
      <c r="C144" s="1306">
        <f>2.11+0.37+1.81-0.3</f>
        <v>3.99</v>
      </c>
      <c r="D144" s="1306">
        <f>5.16-0.3217</f>
        <v>4.8383000000000003</v>
      </c>
      <c r="E144" s="1306">
        <f>6.25-0.95</f>
        <v>5.3</v>
      </c>
      <c r="F144" s="1306">
        <f>-0.4+1.6+4.49</f>
        <v>5.69</v>
      </c>
      <c r="G144" s="1306">
        <f>2.4806+5.1836+0.0833-0.4</f>
        <v>7.3475000000000001</v>
      </c>
    </row>
    <row r="145" spans="1:7">
      <c r="A145" s="1312"/>
      <c r="B145" s="1306"/>
      <c r="C145" s="1306"/>
      <c r="D145" s="1306"/>
      <c r="E145" s="1306"/>
      <c r="F145" s="1306"/>
      <c r="G145" s="1306"/>
    </row>
    <row r="146" spans="1:7">
      <c r="A146" s="1314" t="s">
        <v>5651</v>
      </c>
      <c r="B146" s="1304">
        <f t="shared" ref="B146:G146" si="37">SUM(B147:B148)</f>
        <v>0</v>
      </c>
      <c r="C146" s="1304">
        <f t="shared" si="37"/>
        <v>0.08</v>
      </c>
      <c r="D146" s="1304">
        <f t="shared" si="37"/>
        <v>0.12</v>
      </c>
      <c r="E146" s="1311">
        <f t="shared" si="37"/>
        <v>0</v>
      </c>
      <c r="F146" s="1311">
        <f t="shared" si="37"/>
        <v>0</v>
      </c>
      <c r="G146" s="1311">
        <f t="shared" si="37"/>
        <v>0</v>
      </c>
    </row>
    <row r="147" spans="1:7">
      <c r="A147" s="1312" t="s">
        <v>5657</v>
      </c>
      <c r="B147" s="1306"/>
      <c r="C147" s="1306">
        <v>0.08</v>
      </c>
      <c r="D147" s="1306">
        <v>0.12</v>
      </c>
      <c r="E147" s="1306"/>
      <c r="F147" s="1306"/>
      <c r="G147" s="1306"/>
    </row>
    <row r="148" spans="1:7">
      <c r="A148" s="1305"/>
      <c r="B148" s="1306"/>
      <c r="C148" s="1306"/>
      <c r="D148" s="1306"/>
      <c r="E148" s="1306"/>
      <c r="F148" s="1306"/>
      <c r="G148" s="1306"/>
    </row>
    <row r="149" spans="1:7">
      <c r="A149" s="2769" t="s">
        <v>8</v>
      </c>
      <c r="B149" s="2770">
        <f t="shared" ref="B149:G149" si="38">B136+B141+B146</f>
        <v>5.9567000000000005</v>
      </c>
      <c r="C149" s="2770">
        <f t="shared" si="38"/>
        <v>7.77</v>
      </c>
      <c r="D149" s="2770">
        <f t="shared" si="38"/>
        <v>8.2482999999999986</v>
      </c>
      <c r="E149" s="2770">
        <f t="shared" si="38"/>
        <v>8.6</v>
      </c>
      <c r="F149" s="2770">
        <f t="shared" si="38"/>
        <v>9.17</v>
      </c>
      <c r="G149" s="2770">
        <f t="shared" si="38"/>
        <v>10.686499999999999</v>
      </c>
    </row>
    <row r="151" spans="1:7">
      <c r="A151" s="2772" t="s">
        <v>5679</v>
      </c>
      <c r="B151" s="2773">
        <f t="shared" ref="B151:G151" si="39">B3</f>
        <v>2017</v>
      </c>
      <c r="C151" s="2773">
        <f t="shared" si="39"/>
        <v>2018</v>
      </c>
      <c r="D151" s="2773">
        <f t="shared" si="39"/>
        <v>2019</v>
      </c>
      <c r="E151" s="2773">
        <f t="shared" si="39"/>
        <v>2020</v>
      </c>
      <c r="F151" s="2773">
        <f t="shared" si="39"/>
        <v>2021</v>
      </c>
      <c r="G151" s="2773">
        <f t="shared" si="39"/>
        <v>2022</v>
      </c>
    </row>
    <row r="152" spans="1:7">
      <c r="A152" s="1303" t="s">
        <v>5650</v>
      </c>
      <c r="B152" s="1304">
        <f t="shared" ref="B152:G152" si="40">SUM(B153:B155)</f>
        <v>1.1879</v>
      </c>
      <c r="C152" s="1304">
        <f t="shared" si="40"/>
        <v>1.5908</v>
      </c>
      <c r="D152" s="1304">
        <f t="shared" si="40"/>
        <v>1.7132999999999998</v>
      </c>
      <c r="E152" s="1304">
        <f t="shared" si="40"/>
        <v>1.8099999999999998</v>
      </c>
      <c r="F152" s="1304">
        <f t="shared" si="40"/>
        <v>1.8199999999999998</v>
      </c>
      <c r="G152" s="1304">
        <f t="shared" si="40"/>
        <v>1.0666</v>
      </c>
    </row>
    <row r="153" spans="1:7">
      <c r="A153" s="1305" t="s">
        <v>5657</v>
      </c>
      <c r="B153" s="1306">
        <f>0.71-0.3554</f>
        <v>0.35459999999999997</v>
      </c>
      <c r="C153" s="1306">
        <f>0.57-0.1459</f>
        <v>0.42409999999999992</v>
      </c>
      <c r="D153" s="1306">
        <v>0.42</v>
      </c>
      <c r="E153" s="1306">
        <v>0.41</v>
      </c>
      <c r="F153" s="1306">
        <v>0.42</v>
      </c>
      <c r="G153" s="1306">
        <f>0.5-0.1667</f>
        <v>0.33330000000000004</v>
      </c>
    </row>
    <row r="154" spans="1:7">
      <c r="A154" s="1312" t="s">
        <v>5678</v>
      </c>
      <c r="B154" s="1306">
        <f>1-0.1667</f>
        <v>0.83330000000000004</v>
      </c>
      <c r="C154" s="1306">
        <f>2-0.8333</f>
        <v>1.1667000000000001</v>
      </c>
      <c r="D154" s="1306">
        <f>2.19-0.8967</f>
        <v>1.2932999999999999</v>
      </c>
      <c r="E154" s="1306">
        <f>1.8-0.4</f>
        <v>1.4</v>
      </c>
      <c r="F154" s="1306">
        <f>-0.4+1.72+0.08</f>
        <v>1.4</v>
      </c>
      <c r="G154" s="1306">
        <f>1.1333-0.4</f>
        <v>0.73329999999999995</v>
      </c>
    </row>
    <row r="155" spans="1:7">
      <c r="A155" s="1305"/>
      <c r="B155" s="1306"/>
      <c r="C155" s="1306"/>
      <c r="D155" s="1306"/>
      <c r="E155" s="1306"/>
      <c r="F155" s="1306"/>
      <c r="G155" s="1306"/>
    </row>
    <row r="156" spans="1:7">
      <c r="A156" s="1314" t="s">
        <v>5653</v>
      </c>
      <c r="B156" s="1304">
        <f t="shared" ref="B156:G156" si="41">SUM(B157:B157)</f>
        <v>0.75</v>
      </c>
      <c r="C156" s="1304">
        <f t="shared" si="41"/>
        <v>0</v>
      </c>
      <c r="D156" s="1304">
        <f t="shared" si="41"/>
        <v>0</v>
      </c>
      <c r="E156" s="1311">
        <f t="shared" si="41"/>
        <v>0</v>
      </c>
      <c r="F156" s="1311">
        <f t="shared" si="41"/>
        <v>0</v>
      </c>
      <c r="G156" s="1311">
        <f t="shared" si="41"/>
        <v>0</v>
      </c>
    </row>
    <row r="157" spans="1:7">
      <c r="A157" s="1312" t="s">
        <v>5678</v>
      </c>
      <c r="B157" s="1306">
        <v>0.75</v>
      </c>
      <c r="C157" s="1306"/>
      <c r="D157" s="1306"/>
      <c r="E157" s="1306"/>
      <c r="F157" s="1306"/>
      <c r="G157" s="1306"/>
    </row>
    <row r="158" spans="1:7">
      <c r="A158" s="1305"/>
      <c r="B158" s="1306"/>
      <c r="C158" s="1306"/>
      <c r="D158" s="1306"/>
      <c r="E158" s="1306"/>
      <c r="F158" s="1306"/>
      <c r="G158" s="1306"/>
    </row>
    <row r="159" spans="1:7">
      <c r="A159" s="2769" t="s">
        <v>8</v>
      </c>
      <c r="B159" s="2770">
        <f t="shared" ref="B159:G159" si="42">+B152+B156</f>
        <v>1.9379</v>
      </c>
      <c r="C159" s="2770">
        <f t="shared" si="42"/>
        <v>1.5908</v>
      </c>
      <c r="D159" s="2770">
        <f t="shared" si="42"/>
        <v>1.7132999999999998</v>
      </c>
      <c r="E159" s="2770">
        <f t="shared" si="42"/>
        <v>1.8099999999999998</v>
      </c>
      <c r="F159" s="2770">
        <f t="shared" si="42"/>
        <v>1.8199999999999998</v>
      </c>
      <c r="G159" s="2770">
        <f t="shared" si="42"/>
        <v>1.0666</v>
      </c>
    </row>
    <row r="161" spans="1:15">
      <c r="A161" s="2772" t="s">
        <v>5680</v>
      </c>
      <c r="B161" s="2773">
        <f t="shared" ref="B161:G161" si="43">B3</f>
        <v>2017</v>
      </c>
      <c r="C161" s="2773">
        <f t="shared" si="43"/>
        <v>2018</v>
      </c>
      <c r="D161" s="2773">
        <f t="shared" si="43"/>
        <v>2019</v>
      </c>
      <c r="E161" s="2773">
        <f t="shared" si="43"/>
        <v>2020</v>
      </c>
      <c r="F161" s="2773">
        <f t="shared" si="43"/>
        <v>2021</v>
      </c>
      <c r="G161" s="2773">
        <f t="shared" si="43"/>
        <v>2022</v>
      </c>
    </row>
    <row r="162" spans="1:15">
      <c r="A162" s="1303" t="s">
        <v>5650</v>
      </c>
      <c r="B162" s="1304">
        <f t="shared" ref="B162:G162" si="44">SUM(B163:B164)</f>
        <v>0</v>
      </c>
      <c r="C162" s="1304">
        <f t="shared" si="44"/>
        <v>0.4667</v>
      </c>
      <c r="D162" s="1304">
        <f t="shared" si="44"/>
        <v>0.81830000000000003</v>
      </c>
      <c r="E162" s="1311">
        <f t="shared" si="44"/>
        <v>0.95</v>
      </c>
      <c r="F162" s="1311">
        <f t="shared" si="44"/>
        <v>0.8</v>
      </c>
      <c r="G162" s="1311">
        <f t="shared" si="44"/>
        <v>0.8</v>
      </c>
    </row>
    <row r="163" spans="1:15">
      <c r="A163" s="1312" t="s">
        <v>5678</v>
      </c>
      <c r="B163" s="1306"/>
      <c r="C163" s="1306">
        <f>0.4667</f>
        <v>0.4667</v>
      </c>
      <c r="D163" s="1306">
        <f>0.8183</f>
        <v>0.81830000000000003</v>
      </c>
      <c r="E163" s="1306">
        <f>0.95</f>
        <v>0.95</v>
      </c>
      <c r="F163" s="1306">
        <f>0.8</f>
        <v>0.8</v>
      </c>
      <c r="G163" s="1306">
        <v>0.8</v>
      </c>
    </row>
    <row r="164" spans="1:15">
      <c r="A164" s="1315"/>
      <c r="B164" s="1316"/>
      <c r="C164" s="1316"/>
      <c r="D164" s="1316"/>
      <c r="E164" s="3555"/>
      <c r="F164" s="3555"/>
      <c r="G164" s="3555"/>
    </row>
    <row r="165" spans="1:15">
      <c r="A165" s="1303" t="s">
        <v>5652</v>
      </c>
      <c r="B165" s="1304">
        <v>2.4500000000000002</v>
      </c>
      <c r="C165" s="1304">
        <v>3.35</v>
      </c>
      <c r="D165" s="1304">
        <v>11.02</v>
      </c>
      <c r="E165" s="1311">
        <v>9.14</v>
      </c>
      <c r="F165" s="1311">
        <v>8.09</v>
      </c>
      <c r="G165" s="1311">
        <f>4.7139</f>
        <v>4.7138999999999998</v>
      </c>
    </row>
    <row r="166" spans="1:15">
      <c r="A166" s="1305"/>
      <c r="B166" s="1306"/>
      <c r="C166" s="1306"/>
      <c r="D166" s="1306"/>
      <c r="E166" s="1306"/>
      <c r="F166" s="1306"/>
      <c r="G166" s="1306"/>
    </row>
    <row r="167" spans="1:15">
      <c r="A167" s="2769" t="s">
        <v>8</v>
      </c>
      <c r="B167" s="2770">
        <f t="shared" ref="B167:G167" si="45">B162+B165</f>
        <v>2.4500000000000002</v>
      </c>
      <c r="C167" s="2770">
        <f t="shared" si="45"/>
        <v>3.8167</v>
      </c>
      <c r="D167" s="2770">
        <f t="shared" si="45"/>
        <v>11.8383</v>
      </c>
      <c r="E167" s="2770">
        <f t="shared" si="45"/>
        <v>10.09</v>
      </c>
      <c r="F167" s="2770">
        <f t="shared" si="45"/>
        <v>8.89</v>
      </c>
      <c r="G167" s="2770">
        <f t="shared" si="45"/>
        <v>5.5138999999999996</v>
      </c>
    </row>
    <row r="169" spans="1:15">
      <c r="A169" s="2772" t="s">
        <v>5681</v>
      </c>
      <c r="B169" s="2773">
        <f t="shared" ref="B169:G169" si="46">B3</f>
        <v>2017</v>
      </c>
      <c r="C169" s="2773">
        <f t="shared" si="46"/>
        <v>2018</v>
      </c>
      <c r="D169" s="2773">
        <f t="shared" si="46"/>
        <v>2019</v>
      </c>
      <c r="E169" s="2773">
        <f t="shared" si="46"/>
        <v>2020</v>
      </c>
      <c r="F169" s="2773">
        <f t="shared" si="46"/>
        <v>2021</v>
      </c>
      <c r="G169" s="2773">
        <f t="shared" si="46"/>
        <v>2022</v>
      </c>
    </row>
    <row r="170" spans="1:15">
      <c r="A170" s="1303" t="s">
        <v>5650</v>
      </c>
      <c r="B170" s="1304">
        <f t="shared" ref="B170:G170" si="47">SUM(B171:B172)</f>
        <v>0.35539999999999999</v>
      </c>
      <c r="C170" s="1304">
        <f t="shared" si="47"/>
        <v>0.1459</v>
      </c>
      <c r="D170" s="1304">
        <f t="shared" si="47"/>
        <v>0</v>
      </c>
      <c r="E170" s="1304">
        <f t="shared" si="47"/>
        <v>0</v>
      </c>
      <c r="F170" s="1304">
        <f t="shared" si="47"/>
        <v>0</v>
      </c>
      <c r="G170" s="1304">
        <f t="shared" si="47"/>
        <v>0</v>
      </c>
    </row>
    <row r="171" spans="1:15">
      <c r="A171" s="1305" t="s">
        <v>5657</v>
      </c>
      <c r="B171" s="1306">
        <v>0.35539999999999999</v>
      </c>
      <c r="C171" s="1306">
        <v>0.1459</v>
      </c>
      <c r="D171" s="1306"/>
      <c r="E171" s="1306"/>
      <c r="F171" s="1306"/>
      <c r="G171" s="1306"/>
    </row>
    <row r="172" spans="1:15">
      <c r="A172" s="1305"/>
      <c r="B172" s="1306"/>
      <c r="C172" s="1306"/>
      <c r="D172" s="1306"/>
      <c r="E172" s="1306"/>
      <c r="F172" s="1306"/>
      <c r="G172" s="1306"/>
    </row>
    <row r="173" spans="1:15">
      <c r="A173" s="2769" t="s">
        <v>8</v>
      </c>
      <c r="B173" s="2770">
        <f t="shared" ref="B173:G173" si="48">+B170</f>
        <v>0.35539999999999999</v>
      </c>
      <c r="C173" s="2770">
        <f t="shared" si="48"/>
        <v>0.1459</v>
      </c>
      <c r="D173" s="2770">
        <f t="shared" si="48"/>
        <v>0</v>
      </c>
      <c r="E173" s="2770">
        <f t="shared" si="48"/>
        <v>0</v>
      </c>
      <c r="F173" s="2770">
        <f t="shared" si="48"/>
        <v>0</v>
      </c>
      <c r="G173" s="2770">
        <f t="shared" si="48"/>
        <v>0</v>
      </c>
      <c r="K173" s="1297"/>
      <c r="L173" s="1297"/>
      <c r="M173" s="1297"/>
      <c r="N173" s="1297"/>
      <c r="O173" s="1297"/>
    </row>
    <row r="175" spans="1:15">
      <c r="A175" s="2772" t="s">
        <v>7211</v>
      </c>
      <c r="B175" s="2773">
        <f t="shared" ref="B175:G175" si="49">B3</f>
        <v>2017</v>
      </c>
      <c r="C175" s="2773">
        <f t="shared" si="49"/>
        <v>2018</v>
      </c>
      <c r="D175" s="2773">
        <f t="shared" si="49"/>
        <v>2019</v>
      </c>
      <c r="E175" s="2773">
        <f t="shared" si="49"/>
        <v>2020</v>
      </c>
      <c r="F175" s="2773">
        <f t="shared" si="49"/>
        <v>2021</v>
      </c>
      <c r="G175" s="2773">
        <f t="shared" si="49"/>
        <v>2022</v>
      </c>
    </row>
    <row r="176" spans="1:15">
      <c r="A176" s="1303" t="s">
        <v>4755</v>
      </c>
      <c r="B176" s="1304">
        <f t="shared" ref="B176:G176" si="50">SUM(B177:B183)</f>
        <v>10.119999999999999</v>
      </c>
      <c r="C176" s="1304">
        <f t="shared" si="50"/>
        <v>7</v>
      </c>
      <c r="D176" s="1304">
        <f t="shared" si="50"/>
        <v>6.16</v>
      </c>
      <c r="E176" s="1304">
        <f t="shared" si="50"/>
        <v>5.37</v>
      </c>
      <c r="F176" s="1304">
        <f t="shared" si="50"/>
        <v>3.2800000000000002</v>
      </c>
      <c r="G176" s="1304">
        <f t="shared" si="50"/>
        <v>2.75</v>
      </c>
    </row>
    <row r="177" spans="1:7">
      <c r="A177" s="1305" t="s">
        <v>7214</v>
      </c>
      <c r="B177" s="1306">
        <v>0.93</v>
      </c>
      <c r="C177" s="1306">
        <v>0.83</v>
      </c>
      <c r="D177" s="1306">
        <v>0.87</v>
      </c>
      <c r="E177" s="1306">
        <v>0.69</v>
      </c>
      <c r="F177" s="1306"/>
      <c r="G177" s="1306"/>
    </row>
    <row r="178" spans="1:7">
      <c r="A178" s="1305" t="s">
        <v>5682</v>
      </c>
      <c r="B178" s="1306">
        <f>3.79+0.08</f>
        <v>3.87</v>
      </c>
      <c r="C178" s="1306">
        <v>2.63</v>
      </c>
      <c r="D178" s="1306">
        <v>2.4700000000000002</v>
      </c>
      <c r="E178" s="1306">
        <v>2.56</v>
      </c>
      <c r="F178" s="1306">
        <v>1.75</v>
      </c>
      <c r="G178" s="1306">
        <f>1.75</f>
        <v>1.75</v>
      </c>
    </row>
    <row r="179" spans="1:7">
      <c r="A179" s="1305" t="s">
        <v>5683</v>
      </c>
      <c r="B179" s="1306">
        <f>1.47+0.04</f>
        <v>1.51</v>
      </c>
      <c r="C179" s="1306">
        <v>0.75</v>
      </c>
      <c r="D179" s="1306">
        <v>0.62</v>
      </c>
      <c r="E179" s="1306"/>
      <c r="F179" s="1306"/>
      <c r="G179" s="1306"/>
    </row>
    <row r="180" spans="1:7">
      <c r="A180" s="1312" t="s">
        <v>5684</v>
      </c>
      <c r="B180" s="1306">
        <v>1.89</v>
      </c>
      <c r="C180" s="1306">
        <v>0.86</v>
      </c>
      <c r="D180" s="1306">
        <v>0.37</v>
      </c>
      <c r="E180" s="1306">
        <v>0.21</v>
      </c>
      <c r="F180" s="1306"/>
      <c r="G180" s="1306"/>
    </row>
    <row r="181" spans="1:7">
      <c r="A181" s="1312" t="s">
        <v>5685</v>
      </c>
      <c r="B181" s="1306">
        <v>0.92</v>
      </c>
      <c r="C181" s="1306">
        <v>0.93</v>
      </c>
      <c r="D181" s="1306">
        <v>0.83</v>
      </c>
      <c r="E181" s="1306">
        <v>0.9</v>
      </c>
      <c r="F181" s="1306">
        <v>1</v>
      </c>
      <c r="G181" s="1306">
        <f>1</f>
        <v>1</v>
      </c>
    </row>
    <row r="182" spans="1:7">
      <c r="A182" s="1312" t="s">
        <v>5686</v>
      </c>
      <c r="B182" s="1306">
        <v>1</v>
      </c>
      <c r="C182" s="1306">
        <v>1</v>
      </c>
      <c r="D182" s="1306">
        <v>1</v>
      </c>
      <c r="E182" s="1306">
        <v>1.01</v>
      </c>
      <c r="F182" s="1306">
        <v>0.53</v>
      </c>
      <c r="G182" s="1306"/>
    </row>
    <row r="183" spans="1:7">
      <c r="A183" s="1313"/>
      <c r="B183" s="1306"/>
      <c r="C183" s="1306"/>
      <c r="D183" s="1306"/>
      <c r="E183" s="1306"/>
      <c r="F183" s="1306"/>
      <c r="G183" s="1306"/>
    </row>
    <row r="184" spans="1:7">
      <c r="A184" s="1314" t="s">
        <v>5650</v>
      </c>
      <c r="B184" s="1304">
        <f t="shared" ref="B184:G184" si="51">SUM(B185:B197)</f>
        <v>27.301899999999996</v>
      </c>
      <c r="C184" s="1304">
        <f t="shared" si="51"/>
        <v>28.660000000000004</v>
      </c>
      <c r="D184" s="1304">
        <f t="shared" si="51"/>
        <v>29.879999999999995</v>
      </c>
      <c r="E184" s="1304">
        <f t="shared" si="51"/>
        <v>30.395</v>
      </c>
      <c r="F184" s="1304">
        <f t="shared" si="51"/>
        <v>31.900000000000002</v>
      </c>
      <c r="G184" s="1304">
        <f t="shared" si="51"/>
        <v>32.137799999999999</v>
      </c>
    </row>
    <row r="185" spans="1:7">
      <c r="A185" s="1305" t="s">
        <v>7214</v>
      </c>
      <c r="B185" s="1306"/>
      <c r="C185" s="1306"/>
      <c r="D185" s="1306"/>
      <c r="E185" s="1306"/>
      <c r="F185" s="1306">
        <v>0.25</v>
      </c>
      <c r="G185" s="1306">
        <f>1</f>
        <v>1</v>
      </c>
    </row>
    <row r="186" spans="1:7">
      <c r="A186" s="1312" t="s">
        <v>5657</v>
      </c>
      <c r="B186" s="1306">
        <v>0.66</v>
      </c>
      <c r="C186" s="1306">
        <v>0.66</v>
      </c>
      <c r="D186" s="1306">
        <v>0.66</v>
      </c>
      <c r="E186" s="1306">
        <v>0.66</v>
      </c>
      <c r="F186" s="1306">
        <v>0.66</v>
      </c>
      <c r="G186" s="1306">
        <f>0.6963</f>
        <v>0.69630000000000003</v>
      </c>
    </row>
    <row r="187" spans="1:7">
      <c r="A187" s="1312" t="s">
        <v>5682</v>
      </c>
      <c r="B187" s="1306">
        <f>13.03+0.13+0.08+0.29+0.16</f>
        <v>13.69</v>
      </c>
      <c r="C187" s="1306">
        <v>13.88</v>
      </c>
      <c r="D187" s="1306">
        <v>16.5</v>
      </c>
      <c r="E187" s="1306">
        <f>15.82+0.575</f>
        <v>16.395</v>
      </c>
      <c r="F187" s="1306">
        <f>18.01+0.18</f>
        <v>18.190000000000001</v>
      </c>
      <c r="G187" s="1306">
        <f>17.7917+1.085</f>
        <v>18.8767</v>
      </c>
    </row>
    <row r="188" spans="1:7">
      <c r="A188" s="1312" t="s">
        <v>5687</v>
      </c>
      <c r="B188" s="1306">
        <f>2.92+0.17</f>
        <v>3.09</v>
      </c>
      <c r="C188" s="1306">
        <v>4.5599999999999996</v>
      </c>
      <c r="D188" s="1306">
        <v>3.56</v>
      </c>
      <c r="E188" s="1306">
        <f>4.03+0.16</f>
        <v>4.1900000000000004</v>
      </c>
      <c r="F188" s="1306">
        <f>4.36+0.07</f>
        <v>4.4300000000000006</v>
      </c>
      <c r="G188" s="1306">
        <f>3.9361+0.3617</f>
        <v>4.2978000000000005</v>
      </c>
    </row>
    <row r="189" spans="1:7">
      <c r="A189" s="1312" t="s">
        <v>5683</v>
      </c>
      <c r="B189" s="1306">
        <v>1.49</v>
      </c>
      <c r="C189" s="1306">
        <v>1.46</v>
      </c>
      <c r="D189" s="1306">
        <v>1</v>
      </c>
      <c r="E189" s="1306">
        <v>0.75</v>
      </c>
      <c r="F189" s="1306"/>
      <c r="G189" s="1306"/>
    </row>
    <row r="190" spans="1:7">
      <c r="A190" s="1312" t="s">
        <v>5684</v>
      </c>
      <c r="B190" s="1306">
        <f>0.57+0.03</f>
        <v>0.6</v>
      </c>
      <c r="C190" s="1306">
        <v>0.8</v>
      </c>
      <c r="D190" s="1306">
        <v>0.8</v>
      </c>
      <c r="E190" s="1306">
        <v>0.16</v>
      </c>
      <c r="F190" s="1306"/>
      <c r="G190" s="1306"/>
    </row>
    <row r="191" spans="1:7">
      <c r="A191" s="1312" t="s">
        <v>5688</v>
      </c>
      <c r="B191" s="1306">
        <v>1</v>
      </c>
      <c r="C191" s="1306">
        <v>1</v>
      </c>
      <c r="D191" s="1306">
        <v>1</v>
      </c>
      <c r="E191" s="1306">
        <v>1</v>
      </c>
      <c r="F191" s="1306">
        <v>1</v>
      </c>
      <c r="G191" s="1306"/>
    </row>
    <row r="192" spans="1:7">
      <c r="A192" s="1305" t="s">
        <v>5685</v>
      </c>
      <c r="B192" s="1306">
        <v>0.81</v>
      </c>
      <c r="C192" s="1306">
        <v>0.79</v>
      </c>
      <c r="D192" s="1306">
        <v>0.79</v>
      </c>
      <c r="E192" s="1306">
        <v>0.79</v>
      </c>
      <c r="F192" s="1306">
        <v>0.83</v>
      </c>
      <c r="G192" s="1306">
        <f>0.8289</f>
        <v>0.82889999999999997</v>
      </c>
    </row>
    <row r="193" spans="1:7">
      <c r="A193" s="1312" t="s">
        <v>5686</v>
      </c>
      <c r="B193" s="1306"/>
      <c r="C193" s="1306"/>
      <c r="D193" s="1306"/>
      <c r="E193" s="1306"/>
      <c r="F193" s="1306"/>
      <c r="G193" s="1306">
        <f>0.6056</f>
        <v>0.60560000000000003</v>
      </c>
    </row>
    <row r="194" spans="1:7">
      <c r="A194" s="1305" t="s">
        <v>7215</v>
      </c>
      <c r="B194" s="1306"/>
      <c r="C194" s="1306"/>
      <c r="D194" s="1306"/>
      <c r="E194" s="1306">
        <v>0.25</v>
      </c>
      <c r="F194" s="1306">
        <v>1.23</v>
      </c>
      <c r="G194" s="1306">
        <f>0.8342</f>
        <v>0.83420000000000005</v>
      </c>
    </row>
    <row r="195" spans="1:7">
      <c r="A195" s="1305" t="s">
        <v>5689</v>
      </c>
      <c r="B195" s="1306"/>
      <c r="C195" s="1306">
        <v>0.18</v>
      </c>
      <c r="D195" s="1306">
        <v>0.24</v>
      </c>
      <c r="E195" s="1306">
        <v>0.54</v>
      </c>
      <c r="F195" s="1306">
        <f>0.32+0.03</f>
        <v>0.35</v>
      </c>
      <c r="G195" s="1306"/>
    </row>
    <row r="196" spans="1:7">
      <c r="A196" s="1305" t="s">
        <v>5674</v>
      </c>
      <c r="B196" s="1306">
        <f>4.54+1.4219</f>
        <v>5.9619</v>
      </c>
      <c r="C196" s="1306">
        <f>3.98+1.35</f>
        <v>5.33</v>
      </c>
      <c r="D196" s="1306">
        <f>3.98+1.35</f>
        <v>5.33</v>
      </c>
      <c r="E196" s="1306">
        <v>5.66</v>
      </c>
      <c r="F196" s="1306">
        <v>4.96</v>
      </c>
      <c r="G196" s="1306">
        <f>4.9983</f>
        <v>4.9983000000000004</v>
      </c>
    </row>
    <row r="197" spans="1:7">
      <c r="A197" s="1305"/>
      <c r="B197" s="1304"/>
      <c r="C197" s="1304"/>
      <c r="D197" s="1304"/>
      <c r="E197" s="1311"/>
      <c r="F197" s="1311"/>
      <c r="G197" s="1311"/>
    </row>
    <row r="198" spans="1:7">
      <c r="A198" s="1303" t="s">
        <v>5651</v>
      </c>
      <c r="B198" s="1304">
        <f t="shared" ref="B198:G198" si="52">SUM(B199:B201)</f>
        <v>0.28000000000000003</v>
      </c>
      <c r="C198" s="1304">
        <f t="shared" si="52"/>
        <v>0.53</v>
      </c>
      <c r="D198" s="1304">
        <f t="shared" si="52"/>
        <v>0.44</v>
      </c>
      <c r="E198" s="1311">
        <f t="shared" si="52"/>
        <v>0.72</v>
      </c>
      <c r="F198" s="1311">
        <f t="shared" si="52"/>
        <v>0.43</v>
      </c>
      <c r="G198" s="1311">
        <f t="shared" si="52"/>
        <v>0.33979999999999999</v>
      </c>
    </row>
    <row r="199" spans="1:7">
      <c r="A199" s="1312" t="s">
        <v>5682</v>
      </c>
      <c r="B199" s="1307"/>
      <c r="C199" s="1307">
        <v>0.1</v>
      </c>
      <c r="D199" s="1307"/>
      <c r="E199" s="1306"/>
      <c r="F199" s="1306"/>
      <c r="G199" s="1306"/>
    </row>
    <row r="200" spans="1:7">
      <c r="A200" s="1312" t="s">
        <v>5687</v>
      </c>
      <c r="B200" s="1307">
        <v>0.28000000000000003</v>
      </c>
      <c r="C200" s="1307">
        <v>0.43</v>
      </c>
      <c r="D200" s="1307">
        <v>0.44</v>
      </c>
      <c r="E200" s="1306">
        <v>0.72</v>
      </c>
      <c r="F200" s="1306">
        <v>0.43</v>
      </c>
      <c r="G200" s="1306">
        <v>0.33979999999999999</v>
      </c>
    </row>
    <row r="201" spans="1:7">
      <c r="A201" s="1305"/>
      <c r="B201" s="1304"/>
      <c r="C201" s="1304"/>
      <c r="D201" s="1304"/>
      <c r="E201" s="1304"/>
      <c r="F201" s="1304"/>
      <c r="G201" s="1304"/>
    </row>
    <row r="202" spans="1:7">
      <c r="A202" s="2769" t="s">
        <v>8</v>
      </c>
      <c r="B202" s="2770">
        <f t="shared" ref="B202:G202" si="53">B176+B184+B198</f>
        <v>37.701899999999995</v>
      </c>
      <c r="C202" s="2770">
        <f t="shared" si="53"/>
        <v>36.190000000000005</v>
      </c>
      <c r="D202" s="2770">
        <f t="shared" si="53"/>
        <v>36.47999999999999</v>
      </c>
      <c r="E202" s="2770">
        <f t="shared" si="53"/>
        <v>36.484999999999999</v>
      </c>
      <c r="F202" s="2770">
        <f t="shared" si="53"/>
        <v>35.61</v>
      </c>
      <c r="G202" s="2770">
        <f t="shared" si="53"/>
        <v>35.227599999999995</v>
      </c>
    </row>
    <row r="204" spans="1:7">
      <c r="A204" s="2772" t="s">
        <v>5690</v>
      </c>
      <c r="B204" s="2773">
        <f t="shared" ref="B204:G204" si="54">B3</f>
        <v>2017</v>
      </c>
      <c r="C204" s="2773">
        <f t="shared" si="54"/>
        <v>2018</v>
      </c>
      <c r="D204" s="2773">
        <f t="shared" si="54"/>
        <v>2019</v>
      </c>
      <c r="E204" s="2773">
        <f t="shared" si="54"/>
        <v>2020</v>
      </c>
      <c r="F204" s="2773">
        <f t="shared" si="54"/>
        <v>2021</v>
      </c>
      <c r="G204" s="2773">
        <f t="shared" si="54"/>
        <v>2022</v>
      </c>
    </row>
    <row r="205" spans="1:7">
      <c r="A205" s="1303" t="s">
        <v>5650</v>
      </c>
      <c r="B205" s="1304">
        <f t="shared" ref="B205:G205" si="55">SUM(B206:B207)</f>
        <v>1</v>
      </c>
      <c r="C205" s="1304">
        <f t="shared" si="55"/>
        <v>0.74</v>
      </c>
      <c r="D205" s="1304">
        <f t="shared" si="55"/>
        <v>0.59</v>
      </c>
      <c r="E205" s="1304">
        <f t="shared" si="55"/>
        <v>0</v>
      </c>
      <c r="F205" s="1304">
        <f t="shared" si="55"/>
        <v>0</v>
      </c>
      <c r="G205" s="1304">
        <f t="shared" si="55"/>
        <v>0</v>
      </c>
    </row>
    <row r="206" spans="1:7">
      <c r="A206" s="1305" t="s">
        <v>5674</v>
      </c>
      <c r="B206" s="1306">
        <v>1</v>
      </c>
      <c r="C206" s="1306">
        <v>0.74</v>
      </c>
      <c r="D206" s="1306">
        <v>0.59</v>
      </c>
      <c r="E206" s="1306"/>
      <c r="F206" s="1306"/>
      <c r="G206" s="1306"/>
    </row>
    <row r="207" spans="1:7">
      <c r="A207" s="1305"/>
      <c r="B207" s="1306"/>
      <c r="C207" s="1306"/>
      <c r="D207" s="1306"/>
      <c r="E207" s="1306"/>
      <c r="F207" s="1306"/>
      <c r="G207" s="1306"/>
    </row>
    <row r="208" spans="1:7">
      <c r="A208" s="2769" t="s">
        <v>8</v>
      </c>
      <c r="B208" s="2770">
        <f t="shared" ref="B208:G208" si="56">+B205</f>
        <v>1</v>
      </c>
      <c r="C208" s="2770">
        <f t="shared" si="56"/>
        <v>0.74</v>
      </c>
      <c r="D208" s="2770">
        <f t="shared" si="56"/>
        <v>0.59</v>
      </c>
      <c r="E208" s="2770">
        <f t="shared" si="56"/>
        <v>0</v>
      </c>
      <c r="F208" s="2770">
        <f t="shared" si="56"/>
        <v>0</v>
      </c>
      <c r="G208" s="2770">
        <f t="shared" si="56"/>
        <v>0</v>
      </c>
    </row>
    <row r="210" spans="1:7">
      <c r="A210" s="2772" t="s">
        <v>5691</v>
      </c>
      <c r="B210" s="2773">
        <f t="shared" ref="B210:G210" si="57">B3</f>
        <v>2017</v>
      </c>
      <c r="C210" s="2773">
        <f t="shared" si="57"/>
        <v>2018</v>
      </c>
      <c r="D210" s="2773">
        <f t="shared" si="57"/>
        <v>2019</v>
      </c>
      <c r="E210" s="2773">
        <f t="shared" si="57"/>
        <v>2020</v>
      </c>
      <c r="F210" s="2773">
        <f t="shared" si="57"/>
        <v>2021</v>
      </c>
      <c r="G210" s="2773">
        <f t="shared" si="57"/>
        <v>2022</v>
      </c>
    </row>
    <row r="211" spans="1:7">
      <c r="A211" s="1317" t="s">
        <v>4755</v>
      </c>
      <c r="B211" s="1304">
        <f t="shared" ref="B211:G211" si="58">SUM(B212:B213)</f>
        <v>0.25</v>
      </c>
      <c r="C211" s="1304">
        <f t="shared" si="58"/>
        <v>0.16669999999999999</v>
      </c>
      <c r="D211" s="1304">
        <f t="shared" si="58"/>
        <v>0</v>
      </c>
      <c r="E211" s="1304">
        <f t="shared" si="58"/>
        <v>0</v>
      </c>
      <c r="F211" s="1304">
        <f t="shared" si="58"/>
        <v>0</v>
      </c>
      <c r="G211" s="1304">
        <f t="shared" si="58"/>
        <v>0</v>
      </c>
    </row>
    <row r="212" spans="1:7">
      <c r="A212" s="1312" t="s">
        <v>5657</v>
      </c>
      <c r="B212" s="1306">
        <v>0.25</v>
      </c>
      <c r="C212" s="1306">
        <v>0.16669999999999999</v>
      </c>
      <c r="D212" s="1306"/>
      <c r="E212" s="1306"/>
      <c r="F212" s="1306"/>
      <c r="G212" s="1306"/>
    </row>
    <row r="213" spans="1:7">
      <c r="A213" s="1313"/>
      <c r="B213" s="1306"/>
      <c r="C213" s="1306"/>
      <c r="D213" s="1306"/>
      <c r="E213" s="1306"/>
      <c r="F213" s="1306"/>
      <c r="G213" s="1306"/>
    </row>
    <row r="214" spans="1:7">
      <c r="A214" s="1314" t="s">
        <v>5650</v>
      </c>
      <c r="B214" s="1304">
        <f t="shared" ref="B214:G214" si="59">SUM(B215:B216)</f>
        <v>1.2</v>
      </c>
      <c r="C214" s="1304">
        <f t="shared" si="59"/>
        <v>1.0149999999999999</v>
      </c>
      <c r="D214" s="1304">
        <f t="shared" si="59"/>
        <v>0</v>
      </c>
      <c r="E214" s="1304">
        <f t="shared" si="59"/>
        <v>0</v>
      </c>
      <c r="F214" s="1304">
        <f t="shared" si="59"/>
        <v>0</v>
      </c>
      <c r="G214" s="1304">
        <f t="shared" si="59"/>
        <v>0</v>
      </c>
    </row>
    <row r="215" spans="1:7">
      <c r="A215" s="1312" t="s">
        <v>5678</v>
      </c>
      <c r="B215" s="1306">
        <f>1+0.2</f>
        <v>1.2</v>
      </c>
      <c r="C215" s="1306">
        <f>0.94+0.075</f>
        <v>1.0149999999999999</v>
      </c>
      <c r="D215" s="1306"/>
      <c r="E215" s="1306"/>
      <c r="F215" s="1306"/>
      <c r="G215" s="1306"/>
    </row>
    <row r="216" spans="1:7">
      <c r="A216" s="1312"/>
      <c r="B216" s="1306"/>
      <c r="C216" s="1306"/>
      <c r="D216" s="1306"/>
      <c r="E216" s="1306"/>
      <c r="F216" s="1306"/>
      <c r="G216" s="1306"/>
    </row>
    <row r="217" spans="1:7">
      <c r="A217" s="2769" t="s">
        <v>8</v>
      </c>
      <c r="B217" s="2770">
        <f t="shared" ref="B217:G217" si="60">B211+B214</f>
        <v>1.45</v>
      </c>
      <c r="C217" s="2770">
        <f t="shared" si="60"/>
        <v>1.1817</v>
      </c>
      <c r="D217" s="2770">
        <f t="shared" si="60"/>
        <v>0</v>
      </c>
      <c r="E217" s="2770">
        <f t="shared" si="60"/>
        <v>0</v>
      </c>
      <c r="F217" s="2770">
        <f t="shared" si="60"/>
        <v>0</v>
      </c>
      <c r="G217" s="2770">
        <f t="shared" si="60"/>
        <v>0</v>
      </c>
    </row>
    <row r="219" spans="1:7">
      <c r="A219" s="2772" t="s">
        <v>5692</v>
      </c>
      <c r="B219" s="2773">
        <f t="shared" ref="B219:G219" si="61">B3</f>
        <v>2017</v>
      </c>
      <c r="C219" s="2773">
        <f t="shared" si="61"/>
        <v>2018</v>
      </c>
      <c r="D219" s="2773">
        <f t="shared" si="61"/>
        <v>2019</v>
      </c>
      <c r="E219" s="2773">
        <f t="shared" si="61"/>
        <v>2020</v>
      </c>
      <c r="F219" s="2773">
        <f t="shared" si="61"/>
        <v>2021</v>
      </c>
      <c r="G219" s="2773">
        <f t="shared" si="61"/>
        <v>2022</v>
      </c>
    </row>
    <row r="220" spans="1:7">
      <c r="A220" s="1317" t="s">
        <v>5650</v>
      </c>
      <c r="B220" s="1304">
        <f t="shared" ref="B220:G220" si="62">SUM(B221:B223)</f>
        <v>5.6499999999999995</v>
      </c>
      <c r="C220" s="1304">
        <f t="shared" si="62"/>
        <v>5.9124999999999996</v>
      </c>
      <c r="D220" s="1304">
        <f t="shared" si="62"/>
        <v>5.0200000000000005</v>
      </c>
      <c r="E220" s="1304">
        <f t="shared" si="62"/>
        <v>3.11</v>
      </c>
      <c r="F220" s="1304">
        <f t="shared" si="62"/>
        <v>0</v>
      </c>
      <c r="G220" s="1304">
        <f t="shared" si="62"/>
        <v>0</v>
      </c>
    </row>
    <row r="221" spans="1:7">
      <c r="A221" s="1312" t="s">
        <v>5678</v>
      </c>
      <c r="B221" s="1306">
        <v>0.3</v>
      </c>
      <c r="C221" s="1306">
        <v>0.41249999999999998</v>
      </c>
      <c r="D221" s="1306">
        <v>0.4</v>
      </c>
      <c r="E221" s="1306">
        <f>0.4</f>
        <v>0.4</v>
      </c>
      <c r="F221" s="1306"/>
      <c r="G221" s="1306"/>
    </row>
    <row r="222" spans="1:7">
      <c r="A222" s="1312" t="s">
        <v>5674</v>
      </c>
      <c r="B222" s="1306">
        <f>5.35</f>
        <v>5.35</v>
      </c>
      <c r="C222" s="1306">
        <v>5.5</v>
      </c>
      <c r="D222" s="1306">
        <v>4.62</v>
      </c>
      <c r="E222" s="1306">
        <v>2.71</v>
      </c>
      <c r="F222" s="1306"/>
      <c r="G222" s="1306"/>
    </row>
    <row r="223" spans="1:7">
      <c r="A223" s="1313"/>
      <c r="B223" s="1306"/>
      <c r="C223" s="1306"/>
      <c r="D223" s="1306"/>
      <c r="E223" s="1306"/>
      <c r="F223" s="1306"/>
      <c r="G223" s="1306"/>
    </row>
    <row r="224" spans="1:7">
      <c r="A224" s="2769" t="s">
        <v>8</v>
      </c>
      <c r="B224" s="2770">
        <f t="shared" ref="B224:G224" si="63">B220</f>
        <v>5.6499999999999995</v>
      </c>
      <c r="C224" s="2770">
        <f t="shared" si="63"/>
        <v>5.9124999999999996</v>
      </c>
      <c r="D224" s="2770">
        <f t="shared" si="63"/>
        <v>5.0200000000000005</v>
      </c>
      <c r="E224" s="2770">
        <f t="shared" si="63"/>
        <v>3.11</v>
      </c>
      <c r="F224" s="2770">
        <f t="shared" si="63"/>
        <v>0</v>
      </c>
      <c r="G224" s="2770">
        <f t="shared" si="63"/>
        <v>0</v>
      </c>
    </row>
    <row r="226" spans="1:7">
      <c r="A226" s="2772" t="s">
        <v>5693</v>
      </c>
      <c r="B226" s="2773">
        <f t="shared" ref="B226:G226" si="64">B3</f>
        <v>2017</v>
      </c>
      <c r="C226" s="2773">
        <f t="shared" si="64"/>
        <v>2018</v>
      </c>
      <c r="D226" s="2773">
        <f t="shared" si="64"/>
        <v>2019</v>
      </c>
      <c r="E226" s="2773">
        <f t="shared" si="64"/>
        <v>2020</v>
      </c>
      <c r="F226" s="2773">
        <f t="shared" si="64"/>
        <v>2021</v>
      </c>
      <c r="G226" s="2773">
        <f t="shared" si="64"/>
        <v>2022</v>
      </c>
    </row>
    <row r="227" spans="1:7">
      <c r="A227" s="1317" t="s">
        <v>4755</v>
      </c>
      <c r="B227" s="1304">
        <f t="shared" ref="B227:G227" si="65">SUM(B228:B231)</f>
        <v>1.25</v>
      </c>
      <c r="C227" s="1304">
        <f t="shared" si="65"/>
        <v>1.3332999999999999</v>
      </c>
      <c r="D227" s="1304">
        <f t="shared" si="65"/>
        <v>1.78</v>
      </c>
      <c r="E227" s="1304">
        <f t="shared" si="65"/>
        <v>1.61</v>
      </c>
      <c r="F227" s="1304">
        <f t="shared" si="65"/>
        <v>1.4300000000000002</v>
      </c>
      <c r="G227" s="1304">
        <f t="shared" si="65"/>
        <v>0.83330000000000004</v>
      </c>
    </row>
    <row r="228" spans="1:7">
      <c r="A228" s="1312" t="s">
        <v>5657</v>
      </c>
      <c r="B228" s="1306">
        <f>0.5-0.25</f>
        <v>0.25</v>
      </c>
      <c r="C228" s="1306">
        <f>0.5-0.1667</f>
        <v>0.33330000000000004</v>
      </c>
      <c r="D228" s="1306">
        <f>0.75-0.25</f>
        <v>0.5</v>
      </c>
      <c r="E228" s="1306">
        <f>-0.5+1</f>
        <v>0.5</v>
      </c>
      <c r="F228" s="1306">
        <f>-0.5+1</f>
        <v>0.5</v>
      </c>
      <c r="G228" s="1306">
        <f>1-0.1667</f>
        <v>0.83330000000000004</v>
      </c>
    </row>
    <row r="229" spans="1:7">
      <c r="A229" s="1312" t="s">
        <v>5694</v>
      </c>
      <c r="B229" s="1306">
        <v>1</v>
      </c>
      <c r="C229" s="1306">
        <v>1</v>
      </c>
      <c r="D229" s="1306">
        <v>1</v>
      </c>
      <c r="E229" s="1306">
        <v>1</v>
      </c>
      <c r="F229" s="1306">
        <v>0.93</v>
      </c>
      <c r="G229" s="1306"/>
    </row>
    <row r="230" spans="1:7">
      <c r="A230" s="1312" t="s">
        <v>5678</v>
      </c>
      <c r="B230" s="1306"/>
      <c r="C230" s="1306"/>
      <c r="D230" s="1306">
        <v>0.28000000000000003</v>
      </c>
      <c r="E230" s="1306">
        <v>0.11</v>
      </c>
      <c r="F230" s="1306"/>
      <c r="G230" s="1306"/>
    </row>
    <row r="231" spans="1:7">
      <c r="A231" s="1313"/>
      <c r="B231" s="1306"/>
      <c r="C231" s="1306"/>
      <c r="D231" s="1306"/>
      <c r="E231" s="1306"/>
      <c r="F231" s="1306"/>
      <c r="G231" s="1306"/>
    </row>
    <row r="232" spans="1:7">
      <c r="A232" s="1314" t="s">
        <v>5650</v>
      </c>
      <c r="B232" s="1304">
        <f t="shared" ref="B232:G232" si="66">SUM(B233:B237)</f>
        <v>2.5</v>
      </c>
      <c r="C232" s="1304">
        <f t="shared" si="66"/>
        <v>2.42</v>
      </c>
      <c r="D232" s="1304">
        <f t="shared" si="66"/>
        <v>3.5900000000000003</v>
      </c>
      <c r="E232" s="1311">
        <f t="shared" si="66"/>
        <v>3.8500000000000005</v>
      </c>
      <c r="F232" s="1311">
        <f t="shared" si="66"/>
        <v>3.9699999999999998</v>
      </c>
      <c r="G232" s="1311">
        <f t="shared" si="66"/>
        <v>4.5969999999999995</v>
      </c>
    </row>
    <row r="233" spans="1:7">
      <c r="A233" s="4447" t="s">
        <v>5694</v>
      </c>
      <c r="B233" s="1306"/>
      <c r="C233" s="1306"/>
      <c r="D233" s="1306"/>
      <c r="E233" s="1306"/>
      <c r="F233" s="1306"/>
      <c r="G233" s="1306">
        <f>0.85</f>
        <v>0.85</v>
      </c>
    </row>
    <row r="234" spans="1:7">
      <c r="A234" s="1312" t="s">
        <v>5655</v>
      </c>
      <c r="B234" s="1306">
        <v>0.26</v>
      </c>
      <c r="C234" s="1306">
        <v>0.26</v>
      </c>
      <c r="D234" s="1306">
        <v>0.26</v>
      </c>
      <c r="E234" s="1306">
        <v>0.26</v>
      </c>
      <c r="F234" s="1306">
        <v>0.26</v>
      </c>
      <c r="G234" s="1306">
        <f>0.2632</f>
        <v>0.26319999999999999</v>
      </c>
    </row>
    <row r="235" spans="1:7">
      <c r="A235" s="1312" t="s">
        <v>5695</v>
      </c>
      <c r="B235" s="1306"/>
      <c r="C235" s="1306"/>
      <c r="D235" s="1306">
        <v>0.92</v>
      </c>
      <c r="E235" s="1306">
        <f>-0.12+0.98</f>
        <v>0.86</v>
      </c>
      <c r="F235" s="1306">
        <f>-0.5+1</f>
        <v>0.5</v>
      </c>
      <c r="G235" s="1306">
        <f>0.6222-0.2083-0.3111</f>
        <v>0.10279999999999995</v>
      </c>
    </row>
    <row r="236" spans="1:7">
      <c r="A236" s="1312" t="s">
        <v>5674</v>
      </c>
      <c r="B236" s="1306">
        <f>2.24</f>
        <v>2.2400000000000002</v>
      </c>
      <c r="C236" s="1306">
        <v>2.16</v>
      </c>
      <c r="D236" s="1306">
        <v>2.41</v>
      </c>
      <c r="E236" s="1306">
        <f>-0.49+3.22</f>
        <v>2.7300000000000004</v>
      </c>
      <c r="F236" s="1306">
        <f>-0.5+3.71</f>
        <v>3.21</v>
      </c>
      <c r="G236" s="1306">
        <f>4.1114-0.5-0.2304</f>
        <v>3.3809999999999998</v>
      </c>
    </row>
    <row r="237" spans="1:7">
      <c r="A237" s="1312"/>
      <c r="B237" s="1306"/>
      <c r="C237" s="1306"/>
      <c r="D237" s="1306"/>
      <c r="E237" s="1306"/>
      <c r="F237" s="1306"/>
      <c r="G237" s="1306"/>
    </row>
    <row r="238" spans="1:7">
      <c r="A238" s="1303" t="s">
        <v>5651</v>
      </c>
      <c r="B238" s="1304">
        <f t="shared" ref="B238:G238" si="67">SUM(B239:B241)</f>
        <v>0.17</v>
      </c>
      <c r="C238" s="1304">
        <f t="shared" si="67"/>
        <v>0.14000000000000001</v>
      </c>
      <c r="D238" s="1304">
        <f t="shared" si="67"/>
        <v>0.17</v>
      </c>
      <c r="E238" s="1311">
        <f t="shared" si="67"/>
        <v>6.0000000000000005E-2</v>
      </c>
      <c r="F238" s="1311">
        <f t="shared" si="67"/>
        <v>0.17</v>
      </c>
      <c r="G238" s="1311">
        <f t="shared" si="67"/>
        <v>0.17610000000000001</v>
      </c>
    </row>
    <row r="239" spans="1:7">
      <c r="A239" s="1312" t="s">
        <v>5657</v>
      </c>
      <c r="B239" s="1307"/>
      <c r="C239" s="1307"/>
      <c r="D239" s="1307"/>
      <c r="E239" s="1306">
        <f>0.01+0.05</f>
        <v>6.0000000000000005E-2</v>
      </c>
      <c r="F239" s="1306"/>
      <c r="G239" s="1306"/>
    </row>
    <row r="240" spans="1:7">
      <c r="A240" s="1312" t="s">
        <v>5674</v>
      </c>
      <c r="B240" s="1307">
        <f>0.17</f>
        <v>0.17</v>
      </c>
      <c r="C240" s="1307">
        <v>0.14000000000000001</v>
      </c>
      <c r="D240" s="1307">
        <v>0.17</v>
      </c>
      <c r="E240" s="1306"/>
      <c r="F240" s="1306">
        <v>0.17</v>
      </c>
      <c r="G240" s="1306">
        <f>0.1761</f>
        <v>0.17610000000000001</v>
      </c>
    </row>
    <row r="241" spans="1:14">
      <c r="A241" s="1312"/>
      <c r="B241" s="1306"/>
      <c r="C241" s="1306"/>
      <c r="D241" s="1306"/>
      <c r="E241" s="1306"/>
      <c r="F241" s="1306"/>
      <c r="G241" s="1306"/>
    </row>
    <row r="242" spans="1:14">
      <c r="A242" s="2771" t="s">
        <v>8</v>
      </c>
      <c r="B242" s="2770">
        <f t="shared" ref="B242:G242" si="68">B227+B232+B238</f>
        <v>3.92</v>
      </c>
      <c r="C242" s="2770">
        <f t="shared" si="68"/>
        <v>3.8933</v>
      </c>
      <c r="D242" s="2770">
        <f t="shared" si="68"/>
        <v>5.54</v>
      </c>
      <c r="E242" s="2770">
        <f t="shared" si="68"/>
        <v>5.5200000000000005</v>
      </c>
      <c r="F242" s="2770">
        <f t="shared" si="68"/>
        <v>5.57</v>
      </c>
      <c r="G242" s="2770">
        <f t="shared" si="68"/>
        <v>5.6063999999999998</v>
      </c>
      <c r="K242" s="1318"/>
      <c r="L242" s="1318"/>
      <c r="M242" s="1318"/>
      <c r="N242" s="1318"/>
    </row>
    <row r="244" spans="1:14">
      <c r="A244" s="2772" t="s">
        <v>7212</v>
      </c>
      <c r="B244" s="2773">
        <f t="shared" ref="B244:G244" si="69">B3</f>
        <v>2017</v>
      </c>
      <c r="C244" s="2773">
        <f t="shared" si="69"/>
        <v>2018</v>
      </c>
      <c r="D244" s="2773">
        <f t="shared" si="69"/>
        <v>2019</v>
      </c>
      <c r="E244" s="2773">
        <f t="shared" si="69"/>
        <v>2020</v>
      </c>
      <c r="F244" s="2773">
        <f t="shared" si="69"/>
        <v>2021</v>
      </c>
      <c r="G244" s="2773">
        <f t="shared" si="69"/>
        <v>2022</v>
      </c>
    </row>
    <row r="245" spans="1:14">
      <c r="A245" s="1314" t="s">
        <v>5650</v>
      </c>
      <c r="B245" s="1304">
        <f t="shared" ref="B245:G245" si="70">SUM(B246:B247)</f>
        <v>0</v>
      </c>
      <c r="C245" s="1304">
        <f t="shared" si="70"/>
        <v>0</v>
      </c>
      <c r="D245" s="1304">
        <f t="shared" si="70"/>
        <v>0</v>
      </c>
      <c r="E245" s="1304">
        <f t="shared" si="70"/>
        <v>0.19</v>
      </c>
      <c r="F245" s="1304">
        <f t="shared" si="70"/>
        <v>0.59</v>
      </c>
      <c r="G245" s="1304">
        <f t="shared" si="70"/>
        <v>0.74980000000000002</v>
      </c>
    </row>
    <row r="246" spans="1:14">
      <c r="A246" s="1312" t="s">
        <v>5695</v>
      </c>
      <c r="B246" s="1306"/>
      <c r="C246" s="1306"/>
      <c r="D246" s="1306"/>
      <c r="E246" s="1306">
        <f>0.12</f>
        <v>0.12</v>
      </c>
      <c r="F246" s="1306">
        <f>0.5</f>
        <v>0.5</v>
      </c>
      <c r="G246" s="1306">
        <f>0.2083+0.3111</f>
        <v>0.51939999999999997</v>
      </c>
    </row>
    <row r="247" spans="1:14">
      <c r="A247" s="1312" t="s">
        <v>5674</v>
      </c>
      <c r="B247" s="1306"/>
      <c r="C247" s="1306"/>
      <c r="D247" s="1306"/>
      <c r="E247" s="1306">
        <v>7.0000000000000007E-2</v>
      </c>
      <c r="F247" s="1306">
        <v>0.09</v>
      </c>
      <c r="G247" s="1306">
        <f>0.2304</f>
        <v>0.23039999999999999</v>
      </c>
    </row>
    <row r="248" spans="1:14">
      <c r="A248" s="1312"/>
      <c r="B248" s="1306"/>
      <c r="C248" s="1306"/>
      <c r="D248" s="1306"/>
      <c r="E248" s="1306"/>
      <c r="F248" s="1306"/>
      <c r="G248" s="1306"/>
    </row>
    <row r="249" spans="1:14">
      <c r="A249" s="2771" t="s">
        <v>8</v>
      </c>
      <c r="B249" s="2770">
        <f t="shared" ref="B249:G249" si="71">B245</f>
        <v>0</v>
      </c>
      <c r="C249" s="2770">
        <f t="shared" si="71"/>
        <v>0</v>
      </c>
      <c r="D249" s="2770">
        <f t="shared" si="71"/>
        <v>0</v>
      </c>
      <c r="E249" s="2770">
        <f t="shared" si="71"/>
        <v>0.19</v>
      </c>
      <c r="F249" s="2770">
        <f t="shared" si="71"/>
        <v>0.59</v>
      </c>
      <c r="G249" s="2770">
        <f t="shared" si="71"/>
        <v>0.74980000000000002</v>
      </c>
      <c r="K249" s="1318"/>
      <c r="L249" s="1318"/>
      <c r="M249" s="1318"/>
      <c r="N249" s="1318"/>
    </row>
    <row r="251" spans="1:14">
      <c r="A251" s="2772" t="s">
        <v>5696</v>
      </c>
      <c r="B251" s="2773">
        <f t="shared" ref="B251:G251" si="72">B3</f>
        <v>2017</v>
      </c>
      <c r="C251" s="2773">
        <f t="shared" si="72"/>
        <v>2018</v>
      </c>
      <c r="D251" s="2773">
        <f t="shared" si="72"/>
        <v>2019</v>
      </c>
      <c r="E251" s="2773">
        <f t="shared" si="72"/>
        <v>2020</v>
      </c>
      <c r="F251" s="2773">
        <f t="shared" si="72"/>
        <v>2021</v>
      </c>
      <c r="G251" s="2773">
        <f t="shared" si="72"/>
        <v>2022</v>
      </c>
      <c r="H251" s="1319"/>
    </row>
    <row r="252" spans="1:14">
      <c r="A252" s="1320" t="s">
        <v>4755</v>
      </c>
      <c r="B252" s="1311">
        <f t="shared" ref="B252:G252" si="73">SUM(B253:B268)</f>
        <v>12.809999999999999</v>
      </c>
      <c r="C252" s="1311">
        <f t="shared" si="73"/>
        <v>11.75</v>
      </c>
      <c r="D252" s="1311">
        <f t="shared" si="73"/>
        <v>10.220000000000001</v>
      </c>
      <c r="E252" s="1311">
        <f t="shared" si="73"/>
        <v>8.879999999999999</v>
      </c>
      <c r="F252" s="1311">
        <f t="shared" si="73"/>
        <v>7.51</v>
      </c>
      <c r="G252" s="1311">
        <f t="shared" si="73"/>
        <v>6.7806999999999995</v>
      </c>
      <c r="H252" s="1321"/>
    </row>
    <row r="253" spans="1:14">
      <c r="A253" s="1305" t="s">
        <v>5697</v>
      </c>
      <c r="B253" s="1306">
        <v>1</v>
      </c>
      <c r="C253" s="1306">
        <v>1</v>
      </c>
      <c r="D253" s="1306">
        <v>1</v>
      </c>
      <c r="E253" s="1306">
        <v>0.05</v>
      </c>
      <c r="F253" s="1306"/>
      <c r="G253" s="1306"/>
      <c r="H253" s="1289"/>
    </row>
    <row r="254" spans="1:14">
      <c r="A254" s="1305" t="s">
        <v>5698</v>
      </c>
      <c r="B254" s="1306">
        <v>0.38</v>
      </c>
      <c r="C254" s="1306"/>
      <c r="D254" s="1306"/>
      <c r="E254" s="1306"/>
      <c r="F254" s="1306">
        <v>0.5</v>
      </c>
      <c r="G254" s="1306"/>
      <c r="H254" s="1289"/>
    </row>
    <row r="255" spans="1:14">
      <c r="A255" s="1305" t="s">
        <v>5699</v>
      </c>
      <c r="B255" s="1306">
        <v>0.8</v>
      </c>
      <c r="C255" s="1306">
        <v>0.8</v>
      </c>
      <c r="D255" s="1306">
        <v>0.2</v>
      </c>
      <c r="E255" s="1306"/>
      <c r="F255" s="1306"/>
      <c r="G255" s="1306"/>
      <c r="H255" s="1289"/>
    </row>
    <row r="256" spans="1:14">
      <c r="A256" s="4449" t="s">
        <v>8271</v>
      </c>
      <c r="B256" s="1306">
        <f>1.13+2.8</f>
        <v>3.9299999999999997</v>
      </c>
      <c r="C256" s="1306">
        <f>1.5+2.1</f>
        <v>3.6</v>
      </c>
      <c r="D256" s="1306">
        <f>1.5+2</f>
        <v>3.5</v>
      </c>
      <c r="E256" s="1306">
        <f>1.5+2</f>
        <v>3.5</v>
      </c>
      <c r="F256" s="1306">
        <f>1+2</f>
        <v>3</v>
      </c>
      <c r="G256" s="1306">
        <f>3</f>
        <v>3</v>
      </c>
      <c r="H256" s="1289"/>
    </row>
    <row r="257" spans="1:8">
      <c r="A257" s="1305" t="s">
        <v>5700</v>
      </c>
      <c r="B257" s="1306">
        <f>1</f>
        <v>1</v>
      </c>
      <c r="C257" s="1306">
        <v>1</v>
      </c>
      <c r="D257" s="1306">
        <v>1</v>
      </c>
      <c r="E257" s="1306">
        <v>1</v>
      </c>
      <c r="F257" s="1306">
        <f>1</f>
        <v>1</v>
      </c>
      <c r="G257" s="1306">
        <f>0.8333</f>
        <v>0.83330000000000004</v>
      </c>
      <c r="H257" s="1289"/>
    </row>
    <row r="258" spans="1:8">
      <c r="A258" s="1312" t="s">
        <v>5678</v>
      </c>
      <c r="B258" s="1306"/>
      <c r="C258" s="1306"/>
      <c r="D258" s="1306"/>
      <c r="E258" s="1306">
        <v>0.32</v>
      </c>
      <c r="F258" s="1306">
        <f>0.42</f>
        <v>0.42</v>
      </c>
      <c r="G258" s="1306"/>
      <c r="H258" s="1289"/>
    </row>
    <row r="259" spans="1:8">
      <c r="A259" s="4449" t="s">
        <v>8270</v>
      </c>
      <c r="B259" s="1306"/>
      <c r="C259" s="1306"/>
      <c r="D259" s="1306"/>
      <c r="E259" s="1306"/>
      <c r="F259" s="1306"/>
      <c r="G259" s="1306">
        <f>0.2807</f>
        <v>0.28070000000000001</v>
      </c>
      <c r="H259" s="1289"/>
    </row>
    <row r="260" spans="1:8">
      <c r="A260" s="1305" t="s">
        <v>5701</v>
      </c>
      <c r="B260" s="1306">
        <v>0.08</v>
      </c>
      <c r="C260" s="1306"/>
      <c r="D260" s="1306"/>
      <c r="E260" s="1306"/>
      <c r="F260" s="1306"/>
      <c r="G260" s="1306"/>
      <c r="H260" s="1289"/>
    </row>
    <row r="261" spans="1:8">
      <c r="A261" s="1305" t="s">
        <v>5702</v>
      </c>
      <c r="B261" s="1306">
        <f>0.5</f>
        <v>0.5</v>
      </c>
      <c r="C261" s="1306">
        <f>0.33</f>
        <v>0.33</v>
      </c>
      <c r="D261" s="1306"/>
      <c r="E261" s="1306"/>
      <c r="F261" s="1306"/>
      <c r="G261" s="1306"/>
      <c r="H261" s="1289"/>
    </row>
    <row r="262" spans="1:8">
      <c r="A262" s="1305" t="s">
        <v>5674</v>
      </c>
      <c r="B262" s="1306">
        <v>0.42</v>
      </c>
      <c r="C262" s="1306">
        <f>0.5</f>
        <v>0.5</v>
      </c>
      <c r="D262" s="1306">
        <v>0.5</v>
      </c>
      <c r="E262" s="1306">
        <v>0.5</v>
      </c>
      <c r="F262" s="1306">
        <f>0.5</f>
        <v>0.5</v>
      </c>
      <c r="G262" s="1306">
        <f>0.375</f>
        <v>0.375</v>
      </c>
      <c r="H262" s="1289"/>
    </row>
    <row r="263" spans="1:8">
      <c r="A263" s="1308" t="s">
        <v>5703</v>
      </c>
      <c r="B263" s="1306">
        <v>0.68</v>
      </c>
      <c r="C263" s="1306">
        <f>0.5</f>
        <v>0.5</v>
      </c>
      <c r="D263" s="1306">
        <v>0.5</v>
      </c>
      <c r="E263" s="1306">
        <v>0.5</v>
      </c>
      <c r="F263" s="1306">
        <f>0.5</f>
        <v>0.5</v>
      </c>
      <c r="G263" s="1306"/>
      <c r="H263" s="1289"/>
    </row>
    <row r="264" spans="1:8">
      <c r="A264" s="4448" t="s">
        <v>8269</v>
      </c>
      <c r="B264" s="1306"/>
      <c r="C264" s="1306"/>
      <c r="D264" s="1306"/>
      <c r="E264" s="1306"/>
      <c r="F264" s="1306"/>
      <c r="G264" s="1306">
        <f>1.25</f>
        <v>1.25</v>
      </c>
      <c r="H264" s="1289"/>
    </row>
    <row r="265" spans="1:8">
      <c r="A265" s="4448" t="s">
        <v>8272</v>
      </c>
      <c r="B265" s="1306"/>
      <c r="C265" s="1306"/>
      <c r="D265" s="1306"/>
      <c r="E265" s="1306"/>
      <c r="F265" s="1306"/>
      <c r="G265" s="1306">
        <f>0.2917</f>
        <v>0.29170000000000001</v>
      </c>
      <c r="H265" s="1289"/>
    </row>
    <row r="266" spans="1:8">
      <c r="A266" s="1305" t="s">
        <v>5704</v>
      </c>
      <c r="B266" s="1306">
        <v>4.0199999999999996</v>
      </c>
      <c r="C266" s="1306">
        <f>3.6</f>
        <v>3.6</v>
      </c>
      <c r="D266" s="1306">
        <v>3.35</v>
      </c>
      <c r="E266" s="1306">
        <v>3.01</v>
      </c>
      <c r="F266" s="1306">
        <f>1.59</f>
        <v>1.59</v>
      </c>
      <c r="G266" s="1306">
        <f>0.75</f>
        <v>0.75</v>
      </c>
      <c r="H266" s="1289"/>
    </row>
    <row r="267" spans="1:8">
      <c r="A267" s="1305" t="s">
        <v>5705</v>
      </c>
      <c r="B267" s="1306"/>
      <c r="C267" s="1306">
        <f>0.42</f>
        <v>0.42</v>
      </c>
      <c r="D267" s="1306">
        <v>0.17</v>
      </c>
      <c r="E267" s="1306"/>
      <c r="F267" s="1306"/>
      <c r="G267" s="1306"/>
      <c r="H267" s="1289"/>
    </row>
    <row r="268" spans="1:8">
      <c r="A268" s="1305"/>
      <c r="B268" s="1306"/>
      <c r="C268" s="1306"/>
      <c r="D268" s="1306"/>
      <c r="E268" s="1306"/>
      <c r="F268" s="1306"/>
      <c r="G268" s="1306"/>
      <c r="H268" s="1289"/>
    </row>
    <row r="269" spans="1:8">
      <c r="A269" s="1322" t="s">
        <v>5650</v>
      </c>
      <c r="B269" s="1311">
        <f t="shared" ref="B269:G269" si="74">SUM(B270:B312)</f>
        <v>105.13019999999999</v>
      </c>
      <c r="C269" s="1311">
        <f t="shared" si="74"/>
        <v>111.56249999999999</v>
      </c>
      <c r="D269" s="1311">
        <f t="shared" si="74"/>
        <v>115.24</v>
      </c>
      <c r="E269" s="1311">
        <f t="shared" si="74"/>
        <v>118.17</v>
      </c>
      <c r="F269" s="1311">
        <f t="shared" si="74"/>
        <v>114.51</v>
      </c>
      <c r="G269" s="1311">
        <f t="shared" si="74"/>
        <v>115.7375</v>
      </c>
      <c r="H269" s="1321"/>
    </row>
    <row r="270" spans="1:8">
      <c r="A270" s="1305" t="s">
        <v>5657</v>
      </c>
      <c r="B270" s="1306">
        <f>1.38-0.3498</f>
        <v>1.0301999999999998</v>
      </c>
      <c r="C270" s="1306">
        <v>1.38</v>
      </c>
      <c r="D270" s="1306">
        <v>1.38</v>
      </c>
      <c r="E270" s="1306">
        <v>1.4</v>
      </c>
      <c r="F270" s="1306">
        <f>0.31+1.4</f>
        <v>1.71</v>
      </c>
      <c r="G270" s="1306">
        <f>2.3816</f>
        <v>2.3816000000000002</v>
      </c>
      <c r="H270" s="1289"/>
    </row>
    <row r="271" spans="1:8">
      <c r="A271" s="1308" t="s">
        <v>5706</v>
      </c>
      <c r="B271" s="1309">
        <v>0.69</v>
      </c>
      <c r="C271" s="1309">
        <f>0.69</f>
        <v>0.69</v>
      </c>
      <c r="D271" s="1309">
        <v>0.68</v>
      </c>
      <c r="E271" s="1309">
        <v>0.72</v>
      </c>
      <c r="F271" s="1309">
        <f>0.68</f>
        <v>0.68</v>
      </c>
      <c r="G271" s="1309">
        <f>0.5729</f>
        <v>0.57289999999999996</v>
      </c>
      <c r="H271" s="1310"/>
    </row>
    <row r="272" spans="1:8">
      <c r="A272" s="4448" t="s">
        <v>8277</v>
      </c>
      <c r="B272" s="1309">
        <v>1.35</v>
      </c>
      <c r="C272" s="1309">
        <f>1.01</f>
        <v>1.01</v>
      </c>
      <c r="D272" s="1309">
        <v>1.06</v>
      </c>
      <c r="E272" s="1309">
        <f>1.59+0.06</f>
        <v>1.6500000000000001</v>
      </c>
      <c r="F272" s="1309">
        <f>1.38</f>
        <v>1.38</v>
      </c>
      <c r="G272" s="1309">
        <f>0.4755+1.625</f>
        <v>2.1004999999999998</v>
      </c>
      <c r="H272" s="1310"/>
    </row>
    <row r="273" spans="1:8">
      <c r="A273" s="1308" t="s">
        <v>5708</v>
      </c>
      <c r="B273" s="1309">
        <v>0.71</v>
      </c>
      <c r="C273" s="1309"/>
      <c r="D273" s="1309"/>
      <c r="E273" s="1309"/>
      <c r="F273" s="1309"/>
      <c r="G273" s="1309"/>
      <c r="H273" s="1310"/>
    </row>
    <row r="274" spans="1:8">
      <c r="A274" s="1312" t="s">
        <v>5687</v>
      </c>
      <c r="B274" s="1309"/>
      <c r="C274" s="1309"/>
      <c r="D274" s="1309"/>
      <c r="E274" s="1309"/>
      <c r="F274" s="1309"/>
      <c r="G274" s="1309">
        <f>0.1022</f>
        <v>0.1022</v>
      </c>
      <c r="H274" s="1310"/>
    </row>
    <row r="275" spans="1:8">
      <c r="A275" s="1308" t="s">
        <v>5709</v>
      </c>
      <c r="B275" s="1309">
        <v>0.42</v>
      </c>
      <c r="C275" s="1309"/>
      <c r="D275" s="1309"/>
      <c r="E275" s="1309"/>
      <c r="F275" s="1309"/>
      <c r="G275" s="1309"/>
      <c r="H275" s="1310"/>
    </row>
    <row r="276" spans="1:8">
      <c r="A276" s="1308" t="s">
        <v>5710</v>
      </c>
      <c r="B276" s="1309"/>
      <c r="C276" s="1309"/>
      <c r="D276" s="1309">
        <v>0.5</v>
      </c>
      <c r="E276" s="1309"/>
      <c r="F276" s="1309"/>
      <c r="G276" s="1309"/>
      <c r="H276" s="1310"/>
    </row>
    <row r="277" spans="1:8">
      <c r="A277" s="4448" t="s">
        <v>8278</v>
      </c>
      <c r="B277" s="1309"/>
      <c r="C277" s="1309"/>
      <c r="D277" s="1309"/>
      <c r="E277" s="1309"/>
      <c r="F277" s="1309"/>
      <c r="G277" s="1309">
        <f>1</f>
        <v>1</v>
      </c>
      <c r="H277" s="1310"/>
    </row>
    <row r="278" spans="1:8">
      <c r="A278" s="1308" t="s">
        <v>5711</v>
      </c>
      <c r="B278" s="1309">
        <v>0.92</v>
      </c>
      <c r="C278" s="1309">
        <f>0.91</f>
        <v>0.91</v>
      </c>
      <c r="D278" s="1309">
        <v>0.91</v>
      </c>
      <c r="E278" s="1309">
        <v>0.91</v>
      </c>
      <c r="F278" s="1309">
        <f>0.91</f>
        <v>0.91</v>
      </c>
      <c r="G278" s="1309">
        <f>0.9142</f>
        <v>0.91420000000000001</v>
      </c>
      <c r="H278" s="1310"/>
    </row>
    <row r="279" spans="1:8">
      <c r="A279" s="1308" t="s">
        <v>7216</v>
      </c>
      <c r="B279" s="1309"/>
      <c r="C279" s="1309"/>
      <c r="D279" s="1309"/>
      <c r="E279" s="1309">
        <v>0.66</v>
      </c>
      <c r="F279" s="1309">
        <f>0.73</f>
        <v>0.73</v>
      </c>
      <c r="G279" s="1309">
        <f>0.4694</f>
        <v>0.46939999999999998</v>
      </c>
      <c r="H279" s="1310"/>
    </row>
    <row r="280" spans="1:8">
      <c r="A280" s="1305" t="s">
        <v>5712</v>
      </c>
      <c r="B280" s="1309">
        <f>6.85+11.47+0.08+0.04+0.08+0.07+0.13</f>
        <v>18.719999999999995</v>
      </c>
      <c r="C280" s="1309">
        <f>6.25+10.4</f>
        <v>16.649999999999999</v>
      </c>
      <c r="D280" s="1309">
        <f>5.58+11.53</f>
        <v>17.11</v>
      </c>
      <c r="E280" s="1309">
        <f>6.45+10.24+0.09</f>
        <v>16.78</v>
      </c>
      <c r="F280" s="1309">
        <f>5.74+9.82+0.05</f>
        <v>15.610000000000001</v>
      </c>
      <c r="G280" s="1309">
        <f>6.6814</f>
        <v>6.6814</v>
      </c>
      <c r="H280" s="1310"/>
    </row>
    <row r="281" spans="1:8">
      <c r="A281" s="1305" t="s">
        <v>5713</v>
      </c>
      <c r="B281" s="1309">
        <f>4.38</f>
        <v>4.38</v>
      </c>
      <c r="C281" s="1309">
        <f>4.22</f>
        <v>4.22</v>
      </c>
      <c r="D281" s="1309">
        <v>3.89</v>
      </c>
      <c r="E281" s="1309">
        <f>3.02</f>
        <v>3.02</v>
      </c>
      <c r="F281" s="1309">
        <f>4.34</f>
        <v>4.34</v>
      </c>
      <c r="G281" s="1309"/>
      <c r="H281" s="1310"/>
    </row>
    <row r="282" spans="1:8">
      <c r="A282" s="1305" t="s">
        <v>5699</v>
      </c>
      <c r="B282" s="1309"/>
      <c r="C282" s="1309">
        <v>0.73</v>
      </c>
      <c r="D282" s="1309">
        <v>0.4</v>
      </c>
      <c r="E282" s="1309"/>
      <c r="F282" s="1309"/>
      <c r="G282" s="1309"/>
      <c r="H282" s="1310"/>
    </row>
    <row r="283" spans="1:8">
      <c r="A283" s="4449" t="s">
        <v>8271</v>
      </c>
      <c r="B283" s="1309">
        <v>0.2</v>
      </c>
      <c r="C283" s="1309">
        <v>0.2</v>
      </c>
      <c r="D283" s="1309">
        <v>0.24</v>
      </c>
      <c r="E283" s="1309">
        <f>0.63</f>
        <v>0.63</v>
      </c>
      <c r="F283" s="1309">
        <f>2.39</f>
        <v>2.39</v>
      </c>
      <c r="G283" s="1309">
        <f>3</f>
        <v>3</v>
      </c>
      <c r="H283" s="1310"/>
    </row>
    <row r="284" spans="1:8">
      <c r="A284" s="1305" t="s">
        <v>5700</v>
      </c>
      <c r="B284" s="1309">
        <f>0.83+0.17</f>
        <v>1</v>
      </c>
      <c r="C284" s="1309">
        <v>0.91</v>
      </c>
      <c r="D284" s="1309">
        <v>1</v>
      </c>
      <c r="E284" s="1309">
        <f>0.83+0.17</f>
        <v>1</v>
      </c>
      <c r="F284" s="1309">
        <f>0.92+0.08</f>
        <v>1</v>
      </c>
      <c r="G284" s="1309">
        <f>1.0717+0.0833</f>
        <v>1.155</v>
      </c>
      <c r="H284" s="1310"/>
    </row>
    <row r="285" spans="1:8">
      <c r="A285" s="4449" t="s">
        <v>8273</v>
      </c>
      <c r="B285" s="1309"/>
      <c r="C285" s="1309"/>
      <c r="D285" s="1309"/>
      <c r="E285" s="1309"/>
      <c r="F285" s="1309"/>
      <c r="G285" s="1309">
        <f>1.186</f>
        <v>1.1859999999999999</v>
      </c>
      <c r="H285" s="1310"/>
    </row>
    <row r="286" spans="1:8">
      <c r="A286" s="1305" t="s">
        <v>5714</v>
      </c>
      <c r="B286" s="1309">
        <f>1.75+0.25</f>
        <v>2</v>
      </c>
      <c r="C286" s="1309">
        <v>1.9</v>
      </c>
      <c r="D286" s="1309">
        <v>1.67</v>
      </c>
      <c r="E286" s="1309">
        <v>2</v>
      </c>
      <c r="F286" s="1309">
        <f>2</f>
        <v>2</v>
      </c>
      <c r="G286" s="1309">
        <f>1.9982+0.0667</f>
        <v>2.0649000000000002</v>
      </c>
      <c r="H286" s="1310"/>
    </row>
    <row r="287" spans="1:8">
      <c r="A287" s="1305" t="s">
        <v>5715</v>
      </c>
      <c r="B287" s="1309"/>
      <c r="C287" s="1309">
        <v>0.17</v>
      </c>
      <c r="D287" s="1309">
        <v>0.5</v>
      </c>
      <c r="E287" s="1309">
        <v>0.5</v>
      </c>
      <c r="F287" s="1309">
        <v>0.56000000000000005</v>
      </c>
      <c r="G287" s="1309"/>
      <c r="H287" s="1310"/>
    </row>
    <row r="288" spans="1:8">
      <c r="A288" s="1308" t="s">
        <v>5716</v>
      </c>
      <c r="B288" s="1309">
        <v>0.19</v>
      </c>
      <c r="C288" s="1309">
        <v>0.8</v>
      </c>
      <c r="D288" s="1309">
        <v>0.86</v>
      </c>
      <c r="E288" s="1309">
        <f>1.07+0.02</f>
        <v>1.0900000000000001</v>
      </c>
      <c r="F288" s="1309">
        <v>1.01</v>
      </c>
      <c r="G288" s="1309">
        <f>0.571+0.1667</f>
        <v>0.73769999999999991</v>
      </c>
      <c r="H288" s="1310"/>
    </row>
    <row r="289" spans="1:8">
      <c r="A289" s="4448" t="s">
        <v>8274</v>
      </c>
      <c r="B289" s="1309"/>
      <c r="C289" s="1309"/>
      <c r="D289" s="1309"/>
      <c r="E289" s="1309"/>
      <c r="F289" s="1309"/>
      <c r="G289" s="1309">
        <f>4.381+0.5194</f>
        <v>4.9004000000000003</v>
      </c>
      <c r="H289" s="1310"/>
    </row>
    <row r="290" spans="1:8">
      <c r="A290" s="1312" t="s">
        <v>5678</v>
      </c>
      <c r="B290" s="1309">
        <f>0.8+1.13-0.5</f>
        <v>1.43</v>
      </c>
      <c r="C290" s="1309">
        <f>0.3+1.46-0.1875</f>
        <v>1.5725</v>
      </c>
      <c r="D290" s="1309">
        <f>1</f>
        <v>1</v>
      </c>
      <c r="E290" s="1309">
        <f>1</f>
        <v>1</v>
      </c>
      <c r="F290" s="1309">
        <f>1</f>
        <v>1</v>
      </c>
      <c r="G290" s="1309">
        <f>1</f>
        <v>1</v>
      </c>
      <c r="H290" s="1310"/>
    </row>
    <row r="291" spans="1:8">
      <c r="A291" s="4449" t="s">
        <v>8283</v>
      </c>
      <c r="B291" s="1309"/>
      <c r="C291" s="1309"/>
      <c r="D291" s="1309"/>
      <c r="E291" s="1309"/>
      <c r="F291" s="1309"/>
      <c r="G291" s="1309">
        <f>0.2278</f>
        <v>0.2278</v>
      </c>
      <c r="H291" s="1310"/>
    </row>
    <row r="292" spans="1:8">
      <c r="A292" s="4449" t="s">
        <v>8284</v>
      </c>
      <c r="B292" s="1309"/>
      <c r="C292" s="1309"/>
      <c r="D292" s="1309"/>
      <c r="E292" s="1309"/>
      <c r="F292" s="1309"/>
      <c r="G292" s="1309">
        <f>0.825</f>
        <v>0.82499999999999996</v>
      </c>
      <c r="H292" s="1310"/>
    </row>
    <row r="293" spans="1:8">
      <c r="A293" s="4449" t="s">
        <v>8282</v>
      </c>
      <c r="B293" s="1309"/>
      <c r="C293" s="1309"/>
      <c r="D293" s="1309"/>
      <c r="E293" s="1309"/>
      <c r="F293" s="1309"/>
      <c r="G293" s="1309">
        <f>0.4249</f>
        <v>0.4249</v>
      </c>
      <c r="H293" s="1310"/>
    </row>
    <row r="294" spans="1:8">
      <c r="A294" s="4449" t="s">
        <v>8280</v>
      </c>
      <c r="B294" s="1309"/>
      <c r="C294" s="1309"/>
      <c r="D294" s="1309"/>
      <c r="E294" s="1309"/>
      <c r="F294" s="1309"/>
      <c r="G294" s="1309">
        <f>0.6304</f>
        <v>0.63039999999999996</v>
      </c>
      <c r="H294" s="1310"/>
    </row>
    <row r="295" spans="1:8">
      <c r="A295" s="1305" t="s">
        <v>5717</v>
      </c>
      <c r="B295" s="1309">
        <f>2.76+2.08+2</f>
        <v>6.84</v>
      </c>
      <c r="C295" s="1309">
        <f>3+2.09+1.94</f>
        <v>7.0299999999999994</v>
      </c>
      <c r="D295" s="1309">
        <f>3+1.93+1.98</f>
        <v>6.91</v>
      </c>
      <c r="E295" s="1309">
        <f>3+1.92+2.05</f>
        <v>6.97</v>
      </c>
      <c r="F295" s="1309">
        <f>2.98+1.47+2</f>
        <v>6.45</v>
      </c>
      <c r="G295" s="1309">
        <f>0.0833+2.5453+2.5167</f>
        <v>5.1453000000000007</v>
      </c>
      <c r="H295" s="1310"/>
    </row>
    <row r="296" spans="1:8">
      <c r="A296" s="1308" t="s">
        <v>5718</v>
      </c>
      <c r="B296" s="1309">
        <f>0.63</f>
        <v>0.63</v>
      </c>
      <c r="C296" s="1309">
        <v>0.64</v>
      </c>
      <c r="D296" s="1309">
        <v>1.05</v>
      </c>
      <c r="E296" s="1309">
        <v>0.88</v>
      </c>
      <c r="F296" s="1309">
        <f>0.95</f>
        <v>0.95</v>
      </c>
      <c r="G296" s="1309">
        <f>0.2833+0.6667</f>
        <v>0.95</v>
      </c>
      <c r="H296" s="1310"/>
    </row>
    <row r="297" spans="1:8">
      <c r="A297" s="1308" t="s">
        <v>5719</v>
      </c>
      <c r="B297" s="1309">
        <v>0.5</v>
      </c>
      <c r="C297" s="1309">
        <v>0.5</v>
      </c>
      <c r="D297" s="1309">
        <v>0.46</v>
      </c>
      <c r="E297" s="1309">
        <v>0.52</v>
      </c>
      <c r="F297" s="1309">
        <f>0.46</f>
        <v>0.46</v>
      </c>
      <c r="G297" s="1309">
        <f>0.0208</f>
        <v>2.0799999999999999E-2</v>
      </c>
      <c r="H297" s="1310"/>
    </row>
    <row r="298" spans="1:8">
      <c r="A298" s="4448" t="s">
        <v>8281</v>
      </c>
      <c r="B298" s="1309"/>
      <c r="C298" s="1309"/>
      <c r="D298" s="1309"/>
      <c r="E298" s="1309"/>
      <c r="F298" s="1309"/>
      <c r="G298" s="1309">
        <f>0.5</f>
        <v>0.5</v>
      </c>
      <c r="H298" s="1310"/>
    </row>
    <row r="299" spans="1:8">
      <c r="A299" s="4448" t="s">
        <v>8275</v>
      </c>
      <c r="B299" s="1309"/>
      <c r="C299" s="1309"/>
      <c r="D299" s="1309"/>
      <c r="E299" s="1309"/>
      <c r="F299" s="1309"/>
      <c r="G299" s="1309">
        <f>4.2742</f>
        <v>4.2742000000000004</v>
      </c>
      <c r="H299" s="1310"/>
    </row>
    <row r="300" spans="1:8">
      <c r="A300" s="1308" t="s">
        <v>5673</v>
      </c>
      <c r="B300" s="1309"/>
      <c r="C300" s="1309"/>
      <c r="D300" s="1309"/>
      <c r="E300" s="1309">
        <v>1.07</v>
      </c>
      <c r="F300" s="1309">
        <f>1.4</f>
        <v>1.4</v>
      </c>
      <c r="G300" s="1309">
        <f>1.05</f>
        <v>1.05</v>
      </c>
      <c r="H300" s="1310"/>
    </row>
    <row r="301" spans="1:8">
      <c r="A301" s="1308" t="s">
        <v>5674</v>
      </c>
      <c r="B301" s="1309">
        <f>19.45+0.08+0.13+0.13+0.17*2</f>
        <v>20.129999999999995</v>
      </c>
      <c r="C301" s="1309">
        <v>19.97</v>
      </c>
      <c r="D301" s="1309">
        <f>21.6</f>
        <v>21.6</v>
      </c>
      <c r="E301" s="1309">
        <f>0.49+19.65+0.91</f>
        <v>21.049999999999997</v>
      </c>
      <c r="F301" s="1309">
        <f>0.5+17.07+0.15</f>
        <v>17.72</v>
      </c>
      <c r="G301" s="1309">
        <f>8.7135+0.6606+0.5</f>
        <v>9.8741000000000003</v>
      </c>
      <c r="H301" s="1310"/>
    </row>
    <row r="302" spans="1:8">
      <c r="A302" s="4448" t="s">
        <v>8279</v>
      </c>
      <c r="B302" s="1309"/>
      <c r="C302" s="1309"/>
      <c r="D302" s="1309"/>
      <c r="E302" s="1309"/>
      <c r="F302" s="1309"/>
      <c r="G302" s="1309">
        <f>0.8278</f>
        <v>0.82779999999999998</v>
      </c>
      <c r="H302" s="1310"/>
    </row>
    <row r="303" spans="1:8">
      <c r="A303" s="1308" t="s">
        <v>5703</v>
      </c>
      <c r="B303" s="1309">
        <v>0.23</v>
      </c>
      <c r="C303" s="1309">
        <v>0.8</v>
      </c>
      <c r="D303" s="1309">
        <v>0.8</v>
      </c>
      <c r="E303" s="1309">
        <v>0.8</v>
      </c>
      <c r="F303" s="1309">
        <f>0.84</f>
        <v>0.84</v>
      </c>
      <c r="G303" s="1309"/>
      <c r="H303" s="1310"/>
    </row>
    <row r="304" spans="1:8">
      <c r="A304" s="4448" t="s">
        <v>8269</v>
      </c>
      <c r="B304" s="1309"/>
      <c r="C304" s="1309"/>
      <c r="D304" s="1309"/>
      <c r="E304" s="1309"/>
      <c r="F304" s="1309"/>
      <c r="G304" s="1309">
        <f>15.0928</f>
        <v>15.0928</v>
      </c>
      <c r="H304" s="1310"/>
    </row>
    <row r="305" spans="1:8">
      <c r="A305" s="1308" t="s">
        <v>5720</v>
      </c>
      <c r="B305" s="1309">
        <f>38.94+0.13+0.05+0.04+0.17+0.25+0.08+0.25+0.17+0.17+0.13+0.03+0.08+0.15+0.17+0.12+0.17+0.04+0.06+0.19+0.17+0.03+0.03+0.26+0.08+0.11+0.01+0.12+0.17+0.01+0.08</f>
        <v>42.459999999999994</v>
      </c>
      <c r="C305" s="1309">
        <f>49.21</f>
        <v>49.21</v>
      </c>
      <c r="D305" s="1309">
        <f>50.16</f>
        <v>50.16</v>
      </c>
      <c r="E305" s="1309">
        <f>47.32+5.2</f>
        <v>52.52</v>
      </c>
      <c r="F305" s="1309">
        <f>49.75+2.67</f>
        <v>52.42</v>
      </c>
      <c r="G305" s="1309">
        <f>7.3152+0.0934</f>
        <v>7.4085999999999999</v>
      </c>
      <c r="H305" s="1310"/>
    </row>
    <row r="306" spans="1:8">
      <c r="A306" s="1308" t="s">
        <v>5721</v>
      </c>
      <c r="B306" s="1309">
        <v>0.55000000000000004</v>
      </c>
      <c r="C306" s="1309">
        <v>0.27</v>
      </c>
      <c r="D306" s="1309">
        <f>0.5</f>
        <v>0.5</v>
      </c>
      <c r="E306" s="1309">
        <v>0.25</v>
      </c>
      <c r="F306" s="1309">
        <v>0.2</v>
      </c>
      <c r="G306" s="1309">
        <f>0.1667</f>
        <v>0.16669999999999999</v>
      </c>
      <c r="H306" s="1310"/>
    </row>
    <row r="307" spans="1:8">
      <c r="A307" s="4448" t="s">
        <v>8272</v>
      </c>
      <c r="B307" s="1309"/>
      <c r="C307" s="1309"/>
      <c r="D307" s="1309"/>
      <c r="E307" s="1309"/>
      <c r="F307" s="1309"/>
      <c r="G307" s="1309">
        <f>0.45</f>
        <v>0.45</v>
      </c>
      <c r="H307" s="1310"/>
    </row>
    <row r="308" spans="1:8">
      <c r="A308" s="1308" t="s">
        <v>5722</v>
      </c>
      <c r="B308" s="1309">
        <v>0.75</v>
      </c>
      <c r="C308" s="1309">
        <v>0.75</v>
      </c>
      <c r="D308" s="1309">
        <f>0.75</f>
        <v>0.75</v>
      </c>
      <c r="E308" s="1309">
        <v>0.75</v>
      </c>
      <c r="F308" s="1309">
        <v>0.75</v>
      </c>
      <c r="G308" s="1309">
        <f>0.2657</f>
        <v>0.26569999999999999</v>
      </c>
      <c r="H308" s="1310"/>
    </row>
    <row r="309" spans="1:8">
      <c r="A309" s="1308" t="s">
        <v>5705</v>
      </c>
      <c r="B309" s="1309"/>
      <c r="C309" s="1309">
        <v>1.25</v>
      </c>
      <c r="D309" s="1309">
        <v>1.81</v>
      </c>
      <c r="E309" s="1309">
        <v>2</v>
      </c>
      <c r="F309" s="1309"/>
      <c r="G309" s="1309"/>
      <c r="H309" s="1310"/>
    </row>
    <row r="310" spans="1:8">
      <c r="A310" s="4448" t="s">
        <v>8276</v>
      </c>
      <c r="B310" s="1309"/>
      <c r="C310" s="1309"/>
      <c r="D310" s="1309"/>
      <c r="E310" s="1309"/>
      <c r="F310" s="1309"/>
      <c r="G310" s="4450">
        <f>0.1011+38.5525</f>
        <v>38.653600000000004</v>
      </c>
      <c r="H310" s="1310"/>
    </row>
    <row r="311" spans="1:8">
      <c r="A311" s="4448" t="s">
        <v>8285</v>
      </c>
      <c r="B311" s="1309"/>
      <c r="C311" s="1309"/>
      <c r="D311" s="1309"/>
      <c r="E311" s="1309"/>
      <c r="F311" s="1309"/>
      <c r="G311" s="4450">
        <f>0.6836</f>
        <v>0.68359999999999999</v>
      </c>
      <c r="H311" s="1310"/>
    </row>
    <row r="312" spans="1:8">
      <c r="A312" s="1305"/>
      <c r="B312" s="1306"/>
      <c r="C312" s="1306"/>
      <c r="D312" s="1306"/>
      <c r="E312" s="1306"/>
      <c r="F312" s="1306"/>
      <c r="G312" s="1306"/>
      <c r="H312" s="1289"/>
    </row>
    <row r="313" spans="1:8">
      <c r="A313" s="1303" t="s">
        <v>5651</v>
      </c>
      <c r="B313" s="1304">
        <f t="shared" ref="B313:G313" si="75">SUM(B314:B324)</f>
        <v>4.32</v>
      </c>
      <c r="C313" s="1304">
        <f t="shared" si="75"/>
        <v>4.2699999999999996</v>
      </c>
      <c r="D313" s="1304">
        <f t="shared" si="75"/>
        <v>3.2800000000000002</v>
      </c>
      <c r="E313" s="1304">
        <f t="shared" si="75"/>
        <v>3.15</v>
      </c>
      <c r="F313" s="1304">
        <f t="shared" si="75"/>
        <v>3.45</v>
      </c>
      <c r="G313" s="1304">
        <f t="shared" si="75"/>
        <v>3.1707999999999998</v>
      </c>
      <c r="H313" s="1289"/>
    </row>
    <row r="314" spans="1:8">
      <c r="A314" s="1305" t="s">
        <v>5657</v>
      </c>
      <c r="B314" s="1306">
        <v>0.08</v>
      </c>
      <c r="C314" s="1306"/>
      <c r="D314" s="1306"/>
      <c r="E314" s="1306">
        <v>0.19</v>
      </c>
      <c r="F314" s="1306">
        <v>0.1</v>
      </c>
      <c r="G314" s="1306"/>
      <c r="H314" s="1289"/>
    </row>
    <row r="315" spans="1:8">
      <c r="A315" s="1305" t="s">
        <v>5707</v>
      </c>
      <c r="B315" s="1306">
        <v>0.18</v>
      </c>
      <c r="C315" s="1306">
        <v>0.33</v>
      </c>
      <c r="D315" s="1306">
        <v>0.2</v>
      </c>
      <c r="E315" s="1306">
        <v>0.17</v>
      </c>
      <c r="F315" s="1306">
        <v>0.17</v>
      </c>
      <c r="G315" s="1306">
        <f>0.1589</f>
        <v>0.15890000000000001</v>
      </c>
      <c r="H315" s="1289"/>
    </row>
    <row r="316" spans="1:8">
      <c r="A316" s="1305" t="s">
        <v>5712</v>
      </c>
      <c r="B316" s="1306"/>
      <c r="C316" s="1306">
        <v>0.21</v>
      </c>
      <c r="D316" s="1306">
        <v>0.2</v>
      </c>
      <c r="E316" s="1306">
        <v>0.3</v>
      </c>
      <c r="F316" s="1306"/>
      <c r="G316" s="1306"/>
      <c r="H316" s="1289"/>
    </row>
    <row r="317" spans="1:8">
      <c r="A317" s="1305" t="s">
        <v>5713</v>
      </c>
      <c r="B317" s="1306"/>
      <c r="C317" s="1306"/>
      <c r="D317" s="1306">
        <v>0.09</v>
      </c>
      <c r="E317" s="1306"/>
      <c r="F317" s="1306"/>
      <c r="G317" s="1306"/>
      <c r="H317" s="1289"/>
    </row>
    <row r="318" spans="1:8">
      <c r="A318" s="4449" t="s">
        <v>8274</v>
      </c>
      <c r="B318" s="1306"/>
      <c r="C318" s="1306"/>
      <c r="D318" s="1306"/>
      <c r="E318" s="1306"/>
      <c r="F318" s="1306"/>
      <c r="G318" s="1306">
        <f>1.2964</f>
        <v>1.2964</v>
      </c>
      <c r="H318" s="1289"/>
    </row>
    <row r="319" spans="1:8">
      <c r="A319" s="4449" t="s">
        <v>8282</v>
      </c>
      <c r="B319" s="1306"/>
      <c r="C319" s="1306"/>
      <c r="D319" s="1306"/>
      <c r="E319" s="1306"/>
      <c r="F319" s="1306"/>
      <c r="G319" s="1306">
        <f>0.1538</f>
        <v>0.15379999999999999</v>
      </c>
      <c r="H319" s="1289"/>
    </row>
    <row r="320" spans="1:8">
      <c r="A320" s="4449" t="s">
        <v>8275</v>
      </c>
      <c r="B320" s="1306"/>
      <c r="C320" s="1306"/>
      <c r="D320" s="1306"/>
      <c r="E320" s="1306"/>
      <c r="F320" s="1306"/>
      <c r="G320" s="1306">
        <v>9.9900000000000003E-2</v>
      </c>
      <c r="H320" s="1289"/>
    </row>
    <row r="321" spans="1:8">
      <c r="A321" s="1308" t="s">
        <v>5674</v>
      </c>
      <c r="B321" s="1306">
        <v>0.75</v>
      </c>
      <c r="C321" s="1306">
        <v>1.06</v>
      </c>
      <c r="D321" s="1306">
        <v>0.9</v>
      </c>
      <c r="E321" s="1306">
        <v>0.95</v>
      </c>
      <c r="F321" s="1306">
        <v>1.9</v>
      </c>
      <c r="G321" s="1306"/>
      <c r="H321" s="1289"/>
    </row>
    <row r="322" spans="1:8">
      <c r="A322" s="1305" t="s">
        <v>5723</v>
      </c>
      <c r="B322" s="1306">
        <v>3.31</v>
      </c>
      <c r="C322" s="1306">
        <v>2.67</v>
      </c>
      <c r="D322" s="1306">
        <v>1.89</v>
      </c>
      <c r="E322" s="1306">
        <v>1.54</v>
      </c>
      <c r="F322" s="1306">
        <v>1.28</v>
      </c>
      <c r="G322" s="1306"/>
      <c r="H322" s="1289"/>
    </row>
    <row r="323" spans="1:8">
      <c r="A323" s="1305" t="s">
        <v>8286</v>
      </c>
      <c r="B323" s="1306"/>
      <c r="C323" s="1306"/>
      <c r="D323" s="1306"/>
      <c r="E323" s="1306"/>
      <c r="F323" s="1306"/>
      <c r="G323" s="1306">
        <f>1.4618</f>
        <v>1.4618</v>
      </c>
      <c r="H323" s="1289"/>
    </row>
    <row r="324" spans="1:8">
      <c r="A324" s="1305"/>
      <c r="B324" s="1306"/>
      <c r="C324" s="1306"/>
      <c r="D324" s="1306"/>
      <c r="E324" s="1306"/>
      <c r="F324" s="1306"/>
      <c r="G324" s="1306"/>
      <c r="H324" s="1289"/>
    </row>
    <row r="325" spans="1:8">
      <c r="A325" s="1303" t="s">
        <v>5724</v>
      </c>
      <c r="B325" s="1311">
        <f t="shared" ref="B325:G325" si="76">SUM(B326:B327)</f>
        <v>0.28999999999999998</v>
      </c>
      <c r="C325" s="1311">
        <f t="shared" si="76"/>
        <v>0</v>
      </c>
      <c r="D325" s="1311">
        <f t="shared" si="76"/>
        <v>0</v>
      </c>
      <c r="E325" s="1311">
        <f t="shared" si="76"/>
        <v>0</v>
      </c>
      <c r="F325" s="1311">
        <f t="shared" si="76"/>
        <v>0</v>
      </c>
      <c r="G325" s="1311">
        <f t="shared" si="76"/>
        <v>0</v>
      </c>
      <c r="H325" s="1321"/>
    </row>
    <row r="326" spans="1:8">
      <c r="A326" s="1305" t="s">
        <v>5674</v>
      </c>
      <c r="B326" s="1306">
        <v>0.28999999999999998</v>
      </c>
      <c r="C326" s="1306"/>
      <c r="D326" s="1306"/>
      <c r="E326" s="1306"/>
      <c r="F326" s="1306"/>
      <c r="G326" s="1306"/>
      <c r="H326" s="1289"/>
    </row>
    <row r="327" spans="1:8">
      <c r="A327" s="1305"/>
      <c r="B327" s="1306"/>
      <c r="C327" s="1306"/>
      <c r="D327" s="1306"/>
      <c r="E327" s="1306"/>
      <c r="F327" s="1306"/>
      <c r="G327" s="1306"/>
      <c r="H327" s="1289"/>
    </row>
    <row r="328" spans="1:8">
      <c r="A328" s="2769" t="s">
        <v>8</v>
      </c>
      <c r="B328" s="2770">
        <f t="shared" ref="B328:G328" si="77">B252+B269+B313+B325</f>
        <v>122.5502</v>
      </c>
      <c r="C328" s="2770">
        <f t="shared" si="77"/>
        <v>127.58249999999998</v>
      </c>
      <c r="D328" s="2770">
        <f t="shared" si="77"/>
        <v>128.73999999999998</v>
      </c>
      <c r="E328" s="2770">
        <f t="shared" si="77"/>
        <v>130.19999999999999</v>
      </c>
      <c r="F328" s="2770">
        <f t="shared" si="77"/>
        <v>125.47000000000001</v>
      </c>
      <c r="G328" s="2770">
        <f t="shared" si="77"/>
        <v>125.68899999999999</v>
      </c>
      <c r="H328" s="1321"/>
    </row>
  </sheetData>
  <sheetProtection formatCells="0"/>
  <mergeCells count="1">
    <mergeCell ref="A1:L1"/>
  </mergeCells>
  <hyperlinks>
    <hyperlink ref="A1:L1" location="PERSONEEL!A1" display="GEMIDDELDE TEWERKSTELLING" xr:uid="{00000000-0004-0000-5900-000000000000}"/>
  </hyperlinks>
  <printOptions horizontalCentered="1"/>
  <pageMargins left="0.78740157480314965" right="0.78740157480314965" top="0.78740157480314965" bottom="0.78740157480314965" header="0.51181102362204722" footer="0.51181102362204722"/>
  <pageSetup paperSize="9" scale="89" orientation="portrait" r:id="rId1"/>
  <headerFooter alignWithMargins="0"/>
  <rowBreaks count="1" manualBreakCount="1">
    <brk id="55"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tabColor theme="8" tint="0.59999389629810485"/>
    <pageSetUpPr fitToPage="1"/>
  </sheetPr>
  <dimension ref="A1:S26"/>
  <sheetViews>
    <sheetView workbookViewId="0">
      <selection sqref="A1:K1"/>
    </sheetView>
  </sheetViews>
  <sheetFormatPr defaultColWidth="9.140625" defaultRowHeight="12.75"/>
  <cols>
    <col min="1" max="4" width="9.140625" style="395"/>
    <col min="5" max="5" width="9.140625" style="1633"/>
    <col min="6" max="6" width="9.7109375" style="1633" customWidth="1"/>
    <col min="7" max="7" width="9.28515625" style="395" customWidth="1"/>
    <col min="8" max="8" width="11" style="395" bestFit="1" customWidth="1"/>
    <col min="9" max="9" width="9.140625" style="395"/>
    <col min="10" max="10" width="10.42578125" style="395" customWidth="1"/>
    <col min="11" max="11" width="9.140625" style="395"/>
    <col min="12" max="13" width="9.140625" style="397"/>
    <col min="14" max="15" width="9.140625" style="395"/>
    <col min="16" max="16" width="12.42578125" style="395" customWidth="1"/>
    <col min="17" max="16384" width="9.140625" style="395"/>
  </cols>
  <sheetData>
    <row r="1" spans="1:17" ht="18.75">
      <c r="A1" s="4771" t="s">
        <v>4712</v>
      </c>
      <c r="B1" s="4772"/>
      <c r="C1" s="4772"/>
      <c r="D1" s="4772"/>
      <c r="E1" s="4772"/>
      <c r="F1" s="4772"/>
      <c r="G1" s="4772"/>
      <c r="H1" s="4772"/>
      <c r="I1" s="4772"/>
      <c r="J1" s="4772"/>
      <c r="K1" s="4772"/>
    </row>
    <row r="3" spans="1:17" ht="16.5" thickBot="1">
      <c r="A3" s="1841" t="s">
        <v>4713</v>
      </c>
      <c r="F3" s="380" t="s">
        <v>4714</v>
      </c>
      <c r="H3" s="1148"/>
    </row>
    <row r="4" spans="1:17" s="1570" customFormat="1">
      <c r="A4" s="2794"/>
      <c r="B4" s="2795" t="s">
        <v>4715</v>
      </c>
      <c r="C4" s="2026" t="s">
        <v>4716</v>
      </c>
      <c r="D4" s="2026" t="s">
        <v>4717</v>
      </c>
      <c r="E4" s="1991" t="s">
        <v>4718</v>
      </c>
      <c r="F4" s="1992" t="s">
        <v>4719</v>
      </c>
      <c r="G4" s="1991" t="s">
        <v>4720</v>
      </c>
      <c r="H4" s="1991" t="s">
        <v>4721</v>
      </c>
      <c r="I4" s="1991" t="s">
        <v>4722</v>
      </c>
      <c r="J4" s="2026"/>
      <c r="K4" s="4296" t="s">
        <v>8112</v>
      </c>
      <c r="L4" s="1591"/>
      <c r="M4" s="1591" t="s">
        <v>4723</v>
      </c>
    </row>
    <row r="5" spans="1:17" ht="15">
      <c r="A5" s="2598" t="s">
        <v>4724</v>
      </c>
      <c r="B5" s="1997">
        <v>22.06</v>
      </c>
      <c r="C5" s="583">
        <v>45</v>
      </c>
      <c r="D5" s="583">
        <v>44</v>
      </c>
      <c r="E5" s="583">
        <v>44</v>
      </c>
      <c r="F5" s="2181">
        <v>33</v>
      </c>
      <c r="G5" s="2777">
        <v>30.7</v>
      </c>
      <c r="H5" s="2778">
        <v>27.5</v>
      </c>
      <c r="I5" s="1784">
        <v>24.82</v>
      </c>
      <c r="J5" s="397"/>
      <c r="K5" s="1205">
        <v>31.42</v>
      </c>
      <c r="L5" s="4301"/>
      <c r="M5" s="4302">
        <f>(I5-H5)/H5</f>
        <v>-9.7454545454545446E-2</v>
      </c>
      <c r="N5" s="2775">
        <f>I5-H5</f>
        <v>-2.6799999999999997</v>
      </c>
      <c r="P5" s="2776"/>
    </row>
    <row r="6" spans="1:17" ht="15">
      <c r="A6" s="2598" t="s">
        <v>4725</v>
      </c>
      <c r="B6" s="1997">
        <v>66.23</v>
      </c>
      <c r="C6" s="583">
        <v>129</v>
      </c>
      <c r="D6" s="583">
        <v>99.83</v>
      </c>
      <c r="E6" s="583">
        <v>99.83</v>
      </c>
      <c r="F6" s="2181">
        <v>77</v>
      </c>
      <c r="G6" s="2777">
        <v>71.64</v>
      </c>
      <c r="H6" s="2778">
        <v>66</v>
      </c>
      <c r="I6" s="1784">
        <v>57.68</v>
      </c>
      <c r="J6" s="397"/>
      <c r="K6" s="1205">
        <v>66.13</v>
      </c>
      <c r="L6" s="4301"/>
      <c r="M6" s="4302">
        <f>(I6-H6)/H6</f>
        <v>-0.12606060606060607</v>
      </c>
      <c r="N6" s="2775">
        <f>I6-H6</f>
        <v>-8.32</v>
      </c>
      <c r="P6" s="2776"/>
    </row>
    <row r="7" spans="1:17" ht="15">
      <c r="A7" s="2598" t="s">
        <v>4726</v>
      </c>
      <c r="B7" s="1997">
        <v>66.23</v>
      </c>
      <c r="C7" s="583">
        <v>129</v>
      </c>
      <c r="D7" s="583">
        <v>99.83</v>
      </c>
      <c r="E7" s="583">
        <v>132</v>
      </c>
      <c r="F7" s="2181">
        <v>121</v>
      </c>
      <c r="G7" s="2777">
        <v>112.57</v>
      </c>
      <c r="H7" s="2778">
        <v>110</v>
      </c>
      <c r="I7" s="1784">
        <v>90.82</v>
      </c>
      <c r="J7" s="397"/>
      <c r="K7" s="1205">
        <v>100.98</v>
      </c>
      <c r="L7" s="4301"/>
      <c r="M7" s="4302">
        <f>(I7-H7)/H7</f>
        <v>-0.17436363636363642</v>
      </c>
      <c r="N7" s="2775">
        <f>I7-H7</f>
        <v>-19.180000000000007</v>
      </c>
      <c r="P7" s="2776"/>
    </row>
    <row r="8" spans="1:17">
      <c r="A8" s="2598" t="s">
        <v>8113</v>
      </c>
      <c r="B8" s="1997"/>
      <c r="C8" s="583"/>
      <c r="D8" s="583"/>
      <c r="E8" s="583"/>
      <c r="F8" s="2181"/>
      <c r="G8" s="2777"/>
      <c r="H8" s="2778"/>
      <c r="I8" s="1784"/>
      <c r="J8" s="397"/>
      <c r="K8" s="1205">
        <v>100.98</v>
      </c>
      <c r="L8" s="4300" t="s">
        <v>8114</v>
      </c>
      <c r="M8" s="4302"/>
      <c r="N8" s="2775"/>
      <c r="P8" s="2776"/>
    </row>
    <row r="9" spans="1:17" ht="15">
      <c r="A9" s="2598" t="s">
        <v>4727</v>
      </c>
      <c r="B9" s="1997">
        <v>198.7</v>
      </c>
      <c r="C9" s="583">
        <v>396</v>
      </c>
      <c r="D9" s="583">
        <v>374</v>
      </c>
      <c r="E9" s="583">
        <v>374</v>
      </c>
      <c r="F9" s="2181">
        <v>374</v>
      </c>
      <c r="G9" s="2777">
        <v>347.96</v>
      </c>
      <c r="H9" s="2778">
        <v>330</v>
      </c>
      <c r="I9" s="1784">
        <v>280.37</v>
      </c>
      <c r="J9" s="397"/>
      <c r="K9" s="1205">
        <v>301.23</v>
      </c>
      <c r="L9" s="4301"/>
      <c r="M9" s="4302">
        <f>(I9-H9)/H9</f>
        <v>-0.15039393939393939</v>
      </c>
      <c r="N9" s="2775">
        <f>I9-H9</f>
        <v>-49.629999999999995</v>
      </c>
      <c r="P9" s="2776"/>
    </row>
    <row r="10" spans="1:17" s="1634" customFormat="1" ht="15">
      <c r="A10" s="2779"/>
      <c r="B10" s="2780" t="s">
        <v>4728</v>
      </c>
      <c r="C10" s="2781"/>
      <c r="D10" s="2781">
        <v>0</v>
      </c>
      <c r="E10" s="2781">
        <f>374-374</f>
        <v>0</v>
      </c>
      <c r="F10" s="2782">
        <v>0</v>
      </c>
      <c r="G10" s="2783"/>
      <c r="H10" s="2783"/>
      <c r="I10" s="1784"/>
      <c r="J10" s="2785"/>
      <c r="K10" s="4297"/>
      <c r="L10" s="4301"/>
      <c r="M10" s="2785"/>
      <c r="N10" s="2776"/>
      <c r="P10" s="2776"/>
    </row>
    <row r="11" spans="1:17" ht="15">
      <c r="A11" s="2598" t="s">
        <v>8115</v>
      </c>
      <c r="B11" s="1997">
        <v>247.9</v>
      </c>
      <c r="C11" s="583">
        <v>449.9</v>
      </c>
      <c r="D11" s="583">
        <v>429</v>
      </c>
      <c r="E11" s="583">
        <f>429-55</f>
        <v>374</v>
      </c>
      <c r="F11" s="2181">
        <v>374</v>
      </c>
      <c r="G11" s="2777">
        <v>399.14</v>
      </c>
      <c r="H11" s="2778">
        <v>330</v>
      </c>
      <c r="I11" s="1784">
        <v>280.37</v>
      </c>
      <c r="J11" s="397"/>
      <c r="K11" s="1205">
        <v>301.23</v>
      </c>
      <c r="L11" s="4301"/>
      <c r="N11" s="2776"/>
      <c r="P11" s="2776"/>
    </row>
    <row r="12" spans="1:17" s="1634" customFormat="1" ht="15">
      <c r="A12" s="2779"/>
      <c r="B12" s="2784" t="s">
        <v>4728</v>
      </c>
      <c r="C12" s="2785"/>
      <c r="D12" s="2781"/>
      <c r="E12" s="2781">
        <f>429-374</f>
        <v>55</v>
      </c>
      <c r="F12" s="2782">
        <f>429-374</f>
        <v>55</v>
      </c>
      <c r="G12" s="2783"/>
      <c r="H12" s="2786">
        <v>66</v>
      </c>
      <c r="I12" s="1784">
        <f>321.55-280.37</f>
        <v>41.180000000000007</v>
      </c>
      <c r="J12" s="2785"/>
      <c r="K12" s="4297">
        <f>344.79-K9</f>
        <v>43.56</v>
      </c>
      <c r="L12" s="4301"/>
      <c r="M12" s="2785"/>
      <c r="Q12" s="395"/>
    </row>
    <row r="13" spans="1:17" ht="13.5" thickBot="1">
      <c r="A13" s="2073"/>
      <c r="B13" s="2166"/>
      <c r="C13" s="2001"/>
      <c r="D13" s="2001"/>
      <c r="E13" s="2044"/>
      <c r="F13" s="2787"/>
      <c r="G13" s="2788"/>
      <c r="H13" s="2788"/>
      <c r="I13" s="2789"/>
      <c r="J13" s="2001"/>
      <c r="K13" s="4298"/>
    </row>
    <row r="14" spans="1:17">
      <c r="A14" s="1634" t="s">
        <v>4729</v>
      </c>
    </row>
    <row r="17" spans="1:19" ht="15.75">
      <c r="A17" s="1841" t="s">
        <v>4730</v>
      </c>
    </row>
    <row r="20" spans="1:19" s="380" customFormat="1">
      <c r="A20" s="1989"/>
      <c r="B20" s="1991">
        <v>2004</v>
      </c>
      <c r="C20" s="1991">
        <v>2005</v>
      </c>
      <c r="D20" s="1991">
        <v>2006</v>
      </c>
      <c r="E20" s="1991">
        <v>2007</v>
      </c>
      <c r="F20" s="1991">
        <v>2008</v>
      </c>
      <c r="G20" s="1991">
        <v>2009</v>
      </c>
      <c r="H20" s="1991">
        <v>2010</v>
      </c>
      <c r="I20" s="1991">
        <v>2011</v>
      </c>
      <c r="J20" s="1991">
        <v>2012</v>
      </c>
      <c r="K20" s="1991">
        <v>2013</v>
      </c>
      <c r="L20" s="1991">
        <v>2014</v>
      </c>
      <c r="M20" s="1991">
        <v>2015</v>
      </c>
      <c r="N20" s="1991">
        <v>2016</v>
      </c>
      <c r="O20" s="1992">
        <v>2017</v>
      </c>
    </row>
    <row r="21" spans="1:19" s="1002" customFormat="1">
      <c r="A21" s="2790" t="s">
        <v>4731</v>
      </c>
      <c r="B21" s="396">
        <v>6727</v>
      </c>
      <c r="C21" s="396">
        <v>13585</v>
      </c>
      <c r="D21" s="396">
        <v>13974</v>
      </c>
      <c r="E21" s="396">
        <v>15379</v>
      </c>
      <c r="F21" s="396">
        <v>11508</v>
      </c>
      <c r="G21" s="396">
        <v>12605</v>
      </c>
      <c r="H21" s="396">
        <v>13197</v>
      </c>
      <c r="I21" s="396">
        <v>17365</v>
      </c>
      <c r="J21" s="396">
        <v>18247</v>
      </c>
      <c r="K21" s="396">
        <v>19433</v>
      </c>
      <c r="L21" s="396">
        <f>SUM(L23:L26)</f>
        <v>18867.09</v>
      </c>
      <c r="M21" s="396">
        <f>SUM(M23:M26)</f>
        <v>20019.34</v>
      </c>
      <c r="N21" s="396">
        <f>SUM(N23:N26)</f>
        <v>20935.11</v>
      </c>
      <c r="O21" s="2792">
        <f>SUM(O23:O26)</f>
        <v>21446.199999999997</v>
      </c>
    </row>
    <row r="22" spans="1:19" s="1002" customFormat="1">
      <c r="A22" s="2791" t="s">
        <v>4732</v>
      </c>
      <c r="B22" s="2481"/>
      <c r="C22" s="2481"/>
      <c r="D22" s="2481"/>
      <c r="E22" s="2481"/>
      <c r="F22" s="2481"/>
      <c r="G22" s="2481"/>
      <c r="H22" s="2481"/>
      <c r="I22" s="2481"/>
      <c r="J22" s="2481"/>
      <c r="K22" s="2481"/>
      <c r="L22" s="2481">
        <v>34235.14</v>
      </c>
      <c r="M22" s="2481">
        <v>35919.040000000001</v>
      </c>
      <c r="N22" s="2481">
        <v>37100.550000000003</v>
      </c>
      <c r="O22" s="2793">
        <v>39209.550000000003</v>
      </c>
    </row>
    <row r="23" spans="1:19">
      <c r="L23" s="2162"/>
    </row>
    <row r="24" spans="1:19">
      <c r="L24" s="1486">
        <v>8921.9500000000007</v>
      </c>
      <c r="M24" s="1486">
        <v>8505.83</v>
      </c>
      <c r="N24" s="1549">
        <v>8500.33</v>
      </c>
      <c r="O24" s="1549">
        <v>9154.65</v>
      </c>
      <c r="P24" s="395" t="s">
        <v>4733</v>
      </c>
      <c r="Q24" s="1551" t="s">
        <v>4734</v>
      </c>
      <c r="S24" s="1633" t="s">
        <v>4735</v>
      </c>
    </row>
    <row r="25" spans="1:19">
      <c r="L25" s="1486">
        <v>9214.5499999999993</v>
      </c>
      <c r="M25" s="1486">
        <v>10578.51</v>
      </c>
      <c r="N25" s="1549"/>
      <c r="O25" s="1549"/>
      <c r="P25" s="395" t="s">
        <v>4736</v>
      </c>
      <c r="Q25" s="1551" t="s">
        <v>4737</v>
      </c>
      <c r="S25" s="1633" t="s">
        <v>4735</v>
      </c>
    </row>
    <row r="26" spans="1:19">
      <c r="L26" s="1486">
        <v>730.59</v>
      </c>
      <c r="M26" s="1486">
        <v>935</v>
      </c>
      <c r="N26" s="1549">
        <v>12434.78</v>
      </c>
      <c r="O26" s="1549">
        <v>12291.55</v>
      </c>
      <c r="P26" s="395" t="s">
        <v>4738</v>
      </c>
      <c r="Q26" s="1551" t="s">
        <v>4739</v>
      </c>
      <c r="S26" s="1633" t="s">
        <v>4735</v>
      </c>
    </row>
  </sheetData>
  <mergeCells count="1">
    <mergeCell ref="A1:K1"/>
  </mergeCells>
  <hyperlinks>
    <hyperlink ref="A1" location="GLOBAAL!A1" display="Hospitalisatieverzekering" xr:uid="{00000000-0004-0000-5A00-000000000000}"/>
    <hyperlink ref="A1:K1" location="PERSONEEL!A1" display="Hospitalisatieverzekering" xr:uid="{00000000-0004-0000-5A00-000001000000}"/>
  </hyperlinks>
  <pageMargins left="0.7" right="0.7" top="0.75" bottom="0.75" header="0.3" footer="0.3"/>
  <pageSetup paperSize="9" scale="4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14999847407452621"/>
  </sheetPr>
  <dimension ref="A2:J25"/>
  <sheetViews>
    <sheetView workbookViewId="0"/>
  </sheetViews>
  <sheetFormatPr defaultColWidth="9.140625" defaultRowHeight="15"/>
  <cols>
    <col min="1" max="1" width="9.140625" style="4033"/>
    <col min="2" max="3" width="9.140625" style="4033" customWidth="1"/>
    <col min="4" max="4" width="39.28515625" style="4033" customWidth="1"/>
    <col min="5" max="16384" width="9.140625" style="4033"/>
  </cols>
  <sheetData>
    <row r="2" spans="3:10" ht="36">
      <c r="C2" s="4756" t="s">
        <v>7717</v>
      </c>
      <c r="D2" s="4756"/>
      <c r="E2" s="4756"/>
      <c r="F2" s="4036"/>
      <c r="G2" s="4036"/>
      <c r="H2" s="4036"/>
      <c r="I2" s="4036"/>
      <c r="J2" s="4036"/>
    </row>
    <row r="3" spans="3:10">
      <c r="D3" s="4747"/>
      <c r="E3" s="4747"/>
      <c r="F3" s="4747"/>
    </row>
    <row r="6" spans="3:10" ht="27" customHeight="1">
      <c r="D6" s="7" t="s">
        <v>7718</v>
      </c>
    </row>
    <row r="7" spans="3:10" ht="15" customHeight="1"/>
    <row r="8" spans="3:10" ht="24" customHeight="1">
      <c r="D8" s="7" t="s">
        <v>7722</v>
      </c>
    </row>
    <row r="9" spans="3:10" ht="15" customHeight="1">
      <c r="D9" s="4038"/>
    </row>
    <row r="10" spans="3:10" ht="27" customHeight="1">
      <c r="C10" s="4042"/>
      <c r="D10" s="7" t="s">
        <v>7721</v>
      </c>
    </row>
    <row r="11" spans="3:10" ht="7.5" customHeight="1">
      <c r="C11" s="4042"/>
    </row>
    <row r="12" spans="3:10" ht="6.75" customHeight="1">
      <c r="C12" s="4042"/>
    </row>
    <row r="13" spans="3:10" ht="23.25" customHeight="1">
      <c r="D13" s="7" t="s">
        <v>7723</v>
      </c>
    </row>
    <row r="14" spans="3:10" ht="14.25" customHeight="1">
      <c r="D14" s="4038"/>
    </row>
    <row r="15" spans="3:10" ht="15" hidden="1" customHeight="1">
      <c r="D15" s="4038"/>
    </row>
    <row r="16" spans="3:10" ht="21" customHeight="1">
      <c r="D16" s="7" t="s">
        <v>7724</v>
      </c>
    </row>
    <row r="17" spans="1:4" ht="15" customHeight="1">
      <c r="D17" s="4038"/>
    </row>
    <row r="18" spans="1:4" ht="15" customHeight="1"/>
    <row r="19" spans="1:4" ht="27" customHeight="1"/>
    <row r="22" spans="1:4" s="4039" customFormat="1" ht="18.75">
      <c r="A22" s="4033"/>
      <c r="B22" s="4033"/>
      <c r="C22" s="4033"/>
      <c r="D22" s="4033"/>
    </row>
    <row r="23" spans="1:4" s="4039" customFormat="1" ht="33.75" customHeight="1">
      <c r="A23" s="4043" t="s">
        <v>7146</v>
      </c>
      <c r="B23" s="4044"/>
    </row>
    <row r="24" spans="1:4" s="4039" customFormat="1" ht="18.75">
      <c r="A24" s="4043"/>
      <c r="B24" s="4044"/>
    </row>
    <row r="25" spans="1:4" ht="18.75">
      <c r="A25" s="4040" t="s">
        <v>7144</v>
      </c>
      <c r="B25" s="4040"/>
      <c r="C25" s="4039"/>
      <c r="D25" s="4039"/>
    </row>
  </sheetData>
  <mergeCells count="2">
    <mergeCell ref="C2:E2"/>
    <mergeCell ref="D3:F3"/>
  </mergeCells>
  <hyperlinks>
    <hyperlink ref="A23:B23" location="BOORDTABELLEN!A1" display="Terug naar overzicht" xr:uid="{00000000-0004-0000-1500-000000000000}"/>
    <hyperlink ref="A25:B25" location="INDELING!A1" display="&gt; &gt; Terug naar indeling" xr:uid="{00000000-0004-0000-1500-000001000000}"/>
    <hyperlink ref="D6" location="'ICT-cijfers'!A1" display="Aantal assets (apparaat types)" xr:uid="{00000000-0004-0000-1500-000002000000}"/>
    <hyperlink ref="D8" location="'ICT-cijfers'!A1" display="Aantal desktops per werkpost" xr:uid="{00000000-0004-0000-1500-000003000000}"/>
    <hyperlink ref="D10" location="'ICT-cijfers'!A1" display="Aantal laptops per werkpost" xr:uid="{00000000-0004-0000-1500-000004000000}"/>
    <hyperlink ref="D13" location="'ICT-cijfers'!A1" display="Aantal smartphones per werkpost" xr:uid="{00000000-0004-0000-1500-000005000000}"/>
    <hyperlink ref="D16" location="'ICT-cijfers'!A1" display="Aantal behandelde tickets" xr:uid="{00000000-0004-0000-1500-000006000000}"/>
  </hyperlinks>
  <pageMargins left="0.7" right="0.7" top="0.75" bottom="0.75" header="0.3" footer="0.3"/>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tabColor theme="8" tint="0.59999389629810485"/>
    <pageSetUpPr fitToPage="1"/>
  </sheetPr>
  <dimension ref="A1:P52"/>
  <sheetViews>
    <sheetView workbookViewId="0">
      <pane ySplit="3" topLeftCell="A4" activePane="bottomLeft" state="frozen"/>
      <selection pane="bottomLeft" activeCell="O4" sqref="O4"/>
    </sheetView>
  </sheetViews>
  <sheetFormatPr defaultColWidth="9.140625" defaultRowHeight="12.75"/>
  <cols>
    <col min="1" max="1" width="41.85546875" style="395" customWidth="1"/>
    <col min="2" max="2" width="10.140625" style="1002" hidden="1" customWidth="1"/>
    <col min="3" max="3" width="9.140625" style="1002"/>
    <col min="4" max="8" width="9.140625" style="395"/>
    <col min="9" max="10" width="10.7109375" style="395" bestFit="1" customWidth="1"/>
    <col min="11" max="11" width="10.7109375" style="395" customWidth="1"/>
    <col min="12" max="12" width="10.140625" style="395" customWidth="1"/>
    <col min="13" max="14" width="9.7109375" style="395" bestFit="1" customWidth="1"/>
    <col min="15" max="15" width="11.140625" style="395" bestFit="1" customWidth="1"/>
    <col min="16" max="16384" width="9.140625" style="395"/>
  </cols>
  <sheetData>
    <row r="1" spans="1:16" ht="18.75">
      <c r="A1" s="4771" t="s">
        <v>4740</v>
      </c>
      <c r="B1" s="4772"/>
      <c r="C1" s="4772"/>
      <c r="D1" s="4772"/>
      <c r="E1" s="4772"/>
      <c r="F1" s="4772"/>
      <c r="G1" s="4772"/>
      <c r="H1" s="4772"/>
      <c r="I1" s="4772"/>
      <c r="J1" s="4772"/>
      <c r="K1" s="4772"/>
    </row>
    <row r="3" spans="1:16">
      <c r="A3" s="2797" t="s">
        <v>4743</v>
      </c>
      <c r="B3" s="2798">
        <v>2012</v>
      </c>
      <c r="C3" s="3855">
        <v>2013</v>
      </c>
      <c r="D3" s="2799">
        <v>2014</v>
      </c>
      <c r="E3" s="2799">
        <v>2015</v>
      </c>
      <c r="F3" s="2799">
        <v>2016</v>
      </c>
      <c r="G3" s="2799">
        <v>2017</v>
      </c>
      <c r="H3" s="2799">
        <v>2018</v>
      </c>
      <c r="I3" s="2799">
        <v>2019</v>
      </c>
      <c r="J3" s="2799">
        <v>2020</v>
      </c>
      <c r="K3" s="2799">
        <v>2021</v>
      </c>
      <c r="L3" s="2799">
        <v>2022</v>
      </c>
      <c r="M3" s="2799">
        <v>2023</v>
      </c>
      <c r="N3" s="2799">
        <v>2024</v>
      </c>
      <c r="O3" s="2799">
        <v>2025</v>
      </c>
      <c r="P3" s="2800">
        <v>2026</v>
      </c>
    </row>
    <row r="4" spans="1:16">
      <c r="A4" s="2822" t="s">
        <v>7082</v>
      </c>
      <c r="B4" s="2801">
        <v>1900794</v>
      </c>
      <c r="C4" s="3850">
        <v>2004142</v>
      </c>
      <c r="D4" s="2801">
        <v>1944626</v>
      </c>
      <c r="E4" s="2802">
        <v>1651402</v>
      </c>
      <c r="F4" s="2802">
        <v>1630153</v>
      </c>
      <c r="G4" s="2802">
        <f>F4*0.95</f>
        <v>1548645.3499999999</v>
      </c>
      <c r="H4" s="2802">
        <v>1379667</v>
      </c>
      <c r="I4" s="2802">
        <v>1740457</v>
      </c>
      <c r="J4" s="2802">
        <v>1675620</v>
      </c>
      <c r="K4" s="2802">
        <v>1581457</v>
      </c>
      <c r="L4" s="2802">
        <v>1493062</v>
      </c>
      <c r="M4" s="2802">
        <v>1399739</v>
      </c>
      <c r="N4" s="2802">
        <v>1305505</v>
      </c>
      <c r="O4" s="2802">
        <v>1208085</v>
      </c>
      <c r="P4" s="2826">
        <v>1119756</v>
      </c>
    </row>
    <row r="5" spans="1:16">
      <c r="A5" s="2823" t="s">
        <v>7083</v>
      </c>
      <c r="B5" s="2801"/>
      <c r="C5" s="3850"/>
      <c r="D5" s="2801"/>
      <c r="E5" s="2802"/>
      <c r="F5" s="2802"/>
      <c r="G5" s="2802"/>
      <c r="H5" s="2802"/>
      <c r="I5" s="2802">
        <v>1436369</v>
      </c>
      <c r="J5" s="2802">
        <v>1380655</v>
      </c>
      <c r="K5" s="2802">
        <v>1301241</v>
      </c>
      <c r="L5" s="2802">
        <v>1226857</v>
      </c>
      <c r="M5" s="2802">
        <v>1146843</v>
      </c>
      <c r="N5" s="2802">
        <v>1065254</v>
      </c>
      <c r="O5" s="2802">
        <v>979847</v>
      </c>
      <c r="P5" s="2826">
        <v>902929</v>
      </c>
    </row>
    <row r="6" spans="1:16">
      <c r="A6" s="2824" t="s">
        <v>4744</v>
      </c>
      <c r="B6" s="2803">
        <v>740866</v>
      </c>
      <c r="C6" s="3851">
        <v>768406</v>
      </c>
      <c r="D6" s="2803">
        <v>814935.26</v>
      </c>
      <c r="E6" s="2803">
        <v>894406.02</v>
      </c>
      <c r="F6" s="2803">
        <v>927067.85</v>
      </c>
      <c r="G6" s="2803">
        <v>947210.68</v>
      </c>
      <c r="H6" s="2804">
        <v>1003687.18</v>
      </c>
      <c r="I6" s="2804">
        <v>1032734</v>
      </c>
      <c r="J6" s="2804">
        <v>1052748</v>
      </c>
      <c r="K6" s="2804">
        <v>1091038</v>
      </c>
      <c r="L6" s="2804">
        <v>1145493</v>
      </c>
      <c r="M6" s="2804">
        <v>1203262</v>
      </c>
      <c r="N6" s="2804">
        <v>1264545</v>
      </c>
      <c r="O6" s="2804">
        <v>1322857</v>
      </c>
      <c r="P6" s="2828">
        <v>1393894</v>
      </c>
    </row>
    <row r="7" spans="1:16">
      <c r="A7" s="2823" t="s">
        <v>4745</v>
      </c>
      <c r="B7" s="2805">
        <f t="shared" ref="B7:O7" si="0">B6/B4</f>
        <v>0.38976659227670118</v>
      </c>
      <c r="C7" s="3852">
        <f t="shared" si="0"/>
        <v>0.38340896004374941</v>
      </c>
      <c r="D7" s="2805">
        <f t="shared" si="0"/>
        <v>0.41907043308070552</v>
      </c>
      <c r="E7" s="2805">
        <f t="shared" si="0"/>
        <v>0.54160405522095767</v>
      </c>
      <c r="F7" s="2805">
        <f t="shared" si="0"/>
        <v>0.56869990117492042</v>
      </c>
      <c r="G7" s="2805">
        <f t="shared" si="0"/>
        <v>0.61163821658716122</v>
      </c>
      <c r="H7" s="2806">
        <f t="shared" si="0"/>
        <v>0.72748509604129119</v>
      </c>
      <c r="I7" s="2806">
        <f t="shared" si="0"/>
        <v>0.59336944262340297</v>
      </c>
      <c r="J7" s="2806">
        <f t="shared" si="0"/>
        <v>0.62827371361048445</v>
      </c>
      <c r="K7" s="2806">
        <f t="shared" si="0"/>
        <v>0.68989419250728912</v>
      </c>
      <c r="L7" s="2806">
        <f t="shared" si="0"/>
        <v>0.76721060478399428</v>
      </c>
      <c r="M7" s="2806">
        <f t="shared" si="0"/>
        <v>0.8596331173168712</v>
      </c>
      <c r="N7" s="2806">
        <f t="shared" si="0"/>
        <v>0.96862516803842191</v>
      </c>
      <c r="O7" s="2806">
        <f t="shared" si="0"/>
        <v>1.0950032489435759</v>
      </c>
      <c r="P7" s="2829">
        <f>P6/P4</f>
        <v>1.2448194070851151</v>
      </c>
    </row>
    <row r="8" spans="1:16">
      <c r="A8" s="2823"/>
      <c r="B8" s="2805"/>
      <c r="C8" s="3852"/>
      <c r="D8" s="2805"/>
      <c r="E8" s="2805"/>
      <c r="F8" s="2805"/>
      <c r="G8" s="2805"/>
      <c r="H8" s="2806"/>
      <c r="I8" s="2806"/>
      <c r="J8" s="2806"/>
      <c r="K8" s="2806"/>
      <c r="L8" s="2806"/>
      <c r="M8" s="2806"/>
      <c r="N8" s="2806"/>
      <c r="O8" s="397"/>
      <c r="P8" s="1998"/>
    </row>
    <row r="9" spans="1:16">
      <c r="A9" s="2823" t="s">
        <v>7087</v>
      </c>
      <c r="B9" s="2805"/>
      <c r="C9" s="3852"/>
      <c r="D9" s="2805"/>
      <c r="E9" s="2805"/>
      <c r="F9" s="2805"/>
      <c r="G9" s="2805"/>
      <c r="H9" s="2806"/>
      <c r="I9" s="2807">
        <v>0.41499999999999998</v>
      </c>
      <c r="J9" s="2807">
        <v>0.41499999999999998</v>
      </c>
      <c r="K9" s="2807">
        <v>0.41499999999999998</v>
      </c>
      <c r="L9" s="2807">
        <v>0.43</v>
      </c>
      <c r="M9" s="2807">
        <v>0.45</v>
      </c>
      <c r="N9" s="2807">
        <v>0.45</v>
      </c>
      <c r="O9" s="2807">
        <v>0.45</v>
      </c>
      <c r="P9" s="2830">
        <v>0.45</v>
      </c>
    </row>
    <row r="10" spans="1:16">
      <c r="A10" s="2823" t="s">
        <v>7088</v>
      </c>
      <c r="B10" s="2808">
        <v>0.34</v>
      </c>
      <c r="C10" s="3853">
        <v>0.36</v>
      </c>
      <c r="D10" s="2808">
        <v>0.37999997887463044</v>
      </c>
      <c r="E10" s="2808">
        <v>0.4</v>
      </c>
      <c r="F10" s="315">
        <v>0.41499999999999998</v>
      </c>
      <c r="G10" s="315">
        <v>0.41499999999999998</v>
      </c>
      <c r="H10" s="2807">
        <v>0.41499999999999998</v>
      </c>
      <c r="I10" s="2807">
        <v>0.38500000000000001</v>
      </c>
      <c r="J10" s="2807">
        <v>0.38500000000000001</v>
      </c>
      <c r="K10" s="2807">
        <v>0.38500000000000001</v>
      </c>
      <c r="L10" s="2807">
        <v>0.4</v>
      </c>
      <c r="M10" s="2807">
        <v>0.45</v>
      </c>
      <c r="N10" s="2807">
        <v>0.45</v>
      </c>
      <c r="O10" s="2807">
        <v>0.45</v>
      </c>
      <c r="P10" s="2830">
        <v>0.45</v>
      </c>
    </row>
    <row r="11" spans="1:16">
      <c r="A11" s="2824" t="s">
        <v>7086</v>
      </c>
      <c r="B11" s="2809">
        <v>646269.96000000008</v>
      </c>
      <c r="C11" s="3854">
        <v>721491.12</v>
      </c>
      <c r="D11" s="2803">
        <f>732848.25+6109.99</f>
        <v>738958.24</v>
      </c>
      <c r="E11" s="2803">
        <f>609614.28+2775.94+122271.29</f>
        <v>734661.51</v>
      </c>
      <c r="F11" s="2803">
        <f>618867.87+126194.69</f>
        <v>745062.56</v>
      </c>
      <c r="G11" s="2803">
        <f>598047.8+119490.36+366.32</f>
        <v>717904.48</v>
      </c>
      <c r="H11" s="2804">
        <f>(H4*H10)+120664.16</f>
        <v>693225.96499999997</v>
      </c>
      <c r="I11" s="2804">
        <f>I9*I4</f>
        <v>722289.65499999991</v>
      </c>
      <c r="J11" s="2804">
        <f t="shared" ref="J11:O11" si="1">J9*J4</f>
        <v>695382.29999999993</v>
      </c>
      <c r="K11" s="2804">
        <f t="shared" si="1"/>
        <v>656304.65499999991</v>
      </c>
      <c r="L11" s="2804">
        <f t="shared" si="1"/>
        <v>642016.66</v>
      </c>
      <c r="M11" s="2804">
        <f t="shared" si="1"/>
        <v>629882.55000000005</v>
      </c>
      <c r="N11" s="2804">
        <f t="shared" si="1"/>
        <v>587477.25</v>
      </c>
      <c r="O11" s="2804">
        <f t="shared" si="1"/>
        <v>543638.25</v>
      </c>
      <c r="P11" s="2828">
        <f>P9*P4</f>
        <v>503890.2</v>
      </c>
    </row>
    <row r="12" spans="1:16">
      <c r="A12" s="2824" t="s">
        <v>7085</v>
      </c>
      <c r="B12" s="2809"/>
      <c r="C12" s="3854"/>
      <c r="D12" s="2803"/>
      <c r="E12" s="2803"/>
      <c r="F12" s="2803"/>
      <c r="G12" s="2803"/>
      <c r="H12" s="2804"/>
      <c r="I12" s="2804">
        <f>I10*I5</f>
        <v>553002.06500000006</v>
      </c>
      <c r="J12" s="2804">
        <f t="shared" ref="J12:O12" si="2">J10*J5</f>
        <v>531552.17500000005</v>
      </c>
      <c r="K12" s="2804">
        <f t="shared" si="2"/>
        <v>500977.78500000003</v>
      </c>
      <c r="L12" s="2804">
        <f t="shared" si="2"/>
        <v>490742.80000000005</v>
      </c>
      <c r="M12" s="2804">
        <f t="shared" si="2"/>
        <v>516079.35000000003</v>
      </c>
      <c r="N12" s="2804">
        <f t="shared" si="2"/>
        <v>479364.3</v>
      </c>
      <c r="O12" s="2804">
        <f t="shared" si="2"/>
        <v>440931.15</v>
      </c>
      <c r="P12" s="2828">
        <f>P10*P5</f>
        <v>406318.05</v>
      </c>
    </row>
    <row r="13" spans="1:16">
      <c r="A13" s="2823"/>
      <c r="B13" s="2810"/>
      <c r="C13" s="2825"/>
      <c r="D13" s="2801"/>
      <c r="E13" s="2801"/>
      <c r="F13" s="2801"/>
      <c r="G13" s="2801"/>
      <c r="H13" s="2801"/>
      <c r="I13" s="2801"/>
      <c r="J13" s="2801"/>
      <c r="K13" s="2801"/>
      <c r="L13" s="2801"/>
      <c r="M13" s="2801"/>
      <c r="N13" s="2801"/>
      <c r="O13" s="397"/>
      <c r="P13" s="1998"/>
    </row>
    <row r="14" spans="1:16">
      <c r="A14" s="2850" t="s">
        <v>4746</v>
      </c>
      <c r="B14" s="2849">
        <f t="shared" ref="B14:O14" si="3">B6-B11</f>
        <v>94596.039999999921</v>
      </c>
      <c r="C14" s="3860">
        <f t="shared" si="3"/>
        <v>46914.880000000005</v>
      </c>
      <c r="D14" s="3861">
        <f t="shared" si="3"/>
        <v>75977.020000000019</v>
      </c>
      <c r="E14" s="3861">
        <f t="shared" si="3"/>
        <v>159744.51</v>
      </c>
      <c r="F14" s="3861">
        <f t="shared" si="3"/>
        <v>182005.28999999992</v>
      </c>
      <c r="G14" s="3861">
        <f t="shared" si="3"/>
        <v>229306.20000000007</v>
      </c>
      <c r="H14" s="3861">
        <f t="shared" si="3"/>
        <v>310461.21500000008</v>
      </c>
      <c r="I14" s="3861">
        <f t="shared" si="3"/>
        <v>310444.34500000009</v>
      </c>
      <c r="J14" s="3861">
        <f t="shared" si="3"/>
        <v>357365.70000000007</v>
      </c>
      <c r="K14" s="3861">
        <f t="shared" si="3"/>
        <v>434733.34500000009</v>
      </c>
      <c r="L14" s="3861">
        <f t="shared" si="3"/>
        <v>503476.33999999997</v>
      </c>
      <c r="M14" s="3861">
        <f t="shared" si="3"/>
        <v>573379.44999999995</v>
      </c>
      <c r="N14" s="3861">
        <f t="shared" si="3"/>
        <v>677067.75</v>
      </c>
      <c r="O14" s="3861">
        <f t="shared" si="3"/>
        <v>779218.75</v>
      </c>
      <c r="P14" s="3862">
        <f>P6-P11</f>
        <v>890003.8</v>
      </c>
    </row>
    <row r="15" spans="1:16">
      <c r="A15" s="2823"/>
      <c r="B15" s="2811"/>
      <c r="C15" s="3857"/>
      <c r="D15" s="3856"/>
      <c r="E15" s="3856"/>
      <c r="F15" s="3856"/>
      <c r="G15" s="3856"/>
      <c r="H15" s="3856"/>
      <c r="I15" s="3856"/>
      <c r="J15" s="3856"/>
      <c r="K15" s="3856"/>
      <c r="L15" s="3856"/>
      <c r="M15" s="3856"/>
      <c r="N15" s="3856"/>
      <c r="O15" s="1995"/>
      <c r="P15" s="1996"/>
    </row>
    <row r="16" spans="1:16">
      <c r="A16" s="2823" t="s">
        <v>7090</v>
      </c>
      <c r="B16" s="2805">
        <v>0.5</v>
      </c>
      <c r="C16" s="3852">
        <v>0.5</v>
      </c>
      <c r="D16" s="2808">
        <v>0.5</v>
      </c>
      <c r="E16" s="2808">
        <v>0.5</v>
      </c>
      <c r="F16" s="2808">
        <v>0.5</v>
      </c>
      <c r="G16" s="2808">
        <v>0.5</v>
      </c>
      <c r="H16" s="2808">
        <v>0.5</v>
      </c>
      <c r="I16" s="2808">
        <v>0.5</v>
      </c>
      <c r="J16" s="2808">
        <v>0.5</v>
      </c>
      <c r="K16" s="2808">
        <v>0.5</v>
      </c>
      <c r="L16" s="2808">
        <v>0.5</v>
      </c>
      <c r="M16" s="2808">
        <v>0.69</v>
      </c>
      <c r="N16" s="2808">
        <v>0.74</v>
      </c>
      <c r="O16" s="2808">
        <v>0.77</v>
      </c>
      <c r="P16" s="2841">
        <v>0.79</v>
      </c>
    </row>
    <row r="17" spans="1:16" s="1570" customFormat="1">
      <c r="A17" s="2824" t="s">
        <v>7091</v>
      </c>
      <c r="B17" s="2812"/>
      <c r="C17" s="3854">
        <f t="shared" ref="C17:H17" si="4">C16*C14</f>
        <v>23457.440000000002</v>
      </c>
      <c r="D17" s="2809">
        <f t="shared" si="4"/>
        <v>37988.510000000009</v>
      </c>
      <c r="E17" s="2809">
        <f t="shared" si="4"/>
        <v>79872.255000000005</v>
      </c>
      <c r="F17" s="2809">
        <f t="shared" si="4"/>
        <v>91002.64499999996</v>
      </c>
      <c r="G17" s="2809">
        <f t="shared" si="4"/>
        <v>114653.10000000003</v>
      </c>
      <c r="H17" s="2809">
        <f t="shared" si="4"/>
        <v>155230.60750000004</v>
      </c>
      <c r="I17" s="2809">
        <f t="shared" ref="I17:P17" si="5">I16*I14</f>
        <v>155222.17250000004</v>
      </c>
      <c r="J17" s="2809">
        <f t="shared" si="5"/>
        <v>178682.85000000003</v>
      </c>
      <c r="K17" s="2809">
        <f t="shared" si="5"/>
        <v>217366.67250000004</v>
      </c>
      <c r="L17" s="2809">
        <f t="shared" si="5"/>
        <v>251738.16999999998</v>
      </c>
      <c r="M17" s="2809">
        <f t="shared" si="5"/>
        <v>395631.82049999991</v>
      </c>
      <c r="N17" s="2809">
        <f t="shared" si="5"/>
        <v>501030.13500000001</v>
      </c>
      <c r="O17" s="2809">
        <f t="shared" si="5"/>
        <v>599998.4375</v>
      </c>
      <c r="P17" s="2833">
        <f t="shared" si="5"/>
        <v>703103.00200000009</v>
      </c>
    </row>
    <row r="18" spans="1:16">
      <c r="A18" s="2823" t="s">
        <v>4747</v>
      </c>
      <c r="B18" s="2801">
        <v>12325</v>
      </c>
      <c r="C18" s="3850">
        <v>5508</v>
      </c>
      <c r="D18" s="2801">
        <v>8175.13</v>
      </c>
      <c r="E18" s="2801">
        <v>7332.28</v>
      </c>
      <c r="F18" s="2801">
        <v>0</v>
      </c>
      <c r="G18" s="2801"/>
      <c r="H18" s="2801"/>
      <c r="I18" s="2801">
        <v>46791.7</v>
      </c>
      <c r="J18" s="2801">
        <v>46791.7</v>
      </c>
      <c r="K18" s="2801">
        <v>46791.7</v>
      </c>
      <c r="L18" s="2801">
        <v>46791.7</v>
      </c>
      <c r="M18" s="2801">
        <v>46791.7</v>
      </c>
      <c r="N18" s="2801">
        <v>46791.7</v>
      </c>
      <c r="O18" s="2801">
        <v>46791.7</v>
      </c>
      <c r="P18" s="2834">
        <v>46792.7</v>
      </c>
    </row>
    <row r="19" spans="1:16">
      <c r="A19" s="2824" t="s">
        <v>4748</v>
      </c>
      <c r="B19" s="2813">
        <f>(B14*50%)-B18</f>
        <v>34973.01999999996</v>
      </c>
      <c r="C19" s="3858">
        <f t="shared" ref="C19:H19" si="6">C17-C18</f>
        <v>17949.440000000002</v>
      </c>
      <c r="D19" s="2842">
        <f t="shared" si="6"/>
        <v>29813.380000000008</v>
      </c>
      <c r="E19" s="2842">
        <f t="shared" si="6"/>
        <v>72539.975000000006</v>
      </c>
      <c r="F19" s="2842">
        <f t="shared" si="6"/>
        <v>91002.64499999996</v>
      </c>
      <c r="G19" s="2842">
        <f t="shared" si="6"/>
        <v>114653.10000000003</v>
      </c>
      <c r="H19" s="2842">
        <f t="shared" si="6"/>
        <v>155230.60750000004</v>
      </c>
      <c r="I19" s="3792">
        <v>164795</v>
      </c>
      <c r="J19" s="2843">
        <f t="shared" ref="J19:P19" si="7">J17-J18</f>
        <v>131891.15000000002</v>
      </c>
      <c r="K19" s="2843">
        <f t="shared" si="7"/>
        <v>170574.97250000003</v>
      </c>
      <c r="L19" s="2843">
        <f t="shared" si="7"/>
        <v>204946.46999999997</v>
      </c>
      <c r="M19" s="2843">
        <f t="shared" si="7"/>
        <v>348840.1204999999</v>
      </c>
      <c r="N19" s="2843">
        <f t="shared" si="7"/>
        <v>454238.435</v>
      </c>
      <c r="O19" s="2843">
        <f t="shared" si="7"/>
        <v>553206.73750000005</v>
      </c>
      <c r="P19" s="2844">
        <f t="shared" si="7"/>
        <v>656310.30200000014</v>
      </c>
    </row>
    <row r="20" spans="1:16">
      <c r="A20" s="2072" t="s">
        <v>7084</v>
      </c>
      <c r="B20" s="2810"/>
      <c r="C20" s="2825"/>
      <c r="D20" s="2801"/>
      <c r="E20" s="2801"/>
      <c r="F20" s="2801"/>
      <c r="G20" s="2801"/>
      <c r="H20" s="2801"/>
      <c r="I20" s="2801">
        <v>113714</v>
      </c>
      <c r="J20" s="2801">
        <v>135749</v>
      </c>
      <c r="K20" s="2801">
        <v>172491</v>
      </c>
      <c r="L20" s="2801">
        <v>256989</v>
      </c>
      <c r="M20" s="2801">
        <v>296846</v>
      </c>
      <c r="N20" s="396">
        <v>325096</v>
      </c>
      <c r="O20" s="396">
        <v>325096</v>
      </c>
      <c r="P20" s="2792">
        <v>325097</v>
      </c>
    </row>
    <row r="21" spans="1:16">
      <c r="A21" s="2073"/>
      <c r="B21" s="2481"/>
      <c r="C21" s="3859"/>
      <c r="D21" s="2001"/>
      <c r="E21" s="2001"/>
      <c r="F21" s="2001"/>
      <c r="G21" s="2001"/>
      <c r="H21" s="2001"/>
      <c r="I21" s="2001"/>
      <c r="J21" s="2001"/>
      <c r="K21" s="2001"/>
      <c r="L21" s="2001"/>
      <c r="M21" s="2001"/>
      <c r="N21" s="2001"/>
      <c r="O21" s="2001"/>
      <c r="P21" s="2002"/>
    </row>
    <row r="23" spans="1:16">
      <c r="A23" s="2797" t="s">
        <v>973</v>
      </c>
      <c r="B23" s="2798">
        <v>2012</v>
      </c>
      <c r="C23" s="3863">
        <v>2013</v>
      </c>
      <c r="D23" s="3846">
        <v>2014</v>
      </c>
      <c r="E23" s="3846">
        <v>2015</v>
      </c>
      <c r="F23" s="3846">
        <v>2016</v>
      </c>
      <c r="G23" s="3846">
        <v>2017</v>
      </c>
      <c r="H23" s="3846">
        <v>2018</v>
      </c>
      <c r="I23" s="3846">
        <v>2019</v>
      </c>
      <c r="J23" s="3846">
        <v>2020</v>
      </c>
      <c r="K23" s="3846">
        <v>2021</v>
      </c>
      <c r="L23" s="3846">
        <v>2022</v>
      </c>
      <c r="M23" s="3846">
        <v>2023</v>
      </c>
      <c r="N23" s="3846">
        <v>2024</v>
      </c>
      <c r="O23" s="3846">
        <v>2025</v>
      </c>
      <c r="P23" s="3847">
        <v>2026</v>
      </c>
    </row>
    <row r="24" spans="1:16" s="1148" customFormat="1">
      <c r="A24" s="2825" t="s">
        <v>7082</v>
      </c>
      <c r="B24" s="2814"/>
      <c r="C24" s="3864"/>
      <c r="D24" s="3865"/>
      <c r="E24" s="3865"/>
      <c r="F24" s="3865"/>
      <c r="G24" s="3865"/>
      <c r="H24" s="3848">
        <v>1388932</v>
      </c>
      <c r="I24" s="3848">
        <v>1301675</v>
      </c>
      <c r="J24" s="3848">
        <v>1165798</v>
      </c>
      <c r="K24" s="3848">
        <v>1058661</v>
      </c>
      <c r="L24" s="3848">
        <v>973760</v>
      </c>
      <c r="M24" s="3848">
        <v>894074</v>
      </c>
      <c r="N24" s="3848">
        <v>822394</v>
      </c>
      <c r="O24" s="3848">
        <v>756459</v>
      </c>
      <c r="P24" s="3849">
        <v>697077</v>
      </c>
    </row>
    <row r="25" spans="1:16">
      <c r="A25" s="2827" t="s">
        <v>4744</v>
      </c>
      <c r="B25" s="2804"/>
      <c r="C25" s="3866"/>
      <c r="D25" s="2804">
        <v>947598.53</v>
      </c>
      <c r="E25" s="2804">
        <v>1029261.1</v>
      </c>
      <c r="F25" s="2804"/>
      <c r="G25" s="2804">
        <v>1165733.3</v>
      </c>
      <c r="H25" s="2804">
        <v>1288301.8899999999</v>
      </c>
      <c r="I25" s="2804">
        <v>1370764</v>
      </c>
      <c r="J25" s="2804">
        <v>1473701</v>
      </c>
      <c r="K25" s="2804">
        <v>1569404</v>
      </c>
      <c r="L25" s="2804">
        <v>1683382</v>
      </c>
      <c r="M25" s="2804">
        <v>1802070</v>
      </c>
      <c r="N25" s="2804">
        <v>1925722</v>
      </c>
      <c r="O25" s="2804">
        <v>2044402</v>
      </c>
      <c r="P25" s="2828">
        <v>2181856</v>
      </c>
    </row>
    <row r="26" spans="1:16">
      <c r="A26" s="2825" t="s">
        <v>4745</v>
      </c>
      <c r="B26" s="2805"/>
      <c r="C26" s="3852"/>
      <c r="D26" s="2805"/>
      <c r="E26" s="2805"/>
      <c r="F26" s="2805"/>
      <c r="G26" s="2805"/>
      <c r="H26" s="2806">
        <f t="shared" ref="H26:O26" si="8">H25/H24</f>
        <v>0.92754856969239663</v>
      </c>
      <c r="I26" s="2806">
        <f t="shared" si="8"/>
        <v>1.0530769969462423</v>
      </c>
      <c r="J26" s="2806">
        <f t="shared" si="8"/>
        <v>1.2641135085151973</v>
      </c>
      <c r="K26" s="2806">
        <f t="shared" si="8"/>
        <v>1.4824424438040129</v>
      </c>
      <c r="L26" s="2806">
        <f t="shared" si="8"/>
        <v>1.7287442490962865</v>
      </c>
      <c r="M26" s="2806">
        <f t="shared" si="8"/>
        <v>2.0155714180258011</v>
      </c>
      <c r="N26" s="2806">
        <f t="shared" si="8"/>
        <v>2.3416051187143876</v>
      </c>
      <c r="O26" s="2806">
        <f t="shared" si="8"/>
        <v>2.7025945887351464</v>
      </c>
      <c r="P26" s="2829">
        <f>P25/P24</f>
        <v>3.1300071584631253</v>
      </c>
    </row>
    <row r="27" spans="1:16">
      <c r="A27" s="2825"/>
      <c r="B27" s="2805"/>
      <c r="C27" s="3852"/>
      <c r="D27" s="2805"/>
      <c r="E27" s="2805"/>
      <c r="F27" s="2805"/>
      <c r="G27" s="2805"/>
      <c r="H27" s="2806"/>
      <c r="I27" s="2806"/>
      <c r="J27" s="2806"/>
      <c r="K27" s="2806"/>
      <c r="L27" s="2806"/>
      <c r="M27" s="2806"/>
      <c r="N27" s="2806"/>
      <c r="O27" s="397"/>
      <c r="P27" s="1998"/>
    </row>
    <row r="28" spans="1:16">
      <c r="A28" s="2825" t="s">
        <v>7087</v>
      </c>
      <c r="B28" s="2805"/>
      <c r="C28" s="3852"/>
      <c r="D28" s="2805"/>
      <c r="E28" s="2805"/>
      <c r="F28" s="2805"/>
      <c r="G28" s="2805"/>
      <c r="H28" s="2806"/>
      <c r="I28" s="2807">
        <v>0.41499999999999998</v>
      </c>
      <c r="J28" s="2807">
        <v>0.41499999999999998</v>
      </c>
      <c r="K28" s="2807">
        <v>0.41499999999999998</v>
      </c>
      <c r="L28" s="2807">
        <v>0.43</v>
      </c>
      <c r="M28" s="2807">
        <v>0.45</v>
      </c>
      <c r="N28" s="2807">
        <v>0.45</v>
      </c>
      <c r="O28" s="2807">
        <v>0.45</v>
      </c>
      <c r="P28" s="2830">
        <v>0.45</v>
      </c>
    </row>
    <row r="29" spans="1:16">
      <c r="A29" s="2825" t="s">
        <v>7088</v>
      </c>
      <c r="B29" s="2808">
        <v>0.34</v>
      </c>
      <c r="C29" s="3853">
        <v>0.36</v>
      </c>
      <c r="D29" s="2808">
        <v>0.37999997887463044</v>
      </c>
      <c r="E29" s="2808">
        <v>0.4</v>
      </c>
      <c r="F29" s="315">
        <v>0.41499999999999998</v>
      </c>
      <c r="G29" s="315">
        <v>0.41499999999999998</v>
      </c>
      <c r="H29" s="2807">
        <v>0.41499999999999998</v>
      </c>
      <c r="I29" s="2807">
        <v>0.38500000000000001</v>
      </c>
      <c r="J29" s="2807">
        <v>0.38500000000000001</v>
      </c>
      <c r="K29" s="2807">
        <v>0.38500000000000001</v>
      </c>
      <c r="L29" s="2807">
        <v>0.4</v>
      </c>
      <c r="M29" s="2807">
        <v>0.45</v>
      </c>
      <c r="N29" s="2807">
        <v>0.45</v>
      </c>
      <c r="O29" s="2807">
        <v>0.45</v>
      </c>
      <c r="P29" s="2830">
        <v>0.45</v>
      </c>
    </row>
    <row r="30" spans="1:16">
      <c r="A30" s="2827" t="s">
        <v>7086</v>
      </c>
      <c r="B30" s="2809"/>
      <c r="C30" s="3854"/>
      <c r="D30" s="2803">
        <v>685484.92</v>
      </c>
      <c r="E30" s="2803">
        <f>693466.56+196.09</f>
        <v>693662.65</v>
      </c>
      <c r="F30" s="2803"/>
      <c r="G30" s="2803">
        <v>649177.63</v>
      </c>
      <c r="H30" s="2803">
        <f>H24*H29</f>
        <v>576406.78</v>
      </c>
      <c r="I30" s="2803">
        <f>I28*I24</f>
        <v>540195.125</v>
      </c>
      <c r="J30" s="2803">
        <f t="shared" ref="J30:O30" si="9">J28*J24</f>
        <v>483806.17</v>
      </c>
      <c r="K30" s="2803">
        <f t="shared" si="9"/>
        <v>439344.315</v>
      </c>
      <c r="L30" s="2803">
        <f t="shared" si="9"/>
        <v>418716.8</v>
      </c>
      <c r="M30" s="2803">
        <f t="shared" si="9"/>
        <v>402333.3</v>
      </c>
      <c r="N30" s="2803">
        <f t="shared" si="9"/>
        <v>370077.3</v>
      </c>
      <c r="O30" s="2803">
        <f t="shared" si="9"/>
        <v>340406.55</v>
      </c>
      <c r="P30" s="2831">
        <f>P28*P24</f>
        <v>313684.65000000002</v>
      </c>
    </row>
    <row r="31" spans="1:16">
      <c r="A31" s="2827" t="s">
        <v>7085</v>
      </c>
      <c r="B31" s="2809"/>
      <c r="C31" s="3854"/>
      <c r="D31" s="2803"/>
      <c r="E31" s="2803"/>
      <c r="F31" s="2803"/>
      <c r="G31" s="2803"/>
      <c r="H31" s="2803"/>
      <c r="I31" s="2803">
        <f>I29*I24</f>
        <v>501144.875</v>
      </c>
      <c r="J31" s="2803">
        <f t="shared" ref="J31:O31" si="10">J29*J24</f>
        <v>448832.23</v>
      </c>
      <c r="K31" s="2803">
        <f t="shared" si="10"/>
        <v>407584.48499999999</v>
      </c>
      <c r="L31" s="2803">
        <f t="shared" si="10"/>
        <v>389504</v>
      </c>
      <c r="M31" s="2803">
        <f t="shared" si="10"/>
        <v>402333.3</v>
      </c>
      <c r="N31" s="2803">
        <f t="shared" si="10"/>
        <v>370077.3</v>
      </c>
      <c r="O31" s="2803">
        <f t="shared" si="10"/>
        <v>340406.55</v>
      </c>
      <c r="P31" s="2831">
        <f>P29*P24</f>
        <v>313684.65000000002</v>
      </c>
    </row>
    <row r="32" spans="1:16">
      <c r="A32" s="2148"/>
      <c r="B32" s="396"/>
      <c r="C32" s="3867"/>
      <c r="D32" s="397"/>
      <c r="E32" s="397"/>
      <c r="F32" s="397"/>
      <c r="G32" s="397"/>
      <c r="H32" s="397"/>
      <c r="I32" s="397"/>
      <c r="J32" s="397"/>
      <c r="K32" s="397"/>
      <c r="L32" s="397"/>
      <c r="M32" s="397"/>
      <c r="N32" s="397"/>
      <c r="O32" s="397"/>
      <c r="P32" s="1998"/>
    </row>
    <row r="33" spans="1:16">
      <c r="A33" s="2848" t="s">
        <v>4746</v>
      </c>
      <c r="B33" s="2849">
        <f t="shared" ref="B33:O33" si="11">B25-B30</f>
        <v>0</v>
      </c>
      <c r="C33" s="3860">
        <f t="shared" si="11"/>
        <v>0</v>
      </c>
      <c r="D33" s="3861">
        <f>D25-D30</f>
        <v>262113.61</v>
      </c>
      <c r="E33" s="3861">
        <f t="shared" si="11"/>
        <v>335598.44999999995</v>
      </c>
      <c r="F33" s="3861">
        <f t="shared" si="11"/>
        <v>0</v>
      </c>
      <c r="G33" s="3861">
        <f t="shared" si="11"/>
        <v>516555.67000000004</v>
      </c>
      <c r="H33" s="3861">
        <f t="shared" si="11"/>
        <v>711895.10999999987</v>
      </c>
      <c r="I33" s="3861">
        <f t="shared" si="11"/>
        <v>830568.875</v>
      </c>
      <c r="J33" s="3861">
        <f t="shared" si="11"/>
        <v>989894.83000000007</v>
      </c>
      <c r="K33" s="3861">
        <f t="shared" si="11"/>
        <v>1130059.6850000001</v>
      </c>
      <c r="L33" s="3861">
        <f t="shared" si="11"/>
        <v>1264665.2</v>
      </c>
      <c r="M33" s="3861">
        <f t="shared" si="11"/>
        <v>1399736.7</v>
      </c>
      <c r="N33" s="3861">
        <f t="shared" si="11"/>
        <v>1555644.7</v>
      </c>
      <c r="O33" s="3861">
        <f t="shared" si="11"/>
        <v>1703995.45</v>
      </c>
      <c r="P33" s="3862">
        <f>P25-P30</f>
        <v>1868171.35</v>
      </c>
    </row>
    <row r="34" spans="1:16">
      <c r="A34" s="2148"/>
      <c r="B34" s="396"/>
      <c r="C34" s="3869"/>
      <c r="D34" s="1995"/>
      <c r="E34" s="1995"/>
      <c r="F34" s="1995"/>
      <c r="G34" s="1995"/>
      <c r="H34" s="1995"/>
      <c r="I34" s="1995"/>
      <c r="J34" s="1995"/>
      <c r="K34" s="1995"/>
      <c r="L34" s="1995"/>
      <c r="M34" s="1995"/>
      <c r="N34" s="1995"/>
      <c r="O34" s="1995"/>
      <c r="P34" s="1996"/>
    </row>
    <row r="35" spans="1:16">
      <c r="A35" s="2825" t="s">
        <v>7090</v>
      </c>
      <c r="B35" s="2805">
        <v>0.5</v>
      </c>
      <c r="C35" s="3852">
        <v>0.5</v>
      </c>
      <c r="D35" s="2808">
        <v>0.5</v>
      </c>
      <c r="E35" s="2808">
        <v>0.5</v>
      </c>
      <c r="F35" s="2808">
        <v>0.5</v>
      </c>
      <c r="G35" s="2808">
        <v>0.5</v>
      </c>
      <c r="H35" s="2808">
        <v>0.5</v>
      </c>
      <c r="I35" s="2808">
        <v>0.5</v>
      </c>
      <c r="J35" s="2808">
        <v>0.5</v>
      </c>
      <c r="K35" s="2808">
        <v>0.5</v>
      </c>
      <c r="L35" s="2808">
        <v>0.5</v>
      </c>
      <c r="M35" s="2808">
        <v>0.69</v>
      </c>
      <c r="N35" s="2808">
        <v>0.74</v>
      </c>
      <c r="O35" s="3868">
        <v>0.77</v>
      </c>
      <c r="P35" s="2832">
        <v>0.79</v>
      </c>
    </row>
    <row r="36" spans="1:16" s="1570" customFormat="1">
      <c r="A36" s="2827" t="s">
        <v>7091</v>
      </c>
      <c r="B36" s="2812"/>
      <c r="C36" s="3854">
        <f t="shared" ref="C36:H36" si="12">C35*C33</f>
        <v>0</v>
      </c>
      <c r="D36" s="2809">
        <f t="shared" si="12"/>
        <v>131056.80499999999</v>
      </c>
      <c r="E36" s="2809">
        <f t="shared" si="12"/>
        <v>167799.22499999998</v>
      </c>
      <c r="F36" s="2809">
        <f t="shared" si="12"/>
        <v>0</v>
      </c>
      <c r="G36" s="2809">
        <f t="shared" si="12"/>
        <v>258277.83500000002</v>
      </c>
      <c r="H36" s="2809">
        <f t="shared" si="12"/>
        <v>355947.55499999993</v>
      </c>
      <c r="I36" s="2809">
        <f>I35*I33</f>
        <v>415284.4375</v>
      </c>
      <c r="J36" s="2809">
        <f t="shared" ref="J36:O36" si="13">J35*J33</f>
        <v>494947.41500000004</v>
      </c>
      <c r="K36" s="2809">
        <f t="shared" si="13"/>
        <v>565029.84250000003</v>
      </c>
      <c r="L36" s="2809">
        <f t="shared" si="13"/>
        <v>632332.6</v>
      </c>
      <c r="M36" s="2809">
        <f t="shared" si="13"/>
        <v>965818.32299999986</v>
      </c>
      <c r="N36" s="2809">
        <f t="shared" si="13"/>
        <v>1151177.078</v>
      </c>
      <c r="O36" s="2809">
        <f t="shared" si="13"/>
        <v>1312076.4964999999</v>
      </c>
      <c r="P36" s="2833">
        <f>P35*P33</f>
        <v>1475855.3665000002</v>
      </c>
    </row>
    <row r="37" spans="1:16">
      <c r="A37" s="2825" t="s">
        <v>4747</v>
      </c>
      <c r="B37" s="2801"/>
      <c r="C37" s="3850"/>
      <c r="D37" s="2801">
        <v>28203.43</v>
      </c>
      <c r="E37" s="2801">
        <v>15403.97</v>
      </c>
      <c r="F37" s="2801"/>
      <c r="G37" s="2801"/>
      <c r="H37" s="2801"/>
      <c r="I37" s="2801">
        <v>79435.55</v>
      </c>
      <c r="J37" s="2801">
        <v>79435.55</v>
      </c>
      <c r="K37" s="2801">
        <v>79435.55</v>
      </c>
      <c r="L37" s="2801">
        <v>79435.55</v>
      </c>
      <c r="M37" s="2801">
        <v>79435.55</v>
      </c>
      <c r="N37" s="2801">
        <v>79435.55</v>
      </c>
      <c r="O37" s="2801">
        <v>79435.55</v>
      </c>
      <c r="P37" s="2834">
        <v>79436.55</v>
      </c>
    </row>
    <row r="38" spans="1:16">
      <c r="A38" s="2827" t="s">
        <v>4748</v>
      </c>
      <c r="B38" s="2813">
        <f>(B33*50%)-B37</f>
        <v>0</v>
      </c>
      <c r="C38" s="3858">
        <f>(C33*50%)-C37</f>
        <v>0</v>
      </c>
      <c r="D38" s="2842">
        <f t="shared" ref="D38:J38" si="14">D36-D37</f>
        <v>102853.375</v>
      </c>
      <c r="E38" s="2842">
        <f t="shared" si="14"/>
        <v>152395.25499999998</v>
      </c>
      <c r="F38" s="2842">
        <f t="shared" si="14"/>
        <v>0</v>
      </c>
      <c r="G38" s="2842">
        <f t="shared" si="14"/>
        <v>258277.83500000002</v>
      </c>
      <c r="H38" s="2842">
        <f t="shared" si="14"/>
        <v>355947.55499999993</v>
      </c>
      <c r="I38" s="2843">
        <f t="shared" si="14"/>
        <v>335848.88750000001</v>
      </c>
      <c r="J38" s="2843">
        <f t="shared" si="14"/>
        <v>415511.86500000005</v>
      </c>
      <c r="K38" s="2843">
        <f t="shared" ref="K38:P38" si="15">K36-K37</f>
        <v>485594.29250000004</v>
      </c>
      <c r="L38" s="2843">
        <f t="shared" si="15"/>
        <v>552897.04999999993</v>
      </c>
      <c r="M38" s="2843">
        <f t="shared" si="15"/>
        <v>886382.77299999981</v>
      </c>
      <c r="N38" s="2843">
        <f t="shared" si="15"/>
        <v>1071741.5279999999</v>
      </c>
      <c r="O38" s="2843">
        <f t="shared" si="15"/>
        <v>1232640.9464999998</v>
      </c>
      <c r="P38" s="2844">
        <f t="shared" si="15"/>
        <v>1396418.8165000002</v>
      </c>
    </row>
    <row r="39" spans="1:16">
      <c r="A39" s="2148" t="s">
        <v>7084</v>
      </c>
      <c r="B39" s="396"/>
      <c r="C39" s="3867"/>
      <c r="D39" s="397"/>
      <c r="E39" s="397"/>
      <c r="F39" s="397"/>
      <c r="G39" s="397"/>
      <c r="H39" s="397"/>
      <c r="I39" s="396">
        <v>257775</v>
      </c>
      <c r="J39" s="396">
        <v>292107</v>
      </c>
      <c r="K39" s="396">
        <v>364379</v>
      </c>
      <c r="L39" s="396">
        <v>526177</v>
      </c>
      <c r="M39" s="396">
        <v>593003</v>
      </c>
      <c r="N39" s="396">
        <v>637571</v>
      </c>
      <c r="O39" s="396">
        <v>637571</v>
      </c>
      <c r="P39" s="2792">
        <v>637572</v>
      </c>
    </row>
    <row r="40" spans="1:16">
      <c r="A40" s="2166"/>
      <c r="B40" s="2481"/>
      <c r="C40" s="3867"/>
      <c r="D40" s="397"/>
      <c r="E40" s="397"/>
      <c r="F40" s="397"/>
      <c r="G40" s="397"/>
      <c r="H40" s="397"/>
      <c r="I40" s="397"/>
      <c r="J40" s="397"/>
      <c r="K40" s="397"/>
      <c r="L40" s="397"/>
      <c r="M40" s="397"/>
      <c r="N40" s="397"/>
      <c r="O40" s="397"/>
      <c r="P40" s="1998"/>
    </row>
    <row r="41" spans="1:16">
      <c r="A41" s="2259"/>
      <c r="B41" s="2286"/>
      <c r="C41" s="2287"/>
      <c r="D41" s="2278"/>
      <c r="E41" s="2278"/>
      <c r="F41" s="2278"/>
      <c r="G41" s="2278"/>
      <c r="H41" s="2278"/>
      <c r="I41" s="2278"/>
      <c r="J41" s="2278"/>
      <c r="K41" s="2278"/>
      <c r="L41" s="2278"/>
      <c r="M41" s="2278"/>
      <c r="N41" s="2278"/>
      <c r="O41" s="1995"/>
      <c r="P41" s="1996"/>
    </row>
    <row r="42" spans="1:16">
      <c r="A42" s="2063" t="s">
        <v>4749</v>
      </c>
      <c r="B42" s="2813"/>
      <c r="C42" s="3870"/>
      <c r="D42" s="2845">
        <f t="shared" ref="D42:O42" si="16">D38+D19</f>
        <v>132666.755</v>
      </c>
      <c r="E42" s="2845">
        <f t="shared" si="16"/>
        <v>224935.22999999998</v>
      </c>
      <c r="F42" s="2845">
        <f t="shared" si="16"/>
        <v>91002.64499999996</v>
      </c>
      <c r="G42" s="2845">
        <f t="shared" si="16"/>
        <v>372930.93500000006</v>
      </c>
      <c r="H42" s="2845">
        <f t="shared" si="16"/>
        <v>511178.16249999998</v>
      </c>
      <c r="I42" s="2846">
        <f>I38+I19</f>
        <v>500643.88750000001</v>
      </c>
      <c r="J42" s="2846">
        <f t="shared" si="16"/>
        <v>547403.01500000013</v>
      </c>
      <c r="K42" s="2846">
        <f t="shared" si="16"/>
        <v>656169.26500000013</v>
      </c>
      <c r="L42" s="2846">
        <f t="shared" si="16"/>
        <v>757843.5199999999</v>
      </c>
      <c r="M42" s="2846">
        <f t="shared" si="16"/>
        <v>1235222.8934999998</v>
      </c>
      <c r="N42" s="2846">
        <f t="shared" si="16"/>
        <v>1525979.963</v>
      </c>
      <c r="O42" s="2846">
        <f t="shared" si="16"/>
        <v>1785847.6839999999</v>
      </c>
      <c r="P42" s="2847">
        <f>P38+P19</f>
        <v>2052729.1185000003</v>
      </c>
    </row>
    <row r="43" spans="1:16">
      <c r="A43" s="2835" t="s">
        <v>4750</v>
      </c>
      <c r="B43" s="2162"/>
      <c r="C43" s="3871"/>
      <c r="D43" s="1591"/>
      <c r="E43" s="1591"/>
      <c r="F43" s="1591"/>
      <c r="G43" s="1591"/>
      <c r="H43" s="1591"/>
      <c r="I43" s="2162">
        <f t="shared" ref="I43:O43" si="17">I20+I39</f>
        <v>371489</v>
      </c>
      <c r="J43" s="2162">
        <f t="shared" si="17"/>
        <v>427856</v>
      </c>
      <c r="K43" s="2162">
        <f t="shared" si="17"/>
        <v>536870</v>
      </c>
      <c r="L43" s="2162">
        <f t="shared" si="17"/>
        <v>783166</v>
      </c>
      <c r="M43" s="2162">
        <f t="shared" si="17"/>
        <v>889849</v>
      </c>
      <c r="N43" s="2162">
        <f t="shared" si="17"/>
        <v>962667</v>
      </c>
      <c r="O43" s="2162">
        <f t="shared" si="17"/>
        <v>962667</v>
      </c>
      <c r="P43" s="2836">
        <f>P20+P39</f>
        <v>962669</v>
      </c>
    </row>
    <row r="44" spans="1:16">
      <c r="A44" s="2835" t="s">
        <v>4751</v>
      </c>
      <c r="B44" s="2162"/>
      <c r="C44" s="3871"/>
      <c r="D44" s="1591"/>
      <c r="E44" s="1591"/>
      <c r="F44" s="1591"/>
      <c r="G44" s="1591"/>
      <c r="H44" s="1591"/>
      <c r="I44" s="2846">
        <f>I42-I43</f>
        <v>129154.88750000001</v>
      </c>
      <c r="J44" s="2846">
        <f t="shared" ref="J44:O44" si="18">J42-J43</f>
        <v>119547.01500000013</v>
      </c>
      <c r="K44" s="2846">
        <f t="shared" si="18"/>
        <v>119299.26500000013</v>
      </c>
      <c r="L44" s="2846">
        <f t="shared" si="18"/>
        <v>-25322.480000000098</v>
      </c>
      <c r="M44" s="2846">
        <f t="shared" si="18"/>
        <v>345373.89349999977</v>
      </c>
      <c r="N44" s="2846">
        <f t="shared" si="18"/>
        <v>563312.96299999999</v>
      </c>
      <c r="O44" s="2846">
        <f t="shared" si="18"/>
        <v>823180.68399999989</v>
      </c>
      <c r="P44" s="2847">
        <f>P42-P43</f>
        <v>1090060.1185000003</v>
      </c>
    </row>
    <row r="45" spans="1:16" s="1148" customFormat="1">
      <c r="A45" s="2837"/>
      <c r="B45" s="2838"/>
      <c r="C45" s="3872"/>
      <c r="D45" s="2839"/>
      <c r="E45" s="2839"/>
      <c r="F45" s="2839"/>
      <c r="G45" s="2839"/>
      <c r="H45" s="2839"/>
      <c r="I45" s="2839"/>
      <c r="J45" s="2839"/>
      <c r="K45" s="2839"/>
      <c r="L45" s="2839"/>
      <c r="M45" s="2839"/>
      <c r="N45" s="2839"/>
      <c r="O45" s="3873"/>
      <c r="P45" s="2840"/>
    </row>
    <row r="47" spans="1:16">
      <c r="A47" s="2815" t="s">
        <v>4752</v>
      </c>
    </row>
    <row r="48" spans="1:16">
      <c r="A48" s="2816" t="s">
        <v>7092</v>
      </c>
    </row>
    <row r="49" spans="1:5">
      <c r="A49" s="2817" t="s">
        <v>7089</v>
      </c>
    </row>
    <row r="51" spans="1:5" ht="15.75">
      <c r="A51" s="2818" t="s">
        <v>4741</v>
      </c>
      <c r="B51" s="2819"/>
      <c r="C51" s="2819"/>
      <c r="D51" s="2820"/>
      <c r="E51" s="2820"/>
    </row>
    <row r="52" spans="1:5">
      <c r="A52" s="2818" t="s">
        <v>4742</v>
      </c>
      <c r="B52" s="2821"/>
      <c r="C52" s="2821"/>
      <c r="D52" s="2821"/>
      <c r="E52" s="2821"/>
    </row>
  </sheetData>
  <mergeCells count="1">
    <mergeCell ref="A1:K1"/>
  </mergeCells>
  <hyperlinks>
    <hyperlink ref="A1" location="GLOBAAL!A1" display="Responsabiliseringsbijdrage" xr:uid="{00000000-0004-0000-5B00-000000000000}"/>
    <hyperlink ref="A1:K1" location="PERSONEEL!A1" display="Responsabiliseringsbijdrage" xr:uid="{00000000-0004-0000-5B00-000001000000}"/>
  </hyperlinks>
  <pageMargins left="0.7" right="0.7" top="0.75" bottom="0.75" header="0.3" footer="0.3"/>
  <pageSetup paperSize="9" scale="47" orientation="landscape" r:id="rId1"/>
  <drawing r:id="rId2"/>
  <legacyDrawing r:id="rId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theme="8" tint="0.59999389629810485"/>
    <pageSetUpPr fitToPage="1"/>
  </sheetPr>
  <dimension ref="A1:Q54"/>
  <sheetViews>
    <sheetView workbookViewId="0">
      <pane ySplit="3" topLeftCell="A7" activePane="bottomLeft" state="frozen"/>
      <selection pane="bottomLeft" sqref="A1:K1"/>
    </sheetView>
  </sheetViews>
  <sheetFormatPr defaultColWidth="9.140625" defaultRowHeight="12.75"/>
  <cols>
    <col min="1" max="1" width="41.85546875" style="395" customWidth="1"/>
    <col min="2" max="2" width="10.140625" style="1002" hidden="1" customWidth="1"/>
    <col min="3" max="3" width="9.140625" style="1002"/>
    <col min="4" max="8" width="9.140625" style="395"/>
    <col min="9" max="10" width="10.7109375" style="395" bestFit="1" customWidth="1"/>
    <col min="11" max="11" width="10.7109375" style="395" customWidth="1"/>
    <col min="12" max="12" width="10.140625" style="395" customWidth="1"/>
    <col min="13" max="14" width="9.7109375" style="395" bestFit="1" customWidth="1"/>
    <col min="15" max="15" width="11.140625" style="395" bestFit="1" customWidth="1"/>
    <col min="16" max="16" width="9.140625" style="395"/>
    <col min="17" max="17" width="9.85546875" style="395" bestFit="1" customWidth="1"/>
    <col min="18" max="16384" width="9.140625" style="395"/>
  </cols>
  <sheetData>
    <row r="1" spans="1:17" ht="18.75">
      <c r="A1" s="4771" t="s">
        <v>4740</v>
      </c>
      <c r="B1" s="4772"/>
      <c r="C1" s="4772"/>
      <c r="D1" s="4772"/>
      <c r="E1" s="4772"/>
      <c r="F1" s="4772"/>
      <c r="G1" s="4772"/>
      <c r="H1" s="4772"/>
      <c r="I1" s="4772"/>
      <c r="J1" s="4772"/>
      <c r="K1" s="4772"/>
    </row>
    <row r="3" spans="1:17">
      <c r="A3" s="2797" t="s">
        <v>4743</v>
      </c>
      <c r="B3" s="2798">
        <v>2012</v>
      </c>
      <c r="C3" s="3863">
        <v>2013</v>
      </c>
      <c r="D3" s="3846">
        <v>2014</v>
      </c>
      <c r="E3" s="3846">
        <v>2015</v>
      </c>
      <c r="F3" s="3846">
        <v>2016</v>
      </c>
      <c r="G3" s="3846">
        <v>2017</v>
      </c>
      <c r="H3" s="3846">
        <v>2018</v>
      </c>
      <c r="I3" s="3846">
        <v>2019</v>
      </c>
      <c r="J3" s="3846">
        <v>2020</v>
      </c>
      <c r="K3" s="3846">
        <v>2021</v>
      </c>
      <c r="L3" s="3846">
        <v>2022</v>
      </c>
      <c r="M3" s="3846">
        <v>2023</v>
      </c>
      <c r="N3" s="3846">
        <v>2024</v>
      </c>
      <c r="O3" s="3846">
        <v>2025</v>
      </c>
      <c r="P3" s="3846">
        <v>2026</v>
      </c>
      <c r="Q3" s="3847">
        <v>2027</v>
      </c>
    </row>
    <row r="4" spans="1:17">
      <c r="A4" s="2822" t="s">
        <v>7082</v>
      </c>
      <c r="B4" s="2801">
        <v>1900794</v>
      </c>
      <c r="C4" s="4291">
        <v>2004142</v>
      </c>
      <c r="D4" s="4292">
        <v>1944626</v>
      </c>
      <c r="E4" s="3848">
        <v>1651402</v>
      </c>
      <c r="F4" s="3848">
        <v>1630153</v>
      </c>
      <c r="G4" s="3848">
        <f>F4*0.95</f>
        <v>1548645.3499999999</v>
      </c>
      <c r="H4" s="3848">
        <v>1379667</v>
      </c>
      <c r="I4" s="3848">
        <v>1740457</v>
      </c>
      <c r="J4" s="3848">
        <v>1622786</v>
      </c>
      <c r="K4" s="3848">
        <v>1458657</v>
      </c>
      <c r="L4" s="3848">
        <v>1469219</v>
      </c>
      <c r="M4" s="3848">
        <v>1503948</v>
      </c>
      <c r="N4" s="3848">
        <v>1449819</v>
      </c>
      <c r="O4" s="3848">
        <v>1395610</v>
      </c>
      <c r="P4" s="3848">
        <v>1343493</v>
      </c>
      <c r="Q4" s="3849">
        <v>1291457</v>
      </c>
    </row>
    <row r="5" spans="1:17">
      <c r="A5" s="2823" t="s">
        <v>7083</v>
      </c>
      <c r="B5" s="2801"/>
      <c r="C5" s="3850"/>
      <c r="D5" s="2801"/>
      <c r="E5" s="2802"/>
      <c r="F5" s="2802"/>
      <c r="G5" s="2802"/>
      <c r="H5" s="2802"/>
      <c r="I5" s="2802">
        <v>1436369</v>
      </c>
      <c r="J5" s="2802">
        <v>1393047</v>
      </c>
      <c r="K5" s="2802">
        <v>1246079</v>
      </c>
      <c r="L5" s="2802">
        <v>1261077</v>
      </c>
      <c r="M5" s="2802">
        <v>1299969</v>
      </c>
      <c r="N5" s="2802">
        <v>1249920</v>
      </c>
      <c r="O5" s="2802">
        <v>1199708</v>
      </c>
      <c r="P5" s="2802">
        <v>1151510</v>
      </c>
      <c r="Q5" s="2826">
        <v>1103313</v>
      </c>
    </row>
    <row r="6" spans="1:17">
      <c r="A6" s="2824" t="s">
        <v>4744</v>
      </c>
      <c r="B6" s="2803">
        <v>740866</v>
      </c>
      <c r="C6" s="3851">
        <v>768406</v>
      </c>
      <c r="D6" s="2803">
        <v>814935.26</v>
      </c>
      <c r="E6" s="2803">
        <v>894406.02</v>
      </c>
      <c r="F6" s="2803">
        <v>927067.85</v>
      </c>
      <c r="G6" s="2803">
        <v>947210.68</v>
      </c>
      <c r="H6" s="2804">
        <v>1003687.18</v>
      </c>
      <c r="I6" s="2804">
        <v>1032734</v>
      </c>
      <c r="J6" s="2804">
        <v>1052748</v>
      </c>
      <c r="K6" s="2804">
        <v>1027836</v>
      </c>
      <c r="L6" s="2804">
        <v>1138233</v>
      </c>
      <c r="M6" s="2804">
        <v>1274562</v>
      </c>
      <c r="N6" s="2804">
        <v>1338290</v>
      </c>
      <c r="O6" s="2804">
        <v>1408696</v>
      </c>
      <c r="P6" s="2804">
        <v>1476824</v>
      </c>
      <c r="Q6" s="2828">
        <v>1551969</v>
      </c>
    </row>
    <row r="7" spans="1:17">
      <c r="A7" s="2823" t="s">
        <v>4745</v>
      </c>
      <c r="B7" s="2805">
        <f t="shared" ref="B7:P7" si="0">B6/B4</f>
        <v>0.38976659227670118</v>
      </c>
      <c r="C7" s="3852">
        <f t="shared" si="0"/>
        <v>0.38340896004374941</v>
      </c>
      <c r="D7" s="2805">
        <f t="shared" si="0"/>
        <v>0.41907043308070552</v>
      </c>
      <c r="E7" s="2805">
        <f t="shared" si="0"/>
        <v>0.54160405522095767</v>
      </c>
      <c r="F7" s="2805">
        <f t="shared" si="0"/>
        <v>0.56869990117492042</v>
      </c>
      <c r="G7" s="2805">
        <f t="shared" si="0"/>
        <v>0.61163821658716122</v>
      </c>
      <c r="H7" s="2806">
        <f t="shared" si="0"/>
        <v>0.72748509604129119</v>
      </c>
      <c r="I7" s="2806">
        <f t="shared" si="0"/>
        <v>0.59336944262340297</v>
      </c>
      <c r="J7" s="2806">
        <f t="shared" si="0"/>
        <v>0.64872879110369452</v>
      </c>
      <c r="K7" s="2806">
        <f t="shared" si="0"/>
        <v>0.70464543754974607</v>
      </c>
      <c r="L7" s="2806">
        <f t="shared" si="0"/>
        <v>0.77471976607980153</v>
      </c>
      <c r="M7" s="2806">
        <f t="shared" si="0"/>
        <v>0.847477439379553</v>
      </c>
      <c r="N7" s="2806">
        <f t="shared" si="0"/>
        <v>0.9230738457697133</v>
      </c>
      <c r="O7" s="2806">
        <f t="shared" si="0"/>
        <v>1.0093765450233232</v>
      </c>
      <c r="P7" s="2806">
        <f t="shared" si="0"/>
        <v>1.099242050386567</v>
      </c>
      <c r="Q7" s="2829">
        <f t="shared" ref="Q7" si="1">Q6/Q4</f>
        <v>1.2017194532996454</v>
      </c>
    </row>
    <row r="8" spans="1:17">
      <c r="A8" s="2823"/>
      <c r="B8" s="2805"/>
      <c r="C8" s="3852"/>
      <c r="D8" s="2805"/>
      <c r="E8" s="2805"/>
      <c r="F8" s="2805"/>
      <c r="G8" s="2805"/>
      <c r="H8" s="2806"/>
      <c r="I8" s="2806"/>
      <c r="J8" s="2806"/>
      <c r="K8" s="2806"/>
      <c r="L8" s="2806"/>
      <c r="M8" s="2806"/>
      <c r="N8" s="2806"/>
      <c r="O8" s="397"/>
      <c r="P8" s="397"/>
      <c r="Q8" s="1998"/>
    </row>
    <row r="9" spans="1:17">
      <c r="A9" s="2823" t="s">
        <v>7087</v>
      </c>
      <c r="B9" s="2805"/>
      <c r="C9" s="3852"/>
      <c r="D9" s="2805"/>
      <c r="E9" s="2805"/>
      <c r="F9" s="2805"/>
      <c r="G9" s="2805"/>
      <c r="H9" s="2806"/>
      <c r="I9" s="2807">
        <v>0.41499999999999998</v>
      </c>
      <c r="J9" s="2807">
        <v>0.41499999999999998</v>
      </c>
      <c r="K9" s="2807">
        <v>0.41499999999999998</v>
      </c>
      <c r="L9" s="2807">
        <v>0.43</v>
      </c>
      <c r="M9" s="2807">
        <v>0.44</v>
      </c>
      <c r="N9" s="2807">
        <v>0.45</v>
      </c>
      <c r="O9" s="2807">
        <v>0.45</v>
      </c>
      <c r="P9" s="2807">
        <v>0.45</v>
      </c>
      <c r="Q9" s="2830">
        <v>0.45</v>
      </c>
    </row>
    <row r="10" spans="1:17">
      <c r="A10" s="2823" t="s">
        <v>7088</v>
      </c>
      <c r="B10" s="2808">
        <v>0.34</v>
      </c>
      <c r="C10" s="3853">
        <v>0.36</v>
      </c>
      <c r="D10" s="2808">
        <v>0.37999997887463044</v>
      </c>
      <c r="E10" s="2808">
        <v>0.4</v>
      </c>
      <c r="F10" s="315">
        <v>0.41499999999999998</v>
      </c>
      <c r="G10" s="315">
        <v>0.41499999999999998</v>
      </c>
      <c r="H10" s="2807">
        <v>0.41499999999999998</v>
      </c>
      <c r="I10" s="2807">
        <v>0.38500000000000001</v>
      </c>
      <c r="J10" s="2807">
        <v>0.38500000000000001</v>
      </c>
      <c r="K10" s="2807">
        <v>0.38500000000000001</v>
      </c>
      <c r="L10" s="2807">
        <v>0.4</v>
      </c>
      <c r="M10" s="2807">
        <v>0.41</v>
      </c>
      <c r="N10" s="2807">
        <v>0.45</v>
      </c>
      <c r="O10" s="2807">
        <v>0.45</v>
      </c>
      <c r="P10" s="2807">
        <v>0.45</v>
      </c>
      <c r="Q10" s="2830">
        <v>0.45</v>
      </c>
    </row>
    <row r="11" spans="1:17">
      <c r="A11" s="2824" t="s">
        <v>7086</v>
      </c>
      <c r="B11" s="2809">
        <v>646269.96000000008</v>
      </c>
      <c r="C11" s="3854">
        <v>721491.12</v>
      </c>
      <c r="D11" s="2803">
        <f>732848.25+6109.99</f>
        <v>738958.24</v>
      </c>
      <c r="E11" s="2803">
        <f>609614.28+2775.94+122271.29</f>
        <v>734661.51</v>
      </c>
      <c r="F11" s="2803">
        <f>618867.87+126194.69</f>
        <v>745062.56</v>
      </c>
      <c r="G11" s="2803">
        <f>598047.8+119490.36+366.32</f>
        <v>717904.48</v>
      </c>
      <c r="H11" s="2804">
        <f>(H4*H10)+120664.16</f>
        <v>693225.96499999997</v>
      </c>
      <c r="I11" s="2804">
        <f t="shared" ref="I11:P12" si="2">I9*I4</f>
        <v>722289.65499999991</v>
      </c>
      <c r="J11" s="2804">
        <f>J9*J4</f>
        <v>673456.19</v>
      </c>
      <c r="K11" s="2804">
        <f>K9*K5</f>
        <v>517122.78499999997</v>
      </c>
      <c r="L11" s="2804">
        <f t="shared" si="2"/>
        <v>631764.17000000004</v>
      </c>
      <c r="M11" s="2804">
        <f t="shared" si="2"/>
        <v>661737.12</v>
      </c>
      <c r="N11" s="2804">
        <f>N9*N4</f>
        <v>652418.55000000005</v>
      </c>
      <c r="O11" s="2804">
        <f t="shared" si="2"/>
        <v>628024.5</v>
      </c>
      <c r="P11" s="2804">
        <f t="shared" si="2"/>
        <v>604571.85</v>
      </c>
      <c r="Q11" s="2828">
        <f t="shared" ref="Q11" si="3">Q9*Q4</f>
        <v>581155.65</v>
      </c>
    </row>
    <row r="12" spans="1:17">
      <c r="A12" s="2824" t="s">
        <v>7085</v>
      </c>
      <c r="B12" s="2809"/>
      <c r="C12" s="3854"/>
      <c r="D12" s="2803"/>
      <c r="E12" s="2803"/>
      <c r="F12" s="2803"/>
      <c r="G12" s="2803"/>
      <c r="H12" s="2804"/>
      <c r="I12" s="2804">
        <f t="shared" si="2"/>
        <v>553002.06500000006</v>
      </c>
      <c r="J12" s="2804">
        <f>J10*J5</f>
        <v>536323.09499999997</v>
      </c>
      <c r="K12" s="2804">
        <f t="shared" si="2"/>
        <v>479740.41500000004</v>
      </c>
      <c r="L12" s="2804">
        <f t="shared" si="2"/>
        <v>504430.80000000005</v>
      </c>
      <c r="M12" s="2804">
        <f t="shared" si="2"/>
        <v>532987.28999999992</v>
      </c>
      <c r="N12" s="2804">
        <f t="shared" si="2"/>
        <v>562464</v>
      </c>
      <c r="O12" s="2804">
        <f t="shared" si="2"/>
        <v>539868.6</v>
      </c>
      <c r="P12" s="2804">
        <f t="shared" si="2"/>
        <v>518179.5</v>
      </c>
      <c r="Q12" s="2828">
        <f t="shared" ref="Q12" si="4">Q10*Q5</f>
        <v>496490.85000000003</v>
      </c>
    </row>
    <row r="13" spans="1:17">
      <c r="A13" s="2823"/>
      <c r="B13" s="2810"/>
      <c r="C13" s="2825"/>
      <c r="D13" s="2801"/>
      <c r="E13" s="2801"/>
      <c r="F13" s="2801"/>
      <c r="G13" s="2801"/>
      <c r="H13" s="2801"/>
      <c r="I13" s="2801"/>
      <c r="J13" s="2801"/>
      <c r="K13" s="2801"/>
      <c r="L13" s="2801"/>
      <c r="M13" s="2801"/>
      <c r="N13" s="2801"/>
      <c r="O13" s="397"/>
      <c r="P13" s="397"/>
      <c r="Q13" s="1998"/>
    </row>
    <row r="14" spans="1:17">
      <c r="A14" s="2850" t="s">
        <v>4746</v>
      </c>
      <c r="B14" s="2849">
        <f t="shared" ref="B14:P14" si="5">B6-B11</f>
        <v>94596.039999999921</v>
      </c>
      <c r="C14" s="3860">
        <f t="shared" si="5"/>
        <v>46914.880000000005</v>
      </c>
      <c r="D14" s="3861">
        <f t="shared" si="5"/>
        <v>75977.020000000019</v>
      </c>
      <c r="E14" s="3861">
        <f t="shared" si="5"/>
        <v>159744.51</v>
      </c>
      <c r="F14" s="3861">
        <f t="shared" si="5"/>
        <v>182005.28999999992</v>
      </c>
      <c r="G14" s="3861">
        <f t="shared" si="5"/>
        <v>229306.20000000007</v>
      </c>
      <c r="H14" s="3861">
        <f t="shared" si="5"/>
        <v>310461.21500000008</v>
      </c>
      <c r="I14" s="3861">
        <f t="shared" si="5"/>
        <v>310444.34500000009</v>
      </c>
      <c r="J14" s="3861">
        <f>J6-J11</f>
        <v>379291.81000000006</v>
      </c>
      <c r="K14" s="3861">
        <v>422497.29</v>
      </c>
      <c r="L14" s="3861">
        <f t="shared" si="5"/>
        <v>506468.82999999996</v>
      </c>
      <c r="M14" s="3861">
        <f t="shared" si="5"/>
        <v>612824.88</v>
      </c>
      <c r="N14" s="3861">
        <f t="shared" si="5"/>
        <v>685871.45</v>
      </c>
      <c r="O14" s="3861">
        <f t="shared" si="5"/>
        <v>780671.5</v>
      </c>
      <c r="P14" s="3861">
        <f t="shared" si="5"/>
        <v>872252.15</v>
      </c>
      <c r="Q14" s="3862">
        <f t="shared" ref="Q14" si="6">Q6-Q11</f>
        <v>970813.35</v>
      </c>
    </row>
    <row r="15" spans="1:17">
      <c r="A15" s="2823"/>
      <c r="B15" s="2811"/>
      <c r="C15" s="3857"/>
      <c r="D15" s="3856"/>
      <c r="E15" s="3856"/>
      <c r="F15" s="3856"/>
      <c r="G15" s="3856"/>
      <c r="H15" s="3856"/>
      <c r="I15" s="3856"/>
      <c r="J15" s="3856"/>
      <c r="K15" s="3856"/>
      <c r="L15" s="3856"/>
      <c r="M15" s="3856"/>
      <c r="N15" s="3856"/>
      <c r="O15" s="1995"/>
      <c r="P15" s="1995"/>
      <c r="Q15" s="1996"/>
    </row>
    <row r="16" spans="1:17">
      <c r="A16" s="2823" t="s">
        <v>7090</v>
      </c>
      <c r="B16" s="2805">
        <v>0.5</v>
      </c>
      <c r="C16" s="3852">
        <v>0.5</v>
      </c>
      <c r="D16" s="2808">
        <v>0.5</v>
      </c>
      <c r="E16" s="2808">
        <v>0.5</v>
      </c>
      <c r="F16" s="2808">
        <v>0.5</v>
      </c>
      <c r="G16" s="2808">
        <v>0.5</v>
      </c>
      <c r="H16" s="2808">
        <v>0.5</v>
      </c>
      <c r="I16" s="2808">
        <v>0.5</v>
      </c>
      <c r="J16" s="2808">
        <v>0.5</v>
      </c>
      <c r="K16" s="2808">
        <v>0.5</v>
      </c>
      <c r="L16" s="2808">
        <v>0.51339999999999997</v>
      </c>
      <c r="M16" s="3948">
        <v>0.71450000000000002</v>
      </c>
      <c r="N16" s="3948">
        <v>0.74550000000000005</v>
      </c>
      <c r="O16" s="3948">
        <v>0.78590000000000004</v>
      </c>
      <c r="P16" s="3948">
        <v>0.81589999999999996</v>
      </c>
      <c r="Q16" s="3949">
        <v>0.84109999999999996</v>
      </c>
    </row>
    <row r="17" spans="1:17" s="1570" customFormat="1">
      <c r="A17" s="2824" t="s">
        <v>7091</v>
      </c>
      <c r="B17" s="2812"/>
      <c r="C17" s="3854">
        <f t="shared" ref="C17:P17" si="7">C16*C14</f>
        <v>23457.440000000002</v>
      </c>
      <c r="D17" s="2809">
        <f t="shared" si="7"/>
        <v>37988.510000000009</v>
      </c>
      <c r="E17" s="2809">
        <f t="shared" si="7"/>
        <v>79872.255000000005</v>
      </c>
      <c r="F17" s="2809">
        <f t="shared" si="7"/>
        <v>91002.64499999996</v>
      </c>
      <c r="G17" s="2809">
        <f t="shared" si="7"/>
        <v>114653.10000000003</v>
      </c>
      <c r="H17" s="2809">
        <f t="shared" si="7"/>
        <v>155230.60750000004</v>
      </c>
      <c r="I17" s="2809">
        <f t="shared" si="7"/>
        <v>155222.17250000004</v>
      </c>
      <c r="J17" s="2809">
        <f t="shared" si="7"/>
        <v>189645.90500000003</v>
      </c>
      <c r="K17" s="2809">
        <f>K16*K14</f>
        <v>211248.64499999999</v>
      </c>
      <c r="L17" s="2809">
        <f t="shared" si="7"/>
        <v>260021.09732199996</v>
      </c>
      <c r="M17" s="2809">
        <f t="shared" si="7"/>
        <v>437863.37676000001</v>
      </c>
      <c r="N17" s="2809">
        <f t="shared" si="7"/>
        <v>511317.16597500001</v>
      </c>
      <c r="O17" s="2809">
        <f t="shared" si="7"/>
        <v>613529.73184999998</v>
      </c>
      <c r="P17" s="2809">
        <f t="shared" si="7"/>
        <v>711670.52918499999</v>
      </c>
      <c r="Q17" s="2833">
        <f t="shared" ref="Q17" si="8">Q16*Q14</f>
        <v>816551.10868499998</v>
      </c>
    </row>
    <row r="18" spans="1:17">
      <c r="A18" s="2823" t="s">
        <v>4747</v>
      </c>
      <c r="B18" s="2801">
        <v>12325</v>
      </c>
      <c r="C18" s="3850">
        <v>5508</v>
      </c>
      <c r="D18" s="2801">
        <v>8175.13</v>
      </c>
      <c r="E18" s="2801">
        <v>7332.28</v>
      </c>
      <c r="F18" s="2801">
        <v>0</v>
      </c>
      <c r="G18" s="2801"/>
      <c r="H18" s="2801"/>
      <c r="I18" s="2801">
        <v>46791.7</v>
      </c>
      <c r="J18" s="2801">
        <v>82995.289999999994</v>
      </c>
      <c r="K18" s="2801">
        <v>75118.58</v>
      </c>
      <c r="L18" s="2801">
        <f>K18</f>
        <v>75118.58</v>
      </c>
      <c r="M18" s="2801">
        <f t="shared" ref="M18:Q18" si="9">L18</f>
        <v>75118.58</v>
      </c>
      <c r="N18" s="2801">
        <f t="shared" si="9"/>
        <v>75118.58</v>
      </c>
      <c r="O18" s="2801">
        <f t="shared" si="9"/>
        <v>75118.58</v>
      </c>
      <c r="P18" s="2801">
        <f t="shared" si="9"/>
        <v>75118.58</v>
      </c>
      <c r="Q18" s="2801">
        <f t="shared" si="9"/>
        <v>75118.58</v>
      </c>
    </row>
    <row r="19" spans="1:17">
      <c r="A19" s="2824" t="s">
        <v>4748</v>
      </c>
      <c r="B19" s="2813">
        <f>(B14*50%)-B18</f>
        <v>34973.01999999996</v>
      </c>
      <c r="C19" s="3858">
        <f t="shared" ref="C19:P19" si="10">C17-C18</f>
        <v>17949.440000000002</v>
      </c>
      <c r="D19" s="2842">
        <f t="shared" si="10"/>
        <v>29813.380000000008</v>
      </c>
      <c r="E19" s="2842">
        <f t="shared" si="10"/>
        <v>72539.975000000006</v>
      </c>
      <c r="F19" s="2842">
        <f t="shared" si="10"/>
        <v>91002.64499999996</v>
      </c>
      <c r="G19" s="2842">
        <f t="shared" si="10"/>
        <v>114653.10000000003</v>
      </c>
      <c r="H19" s="2842">
        <f t="shared" si="10"/>
        <v>155230.60750000004</v>
      </c>
      <c r="I19" s="2842">
        <f t="shared" si="10"/>
        <v>108430.47250000005</v>
      </c>
      <c r="J19" s="2842">
        <f>J17-J18</f>
        <v>106650.61500000003</v>
      </c>
      <c r="K19" s="2843">
        <f t="shared" si="10"/>
        <v>136130.065</v>
      </c>
      <c r="L19" s="2843">
        <f t="shared" si="10"/>
        <v>184902.51732199994</v>
      </c>
      <c r="M19" s="2843">
        <f t="shared" si="10"/>
        <v>362744.79676</v>
      </c>
      <c r="N19" s="2843">
        <f t="shared" si="10"/>
        <v>436198.58597499999</v>
      </c>
      <c r="O19" s="2843">
        <f t="shared" si="10"/>
        <v>538411.15185000002</v>
      </c>
      <c r="P19" s="2843">
        <f t="shared" si="10"/>
        <v>636551.94918500003</v>
      </c>
      <c r="Q19" s="2844">
        <f t="shared" ref="Q19" si="11">Q17-Q18</f>
        <v>741432.52868500003</v>
      </c>
    </row>
    <row r="20" spans="1:17">
      <c r="A20" s="2072" t="s">
        <v>7084</v>
      </c>
      <c r="B20" s="2810"/>
      <c r="C20" s="2825"/>
      <c r="D20" s="2801"/>
      <c r="E20" s="2801"/>
      <c r="F20" s="2801"/>
      <c r="G20" s="2801"/>
      <c r="H20" s="2801"/>
      <c r="I20" s="4075">
        <f>113714-18891</f>
        <v>94823</v>
      </c>
      <c r="J20" s="4077">
        <v>108683.5</v>
      </c>
      <c r="K20" s="4077">
        <v>118530</v>
      </c>
      <c r="L20" s="4078">
        <v>186426</v>
      </c>
      <c r="M20" s="4078">
        <v>250515</v>
      </c>
      <c r="N20" s="4079">
        <v>299999</v>
      </c>
      <c r="O20" s="4079">
        <v>299999</v>
      </c>
      <c r="P20" s="4079">
        <v>299999</v>
      </c>
      <c r="Q20" s="4080">
        <v>299999</v>
      </c>
    </row>
    <row r="21" spans="1:17">
      <c r="A21" s="2073"/>
      <c r="B21" s="2481"/>
      <c r="C21" s="3859"/>
      <c r="D21" s="2001"/>
      <c r="E21" s="2001"/>
      <c r="F21" s="2001"/>
      <c r="G21" s="2001"/>
      <c r="H21" s="2001"/>
      <c r="I21" s="4073">
        <v>2020</v>
      </c>
      <c r="J21" s="4073">
        <v>2021</v>
      </c>
      <c r="K21" s="4073">
        <v>2022</v>
      </c>
      <c r="L21" s="4073">
        <v>2023</v>
      </c>
      <c r="M21" s="4073">
        <v>2024</v>
      </c>
      <c r="N21" s="4073">
        <v>2025</v>
      </c>
      <c r="O21" s="4073">
        <v>2026</v>
      </c>
      <c r="P21" s="4073">
        <v>2027</v>
      </c>
      <c r="Q21" s="4074">
        <v>2027</v>
      </c>
    </row>
    <row r="23" spans="1:17">
      <c r="A23" s="2797" t="s">
        <v>973</v>
      </c>
      <c r="B23" s="2798">
        <v>2012</v>
      </c>
      <c r="C23" s="3863">
        <v>2013</v>
      </c>
      <c r="D23" s="3846">
        <v>2014</v>
      </c>
      <c r="E23" s="3846">
        <v>2015</v>
      </c>
      <c r="F23" s="3846">
        <v>2016</v>
      </c>
      <c r="G23" s="3846">
        <v>2017</v>
      </c>
      <c r="H23" s="3846">
        <v>2018</v>
      </c>
      <c r="I23" s="3846">
        <v>2019</v>
      </c>
      <c r="J23" s="3846">
        <v>2020</v>
      </c>
      <c r="K23" s="3846">
        <v>2021</v>
      </c>
      <c r="L23" s="3846">
        <v>2022</v>
      </c>
      <c r="M23" s="3846">
        <v>2023</v>
      </c>
      <c r="N23" s="3846">
        <v>2024</v>
      </c>
      <c r="O23" s="3846">
        <v>2025</v>
      </c>
      <c r="P23" s="3846">
        <v>2026</v>
      </c>
      <c r="Q23" s="3847">
        <v>2027</v>
      </c>
    </row>
    <row r="24" spans="1:17" s="1148" customFormat="1">
      <c r="A24" s="2825" t="s">
        <v>7082</v>
      </c>
      <c r="B24" s="2814"/>
      <c r="C24" s="3864"/>
      <c r="D24" s="3865"/>
      <c r="E24" s="3865"/>
      <c r="F24" s="3865"/>
      <c r="G24" s="3865"/>
      <c r="H24" s="3848">
        <v>1388932</v>
      </c>
      <c r="I24" s="3848">
        <v>1301675</v>
      </c>
      <c r="J24" s="3848">
        <v>1169030</v>
      </c>
      <c r="K24" s="3848">
        <v>984156</v>
      </c>
      <c r="L24" s="3848">
        <v>955859</v>
      </c>
      <c r="M24" s="3848">
        <v>1026571</v>
      </c>
      <c r="N24" s="3848">
        <v>987048</v>
      </c>
      <c r="O24" s="3848">
        <v>947396</v>
      </c>
      <c r="P24" s="3848">
        <v>909335</v>
      </c>
      <c r="Q24" s="3849">
        <v>871274</v>
      </c>
    </row>
    <row r="25" spans="1:17">
      <c r="A25" s="2827" t="s">
        <v>4744</v>
      </c>
      <c r="B25" s="2804"/>
      <c r="C25" s="3866"/>
      <c r="D25" s="2804">
        <v>947598.53</v>
      </c>
      <c r="E25" s="2804">
        <v>1029261.1</v>
      </c>
      <c r="F25" s="2804"/>
      <c r="G25" s="2804">
        <v>1165733.3</v>
      </c>
      <c r="H25" s="2804">
        <v>1288301.8899999999</v>
      </c>
      <c r="I25" s="2804">
        <v>1370764</v>
      </c>
      <c r="J25" s="2804">
        <v>1473701</v>
      </c>
      <c r="K25" s="2804">
        <v>1598607</v>
      </c>
      <c r="L25" s="2804">
        <v>1795256</v>
      </c>
      <c r="M25" s="2804">
        <v>2047583</v>
      </c>
      <c r="N25" s="2804">
        <v>2187486</v>
      </c>
      <c r="O25" s="2804">
        <v>2337780</v>
      </c>
      <c r="P25" s="2804">
        <v>2483726</v>
      </c>
      <c r="Q25" s="2828">
        <v>2640422</v>
      </c>
    </row>
    <row r="26" spans="1:17">
      <c r="A26" s="2825" t="s">
        <v>4745</v>
      </c>
      <c r="B26" s="2805"/>
      <c r="C26" s="3852"/>
      <c r="D26" s="2805"/>
      <c r="E26" s="2805"/>
      <c r="F26" s="2805"/>
      <c r="G26" s="2805"/>
      <c r="H26" s="2806">
        <f t="shared" ref="H26:P26" si="12">H25/H24</f>
        <v>0.92754856969239663</v>
      </c>
      <c r="I26" s="2806">
        <f t="shared" si="12"/>
        <v>1.0530769969462423</v>
      </c>
      <c r="J26" s="2806">
        <f t="shared" si="12"/>
        <v>1.2606186325415087</v>
      </c>
      <c r="K26" s="2806">
        <f t="shared" si="12"/>
        <v>1.6243430919488373</v>
      </c>
      <c r="L26" s="2806">
        <f t="shared" si="12"/>
        <v>1.8781598541207438</v>
      </c>
      <c r="M26" s="2806">
        <f t="shared" si="12"/>
        <v>1.9945848850201302</v>
      </c>
      <c r="N26" s="2806">
        <f t="shared" si="12"/>
        <v>2.2161900940987671</v>
      </c>
      <c r="O26" s="2806">
        <f t="shared" si="12"/>
        <v>2.4675848325304308</v>
      </c>
      <c r="P26" s="2806">
        <f t="shared" si="12"/>
        <v>2.7313652284361649</v>
      </c>
      <c r="Q26" s="2829">
        <f t="shared" ref="Q26" si="13">Q25/Q24</f>
        <v>3.0305300054862192</v>
      </c>
    </row>
    <row r="27" spans="1:17">
      <c r="A27" s="2825"/>
      <c r="B27" s="2805"/>
      <c r="C27" s="3852"/>
      <c r="D27" s="2805"/>
      <c r="E27" s="2805"/>
      <c r="F27" s="2805"/>
      <c r="G27" s="2805"/>
      <c r="H27" s="2806"/>
      <c r="I27" s="2806"/>
      <c r="J27" s="2806"/>
      <c r="K27" s="2806"/>
      <c r="L27" s="2806"/>
      <c r="M27" s="2806"/>
      <c r="N27" s="2806"/>
      <c r="O27" s="397"/>
      <c r="P27" s="397"/>
      <c r="Q27" s="1998"/>
    </row>
    <row r="28" spans="1:17">
      <c r="A28" s="2825" t="s">
        <v>7087</v>
      </c>
      <c r="B28" s="2805"/>
      <c r="C28" s="3852"/>
      <c r="D28" s="2805"/>
      <c r="E28" s="2805"/>
      <c r="F28" s="2805"/>
      <c r="G28" s="2805"/>
      <c r="H28" s="2806"/>
      <c r="I28" s="2807">
        <v>0.41499999999999998</v>
      </c>
      <c r="J28" s="2807">
        <v>0.41499999999999998</v>
      </c>
      <c r="K28" s="2807">
        <v>0.41499999999999998</v>
      </c>
      <c r="L28" s="2807">
        <v>0.43</v>
      </c>
      <c r="M28" s="2807">
        <v>0.44</v>
      </c>
      <c r="N28" s="2807">
        <v>0.45</v>
      </c>
      <c r="O28" s="2807">
        <v>0.45</v>
      </c>
      <c r="P28" s="2807">
        <v>0.45</v>
      </c>
      <c r="Q28" s="2830">
        <v>0.45</v>
      </c>
    </row>
    <row r="29" spans="1:17">
      <c r="A29" s="2825" t="s">
        <v>7088</v>
      </c>
      <c r="B29" s="2808">
        <v>0.34</v>
      </c>
      <c r="C29" s="3853">
        <v>0.36</v>
      </c>
      <c r="D29" s="2808">
        <v>0.37999997887463044</v>
      </c>
      <c r="E29" s="2808">
        <v>0.4</v>
      </c>
      <c r="F29" s="315">
        <v>0.41499999999999998</v>
      </c>
      <c r="G29" s="315">
        <v>0.41499999999999998</v>
      </c>
      <c r="H29" s="2807">
        <v>0.41499999999999998</v>
      </c>
      <c r="I29" s="2807">
        <v>0.38500000000000001</v>
      </c>
      <c r="J29" s="2807">
        <v>0.38500000000000001</v>
      </c>
      <c r="K29" s="2807">
        <v>0.38500000000000001</v>
      </c>
      <c r="L29" s="2807">
        <v>0.4</v>
      </c>
      <c r="M29" s="2807">
        <v>0.41</v>
      </c>
      <c r="N29" s="2807">
        <v>0.45</v>
      </c>
      <c r="O29" s="2807">
        <v>0.45</v>
      </c>
      <c r="P29" s="2807">
        <v>0.45</v>
      </c>
      <c r="Q29" s="2830">
        <v>0.45</v>
      </c>
    </row>
    <row r="30" spans="1:17">
      <c r="A30" s="2827" t="s">
        <v>7086</v>
      </c>
      <c r="B30" s="2809"/>
      <c r="C30" s="3854"/>
      <c r="D30" s="2803">
        <v>685484.92</v>
      </c>
      <c r="E30" s="2803">
        <f>693466.56+196.09</f>
        <v>693662.65</v>
      </c>
      <c r="F30" s="2803"/>
      <c r="G30" s="2803">
        <v>649177.63</v>
      </c>
      <c r="H30" s="2803">
        <f>H24*H29</f>
        <v>576406.78</v>
      </c>
      <c r="I30" s="2803">
        <f t="shared" ref="I30:P30" si="14">I28*I24</f>
        <v>540195.125</v>
      </c>
      <c r="J30" s="2803">
        <f t="shared" si="14"/>
        <v>485147.44999999995</v>
      </c>
      <c r="K30" s="2803">
        <f t="shared" si="14"/>
        <v>408424.74</v>
      </c>
      <c r="L30" s="2803">
        <f t="shared" si="14"/>
        <v>411019.37</v>
      </c>
      <c r="M30" s="2803">
        <f t="shared" si="14"/>
        <v>451691.24</v>
      </c>
      <c r="N30" s="2803">
        <f t="shared" si="14"/>
        <v>444171.60000000003</v>
      </c>
      <c r="O30" s="2803">
        <f t="shared" si="14"/>
        <v>426328.2</v>
      </c>
      <c r="P30" s="2803">
        <f t="shared" si="14"/>
        <v>409200.75</v>
      </c>
      <c r="Q30" s="2831">
        <f t="shared" ref="Q30" si="15">Q28*Q24</f>
        <v>392073.3</v>
      </c>
    </row>
    <row r="31" spans="1:17">
      <c r="A31" s="2827" t="s">
        <v>7085</v>
      </c>
      <c r="B31" s="2809"/>
      <c r="C31" s="3854"/>
      <c r="D31" s="2803"/>
      <c r="E31" s="2803"/>
      <c r="F31" s="2803"/>
      <c r="G31" s="2803"/>
      <c r="H31" s="2803"/>
      <c r="I31" s="2803">
        <f t="shared" ref="I31:P31" si="16">I29*I24</f>
        <v>501144.875</v>
      </c>
      <c r="J31" s="2803">
        <f t="shared" si="16"/>
        <v>450076.55</v>
      </c>
      <c r="K31" s="2803">
        <f t="shared" si="16"/>
        <v>378900.06</v>
      </c>
      <c r="L31" s="2803">
        <f t="shared" si="16"/>
        <v>382343.60000000003</v>
      </c>
      <c r="M31" s="2803">
        <f t="shared" si="16"/>
        <v>420894.11</v>
      </c>
      <c r="N31" s="2803">
        <f t="shared" si="16"/>
        <v>444171.60000000003</v>
      </c>
      <c r="O31" s="2803">
        <f t="shared" si="16"/>
        <v>426328.2</v>
      </c>
      <c r="P31" s="2803">
        <f t="shared" si="16"/>
        <v>409200.75</v>
      </c>
      <c r="Q31" s="2831">
        <f t="shared" ref="Q31" si="17">Q29*Q24</f>
        <v>392073.3</v>
      </c>
    </row>
    <row r="32" spans="1:17">
      <c r="A32" s="2148"/>
      <c r="B32" s="396"/>
      <c r="C32" s="3867"/>
      <c r="D32" s="397"/>
      <c r="E32" s="397"/>
      <c r="F32" s="397"/>
      <c r="G32" s="397"/>
      <c r="H32" s="397"/>
      <c r="I32" s="397"/>
      <c r="J32" s="397"/>
      <c r="K32" s="397"/>
      <c r="L32" s="397"/>
      <c r="M32" s="397"/>
      <c r="N32" s="397"/>
      <c r="O32" s="397"/>
      <c r="P32" s="397"/>
      <c r="Q32" s="1998"/>
    </row>
    <row r="33" spans="1:17">
      <c r="A33" s="2848" t="s">
        <v>4746</v>
      </c>
      <c r="B33" s="2849">
        <f t="shared" ref="B33:P33" si="18">B25-B30</f>
        <v>0</v>
      </c>
      <c r="C33" s="3860">
        <f t="shared" si="18"/>
        <v>0</v>
      </c>
      <c r="D33" s="3861">
        <f t="shared" si="18"/>
        <v>262113.61</v>
      </c>
      <c r="E33" s="3861">
        <f t="shared" si="18"/>
        <v>335598.44999999995</v>
      </c>
      <c r="F33" s="3861">
        <f t="shared" si="18"/>
        <v>0</v>
      </c>
      <c r="G33" s="3861">
        <f t="shared" si="18"/>
        <v>516555.67000000004</v>
      </c>
      <c r="H33" s="3861">
        <f t="shared" si="18"/>
        <v>711895.10999999987</v>
      </c>
      <c r="I33" s="3861">
        <f t="shared" si="18"/>
        <v>830568.875</v>
      </c>
      <c r="J33" s="3861">
        <f t="shared" si="18"/>
        <v>988553.55</v>
      </c>
      <c r="K33" s="3861">
        <f t="shared" si="18"/>
        <v>1190182.26</v>
      </c>
      <c r="L33" s="3861">
        <f t="shared" si="18"/>
        <v>1384236.63</v>
      </c>
      <c r="M33" s="3861">
        <f t="shared" si="18"/>
        <v>1595891.76</v>
      </c>
      <c r="N33" s="3861">
        <f t="shared" si="18"/>
        <v>1743314.4</v>
      </c>
      <c r="O33" s="3861">
        <f t="shared" si="18"/>
        <v>1911451.8</v>
      </c>
      <c r="P33" s="3861">
        <f t="shared" si="18"/>
        <v>2074525.25</v>
      </c>
      <c r="Q33" s="3862">
        <f t="shared" ref="Q33" si="19">Q25-Q30</f>
        <v>2248348.7000000002</v>
      </c>
    </row>
    <row r="34" spans="1:17">
      <c r="A34" s="2148"/>
      <c r="B34" s="396"/>
      <c r="C34" s="3869"/>
      <c r="D34" s="1995"/>
      <c r="E34" s="1995"/>
      <c r="F34" s="1995"/>
      <c r="G34" s="1995"/>
      <c r="H34" s="1995"/>
      <c r="I34" s="1995"/>
      <c r="J34" s="1995"/>
      <c r="K34" s="1995"/>
      <c r="L34" s="1995"/>
      <c r="M34" s="1995"/>
      <c r="N34" s="1995"/>
      <c r="O34" s="1995"/>
      <c r="P34" s="1995"/>
      <c r="Q34" s="1996"/>
    </row>
    <row r="35" spans="1:17">
      <c r="A35" s="2825" t="s">
        <v>7090</v>
      </c>
      <c r="B35" s="2805">
        <v>0.5</v>
      </c>
      <c r="C35" s="3852">
        <v>0.5</v>
      </c>
      <c r="D35" s="2808">
        <v>0.5</v>
      </c>
      <c r="E35" s="2808">
        <v>0.5</v>
      </c>
      <c r="F35" s="2808">
        <v>0.5</v>
      </c>
      <c r="G35" s="2808">
        <v>0.5</v>
      </c>
      <c r="H35" s="2808">
        <v>0.5</v>
      </c>
      <c r="I35" s="2808">
        <v>0.5</v>
      </c>
      <c r="J35" s="2808">
        <v>0.5</v>
      </c>
      <c r="K35" s="2808">
        <v>0.5</v>
      </c>
      <c r="L35" s="2808">
        <v>0.51339999999999997</v>
      </c>
      <c r="M35" s="3948">
        <v>0.71450000000000002</v>
      </c>
      <c r="N35" s="3948">
        <v>0.74550000000000005</v>
      </c>
      <c r="O35" s="3948">
        <v>0.78590000000000004</v>
      </c>
      <c r="P35" s="3948">
        <v>0.81589999999999996</v>
      </c>
      <c r="Q35" s="3949">
        <v>0.84109999999999996</v>
      </c>
    </row>
    <row r="36" spans="1:17" s="1570" customFormat="1">
      <c r="A36" s="2827" t="s">
        <v>7091</v>
      </c>
      <c r="B36" s="2812"/>
      <c r="C36" s="3854">
        <f t="shared" ref="C36:P36" si="20">C35*C33</f>
        <v>0</v>
      </c>
      <c r="D36" s="2809">
        <f t="shared" si="20"/>
        <v>131056.80499999999</v>
      </c>
      <c r="E36" s="2809">
        <f t="shared" si="20"/>
        <v>167799.22499999998</v>
      </c>
      <c r="F36" s="2809">
        <f t="shared" si="20"/>
        <v>0</v>
      </c>
      <c r="G36" s="2809">
        <f t="shared" si="20"/>
        <v>258277.83500000002</v>
      </c>
      <c r="H36" s="2809">
        <f t="shared" si="20"/>
        <v>355947.55499999993</v>
      </c>
      <c r="I36" s="2809">
        <f t="shared" si="20"/>
        <v>415284.4375</v>
      </c>
      <c r="J36" s="2809">
        <f t="shared" si="20"/>
        <v>494276.77500000002</v>
      </c>
      <c r="K36" s="2809">
        <f t="shared" si="20"/>
        <v>595091.13</v>
      </c>
      <c r="L36" s="2809">
        <f t="shared" si="20"/>
        <v>710667.08584199985</v>
      </c>
      <c r="M36" s="2809">
        <f t="shared" si="20"/>
        <v>1140264.66252</v>
      </c>
      <c r="N36" s="2809">
        <f t="shared" si="20"/>
        <v>1299640.8852000001</v>
      </c>
      <c r="O36" s="2809">
        <f t="shared" si="20"/>
        <v>1502209.9696200001</v>
      </c>
      <c r="P36" s="2809">
        <f t="shared" si="20"/>
        <v>1692605.151475</v>
      </c>
      <c r="Q36" s="2833">
        <f t="shared" ref="Q36" si="21">Q35*Q33</f>
        <v>1891086.0915700002</v>
      </c>
    </row>
    <row r="37" spans="1:17">
      <c r="A37" s="2825" t="s">
        <v>4747</v>
      </c>
      <c r="B37" s="2801"/>
      <c r="C37" s="3850"/>
      <c r="D37" s="2801">
        <v>28203.43</v>
      </c>
      <c r="E37" s="2801">
        <v>15403.97</v>
      </c>
      <c r="F37" s="2801"/>
      <c r="G37" s="2801"/>
      <c r="H37" s="2801"/>
      <c r="I37" s="2801">
        <v>79435.55</v>
      </c>
      <c r="J37" s="2801">
        <f>152765.91</f>
        <v>152765.91</v>
      </c>
      <c r="K37" s="2801">
        <v>131011.7</v>
      </c>
      <c r="L37" s="2801">
        <f>K37</f>
        <v>131011.7</v>
      </c>
      <c r="M37" s="2801">
        <f t="shared" ref="M37:Q37" si="22">L37</f>
        <v>131011.7</v>
      </c>
      <c r="N37" s="2801">
        <f t="shared" si="22"/>
        <v>131011.7</v>
      </c>
      <c r="O37" s="2801">
        <f t="shared" si="22"/>
        <v>131011.7</v>
      </c>
      <c r="P37" s="2801">
        <f t="shared" si="22"/>
        <v>131011.7</v>
      </c>
      <c r="Q37" s="2801">
        <f t="shared" si="22"/>
        <v>131011.7</v>
      </c>
    </row>
    <row r="38" spans="1:17">
      <c r="A38" s="2827" t="s">
        <v>4748</v>
      </c>
      <c r="B38" s="2813">
        <f>(B33*50%)-B37</f>
        <v>0</v>
      </c>
      <c r="C38" s="3858">
        <f>(C33*50%)-C37</f>
        <v>0</v>
      </c>
      <c r="D38" s="2842">
        <f t="shared" ref="D38:P38" si="23">D36-D37</f>
        <v>102853.375</v>
      </c>
      <c r="E38" s="2842">
        <f t="shared" si="23"/>
        <v>152395.25499999998</v>
      </c>
      <c r="F38" s="2842">
        <f t="shared" si="23"/>
        <v>0</v>
      </c>
      <c r="G38" s="2842">
        <f t="shared" si="23"/>
        <v>258277.83500000002</v>
      </c>
      <c r="H38" s="2842">
        <f t="shared" si="23"/>
        <v>355947.55499999993</v>
      </c>
      <c r="I38" s="2842">
        <f t="shared" si="23"/>
        <v>335848.88750000001</v>
      </c>
      <c r="J38" s="2842">
        <f>J36-J37</f>
        <v>341510.86499999999</v>
      </c>
      <c r="K38" s="2843">
        <f t="shared" si="23"/>
        <v>464079.43</v>
      </c>
      <c r="L38" s="2843">
        <f t="shared" si="23"/>
        <v>579655.3858419999</v>
      </c>
      <c r="M38" s="2843">
        <f t="shared" si="23"/>
        <v>1009252.9625200001</v>
      </c>
      <c r="N38" s="2843">
        <f t="shared" si="23"/>
        <v>1168629.1852000002</v>
      </c>
      <c r="O38" s="2843">
        <f t="shared" si="23"/>
        <v>1371198.2696200002</v>
      </c>
      <c r="P38" s="2843">
        <f t="shared" si="23"/>
        <v>1561593.451475</v>
      </c>
      <c r="Q38" s="2844">
        <f t="shared" ref="Q38" si="24">Q36-Q37</f>
        <v>1760074.3915700002</v>
      </c>
    </row>
    <row r="39" spans="1:17">
      <c r="A39" s="2148" t="s">
        <v>7084</v>
      </c>
      <c r="B39" s="396"/>
      <c r="C39" s="3867"/>
      <c r="D39" s="397"/>
      <c r="E39" s="397"/>
      <c r="F39" s="397"/>
      <c r="G39" s="397"/>
      <c r="H39" s="397"/>
      <c r="I39" s="255">
        <f>257775-10636.5</f>
        <v>247138.5</v>
      </c>
      <c r="J39" s="4076">
        <v>282515</v>
      </c>
      <c r="K39" s="4076">
        <v>350919</v>
      </c>
      <c r="L39" s="4079">
        <v>439461.5</v>
      </c>
      <c r="M39" s="4079">
        <v>573813.5</v>
      </c>
      <c r="N39" s="4079">
        <v>644671.5</v>
      </c>
      <c r="O39" s="4079">
        <v>644671.5</v>
      </c>
      <c r="P39" s="4079">
        <v>655671.5</v>
      </c>
      <c r="Q39" s="4080">
        <v>655671.5</v>
      </c>
    </row>
    <row r="40" spans="1:17">
      <c r="A40" s="2166"/>
      <c r="B40" s="2481"/>
      <c r="C40" s="3867"/>
      <c r="D40" s="397"/>
      <c r="E40" s="397"/>
      <c r="F40" s="397"/>
      <c r="G40" s="397"/>
      <c r="H40" s="397"/>
      <c r="I40" s="2781">
        <v>2020</v>
      </c>
      <c r="J40" s="2781">
        <v>2021</v>
      </c>
      <c r="K40" s="2781">
        <v>2022</v>
      </c>
      <c r="L40" s="2781">
        <v>2023</v>
      </c>
      <c r="M40" s="2781">
        <v>2024</v>
      </c>
      <c r="N40" s="2781">
        <v>2025</v>
      </c>
      <c r="O40" s="2781">
        <v>2026</v>
      </c>
      <c r="P40" s="2781">
        <v>2027</v>
      </c>
      <c r="Q40" s="2782">
        <v>2027</v>
      </c>
    </row>
    <row r="41" spans="1:17">
      <c r="A41" s="2259"/>
      <c r="B41" s="2286"/>
      <c r="C41" s="2287"/>
      <c r="D41" s="2278"/>
      <c r="E41" s="2278"/>
      <c r="F41" s="2278"/>
      <c r="G41" s="2278"/>
      <c r="H41" s="2278"/>
      <c r="I41" s="2278"/>
      <c r="J41" s="2278"/>
      <c r="K41" s="2278"/>
      <c r="L41" s="2278"/>
      <c r="M41" s="2278"/>
      <c r="N41" s="2278"/>
      <c r="O41" s="1995"/>
      <c r="P41" s="1995"/>
      <c r="Q41" s="1996"/>
    </row>
    <row r="42" spans="1:17">
      <c r="A42" s="2063" t="s">
        <v>4749</v>
      </c>
      <c r="B42" s="2813"/>
      <c r="C42" s="3870"/>
      <c r="D42" s="2845">
        <f t="shared" ref="D42:P42" si="25">D38+D19</f>
        <v>132666.755</v>
      </c>
      <c r="E42" s="2845">
        <f t="shared" si="25"/>
        <v>224935.22999999998</v>
      </c>
      <c r="F42" s="2845">
        <f t="shared" si="25"/>
        <v>91002.64499999996</v>
      </c>
      <c r="G42" s="2845">
        <f t="shared" si="25"/>
        <v>372930.93500000006</v>
      </c>
      <c r="H42" s="2845">
        <f t="shared" si="25"/>
        <v>511178.16249999998</v>
      </c>
      <c r="I42" s="3947">
        <f t="shared" si="25"/>
        <v>444279.36000000004</v>
      </c>
      <c r="J42" s="3947">
        <f t="shared" si="25"/>
        <v>448161.48000000004</v>
      </c>
      <c r="K42" s="2846">
        <f>K38+K19</f>
        <v>600209.495</v>
      </c>
      <c r="L42" s="2846">
        <f t="shared" si="25"/>
        <v>764557.90316399978</v>
      </c>
      <c r="M42" s="2846">
        <f t="shared" si="25"/>
        <v>1371997.7592800001</v>
      </c>
      <c r="N42" s="2846">
        <f t="shared" si="25"/>
        <v>1604827.7711750001</v>
      </c>
      <c r="O42" s="2846">
        <f t="shared" si="25"/>
        <v>1909609.4214700002</v>
      </c>
      <c r="P42" s="2846">
        <f t="shared" si="25"/>
        <v>2198145.4006599998</v>
      </c>
      <c r="Q42" s="2847">
        <f>Q38+Q19</f>
        <v>2501506.9202550002</v>
      </c>
    </row>
    <row r="43" spans="1:17">
      <c r="A43" s="2835" t="s">
        <v>4750</v>
      </c>
      <c r="B43" s="2162"/>
      <c r="C43" s="3871"/>
      <c r="D43" s="1591"/>
      <c r="E43" s="1591"/>
      <c r="F43" s="1591"/>
      <c r="G43" s="1591"/>
      <c r="H43" s="1591"/>
      <c r="I43" s="3947">
        <f t="shared" ref="I43:J43" si="26">I20+J39</f>
        <v>377338</v>
      </c>
      <c r="J43" s="4081">
        <f t="shared" si="26"/>
        <v>459602.5</v>
      </c>
      <c r="K43" s="4322">
        <f>K20+K39</f>
        <v>469449</v>
      </c>
      <c r="L43" s="2846">
        <f>L20+L39</f>
        <v>625887.5</v>
      </c>
      <c r="M43" s="2846">
        <f t="shared" ref="M43:Q43" si="27">M20+M39</f>
        <v>824328.5</v>
      </c>
      <c r="N43" s="2846">
        <f t="shared" si="27"/>
        <v>944670.5</v>
      </c>
      <c r="O43" s="2846">
        <f t="shared" si="27"/>
        <v>944670.5</v>
      </c>
      <c r="P43" s="2846">
        <f t="shared" si="27"/>
        <v>955670.5</v>
      </c>
      <c r="Q43" s="2846">
        <f t="shared" si="27"/>
        <v>955670.5</v>
      </c>
    </row>
    <row r="44" spans="1:17">
      <c r="A44" s="2835" t="s">
        <v>4751</v>
      </c>
      <c r="B44" s="2162"/>
      <c r="C44" s="3871"/>
      <c r="D44" s="1591"/>
      <c r="E44" s="1591"/>
      <c r="F44" s="1591"/>
      <c r="G44" s="1591"/>
      <c r="H44" s="1591"/>
      <c r="I44" s="3947">
        <f t="shared" ref="I44:P44" si="28">I42-I43</f>
        <v>66941.360000000044</v>
      </c>
      <c r="J44" s="3947">
        <f t="shared" si="28"/>
        <v>-11441.01999999996</v>
      </c>
      <c r="K44" s="2846">
        <f t="shared" si="28"/>
        <v>130760.495</v>
      </c>
      <c r="L44" s="2846">
        <f t="shared" si="28"/>
        <v>138670.40316399978</v>
      </c>
      <c r="M44" s="2846">
        <f t="shared" si="28"/>
        <v>547669.25928000011</v>
      </c>
      <c r="N44" s="2846">
        <f t="shared" si="28"/>
        <v>660157.27117500012</v>
      </c>
      <c r="O44" s="2846">
        <f t="shared" si="28"/>
        <v>964938.92147000018</v>
      </c>
      <c r="P44" s="2846">
        <f t="shared" si="28"/>
        <v>1242474.9006599998</v>
      </c>
      <c r="Q44" s="2847">
        <f t="shared" ref="Q44" si="29">Q42-Q43</f>
        <v>1545836.4202550002</v>
      </c>
    </row>
    <row r="45" spans="1:17" s="1148" customFormat="1">
      <c r="A45" s="2837"/>
      <c r="B45" s="2838"/>
      <c r="C45" s="3872"/>
      <c r="D45" s="2839"/>
      <c r="E45" s="2839"/>
      <c r="F45" s="2839"/>
      <c r="G45" s="2839"/>
      <c r="H45" s="2839"/>
      <c r="I45" s="2839"/>
      <c r="J45" s="2839"/>
      <c r="K45" s="2839"/>
      <c r="L45" s="2839"/>
      <c r="M45" s="2839"/>
      <c r="N45" s="2839"/>
      <c r="O45" s="3873"/>
      <c r="P45" s="3873"/>
      <c r="Q45" s="2840"/>
    </row>
    <row r="47" spans="1:17">
      <c r="A47" s="2815" t="s">
        <v>4752</v>
      </c>
    </row>
    <row r="48" spans="1:17">
      <c r="A48" s="2816" t="s">
        <v>7092</v>
      </c>
    </row>
    <row r="49" spans="1:5">
      <c r="A49" s="2817" t="s">
        <v>7089</v>
      </c>
    </row>
    <row r="51" spans="1:5" ht="15.75">
      <c r="A51" s="2818" t="s">
        <v>4741</v>
      </c>
      <c r="B51" s="2819"/>
      <c r="C51" s="2819"/>
      <c r="D51" s="2820"/>
      <c r="E51" s="2820"/>
    </row>
    <row r="52" spans="1:5">
      <c r="A52" s="2818" t="s">
        <v>4742</v>
      </c>
      <c r="B52" s="2821"/>
      <c r="C52" s="2821"/>
      <c r="D52" s="2821"/>
      <c r="E52" s="2821"/>
    </row>
    <row r="54" spans="1:5">
      <c r="A54" s="395" t="s">
        <v>7831</v>
      </c>
    </row>
  </sheetData>
  <mergeCells count="1">
    <mergeCell ref="A1:K1"/>
  </mergeCells>
  <hyperlinks>
    <hyperlink ref="A1" location="GLOBAAL!A1" display="Responsabiliseringsbijdrage" xr:uid="{00000000-0004-0000-5C00-000000000000}"/>
    <hyperlink ref="A1:K1" location="PERSONEEL!A1" display="Responsabiliseringsbijdrage" xr:uid="{00000000-0004-0000-5C00-000001000000}"/>
  </hyperlinks>
  <pageMargins left="0.7" right="0.7" top="0.75" bottom="0.75" header="0.3" footer="0.3"/>
  <pageSetup paperSize="9" scale="47" orientation="landscape" r:id="rId1"/>
  <drawing r:id="rId2"/>
  <legacy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tabColor theme="8" tint="0.59999389629810485"/>
  </sheetPr>
  <dimension ref="A1:P24"/>
  <sheetViews>
    <sheetView workbookViewId="0">
      <selection sqref="A1:K1"/>
    </sheetView>
  </sheetViews>
  <sheetFormatPr defaultColWidth="9.140625" defaultRowHeight="12.75"/>
  <cols>
    <col min="1" max="1" width="27.7109375" style="520" customWidth="1"/>
    <col min="2" max="2" width="12.7109375" style="520" hidden="1" customWidth="1"/>
    <col min="3" max="3" width="11.42578125" style="520" hidden="1" customWidth="1"/>
    <col min="4" max="4" width="10.5703125" style="520" hidden="1" customWidth="1"/>
    <col min="5" max="5" width="10.28515625" style="520" hidden="1" customWidth="1"/>
    <col min="6" max="6" width="9.85546875" style="520" customWidth="1"/>
    <col min="7" max="7" width="10.5703125" style="520" customWidth="1"/>
    <col min="8" max="8" width="10.42578125" style="520" customWidth="1"/>
    <col min="9" max="9" width="7.140625" style="520" bestFit="1" customWidth="1"/>
    <col min="10" max="16384" width="9.140625" style="520"/>
  </cols>
  <sheetData>
    <row r="1" spans="1:16" ht="18.75">
      <c r="A1" s="4771" t="s">
        <v>5396</v>
      </c>
      <c r="B1" s="4772"/>
      <c r="C1" s="4772"/>
      <c r="D1" s="4772"/>
      <c r="E1" s="4772"/>
      <c r="F1" s="4772"/>
      <c r="G1" s="4772"/>
      <c r="H1" s="4772"/>
      <c r="I1" s="4772"/>
      <c r="J1" s="4772"/>
      <c r="K1" s="4772"/>
      <c r="L1" s="966"/>
      <c r="M1" s="622"/>
      <c r="N1" s="622"/>
      <c r="O1" s="622"/>
      <c r="P1" s="622"/>
    </row>
    <row r="2" spans="1:16">
      <c r="A2" s="622"/>
      <c r="B2" s="622"/>
      <c r="C2" s="622"/>
      <c r="D2" s="622"/>
      <c r="E2" s="622"/>
      <c r="F2" s="622"/>
      <c r="G2" s="622"/>
      <c r="H2" s="622"/>
      <c r="I2" s="622"/>
      <c r="J2" s="622"/>
      <c r="K2" s="622"/>
      <c r="L2" s="622"/>
      <c r="M2" s="622"/>
      <c r="N2" s="622"/>
      <c r="O2" s="622"/>
      <c r="P2" s="622"/>
    </row>
    <row r="3" spans="1:16">
      <c r="A3" s="2759"/>
      <c r="B3" s="4979">
        <v>2016</v>
      </c>
      <c r="C3" s="4980"/>
      <c r="D3" s="4980"/>
      <c r="E3" s="4981"/>
      <c r="F3" s="4982">
        <v>2017</v>
      </c>
      <c r="G3" s="4983"/>
      <c r="H3" s="4983"/>
      <c r="I3" s="4984"/>
      <c r="J3" s="4982">
        <v>2018</v>
      </c>
      <c r="K3" s="4983"/>
      <c r="L3" s="4983"/>
      <c r="M3" s="4984"/>
      <c r="N3" s="622"/>
      <c r="O3" s="622"/>
      <c r="P3" s="622"/>
    </row>
    <row r="4" spans="1:16">
      <c r="A4" s="2764"/>
      <c r="B4" s="1546" t="s">
        <v>5397</v>
      </c>
      <c r="C4" s="1547" t="s">
        <v>5398</v>
      </c>
      <c r="D4" s="1547" t="s">
        <v>5399</v>
      </c>
      <c r="E4" s="1548" t="s">
        <v>5400</v>
      </c>
      <c r="F4" s="1546" t="s">
        <v>5397</v>
      </c>
      <c r="G4" s="1547" t="s">
        <v>5398</v>
      </c>
      <c r="H4" s="1547" t="s">
        <v>5399</v>
      </c>
      <c r="I4" s="1548" t="s">
        <v>5400</v>
      </c>
      <c r="J4" s="1546" t="s">
        <v>5397</v>
      </c>
      <c r="K4" s="1547" t="s">
        <v>5398</v>
      </c>
      <c r="L4" s="1547" t="s">
        <v>5399</v>
      </c>
      <c r="M4" s="1548" t="s">
        <v>5400</v>
      </c>
      <c r="N4" s="622"/>
      <c r="O4" s="622"/>
      <c r="P4" s="622"/>
    </row>
    <row r="5" spans="1:16">
      <c r="A5" s="967" t="s">
        <v>5401</v>
      </c>
      <c r="B5" s="968">
        <v>34</v>
      </c>
      <c r="C5" s="969"/>
      <c r="D5" s="969"/>
      <c r="E5" s="970"/>
      <c r="F5" s="968">
        <v>34</v>
      </c>
      <c r="G5" s="969"/>
      <c r="H5" s="969"/>
      <c r="I5" s="970"/>
      <c r="J5" s="968">
        <v>34</v>
      </c>
      <c r="K5" s="969"/>
      <c r="L5" s="969"/>
      <c r="M5" s="970"/>
    </row>
    <row r="6" spans="1:16">
      <c r="A6" s="967" t="s">
        <v>5402</v>
      </c>
      <c r="B6" s="968">
        <v>3.8</v>
      </c>
      <c r="C6" s="969">
        <v>3.8</v>
      </c>
      <c r="D6" s="969"/>
      <c r="E6" s="970"/>
      <c r="F6" s="968">
        <v>3.8</v>
      </c>
      <c r="G6" s="969">
        <v>3.8</v>
      </c>
      <c r="H6" s="969"/>
      <c r="I6" s="970"/>
      <c r="J6" s="968">
        <v>3.8</v>
      </c>
      <c r="K6" s="969">
        <v>3.8</v>
      </c>
      <c r="L6" s="969"/>
      <c r="M6" s="970"/>
    </row>
    <row r="7" spans="1:16">
      <c r="A7" s="967" t="s">
        <v>5403</v>
      </c>
      <c r="B7" s="968"/>
      <c r="C7" s="969">
        <v>2.35</v>
      </c>
      <c r="D7" s="969"/>
      <c r="E7" s="970"/>
      <c r="F7" s="968"/>
      <c r="G7" s="969">
        <v>2.35</v>
      </c>
      <c r="H7" s="969"/>
      <c r="I7" s="970"/>
      <c r="J7" s="968"/>
      <c r="K7" s="969">
        <v>2.35</v>
      </c>
      <c r="L7" s="969"/>
      <c r="M7" s="970"/>
    </row>
    <row r="8" spans="1:16">
      <c r="A8" s="967" t="s">
        <v>5404</v>
      </c>
      <c r="B8" s="968"/>
      <c r="C8" s="969">
        <v>1.46</v>
      </c>
      <c r="D8" s="969"/>
      <c r="E8" s="970"/>
      <c r="F8" s="968"/>
      <c r="G8" s="969">
        <v>1.46</v>
      </c>
      <c r="H8" s="969"/>
      <c r="I8" s="970"/>
      <c r="J8" s="968"/>
      <c r="K8" s="969">
        <v>1.46</v>
      </c>
      <c r="L8" s="969"/>
      <c r="M8" s="970"/>
    </row>
    <row r="9" spans="1:16">
      <c r="A9" s="967" t="s">
        <v>5401</v>
      </c>
      <c r="B9" s="968"/>
      <c r="C9" s="969">
        <v>8.86</v>
      </c>
      <c r="D9" s="969"/>
      <c r="E9" s="970"/>
      <c r="F9" s="968"/>
      <c r="G9" s="969">
        <v>8.86</v>
      </c>
      <c r="H9" s="969"/>
      <c r="I9" s="970"/>
      <c r="J9" s="968"/>
      <c r="K9" s="969">
        <v>8.86</v>
      </c>
      <c r="L9" s="969"/>
      <c r="M9" s="970"/>
    </row>
    <row r="10" spans="1:16">
      <c r="A10" s="967" t="s">
        <v>5405</v>
      </c>
      <c r="B10" s="968">
        <v>5.25</v>
      </c>
      <c r="C10" s="969">
        <v>5.25</v>
      </c>
      <c r="D10" s="969"/>
      <c r="E10" s="970">
        <v>5.25</v>
      </c>
      <c r="F10" s="968">
        <v>5.25</v>
      </c>
      <c r="G10" s="969">
        <v>5.25</v>
      </c>
      <c r="H10" s="969"/>
      <c r="I10" s="970">
        <v>5.25</v>
      </c>
      <c r="J10" s="968">
        <v>5.25</v>
      </c>
      <c r="K10" s="969">
        <v>5.25</v>
      </c>
      <c r="L10" s="969"/>
      <c r="M10" s="970">
        <v>5.25</v>
      </c>
    </row>
    <row r="11" spans="1:16">
      <c r="A11" s="967" t="s">
        <v>5406</v>
      </c>
      <c r="B11" s="968">
        <v>0.17</v>
      </c>
      <c r="C11" s="969">
        <v>0.17</v>
      </c>
      <c r="D11" s="969"/>
      <c r="E11" s="970">
        <v>0.17</v>
      </c>
      <c r="F11" s="968">
        <v>0.17</v>
      </c>
      <c r="G11" s="969">
        <v>0.17</v>
      </c>
      <c r="H11" s="969"/>
      <c r="I11" s="970">
        <v>0.17</v>
      </c>
      <c r="J11" s="968">
        <v>0.17</v>
      </c>
      <c r="K11" s="969">
        <v>0.17</v>
      </c>
      <c r="L11" s="969"/>
      <c r="M11" s="970">
        <v>0.17</v>
      </c>
    </row>
    <row r="12" spans="1:16">
      <c r="A12" s="967" t="s">
        <v>198</v>
      </c>
      <c r="B12" s="968">
        <v>0.05</v>
      </c>
      <c r="C12" s="969">
        <v>0.05</v>
      </c>
      <c r="D12" s="969">
        <v>0.05</v>
      </c>
      <c r="E12" s="970"/>
      <c r="F12" s="968">
        <v>0.05</v>
      </c>
      <c r="G12" s="969">
        <v>0.05</v>
      </c>
      <c r="H12" s="969">
        <v>0.05</v>
      </c>
      <c r="I12" s="970"/>
      <c r="J12" s="968">
        <v>0.05</v>
      </c>
      <c r="K12" s="969">
        <v>0.05</v>
      </c>
      <c r="L12" s="969">
        <v>0.05</v>
      </c>
      <c r="M12" s="970"/>
    </row>
    <row r="13" spans="1:16">
      <c r="A13" s="967" t="s">
        <v>5407</v>
      </c>
      <c r="B13" s="968">
        <v>0.01</v>
      </c>
      <c r="C13" s="969">
        <v>0.01</v>
      </c>
      <c r="D13" s="969">
        <v>0.01</v>
      </c>
      <c r="E13" s="970">
        <v>0.01</v>
      </c>
      <c r="F13" s="968">
        <v>0.01</v>
      </c>
      <c r="G13" s="969">
        <v>0.01</v>
      </c>
      <c r="H13" s="969">
        <v>0.01</v>
      </c>
      <c r="I13" s="970">
        <v>0.01</v>
      </c>
      <c r="J13" s="968">
        <v>0.01</v>
      </c>
      <c r="K13" s="969">
        <v>0.01</v>
      </c>
      <c r="L13" s="969">
        <v>0.01</v>
      </c>
      <c r="M13" s="970">
        <v>0.01</v>
      </c>
    </row>
    <row r="14" spans="1:16">
      <c r="A14" s="967" t="s">
        <v>5408</v>
      </c>
      <c r="B14" s="968">
        <f>SUM(B15:B17)</f>
        <v>6.1899999999999995</v>
      </c>
      <c r="C14" s="969"/>
      <c r="D14" s="969"/>
      <c r="E14" s="970"/>
      <c r="F14" s="968">
        <v>6.2</v>
      </c>
      <c r="G14" s="969">
        <v>7.35</v>
      </c>
      <c r="H14" s="969"/>
      <c r="I14" s="970"/>
      <c r="J14" s="968">
        <f>SUM(J15:J17)</f>
        <v>6.1899999999999995</v>
      </c>
      <c r="K14" s="969"/>
      <c r="L14" s="969"/>
      <c r="M14" s="970"/>
    </row>
    <row r="15" spans="1:16">
      <c r="A15" s="967" t="s">
        <v>5409</v>
      </c>
      <c r="B15" s="968">
        <v>5.67</v>
      </c>
      <c r="C15" s="969">
        <v>5.67</v>
      </c>
      <c r="D15" s="969"/>
      <c r="E15" s="970"/>
      <c r="F15" s="968"/>
      <c r="G15" s="969"/>
      <c r="H15" s="969"/>
      <c r="I15" s="970"/>
      <c r="J15" s="968">
        <v>5.67</v>
      </c>
      <c r="K15" s="969">
        <v>5.67</v>
      </c>
      <c r="L15" s="969"/>
      <c r="M15" s="970"/>
    </row>
    <row r="16" spans="1:16">
      <c r="A16" s="967" t="s">
        <v>5410</v>
      </c>
      <c r="B16" s="968">
        <v>0.52</v>
      </c>
      <c r="C16" s="969">
        <v>1.24</v>
      </c>
      <c r="D16" s="969"/>
      <c r="E16" s="970"/>
      <c r="F16" s="968"/>
      <c r="G16" s="969"/>
      <c r="H16" s="969"/>
      <c r="I16" s="970"/>
      <c r="J16" s="968">
        <v>0.52</v>
      </c>
      <c r="K16" s="969">
        <v>1.24</v>
      </c>
      <c r="L16" s="969"/>
      <c r="M16" s="970"/>
    </row>
    <row r="17" spans="1:13">
      <c r="A17" s="967" t="s">
        <v>5411</v>
      </c>
      <c r="B17" s="968"/>
      <c r="C17" s="971">
        <v>0.4</v>
      </c>
      <c r="D17" s="971"/>
      <c r="E17" s="972"/>
      <c r="F17" s="968"/>
      <c r="G17" s="971"/>
      <c r="H17" s="971"/>
      <c r="I17" s="972"/>
      <c r="J17" s="968"/>
      <c r="K17" s="971">
        <v>0.4</v>
      </c>
      <c r="L17" s="971"/>
      <c r="M17" s="972"/>
    </row>
    <row r="18" spans="1:13">
      <c r="A18" s="967" t="s">
        <v>5412</v>
      </c>
      <c r="B18" s="968"/>
      <c r="C18" s="971">
        <v>1.69</v>
      </c>
      <c r="D18" s="971"/>
      <c r="E18" s="972"/>
      <c r="F18" s="968"/>
      <c r="G18" s="971">
        <v>1.69</v>
      </c>
      <c r="H18" s="971"/>
      <c r="I18" s="972"/>
      <c r="J18" s="968"/>
      <c r="K18" s="971">
        <v>1.69</v>
      </c>
      <c r="L18" s="971"/>
      <c r="M18" s="972"/>
    </row>
    <row r="19" spans="1:13">
      <c r="A19" s="2760" t="s">
        <v>5413</v>
      </c>
      <c r="B19" s="2761">
        <f>SUM(B5:B14)+SUM(B18)</f>
        <v>49.469999999999992</v>
      </c>
      <c r="C19" s="2762">
        <f>SUM(C5:C18)</f>
        <v>30.950000000000003</v>
      </c>
      <c r="D19" s="2762">
        <f>SUM(D5:D18)</f>
        <v>6.0000000000000005E-2</v>
      </c>
      <c r="E19" s="2763">
        <f>SUM(E5:E18)</f>
        <v>5.43</v>
      </c>
      <c r="F19" s="2761">
        <f>SUM(F5:F14)+SUM(F18)</f>
        <v>49.48</v>
      </c>
      <c r="G19" s="2762">
        <f t="shared" ref="G19:M19" si="0">SUM(G5:G18)</f>
        <v>30.990000000000006</v>
      </c>
      <c r="H19" s="2762">
        <f t="shared" si="0"/>
        <v>6.0000000000000005E-2</v>
      </c>
      <c r="I19" s="2763">
        <f t="shared" si="0"/>
        <v>5.43</v>
      </c>
      <c r="J19" s="2761">
        <f t="shared" si="0"/>
        <v>55.66</v>
      </c>
      <c r="K19" s="2762">
        <f t="shared" si="0"/>
        <v>30.950000000000003</v>
      </c>
      <c r="L19" s="2762">
        <f t="shared" si="0"/>
        <v>6.0000000000000005E-2</v>
      </c>
      <c r="M19" s="2763">
        <f t="shared" si="0"/>
        <v>5.43</v>
      </c>
    </row>
    <row r="20" spans="1:13">
      <c r="A20" s="973"/>
      <c r="B20" s="974"/>
      <c r="C20" s="975"/>
      <c r="D20" s="975"/>
      <c r="E20" s="976"/>
      <c r="F20" s="974"/>
      <c r="G20" s="975"/>
      <c r="H20" s="975"/>
      <c r="I20" s="976"/>
      <c r="J20" s="974"/>
      <c r="K20" s="975"/>
      <c r="L20" s="975"/>
      <c r="M20" s="976"/>
    </row>
    <row r="21" spans="1:13">
      <c r="A21" s="2760" t="s">
        <v>5414</v>
      </c>
      <c r="B21" s="2761">
        <v>0.15</v>
      </c>
      <c r="C21" s="2762">
        <v>0.15</v>
      </c>
      <c r="D21" s="2762">
        <v>0.15</v>
      </c>
      <c r="E21" s="2763"/>
      <c r="F21" s="2761">
        <v>0.15</v>
      </c>
      <c r="G21" s="2762">
        <v>0.15</v>
      </c>
      <c r="H21" s="2762">
        <v>0.15</v>
      </c>
      <c r="I21" s="2763"/>
      <c r="J21" s="2761">
        <v>0.15</v>
      </c>
      <c r="K21" s="2762">
        <v>0.15</v>
      </c>
      <c r="L21" s="2762">
        <v>0.15</v>
      </c>
      <c r="M21" s="2763"/>
    </row>
    <row r="22" spans="1:13">
      <c r="A22" s="811"/>
      <c r="B22" s="968"/>
      <c r="C22" s="969"/>
      <c r="D22" s="969"/>
      <c r="E22" s="970"/>
      <c r="F22" s="968"/>
      <c r="G22" s="969"/>
      <c r="H22" s="969"/>
      <c r="I22" s="970"/>
      <c r="J22" s="968"/>
      <c r="K22" s="969"/>
      <c r="L22" s="969"/>
      <c r="M22" s="970"/>
    </row>
    <row r="23" spans="1:13">
      <c r="A23" s="2760" t="s">
        <v>5415</v>
      </c>
      <c r="B23" s="2761">
        <v>11.05</v>
      </c>
      <c r="C23" s="2762">
        <v>13.07</v>
      </c>
      <c r="D23" s="2762"/>
      <c r="E23" s="2763"/>
      <c r="F23" s="2761">
        <v>11.05</v>
      </c>
      <c r="G23" s="2762">
        <v>13.07</v>
      </c>
      <c r="H23" s="2762"/>
      <c r="I23" s="2763"/>
      <c r="J23" s="2761">
        <v>11.05</v>
      </c>
      <c r="K23" s="2762">
        <v>13.07</v>
      </c>
      <c r="L23" s="2762"/>
      <c r="M23" s="2763"/>
    </row>
    <row r="24" spans="1:13">
      <c r="A24" s="977"/>
      <c r="B24" s="978"/>
      <c r="C24" s="979"/>
      <c r="D24" s="979"/>
      <c r="E24" s="980"/>
      <c r="F24" s="978"/>
      <c r="G24" s="979"/>
      <c r="H24" s="979"/>
      <c r="I24" s="980"/>
      <c r="J24" s="978"/>
      <c r="K24" s="979"/>
      <c r="L24" s="979"/>
      <c r="M24" s="980"/>
    </row>
  </sheetData>
  <mergeCells count="4">
    <mergeCell ref="B3:E3"/>
    <mergeCell ref="F3:I3"/>
    <mergeCell ref="J3:M3"/>
    <mergeCell ref="A1:K1"/>
  </mergeCells>
  <hyperlinks>
    <hyperlink ref="A1" location="GLOBAAL!A1" display="Sociale zekerheidsbijdragen" xr:uid="{00000000-0004-0000-5D00-000000000000}"/>
    <hyperlink ref="A1:K1" location="PERSONEEL!A1" display="Sociale zekerheidsbijdragen" xr:uid="{00000000-0004-0000-5D00-000001000000}"/>
  </hyperlink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tabColor theme="8" tint="0.59999389629810485"/>
  </sheetPr>
  <dimension ref="A1:I38"/>
  <sheetViews>
    <sheetView workbookViewId="0">
      <selection sqref="A1:I1"/>
    </sheetView>
  </sheetViews>
  <sheetFormatPr defaultColWidth="9.140625" defaultRowHeight="12.75"/>
  <cols>
    <col min="1" max="1" width="23.85546875" style="395" customWidth="1"/>
    <col min="2" max="5" width="9.140625" style="395"/>
    <col min="6" max="6" width="11.7109375" style="395" bestFit="1" customWidth="1"/>
    <col min="7" max="16384" width="9.140625" style="395"/>
  </cols>
  <sheetData>
    <row r="1" spans="1:9" ht="18.75">
      <c r="A1" s="4771" t="s">
        <v>4753</v>
      </c>
      <c r="B1" s="4772"/>
      <c r="C1" s="4772"/>
      <c r="D1" s="4772"/>
      <c r="E1" s="4772"/>
      <c r="F1" s="4772"/>
      <c r="G1" s="4772"/>
      <c r="H1" s="4772"/>
      <c r="I1" s="4772"/>
    </row>
    <row r="3" spans="1:9">
      <c r="A3" s="1570" t="s">
        <v>4754</v>
      </c>
      <c r="B3" s="1570"/>
      <c r="C3" s="1570"/>
      <c r="D3" s="1570"/>
      <c r="E3" s="1633"/>
    </row>
    <row r="4" spans="1:9">
      <c r="A4" s="2794"/>
      <c r="B4" s="2851">
        <v>2006</v>
      </c>
      <c r="C4" s="2851">
        <v>2009</v>
      </c>
      <c r="D4" s="2851">
        <v>2011</v>
      </c>
      <c r="E4" s="2851">
        <v>2012</v>
      </c>
      <c r="F4" s="2851">
        <v>2013</v>
      </c>
    </row>
    <row r="5" spans="1:9">
      <c r="A5" s="2852" t="s">
        <v>4755</v>
      </c>
      <c r="B5" s="2853">
        <f>SUM(B6:B10)</f>
        <v>49.05</v>
      </c>
      <c r="C5" s="2853">
        <f>SUM(C6:C10)</f>
        <v>47.5</v>
      </c>
      <c r="D5" s="2853">
        <f>SUM(D6:D10)</f>
        <v>46.8</v>
      </c>
      <c r="E5" s="2861">
        <f>SUM(E6:E10)</f>
        <v>53</v>
      </c>
      <c r="F5" s="2854">
        <f>SUM(F6:F10)</f>
        <v>57</v>
      </c>
    </row>
    <row r="6" spans="1:9">
      <c r="A6" s="2855" t="s">
        <v>4756</v>
      </c>
      <c r="B6" s="2856">
        <v>7</v>
      </c>
      <c r="C6" s="2856">
        <v>7</v>
      </c>
      <c r="D6" s="2856">
        <v>7</v>
      </c>
      <c r="E6" s="2862">
        <f>5+3</f>
        <v>8</v>
      </c>
      <c r="F6" s="2999">
        <v>9</v>
      </c>
      <c r="G6" s="397"/>
    </row>
    <row r="7" spans="1:9">
      <c r="A7" s="2855" t="s">
        <v>4757</v>
      </c>
      <c r="B7" s="2856">
        <v>5</v>
      </c>
      <c r="C7" s="2856">
        <v>6.8</v>
      </c>
      <c r="D7" s="2856">
        <v>6.8</v>
      </c>
      <c r="E7" s="2862">
        <f>3+3+0+0.8</f>
        <v>6.8</v>
      </c>
      <c r="F7" s="3000">
        <v>9.6</v>
      </c>
      <c r="G7" s="397"/>
    </row>
    <row r="8" spans="1:9">
      <c r="A8" s="2855" t="s">
        <v>4758</v>
      </c>
      <c r="B8" s="2856">
        <v>20.55</v>
      </c>
      <c r="C8" s="2856">
        <v>18.899999999999999</v>
      </c>
      <c r="D8" s="2856">
        <v>19</v>
      </c>
      <c r="E8" s="2862">
        <f>14+8+1.6+1.6</f>
        <v>25.200000000000003</v>
      </c>
      <c r="F8" s="3000">
        <v>25.4</v>
      </c>
      <c r="G8" s="397"/>
    </row>
    <row r="9" spans="1:9">
      <c r="A9" s="2855" t="s">
        <v>4759</v>
      </c>
      <c r="B9" s="2856">
        <v>16.5</v>
      </c>
      <c r="C9" s="2856">
        <v>14.8</v>
      </c>
      <c r="D9" s="2856">
        <v>14</v>
      </c>
      <c r="E9" s="2862">
        <f>13+0</f>
        <v>13</v>
      </c>
      <c r="F9" s="3001">
        <v>13</v>
      </c>
      <c r="G9" s="397"/>
    </row>
    <row r="10" spans="1:9">
      <c r="A10" s="2855" t="s">
        <v>4760</v>
      </c>
      <c r="B10" s="2856"/>
      <c r="C10" s="2856">
        <v>0</v>
      </c>
      <c r="D10" s="2856"/>
      <c r="E10" s="2862"/>
      <c r="F10" s="3002"/>
      <c r="G10" s="397"/>
    </row>
    <row r="11" spans="1:9">
      <c r="A11" s="2852" t="s">
        <v>4761</v>
      </c>
      <c r="B11" s="2857">
        <f>SUM(B12:B16)</f>
        <v>21.799999999999997</v>
      </c>
      <c r="C11" s="2857">
        <f>SUM(C12:C16)</f>
        <v>17.600000000000001</v>
      </c>
      <c r="D11" s="2857">
        <f>SUM(D12:D16)</f>
        <v>25.6</v>
      </c>
      <c r="E11" s="2857">
        <f>SUM(E12:E16)</f>
        <v>13.8</v>
      </c>
      <c r="F11" s="2858">
        <f>SUM(F12:F16)</f>
        <v>10.8</v>
      </c>
      <c r="G11" s="397"/>
    </row>
    <row r="12" spans="1:9">
      <c r="A12" s="2855" t="s">
        <v>4756</v>
      </c>
      <c r="B12" s="2859">
        <f>3</f>
        <v>3</v>
      </c>
      <c r="C12" s="2859">
        <v>0</v>
      </c>
      <c r="D12" s="2859">
        <v>2</v>
      </c>
      <c r="E12" s="2862">
        <f>0+1</f>
        <v>1</v>
      </c>
      <c r="F12" s="3003">
        <f>0.5+0.5</f>
        <v>1</v>
      </c>
      <c r="G12" s="397"/>
    </row>
    <row r="13" spans="1:9">
      <c r="A13" s="2855" t="s">
        <v>4757</v>
      </c>
      <c r="B13" s="2859">
        <f>2.3</f>
        <v>2.2999999999999998</v>
      </c>
      <c r="C13" s="2859">
        <v>3.5</v>
      </c>
      <c r="D13" s="2859">
        <v>1.5</v>
      </c>
      <c r="E13" s="2862">
        <f>0+1+0.5+1</f>
        <v>2.5</v>
      </c>
      <c r="F13" s="3000">
        <f>1+0.8+0.2+0.5</f>
        <v>2.5</v>
      </c>
      <c r="G13" s="397"/>
    </row>
    <row r="14" spans="1:9">
      <c r="A14" s="2855" t="s">
        <v>4758</v>
      </c>
      <c r="B14" s="2859">
        <f>8.83</f>
        <v>8.83</v>
      </c>
      <c r="C14" s="2859">
        <f>25.3-16.2</f>
        <v>9.1000000000000014</v>
      </c>
      <c r="D14" s="2859">
        <f>23.7-15.1</f>
        <v>8.6</v>
      </c>
      <c r="E14" s="2862">
        <f>0+1+0+1.8</f>
        <v>2.8</v>
      </c>
      <c r="F14" s="3000">
        <f>0.8+0.5+0.5+1+0.5+0.5</f>
        <v>3.8</v>
      </c>
      <c r="G14" s="397"/>
    </row>
    <row r="15" spans="1:9">
      <c r="A15" s="2855" t="s">
        <v>4759</v>
      </c>
      <c r="B15" s="2859">
        <v>2.17</v>
      </c>
      <c r="C15" s="2859">
        <f>9.9-8.4</f>
        <v>1.5</v>
      </c>
      <c r="D15" s="2859">
        <f>10.1-8.6</f>
        <v>1.5</v>
      </c>
      <c r="E15" s="2862">
        <f>0.5+0</f>
        <v>0.5</v>
      </c>
      <c r="F15" s="3000">
        <v>0.5</v>
      </c>
      <c r="G15" s="397"/>
    </row>
    <row r="16" spans="1:9">
      <c r="A16" s="2855" t="s">
        <v>4760</v>
      </c>
      <c r="B16" s="2859">
        <f>5.5</f>
        <v>5.5</v>
      </c>
      <c r="C16" s="2859">
        <f>50.09-46.59</f>
        <v>3.5</v>
      </c>
      <c r="D16" s="2859">
        <f>59.72-47.72</f>
        <v>12</v>
      </c>
      <c r="E16" s="2862">
        <f>6+0+0.5+0.5</f>
        <v>7</v>
      </c>
      <c r="F16" s="3004">
        <f>1+2</f>
        <v>3</v>
      </c>
      <c r="G16" s="397"/>
    </row>
    <row r="17" spans="1:8">
      <c r="A17" s="2852" t="s">
        <v>4762</v>
      </c>
      <c r="B17" s="2857">
        <f>SUM(B18:B22)</f>
        <v>63.3</v>
      </c>
      <c r="C17" s="2857">
        <f>SUM(C18:C22)</f>
        <v>71.19</v>
      </c>
      <c r="D17" s="2857">
        <f>SUM(D18:D22)</f>
        <v>74.42</v>
      </c>
      <c r="E17" s="2857">
        <f>SUM(E18:E22)</f>
        <v>85.34</v>
      </c>
      <c r="F17" s="2858">
        <f>SUM(F18:F22)</f>
        <v>88.58</v>
      </c>
      <c r="G17" s="397"/>
    </row>
    <row r="18" spans="1:8">
      <c r="A18" s="2855" t="s">
        <v>4756</v>
      </c>
      <c r="B18" s="2859">
        <v>0</v>
      </c>
      <c r="C18" s="2859">
        <v>0</v>
      </c>
      <c r="D18" s="2859">
        <v>0</v>
      </c>
      <c r="E18" s="2862"/>
      <c r="F18" s="2999">
        <v>0</v>
      </c>
      <c r="G18" s="397"/>
    </row>
    <row r="19" spans="1:8">
      <c r="A19" s="2855" t="s">
        <v>4757</v>
      </c>
      <c r="B19" s="2859">
        <v>1</v>
      </c>
      <c r="C19" s="2859">
        <v>0</v>
      </c>
      <c r="D19" s="2859">
        <v>3</v>
      </c>
      <c r="E19" s="2862">
        <f>2+1</f>
        <v>3</v>
      </c>
      <c r="F19" s="3001">
        <v>2</v>
      </c>
      <c r="G19" s="397"/>
    </row>
    <row r="20" spans="1:8">
      <c r="A20" s="2855" t="s">
        <v>4758</v>
      </c>
      <c r="B20" s="2859">
        <v>9</v>
      </c>
      <c r="C20" s="2859">
        <v>16.2</v>
      </c>
      <c r="D20" s="2859">
        <v>15.1</v>
      </c>
      <c r="E20" s="2862">
        <f>5+5+0+10.4</f>
        <v>20.399999999999999</v>
      </c>
      <c r="F20" s="3001">
        <v>20.65</v>
      </c>
      <c r="G20" s="397"/>
    </row>
    <row r="21" spans="1:8">
      <c r="A21" s="2855" t="s">
        <v>4759</v>
      </c>
      <c r="B21" s="2859">
        <v>10.3</v>
      </c>
      <c r="C21" s="2859">
        <v>8.4</v>
      </c>
      <c r="D21" s="2859">
        <v>8.6</v>
      </c>
      <c r="E21" s="2862">
        <f>0+6+0.5+2.7</f>
        <v>9.1999999999999993</v>
      </c>
      <c r="F21" s="3001">
        <v>5.5</v>
      </c>
      <c r="G21" s="397"/>
    </row>
    <row r="22" spans="1:8" ht="13.5" thickBot="1">
      <c r="A22" s="2855" t="s">
        <v>4760</v>
      </c>
      <c r="B22" s="2859">
        <v>43</v>
      </c>
      <c r="C22" s="2859">
        <v>46.59</v>
      </c>
      <c r="D22" s="2859">
        <v>47.72</v>
      </c>
      <c r="E22" s="2862">
        <f>42+1+9.74</f>
        <v>52.74</v>
      </c>
      <c r="F22" s="3002">
        <v>60.43</v>
      </c>
      <c r="G22" s="397"/>
    </row>
    <row r="23" spans="1:8" ht="13.5" thickBot="1">
      <c r="A23" s="2863" t="s">
        <v>165</v>
      </c>
      <c r="B23" s="2864">
        <f>SUM(B24:B28)</f>
        <v>134.14999999999998</v>
      </c>
      <c r="C23" s="2864">
        <f>SUM(C24:C28)</f>
        <v>136.29000000000002</v>
      </c>
      <c r="D23" s="2864">
        <f>SUM(D24:D28)</f>
        <v>146.82</v>
      </c>
      <c r="E23" s="2864">
        <f>SUM(E24:E28)</f>
        <v>152.14000000000001</v>
      </c>
      <c r="F23" s="2865">
        <f>SUM(F24:F28)</f>
        <v>156.38</v>
      </c>
      <c r="G23" s="397"/>
    </row>
    <row r="24" spans="1:8">
      <c r="A24" s="2866" t="s">
        <v>4756</v>
      </c>
      <c r="B24" s="2867">
        <f>SUM(B18+B12+B6)</f>
        <v>10</v>
      </c>
      <c r="C24" s="2867">
        <f>C6+C12+C18</f>
        <v>7</v>
      </c>
      <c r="D24" s="2867">
        <f>SUM(D6+D12+D18)</f>
        <v>9</v>
      </c>
      <c r="E24" s="2868">
        <f t="shared" ref="E24:F28" si="0">E6+E12+E18</f>
        <v>9</v>
      </c>
      <c r="F24" s="2869">
        <f t="shared" si="0"/>
        <v>10</v>
      </c>
    </row>
    <row r="25" spans="1:8">
      <c r="A25" s="2870" t="s">
        <v>4757</v>
      </c>
      <c r="B25" s="2867">
        <f>SUM(B19+B13+B7)</f>
        <v>8.3000000000000007</v>
      </c>
      <c r="C25" s="2867">
        <f>C7+C13+C19</f>
        <v>10.3</v>
      </c>
      <c r="D25" s="2867">
        <f>SUM(D7+D13+D19)</f>
        <v>11.3</v>
      </c>
      <c r="E25" s="2868">
        <f t="shared" si="0"/>
        <v>12.3</v>
      </c>
      <c r="F25" s="2869">
        <f t="shared" si="0"/>
        <v>14.1</v>
      </c>
      <c r="G25" s="397"/>
    </row>
    <row r="26" spans="1:8">
      <c r="A26" s="2870" t="s">
        <v>4758</v>
      </c>
      <c r="B26" s="2867">
        <f>SUM(B20+B14+B8)</f>
        <v>38.379999999999995</v>
      </c>
      <c r="C26" s="2867">
        <f>C8+C14+C20</f>
        <v>44.2</v>
      </c>
      <c r="D26" s="2867">
        <f>SUM(D8+D14+D20)</f>
        <v>42.7</v>
      </c>
      <c r="E26" s="2868">
        <f t="shared" si="0"/>
        <v>48.400000000000006</v>
      </c>
      <c r="F26" s="2869">
        <f t="shared" si="0"/>
        <v>49.849999999999994</v>
      </c>
      <c r="G26" s="397"/>
    </row>
    <row r="27" spans="1:8">
      <c r="A27" s="2870" t="s">
        <v>4759</v>
      </c>
      <c r="B27" s="2867">
        <f>SUM(B21+B15+B9)</f>
        <v>28.97</v>
      </c>
      <c r="C27" s="2867">
        <f>C9+C15+C21</f>
        <v>24.700000000000003</v>
      </c>
      <c r="D27" s="2867">
        <f>SUM(D9+D15+D21)</f>
        <v>24.1</v>
      </c>
      <c r="E27" s="2868">
        <f t="shared" si="0"/>
        <v>22.7</v>
      </c>
      <c r="F27" s="2869">
        <f t="shared" si="0"/>
        <v>19</v>
      </c>
      <c r="G27" s="397"/>
    </row>
    <row r="28" spans="1:8">
      <c r="A28" s="2871" t="s">
        <v>4760</v>
      </c>
      <c r="B28" s="2872">
        <f>SUM(B22+B16+B10)</f>
        <v>48.5</v>
      </c>
      <c r="C28" s="2872">
        <f>C10+C16+C22</f>
        <v>50.09</v>
      </c>
      <c r="D28" s="2872">
        <f>SUM(D10+D16+D22)</f>
        <v>59.72</v>
      </c>
      <c r="E28" s="2873">
        <f t="shared" si="0"/>
        <v>59.74</v>
      </c>
      <c r="F28" s="2874">
        <f t="shared" si="0"/>
        <v>63.43</v>
      </c>
      <c r="G28" s="397"/>
    </row>
    <row r="31" spans="1:8">
      <c r="A31" s="1570" t="s">
        <v>4763</v>
      </c>
      <c r="E31" s="1633"/>
    </row>
    <row r="32" spans="1:8">
      <c r="A32" s="3005"/>
      <c r="B32" s="1991" t="s">
        <v>4764</v>
      </c>
      <c r="C32" s="1991" t="s">
        <v>4765</v>
      </c>
      <c r="D32" s="1991" t="s">
        <v>4766</v>
      </c>
      <c r="E32" s="3006" t="s">
        <v>4767</v>
      </c>
      <c r="F32" s="1991" t="s">
        <v>4768</v>
      </c>
      <c r="G32" s="1991" t="s">
        <v>4769</v>
      </c>
      <c r="H32" s="3007" t="s">
        <v>8</v>
      </c>
    </row>
    <row r="33" spans="1:8">
      <c r="A33" s="2860" t="s">
        <v>4756</v>
      </c>
      <c r="B33" s="3008">
        <v>9</v>
      </c>
      <c r="C33" s="3008">
        <v>0</v>
      </c>
      <c r="D33" s="3008">
        <v>0</v>
      </c>
      <c r="E33" s="3008">
        <v>2</v>
      </c>
      <c r="F33" s="3008">
        <v>0</v>
      </c>
      <c r="G33" s="3008">
        <v>0</v>
      </c>
      <c r="H33" s="3009">
        <f>SUM(B33:G33)</f>
        <v>11</v>
      </c>
    </row>
    <row r="34" spans="1:8">
      <c r="A34" s="2860" t="s">
        <v>4757</v>
      </c>
      <c r="B34" s="3008">
        <v>9</v>
      </c>
      <c r="C34" s="3008">
        <v>2</v>
      </c>
      <c r="D34" s="3008">
        <v>0</v>
      </c>
      <c r="E34" s="3008">
        <v>4</v>
      </c>
      <c r="F34" s="3008">
        <v>0</v>
      </c>
      <c r="G34" s="3008">
        <v>0</v>
      </c>
      <c r="H34" s="3009">
        <f>SUM(B34:G34)</f>
        <v>15</v>
      </c>
    </row>
    <row r="35" spans="1:8">
      <c r="A35" s="2860" t="s">
        <v>4758</v>
      </c>
      <c r="B35" s="3008">
        <v>23</v>
      </c>
      <c r="C35" s="3008">
        <v>21</v>
      </c>
      <c r="D35" s="3008">
        <v>11</v>
      </c>
      <c r="E35" s="3008">
        <v>5</v>
      </c>
      <c r="F35" s="3008">
        <v>1</v>
      </c>
      <c r="G35" s="3008">
        <v>0</v>
      </c>
      <c r="H35" s="3009">
        <f>SUM(B35:G35)</f>
        <v>61</v>
      </c>
    </row>
    <row r="36" spans="1:8">
      <c r="A36" s="2860" t="s">
        <v>4759</v>
      </c>
      <c r="B36" s="3008">
        <v>13</v>
      </c>
      <c r="C36" s="3008">
        <v>7</v>
      </c>
      <c r="D36" s="3008">
        <v>1</v>
      </c>
      <c r="E36" s="3008">
        <v>1</v>
      </c>
      <c r="F36" s="3008">
        <v>0</v>
      </c>
      <c r="G36" s="3008">
        <v>0</v>
      </c>
      <c r="H36" s="3009">
        <f>SUM(B36:G36)</f>
        <v>22</v>
      </c>
    </row>
    <row r="37" spans="1:8">
      <c r="A37" s="2860" t="s">
        <v>4760</v>
      </c>
      <c r="B37" s="3008">
        <v>0</v>
      </c>
      <c r="C37" s="3008">
        <v>66</v>
      </c>
      <c r="D37" s="3008">
        <v>0</v>
      </c>
      <c r="E37" s="3008">
        <v>0</v>
      </c>
      <c r="F37" s="3008">
        <v>1</v>
      </c>
      <c r="G37" s="3008">
        <v>0</v>
      </c>
      <c r="H37" s="3009">
        <f>SUM(B37:G37)</f>
        <v>67</v>
      </c>
    </row>
    <row r="38" spans="1:8">
      <c r="A38" s="3010" t="s">
        <v>8</v>
      </c>
      <c r="B38" s="3011">
        <f t="shared" ref="B38:H38" si="1">SUM(B33:B37)</f>
        <v>54</v>
      </c>
      <c r="C38" s="3011">
        <f t="shared" si="1"/>
        <v>96</v>
      </c>
      <c r="D38" s="3011">
        <f t="shared" si="1"/>
        <v>12</v>
      </c>
      <c r="E38" s="3011">
        <f t="shared" si="1"/>
        <v>12</v>
      </c>
      <c r="F38" s="3011">
        <f t="shared" si="1"/>
        <v>2</v>
      </c>
      <c r="G38" s="3011">
        <f t="shared" si="1"/>
        <v>0</v>
      </c>
      <c r="H38" s="3012">
        <f t="shared" si="1"/>
        <v>176</v>
      </c>
    </row>
  </sheetData>
  <mergeCells count="1">
    <mergeCell ref="A1:I1"/>
  </mergeCells>
  <hyperlinks>
    <hyperlink ref="A1" location="GLOBAAL!A1" display="TM 1 Personeel" xr:uid="{00000000-0004-0000-5E00-000000000000}"/>
    <hyperlink ref="A1:I1" location="PERSONEEL!A1" display="TM 1 Personeel" xr:uid="{00000000-0004-0000-5E00-000001000000}"/>
  </hyperlink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theme="9" tint="-0.249977111117893"/>
  </sheetPr>
  <dimension ref="A1:I88"/>
  <sheetViews>
    <sheetView topLeftCell="A91" workbookViewId="0">
      <selection sqref="A1:I1"/>
    </sheetView>
  </sheetViews>
  <sheetFormatPr defaultRowHeight="15"/>
  <cols>
    <col min="1" max="1" width="26.85546875" customWidth="1"/>
    <col min="2" max="2" width="18.42578125" customWidth="1"/>
  </cols>
  <sheetData>
    <row r="1" spans="1:9" ht="18.75">
      <c r="A1" s="4985" t="s">
        <v>3015</v>
      </c>
      <c r="B1" s="4986"/>
      <c r="C1" s="4986"/>
      <c r="D1" s="4986"/>
      <c r="E1" s="4986"/>
      <c r="F1" s="4986"/>
      <c r="G1" s="4986"/>
      <c r="H1" s="4986"/>
      <c r="I1" s="4986"/>
    </row>
    <row r="3" spans="1:9" ht="15.75" thickBot="1"/>
    <row r="4" spans="1:9">
      <c r="A4" s="3971" t="s">
        <v>7779</v>
      </c>
      <c r="B4" s="4681" t="s">
        <v>7726</v>
      </c>
      <c r="C4" s="3978"/>
    </row>
    <row r="5" spans="1:9">
      <c r="A5" s="3972" t="s">
        <v>7725</v>
      </c>
      <c r="B5" s="4680">
        <v>2021</v>
      </c>
      <c r="C5" s="3973">
        <v>2022</v>
      </c>
    </row>
    <row r="6" spans="1:9">
      <c r="A6" s="3974" t="s">
        <v>7727</v>
      </c>
      <c r="B6" s="570">
        <v>264</v>
      </c>
      <c r="C6" s="3975">
        <v>312</v>
      </c>
    </row>
    <row r="7" spans="1:9">
      <c r="A7" s="3974" t="s">
        <v>7728</v>
      </c>
      <c r="B7" s="570">
        <v>217</v>
      </c>
      <c r="C7" s="3975">
        <v>242</v>
      </c>
    </row>
    <row r="8" spans="1:9">
      <c r="A8" s="3974" t="s">
        <v>2323</v>
      </c>
      <c r="B8" s="570">
        <v>216</v>
      </c>
      <c r="C8" s="3975">
        <v>291</v>
      </c>
    </row>
    <row r="9" spans="1:9">
      <c r="A9" s="3974" t="s">
        <v>7729</v>
      </c>
      <c r="B9" s="570">
        <v>212</v>
      </c>
      <c r="C9" s="3975">
        <v>237</v>
      </c>
    </row>
    <row r="10" spans="1:9">
      <c r="A10" s="3974" t="s">
        <v>7730</v>
      </c>
      <c r="B10" s="570">
        <v>168</v>
      </c>
      <c r="C10" s="3975">
        <v>265</v>
      </c>
    </row>
    <row r="11" spans="1:9">
      <c r="A11" s="3974" t="s">
        <v>7731</v>
      </c>
      <c r="B11" s="570">
        <v>107</v>
      </c>
      <c r="C11" s="3975">
        <v>119</v>
      </c>
    </row>
    <row r="12" spans="1:9">
      <c r="A12" s="3974" t="s">
        <v>7732</v>
      </c>
      <c r="B12" s="570">
        <v>81</v>
      </c>
      <c r="C12" s="3975">
        <v>97</v>
      </c>
    </row>
    <row r="13" spans="1:9">
      <c r="A13" s="3974" t="s">
        <v>7733</v>
      </c>
      <c r="B13" s="570">
        <v>77</v>
      </c>
      <c r="C13" s="3975">
        <v>78</v>
      </c>
    </row>
    <row r="14" spans="1:9">
      <c r="A14" s="3974" t="s">
        <v>7734</v>
      </c>
      <c r="B14" s="570">
        <v>65</v>
      </c>
      <c r="C14" s="3975">
        <v>133</v>
      </c>
    </row>
    <row r="15" spans="1:9">
      <c r="A15" s="3974" t="s">
        <v>7735</v>
      </c>
      <c r="B15" s="570">
        <v>38</v>
      </c>
      <c r="C15" s="3975">
        <v>55</v>
      </c>
    </row>
    <row r="16" spans="1:9">
      <c r="A16" s="3974" t="s">
        <v>7736</v>
      </c>
      <c r="B16" s="570">
        <v>12</v>
      </c>
      <c r="C16" s="3975">
        <v>19</v>
      </c>
    </row>
    <row r="17" spans="1:3">
      <c r="A17" s="3974" t="s">
        <v>7737</v>
      </c>
      <c r="B17" s="570">
        <v>10</v>
      </c>
      <c r="C17" s="3975">
        <v>10</v>
      </c>
    </row>
    <row r="18" spans="1:3">
      <c r="A18" s="3974" t="s">
        <v>7738</v>
      </c>
      <c r="B18" s="570">
        <v>6</v>
      </c>
      <c r="C18" s="3975">
        <v>42</v>
      </c>
    </row>
    <row r="19" spans="1:3">
      <c r="A19" s="3974" t="s">
        <v>7739</v>
      </c>
      <c r="B19" s="570">
        <v>6</v>
      </c>
      <c r="C19" s="3975">
        <v>9</v>
      </c>
    </row>
    <row r="20" spans="1:3">
      <c r="A20" s="3974" t="s">
        <v>8419</v>
      </c>
      <c r="B20" s="570"/>
      <c r="C20" s="3975">
        <v>66</v>
      </c>
    </row>
    <row r="21" spans="1:3">
      <c r="A21" s="3974" t="s">
        <v>8420</v>
      </c>
      <c r="B21" s="570"/>
      <c r="C21" s="3975">
        <v>52</v>
      </c>
    </row>
    <row r="22" spans="1:3">
      <c r="A22" s="3974" t="s">
        <v>8422</v>
      </c>
      <c r="B22" s="570"/>
      <c r="C22" s="3975">
        <v>42</v>
      </c>
    </row>
    <row r="23" spans="1:3">
      <c r="A23" s="3974" t="s">
        <v>8421</v>
      </c>
      <c r="B23" s="570"/>
      <c r="C23" s="3975">
        <v>3</v>
      </c>
    </row>
    <row r="24" spans="1:3">
      <c r="A24" s="3974" t="s">
        <v>8423</v>
      </c>
      <c r="B24" s="570"/>
      <c r="C24" s="3975">
        <v>38</v>
      </c>
    </row>
    <row r="25" spans="1:3">
      <c r="A25" s="3974" t="s">
        <v>7740</v>
      </c>
      <c r="B25" s="570">
        <v>4</v>
      </c>
      <c r="C25" s="3975">
        <v>5</v>
      </c>
    </row>
    <row r="26" spans="1:3" ht="15.75" thickBot="1">
      <c r="A26" s="3976" t="s">
        <v>8</v>
      </c>
      <c r="B26" s="592">
        <v>1483</v>
      </c>
      <c r="C26" s="3977">
        <f>SUM(C6:C25)</f>
        <v>2115</v>
      </c>
    </row>
    <row r="28" spans="1:3" ht="15.75" thickBot="1"/>
    <row r="29" spans="1:3">
      <c r="A29" s="3971" t="s">
        <v>7719</v>
      </c>
      <c r="B29" s="4681">
        <v>2021</v>
      </c>
      <c r="C29" s="3978">
        <v>2022</v>
      </c>
    </row>
    <row r="30" spans="1:3">
      <c r="A30" s="3974" t="s">
        <v>7741</v>
      </c>
      <c r="B30" s="570">
        <v>48</v>
      </c>
      <c r="C30" s="3975">
        <v>49</v>
      </c>
    </row>
    <row r="31" spans="1:3">
      <c r="A31" s="3974" t="s">
        <v>7742</v>
      </c>
      <c r="B31" s="570">
        <v>38</v>
      </c>
      <c r="C31" s="3975">
        <v>40</v>
      </c>
    </row>
    <row r="32" spans="1:3">
      <c r="A32" s="3974" t="s">
        <v>1636</v>
      </c>
      <c r="B32" s="570">
        <v>15</v>
      </c>
      <c r="C32" s="3975">
        <v>7</v>
      </c>
    </row>
    <row r="33" spans="1:3">
      <c r="A33" s="3974" t="s">
        <v>7743</v>
      </c>
      <c r="B33" s="570">
        <v>7</v>
      </c>
      <c r="C33" s="3975">
        <v>7</v>
      </c>
    </row>
    <row r="34" spans="1:3">
      <c r="A34" s="3974" t="s">
        <v>7744</v>
      </c>
      <c r="B34" s="570">
        <v>6</v>
      </c>
      <c r="C34" s="3975">
        <v>6</v>
      </c>
    </row>
    <row r="35" spans="1:3">
      <c r="A35" s="3974" t="s">
        <v>7745</v>
      </c>
      <c r="B35" s="570">
        <v>5</v>
      </c>
      <c r="C35" s="3975">
        <v>5</v>
      </c>
    </row>
    <row r="36" spans="1:3">
      <c r="A36" s="3974" t="s">
        <v>7746</v>
      </c>
      <c r="B36" s="570">
        <v>5</v>
      </c>
      <c r="C36" s="3975">
        <v>4</v>
      </c>
    </row>
    <row r="37" spans="1:3">
      <c r="A37" s="3974" t="s">
        <v>2462</v>
      </c>
      <c r="B37" s="570">
        <v>4</v>
      </c>
      <c r="C37" s="3975">
        <v>4</v>
      </c>
    </row>
    <row r="38" spans="1:3">
      <c r="A38" s="3974" t="s">
        <v>7747</v>
      </c>
      <c r="B38" s="570">
        <v>4</v>
      </c>
      <c r="C38" s="3975">
        <v>3</v>
      </c>
    </row>
    <row r="39" spans="1:3">
      <c r="A39" s="3974" t="s">
        <v>7748</v>
      </c>
      <c r="B39" s="570">
        <v>2</v>
      </c>
      <c r="C39" s="3975"/>
    </row>
    <row r="40" spans="1:3">
      <c r="A40" s="3974" t="s">
        <v>5060</v>
      </c>
      <c r="B40" s="570">
        <v>3</v>
      </c>
      <c r="C40" s="3975"/>
    </row>
    <row r="41" spans="1:3" ht="15.75" thickBot="1">
      <c r="A41" s="3979" t="s">
        <v>8</v>
      </c>
      <c r="B41" s="4682">
        <f>SUM(B30:B40)</f>
        <v>137</v>
      </c>
      <c r="C41" s="3980">
        <v>125</v>
      </c>
    </row>
    <row r="43" spans="1:3" ht="15.75" thickBot="1"/>
    <row r="44" spans="1:3">
      <c r="A44" s="3971" t="s">
        <v>7720</v>
      </c>
      <c r="B44" s="4681">
        <v>2021</v>
      </c>
      <c r="C44" s="3978">
        <v>2022</v>
      </c>
    </row>
    <row r="45" spans="1:3">
      <c r="A45" s="3974" t="s">
        <v>7741</v>
      </c>
      <c r="B45" s="570">
        <v>25</v>
      </c>
      <c r="C45" s="3975">
        <v>30</v>
      </c>
    </row>
    <row r="46" spans="1:3">
      <c r="A46" s="3974" t="s">
        <v>7742</v>
      </c>
      <c r="B46" s="570">
        <v>59</v>
      </c>
      <c r="C46" s="3975">
        <v>74</v>
      </c>
    </row>
    <row r="47" spans="1:3">
      <c r="A47" s="3974" t="s">
        <v>1636</v>
      </c>
      <c r="B47" s="570">
        <v>3</v>
      </c>
      <c r="C47" s="3975">
        <v>7</v>
      </c>
    </row>
    <row r="48" spans="1:3">
      <c r="A48" s="3974" t="s">
        <v>7743</v>
      </c>
      <c r="B48" s="570">
        <v>20</v>
      </c>
      <c r="C48" s="3975">
        <v>23</v>
      </c>
    </row>
    <row r="49" spans="1:3">
      <c r="A49" s="3974" t="s">
        <v>7744</v>
      </c>
      <c r="B49" s="570">
        <v>5</v>
      </c>
      <c r="C49" s="3975">
        <v>5</v>
      </c>
    </row>
    <row r="50" spans="1:3">
      <c r="A50" s="3974" t="s">
        <v>7745</v>
      </c>
      <c r="B50" s="570">
        <v>19</v>
      </c>
      <c r="C50" s="3975">
        <v>17</v>
      </c>
    </row>
    <row r="51" spans="1:3">
      <c r="A51" s="3974" t="s">
        <v>7746</v>
      </c>
      <c r="B51" s="570"/>
      <c r="C51" s="3975"/>
    </row>
    <row r="52" spans="1:3">
      <c r="A52" s="3974" t="s">
        <v>2462</v>
      </c>
      <c r="B52" s="570">
        <v>4</v>
      </c>
      <c r="C52" s="3975">
        <v>4</v>
      </c>
    </row>
    <row r="53" spans="1:3">
      <c r="A53" s="3974" t="s">
        <v>7747</v>
      </c>
      <c r="B53" s="570"/>
      <c r="C53" s="3975">
        <v>3</v>
      </c>
    </row>
    <row r="54" spans="1:3">
      <c r="A54" s="3974" t="s">
        <v>7748</v>
      </c>
      <c r="B54" s="570">
        <v>31</v>
      </c>
      <c r="C54" s="3975"/>
    </row>
    <row r="55" spans="1:3">
      <c r="A55" s="3974" t="s">
        <v>7749</v>
      </c>
      <c r="B55" s="570">
        <v>4</v>
      </c>
      <c r="C55" s="3975">
        <v>5</v>
      </c>
    </row>
    <row r="56" spans="1:3">
      <c r="A56" s="3974" t="s">
        <v>7750</v>
      </c>
      <c r="B56" s="570">
        <v>4</v>
      </c>
      <c r="C56" s="3975">
        <v>9</v>
      </c>
    </row>
    <row r="57" spans="1:3">
      <c r="A57" s="3974" t="s">
        <v>5060</v>
      </c>
      <c r="B57" s="570">
        <v>4</v>
      </c>
      <c r="C57" s="3975">
        <v>1</v>
      </c>
    </row>
    <row r="58" spans="1:3" ht="15.75" thickBot="1">
      <c r="A58" s="3979" t="s">
        <v>8</v>
      </c>
      <c r="B58" s="4682">
        <f>SUM(B45:B57)</f>
        <v>178</v>
      </c>
      <c r="C58" s="3980">
        <f>SUM(C45:C57)</f>
        <v>178</v>
      </c>
    </row>
    <row r="60" spans="1:3" ht="15.75" thickBot="1"/>
    <row r="61" spans="1:3">
      <c r="A61" s="3971" t="s">
        <v>7751</v>
      </c>
      <c r="B61" s="4681">
        <v>2021</v>
      </c>
      <c r="C61" s="3978">
        <v>2022</v>
      </c>
    </row>
    <row r="62" spans="1:3">
      <c r="A62" s="3974" t="s">
        <v>7741</v>
      </c>
      <c r="B62" s="570">
        <v>29</v>
      </c>
      <c r="C62" s="3975">
        <v>29</v>
      </c>
    </row>
    <row r="63" spans="1:3">
      <c r="A63" s="3974" t="s">
        <v>7742</v>
      </c>
      <c r="B63" s="570">
        <v>27</v>
      </c>
      <c r="C63" s="3975">
        <v>29</v>
      </c>
    </row>
    <row r="64" spans="1:3">
      <c r="A64" s="3974" t="s">
        <v>1636</v>
      </c>
      <c r="B64" s="570">
        <v>6</v>
      </c>
      <c r="C64" s="3975">
        <v>7</v>
      </c>
    </row>
    <row r="65" spans="1:4">
      <c r="A65" s="3974" t="s">
        <v>7743</v>
      </c>
      <c r="B65" s="570">
        <v>6</v>
      </c>
      <c r="C65" s="3975">
        <v>8</v>
      </c>
    </row>
    <row r="66" spans="1:4">
      <c r="A66" s="3974" t="s">
        <v>7744</v>
      </c>
      <c r="B66" s="570">
        <v>47</v>
      </c>
      <c r="C66" s="3975">
        <v>36</v>
      </c>
    </row>
    <row r="67" spans="1:4">
      <c r="A67" s="3974" t="s">
        <v>7745</v>
      </c>
      <c r="B67" s="570">
        <v>11</v>
      </c>
      <c r="C67" s="3975">
        <v>11</v>
      </c>
    </row>
    <row r="68" spans="1:4">
      <c r="A68" s="3974" t="s">
        <v>7746</v>
      </c>
      <c r="B68" s="570"/>
      <c r="C68" s="3975"/>
    </row>
    <row r="69" spans="1:4">
      <c r="A69" s="3974" t="s">
        <v>2462</v>
      </c>
      <c r="B69" s="570">
        <v>5</v>
      </c>
      <c r="C69" s="3975">
        <v>6</v>
      </c>
    </row>
    <row r="70" spans="1:4">
      <c r="A70" s="3974" t="s">
        <v>7747</v>
      </c>
      <c r="B70" s="570"/>
      <c r="C70" s="3975">
        <v>3</v>
      </c>
    </row>
    <row r="71" spans="1:4">
      <c r="A71" s="3974" t="s">
        <v>7748</v>
      </c>
      <c r="B71" s="570">
        <v>10</v>
      </c>
      <c r="C71" s="3975"/>
    </row>
    <row r="72" spans="1:4">
      <c r="A72" s="3974" t="s">
        <v>7749</v>
      </c>
      <c r="B72" s="570">
        <v>3</v>
      </c>
      <c r="C72" s="3975">
        <v>3</v>
      </c>
    </row>
    <row r="73" spans="1:4">
      <c r="A73" s="3974" t="s">
        <v>7750</v>
      </c>
      <c r="B73" s="570">
        <v>5</v>
      </c>
      <c r="C73" s="3975">
        <v>6</v>
      </c>
    </row>
    <row r="74" spans="1:4">
      <c r="A74" s="3974" t="s">
        <v>5060</v>
      </c>
      <c r="B74" s="570">
        <v>5</v>
      </c>
      <c r="C74" s="3975">
        <v>4</v>
      </c>
    </row>
    <row r="75" spans="1:4" ht="15.75" thickBot="1">
      <c r="A75" s="3979" t="s">
        <v>8</v>
      </c>
      <c r="B75" s="4682">
        <f>SUM(B62:B74)</f>
        <v>154</v>
      </c>
      <c r="C75" s="3980">
        <f>SUM(C62:C74)</f>
        <v>142</v>
      </c>
    </row>
    <row r="77" spans="1:4" ht="15.75" thickBot="1"/>
    <row r="78" spans="1:4">
      <c r="A78" s="3971" t="s">
        <v>7724</v>
      </c>
      <c r="B78" s="4681">
        <v>2021</v>
      </c>
      <c r="C78" s="3978">
        <v>2022</v>
      </c>
      <c r="D78" s="3599"/>
    </row>
    <row r="79" spans="1:4">
      <c r="A79" s="3974" t="s">
        <v>7752</v>
      </c>
      <c r="B79" s="570">
        <v>539</v>
      </c>
      <c r="C79" s="3975">
        <v>432</v>
      </c>
    </row>
    <row r="80" spans="1:4">
      <c r="A80" s="3974" t="s">
        <v>7753</v>
      </c>
      <c r="B80" s="570">
        <v>313</v>
      </c>
      <c r="C80" s="3975">
        <v>427</v>
      </c>
    </row>
    <row r="81" spans="1:3">
      <c r="A81" s="3974" t="s">
        <v>7754</v>
      </c>
      <c r="B81" s="570">
        <v>262</v>
      </c>
      <c r="C81" s="3975">
        <v>164</v>
      </c>
    </row>
    <row r="82" spans="1:3">
      <c r="A82" s="3974" t="s">
        <v>7755</v>
      </c>
      <c r="B82" s="570">
        <v>207</v>
      </c>
      <c r="C82" s="3975">
        <v>162</v>
      </c>
    </row>
    <row r="83" spans="1:3">
      <c r="A83" s="3974" t="s">
        <v>7756</v>
      </c>
      <c r="B83" s="570">
        <v>189</v>
      </c>
      <c r="C83" s="3975">
        <v>170</v>
      </c>
    </row>
    <row r="84" spans="1:3">
      <c r="A84" s="3974" t="s">
        <v>7757</v>
      </c>
      <c r="B84" s="570">
        <v>101</v>
      </c>
      <c r="C84" s="3975">
        <v>235</v>
      </c>
    </row>
    <row r="85" spans="1:3">
      <c r="A85" s="3974" t="s">
        <v>7758</v>
      </c>
      <c r="B85" s="570">
        <v>93</v>
      </c>
      <c r="C85" s="3975">
        <v>44</v>
      </c>
    </row>
    <row r="86" spans="1:3">
      <c r="A86" s="3974" t="s">
        <v>7759</v>
      </c>
      <c r="B86" s="570">
        <v>61</v>
      </c>
      <c r="C86" s="3975">
        <v>140</v>
      </c>
    </row>
    <row r="87" spans="1:3">
      <c r="A87" s="3974" t="s">
        <v>7760</v>
      </c>
      <c r="B87" s="570">
        <v>858</v>
      </c>
      <c r="C87" s="3975">
        <v>6</v>
      </c>
    </row>
    <row r="88" spans="1:3" ht="15.75" thickBot="1">
      <c r="A88" s="3979" t="s">
        <v>8</v>
      </c>
      <c r="B88" s="4682">
        <f>SUM(B79:B87)</f>
        <v>2623</v>
      </c>
      <c r="C88" s="3980">
        <f>SUM(C79:C87)</f>
        <v>1780</v>
      </c>
    </row>
  </sheetData>
  <mergeCells count="1">
    <mergeCell ref="A1:I1"/>
  </mergeCells>
  <hyperlinks>
    <hyperlink ref="A1" location="GLOBAAL!A1" display="TM 1 Personeel" xr:uid="{00000000-0004-0000-5F00-000000000000}"/>
    <hyperlink ref="A1:I1" location="ICT!A1" display="TM 1 Personeel" xr:uid="{00000000-0004-0000-5F00-000001000000}"/>
  </hyperlink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2C637C"/>
  </sheetPr>
  <dimension ref="A1:AH539"/>
  <sheetViews>
    <sheetView topLeftCell="A146" zoomScaleNormal="100" workbookViewId="0">
      <selection activeCell="F511" sqref="F511"/>
    </sheetView>
  </sheetViews>
  <sheetFormatPr defaultRowHeight="12.75"/>
  <cols>
    <col min="1" max="1" width="68.28515625" style="1396" bestFit="1" customWidth="1"/>
    <col min="2" max="2" width="10" style="1396" bestFit="1" customWidth="1"/>
    <col min="3" max="3" width="20.5703125" style="1396" bestFit="1" customWidth="1"/>
    <col min="4" max="4" width="9.7109375" style="1396" bestFit="1" customWidth="1"/>
    <col min="5" max="5" width="19.7109375" style="1396" customWidth="1"/>
    <col min="6" max="6" width="27.85546875" style="1396" customWidth="1"/>
    <col min="7" max="7" width="14.140625" style="1396" customWidth="1"/>
    <col min="8" max="8" width="12" style="1396" customWidth="1"/>
    <col min="9" max="9" width="9.85546875" style="1396" customWidth="1"/>
    <col min="10" max="11" width="11" style="1396" bestFit="1" customWidth="1"/>
    <col min="12" max="12" width="9.140625" style="1396" customWidth="1"/>
    <col min="13" max="13" width="6.85546875" style="1396" customWidth="1"/>
    <col min="14" max="14" width="7.42578125" style="1396" bestFit="1" customWidth="1"/>
    <col min="15" max="15" width="11" style="1396" customWidth="1"/>
    <col min="16" max="16" width="6.140625" style="1396" bestFit="1" customWidth="1"/>
    <col min="17" max="17" width="6" style="1396" bestFit="1" customWidth="1"/>
    <col min="18" max="18" width="18.7109375" style="1396" bestFit="1" customWidth="1"/>
    <col min="19" max="19" width="21.42578125" style="1396" customWidth="1"/>
    <col min="20" max="20" width="9.140625" style="1396" customWidth="1"/>
    <col min="21" max="256" width="9.140625" style="1396"/>
    <col min="257" max="257" width="68.28515625" style="1396" bestFit="1" customWidth="1"/>
    <col min="258" max="258" width="10" style="1396" bestFit="1" customWidth="1"/>
    <col min="259" max="259" width="20.5703125" style="1396" bestFit="1" customWidth="1"/>
    <col min="260" max="260" width="9.7109375" style="1396" bestFit="1" customWidth="1"/>
    <col min="261" max="261" width="19.7109375" style="1396" customWidth="1"/>
    <col min="262" max="262" width="22" style="1396" customWidth="1"/>
    <col min="263" max="263" width="14.140625" style="1396" customWidth="1"/>
    <col min="264" max="264" width="12" style="1396" customWidth="1"/>
    <col min="265" max="265" width="9.85546875" style="1396" customWidth="1"/>
    <col min="266" max="267" width="11" style="1396" bestFit="1" customWidth="1"/>
    <col min="268" max="268" width="9.140625" style="1396"/>
    <col min="269" max="269" width="6" style="1396" bestFit="1" customWidth="1"/>
    <col min="270" max="270" width="7.42578125" style="1396" bestFit="1" customWidth="1"/>
    <col min="271" max="271" width="11" style="1396" customWidth="1"/>
    <col min="272" max="272" width="6.140625" style="1396" bestFit="1" customWidth="1"/>
    <col min="273" max="273" width="6" style="1396" bestFit="1" customWidth="1"/>
    <col min="274" max="274" width="18.7109375" style="1396" bestFit="1" customWidth="1"/>
    <col min="275" max="275" width="21.42578125" style="1396" customWidth="1"/>
    <col min="276" max="512" width="9.140625" style="1396"/>
    <col min="513" max="513" width="68.28515625" style="1396" bestFit="1" customWidth="1"/>
    <col min="514" max="514" width="10" style="1396" bestFit="1" customWidth="1"/>
    <col min="515" max="515" width="20.5703125" style="1396" bestFit="1" customWidth="1"/>
    <col min="516" max="516" width="9.7109375" style="1396" bestFit="1" customWidth="1"/>
    <col min="517" max="517" width="19.7109375" style="1396" customWidth="1"/>
    <col min="518" max="518" width="22" style="1396" customWidth="1"/>
    <col min="519" max="519" width="14.140625" style="1396" customWidth="1"/>
    <col min="520" max="520" width="12" style="1396" customWidth="1"/>
    <col min="521" max="521" width="9.85546875" style="1396" customWidth="1"/>
    <col min="522" max="523" width="11" style="1396" bestFit="1" customWidth="1"/>
    <col min="524" max="524" width="9.140625" style="1396"/>
    <col min="525" max="525" width="6" style="1396" bestFit="1" customWidth="1"/>
    <col min="526" max="526" width="7.42578125" style="1396" bestFit="1" customWidth="1"/>
    <col min="527" max="527" width="11" style="1396" customWidth="1"/>
    <col min="528" max="528" width="6.140625" style="1396" bestFit="1" customWidth="1"/>
    <col min="529" max="529" width="6" style="1396" bestFit="1" customWidth="1"/>
    <col min="530" max="530" width="18.7109375" style="1396" bestFit="1" customWidth="1"/>
    <col min="531" max="531" width="21.42578125" style="1396" customWidth="1"/>
    <col min="532" max="768" width="9.140625" style="1396"/>
    <col min="769" max="769" width="68.28515625" style="1396" bestFit="1" customWidth="1"/>
    <col min="770" max="770" width="10" style="1396" bestFit="1" customWidth="1"/>
    <col min="771" max="771" width="20.5703125" style="1396" bestFit="1" customWidth="1"/>
    <col min="772" max="772" width="9.7109375" style="1396" bestFit="1" customWidth="1"/>
    <col min="773" max="773" width="19.7109375" style="1396" customWidth="1"/>
    <col min="774" max="774" width="22" style="1396" customWidth="1"/>
    <col min="775" max="775" width="14.140625" style="1396" customWidth="1"/>
    <col min="776" max="776" width="12" style="1396" customWidth="1"/>
    <col min="777" max="777" width="9.85546875" style="1396" customWidth="1"/>
    <col min="778" max="779" width="11" style="1396" bestFit="1" customWidth="1"/>
    <col min="780" max="780" width="9.140625" style="1396"/>
    <col min="781" max="781" width="6" style="1396" bestFit="1" customWidth="1"/>
    <col min="782" max="782" width="7.42578125" style="1396" bestFit="1" customWidth="1"/>
    <col min="783" max="783" width="11" style="1396" customWidth="1"/>
    <col min="784" max="784" width="6.140625" style="1396" bestFit="1" customWidth="1"/>
    <col min="785" max="785" width="6" style="1396" bestFit="1" customWidth="1"/>
    <col min="786" max="786" width="18.7109375" style="1396" bestFit="1" customWidth="1"/>
    <col min="787" max="787" width="21.42578125" style="1396" customWidth="1"/>
    <col min="788" max="1024" width="9.140625" style="1396"/>
    <col min="1025" max="1025" width="68.28515625" style="1396" bestFit="1" customWidth="1"/>
    <col min="1026" max="1026" width="10" style="1396" bestFit="1" customWidth="1"/>
    <col min="1027" max="1027" width="20.5703125" style="1396" bestFit="1" customWidth="1"/>
    <col min="1028" max="1028" width="9.7109375" style="1396" bestFit="1" customWidth="1"/>
    <col min="1029" max="1029" width="19.7109375" style="1396" customWidth="1"/>
    <col min="1030" max="1030" width="22" style="1396" customWidth="1"/>
    <col min="1031" max="1031" width="14.140625" style="1396" customWidth="1"/>
    <col min="1032" max="1032" width="12" style="1396" customWidth="1"/>
    <col min="1033" max="1033" width="9.85546875" style="1396" customWidth="1"/>
    <col min="1034" max="1035" width="11" style="1396" bestFit="1" customWidth="1"/>
    <col min="1036" max="1036" width="9.140625" style="1396"/>
    <col min="1037" max="1037" width="6" style="1396" bestFit="1" customWidth="1"/>
    <col min="1038" max="1038" width="7.42578125" style="1396" bestFit="1" customWidth="1"/>
    <col min="1039" max="1039" width="11" style="1396" customWidth="1"/>
    <col min="1040" max="1040" width="6.140625" style="1396" bestFit="1" customWidth="1"/>
    <col min="1041" max="1041" width="6" style="1396" bestFit="1" customWidth="1"/>
    <col min="1042" max="1042" width="18.7109375" style="1396" bestFit="1" customWidth="1"/>
    <col min="1043" max="1043" width="21.42578125" style="1396" customWidth="1"/>
    <col min="1044" max="1280" width="9.140625" style="1396"/>
    <col min="1281" max="1281" width="68.28515625" style="1396" bestFit="1" customWidth="1"/>
    <col min="1282" max="1282" width="10" style="1396" bestFit="1" customWidth="1"/>
    <col min="1283" max="1283" width="20.5703125" style="1396" bestFit="1" customWidth="1"/>
    <col min="1284" max="1284" width="9.7109375" style="1396" bestFit="1" customWidth="1"/>
    <col min="1285" max="1285" width="19.7109375" style="1396" customWidth="1"/>
    <col min="1286" max="1286" width="22" style="1396" customWidth="1"/>
    <col min="1287" max="1287" width="14.140625" style="1396" customWidth="1"/>
    <col min="1288" max="1288" width="12" style="1396" customWidth="1"/>
    <col min="1289" max="1289" width="9.85546875" style="1396" customWidth="1"/>
    <col min="1290" max="1291" width="11" style="1396" bestFit="1" customWidth="1"/>
    <col min="1292" max="1292" width="9.140625" style="1396"/>
    <col min="1293" max="1293" width="6" style="1396" bestFit="1" customWidth="1"/>
    <col min="1294" max="1294" width="7.42578125" style="1396" bestFit="1" customWidth="1"/>
    <col min="1295" max="1295" width="11" style="1396" customWidth="1"/>
    <col min="1296" max="1296" width="6.140625" style="1396" bestFit="1" customWidth="1"/>
    <col min="1297" max="1297" width="6" style="1396" bestFit="1" customWidth="1"/>
    <col min="1298" max="1298" width="18.7109375" style="1396" bestFit="1" customWidth="1"/>
    <col min="1299" max="1299" width="21.42578125" style="1396" customWidth="1"/>
    <col min="1300" max="1536" width="9.140625" style="1396"/>
    <col min="1537" max="1537" width="68.28515625" style="1396" bestFit="1" customWidth="1"/>
    <col min="1538" max="1538" width="10" style="1396" bestFit="1" customWidth="1"/>
    <col min="1539" max="1539" width="20.5703125" style="1396" bestFit="1" customWidth="1"/>
    <col min="1540" max="1540" width="9.7109375" style="1396" bestFit="1" customWidth="1"/>
    <col min="1541" max="1541" width="19.7109375" style="1396" customWidth="1"/>
    <col min="1542" max="1542" width="22" style="1396" customWidth="1"/>
    <col min="1543" max="1543" width="14.140625" style="1396" customWidth="1"/>
    <col min="1544" max="1544" width="12" style="1396" customWidth="1"/>
    <col min="1545" max="1545" width="9.85546875" style="1396" customWidth="1"/>
    <col min="1546" max="1547" width="11" style="1396" bestFit="1" customWidth="1"/>
    <col min="1548" max="1548" width="9.140625" style="1396"/>
    <col min="1549" max="1549" width="6" style="1396" bestFit="1" customWidth="1"/>
    <col min="1550" max="1550" width="7.42578125" style="1396" bestFit="1" customWidth="1"/>
    <col min="1551" max="1551" width="11" style="1396" customWidth="1"/>
    <col min="1552" max="1552" width="6.140625" style="1396" bestFit="1" customWidth="1"/>
    <col min="1553" max="1553" width="6" style="1396" bestFit="1" customWidth="1"/>
    <col min="1554" max="1554" width="18.7109375" style="1396" bestFit="1" customWidth="1"/>
    <col min="1555" max="1555" width="21.42578125" style="1396" customWidth="1"/>
    <col min="1556" max="1792" width="9.140625" style="1396"/>
    <col min="1793" max="1793" width="68.28515625" style="1396" bestFit="1" customWidth="1"/>
    <col min="1794" max="1794" width="10" style="1396" bestFit="1" customWidth="1"/>
    <col min="1795" max="1795" width="20.5703125" style="1396" bestFit="1" customWidth="1"/>
    <col min="1796" max="1796" width="9.7109375" style="1396" bestFit="1" customWidth="1"/>
    <col min="1797" max="1797" width="19.7109375" style="1396" customWidth="1"/>
    <col min="1798" max="1798" width="22" style="1396" customWidth="1"/>
    <col min="1799" max="1799" width="14.140625" style="1396" customWidth="1"/>
    <col min="1800" max="1800" width="12" style="1396" customWidth="1"/>
    <col min="1801" max="1801" width="9.85546875" style="1396" customWidth="1"/>
    <col min="1802" max="1803" width="11" style="1396" bestFit="1" customWidth="1"/>
    <col min="1804" max="1804" width="9.140625" style="1396"/>
    <col min="1805" max="1805" width="6" style="1396" bestFit="1" customWidth="1"/>
    <col min="1806" max="1806" width="7.42578125" style="1396" bestFit="1" customWidth="1"/>
    <col min="1807" max="1807" width="11" style="1396" customWidth="1"/>
    <col min="1808" max="1808" width="6.140625" style="1396" bestFit="1" customWidth="1"/>
    <col min="1809" max="1809" width="6" style="1396" bestFit="1" customWidth="1"/>
    <col min="1810" max="1810" width="18.7109375" style="1396" bestFit="1" customWidth="1"/>
    <col min="1811" max="1811" width="21.42578125" style="1396" customWidth="1"/>
    <col min="1812" max="2048" width="9.140625" style="1396"/>
    <col min="2049" max="2049" width="68.28515625" style="1396" bestFit="1" customWidth="1"/>
    <col min="2050" max="2050" width="10" style="1396" bestFit="1" customWidth="1"/>
    <col min="2051" max="2051" width="20.5703125" style="1396" bestFit="1" customWidth="1"/>
    <col min="2052" max="2052" width="9.7109375" style="1396" bestFit="1" customWidth="1"/>
    <col min="2053" max="2053" width="19.7109375" style="1396" customWidth="1"/>
    <col min="2054" max="2054" width="22" style="1396" customWidth="1"/>
    <col min="2055" max="2055" width="14.140625" style="1396" customWidth="1"/>
    <col min="2056" max="2056" width="12" style="1396" customWidth="1"/>
    <col min="2057" max="2057" width="9.85546875" style="1396" customWidth="1"/>
    <col min="2058" max="2059" width="11" style="1396" bestFit="1" customWidth="1"/>
    <col min="2060" max="2060" width="9.140625" style="1396"/>
    <col min="2061" max="2061" width="6" style="1396" bestFit="1" customWidth="1"/>
    <col min="2062" max="2062" width="7.42578125" style="1396" bestFit="1" customWidth="1"/>
    <col min="2063" max="2063" width="11" style="1396" customWidth="1"/>
    <col min="2064" max="2064" width="6.140625" style="1396" bestFit="1" customWidth="1"/>
    <col min="2065" max="2065" width="6" style="1396" bestFit="1" customWidth="1"/>
    <col min="2066" max="2066" width="18.7109375" style="1396" bestFit="1" customWidth="1"/>
    <col min="2067" max="2067" width="21.42578125" style="1396" customWidth="1"/>
    <col min="2068" max="2304" width="9.140625" style="1396"/>
    <col min="2305" max="2305" width="68.28515625" style="1396" bestFit="1" customWidth="1"/>
    <col min="2306" max="2306" width="10" style="1396" bestFit="1" customWidth="1"/>
    <col min="2307" max="2307" width="20.5703125" style="1396" bestFit="1" customWidth="1"/>
    <col min="2308" max="2308" width="9.7109375" style="1396" bestFit="1" customWidth="1"/>
    <col min="2309" max="2309" width="19.7109375" style="1396" customWidth="1"/>
    <col min="2310" max="2310" width="22" style="1396" customWidth="1"/>
    <col min="2311" max="2311" width="14.140625" style="1396" customWidth="1"/>
    <col min="2312" max="2312" width="12" style="1396" customWidth="1"/>
    <col min="2313" max="2313" width="9.85546875" style="1396" customWidth="1"/>
    <col min="2314" max="2315" width="11" style="1396" bestFit="1" customWidth="1"/>
    <col min="2316" max="2316" width="9.140625" style="1396"/>
    <col min="2317" max="2317" width="6" style="1396" bestFit="1" customWidth="1"/>
    <col min="2318" max="2318" width="7.42578125" style="1396" bestFit="1" customWidth="1"/>
    <col min="2319" max="2319" width="11" style="1396" customWidth="1"/>
    <col min="2320" max="2320" width="6.140625" style="1396" bestFit="1" customWidth="1"/>
    <col min="2321" max="2321" width="6" style="1396" bestFit="1" customWidth="1"/>
    <col min="2322" max="2322" width="18.7109375" style="1396" bestFit="1" customWidth="1"/>
    <col min="2323" max="2323" width="21.42578125" style="1396" customWidth="1"/>
    <col min="2324" max="2560" width="9.140625" style="1396"/>
    <col min="2561" max="2561" width="68.28515625" style="1396" bestFit="1" customWidth="1"/>
    <col min="2562" max="2562" width="10" style="1396" bestFit="1" customWidth="1"/>
    <col min="2563" max="2563" width="20.5703125" style="1396" bestFit="1" customWidth="1"/>
    <col min="2564" max="2564" width="9.7109375" style="1396" bestFit="1" customWidth="1"/>
    <col min="2565" max="2565" width="19.7109375" style="1396" customWidth="1"/>
    <col min="2566" max="2566" width="22" style="1396" customWidth="1"/>
    <col min="2567" max="2567" width="14.140625" style="1396" customWidth="1"/>
    <col min="2568" max="2568" width="12" style="1396" customWidth="1"/>
    <col min="2569" max="2569" width="9.85546875" style="1396" customWidth="1"/>
    <col min="2570" max="2571" width="11" style="1396" bestFit="1" customWidth="1"/>
    <col min="2572" max="2572" width="9.140625" style="1396"/>
    <col min="2573" max="2573" width="6" style="1396" bestFit="1" customWidth="1"/>
    <col min="2574" max="2574" width="7.42578125" style="1396" bestFit="1" customWidth="1"/>
    <col min="2575" max="2575" width="11" style="1396" customWidth="1"/>
    <col min="2576" max="2576" width="6.140625" style="1396" bestFit="1" customWidth="1"/>
    <col min="2577" max="2577" width="6" style="1396" bestFit="1" customWidth="1"/>
    <col min="2578" max="2578" width="18.7109375" style="1396" bestFit="1" customWidth="1"/>
    <col min="2579" max="2579" width="21.42578125" style="1396" customWidth="1"/>
    <col min="2580" max="2816" width="9.140625" style="1396"/>
    <col min="2817" max="2817" width="68.28515625" style="1396" bestFit="1" customWidth="1"/>
    <col min="2818" max="2818" width="10" style="1396" bestFit="1" customWidth="1"/>
    <col min="2819" max="2819" width="20.5703125" style="1396" bestFit="1" customWidth="1"/>
    <col min="2820" max="2820" width="9.7109375" style="1396" bestFit="1" customWidth="1"/>
    <col min="2821" max="2821" width="19.7109375" style="1396" customWidth="1"/>
    <col min="2822" max="2822" width="22" style="1396" customWidth="1"/>
    <col min="2823" max="2823" width="14.140625" style="1396" customWidth="1"/>
    <col min="2824" max="2824" width="12" style="1396" customWidth="1"/>
    <col min="2825" max="2825" width="9.85546875" style="1396" customWidth="1"/>
    <col min="2826" max="2827" width="11" style="1396" bestFit="1" customWidth="1"/>
    <col min="2828" max="2828" width="9.140625" style="1396"/>
    <col min="2829" max="2829" width="6" style="1396" bestFit="1" customWidth="1"/>
    <col min="2830" max="2830" width="7.42578125" style="1396" bestFit="1" customWidth="1"/>
    <col min="2831" max="2831" width="11" style="1396" customWidth="1"/>
    <col min="2832" max="2832" width="6.140625" style="1396" bestFit="1" customWidth="1"/>
    <col min="2833" max="2833" width="6" style="1396" bestFit="1" customWidth="1"/>
    <col min="2834" max="2834" width="18.7109375" style="1396" bestFit="1" customWidth="1"/>
    <col min="2835" max="2835" width="21.42578125" style="1396" customWidth="1"/>
    <col min="2836" max="3072" width="9.140625" style="1396"/>
    <col min="3073" max="3073" width="68.28515625" style="1396" bestFit="1" customWidth="1"/>
    <col min="3074" max="3074" width="10" style="1396" bestFit="1" customWidth="1"/>
    <col min="3075" max="3075" width="20.5703125" style="1396" bestFit="1" customWidth="1"/>
    <col min="3076" max="3076" width="9.7109375" style="1396" bestFit="1" customWidth="1"/>
    <col min="3077" max="3077" width="19.7109375" style="1396" customWidth="1"/>
    <col min="3078" max="3078" width="22" style="1396" customWidth="1"/>
    <col min="3079" max="3079" width="14.140625" style="1396" customWidth="1"/>
    <col min="3080" max="3080" width="12" style="1396" customWidth="1"/>
    <col min="3081" max="3081" width="9.85546875" style="1396" customWidth="1"/>
    <col min="3082" max="3083" width="11" style="1396" bestFit="1" customWidth="1"/>
    <col min="3084" max="3084" width="9.140625" style="1396"/>
    <col min="3085" max="3085" width="6" style="1396" bestFit="1" customWidth="1"/>
    <col min="3086" max="3086" width="7.42578125" style="1396" bestFit="1" customWidth="1"/>
    <col min="3087" max="3087" width="11" style="1396" customWidth="1"/>
    <col min="3088" max="3088" width="6.140625" style="1396" bestFit="1" customWidth="1"/>
    <col min="3089" max="3089" width="6" style="1396" bestFit="1" customWidth="1"/>
    <col min="3090" max="3090" width="18.7109375" style="1396" bestFit="1" customWidth="1"/>
    <col min="3091" max="3091" width="21.42578125" style="1396" customWidth="1"/>
    <col min="3092" max="3328" width="9.140625" style="1396"/>
    <col min="3329" max="3329" width="68.28515625" style="1396" bestFit="1" customWidth="1"/>
    <col min="3330" max="3330" width="10" style="1396" bestFit="1" customWidth="1"/>
    <col min="3331" max="3331" width="20.5703125" style="1396" bestFit="1" customWidth="1"/>
    <col min="3332" max="3332" width="9.7109375" style="1396" bestFit="1" customWidth="1"/>
    <col min="3333" max="3333" width="19.7109375" style="1396" customWidth="1"/>
    <col min="3334" max="3334" width="22" style="1396" customWidth="1"/>
    <col min="3335" max="3335" width="14.140625" style="1396" customWidth="1"/>
    <col min="3336" max="3336" width="12" style="1396" customWidth="1"/>
    <col min="3337" max="3337" width="9.85546875" style="1396" customWidth="1"/>
    <col min="3338" max="3339" width="11" style="1396" bestFit="1" customWidth="1"/>
    <col min="3340" max="3340" width="9.140625" style="1396"/>
    <col min="3341" max="3341" width="6" style="1396" bestFit="1" customWidth="1"/>
    <col min="3342" max="3342" width="7.42578125" style="1396" bestFit="1" customWidth="1"/>
    <col min="3343" max="3343" width="11" style="1396" customWidth="1"/>
    <col min="3344" max="3344" width="6.140625" style="1396" bestFit="1" customWidth="1"/>
    <col min="3345" max="3345" width="6" style="1396" bestFit="1" customWidth="1"/>
    <col min="3346" max="3346" width="18.7109375" style="1396" bestFit="1" customWidth="1"/>
    <col min="3347" max="3347" width="21.42578125" style="1396" customWidth="1"/>
    <col min="3348" max="3584" width="9.140625" style="1396"/>
    <col min="3585" max="3585" width="68.28515625" style="1396" bestFit="1" customWidth="1"/>
    <col min="3586" max="3586" width="10" style="1396" bestFit="1" customWidth="1"/>
    <col min="3587" max="3587" width="20.5703125" style="1396" bestFit="1" customWidth="1"/>
    <col min="3588" max="3588" width="9.7109375" style="1396" bestFit="1" customWidth="1"/>
    <col min="3589" max="3589" width="19.7109375" style="1396" customWidth="1"/>
    <col min="3590" max="3590" width="22" style="1396" customWidth="1"/>
    <col min="3591" max="3591" width="14.140625" style="1396" customWidth="1"/>
    <col min="3592" max="3592" width="12" style="1396" customWidth="1"/>
    <col min="3593" max="3593" width="9.85546875" style="1396" customWidth="1"/>
    <col min="3594" max="3595" width="11" style="1396" bestFit="1" customWidth="1"/>
    <col min="3596" max="3596" width="9.140625" style="1396"/>
    <col min="3597" max="3597" width="6" style="1396" bestFit="1" customWidth="1"/>
    <col min="3598" max="3598" width="7.42578125" style="1396" bestFit="1" customWidth="1"/>
    <col min="3599" max="3599" width="11" style="1396" customWidth="1"/>
    <col min="3600" max="3600" width="6.140625" style="1396" bestFit="1" customWidth="1"/>
    <col min="3601" max="3601" width="6" style="1396" bestFit="1" customWidth="1"/>
    <col min="3602" max="3602" width="18.7109375" style="1396" bestFit="1" customWidth="1"/>
    <col min="3603" max="3603" width="21.42578125" style="1396" customWidth="1"/>
    <col min="3604" max="3840" width="9.140625" style="1396"/>
    <col min="3841" max="3841" width="68.28515625" style="1396" bestFit="1" customWidth="1"/>
    <col min="3842" max="3842" width="10" style="1396" bestFit="1" customWidth="1"/>
    <col min="3843" max="3843" width="20.5703125" style="1396" bestFit="1" customWidth="1"/>
    <col min="3844" max="3844" width="9.7109375" style="1396" bestFit="1" customWidth="1"/>
    <col min="3845" max="3845" width="19.7109375" style="1396" customWidth="1"/>
    <col min="3846" max="3846" width="22" style="1396" customWidth="1"/>
    <col min="3847" max="3847" width="14.140625" style="1396" customWidth="1"/>
    <col min="3848" max="3848" width="12" style="1396" customWidth="1"/>
    <col min="3849" max="3849" width="9.85546875" style="1396" customWidth="1"/>
    <col min="3850" max="3851" width="11" style="1396" bestFit="1" customWidth="1"/>
    <col min="3852" max="3852" width="9.140625" style="1396"/>
    <col min="3853" max="3853" width="6" style="1396" bestFit="1" customWidth="1"/>
    <col min="3854" max="3854" width="7.42578125" style="1396" bestFit="1" customWidth="1"/>
    <col min="3855" max="3855" width="11" style="1396" customWidth="1"/>
    <col min="3856" max="3856" width="6.140625" style="1396" bestFit="1" customWidth="1"/>
    <col min="3857" max="3857" width="6" style="1396" bestFit="1" customWidth="1"/>
    <col min="3858" max="3858" width="18.7109375" style="1396" bestFit="1" customWidth="1"/>
    <col min="3859" max="3859" width="21.42578125" style="1396" customWidth="1"/>
    <col min="3860" max="4096" width="9.140625" style="1396"/>
    <col min="4097" max="4097" width="68.28515625" style="1396" bestFit="1" customWidth="1"/>
    <col min="4098" max="4098" width="10" style="1396" bestFit="1" customWidth="1"/>
    <col min="4099" max="4099" width="20.5703125" style="1396" bestFit="1" customWidth="1"/>
    <col min="4100" max="4100" width="9.7109375" style="1396" bestFit="1" customWidth="1"/>
    <col min="4101" max="4101" width="19.7109375" style="1396" customWidth="1"/>
    <col min="4102" max="4102" width="22" style="1396" customWidth="1"/>
    <col min="4103" max="4103" width="14.140625" style="1396" customWidth="1"/>
    <col min="4104" max="4104" width="12" style="1396" customWidth="1"/>
    <col min="4105" max="4105" width="9.85546875" style="1396" customWidth="1"/>
    <col min="4106" max="4107" width="11" style="1396" bestFit="1" customWidth="1"/>
    <col min="4108" max="4108" width="9.140625" style="1396"/>
    <col min="4109" max="4109" width="6" style="1396" bestFit="1" customWidth="1"/>
    <col min="4110" max="4110" width="7.42578125" style="1396" bestFit="1" customWidth="1"/>
    <col min="4111" max="4111" width="11" style="1396" customWidth="1"/>
    <col min="4112" max="4112" width="6.140625" style="1396" bestFit="1" customWidth="1"/>
    <col min="4113" max="4113" width="6" style="1396" bestFit="1" customWidth="1"/>
    <col min="4114" max="4114" width="18.7109375" style="1396" bestFit="1" customWidth="1"/>
    <col min="4115" max="4115" width="21.42578125" style="1396" customWidth="1"/>
    <col min="4116" max="4352" width="9.140625" style="1396"/>
    <col min="4353" max="4353" width="68.28515625" style="1396" bestFit="1" customWidth="1"/>
    <col min="4354" max="4354" width="10" style="1396" bestFit="1" customWidth="1"/>
    <col min="4355" max="4355" width="20.5703125" style="1396" bestFit="1" customWidth="1"/>
    <col min="4356" max="4356" width="9.7109375" style="1396" bestFit="1" customWidth="1"/>
    <col min="4357" max="4357" width="19.7109375" style="1396" customWidth="1"/>
    <col min="4358" max="4358" width="22" style="1396" customWidth="1"/>
    <col min="4359" max="4359" width="14.140625" style="1396" customWidth="1"/>
    <col min="4360" max="4360" width="12" style="1396" customWidth="1"/>
    <col min="4361" max="4361" width="9.85546875" style="1396" customWidth="1"/>
    <col min="4362" max="4363" width="11" style="1396" bestFit="1" customWidth="1"/>
    <col min="4364" max="4364" width="9.140625" style="1396"/>
    <col min="4365" max="4365" width="6" style="1396" bestFit="1" customWidth="1"/>
    <col min="4366" max="4366" width="7.42578125" style="1396" bestFit="1" customWidth="1"/>
    <col min="4367" max="4367" width="11" style="1396" customWidth="1"/>
    <col min="4368" max="4368" width="6.140625" style="1396" bestFit="1" customWidth="1"/>
    <col min="4369" max="4369" width="6" style="1396" bestFit="1" customWidth="1"/>
    <col min="4370" max="4370" width="18.7109375" style="1396" bestFit="1" customWidth="1"/>
    <col min="4371" max="4371" width="21.42578125" style="1396" customWidth="1"/>
    <col min="4372" max="4608" width="9.140625" style="1396"/>
    <col min="4609" max="4609" width="68.28515625" style="1396" bestFit="1" customWidth="1"/>
    <col min="4610" max="4610" width="10" style="1396" bestFit="1" customWidth="1"/>
    <col min="4611" max="4611" width="20.5703125" style="1396" bestFit="1" customWidth="1"/>
    <col min="4612" max="4612" width="9.7109375" style="1396" bestFit="1" customWidth="1"/>
    <col min="4613" max="4613" width="19.7109375" style="1396" customWidth="1"/>
    <col min="4614" max="4614" width="22" style="1396" customWidth="1"/>
    <col min="4615" max="4615" width="14.140625" style="1396" customWidth="1"/>
    <col min="4616" max="4616" width="12" style="1396" customWidth="1"/>
    <col min="4617" max="4617" width="9.85546875" style="1396" customWidth="1"/>
    <col min="4618" max="4619" width="11" style="1396" bestFit="1" customWidth="1"/>
    <col min="4620" max="4620" width="9.140625" style="1396"/>
    <col min="4621" max="4621" width="6" style="1396" bestFit="1" customWidth="1"/>
    <col min="4622" max="4622" width="7.42578125" style="1396" bestFit="1" customWidth="1"/>
    <col min="4623" max="4623" width="11" style="1396" customWidth="1"/>
    <col min="4624" max="4624" width="6.140625" style="1396" bestFit="1" customWidth="1"/>
    <col min="4625" max="4625" width="6" style="1396" bestFit="1" customWidth="1"/>
    <col min="4626" max="4626" width="18.7109375" style="1396" bestFit="1" customWidth="1"/>
    <col min="4627" max="4627" width="21.42578125" style="1396" customWidth="1"/>
    <col min="4628" max="4864" width="9.140625" style="1396"/>
    <col min="4865" max="4865" width="68.28515625" style="1396" bestFit="1" customWidth="1"/>
    <col min="4866" max="4866" width="10" style="1396" bestFit="1" customWidth="1"/>
    <col min="4867" max="4867" width="20.5703125" style="1396" bestFit="1" customWidth="1"/>
    <col min="4868" max="4868" width="9.7109375" style="1396" bestFit="1" customWidth="1"/>
    <col min="4869" max="4869" width="19.7109375" style="1396" customWidth="1"/>
    <col min="4870" max="4870" width="22" style="1396" customWidth="1"/>
    <col min="4871" max="4871" width="14.140625" style="1396" customWidth="1"/>
    <col min="4872" max="4872" width="12" style="1396" customWidth="1"/>
    <col min="4873" max="4873" width="9.85546875" style="1396" customWidth="1"/>
    <col min="4874" max="4875" width="11" style="1396" bestFit="1" customWidth="1"/>
    <col min="4876" max="4876" width="9.140625" style="1396"/>
    <col min="4877" max="4877" width="6" style="1396" bestFit="1" customWidth="1"/>
    <col min="4878" max="4878" width="7.42578125" style="1396" bestFit="1" customWidth="1"/>
    <col min="4879" max="4879" width="11" style="1396" customWidth="1"/>
    <col min="4880" max="4880" width="6.140625" style="1396" bestFit="1" customWidth="1"/>
    <col min="4881" max="4881" width="6" style="1396" bestFit="1" customWidth="1"/>
    <col min="4882" max="4882" width="18.7109375" style="1396" bestFit="1" customWidth="1"/>
    <col min="4883" max="4883" width="21.42578125" style="1396" customWidth="1"/>
    <col min="4884" max="5120" width="9.140625" style="1396"/>
    <col min="5121" max="5121" width="68.28515625" style="1396" bestFit="1" customWidth="1"/>
    <col min="5122" max="5122" width="10" style="1396" bestFit="1" customWidth="1"/>
    <col min="5123" max="5123" width="20.5703125" style="1396" bestFit="1" customWidth="1"/>
    <col min="5124" max="5124" width="9.7109375" style="1396" bestFit="1" customWidth="1"/>
    <col min="5125" max="5125" width="19.7109375" style="1396" customWidth="1"/>
    <col min="5126" max="5126" width="22" style="1396" customWidth="1"/>
    <col min="5127" max="5127" width="14.140625" style="1396" customWidth="1"/>
    <col min="5128" max="5128" width="12" style="1396" customWidth="1"/>
    <col min="5129" max="5129" width="9.85546875" style="1396" customWidth="1"/>
    <col min="5130" max="5131" width="11" style="1396" bestFit="1" customWidth="1"/>
    <col min="5132" max="5132" width="9.140625" style="1396"/>
    <col min="5133" max="5133" width="6" style="1396" bestFit="1" customWidth="1"/>
    <col min="5134" max="5134" width="7.42578125" style="1396" bestFit="1" customWidth="1"/>
    <col min="5135" max="5135" width="11" style="1396" customWidth="1"/>
    <col min="5136" max="5136" width="6.140625" style="1396" bestFit="1" customWidth="1"/>
    <col min="5137" max="5137" width="6" style="1396" bestFit="1" customWidth="1"/>
    <col min="5138" max="5138" width="18.7109375" style="1396" bestFit="1" customWidth="1"/>
    <col min="5139" max="5139" width="21.42578125" style="1396" customWidth="1"/>
    <col min="5140" max="5376" width="9.140625" style="1396"/>
    <col min="5377" max="5377" width="68.28515625" style="1396" bestFit="1" customWidth="1"/>
    <col min="5378" max="5378" width="10" style="1396" bestFit="1" customWidth="1"/>
    <col min="5379" max="5379" width="20.5703125" style="1396" bestFit="1" customWidth="1"/>
    <col min="5380" max="5380" width="9.7109375" style="1396" bestFit="1" customWidth="1"/>
    <col min="5381" max="5381" width="19.7109375" style="1396" customWidth="1"/>
    <col min="5382" max="5382" width="22" style="1396" customWidth="1"/>
    <col min="5383" max="5383" width="14.140625" style="1396" customWidth="1"/>
    <col min="5384" max="5384" width="12" style="1396" customWidth="1"/>
    <col min="5385" max="5385" width="9.85546875" style="1396" customWidth="1"/>
    <col min="5386" max="5387" width="11" style="1396" bestFit="1" customWidth="1"/>
    <col min="5388" max="5388" width="9.140625" style="1396"/>
    <col min="5389" max="5389" width="6" style="1396" bestFit="1" customWidth="1"/>
    <col min="5390" max="5390" width="7.42578125" style="1396" bestFit="1" customWidth="1"/>
    <col min="5391" max="5391" width="11" style="1396" customWidth="1"/>
    <col min="5392" max="5392" width="6.140625" style="1396" bestFit="1" customWidth="1"/>
    <col min="5393" max="5393" width="6" style="1396" bestFit="1" customWidth="1"/>
    <col min="5394" max="5394" width="18.7109375" style="1396" bestFit="1" customWidth="1"/>
    <col min="5395" max="5395" width="21.42578125" style="1396" customWidth="1"/>
    <col min="5396" max="5632" width="9.140625" style="1396"/>
    <col min="5633" max="5633" width="68.28515625" style="1396" bestFit="1" customWidth="1"/>
    <col min="5634" max="5634" width="10" style="1396" bestFit="1" customWidth="1"/>
    <col min="5635" max="5635" width="20.5703125" style="1396" bestFit="1" customWidth="1"/>
    <col min="5636" max="5636" width="9.7109375" style="1396" bestFit="1" customWidth="1"/>
    <col min="5637" max="5637" width="19.7109375" style="1396" customWidth="1"/>
    <col min="5638" max="5638" width="22" style="1396" customWidth="1"/>
    <col min="5639" max="5639" width="14.140625" style="1396" customWidth="1"/>
    <col min="5640" max="5640" width="12" style="1396" customWidth="1"/>
    <col min="5641" max="5641" width="9.85546875" style="1396" customWidth="1"/>
    <col min="5642" max="5643" width="11" style="1396" bestFit="1" customWidth="1"/>
    <col min="5644" max="5644" width="9.140625" style="1396"/>
    <col min="5645" max="5645" width="6" style="1396" bestFit="1" customWidth="1"/>
    <col min="5646" max="5646" width="7.42578125" style="1396" bestFit="1" customWidth="1"/>
    <col min="5647" max="5647" width="11" style="1396" customWidth="1"/>
    <col min="5648" max="5648" width="6.140625" style="1396" bestFit="1" customWidth="1"/>
    <col min="5649" max="5649" width="6" style="1396" bestFit="1" customWidth="1"/>
    <col min="5650" max="5650" width="18.7109375" style="1396" bestFit="1" customWidth="1"/>
    <col min="5651" max="5651" width="21.42578125" style="1396" customWidth="1"/>
    <col min="5652" max="5888" width="9.140625" style="1396"/>
    <col min="5889" max="5889" width="68.28515625" style="1396" bestFit="1" customWidth="1"/>
    <col min="5890" max="5890" width="10" style="1396" bestFit="1" customWidth="1"/>
    <col min="5891" max="5891" width="20.5703125" style="1396" bestFit="1" customWidth="1"/>
    <col min="5892" max="5892" width="9.7109375" style="1396" bestFit="1" customWidth="1"/>
    <col min="5893" max="5893" width="19.7109375" style="1396" customWidth="1"/>
    <col min="5894" max="5894" width="22" style="1396" customWidth="1"/>
    <col min="5895" max="5895" width="14.140625" style="1396" customWidth="1"/>
    <col min="5896" max="5896" width="12" style="1396" customWidth="1"/>
    <col min="5897" max="5897" width="9.85546875" style="1396" customWidth="1"/>
    <col min="5898" max="5899" width="11" style="1396" bestFit="1" customWidth="1"/>
    <col min="5900" max="5900" width="9.140625" style="1396"/>
    <col min="5901" max="5901" width="6" style="1396" bestFit="1" customWidth="1"/>
    <col min="5902" max="5902" width="7.42578125" style="1396" bestFit="1" customWidth="1"/>
    <col min="5903" max="5903" width="11" style="1396" customWidth="1"/>
    <col min="5904" max="5904" width="6.140625" style="1396" bestFit="1" customWidth="1"/>
    <col min="5905" max="5905" width="6" style="1396" bestFit="1" customWidth="1"/>
    <col min="5906" max="5906" width="18.7109375" style="1396" bestFit="1" customWidth="1"/>
    <col min="5907" max="5907" width="21.42578125" style="1396" customWidth="1"/>
    <col min="5908" max="6144" width="9.140625" style="1396"/>
    <col min="6145" max="6145" width="68.28515625" style="1396" bestFit="1" customWidth="1"/>
    <col min="6146" max="6146" width="10" style="1396" bestFit="1" customWidth="1"/>
    <col min="6147" max="6147" width="20.5703125" style="1396" bestFit="1" customWidth="1"/>
    <col min="6148" max="6148" width="9.7109375" style="1396" bestFit="1" customWidth="1"/>
    <col min="6149" max="6149" width="19.7109375" style="1396" customWidth="1"/>
    <col min="6150" max="6150" width="22" style="1396" customWidth="1"/>
    <col min="6151" max="6151" width="14.140625" style="1396" customWidth="1"/>
    <col min="6152" max="6152" width="12" style="1396" customWidth="1"/>
    <col min="6153" max="6153" width="9.85546875" style="1396" customWidth="1"/>
    <col min="6154" max="6155" width="11" style="1396" bestFit="1" customWidth="1"/>
    <col min="6156" max="6156" width="9.140625" style="1396"/>
    <col min="6157" max="6157" width="6" style="1396" bestFit="1" customWidth="1"/>
    <col min="6158" max="6158" width="7.42578125" style="1396" bestFit="1" customWidth="1"/>
    <col min="6159" max="6159" width="11" style="1396" customWidth="1"/>
    <col min="6160" max="6160" width="6.140625" style="1396" bestFit="1" customWidth="1"/>
    <col min="6161" max="6161" width="6" style="1396" bestFit="1" customWidth="1"/>
    <col min="6162" max="6162" width="18.7109375" style="1396" bestFit="1" customWidth="1"/>
    <col min="6163" max="6163" width="21.42578125" style="1396" customWidth="1"/>
    <col min="6164" max="6400" width="9.140625" style="1396"/>
    <col min="6401" max="6401" width="68.28515625" style="1396" bestFit="1" customWidth="1"/>
    <col min="6402" max="6402" width="10" style="1396" bestFit="1" customWidth="1"/>
    <col min="6403" max="6403" width="20.5703125" style="1396" bestFit="1" customWidth="1"/>
    <col min="6404" max="6404" width="9.7109375" style="1396" bestFit="1" customWidth="1"/>
    <col min="6405" max="6405" width="19.7109375" style="1396" customWidth="1"/>
    <col min="6406" max="6406" width="22" style="1396" customWidth="1"/>
    <col min="6407" max="6407" width="14.140625" style="1396" customWidth="1"/>
    <col min="6408" max="6408" width="12" style="1396" customWidth="1"/>
    <col min="6409" max="6409" width="9.85546875" style="1396" customWidth="1"/>
    <col min="6410" max="6411" width="11" style="1396" bestFit="1" customWidth="1"/>
    <col min="6412" max="6412" width="9.140625" style="1396"/>
    <col min="6413" max="6413" width="6" style="1396" bestFit="1" customWidth="1"/>
    <col min="6414" max="6414" width="7.42578125" style="1396" bestFit="1" customWidth="1"/>
    <col min="6415" max="6415" width="11" style="1396" customWidth="1"/>
    <col min="6416" max="6416" width="6.140625" style="1396" bestFit="1" customWidth="1"/>
    <col min="6417" max="6417" width="6" style="1396" bestFit="1" customWidth="1"/>
    <col min="6418" max="6418" width="18.7109375" style="1396" bestFit="1" customWidth="1"/>
    <col min="6419" max="6419" width="21.42578125" style="1396" customWidth="1"/>
    <col min="6420" max="6656" width="9.140625" style="1396"/>
    <col min="6657" max="6657" width="68.28515625" style="1396" bestFit="1" customWidth="1"/>
    <col min="6658" max="6658" width="10" style="1396" bestFit="1" customWidth="1"/>
    <col min="6659" max="6659" width="20.5703125" style="1396" bestFit="1" customWidth="1"/>
    <col min="6660" max="6660" width="9.7109375" style="1396" bestFit="1" customWidth="1"/>
    <col min="6661" max="6661" width="19.7109375" style="1396" customWidth="1"/>
    <col min="6662" max="6662" width="22" style="1396" customWidth="1"/>
    <col min="6663" max="6663" width="14.140625" style="1396" customWidth="1"/>
    <col min="6664" max="6664" width="12" style="1396" customWidth="1"/>
    <col min="6665" max="6665" width="9.85546875" style="1396" customWidth="1"/>
    <col min="6666" max="6667" width="11" style="1396" bestFit="1" customWidth="1"/>
    <col min="6668" max="6668" width="9.140625" style="1396"/>
    <col min="6669" max="6669" width="6" style="1396" bestFit="1" customWidth="1"/>
    <col min="6670" max="6670" width="7.42578125" style="1396" bestFit="1" customWidth="1"/>
    <col min="6671" max="6671" width="11" style="1396" customWidth="1"/>
    <col min="6672" max="6672" width="6.140625" style="1396" bestFit="1" customWidth="1"/>
    <col min="6673" max="6673" width="6" style="1396" bestFit="1" customWidth="1"/>
    <col min="6674" max="6674" width="18.7109375" style="1396" bestFit="1" customWidth="1"/>
    <col min="6675" max="6675" width="21.42578125" style="1396" customWidth="1"/>
    <col min="6676" max="6912" width="9.140625" style="1396"/>
    <col min="6913" max="6913" width="68.28515625" style="1396" bestFit="1" customWidth="1"/>
    <col min="6914" max="6914" width="10" style="1396" bestFit="1" customWidth="1"/>
    <col min="6915" max="6915" width="20.5703125" style="1396" bestFit="1" customWidth="1"/>
    <col min="6916" max="6916" width="9.7109375" style="1396" bestFit="1" customWidth="1"/>
    <col min="6917" max="6917" width="19.7109375" style="1396" customWidth="1"/>
    <col min="6918" max="6918" width="22" style="1396" customWidth="1"/>
    <col min="6919" max="6919" width="14.140625" style="1396" customWidth="1"/>
    <col min="6920" max="6920" width="12" style="1396" customWidth="1"/>
    <col min="6921" max="6921" width="9.85546875" style="1396" customWidth="1"/>
    <col min="6922" max="6923" width="11" style="1396" bestFit="1" customWidth="1"/>
    <col min="6924" max="6924" width="9.140625" style="1396"/>
    <col min="6925" max="6925" width="6" style="1396" bestFit="1" customWidth="1"/>
    <col min="6926" max="6926" width="7.42578125" style="1396" bestFit="1" customWidth="1"/>
    <col min="6927" max="6927" width="11" style="1396" customWidth="1"/>
    <col min="6928" max="6928" width="6.140625" style="1396" bestFit="1" customWidth="1"/>
    <col min="6929" max="6929" width="6" style="1396" bestFit="1" customWidth="1"/>
    <col min="6930" max="6930" width="18.7109375" style="1396" bestFit="1" customWidth="1"/>
    <col min="6931" max="6931" width="21.42578125" style="1396" customWidth="1"/>
    <col min="6932" max="7168" width="9.140625" style="1396"/>
    <col min="7169" max="7169" width="68.28515625" style="1396" bestFit="1" customWidth="1"/>
    <col min="7170" max="7170" width="10" style="1396" bestFit="1" customWidth="1"/>
    <col min="7171" max="7171" width="20.5703125" style="1396" bestFit="1" customWidth="1"/>
    <col min="7172" max="7172" width="9.7109375" style="1396" bestFit="1" customWidth="1"/>
    <col min="7173" max="7173" width="19.7109375" style="1396" customWidth="1"/>
    <col min="7174" max="7174" width="22" style="1396" customWidth="1"/>
    <col min="7175" max="7175" width="14.140625" style="1396" customWidth="1"/>
    <col min="7176" max="7176" width="12" style="1396" customWidth="1"/>
    <col min="7177" max="7177" width="9.85546875" style="1396" customWidth="1"/>
    <col min="7178" max="7179" width="11" style="1396" bestFit="1" customWidth="1"/>
    <col min="7180" max="7180" width="9.140625" style="1396"/>
    <col min="7181" max="7181" width="6" style="1396" bestFit="1" customWidth="1"/>
    <col min="7182" max="7182" width="7.42578125" style="1396" bestFit="1" customWidth="1"/>
    <col min="7183" max="7183" width="11" style="1396" customWidth="1"/>
    <col min="7184" max="7184" width="6.140625" style="1396" bestFit="1" customWidth="1"/>
    <col min="7185" max="7185" width="6" style="1396" bestFit="1" customWidth="1"/>
    <col min="7186" max="7186" width="18.7109375" style="1396" bestFit="1" customWidth="1"/>
    <col min="7187" max="7187" width="21.42578125" style="1396" customWidth="1"/>
    <col min="7188" max="7424" width="9.140625" style="1396"/>
    <col min="7425" max="7425" width="68.28515625" style="1396" bestFit="1" customWidth="1"/>
    <col min="7426" max="7426" width="10" style="1396" bestFit="1" customWidth="1"/>
    <col min="7427" max="7427" width="20.5703125" style="1396" bestFit="1" customWidth="1"/>
    <col min="7428" max="7428" width="9.7109375" style="1396" bestFit="1" customWidth="1"/>
    <col min="7429" max="7429" width="19.7109375" style="1396" customWidth="1"/>
    <col min="7430" max="7430" width="22" style="1396" customWidth="1"/>
    <col min="7431" max="7431" width="14.140625" style="1396" customWidth="1"/>
    <col min="7432" max="7432" width="12" style="1396" customWidth="1"/>
    <col min="7433" max="7433" width="9.85546875" style="1396" customWidth="1"/>
    <col min="7434" max="7435" width="11" style="1396" bestFit="1" customWidth="1"/>
    <col min="7436" max="7436" width="9.140625" style="1396"/>
    <col min="7437" max="7437" width="6" style="1396" bestFit="1" customWidth="1"/>
    <col min="7438" max="7438" width="7.42578125" style="1396" bestFit="1" customWidth="1"/>
    <col min="7439" max="7439" width="11" style="1396" customWidth="1"/>
    <col min="7440" max="7440" width="6.140625" style="1396" bestFit="1" customWidth="1"/>
    <col min="7441" max="7441" width="6" style="1396" bestFit="1" customWidth="1"/>
    <col min="7442" max="7442" width="18.7109375" style="1396" bestFit="1" customWidth="1"/>
    <col min="7443" max="7443" width="21.42578125" style="1396" customWidth="1"/>
    <col min="7444" max="7680" width="9.140625" style="1396"/>
    <col min="7681" max="7681" width="68.28515625" style="1396" bestFit="1" customWidth="1"/>
    <col min="7682" max="7682" width="10" style="1396" bestFit="1" customWidth="1"/>
    <col min="7683" max="7683" width="20.5703125" style="1396" bestFit="1" customWidth="1"/>
    <col min="7684" max="7684" width="9.7109375" style="1396" bestFit="1" customWidth="1"/>
    <col min="7685" max="7685" width="19.7109375" style="1396" customWidth="1"/>
    <col min="7686" max="7686" width="22" style="1396" customWidth="1"/>
    <col min="7687" max="7687" width="14.140625" style="1396" customWidth="1"/>
    <col min="7688" max="7688" width="12" style="1396" customWidth="1"/>
    <col min="7689" max="7689" width="9.85546875" style="1396" customWidth="1"/>
    <col min="7690" max="7691" width="11" style="1396" bestFit="1" customWidth="1"/>
    <col min="7692" max="7692" width="9.140625" style="1396"/>
    <col min="7693" max="7693" width="6" style="1396" bestFit="1" customWidth="1"/>
    <col min="7694" max="7694" width="7.42578125" style="1396" bestFit="1" customWidth="1"/>
    <col min="7695" max="7695" width="11" style="1396" customWidth="1"/>
    <col min="7696" max="7696" width="6.140625" style="1396" bestFit="1" customWidth="1"/>
    <col min="7697" max="7697" width="6" style="1396" bestFit="1" customWidth="1"/>
    <col min="7698" max="7698" width="18.7109375" style="1396" bestFit="1" customWidth="1"/>
    <col min="7699" max="7699" width="21.42578125" style="1396" customWidth="1"/>
    <col min="7700" max="7936" width="9.140625" style="1396"/>
    <col min="7937" max="7937" width="68.28515625" style="1396" bestFit="1" customWidth="1"/>
    <col min="7938" max="7938" width="10" style="1396" bestFit="1" customWidth="1"/>
    <col min="7939" max="7939" width="20.5703125" style="1396" bestFit="1" customWidth="1"/>
    <col min="7940" max="7940" width="9.7109375" style="1396" bestFit="1" customWidth="1"/>
    <col min="7941" max="7941" width="19.7109375" style="1396" customWidth="1"/>
    <col min="7942" max="7942" width="22" style="1396" customWidth="1"/>
    <col min="7943" max="7943" width="14.140625" style="1396" customWidth="1"/>
    <col min="7944" max="7944" width="12" style="1396" customWidth="1"/>
    <col min="7945" max="7945" width="9.85546875" style="1396" customWidth="1"/>
    <col min="7946" max="7947" width="11" style="1396" bestFit="1" customWidth="1"/>
    <col min="7948" max="7948" width="9.140625" style="1396"/>
    <col min="7949" max="7949" width="6" style="1396" bestFit="1" customWidth="1"/>
    <col min="7950" max="7950" width="7.42578125" style="1396" bestFit="1" customWidth="1"/>
    <col min="7951" max="7951" width="11" style="1396" customWidth="1"/>
    <col min="7952" max="7952" width="6.140625" style="1396" bestFit="1" customWidth="1"/>
    <col min="7953" max="7953" width="6" style="1396" bestFit="1" customWidth="1"/>
    <col min="7954" max="7954" width="18.7109375" style="1396" bestFit="1" customWidth="1"/>
    <col min="7955" max="7955" width="21.42578125" style="1396" customWidth="1"/>
    <col min="7956" max="8192" width="9.140625" style="1396"/>
    <col min="8193" max="8193" width="68.28515625" style="1396" bestFit="1" customWidth="1"/>
    <col min="8194" max="8194" width="10" style="1396" bestFit="1" customWidth="1"/>
    <col min="8195" max="8195" width="20.5703125" style="1396" bestFit="1" customWidth="1"/>
    <col min="8196" max="8196" width="9.7109375" style="1396" bestFit="1" customWidth="1"/>
    <col min="8197" max="8197" width="19.7109375" style="1396" customWidth="1"/>
    <col min="8198" max="8198" width="22" style="1396" customWidth="1"/>
    <col min="8199" max="8199" width="14.140625" style="1396" customWidth="1"/>
    <col min="8200" max="8200" width="12" style="1396" customWidth="1"/>
    <col min="8201" max="8201" width="9.85546875" style="1396" customWidth="1"/>
    <col min="8202" max="8203" width="11" style="1396" bestFit="1" customWidth="1"/>
    <col min="8204" max="8204" width="9.140625" style="1396"/>
    <col min="8205" max="8205" width="6" style="1396" bestFit="1" customWidth="1"/>
    <col min="8206" max="8206" width="7.42578125" style="1396" bestFit="1" customWidth="1"/>
    <col min="8207" max="8207" width="11" style="1396" customWidth="1"/>
    <col min="8208" max="8208" width="6.140625" style="1396" bestFit="1" customWidth="1"/>
    <col min="8209" max="8209" width="6" style="1396" bestFit="1" customWidth="1"/>
    <col min="8210" max="8210" width="18.7109375" style="1396" bestFit="1" customWidth="1"/>
    <col min="8211" max="8211" width="21.42578125" style="1396" customWidth="1"/>
    <col min="8212" max="8448" width="9.140625" style="1396"/>
    <col min="8449" max="8449" width="68.28515625" style="1396" bestFit="1" customWidth="1"/>
    <col min="8450" max="8450" width="10" style="1396" bestFit="1" customWidth="1"/>
    <col min="8451" max="8451" width="20.5703125" style="1396" bestFit="1" customWidth="1"/>
    <col min="8452" max="8452" width="9.7109375" style="1396" bestFit="1" customWidth="1"/>
    <col min="8453" max="8453" width="19.7109375" style="1396" customWidth="1"/>
    <col min="8454" max="8454" width="22" style="1396" customWidth="1"/>
    <col min="8455" max="8455" width="14.140625" style="1396" customWidth="1"/>
    <col min="8456" max="8456" width="12" style="1396" customWidth="1"/>
    <col min="8457" max="8457" width="9.85546875" style="1396" customWidth="1"/>
    <col min="8458" max="8459" width="11" style="1396" bestFit="1" customWidth="1"/>
    <col min="8460" max="8460" width="9.140625" style="1396"/>
    <col min="8461" max="8461" width="6" style="1396" bestFit="1" customWidth="1"/>
    <col min="8462" max="8462" width="7.42578125" style="1396" bestFit="1" customWidth="1"/>
    <col min="8463" max="8463" width="11" style="1396" customWidth="1"/>
    <col min="8464" max="8464" width="6.140625" style="1396" bestFit="1" customWidth="1"/>
    <col min="8465" max="8465" width="6" style="1396" bestFit="1" customWidth="1"/>
    <col min="8466" max="8466" width="18.7109375" style="1396" bestFit="1" customWidth="1"/>
    <col min="8467" max="8467" width="21.42578125" style="1396" customWidth="1"/>
    <col min="8468" max="8704" width="9.140625" style="1396"/>
    <col min="8705" max="8705" width="68.28515625" style="1396" bestFit="1" customWidth="1"/>
    <col min="8706" max="8706" width="10" style="1396" bestFit="1" customWidth="1"/>
    <col min="8707" max="8707" width="20.5703125" style="1396" bestFit="1" customWidth="1"/>
    <col min="8708" max="8708" width="9.7109375" style="1396" bestFit="1" customWidth="1"/>
    <col min="8709" max="8709" width="19.7109375" style="1396" customWidth="1"/>
    <col min="8710" max="8710" width="22" style="1396" customWidth="1"/>
    <col min="8711" max="8711" width="14.140625" style="1396" customWidth="1"/>
    <col min="8712" max="8712" width="12" style="1396" customWidth="1"/>
    <col min="8713" max="8713" width="9.85546875" style="1396" customWidth="1"/>
    <col min="8714" max="8715" width="11" style="1396" bestFit="1" customWidth="1"/>
    <col min="8716" max="8716" width="9.140625" style="1396"/>
    <col min="8717" max="8717" width="6" style="1396" bestFit="1" customWidth="1"/>
    <col min="8718" max="8718" width="7.42578125" style="1396" bestFit="1" customWidth="1"/>
    <col min="8719" max="8719" width="11" style="1396" customWidth="1"/>
    <col min="8720" max="8720" width="6.140625" style="1396" bestFit="1" customWidth="1"/>
    <col min="8721" max="8721" width="6" style="1396" bestFit="1" customWidth="1"/>
    <col min="8722" max="8722" width="18.7109375" style="1396" bestFit="1" customWidth="1"/>
    <col min="8723" max="8723" width="21.42578125" style="1396" customWidth="1"/>
    <col min="8724" max="8960" width="9.140625" style="1396"/>
    <col min="8961" max="8961" width="68.28515625" style="1396" bestFit="1" customWidth="1"/>
    <col min="8962" max="8962" width="10" style="1396" bestFit="1" customWidth="1"/>
    <col min="8963" max="8963" width="20.5703125" style="1396" bestFit="1" customWidth="1"/>
    <col min="8964" max="8964" width="9.7109375" style="1396" bestFit="1" customWidth="1"/>
    <col min="8965" max="8965" width="19.7109375" style="1396" customWidth="1"/>
    <col min="8966" max="8966" width="22" style="1396" customWidth="1"/>
    <col min="8967" max="8967" width="14.140625" style="1396" customWidth="1"/>
    <col min="8968" max="8968" width="12" style="1396" customWidth="1"/>
    <col min="8969" max="8969" width="9.85546875" style="1396" customWidth="1"/>
    <col min="8970" max="8971" width="11" style="1396" bestFit="1" customWidth="1"/>
    <col min="8972" max="8972" width="9.140625" style="1396"/>
    <col min="8973" max="8973" width="6" style="1396" bestFit="1" customWidth="1"/>
    <col min="8974" max="8974" width="7.42578125" style="1396" bestFit="1" customWidth="1"/>
    <col min="8975" max="8975" width="11" style="1396" customWidth="1"/>
    <col min="8976" max="8976" width="6.140625" style="1396" bestFit="1" customWidth="1"/>
    <col min="8977" max="8977" width="6" style="1396" bestFit="1" customWidth="1"/>
    <col min="8978" max="8978" width="18.7109375" style="1396" bestFit="1" customWidth="1"/>
    <col min="8979" max="8979" width="21.42578125" style="1396" customWidth="1"/>
    <col min="8980" max="9216" width="9.140625" style="1396"/>
    <col min="9217" max="9217" width="68.28515625" style="1396" bestFit="1" customWidth="1"/>
    <col min="9218" max="9218" width="10" style="1396" bestFit="1" customWidth="1"/>
    <col min="9219" max="9219" width="20.5703125" style="1396" bestFit="1" customWidth="1"/>
    <col min="9220" max="9220" width="9.7109375" style="1396" bestFit="1" customWidth="1"/>
    <col min="9221" max="9221" width="19.7109375" style="1396" customWidth="1"/>
    <col min="9222" max="9222" width="22" style="1396" customWidth="1"/>
    <col min="9223" max="9223" width="14.140625" style="1396" customWidth="1"/>
    <col min="9224" max="9224" width="12" style="1396" customWidth="1"/>
    <col min="9225" max="9225" width="9.85546875" style="1396" customWidth="1"/>
    <col min="9226" max="9227" width="11" style="1396" bestFit="1" customWidth="1"/>
    <col min="9228" max="9228" width="9.140625" style="1396"/>
    <col min="9229" max="9229" width="6" style="1396" bestFit="1" customWidth="1"/>
    <col min="9230" max="9230" width="7.42578125" style="1396" bestFit="1" customWidth="1"/>
    <col min="9231" max="9231" width="11" style="1396" customWidth="1"/>
    <col min="9232" max="9232" width="6.140625" style="1396" bestFit="1" customWidth="1"/>
    <col min="9233" max="9233" width="6" style="1396" bestFit="1" customWidth="1"/>
    <col min="9234" max="9234" width="18.7109375" style="1396" bestFit="1" customWidth="1"/>
    <col min="9235" max="9235" width="21.42578125" style="1396" customWidth="1"/>
    <col min="9236" max="9472" width="9.140625" style="1396"/>
    <col min="9473" max="9473" width="68.28515625" style="1396" bestFit="1" customWidth="1"/>
    <col min="9474" max="9474" width="10" style="1396" bestFit="1" customWidth="1"/>
    <col min="9475" max="9475" width="20.5703125" style="1396" bestFit="1" customWidth="1"/>
    <col min="9476" max="9476" width="9.7109375" style="1396" bestFit="1" customWidth="1"/>
    <col min="9477" max="9477" width="19.7109375" style="1396" customWidth="1"/>
    <col min="9478" max="9478" width="22" style="1396" customWidth="1"/>
    <col min="9479" max="9479" width="14.140625" style="1396" customWidth="1"/>
    <col min="9480" max="9480" width="12" style="1396" customWidth="1"/>
    <col min="9481" max="9481" width="9.85546875" style="1396" customWidth="1"/>
    <col min="9482" max="9483" width="11" style="1396" bestFit="1" customWidth="1"/>
    <col min="9484" max="9484" width="9.140625" style="1396"/>
    <col min="9485" max="9485" width="6" style="1396" bestFit="1" customWidth="1"/>
    <col min="9486" max="9486" width="7.42578125" style="1396" bestFit="1" customWidth="1"/>
    <col min="9487" max="9487" width="11" style="1396" customWidth="1"/>
    <col min="9488" max="9488" width="6.140625" style="1396" bestFit="1" customWidth="1"/>
    <col min="9489" max="9489" width="6" style="1396" bestFit="1" customWidth="1"/>
    <col min="9490" max="9490" width="18.7109375" style="1396" bestFit="1" customWidth="1"/>
    <col min="9491" max="9491" width="21.42578125" style="1396" customWidth="1"/>
    <col min="9492" max="9728" width="9.140625" style="1396"/>
    <col min="9729" max="9729" width="68.28515625" style="1396" bestFit="1" customWidth="1"/>
    <col min="9730" max="9730" width="10" style="1396" bestFit="1" customWidth="1"/>
    <col min="9731" max="9731" width="20.5703125" style="1396" bestFit="1" customWidth="1"/>
    <col min="9732" max="9732" width="9.7109375" style="1396" bestFit="1" customWidth="1"/>
    <col min="9733" max="9733" width="19.7109375" style="1396" customWidth="1"/>
    <col min="9734" max="9734" width="22" style="1396" customWidth="1"/>
    <col min="9735" max="9735" width="14.140625" style="1396" customWidth="1"/>
    <col min="9736" max="9736" width="12" style="1396" customWidth="1"/>
    <col min="9737" max="9737" width="9.85546875" style="1396" customWidth="1"/>
    <col min="9738" max="9739" width="11" style="1396" bestFit="1" customWidth="1"/>
    <col min="9740" max="9740" width="9.140625" style="1396"/>
    <col min="9741" max="9741" width="6" style="1396" bestFit="1" customWidth="1"/>
    <col min="9742" max="9742" width="7.42578125" style="1396" bestFit="1" customWidth="1"/>
    <col min="9743" max="9743" width="11" style="1396" customWidth="1"/>
    <col min="9744" max="9744" width="6.140625" style="1396" bestFit="1" customWidth="1"/>
    <col min="9745" max="9745" width="6" style="1396" bestFit="1" customWidth="1"/>
    <col min="9746" max="9746" width="18.7109375" style="1396" bestFit="1" customWidth="1"/>
    <col min="9747" max="9747" width="21.42578125" style="1396" customWidth="1"/>
    <col min="9748" max="9984" width="9.140625" style="1396"/>
    <col min="9985" max="9985" width="68.28515625" style="1396" bestFit="1" customWidth="1"/>
    <col min="9986" max="9986" width="10" style="1396" bestFit="1" customWidth="1"/>
    <col min="9987" max="9987" width="20.5703125" style="1396" bestFit="1" customWidth="1"/>
    <col min="9988" max="9988" width="9.7109375" style="1396" bestFit="1" customWidth="1"/>
    <col min="9989" max="9989" width="19.7109375" style="1396" customWidth="1"/>
    <col min="9990" max="9990" width="22" style="1396" customWidth="1"/>
    <col min="9991" max="9991" width="14.140625" style="1396" customWidth="1"/>
    <col min="9992" max="9992" width="12" style="1396" customWidth="1"/>
    <col min="9993" max="9993" width="9.85546875" style="1396" customWidth="1"/>
    <col min="9994" max="9995" width="11" style="1396" bestFit="1" customWidth="1"/>
    <col min="9996" max="9996" width="9.140625" style="1396"/>
    <col min="9997" max="9997" width="6" style="1396" bestFit="1" customWidth="1"/>
    <col min="9998" max="9998" width="7.42578125" style="1396" bestFit="1" customWidth="1"/>
    <col min="9999" max="9999" width="11" style="1396" customWidth="1"/>
    <col min="10000" max="10000" width="6.140625" style="1396" bestFit="1" customWidth="1"/>
    <col min="10001" max="10001" width="6" style="1396" bestFit="1" customWidth="1"/>
    <col min="10002" max="10002" width="18.7109375" style="1396" bestFit="1" customWidth="1"/>
    <col min="10003" max="10003" width="21.42578125" style="1396" customWidth="1"/>
    <col min="10004" max="10240" width="9.140625" style="1396"/>
    <col min="10241" max="10241" width="68.28515625" style="1396" bestFit="1" customWidth="1"/>
    <col min="10242" max="10242" width="10" style="1396" bestFit="1" customWidth="1"/>
    <col min="10243" max="10243" width="20.5703125" style="1396" bestFit="1" customWidth="1"/>
    <col min="10244" max="10244" width="9.7109375" style="1396" bestFit="1" customWidth="1"/>
    <col min="10245" max="10245" width="19.7109375" style="1396" customWidth="1"/>
    <col min="10246" max="10246" width="22" style="1396" customWidth="1"/>
    <col min="10247" max="10247" width="14.140625" style="1396" customWidth="1"/>
    <col min="10248" max="10248" width="12" style="1396" customWidth="1"/>
    <col min="10249" max="10249" width="9.85546875" style="1396" customWidth="1"/>
    <col min="10250" max="10251" width="11" style="1396" bestFit="1" customWidth="1"/>
    <col min="10252" max="10252" width="9.140625" style="1396"/>
    <col min="10253" max="10253" width="6" style="1396" bestFit="1" customWidth="1"/>
    <col min="10254" max="10254" width="7.42578125" style="1396" bestFit="1" customWidth="1"/>
    <col min="10255" max="10255" width="11" style="1396" customWidth="1"/>
    <col min="10256" max="10256" width="6.140625" style="1396" bestFit="1" customWidth="1"/>
    <col min="10257" max="10257" width="6" style="1396" bestFit="1" customWidth="1"/>
    <col min="10258" max="10258" width="18.7109375" style="1396" bestFit="1" customWidth="1"/>
    <col min="10259" max="10259" width="21.42578125" style="1396" customWidth="1"/>
    <col min="10260" max="10496" width="9.140625" style="1396"/>
    <col min="10497" max="10497" width="68.28515625" style="1396" bestFit="1" customWidth="1"/>
    <col min="10498" max="10498" width="10" style="1396" bestFit="1" customWidth="1"/>
    <col min="10499" max="10499" width="20.5703125" style="1396" bestFit="1" customWidth="1"/>
    <col min="10500" max="10500" width="9.7109375" style="1396" bestFit="1" customWidth="1"/>
    <col min="10501" max="10501" width="19.7109375" style="1396" customWidth="1"/>
    <col min="10502" max="10502" width="22" style="1396" customWidth="1"/>
    <col min="10503" max="10503" width="14.140625" style="1396" customWidth="1"/>
    <col min="10504" max="10504" width="12" style="1396" customWidth="1"/>
    <col min="10505" max="10505" width="9.85546875" style="1396" customWidth="1"/>
    <col min="10506" max="10507" width="11" style="1396" bestFit="1" customWidth="1"/>
    <col min="10508" max="10508" width="9.140625" style="1396"/>
    <col min="10509" max="10509" width="6" style="1396" bestFit="1" customWidth="1"/>
    <col min="10510" max="10510" width="7.42578125" style="1396" bestFit="1" customWidth="1"/>
    <col min="10511" max="10511" width="11" style="1396" customWidth="1"/>
    <col min="10512" max="10512" width="6.140625" style="1396" bestFit="1" customWidth="1"/>
    <col min="10513" max="10513" width="6" style="1396" bestFit="1" customWidth="1"/>
    <col min="10514" max="10514" width="18.7109375" style="1396" bestFit="1" customWidth="1"/>
    <col min="10515" max="10515" width="21.42578125" style="1396" customWidth="1"/>
    <col min="10516" max="10752" width="9.140625" style="1396"/>
    <col min="10753" max="10753" width="68.28515625" style="1396" bestFit="1" customWidth="1"/>
    <col min="10754" max="10754" width="10" style="1396" bestFit="1" customWidth="1"/>
    <col min="10755" max="10755" width="20.5703125" style="1396" bestFit="1" customWidth="1"/>
    <col min="10756" max="10756" width="9.7109375" style="1396" bestFit="1" customWidth="1"/>
    <col min="10757" max="10757" width="19.7109375" style="1396" customWidth="1"/>
    <col min="10758" max="10758" width="22" style="1396" customWidth="1"/>
    <col min="10759" max="10759" width="14.140625" style="1396" customWidth="1"/>
    <col min="10760" max="10760" width="12" style="1396" customWidth="1"/>
    <col min="10761" max="10761" width="9.85546875" style="1396" customWidth="1"/>
    <col min="10762" max="10763" width="11" style="1396" bestFit="1" customWidth="1"/>
    <col min="10764" max="10764" width="9.140625" style="1396"/>
    <col min="10765" max="10765" width="6" style="1396" bestFit="1" customWidth="1"/>
    <col min="10766" max="10766" width="7.42578125" style="1396" bestFit="1" customWidth="1"/>
    <col min="10767" max="10767" width="11" style="1396" customWidth="1"/>
    <col min="10768" max="10768" width="6.140625" style="1396" bestFit="1" customWidth="1"/>
    <col min="10769" max="10769" width="6" style="1396" bestFit="1" customWidth="1"/>
    <col min="10770" max="10770" width="18.7109375" style="1396" bestFit="1" customWidth="1"/>
    <col min="10771" max="10771" width="21.42578125" style="1396" customWidth="1"/>
    <col min="10772" max="11008" width="9.140625" style="1396"/>
    <col min="11009" max="11009" width="68.28515625" style="1396" bestFit="1" customWidth="1"/>
    <col min="11010" max="11010" width="10" style="1396" bestFit="1" customWidth="1"/>
    <col min="11011" max="11011" width="20.5703125" style="1396" bestFit="1" customWidth="1"/>
    <col min="11012" max="11012" width="9.7109375" style="1396" bestFit="1" customWidth="1"/>
    <col min="11013" max="11013" width="19.7109375" style="1396" customWidth="1"/>
    <col min="11014" max="11014" width="22" style="1396" customWidth="1"/>
    <col min="11015" max="11015" width="14.140625" style="1396" customWidth="1"/>
    <col min="11016" max="11016" width="12" style="1396" customWidth="1"/>
    <col min="11017" max="11017" width="9.85546875" style="1396" customWidth="1"/>
    <col min="11018" max="11019" width="11" style="1396" bestFit="1" customWidth="1"/>
    <col min="11020" max="11020" width="9.140625" style="1396"/>
    <col min="11021" max="11021" width="6" style="1396" bestFit="1" customWidth="1"/>
    <col min="11022" max="11022" width="7.42578125" style="1396" bestFit="1" customWidth="1"/>
    <col min="11023" max="11023" width="11" style="1396" customWidth="1"/>
    <col min="11024" max="11024" width="6.140625" style="1396" bestFit="1" customWidth="1"/>
    <col min="11025" max="11025" width="6" style="1396" bestFit="1" customWidth="1"/>
    <col min="11026" max="11026" width="18.7109375" style="1396" bestFit="1" customWidth="1"/>
    <col min="11027" max="11027" width="21.42578125" style="1396" customWidth="1"/>
    <col min="11028" max="11264" width="9.140625" style="1396"/>
    <col min="11265" max="11265" width="68.28515625" style="1396" bestFit="1" customWidth="1"/>
    <col min="11266" max="11266" width="10" style="1396" bestFit="1" customWidth="1"/>
    <col min="11267" max="11267" width="20.5703125" style="1396" bestFit="1" customWidth="1"/>
    <col min="11268" max="11268" width="9.7109375" style="1396" bestFit="1" customWidth="1"/>
    <col min="11269" max="11269" width="19.7109375" style="1396" customWidth="1"/>
    <col min="11270" max="11270" width="22" style="1396" customWidth="1"/>
    <col min="11271" max="11271" width="14.140625" style="1396" customWidth="1"/>
    <col min="11272" max="11272" width="12" style="1396" customWidth="1"/>
    <col min="11273" max="11273" width="9.85546875" style="1396" customWidth="1"/>
    <col min="11274" max="11275" width="11" style="1396" bestFit="1" customWidth="1"/>
    <col min="11276" max="11276" width="9.140625" style="1396"/>
    <col min="11277" max="11277" width="6" style="1396" bestFit="1" customWidth="1"/>
    <col min="11278" max="11278" width="7.42578125" style="1396" bestFit="1" customWidth="1"/>
    <col min="11279" max="11279" width="11" style="1396" customWidth="1"/>
    <col min="11280" max="11280" width="6.140625" style="1396" bestFit="1" customWidth="1"/>
    <col min="11281" max="11281" width="6" style="1396" bestFit="1" customWidth="1"/>
    <col min="11282" max="11282" width="18.7109375" style="1396" bestFit="1" customWidth="1"/>
    <col min="11283" max="11283" width="21.42578125" style="1396" customWidth="1"/>
    <col min="11284" max="11520" width="9.140625" style="1396"/>
    <col min="11521" max="11521" width="68.28515625" style="1396" bestFit="1" customWidth="1"/>
    <col min="11522" max="11522" width="10" style="1396" bestFit="1" customWidth="1"/>
    <col min="11523" max="11523" width="20.5703125" style="1396" bestFit="1" customWidth="1"/>
    <col min="11524" max="11524" width="9.7109375" style="1396" bestFit="1" customWidth="1"/>
    <col min="11525" max="11525" width="19.7109375" style="1396" customWidth="1"/>
    <col min="11526" max="11526" width="22" style="1396" customWidth="1"/>
    <col min="11527" max="11527" width="14.140625" style="1396" customWidth="1"/>
    <col min="11528" max="11528" width="12" style="1396" customWidth="1"/>
    <col min="11529" max="11529" width="9.85546875" style="1396" customWidth="1"/>
    <col min="11530" max="11531" width="11" style="1396" bestFit="1" customWidth="1"/>
    <col min="11532" max="11532" width="9.140625" style="1396"/>
    <col min="11533" max="11533" width="6" style="1396" bestFit="1" customWidth="1"/>
    <col min="11534" max="11534" width="7.42578125" style="1396" bestFit="1" customWidth="1"/>
    <col min="11535" max="11535" width="11" style="1396" customWidth="1"/>
    <col min="11536" max="11536" width="6.140625" style="1396" bestFit="1" customWidth="1"/>
    <col min="11537" max="11537" width="6" style="1396" bestFit="1" customWidth="1"/>
    <col min="11538" max="11538" width="18.7109375" style="1396" bestFit="1" customWidth="1"/>
    <col min="11539" max="11539" width="21.42578125" style="1396" customWidth="1"/>
    <col min="11540" max="11776" width="9.140625" style="1396"/>
    <col min="11777" max="11777" width="68.28515625" style="1396" bestFit="1" customWidth="1"/>
    <col min="11778" max="11778" width="10" style="1396" bestFit="1" customWidth="1"/>
    <col min="11779" max="11779" width="20.5703125" style="1396" bestFit="1" customWidth="1"/>
    <col min="11780" max="11780" width="9.7109375" style="1396" bestFit="1" customWidth="1"/>
    <col min="11781" max="11781" width="19.7109375" style="1396" customWidth="1"/>
    <col min="11782" max="11782" width="22" style="1396" customWidth="1"/>
    <col min="11783" max="11783" width="14.140625" style="1396" customWidth="1"/>
    <col min="11784" max="11784" width="12" style="1396" customWidth="1"/>
    <col min="11785" max="11785" width="9.85546875" style="1396" customWidth="1"/>
    <col min="11786" max="11787" width="11" style="1396" bestFit="1" customWidth="1"/>
    <col min="11788" max="11788" width="9.140625" style="1396"/>
    <col min="11789" max="11789" width="6" style="1396" bestFit="1" customWidth="1"/>
    <col min="11790" max="11790" width="7.42578125" style="1396" bestFit="1" customWidth="1"/>
    <col min="11791" max="11791" width="11" style="1396" customWidth="1"/>
    <col min="11792" max="11792" width="6.140625" style="1396" bestFit="1" customWidth="1"/>
    <col min="11793" max="11793" width="6" style="1396" bestFit="1" customWidth="1"/>
    <col min="11794" max="11794" width="18.7109375" style="1396" bestFit="1" customWidth="1"/>
    <col min="11795" max="11795" width="21.42578125" style="1396" customWidth="1"/>
    <col min="11796" max="12032" width="9.140625" style="1396"/>
    <col min="12033" max="12033" width="68.28515625" style="1396" bestFit="1" customWidth="1"/>
    <col min="12034" max="12034" width="10" style="1396" bestFit="1" customWidth="1"/>
    <col min="12035" max="12035" width="20.5703125" style="1396" bestFit="1" customWidth="1"/>
    <col min="12036" max="12036" width="9.7109375" style="1396" bestFit="1" customWidth="1"/>
    <col min="12037" max="12037" width="19.7109375" style="1396" customWidth="1"/>
    <col min="12038" max="12038" width="22" style="1396" customWidth="1"/>
    <col min="12039" max="12039" width="14.140625" style="1396" customWidth="1"/>
    <col min="12040" max="12040" width="12" style="1396" customWidth="1"/>
    <col min="12041" max="12041" width="9.85546875" style="1396" customWidth="1"/>
    <col min="12042" max="12043" width="11" style="1396" bestFit="1" customWidth="1"/>
    <col min="12044" max="12044" width="9.140625" style="1396"/>
    <col min="12045" max="12045" width="6" style="1396" bestFit="1" customWidth="1"/>
    <col min="12046" max="12046" width="7.42578125" style="1396" bestFit="1" customWidth="1"/>
    <col min="12047" max="12047" width="11" style="1396" customWidth="1"/>
    <col min="12048" max="12048" width="6.140625" style="1396" bestFit="1" customWidth="1"/>
    <col min="12049" max="12049" width="6" style="1396" bestFit="1" customWidth="1"/>
    <col min="12050" max="12050" width="18.7109375" style="1396" bestFit="1" customWidth="1"/>
    <col min="12051" max="12051" width="21.42578125" style="1396" customWidth="1"/>
    <col min="12052" max="12288" width="9.140625" style="1396"/>
    <col min="12289" max="12289" width="68.28515625" style="1396" bestFit="1" customWidth="1"/>
    <col min="12290" max="12290" width="10" style="1396" bestFit="1" customWidth="1"/>
    <col min="12291" max="12291" width="20.5703125" style="1396" bestFit="1" customWidth="1"/>
    <col min="12292" max="12292" width="9.7109375" style="1396" bestFit="1" customWidth="1"/>
    <col min="12293" max="12293" width="19.7109375" style="1396" customWidth="1"/>
    <col min="12294" max="12294" width="22" style="1396" customWidth="1"/>
    <col min="12295" max="12295" width="14.140625" style="1396" customWidth="1"/>
    <col min="12296" max="12296" width="12" style="1396" customWidth="1"/>
    <col min="12297" max="12297" width="9.85546875" style="1396" customWidth="1"/>
    <col min="12298" max="12299" width="11" style="1396" bestFit="1" customWidth="1"/>
    <col min="12300" max="12300" width="9.140625" style="1396"/>
    <col min="12301" max="12301" width="6" style="1396" bestFit="1" customWidth="1"/>
    <col min="12302" max="12302" width="7.42578125" style="1396" bestFit="1" customWidth="1"/>
    <col min="12303" max="12303" width="11" style="1396" customWidth="1"/>
    <col min="12304" max="12304" width="6.140625" style="1396" bestFit="1" customWidth="1"/>
    <col min="12305" max="12305" width="6" style="1396" bestFit="1" customWidth="1"/>
    <col min="12306" max="12306" width="18.7109375" style="1396" bestFit="1" customWidth="1"/>
    <col min="12307" max="12307" width="21.42578125" style="1396" customWidth="1"/>
    <col min="12308" max="12544" width="9.140625" style="1396"/>
    <col min="12545" max="12545" width="68.28515625" style="1396" bestFit="1" customWidth="1"/>
    <col min="12546" max="12546" width="10" style="1396" bestFit="1" customWidth="1"/>
    <col min="12547" max="12547" width="20.5703125" style="1396" bestFit="1" customWidth="1"/>
    <col min="12548" max="12548" width="9.7109375" style="1396" bestFit="1" customWidth="1"/>
    <col min="12549" max="12549" width="19.7109375" style="1396" customWidth="1"/>
    <col min="12550" max="12550" width="22" style="1396" customWidth="1"/>
    <col min="12551" max="12551" width="14.140625" style="1396" customWidth="1"/>
    <col min="12552" max="12552" width="12" style="1396" customWidth="1"/>
    <col min="12553" max="12553" width="9.85546875" style="1396" customWidth="1"/>
    <col min="12554" max="12555" width="11" style="1396" bestFit="1" customWidth="1"/>
    <col min="12556" max="12556" width="9.140625" style="1396"/>
    <col min="12557" max="12557" width="6" style="1396" bestFit="1" customWidth="1"/>
    <col min="12558" max="12558" width="7.42578125" style="1396" bestFit="1" customWidth="1"/>
    <col min="12559" max="12559" width="11" style="1396" customWidth="1"/>
    <col min="12560" max="12560" width="6.140625" style="1396" bestFit="1" customWidth="1"/>
    <col min="12561" max="12561" width="6" style="1396" bestFit="1" customWidth="1"/>
    <col min="12562" max="12562" width="18.7109375" style="1396" bestFit="1" customWidth="1"/>
    <col min="12563" max="12563" width="21.42578125" style="1396" customWidth="1"/>
    <col min="12564" max="12800" width="9.140625" style="1396"/>
    <col min="12801" max="12801" width="68.28515625" style="1396" bestFit="1" customWidth="1"/>
    <col min="12802" max="12802" width="10" style="1396" bestFit="1" customWidth="1"/>
    <col min="12803" max="12803" width="20.5703125" style="1396" bestFit="1" customWidth="1"/>
    <col min="12804" max="12804" width="9.7109375" style="1396" bestFit="1" customWidth="1"/>
    <col min="12805" max="12805" width="19.7109375" style="1396" customWidth="1"/>
    <col min="12806" max="12806" width="22" style="1396" customWidth="1"/>
    <col min="12807" max="12807" width="14.140625" style="1396" customWidth="1"/>
    <col min="12808" max="12808" width="12" style="1396" customWidth="1"/>
    <col min="12809" max="12809" width="9.85546875" style="1396" customWidth="1"/>
    <col min="12810" max="12811" width="11" style="1396" bestFit="1" customWidth="1"/>
    <col min="12812" max="12812" width="9.140625" style="1396"/>
    <col min="12813" max="12813" width="6" style="1396" bestFit="1" customWidth="1"/>
    <col min="12814" max="12814" width="7.42578125" style="1396" bestFit="1" customWidth="1"/>
    <col min="12815" max="12815" width="11" style="1396" customWidth="1"/>
    <col min="12816" max="12816" width="6.140625" style="1396" bestFit="1" customWidth="1"/>
    <col min="12817" max="12817" width="6" style="1396" bestFit="1" customWidth="1"/>
    <col min="12818" max="12818" width="18.7109375" style="1396" bestFit="1" customWidth="1"/>
    <col min="12819" max="12819" width="21.42578125" style="1396" customWidth="1"/>
    <col min="12820" max="13056" width="9.140625" style="1396"/>
    <col min="13057" max="13057" width="68.28515625" style="1396" bestFit="1" customWidth="1"/>
    <col min="13058" max="13058" width="10" style="1396" bestFit="1" customWidth="1"/>
    <col min="13059" max="13059" width="20.5703125" style="1396" bestFit="1" customWidth="1"/>
    <col min="13060" max="13060" width="9.7109375" style="1396" bestFit="1" customWidth="1"/>
    <col min="13061" max="13061" width="19.7109375" style="1396" customWidth="1"/>
    <col min="13062" max="13062" width="22" style="1396" customWidth="1"/>
    <col min="13063" max="13063" width="14.140625" style="1396" customWidth="1"/>
    <col min="13064" max="13064" width="12" style="1396" customWidth="1"/>
    <col min="13065" max="13065" width="9.85546875" style="1396" customWidth="1"/>
    <col min="13066" max="13067" width="11" style="1396" bestFit="1" customWidth="1"/>
    <col min="13068" max="13068" width="9.140625" style="1396"/>
    <col min="13069" max="13069" width="6" style="1396" bestFit="1" customWidth="1"/>
    <col min="13070" max="13070" width="7.42578125" style="1396" bestFit="1" customWidth="1"/>
    <col min="13071" max="13071" width="11" style="1396" customWidth="1"/>
    <col min="13072" max="13072" width="6.140625" style="1396" bestFit="1" customWidth="1"/>
    <col min="13073" max="13073" width="6" style="1396" bestFit="1" customWidth="1"/>
    <col min="13074" max="13074" width="18.7109375" style="1396" bestFit="1" customWidth="1"/>
    <col min="13075" max="13075" width="21.42578125" style="1396" customWidth="1"/>
    <col min="13076" max="13312" width="9.140625" style="1396"/>
    <col min="13313" max="13313" width="68.28515625" style="1396" bestFit="1" customWidth="1"/>
    <col min="13314" max="13314" width="10" style="1396" bestFit="1" customWidth="1"/>
    <col min="13315" max="13315" width="20.5703125" style="1396" bestFit="1" customWidth="1"/>
    <col min="13316" max="13316" width="9.7109375" style="1396" bestFit="1" customWidth="1"/>
    <col min="13317" max="13317" width="19.7109375" style="1396" customWidth="1"/>
    <col min="13318" max="13318" width="22" style="1396" customWidth="1"/>
    <col min="13319" max="13319" width="14.140625" style="1396" customWidth="1"/>
    <col min="13320" max="13320" width="12" style="1396" customWidth="1"/>
    <col min="13321" max="13321" width="9.85546875" style="1396" customWidth="1"/>
    <col min="13322" max="13323" width="11" style="1396" bestFit="1" customWidth="1"/>
    <col min="13324" max="13324" width="9.140625" style="1396"/>
    <col min="13325" max="13325" width="6" style="1396" bestFit="1" customWidth="1"/>
    <col min="13326" max="13326" width="7.42578125" style="1396" bestFit="1" customWidth="1"/>
    <col min="13327" max="13327" width="11" style="1396" customWidth="1"/>
    <col min="13328" max="13328" width="6.140625" style="1396" bestFit="1" customWidth="1"/>
    <col min="13329" max="13329" width="6" style="1396" bestFit="1" customWidth="1"/>
    <col min="13330" max="13330" width="18.7109375" style="1396" bestFit="1" customWidth="1"/>
    <col min="13331" max="13331" width="21.42578125" style="1396" customWidth="1"/>
    <col min="13332" max="13568" width="9.140625" style="1396"/>
    <col min="13569" max="13569" width="68.28515625" style="1396" bestFit="1" customWidth="1"/>
    <col min="13570" max="13570" width="10" style="1396" bestFit="1" customWidth="1"/>
    <col min="13571" max="13571" width="20.5703125" style="1396" bestFit="1" customWidth="1"/>
    <col min="13572" max="13572" width="9.7109375" style="1396" bestFit="1" customWidth="1"/>
    <col min="13573" max="13573" width="19.7109375" style="1396" customWidth="1"/>
    <col min="13574" max="13574" width="22" style="1396" customWidth="1"/>
    <col min="13575" max="13575" width="14.140625" style="1396" customWidth="1"/>
    <col min="13576" max="13576" width="12" style="1396" customWidth="1"/>
    <col min="13577" max="13577" width="9.85546875" style="1396" customWidth="1"/>
    <col min="13578" max="13579" width="11" style="1396" bestFit="1" customWidth="1"/>
    <col min="13580" max="13580" width="9.140625" style="1396"/>
    <col min="13581" max="13581" width="6" style="1396" bestFit="1" customWidth="1"/>
    <col min="13582" max="13582" width="7.42578125" style="1396" bestFit="1" customWidth="1"/>
    <col min="13583" max="13583" width="11" style="1396" customWidth="1"/>
    <col min="13584" max="13584" width="6.140625" style="1396" bestFit="1" customWidth="1"/>
    <col min="13585" max="13585" width="6" style="1396" bestFit="1" customWidth="1"/>
    <col min="13586" max="13586" width="18.7109375" style="1396" bestFit="1" customWidth="1"/>
    <col min="13587" max="13587" width="21.42578125" style="1396" customWidth="1"/>
    <col min="13588" max="13824" width="9.140625" style="1396"/>
    <col min="13825" max="13825" width="68.28515625" style="1396" bestFit="1" customWidth="1"/>
    <col min="13826" max="13826" width="10" style="1396" bestFit="1" customWidth="1"/>
    <col min="13827" max="13827" width="20.5703125" style="1396" bestFit="1" customWidth="1"/>
    <col min="13828" max="13828" width="9.7109375" style="1396" bestFit="1" customWidth="1"/>
    <col min="13829" max="13829" width="19.7109375" style="1396" customWidth="1"/>
    <col min="13830" max="13830" width="22" style="1396" customWidth="1"/>
    <col min="13831" max="13831" width="14.140625" style="1396" customWidth="1"/>
    <col min="13832" max="13832" width="12" style="1396" customWidth="1"/>
    <col min="13833" max="13833" width="9.85546875" style="1396" customWidth="1"/>
    <col min="13834" max="13835" width="11" style="1396" bestFit="1" customWidth="1"/>
    <col min="13836" max="13836" width="9.140625" style="1396"/>
    <col min="13837" max="13837" width="6" style="1396" bestFit="1" customWidth="1"/>
    <col min="13838" max="13838" width="7.42578125" style="1396" bestFit="1" customWidth="1"/>
    <col min="13839" max="13839" width="11" style="1396" customWidth="1"/>
    <col min="13840" max="13840" width="6.140625" style="1396" bestFit="1" customWidth="1"/>
    <col min="13841" max="13841" width="6" style="1396" bestFit="1" customWidth="1"/>
    <col min="13842" max="13842" width="18.7109375" style="1396" bestFit="1" customWidth="1"/>
    <col min="13843" max="13843" width="21.42578125" style="1396" customWidth="1"/>
    <col min="13844" max="14080" width="9.140625" style="1396"/>
    <col min="14081" max="14081" width="68.28515625" style="1396" bestFit="1" customWidth="1"/>
    <col min="14082" max="14082" width="10" style="1396" bestFit="1" customWidth="1"/>
    <col min="14083" max="14083" width="20.5703125" style="1396" bestFit="1" customWidth="1"/>
    <col min="14084" max="14084" width="9.7109375" style="1396" bestFit="1" customWidth="1"/>
    <col min="14085" max="14085" width="19.7109375" style="1396" customWidth="1"/>
    <col min="14086" max="14086" width="22" style="1396" customWidth="1"/>
    <col min="14087" max="14087" width="14.140625" style="1396" customWidth="1"/>
    <col min="14088" max="14088" width="12" style="1396" customWidth="1"/>
    <col min="14089" max="14089" width="9.85546875" style="1396" customWidth="1"/>
    <col min="14090" max="14091" width="11" style="1396" bestFit="1" customWidth="1"/>
    <col min="14092" max="14092" width="9.140625" style="1396"/>
    <col min="14093" max="14093" width="6" style="1396" bestFit="1" customWidth="1"/>
    <col min="14094" max="14094" width="7.42578125" style="1396" bestFit="1" customWidth="1"/>
    <col min="14095" max="14095" width="11" style="1396" customWidth="1"/>
    <col min="14096" max="14096" width="6.140625" style="1396" bestFit="1" customWidth="1"/>
    <col min="14097" max="14097" width="6" style="1396" bestFit="1" customWidth="1"/>
    <col min="14098" max="14098" width="18.7109375" style="1396" bestFit="1" customWidth="1"/>
    <col min="14099" max="14099" width="21.42578125" style="1396" customWidth="1"/>
    <col min="14100" max="14336" width="9.140625" style="1396"/>
    <col min="14337" max="14337" width="68.28515625" style="1396" bestFit="1" customWidth="1"/>
    <col min="14338" max="14338" width="10" style="1396" bestFit="1" customWidth="1"/>
    <col min="14339" max="14339" width="20.5703125" style="1396" bestFit="1" customWidth="1"/>
    <col min="14340" max="14340" width="9.7109375" style="1396" bestFit="1" customWidth="1"/>
    <col min="14341" max="14341" width="19.7109375" style="1396" customWidth="1"/>
    <col min="14342" max="14342" width="22" style="1396" customWidth="1"/>
    <col min="14343" max="14343" width="14.140625" style="1396" customWidth="1"/>
    <col min="14344" max="14344" width="12" style="1396" customWidth="1"/>
    <col min="14345" max="14345" width="9.85546875" style="1396" customWidth="1"/>
    <col min="14346" max="14347" width="11" style="1396" bestFit="1" customWidth="1"/>
    <col min="14348" max="14348" width="9.140625" style="1396"/>
    <col min="14349" max="14349" width="6" style="1396" bestFit="1" customWidth="1"/>
    <col min="14350" max="14350" width="7.42578125" style="1396" bestFit="1" customWidth="1"/>
    <col min="14351" max="14351" width="11" style="1396" customWidth="1"/>
    <col min="14352" max="14352" width="6.140625" style="1396" bestFit="1" customWidth="1"/>
    <col min="14353" max="14353" width="6" style="1396" bestFit="1" customWidth="1"/>
    <col min="14354" max="14354" width="18.7109375" style="1396" bestFit="1" customWidth="1"/>
    <col min="14355" max="14355" width="21.42578125" style="1396" customWidth="1"/>
    <col min="14356" max="14592" width="9.140625" style="1396"/>
    <col min="14593" max="14593" width="68.28515625" style="1396" bestFit="1" customWidth="1"/>
    <col min="14594" max="14594" width="10" style="1396" bestFit="1" customWidth="1"/>
    <col min="14595" max="14595" width="20.5703125" style="1396" bestFit="1" customWidth="1"/>
    <col min="14596" max="14596" width="9.7109375" style="1396" bestFit="1" customWidth="1"/>
    <col min="14597" max="14597" width="19.7109375" style="1396" customWidth="1"/>
    <col min="14598" max="14598" width="22" style="1396" customWidth="1"/>
    <col min="14599" max="14599" width="14.140625" style="1396" customWidth="1"/>
    <col min="14600" max="14600" width="12" style="1396" customWidth="1"/>
    <col min="14601" max="14601" width="9.85546875" style="1396" customWidth="1"/>
    <col min="14602" max="14603" width="11" style="1396" bestFit="1" customWidth="1"/>
    <col min="14604" max="14604" width="9.140625" style="1396"/>
    <col min="14605" max="14605" width="6" style="1396" bestFit="1" customWidth="1"/>
    <col min="14606" max="14606" width="7.42578125" style="1396" bestFit="1" customWidth="1"/>
    <col min="14607" max="14607" width="11" style="1396" customWidth="1"/>
    <col min="14608" max="14608" width="6.140625" style="1396" bestFit="1" customWidth="1"/>
    <col min="14609" max="14609" width="6" style="1396" bestFit="1" customWidth="1"/>
    <col min="14610" max="14610" width="18.7109375" style="1396" bestFit="1" customWidth="1"/>
    <col min="14611" max="14611" width="21.42578125" style="1396" customWidth="1"/>
    <col min="14612" max="14848" width="9.140625" style="1396"/>
    <col min="14849" max="14849" width="68.28515625" style="1396" bestFit="1" customWidth="1"/>
    <col min="14850" max="14850" width="10" style="1396" bestFit="1" customWidth="1"/>
    <col min="14851" max="14851" width="20.5703125" style="1396" bestFit="1" customWidth="1"/>
    <col min="14852" max="14852" width="9.7109375" style="1396" bestFit="1" customWidth="1"/>
    <col min="14853" max="14853" width="19.7109375" style="1396" customWidth="1"/>
    <col min="14854" max="14854" width="22" style="1396" customWidth="1"/>
    <col min="14855" max="14855" width="14.140625" style="1396" customWidth="1"/>
    <col min="14856" max="14856" width="12" style="1396" customWidth="1"/>
    <col min="14857" max="14857" width="9.85546875" style="1396" customWidth="1"/>
    <col min="14858" max="14859" width="11" style="1396" bestFit="1" customWidth="1"/>
    <col min="14860" max="14860" width="9.140625" style="1396"/>
    <col min="14861" max="14861" width="6" style="1396" bestFit="1" customWidth="1"/>
    <col min="14862" max="14862" width="7.42578125" style="1396" bestFit="1" customWidth="1"/>
    <col min="14863" max="14863" width="11" style="1396" customWidth="1"/>
    <col min="14864" max="14864" width="6.140625" style="1396" bestFit="1" customWidth="1"/>
    <col min="14865" max="14865" width="6" style="1396" bestFit="1" customWidth="1"/>
    <col min="14866" max="14866" width="18.7109375" style="1396" bestFit="1" customWidth="1"/>
    <col min="14867" max="14867" width="21.42578125" style="1396" customWidth="1"/>
    <col min="14868" max="15104" width="9.140625" style="1396"/>
    <col min="15105" max="15105" width="68.28515625" style="1396" bestFit="1" customWidth="1"/>
    <col min="15106" max="15106" width="10" style="1396" bestFit="1" customWidth="1"/>
    <col min="15107" max="15107" width="20.5703125" style="1396" bestFit="1" customWidth="1"/>
    <col min="15108" max="15108" width="9.7109375" style="1396" bestFit="1" customWidth="1"/>
    <col min="15109" max="15109" width="19.7109375" style="1396" customWidth="1"/>
    <col min="15110" max="15110" width="22" style="1396" customWidth="1"/>
    <col min="15111" max="15111" width="14.140625" style="1396" customWidth="1"/>
    <col min="15112" max="15112" width="12" style="1396" customWidth="1"/>
    <col min="15113" max="15113" width="9.85546875" style="1396" customWidth="1"/>
    <col min="15114" max="15115" width="11" style="1396" bestFit="1" customWidth="1"/>
    <col min="15116" max="15116" width="9.140625" style="1396"/>
    <col min="15117" max="15117" width="6" style="1396" bestFit="1" customWidth="1"/>
    <col min="15118" max="15118" width="7.42578125" style="1396" bestFit="1" customWidth="1"/>
    <col min="15119" max="15119" width="11" style="1396" customWidth="1"/>
    <col min="15120" max="15120" width="6.140625" style="1396" bestFit="1" customWidth="1"/>
    <col min="15121" max="15121" width="6" style="1396" bestFit="1" customWidth="1"/>
    <col min="15122" max="15122" width="18.7109375" style="1396" bestFit="1" customWidth="1"/>
    <col min="15123" max="15123" width="21.42578125" style="1396" customWidth="1"/>
    <col min="15124" max="15360" width="9.140625" style="1396"/>
    <col min="15361" max="15361" width="68.28515625" style="1396" bestFit="1" customWidth="1"/>
    <col min="15362" max="15362" width="10" style="1396" bestFit="1" customWidth="1"/>
    <col min="15363" max="15363" width="20.5703125" style="1396" bestFit="1" customWidth="1"/>
    <col min="15364" max="15364" width="9.7109375" style="1396" bestFit="1" customWidth="1"/>
    <col min="15365" max="15365" width="19.7109375" style="1396" customWidth="1"/>
    <col min="15366" max="15366" width="22" style="1396" customWidth="1"/>
    <col min="15367" max="15367" width="14.140625" style="1396" customWidth="1"/>
    <col min="15368" max="15368" width="12" style="1396" customWidth="1"/>
    <col min="15369" max="15369" width="9.85546875" style="1396" customWidth="1"/>
    <col min="15370" max="15371" width="11" style="1396" bestFit="1" customWidth="1"/>
    <col min="15372" max="15372" width="9.140625" style="1396"/>
    <col min="15373" max="15373" width="6" style="1396" bestFit="1" customWidth="1"/>
    <col min="15374" max="15374" width="7.42578125" style="1396" bestFit="1" customWidth="1"/>
    <col min="15375" max="15375" width="11" style="1396" customWidth="1"/>
    <col min="15376" max="15376" width="6.140625" style="1396" bestFit="1" customWidth="1"/>
    <col min="15377" max="15377" width="6" style="1396" bestFit="1" customWidth="1"/>
    <col min="15378" max="15378" width="18.7109375" style="1396" bestFit="1" customWidth="1"/>
    <col min="15379" max="15379" width="21.42578125" style="1396" customWidth="1"/>
    <col min="15380" max="15616" width="9.140625" style="1396"/>
    <col min="15617" max="15617" width="68.28515625" style="1396" bestFit="1" customWidth="1"/>
    <col min="15618" max="15618" width="10" style="1396" bestFit="1" customWidth="1"/>
    <col min="15619" max="15619" width="20.5703125" style="1396" bestFit="1" customWidth="1"/>
    <col min="15620" max="15620" width="9.7109375" style="1396" bestFit="1" customWidth="1"/>
    <col min="15621" max="15621" width="19.7109375" style="1396" customWidth="1"/>
    <col min="15622" max="15622" width="22" style="1396" customWidth="1"/>
    <col min="15623" max="15623" width="14.140625" style="1396" customWidth="1"/>
    <col min="15624" max="15624" width="12" style="1396" customWidth="1"/>
    <col min="15625" max="15625" width="9.85546875" style="1396" customWidth="1"/>
    <col min="15626" max="15627" width="11" style="1396" bestFit="1" customWidth="1"/>
    <col min="15628" max="15628" width="9.140625" style="1396"/>
    <col min="15629" max="15629" width="6" style="1396" bestFit="1" customWidth="1"/>
    <col min="15630" max="15630" width="7.42578125" style="1396" bestFit="1" customWidth="1"/>
    <col min="15631" max="15631" width="11" style="1396" customWidth="1"/>
    <col min="15632" max="15632" width="6.140625" style="1396" bestFit="1" customWidth="1"/>
    <col min="15633" max="15633" width="6" style="1396" bestFit="1" customWidth="1"/>
    <col min="15634" max="15634" width="18.7109375" style="1396" bestFit="1" customWidth="1"/>
    <col min="15635" max="15635" width="21.42578125" style="1396" customWidth="1"/>
    <col min="15636" max="15872" width="9.140625" style="1396"/>
    <col min="15873" max="15873" width="68.28515625" style="1396" bestFit="1" customWidth="1"/>
    <col min="15874" max="15874" width="10" style="1396" bestFit="1" customWidth="1"/>
    <col min="15875" max="15875" width="20.5703125" style="1396" bestFit="1" customWidth="1"/>
    <col min="15876" max="15876" width="9.7109375" style="1396" bestFit="1" customWidth="1"/>
    <col min="15877" max="15877" width="19.7109375" style="1396" customWidth="1"/>
    <col min="15878" max="15878" width="22" style="1396" customWidth="1"/>
    <col min="15879" max="15879" width="14.140625" style="1396" customWidth="1"/>
    <col min="15880" max="15880" width="12" style="1396" customWidth="1"/>
    <col min="15881" max="15881" width="9.85546875" style="1396" customWidth="1"/>
    <col min="15882" max="15883" width="11" style="1396" bestFit="1" customWidth="1"/>
    <col min="15884" max="15884" width="9.140625" style="1396"/>
    <col min="15885" max="15885" width="6" style="1396" bestFit="1" customWidth="1"/>
    <col min="15886" max="15886" width="7.42578125" style="1396" bestFit="1" customWidth="1"/>
    <col min="15887" max="15887" width="11" style="1396" customWidth="1"/>
    <col min="15888" max="15888" width="6.140625" style="1396" bestFit="1" customWidth="1"/>
    <col min="15889" max="15889" width="6" style="1396" bestFit="1" customWidth="1"/>
    <col min="15890" max="15890" width="18.7109375" style="1396" bestFit="1" customWidth="1"/>
    <col min="15891" max="15891" width="21.42578125" style="1396" customWidth="1"/>
    <col min="15892" max="16128" width="9.140625" style="1396"/>
    <col min="16129" max="16129" width="68.28515625" style="1396" bestFit="1" customWidth="1"/>
    <col min="16130" max="16130" width="10" style="1396" bestFit="1" customWidth="1"/>
    <col min="16131" max="16131" width="20.5703125" style="1396" bestFit="1" customWidth="1"/>
    <col min="16132" max="16132" width="9.7109375" style="1396" bestFit="1" customWidth="1"/>
    <col min="16133" max="16133" width="19.7109375" style="1396" customWidth="1"/>
    <col min="16134" max="16134" width="22" style="1396" customWidth="1"/>
    <col min="16135" max="16135" width="14.140625" style="1396" customWidth="1"/>
    <col min="16136" max="16136" width="12" style="1396" customWidth="1"/>
    <col min="16137" max="16137" width="9.85546875" style="1396" customWidth="1"/>
    <col min="16138" max="16139" width="11" style="1396" bestFit="1" customWidth="1"/>
    <col min="16140" max="16140" width="9.140625" style="1396"/>
    <col min="16141" max="16141" width="6" style="1396" bestFit="1" customWidth="1"/>
    <col min="16142" max="16142" width="7.42578125" style="1396" bestFit="1" customWidth="1"/>
    <col min="16143" max="16143" width="11" style="1396" customWidth="1"/>
    <col min="16144" max="16144" width="6.140625" style="1396" bestFit="1" customWidth="1"/>
    <col min="16145" max="16145" width="6" style="1396" bestFit="1" customWidth="1"/>
    <col min="16146" max="16146" width="18.7109375" style="1396" bestFit="1" customWidth="1"/>
    <col min="16147" max="16147" width="21.42578125" style="1396" customWidth="1"/>
    <col min="16148" max="16384" width="9.140625" style="1396"/>
  </cols>
  <sheetData>
    <row r="1" spans="1:18" ht="21">
      <c r="A1" s="4757" t="s">
        <v>2757</v>
      </c>
      <c r="B1" s="4758"/>
      <c r="C1" s="4758"/>
      <c r="D1" s="4758"/>
      <c r="E1" s="4758"/>
      <c r="F1" s="4758"/>
    </row>
    <row r="3" spans="1:18" s="2317" customFormat="1" ht="13.5" thickBot="1">
      <c r="A3" s="3185"/>
      <c r="B3" s="3185"/>
      <c r="C3" s="2319"/>
    </row>
    <row r="4" spans="1:18" ht="14.25" customHeight="1" thickBot="1">
      <c r="A4" s="3186" t="s">
        <v>6365</v>
      </c>
      <c r="B4" s="3187">
        <v>2006</v>
      </c>
      <c r="C4" s="3187">
        <v>2007</v>
      </c>
      <c r="D4" s="3187">
        <v>2008</v>
      </c>
      <c r="E4" s="3187">
        <v>2009</v>
      </c>
      <c r="F4" s="3187">
        <v>2010</v>
      </c>
      <c r="G4" s="3187">
        <v>2011</v>
      </c>
      <c r="H4" s="3187">
        <v>2012</v>
      </c>
      <c r="I4" s="3187">
        <v>2013</v>
      </c>
      <c r="J4" s="3187">
        <v>2014</v>
      </c>
      <c r="K4" s="3187">
        <v>2015</v>
      </c>
      <c r="L4" s="3187">
        <v>2016</v>
      </c>
      <c r="M4" s="3187">
        <v>2017</v>
      </c>
      <c r="N4" s="3187">
        <v>2018</v>
      </c>
      <c r="O4" s="3187">
        <v>2019</v>
      </c>
      <c r="P4" s="3187">
        <v>2020</v>
      </c>
      <c r="Q4" s="3613">
        <v>2021</v>
      </c>
      <c r="R4" s="3613">
        <v>2022</v>
      </c>
    </row>
    <row r="5" spans="1:18" ht="11.25" customHeight="1">
      <c r="A5" s="3189" t="s">
        <v>6366</v>
      </c>
      <c r="B5" s="3190">
        <v>131</v>
      </c>
      <c r="C5" s="2329">
        <v>89</v>
      </c>
      <c r="D5" s="1355">
        <v>110</v>
      </c>
      <c r="E5" s="1355">
        <v>97</v>
      </c>
      <c r="F5" s="1355">
        <v>92</v>
      </c>
      <c r="G5" s="1355">
        <v>69</v>
      </c>
      <c r="H5" s="1355">
        <v>83</v>
      </c>
      <c r="I5" s="1355">
        <v>87</v>
      </c>
      <c r="J5" s="1355">
        <v>87</v>
      </c>
      <c r="K5" s="1355">
        <v>101</v>
      </c>
      <c r="L5" s="1355">
        <v>119</v>
      </c>
      <c r="M5" s="1355">
        <v>117</v>
      </c>
      <c r="N5" s="1355">
        <v>130</v>
      </c>
      <c r="O5" s="3614">
        <v>116</v>
      </c>
      <c r="P5" s="3614">
        <v>113</v>
      </c>
      <c r="Q5" s="1355">
        <v>137</v>
      </c>
      <c r="R5" s="1395">
        <v>102</v>
      </c>
    </row>
    <row r="6" spans="1:18">
      <c r="A6" s="3189" t="s">
        <v>6367</v>
      </c>
      <c r="B6" s="3190">
        <v>131</v>
      </c>
      <c r="C6" s="2329">
        <v>113</v>
      </c>
      <c r="D6" s="1355">
        <v>152</v>
      </c>
      <c r="E6" s="1355">
        <v>147</v>
      </c>
      <c r="F6" s="1355">
        <v>130</v>
      </c>
      <c r="G6" s="1355">
        <v>154</v>
      </c>
      <c r="H6" s="1355">
        <v>156</v>
      </c>
      <c r="I6" s="1355">
        <v>176</v>
      </c>
      <c r="J6" s="1355">
        <v>145</v>
      </c>
      <c r="K6" s="1355">
        <v>154</v>
      </c>
      <c r="L6" s="1355">
        <v>152</v>
      </c>
      <c r="M6" s="1355">
        <v>171</v>
      </c>
      <c r="N6" s="1355">
        <v>160</v>
      </c>
      <c r="O6" s="1355">
        <v>173</v>
      </c>
      <c r="P6" s="1355">
        <v>172</v>
      </c>
      <c r="Q6" s="1355">
        <v>179</v>
      </c>
      <c r="R6" s="1395">
        <v>175</v>
      </c>
    </row>
    <row r="7" spans="1:18">
      <c r="A7" s="3189" t="s">
        <v>6368</v>
      </c>
      <c r="B7" s="3190">
        <v>530</v>
      </c>
      <c r="C7" s="2329">
        <v>487</v>
      </c>
      <c r="D7" s="1355">
        <v>555</v>
      </c>
      <c r="E7" s="1355">
        <v>523</v>
      </c>
      <c r="F7" s="1355">
        <v>498</v>
      </c>
      <c r="G7" s="1355">
        <v>584</v>
      </c>
      <c r="H7" s="1355">
        <v>508</v>
      </c>
      <c r="I7" s="1355">
        <v>615</v>
      </c>
      <c r="J7" s="1355">
        <v>701</v>
      </c>
      <c r="K7" s="1355">
        <v>680</v>
      </c>
      <c r="L7" s="1355">
        <v>648</v>
      </c>
      <c r="M7" s="1355">
        <v>672</v>
      </c>
      <c r="N7" s="1355">
        <v>763</v>
      </c>
      <c r="O7" s="1355">
        <v>777</v>
      </c>
      <c r="P7" s="1355">
        <v>647</v>
      </c>
      <c r="Q7" s="1355">
        <v>704</v>
      </c>
      <c r="R7" s="1395">
        <v>738</v>
      </c>
    </row>
    <row r="8" spans="1:18">
      <c r="A8" s="3189" t="s">
        <v>6369</v>
      </c>
      <c r="B8" s="3190">
        <v>549</v>
      </c>
      <c r="C8" s="2329">
        <v>550</v>
      </c>
      <c r="D8" s="1355">
        <v>511</v>
      </c>
      <c r="E8" s="1355">
        <v>534</v>
      </c>
      <c r="F8" s="1355">
        <v>579</v>
      </c>
      <c r="G8" s="1355">
        <v>499</v>
      </c>
      <c r="H8" s="1355">
        <v>585</v>
      </c>
      <c r="I8" s="1355">
        <v>487</v>
      </c>
      <c r="J8" s="1355">
        <v>539</v>
      </c>
      <c r="K8" s="1355">
        <v>466</v>
      </c>
      <c r="L8" s="1355">
        <v>575</v>
      </c>
      <c r="M8" s="1355">
        <v>568</v>
      </c>
      <c r="N8" s="1355">
        <v>625</v>
      </c>
      <c r="O8" s="1355">
        <v>569</v>
      </c>
      <c r="P8" s="1355">
        <v>521</v>
      </c>
      <c r="Q8" s="1355">
        <v>571</v>
      </c>
      <c r="R8" s="1395">
        <v>557</v>
      </c>
    </row>
    <row r="9" spans="1:18" ht="13.5" thickBot="1">
      <c r="A9" s="3189" t="s">
        <v>656</v>
      </c>
      <c r="B9" s="3190">
        <v>-19</v>
      </c>
      <c r="C9" s="2329">
        <v>-87</v>
      </c>
      <c r="D9" s="1355">
        <v>2</v>
      </c>
      <c r="E9" s="1355">
        <f>E10-D10</f>
        <v>-86</v>
      </c>
      <c r="F9" s="1355">
        <f>F10-E10</f>
        <v>-118</v>
      </c>
      <c r="G9" s="1355">
        <f>G10-F10</f>
        <v>-33</v>
      </c>
      <c r="H9" s="1355">
        <f>H10-G10</f>
        <v>-150</v>
      </c>
      <c r="I9" s="1355">
        <f>I10-H10</f>
        <v>39</v>
      </c>
      <c r="J9" s="1355">
        <v>104</v>
      </c>
      <c r="K9" s="1355">
        <f>K10-J10</f>
        <v>172</v>
      </c>
      <c r="L9" s="1355">
        <v>40</v>
      </c>
      <c r="M9" s="1355">
        <v>82</v>
      </c>
      <c r="N9" s="1355">
        <v>83</v>
      </c>
      <c r="O9" s="3196">
        <f>O7-O8</f>
        <v>208</v>
      </c>
      <c r="P9" s="3196">
        <v>82</v>
      </c>
      <c r="Q9" s="1355">
        <f>Q10-P10</f>
        <v>119</v>
      </c>
      <c r="R9" s="1395">
        <f>R10-Q10</f>
        <v>94</v>
      </c>
    </row>
    <row r="10" spans="1:18" ht="13.5" thickBot="1">
      <c r="A10" s="3191" t="s">
        <v>6370</v>
      </c>
      <c r="B10" s="3192">
        <v>11831</v>
      </c>
      <c r="C10" s="3192">
        <v>11744</v>
      </c>
      <c r="D10" s="3192">
        <v>11746</v>
      </c>
      <c r="E10" s="1397">
        <v>11660</v>
      </c>
      <c r="F10" s="1397">
        <v>11542</v>
      </c>
      <c r="G10" s="1397">
        <v>11509</v>
      </c>
      <c r="H10" s="1397">
        <v>11359</v>
      </c>
      <c r="I10" s="1397">
        <v>11398</v>
      </c>
      <c r="J10" s="1397">
        <v>11502</v>
      </c>
      <c r="K10" s="1397">
        <v>11674</v>
      </c>
      <c r="L10" s="1397">
        <v>11714</v>
      </c>
      <c r="M10" s="1397">
        <v>11796</v>
      </c>
      <c r="N10" s="1397">
        <v>11901</v>
      </c>
      <c r="O10" s="1397">
        <v>12092</v>
      </c>
      <c r="P10" s="1397">
        <v>12176</v>
      </c>
      <c r="Q10" s="1397">
        <v>12295</v>
      </c>
      <c r="R10" s="1397">
        <v>12389</v>
      </c>
    </row>
    <row r="11" spans="1:18">
      <c r="A11" s="3185"/>
      <c r="B11" s="3185"/>
      <c r="C11" s="2319"/>
      <c r="D11" s="2319"/>
    </row>
    <row r="12" spans="1:18" ht="13.5" thickBot="1"/>
    <row r="13" spans="1:18" ht="14.25" customHeight="1" thickBot="1">
      <c r="A13" s="3186" t="s">
        <v>25</v>
      </c>
      <c r="B13" s="3187">
        <v>2006</v>
      </c>
      <c r="C13" s="3187">
        <v>2007</v>
      </c>
      <c r="D13" s="3187">
        <v>2008</v>
      </c>
      <c r="E13" s="3187">
        <v>2009</v>
      </c>
      <c r="F13" s="3187">
        <v>2010</v>
      </c>
      <c r="G13" s="3187">
        <v>2011</v>
      </c>
      <c r="H13" s="3187">
        <v>2012</v>
      </c>
      <c r="I13" s="3187">
        <v>2013</v>
      </c>
      <c r="J13" s="3187">
        <v>2014</v>
      </c>
      <c r="K13" s="3187">
        <v>2015</v>
      </c>
      <c r="L13" s="3187">
        <v>2016</v>
      </c>
      <c r="M13" s="3187">
        <v>2017</v>
      </c>
      <c r="N13" s="3187">
        <v>2018</v>
      </c>
      <c r="O13" s="3187">
        <v>2019</v>
      </c>
      <c r="P13" s="3187">
        <v>2020</v>
      </c>
      <c r="Q13" s="3188">
        <v>2021</v>
      </c>
      <c r="R13" s="3188">
        <v>2022</v>
      </c>
    </row>
    <row r="14" spans="1:18">
      <c r="A14" s="3189" t="s">
        <v>6371</v>
      </c>
      <c r="B14" s="3190">
        <v>3652</v>
      </c>
      <c r="C14" s="2329">
        <v>2486</v>
      </c>
      <c r="D14" s="1355">
        <v>1964</v>
      </c>
      <c r="E14" s="1355">
        <v>1700</v>
      </c>
      <c r="F14" s="1355">
        <v>3335</v>
      </c>
      <c r="G14" s="1355">
        <v>3088</v>
      </c>
      <c r="H14" s="1355">
        <v>2520</v>
      </c>
      <c r="I14" s="1355">
        <v>1997</v>
      </c>
      <c r="J14" s="1355">
        <v>1855</v>
      </c>
      <c r="K14" s="1355">
        <v>3337</v>
      </c>
      <c r="L14" s="1355">
        <v>2075</v>
      </c>
      <c r="M14" s="1355">
        <v>2419</v>
      </c>
      <c r="N14" s="1355">
        <v>1841</v>
      </c>
      <c r="O14" s="1355">
        <v>858</v>
      </c>
      <c r="P14" s="1355">
        <v>908</v>
      </c>
      <c r="Q14" s="3615">
        <v>1034</v>
      </c>
      <c r="R14" s="3615">
        <v>901</v>
      </c>
    </row>
    <row r="15" spans="1:18">
      <c r="A15" s="3189" t="s">
        <v>6372</v>
      </c>
      <c r="B15" s="3190">
        <v>268</v>
      </c>
      <c r="C15" s="2329">
        <v>207</v>
      </c>
      <c r="D15" s="1355">
        <v>254</v>
      </c>
      <c r="E15" s="1355">
        <v>254</v>
      </c>
      <c r="F15" s="1355">
        <v>316</v>
      </c>
      <c r="G15" s="1355">
        <v>276</v>
      </c>
      <c r="H15" s="1355">
        <v>282</v>
      </c>
      <c r="I15" s="1355">
        <v>320</v>
      </c>
      <c r="J15" s="1355">
        <v>300</v>
      </c>
      <c r="K15" s="1355">
        <f>17+25+28+35+26+17+49+34+38+28+31+40</f>
        <v>368</v>
      </c>
      <c r="L15" s="1355">
        <v>202</v>
      </c>
      <c r="M15" s="1355">
        <v>370</v>
      </c>
      <c r="N15" s="1355">
        <v>330</v>
      </c>
      <c r="O15" s="1355">
        <v>330</v>
      </c>
      <c r="P15" s="1355">
        <v>112</v>
      </c>
      <c r="Q15" s="1356">
        <v>219</v>
      </c>
      <c r="R15" s="1356">
        <v>597</v>
      </c>
    </row>
    <row r="16" spans="1:18">
      <c r="A16" s="3189" t="s">
        <v>6373</v>
      </c>
      <c r="B16" s="3190">
        <v>68</v>
      </c>
      <c r="C16" s="2329"/>
      <c r="D16" s="1355"/>
      <c r="E16" s="1355"/>
      <c r="F16" s="1355"/>
      <c r="G16" s="1355"/>
      <c r="H16" s="1355"/>
      <c r="I16" s="1355"/>
      <c r="J16" s="1355"/>
      <c r="K16" s="1355"/>
      <c r="L16" s="1355"/>
      <c r="M16" s="1355"/>
      <c r="N16" s="1355"/>
      <c r="O16" s="1355"/>
      <c r="P16" s="1355"/>
      <c r="Q16" s="1356"/>
      <c r="R16" s="1356"/>
    </row>
    <row r="17" spans="1:19" ht="13.5" thickBot="1">
      <c r="A17" s="3193" t="s">
        <v>254</v>
      </c>
      <c r="B17" s="3194">
        <v>965</v>
      </c>
      <c r="C17" s="3195">
        <v>1040</v>
      </c>
      <c r="D17" s="3196">
        <v>1294</v>
      </c>
      <c r="E17" s="3196">
        <v>943</v>
      </c>
      <c r="F17" s="3196">
        <v>953</v>
      </c>
      <c r="G17" s="3196">
        <v>1012</v>
      </c>
      <c r="H17" s="3196">
        <v>953</v>
      </c>
      <c r="I17" s="3196">
        <v>858</v>
      </c>
      <c r="J17" s="3196">
        <v>844</v>
      </c>
      <c r="K17" s="3196">
        <v>1139</v>
      </c>
      <c r="L17" s="3196">
        <v>922</v>
      </c>
      <c r="M17" s="3196">
        <v>931</v>
      </c>
      <c r="N17" s="3196">
        <v>754</v>
      </c>
      <c r="O17" s="3196">
        <v>789</v>
      </c>
      <c r="P17" s="3196">
        <v>546</v>
      </c>
      <c r="Q17" s="1357">
        <v>1229</v>
      </c>
      <c r="R17" s="1357">
        <v>909</v>
      </c>
    </row>
    <row r="18" spans="1:19">
      <c r="A18" s="3185"/>
      <c r="B18" s="3185"/>
      <c r="C18" s="2319"/>
      <c r="D18" s="2317"/>
    </row>
    <row r="19" spans="1:19" ht="13.5" thickBot="1"/>
    <row r="20" spans="1:19" s="3197" customFormat="1" ht="13.5" thickBot="1">
      <c r="A20" s="3186" t="s">
        <v>26</v>
      </c>
      <c r="B20" s="3187">
        <v>2006</v>
      </c>
      <c r="C20" s="3187">
        <v>2007</v>
      </c>
      <c r="D20" s="3187">
        <v>2008</v>
      </c>
      <c r="E20" s="3187">
        <v>2009</v>
      </c>
      <c r="F20" s="3187">
        <v>2010</v>
      </c>
      <c r="G20" s="3187">
        <v>2011</v>
      </c>
      <c r="H20" s="3187">
        <v>2012</v>
      </c>
      <c r="I20" s="3187">
        <v>2013</v>
      </c>
      <c r="J20" s="3187">
        <v>2014</v>
      </c>
      <c r="K20" s="3187">
        <v>2015</v>
      </c>
      <c r="L20" s="3187">
        <v>2016</v>
      </c>
      <c r="M20" s="3187">
        <v>2017</v>
      </c>
      <c r="N20" s="3187">
        <v>2018</v>
      </c>
      <c r="O20" s="3188">
        <v>2019</v>
      </c>
    </row>
    <row r="21" spans="1:19" s="2317" customFormat="1">
      <c r="A21" s="3189" t="s">
        <v>6366</v>
      </c>
      <c r="B21" s="3190">
        <v>451</v>
      </c>
      <c r="C21" s="2329">
        <v>403</v>
      </c>
      <c r="D21" s="1355">
        <v>412</v>
      </c>
      <c r="E21" s="1355">
        <v>425</v>
      </c>
      <c r="F21" s="1355">
        <v>394</v>
      </c>
      <c r="G21" s="1355">
        <v>402</v>
      </c>
      <c r="H21" s="1355">
        <v>393</v>
      </c>
      <c r="I21" s="1355">
        <v>369</v>
      </c>
      <c r="J21" s="1355">
        <v>375</v>
      </c>
      <c r="K21" s="1355">
        <v>349</v>
      </c>
      <c r="L21" s="1355">
        <v>403</v>
      </c>
      <c r="M21" s="1355">
        <v>373</v>
      </c>
      <c r="N21" s="1355">
        <v>388</v>
      </c>
      <c r="O21" s="1356">
        <v>370</v>
      </c>
    </row>
    <row r="22" spans="1:19" s="2317" customFormat="1">
      <c r="A22" s="3189" t="s">
        <v>249</v>
      </c>
      <c r="B22" s="3190">
        <v>53</v>
      </c>
      <c r="C22" s="2329">
        <v>49</v>
      </c>
      <c r="D22" s="1355">
        <v>27</v>
      </c>
      <c r="E22" s="1355">
        <v>58</v>
      </c>
      <c r="F22" s="1355">
        <v>53</v>
      </c>
      <c r="G22" s="1355">
        <v>35</v>
      </c>
      <c r="H22" s="1355">
        <v>51</v>
      </c>
      <c r="I22" s="1355">
        <v>39</v>
      </c>
      <c r="J22" s="1355">
        <v>38</v>
      </c>
      <c r="K22" s="1355">
        <v>37</v>
      </c>
      <c r="L22" s="1355">
        <v>46</v>
      </c>
      <c r="M22" s="1355">
        <v>51</v>
      </c>
      <c r="N22" s="1355">
        <v>53</v>
      </c>
      <c r="O22" s="1356">
        <v>51</v>
      </c>
    </row>
    <row r="23" spans="1:19" s="2317" customFormat="1">
      <c r="A23" s="3189" t="s">
        <v>6374</v>
      </c>
      <c r="B23" s="3190">
        <v>23</v>
      </c>
      <c r="C23" s="2329">
        <v>26</v>
      </c>
      <c r="D23" s="1355">
        <v>33</v>
      </c>
      <c r="E23" s="1355">
        <v>23</v>
      </c>
      <c r="F23" s="1355">
        <v>28</v>
      </c>
      <c r="G23" s="1355">
        <v>23</v>
      </c>
      <c r="H23" s="1355">
        <v>33</v>
      </c>
      <c r="I23" s="1355">
        <v>36</v>
      </c>
      <c r="J23" s="1355">
        <v>24</v>
      </c>
      <c r="K23" s="1355">
        <v>27</v>
      </c>
      <c r="L23" s="1355">
        <v>28</v>
      </c>
      <c r="M23" s="1355">
        <v>19</v>
      </c>
      <c r="N23" s="1355">
        <v>25</v>
      </c>
      <c r="O23" s="1356">
        <v>18</v>
      </c>
    </row>
    <row r="24" spans="1:19" s="2317" customFormat="1" ht="13.5" thickBot="1">
      <c r="A24" s="3193" t="s">
        <v>6367</v>
      </c>
      <c r="B24" s="3194">
        <v>358</v>
      </c>
      <c r="C24" s="3195">
        <v>374</v>
      </c>
      <c r="D24" s="3196">
        <v>428</v>
      </c>
      <c r="E24" s="3196">
        <v>358</v>
      </c>
      <c r="F24" s="3196">
        <v>412</v>
      </c>
      <c r="G24" s="3196">
        <v>394</v>
      </c>
      <c r="H24" s="3196">
        <v>410</v>
      </c>
      <c r="I24" s="3196">
        <v>413</v>
      </c>
      <c r="J24" s="3196">
        <v>378</v>
      </c>
      <c r="K24" s="3196">
        <v>383</v>
      </c>
      <c r="L24" s="3196">
        <v>405</v>
      </c>
      <c r="M24" s="3196">
        <v>419</v>
      </c>
      <c r="N24" s="3196">
        <v>420</v>
      </c>
      <c r="O24" s="1357">
        <v>407</v>
      </c>
    </row>
    <row r="25" spans="1:19" s="2317" customFormat="1">
      <c r="A25" s="3185"/>
      <c r="B25" s="3185"/>
      <c r="C25" s="2319"/>
    </row>
    <row r="26" spans="1:19" s="2317" customFormat="1" ht="13.5" thickBot="1">
      <c r="A26" s="2695"/>
      <c r="B26" s="2695"/>
      <c r="C26" s="1396"/>
    </row>
    <row r="27" spans="1:19" ht="13.5" thickTop="1">
      <c r="A27" s="3198" t="s">
        <v>6375</v>
      </c>
      <c r="B27" s="3199"/>
      <c r="C27" s="3200" t="s">
        <v>6366</v>
      </c>
      <c r="D27" s="3201"/>
      <c r="E27" s="3199"/>
      <c r="F27" s="3202" t="s">
        <v>5631</v>
      </c>
      <c r="G27" s="3201"/>
      <c r="H27" s="3199"/>
      <c r="I27" s="3202" t="s">
        <v>6368</v>
      </c>
      <c r="J27" s="3201"/>
      <c r="K27" s="3199"/>
      <c r="L27" s="3202" t="s">
        <v>6369</v>
      </c>
      <c r="M27" s="3201"/>
      <c r="N27" s="3203" t="s">
        <v>656</v>
      </c>
      <c r="O27" s="3199"/>
      <c r="P27" s="3200" t="s">
        <v>8</v>
      </c>
      <c r="Q27" s="3201"/>
      <c r="R27" s="3204" t="s">
        <v>6111</v>
      </c>
      <c r="S27" s="3204" t="s">
        <v>6111</v>
      </c>
    </row>
    <row r="28" spans="1:19" ht="13.5" thickBot="1">
      <c r="A28" s="3205"/>
      <c r="B28" s="3206" t="s">
        <v>6376</v>
      </c>
      <c r="C28" s="3206" t="s">
        <v>6377</v>
      </c>
      <c r="D28" s="3207" t="s">
        <v>8</v>
      </c>
      <c r="E28" s="3206" t="s">
        <v>6376</v>
      </c>
      <c r="F28" s="3206" t="s">
        <v>6377</v>
      </c>
      <c r="G28" s="3207" t="s">
        <v>8</v>
      </c>
      <c r="H28" s="3206" t="s">
        <v>6376</v>
      </c>
      <c r="I28" s="3206" t="s">
        <v>6377</v>
      </c>
      <c r="J28" s="3207" t="s">
        <v>8</v>
      </c>
      <c r="K28" s="3206" t="s">
        <v>6376</v>
      </c>
      <c r="L28" s="3206" t="s">
        <v>6377</v>
      </c>
      <c r="M28" s="3207" t="s">
        <v>8</v>
      </c>
      <c r="N28" s="3208"/>
      <c r="O28" s="3206" t="s">
        <v>6376</v>
      </c>
      <c r="P28" s="3206" t="s">
        <v>6377</v>
      </c>
      <c r="Q28" s="3207" t="s">
        <v>8</v>
      </c>
      <c r="R28" s="3209"/>
      <c r="S28" s="3209"/>
    </row>
    <row r="29" spans="1:19" ht="13.5" thickTop="1">
      <c r="A29" s="3210">
        <v>1960</v>
      </c>
      <c r="B29" s="3211"/>
      <c r="C29" s="3211"/>
      <c r="D29" s="3212">
        <f t="shared" ref="D29:D38" si="0">SUM(B29:C29)</f>
        <v>0</v>
      </c>
      <c r="E29" s="3211"/>
      <c r="F29" s="3211"/>
      <c r="G29" s="3212">
        <f t="shared" ref="G29:G38" si="1">SUM(E29:F29)</f>
        <v>0</v>
      </c>
      <c r="H29" s="3211"/>
      <c r="I29" s="3211"/>
      <c r="J29" s="3212">
        <f t="shared" ref="J29:J35" si="2">SUM(H29:I29)</f>
        <v>0</v>
      </c>
      <c r="K29" s="3211"/>
      <c r="L29" s="3211"/>
      <c r="M29" s="3212">
        <f t="shared" ref="M29:M38" si="3">SUM(K29:L29)</f>
        <v>0</v>
      </c>
      <c r="N29" s="3212">
        <v>-28</v>
      </c>
      <c r="O29" s="3211">
        <v>3537</v>
      </c>
      <c r="P29" s="3211">
        <v>3789</v>
      </c>
      <c r="Q29" s="3213">
        <f t="shared" ref="Q29:Q58" si="4">SUM(O29:P29)</f>
        <v>7326</v>
      </c>
      <c r="R29" s="3214"/>
      <c r="S29" s="3214"/>
    </row>
    <row r="30" spans="1:19">
      <c r="A30" s="3210">
        <v>1961</v>
      </c>
      <c r="B30" s="3211">
        <v>65</v>
      </c>
      <c r="C30" s="3211">
        <v>53</v>
      </c>
      <c r="D30" s="3212">
        <f t="shared" si="0"/>
        <v>118</v>
      </c>
      <c r="E30" s="3211">
        <v>30</v>
      </c>
      <c r="F30" s="3211">
        <v>43</v>
      </c>
      <c r="G30" s="3212">
        <f t="shared" si="1"/>
        <v>73</v>
      </c>
      <c r="H30" s="3211">
        <v>136</v>
      </c>
      <c r="I30" s="3211">
        <v>149</v>
      </c>
      <c r="J30" s="3212">
        <f t="shared" si="2"/>
        <v>285</v>
      </c>
      <c r="K30" s="3211">
        <v>169</v>
      </c>
      <c r="L30" s="3211">
        <v>161</v>
      </c>
      <c r="M30" s="3212">
        <f t="shared" si="3"/>
        <v>330</v>
      </c>
      <c r="N30" s="3212">
        <v>0</v>
      </c>
      <c r="O30" s="3211">
        <v>3539</v>
      </c>
      <c r="P30" s="3211">
        <v>3787</v>
      </c>
      <c r="Q30" s="3213">
        <f t="shared" si="4"/>
        <v>7326</v>
      </c>
      <c r="R30" s="3214" t="s">
        <v>6378</v>
      </c>
      <c r="S30" s="3214" t="s">
        <v>6378</v>
      </c>
    </row>
    <row r="31" spans="1:19">
      <c r="A31" s="3210">
        <v>1962</v>
      </c>
      <c r="B31" s="3211">
        <v>47</v>
      </c>
      <c r="C31" s="3211">
        <v>51</v>
      </c>
      <c r="D31" s="3212">
        <f t="shared" si="0"/>
        <v>98</v>
      </c>
      <c r="E31" s="3211">
        <v>44</v>
      </c>
      <c r="F31" s="3211">
        <v>40</v>
      </c>
      <c r="G31" s="3212">
        <f t="shared" si="1"/>
        <v>84</v>
      </c>
      <c r="H31" s="3211">
        <v>131</v>
      </c>
      <c r="I31" s="3211">
        <v>144</v>
      </c>
      <c r="J31" s="3212">
        <f t="shared" si="2"/>
        <v>275</v>
      </c>
      <c r="K31" s="3211">
        <v>141</v>
      </c>
      <c r="L31" s="3211">
        <v>163</v>
      </c>
      <c r="M31" s="3212">
        <f t="shared" si="3"/>
        <v>304</v>
      </c>
      <c r="N31" s="3212">
        <v>-15</v>
      </c>
      <c r="O31" s="3211">
        <v>3544</v>
      </c>
      <c r="P31" s="3211">
        <v>3771</v>
      </c>
      <c r="Q31" s="3213">
        <f t="shared" si="4"/>
        <v>7315</v>
      </c>
      <c r="R31" s="3214"/>
      <c r="S31" s="3214"/>
    </row>
    <row r="32" spans="1:19">
      <c r="A32" s="3210">
        <v>1963</v>
      </c>
      <c r="B32" s="3211">
        <v>54</v>
      </c>
      <c r="C32" s="3211">
        <v>59</v>
      </c>
      <c r="D32" s="3212">
        <f t="shared" si="0"/>
        <v>113</v>
      </c>
      <c r="E32" s="3211">
        <v>46</v>
      </c>
      <c r="F32" s="3211">
        <v>42</v>
      </c>
      <c r="G32" s="3212">
        <f t="shared" si="1"/>
        <v>88</v>
      </c>
      <c r="H32" s="3211">
        <v>109</v>
      </c>
      <c r="I32" s="3211">
        <v>127</v>
      </c>
      <c r="J32" s="3212">
        <f t="shared" si="2"/>
        <v>236</v>
      </c>
      <c r="K32" s="3211">
        <v>103</v>
      </c>
      <c r="L32" s="3211">
        <v>132</v>
      </c>
      <c r="M32" s="3212">
        <f t="shared" si="3"/>
        <v>235</v>
      </c>
      <c r="N32" s="3212">
        <v>26</v>
      </c>
      <c r="O32" s="3211">
        <v>3558</v>
      </c>
      <c r="P32" s="3211">
        <v>3783</v>
      </c>
      <c r="Q32" s="3213">
        <f t="shared" si="4"/>
        <v>7341</v>
      </c>
      <c r="R32" s="3214"/>
      <c r="S32" s="3214"/>
    </row>
    <row r="33" spans="1:19">
      <c r="A33" s="3210">
        <v>1964</v>
      </c>
      <c r="B33" s="3211">
        <v>53</v>
      </c>
      <c r="C33" s="3211">
        <v>50</v>
      </c>
      <c r="D33" s="3212">
        <f t="shared" si="0"/>
        <v>103</v>
      </c>
      <c r="E33" s="3211">
        <v>51</v>
      </c>
      <c r="F33" s="3211">
        <v>38</v>
      </c>
      <c r="G33" s="3212">
        <f t="shared" si="1"/>
        <v>89</v>
      </c>
      <c r="H33" s="3211">
        <v>127</v>
      </c>
      <c r="I33" s="3211">
        <v>147</v>
      </c>
      <c r="J33" s="3212">
        <f t="shared" si="2"/>
        <v>274</v>
      </c>
      <c r="K33" s="3211">
        <v>108</v>
      </c>
      <c r="L33" s="3211">
        <v>162</v>
      </c>
      <c r="M33" s="3212">
        <f t="shared" si="3"/>
        <v>270</v>
      </c>
      <c r="N33" s="3212">
        <v>12</v>
      </c>
      <c r="O33" s="3211">
        <v>3579</v>
      </c>
      <c r="P33" s="3211">
        <v>3780</v>
      </c>
      <c r="Q33" s="3213">
        <f t="shared" si="4"/>
        <v>7359</v>
      </c>
      <c r="R33" s="3214"/>
      <c r="S33" s="3214"/>
    </row>
    <row r="34" spans="1:19">
      <c r="A34" s="3210">
        <v>1965</v>
      </c>
      <c r="B34" s="3211">
        <v>59</v>
      </c>
      <c r="C34" s="3211">
        <v>53</v>
      </c>
      <c r="D34" s="3212">
        <f t="shared" si="0"/>
        <v>112</v>
      </c>
      <c r="E34" s="3211">
        <v>33</v>
      </c>
      <c r="F34" s="3211">
        <v>48</v>
      </c>
      <c r="G34" s="3212">
        <f t="shared" si="1"/>
        <v>81</v>
      </c>
      <c r="H34" s="3211">
        <v>145</v>
      </c>
      <c r="I34" s="3211">
        <v>161</v>
      </c>
      <c r="J34" s="3212">
        <f t="shared" si="2"/>
        <v>306</v>
      </c>
      <c r="K34" s="3211">
        <v>117</v>
      </c>
      <c r="L34" s="3211">
        <v>119</v>
      </c>
      <c r="M34" s="3212">
        <f t="shared" si="3"/>
        <v>236</v>
      </c>
      <c r="N34" s="3212">
        <v>101</v>
      </c>
      <c r="O34" s="3211">
        <v>3636</v>
      </c>
      <c r="P34" s="3211">
        <v>3824</v>
      </c>
      <c r="Q34" s="3213">
        <f t="shared" si="4"/>
        <v>7460</v>
      </c>
      <c r="R34" s="3214"/>
      <c r="S34" s="3214"/>
    </row>
    <row r="35" spans="1:19">
      <c r="A35" s="3210">
        <v>1966</v>
      </c>
      <c r="B35" s="3211">
        <v>51</v>
      </c>
      <c r="C35" s="3211">
        <v>74</v>
      </c>
      <c r="D35" s="3212">
        <f t="shared" si="0"/>
        <v>125</v>
      </c>
      <c r="E35" s="3211">
        <v>59</v>
      </c>
      <c r="F35" s="3211">
        <v>52</v>
      </c>
      <c r="G35" s="3212">
        <f t="shared" si="1"/>
        <v>111</v>
      </c>
      <c r="H35" s="3211">
        <v>147</v>
      </c>
      <c r="I35" s="3211">
        <v>163</v>
      </c>
      <c r="J35" s="3212">
        <f t="shared" si="2"/>
        <v>310</v>
      </c>
      <c r="K35" s="3211">
        <v>153</v>
      </c>
      <c r="L35" s="3211">
        <v>156</v>
      </c>
      <c r="M35" s="3212">
        <f t="shared" si="3"/>
        <v>309</v>
      </c>
      <c r="N35" s="3212">
        <v>15</v>
      </c>
      <c r="O35" s="3211">
        <v>3622</v>
      </c>
      <c r="P35" s="3211">
        <v>3853</v>
      </c>
      <c r="Q35" s="3213">
        <f t="shared" si="4"/>
        <v>7475</v>
      </c>
      <c r="R35" s="3214"/>
      <c r="S35" s="3214"/>
    </row>
    <row r="36" spans="1:19">
      <c r="A36" s="3210">
        <v>1967</v>
      </c>
      <c r="B36" s="3211">
        <v>53</v>
      </c>
      <c r="C36" s="3211">
        <v>69</v>
      </c>
      <c r="D36" s="3212">
        <f t="shared" si="0"/>
        <v>122</v>
      </c>
      <c r="E36" s="3211">
        <v>61</v>
      </c>
      <c r="F36" s="3211">
        <v>49</v>
      </c>
      <c r="G36" s="3212">
        <f t="shared" si="1"/>
        <v>110</v>
      </c>
      <c r="H36" s="3211">
        <v>137</v>
      </c>
      <c r="I36" s="3211">
        <v>129</v>
      </c>
      <c r="J36" s="3212">
        <v>266</v>
      </c>
      <c r="K36" s="3211">
        <v>111</v>
      </c>
      <c r="L36" s="3211">
        <v>140</v>
      </c>
      <c r="M36" s="3212">
        <f t="shared" si="3"/>
        <v>251</v>
      </c>
      <c r="N36" s="3212">
        <v>27</v>
      </c>
      <c r="O36" s="3211">
        <v>3640</v>
      </c>
      <c r="P36" s="3211">
        <v>3862</v>
      </c>
      <c r="Q36" s="3213">
        <f t="shared" si="4"/>
        <v>7502</v>
      </c>
      <c r="R36" s="3214"/>
      <c r="S36" s="3214"/>
    </row>
    <row r="37" spans="1:19">
      <c r="A37" s="3210">
        <v>1968</v>
      </c>
      <c r="B37" s="3211">
        <v>58</v>
      </c>
      <c r="C37" s="3211">
        <v>54</v>
      </c>
      <c r="D37" s="3212">
        <f t="shared" si="0"/>
        <v>112</v>
      </c>
      <c r="E37" s="3211">
        <v>43</v>
      </c>
      <c r="F37" s="3211">
        <v>47</v>
      </c>
      <c r="G37" s="3212">
        <f t="shared" si="1"/>
        <v>90</v>
      </c>
      <c r="H37" s="3211">
        <v>108</v>
      </c>
      <c r="I37" s="3211">
        <v>134</v>
      </c>
      <c r="J37" s="3212">
        <f>SUM(H37:I37)</f>
        <v>242</v>
      </c>
      <c r="K37" s="3211">
        <v>134</v>
      </c>
      <c r="L37" s="3211">
        <v>137</v>
      </c>
      <c r="M37" s="3212">
        <f t="shared" si="3"/>
        <v>271</v>
      </c>
      <c r="N37" s="3212">
        <v>-7</v>
      </c>
      <c r="O37" s="3211">
        <v>3629</v>
      </c>
      <c r="P37" s="3211">
        <v>3866</v>
      </c>
      <c r="Q37" s="3213">
        <f t="shared" si="4"/>
        <v>7495</v>
      </c>
      <c r="R37" s="3214"/>
      <c r="S37" s="3214"/>
    </row>
    <row r="38" spans="1:19">
      <c r="A38" s="3210">
        <v>1969</v>
      </c>
      <c r="B38" s="3211">
        <v>64</v>
      </c>
      <c r="C38" s="3211">
        <v>50</v>
      </c>
      <c r="D38" s="3212">
        <f t="shared" si="0"/>
        <v>114</v>
      </c>
      <c r="E38" s="3211">
        <v>57</v>
      </c>
      <c r="F38" s="3211">
        <v>45</v>
      </c>
      <c r="G38" s="3212">
        <f t="shared" si="1"/>
        <v>102</v>
      </c>
      <c r="H38" s="3211">
        <v>140</v>
      </c>
      <c r="I38" s="3211">
        <v>140</v>
      </c>
      <c r="J38" s="3212">
        <f>SUM(H38:I38)</f>
        <v>280</v>
      </c>
      <c r="K38" s="3211">
        <v>139</v>
      </c>
      <c r="L38" s="3211">
        <v>132</v>
      </c>
      <c r="M38" s="3212">
        <f t="shared" si="3"/>
        <v>271</v>
      </c>
      <c r="N38" s="3212">
        <v>21</v>
      </c>
      <c r="O38" s="3211">
        <v>3637</v>
      </c>
      <c r="P38" s="3211">
        <v>3879</v>
      </c>
      <c r="Q38" s="3213">
        <f t="shared" si="4"/>
        <v>7516</v>
      </c>
      <c r="R38" s="3214"/>
      <c r="S38" s="3214"/>
    </row>
    <row r="39" spans="1:19">
      <c r="A39" s="3210">
        <v>1970</v>
      </c>
      <c r="B39" s="3211">
        <v>44</v>
      </c>
      <c r="C39" s="3211">
        <v>66</v>
      </c>
      <c r="D39" s="3212">
        <v>110</v>
      </c>
      <c r="E39" s="3211">
        <v>53</v>
      </c>
      <c r="F39" s="3211">
        <v>54</v>
      </c>
      <c r="G39" s="3212">
        <v>107</v>
      </c>
      <c r="H39" s="3211">
        <v>166</v>
      </c>
      <c r="I39" s="3211">
        <v>153</v>
      </c>
      <c r="J39" s="3212">
        <v>319</v>
      </c>
      <c r="K39" s="3211">
        <v>123</v>
      </c>
      <c r="L39" s="3211">
        <v>114</v>
      </c>
      <c r="M39" s="3212">
        <v>237</v>
      </c>
      <c r="N39" s="3212">
        <v>85</v>
      </c>
      <c r="O39" s="3211">
        <v>3671</v>
      </c>
      <c r="P39" s="3211">
        <v>3930</v>
      </c>
      <c r="Q39" s="3213">
        <f t="shared" si="4"/>
        <v>7601</v>
      </c>
      <c r="R39" s="3214" t="s">
        <v>6379</v>
      </c>
      <c r="S39" s="3214" t="s">
        <v>6379</v>
      </c>
    </row>
    <row r="40" spans="1:19">
      <c r="A40" s="3210">
        <v>1971</v>
      </c>
      <c r="B40" s="3211">
        <v>60</v>
      </c>
      <c r="C40" s="3211">
        <v>56</v>
      </c>
      <c r="D40" s="3212">
        <f t="shared" ref="D40:D50" si="5">SUM(B40:C40)</f>
        <v>116</v>
      </c>
      <c r="E40" s="3211">
        <v>57</v>
      </c>
      <c r="F40" s="3211">
        <v>54</v>
      </c>
      <c r="G40" s="3212">
        <f t="shared" ref="G40:G50" si="6">SUM(E40:F40)</f>
        <v>111</v>
      </c>
      <c r="H40" s="3211">
        <v>158</v>
      </c>
      <c r="I40" s="3211">
        <v>143</v>
      </c>
      <c r="J40" s="3212">
        <f t="shared" ref="J40:J67" si="7">SUM(H40:I40)</f>
        <v>301</v>
      </c>
      <c r="K40" s="3211">
        <v>169</v>
      </c>
      <c r="L40" s="3211">
        <v>166</v>
      </c>
      <c r="M40" s="3212">
        <f t="shared" ref="M40:M67" si="8">SUM(K40:L40)</f>
        <v>335</v>
      </c>
      <c r="N40" s="3212">
        <v>-29</v>
      </c>
      <c r="O40" s="3211">
        <v>4623</v>
      </c>
      <c r="P40" s="3211">
        <v>4844</v>
      </c>
      <c r="Q40" s="3213">
        <f t="shared" si="4"/>
        <v>9467</v>
      </c>
      <c r="R40" s="3214"/>
      <c r="S40" s="3214"/>
    </row>
    <row r="41" spans="1:19">
      <c r="A41" s="3210">
        <v>1972</v>
      </c>
      <c r="B41" s="3211">
        <v>74</v>
      </c>
      <c r="C41" s="3211">
        <v>60</v>
      </c>
      <c r="D41" s="3212">
        <f t="shared" si="5"/>
        <v>134</v>
      </c>
      <c r="E41" s="3211">
        <v>57</v>
      </c>
      <c r="F41" s="3211">
        <v>50</v>
      </c>
      <c r="G41" s="3212">
        <f t="shared" si="6"/>
        <v>107</v>
      </c>
      <c r="H41" s="3211">
        <v>161</v>
      </c>
      <c r="I41" s="3211">
        <v>173</v>
      </c>
      <c r="J41" s="3212">
        <f t="shared" si="7"/>
        <v>334</v>
      </c>
      <c r="K41" s="3211">
        <v>158</v>
      </c>
      <c r="L41" s="3211">
        <v>179</v>
      </c>
      <c r="M41" s="3212">
        <f t="shared" si="8"/>
        <v>337</v>
      </c>
      <c r="N41" s="3212">
        <v>24</v>
      </c>
      <c r="O41" s="3211">
        <v>4643</v>
      </c>
      <c r="P41" s="3211">
        <v>4848</v>
      </c>
      <c r="Q41" s="3213">
        <f t="shared" si="4"/>
        <v>9491</v>
      </c>
      <c r="R41" s="3214"/>
      <c r="S41" s="3214"/>
    </row>
    <row r="42" spans="1:19">
      <c r="A42" s="3210">
        <v>1973</v>
      </c>
      <c r="B42" s="3211">
        <v>60</v>
      </c>
      <c r="C42" s="3211">
        <v>63</v>
      </c>
      <c r="D42" s="3212">
        <f t="shared" si="5"/>
        <v>123</v>
      </c>
      <c r="E42" s="3211">
        <v>67</v>
      </c>
      <c r="F42" s="3211">
        <v>59</v>
      </c>
      <c r="G42" s="3212">
        <f t="shared" si="6"/>
        <v>126</v>
      </c>
      <c r="H42" s="3211">
        <v>195</v>
      </c>
      <c r="I42" s="3211">
        <v>189</v>
      </c>
      <c r="J42" s="3212">
        <f t="shared" si="7"/>
        <v>384</v>
      </c>
      <c r="K42" s="3211">
        <v>181</v>
      </c>
      <c r="L42" s="3211">
        <v>188</v>
      </c>
      <c r="M42" s="3212">
        <f t="shared" si="8"/>
        <v>369</v>
      </c>
      <c r="N42" s="3212">
        <v>12</v>
      </c>
      <c r="O42" s="3211">
        <v>4650</v>
      </c>
      <c r="P42" s="3211">
        <v>4853</v>
      </c>
      <c r="Q42" s="3213">
        <f t="shared" si="4"/>
        <v>9503</v>
      </c>
      <c r="R42" s="3214"/>
      <c r="S42" s="3214"/>
    </row>
    <row r="43" spans="1:19">
      <c r="A43" s="3210">
        <v>1974</v>
      </c>
      <c r="B43" s="3211">
        <v>49</v>
      </c>
      <c r="C43" s="3211">
        <v>58</v>
      </c>
      <c r="D43" s="3212">
        <f t="shared" si="5"/>
        <v>107</v>
      </c>
      <c r="E43" s="3211">
        <v>55</v>
      </c>
      <c r="F43" s="3211">
        <v>57</v>
      </c>
      <c r="G43" s="3212">
        <f t="shared" si="6"/>
        <v>112</v>
      </c>
      <c r="H43" s="3211">
        <v>150</v>
      </c>
      <c r="I43" s="3211">
        <v>148</v>
      </c>
      <c r="J43" s="3212">
        <f t="shared" si="7"/>
        <v>298</v>
      </c>
      <c r="K43" s="3211">
        <v>151</v>
      </c>
      <c r="L43" s="3211">
        <v>145</v>
      </c>
      <c r="M43" s="3212">
        <f t="shared" si="8"/>
        <v>296</v>
      </c>
      <c r="N43" s="3212">
        <v>-3</v>
      </c>
      <c r="O43" s="3211">
        <v>4643</v>
      </c>
      <c r="P43" s="3211">
        <v>4857</v>
      </c>
      <c r="Q43" s="3213">
        <f t="shared" si="4"/>
        <v>9500</v>
      </c>
      <c r="R43" s="3214"/>
      <c r="S43" s="3214"/>
    </row>
    <row r="44" spans="1:19">
      <c r="A44" s="3210">
        <v>1975</v>
      </c>
      <c r="B44" s="3211">
        <v>60</v>
      </c>
      <c r="C44" s="3211">
        <v>62</v>
      </c>
      <c r="D44" s="3212">
        <f t="shared" si="5"/>
        <v>122</v>
      </c>
      <c r="E44" s="3211">
        <v>56</v>
      </c>
      <c r="F44" s="3211">
        <v>41</v>
      </c>
      <c r="G44" s="3212">
        <f t="shared" si="6"/>
        <v>97</v>
      </c>
      <c r="H44" s="3211">
        <v>139</v>
      </c>
      <c r="I44" s="3211">
        <v>145</v>
      </c>
      <c r="J44" s="3212">
        <f t="shared" si="7"/>
        <v>284</v>
      </c>
      <c r="K44" s="3211">
        <v>157</v>
      </c>
      <c r="L44" s="3211">
        <v>167</v>
      </c>
      <c r="M44" s="3212">
        <f t="shared" si="8"/>
        <v>324</v>
      </c>
      <c r="N44" s="3212">
        <v>-15</v>
      </c>
      <c r="O44" s="3211">
        <v>4629</v>
      </c>
      <c r="P44" s="3211">
        <v>4856</v>
      </c>
      <c r="Q44" s="3213">
        <f t="shared" si="4"/>
        <v>9485</v>
      </c>
      <c r="R44" s="3214"/>
      <c r="S44" s="3214"/>
    </row>
    <row r="45" spans="1:19">
      <c r="A45" s="3210">
        <v>1976</v>
      </c>
      <c r="B45" s="3211">
        <v>50</v>
      </c>
      <c r="C45" s="3211">
        <v>60</v>
      </c>
      <c r="D45" s="3212">
        <f t="shared" si="5"/>
        <v>110</v>
      </c>
      <c r="E45" s="3211">
        <v>67</v>
      </c>
      <c r="F45" s="3211">
        <v>61</v>
      </c>
      <c r="G45" s="3212">
        <f t="shared" si="6"/>
        <v>128</v>
      </c>
      <c r="H45" s="3211">
        <v>170</v>
      </c>
      <c r="I45" s="3211">
        <v>153</v>
      </c>
      <c r="J45" s="3212">
        <f t="shared" si="7"/>
        <v>323</v>
      </c>
      <c r="K45" s="3211">
        <v>150</v>
      </c>
      <c r="L45" s="3211">
        <v>139</v>
      </c>
      <c r="M45" s="3212">
        <f t="shared" si="8"/>
        <v>289</v>
      </c>
      <c r="N45" s="3212">
        <v>16</v>
      </c>
      <c r="O45" s="3211">
        <v>4632</v>
      </c>
      <c r="P45" s="3211">
        <v>4869</v>
      </c>
      <c r="Q45" s="3213">
        <f t="shared" si="4"/>
        <v>9501</v>
      </c>
      <c r="R45" s="3214" t="s">
        <v>6380</v>
      </c>
      <c r="S45" s="3214" t="s">
        <v>6380</v>
      </c>
    </row>
    <row r="46" spans="1:19">
      <c r="A46" s="3210">
        <v>1977</v>
      </c>
      <c r="B46" s="3211">
        <v>59</v>
      </c>
      <c r="C46" s="3211">
        <v>82</v>
      </c>
      <c r="D46" s="3212">
        <f t="shared" si="5"/>
        <v>141</v>
      </c>
      <c r="E46" s="3211">
        <v>64</v>
      </c>
      <c r="F46" s="3211">
        <v>55</v>
      </c>
      <c r="G46" s="3212">
        <f t="shared" si="6"/>
        <v>119</v>
      </c>
      <c r="H46" s="3211">
        <v>173</v>
      </c>
      <c r="I46" s="3211">
        <v>190</v>
      </c>
      <c r="J46" s="3212">
        <f t="shared" si="7"/>
        <v>363</v>
      </c>
      <c r="K46" s="3211">
        <v>160</v>
      </c>
      <c r="L46" s="3211">
        <v>166</v>
      </c>
      <c r="M46" s="3212">
        <f t="shared" si="8"/>
        <v>326</v>
      </c>
      <c r="N46" s="3212">
        <v>59</v>
      </c>
      <c r="O46" s="3211">
        <v>5494</v>
      </c>
      <c r="P46" s="3211">
        <v>5769</v>
      </c>
      <c r="Q46" s="3213">
        <f t="shared" si="4"/>
        <v>11263</v>
      </c>
      <c r="R46" s="3214"/>
      <c r="S46" s="3214"/>
    </row>
    <row r="47" spans="1:19">
      <c r="A47" s="3210">
        <v>1978</v>
      </c>
      <c r="B47" s="3211">
        <v>91</v>
      </c>
      <c r="C47" s="3211">
        <v>58</v>
      </c>
      <c r="D47" s="3212">
        <f t="shared" si="5"/>
        <v>149</v>
      </c>
      <c r="E47" s="3211">
        <v>75</v>
      </c>
      <c r="F47" s="3211">
        <v>68</v>
      </c>
      <c r="G47" s="3212">
        <f t="shared" si="6"/>
        <v>143</v>
      </c>
      <c r="H47" s="3211">
        <v>182</v>
      </c>
      <c r="I47" s="3211">
        <v>184</v>
      </c>
      <c r="J47" s="3212">
        <f t="shared" si="7"/>
        <v>366</v>
      </c>
      <c r="K47" s="3211">
        <v>182</v>
      </c>
      <c r="L47" s="3211">
        <v>198</v>
      </c>
      <c r="M47" s="3212">
        <f t="shared" si="8"/>
        <v>380</v>
      </c>
      <c r="N47" s="3212">
        <v>-8</v>
      </c>
      <c r="O47" s="3211">
        <v>5510</v>
      </c>
      <c r="P47" s="3211">
        <v>5745</v>
      </c>
      <c r="Q47" s="3213">
        <f t="shared" si="4"/>
        <v>11255</v>
      </c>
      <c r="R47" s="3214"/>
      <c r="S47" s="3214"/>
    </row>
    <row r="48" spans="1:19">
      <c r="A48" s="3210">
        <v>1979</v>
      </c>
      <c r="B48" s="3211">
        <v>88</v>
      </c>
      <c r="C48" s="3211">
        <v>70</v>
      </c>
      <c r="D48" s="3212">
        <f t="shared" si="5"/>
        <v>158</v>
      </c>
      <c r="E48" s="3211">
        <v>76</v>
      </c>
      <c r="F48" s="3211">
        <v>69</v>
      </c>
      <c r="G48" s="3212">
        <f t="shared" si="6"/>
        <v>145</v>
      </c>
      <c r="H48" s="3211">
        <v>158</v>
      </c>
      <c r="I48" s="3211">
        <v>168</v>
      </c>
      <c r="J48" s="3212">
        <f t="shared" si="7"/>
        <v>326</v>
      </c>
      <c r="K48" s="3211">
        <v>189</v>
      </c>
      <c r="L48" s="3211">
        <v>193</v>
      </c>
      <c r="M48" s="3212">
        <f t="shared" si="8"/>
        <v>382</v>
      </c>
      <c r="N48" s="3212">
        <v>-43</v>
      </c>
      <c r="O48" s="3211">
        <v>5491</v>
      </c>
      <c r="P48" s="3211">
        <v>5721</v>
      </c>
      <c r="Q48" s="3213">
        <f t="shared" si="4"/>
        <v>11212</v>
      </c>
      <c r="R48" s="3214"/>
      <c r="S48" s="3214"/>
    </row>
    <row r="49" spans="1:19">
      <c r="A49" s="3210">
        <v>1980</v>
      </c>
      <c r="B49" s="3211">
        <v>73</v>
      </c>
      <c r="C49" s="3211">
        <v>82</v>
      </c>
      <c r="D49" s="3212">
        <f t="shared" si="5"/>
        <v>155</v>
      </c>
      <c r="E49" s="3211">
        <v>61</v>
      </c>
      <c r="F49" s="3211">
        <v>57</v>
      </c>
      <c r="G49" s="3212">
        <f t="shared" si="6"/>
        <v>118</v>
      </c>
      <c r="H49" s="3211">
        <v>183</v>
      </c>
      <c r="I49" s="3211">
        <v>213</v>
      </c>
      <c r="J49" s="3212">
        <f t="shared" si="7"/>
        <v>396</v>
      </c>
      <c r="K49" s="3211">
        <v>208</v>
      </c>
      <c r="L49" s="3211">
        <v>200</v>
      </c>
      <c r="M49" s="3212">
        <f t="shared" si="8"/>
        <v>408</v>
      </c>
      <c r="N49" s="3212">
        <v>25</v>
      </c>
      <c r="O49" s="3211">
        <v>5478</v>
      </c>
      <c r="P49" s="3211">
        <v>5759</v>
      </c>
      <c r="Q49" s="3213">
        <f t="shared" si="4"/>
        <v>11237</v>
      </c>
      <c r="R49" s="3214"/>
      <c r="S49" s="3214"/>
    </row>
    <row r="50" spans="1:19">
      <c r="A50" s="3215">
        <v>29646</v>
      </c>
      <c r="B50" s="3211">
        <v>6</v>
      </c>
      <c r="C50" s="3211">
        <v>11</v>
      </c>
      <c r="D50" s="3212">
        <f t="shared" si="5"/>
        <v>17</v>
      </c>
      <c r="E50" s="3211">
        <v>17</v>
      </c>
      <c r="F50" s="3211">
        <v>13</v>
      </c>
      <c r="G50" s="3212">
        <f t="shared" si="6"/>
        <v>30</v>
      </c>
      <c r="H50" s="3211">
        <v>33</v>
      </c>
      <c r="I50" s="3211">
        <v>37</v>
      </c>
      <c r="J50" s="3212">
        <f t="shared" si="7"/>
        <v>70</v>
      </c>
      <c r="K50" s="3211">
        <v>42</v>
      </c>
      <c r="L50" s="3211">
        <v>38</v>
      </c>
      <c r="M50" s="3212">
        <f t="shared" si="8"/>
        <v>80</v>
      </c>
      <c r="N50" s="3212">
        <v>-23</v>
      </c>
      <c r="O50" s="3211">
        <v>5458</v>
      </c>
      <c r="P50" s="3211">
        <v>5756</v>
      </c>
      <c r="Q50" s="3213">
        <f t="shared" si="4"/>
        <v>11214</v>
      </c>
      <c r="R50" s="3214" t="s">
        <v>6381</v>
      </c>
      <c r="S50" s="3214" t="s">
        <v>6381</v>
      </c>
    </row>
    <row r="51" spans="1:19">
      <c r="A51" s="3210">
        <v>1981</v>
      </c>
      <c r="B51" s="3211">
        <v>73</v>
      </c>
      <c r="C51" s="3211">
        <v>82</v>
      </c>
      <c r="D51" s="3212">
        <v>155</v>
      </c>
      <c r="E51" s="3211">
        <v>61</v>
      </c>
      <c r="F51" s="3211">
        <v>64</v>
      </c>
      <c r="G51" s="3212">
        <v>125</v>
      </c>
      <c r="H51" s="3211">
        <v>116</v>
      </c>
      <c r="I51" s="3211">
        <v>119</v>
      </c>
      <c r="J51" s="3212">
        <f t="shared" si="7"/>
        <v>235</v>
      </c>
      <c r="K51" s="3211">
        <v>164</v>
      </c>
      <c r="L51" s="3211">
        <v>182</v>
      </c>
      <c r="M51" s="3212">
        <f t="shared" si="8"/>
        <v>346</v>
      </c>
      <c r="N51" s="3212">
        <v>-81</v>
      </c>
      <c r="O51" s="3211">
        <v>5413</v>
      </c>
      <c r="P51" s="3211">
        <v>5759</v>
      </c>
      <c r="Q51" s="3213">
        <f t="shared" si="4"/>
        <v>11172</v>
      </c>
      <c r="R51" s="3214"/>
      <c r="S51" s="3214"/>
    </row>
    <row r="52" spans="1:19">
      <c r="A52" s="3210">
        <v>1982</v>
      </c>
      <c r="B52" s="3211">
        <v>80</v>
      </c>
      <c r="C52" s="3211">
        <v>65</v>
      </c>
      <c r="D52" s="3212">
        <f t="shared" ref="D52:D58" si="9">SUM(B52:C52)</f>
        <v>145</v>
      </c>
      <c r="E52" s="3211">
        <v>65</v>
      </c>
      <c r="F52" s="3211">
        <v>76</v>
      </c>
      <c r="G52" s="3212">
        <f>SUM(E52:F52)</f>
        <v>141</v>
      </c>
      <c r="H52" s="3211">
        <v>214</v>
      </c>
      <c r="I52" s="3211">
        <v>240</v>
      </c>
      <c r="J52" s="3212">
        <f t="shared" si="7"/>
        <v>454</v>
      </c>
      <c r="K52" s="3211">
        <v>184</v>
      </c>
      <c r="L52" s="3211">
        <v>190</v>
      </c>
      <c r="M52" s="3212">
        <f t="shared" si="8"/>
        <v>374</v>
      </c>
      <c r="N52" s="3212">
        <v>84</v>
      </c>
      <c r="O52" s="3211">
        <v>5458</v>
      </c>
      <c r="P52" s="3211">
        <v>5798</v>
      </c>
      <c r="Q52" s="3213">
        <f t="shared" si="4"/>
        <v>11256</v>
      </c>
      <c r="R52" s="3214"/>
      <c r="S52" s="3214"/>
    </row>
    <row r="53" spans="1:19">
      <c r="A53" s="3210">
        <v>1983</v>
      </c>
      <c r="B53" s="3211">
        <v>63</v>
      </c>
      <c r="C53" s="3211">
        <v>78</v>
      </c>
      <c r="D53" s="3212">
        <f t="shared" si="9"/>
        <v>141</v>
      </c>
      <c r="E53" s="3211">
        <v>73</v>
      </c>
      <c r="F53" s="3211">
        <v>71</v>
      </c>
      <c r="G53" s="3212">
        <v>144</v>
      </c>
      <c r="H53" s="3211">
        <v>178</v>
      </c>
      <c r="I53" s="3211">
        <v>184</v>
      </c>
      <c r="J53" s="3212">
        <f t="shared" si="7"/>
        <v>362</v>
      </c>
      <c r="K53" s="3211">
        <v>185</v>
      </c>
      <c r="L53" s="3211">
        <v>170</v>
      </c>
      <c r="M53" s="3212">
        <f t="shared" si="8"/>
        <v>355</v>
      </c>
      <c r="N53" s="3212">
        <v>4</v>
      </c>
      <c r="O53" s="3211">
        <v>5441</v>
      </c>
      <c r="P53" s="3211">
        <v>5819</v>
      </c>
      <c r="Q53" s="3213">
        <f t="shared" si="4"/>
        <v>11260</v>
      </c>
      <c r="R53" s="3214"/>
      <c r="S53" s="3214"/>
    </row>
    <row r="54" spans="1:19">
      <c r="A54" s="3210">
        <v>1984</v>
      </c>
      <c r="B54" s="3211">
        <v>67</v>
      </c>
      <c r="C54" s="3211">
        <v>79</v>
      </c>
      <c r="D54" s="3212">
        <f t="shared" si="9"/>
        <v>146</v>
      </c>
      <c r="E54" s="3211">
        <v>52</v>
      </c>
      <c r="F54" s="3211">
        <v>61</v>
      </c>
      <c r="G54" s="3212">
        <f t="shared" ref="G54:G67" si="10">SUM(E54:F54)</f>
        <v>113</v>
      </c>
      <c r="H54" s="3211">
        <v>193</v>
      </c>
      <c r="I54" s="3211">
        <v>187</v>
      </c>
      <c r="J54" s="3212">
        <f t="shared" si="7"/>
        <v>380</v>
      </c>
      <c r="K54" s="3211">
        <v>186</v>
      </c>
      <c r="L54" s="3211">
        <v>183</v>
      </c>
      <c r="M54" s="3212">
        <f t="shared" si="8"/>
        <v>369</v>
      </c>
      <c r="N54" s="3212">
        <v>44</v>
      </c>
      <c r="O54" s="3211">
        <v>5463</v>
      </c>
      <c r="P54" s="3211">
        <v>5841</v>
      </c>
      <c r="Q54" s="3213">
        <f t="shared" si="4"/>
        <v>11304</v>
      </c>
      <c r="R54" s="3214"/>
      <c r="S54" s="3214"/>
    </row>
    <row r="55" spans="1:19">
      <c r="A55" s="3210">
        <v>1985</v>
      </c>
      <c r="B55" s="3211">
        <v>63</v>
      </c>
      <c r="C55" s="3211">
        <v>69</v>
      </c>
      <c r="D55" s="3212">
        <f t="shared" si="9"/>
        <v>132</v>
      </c>
      <c r="E55" s="3211">
        <v>63</v>
      </c>
      <c r="F55" s="3211">
        <v>72</v>
      </c>
      <c r="G55" s="3212">
        <f t="shared" si="10"/>
        <v>135</v>
      </c>
      <c r="H55" s="3211">
        <v>171</v>
      </c>
      <c r="I55" s="3211">
        <v>185</v>
      </c>
      <c r="J55" s="3212">
        <f t="shared" si="7"/>
        <v>356</v>
      </c>
      <c r="K55" s="3211">
        <v>194</v>
      </c>
      <c r="L55" s="3211">
        <v>195</v>
      </c>
      <c r="M55" s="3212">
        <f t="shared" si="8"/>
        <v>389</v>
      </c>
      <c r="N55" s="3212">
        <v>-36</v>
      </c>
      <c r="O55" s="3211">
        <v>5440</v>
      </c>
      <c r="P55" s="3211">
        <v>5828</v>
      </c>
      <c r="Q55" s="3213">
        <f t="shared" si="4"/>
        <v>11268</v>
      </c>
      <c r="R55" s="3214"/>
      <c r="S55" s="3214"/>
    </row>
    <row r="56" spans="1:19">
      <c r="A56" s="3210">
        <v>1986</v>
      </c>
      <c r="B56" s="3211">
        <v>71</v>
      </c>
      <c r="C56" s="3211">
        <v>81</v>
      </c>
      <c r="D56" s="3212">
        <f t="shared" si="9"/>
        <v>152</v>
      </c>
      <c r="E56" s="3211">
        <v>63</v>
      </c>
      <c r="F56" s="3211">
        <v>89</v>
      </c>
      <c r="G56" s="3212">
        <f t="shared" si="10"/>
        <v>152</v>
      </c>
      <c r="H56" s="3211">
        <v>208</v>
      </c>
      <c r="I56" s="3211">
        <v>195</v>
      </c>
      <c r="J56" s="3212">
        <f t="shared" si="7"/>
        <v>403</v>
      </c>
      <c r="K56" s="3211">
        <v>185</v>
      </c>
      <c r="L56" s="3211">
        <v>202</v>
      </c>
      <c r="M56" s="3212">
        <f t="shared" si="8"/>
        <v>387</v>
      </c>
      <c r="N56" s="3212">
        <v>16</v>
      </c>
      <c r="O56" s="3211">
        <v>5471</v>
      </c>
      <c r="P56" s="3211">
        <v>5813</v>
      </c>
      <c r="Q56" s="3213">
        <f t="shared" si="4"/>
        <v>11284</v>
      </c>
      <c r="R56" s="3214"/>
      <c r="S56" s="3214"/>
    </row>
    <row r="57" spans="1:19">
      <c r="A57" s="3210">
        <v>1987</v>
      </c>
      <c r="B57" s="3211">
        <v>61</v>
      </c>
      <c r="C57" s="3211">
        <v>81</v>
      </c>
      <c r="D57" s="3212">
        <f t="shared" si="9"/>
        <v>142</v>
      </c>
      <c r="E57" s="3211">
        <v>50</v>
      </c>
      <c r="F57" s="3211">
        <v>58</v>
      </c>
      <c r="G57" s="3212">
        <f t="shared" si="10"/>
        <v>108</v>
      </c>
      <c r="H57" s="3211">
        <v>164</v>
      </c>
      <c r="I57" s="3211">
        <v>159</v>
      </c>
      <c r="J57" s="3212">
        <f t="shared" si="7"/>
        <v>323</v>
      </c>
      <c r="K57" s="3211">
        <v>182</v>
      </c>
      <c r="L57" s="3211">
        <v>211</v>
      </c>
      <c r="M57" s="3212">
        <f t="shared" si="8"/>
        <v>393</v>
      </c>
      <c r="N57" s="3212">
        <v>-36</v>
      </c>
      <c r="O57" s="3211">
        <v>5464</v>
      </c>
      <c r="P57" s="3211">
        <v>5784</v>
      </c>
      <c r="Q57" s="3213">
        <f t="shared" si="4"/>
        <v>11248</v>
      </c>
      <c r="R57" s="3214"/>
      <c r="S57" s="3214"/>
    </row>
    <row r="58" spans="1:19">
      <c r="A58" s="3210">
        <v>1988</v>
      </c>
      <c r="B58" s="3211">
        <v>81</v>
      </c>
      <c r="C58" s="3211">
        <v>64</v>
      </c>
      <c r="D58" s="3212">
        <f t="shared" si="9"/>
        <v>145</v>
      </c>
      <c r="E58" s="3211">
        <v>43</v>
      </c>
      <c r="F58" s="3211">
        <v>55</v>
      </c>
      <c r="G58" s="3212">
        <f t="shared" si="10"/>
        <v>98</v>
      </c>
      <c r="H58" s="3211">
        <v>195</v>
      </c>
      <c r="I58" s="3211">
        <v>208</v>
      </c>
      <c r="J58" s="3212">
        <f t="shared" si="7"/>
        <v>403</v>
      </c>
      <c r="K58" s="3211">
        <v>201</v>
      </c>
      <c r="L58" s="3211">
        <v>223</v>
      </c>
      <c r="M58" s="3212">
        <f t="shared" si="8"/>
        <v>424</v>
      </c>
      <c r="N58" s="3212">
        <v>26</v>
      </c>
      <c r="O58" s="3211">
        <v>5496</v>
      </c>
      <c r="P58" s="3211">
        <v>5778</v>
      </c>
      <c r="Q58" s="3213">
        <f t="shared" si="4"/>
        <v>11274</v>
      </c>
      <c r="R58" s="3214" t="s">
        <v>6382</v>
      </c>
      <c r="S58" s="3214" t="s">
        <v>6382</v>
      </c>
    </row>
    <row r="59" spans="1:19">
      <c r="A59" s="3210">
        <v>1989</v>
      </c>
      <c r="B59" s="3211">
        <v>70</v>
      </c>
      <c r="C59" s="3211">
        <v>66</v>
      </c>
      <c r="D59" s="3212">
        <v>136</v>
      </c>
      <c r="E59" s="3211">
        <v>54</v>
      </c>
      <c r="F59" s="3211">
        <v>55</v>
      </c>
      <c r="G59" s="3212">
        <f t="shared" si="10"/>
        <v>109</v>
      </c>
      <c r="H59" s="3211">
        <v>218</v>
      </c>
      <c r="I59" s="3211">
        <v>220</v>
      </c>
      <c r="J59" s="3212">
        <f t="shared" si="7"/>
        <v>438</v>
      </c>
      <c r="K59" s="3211">
        <v>224</v>
      </c>
      <c r="L59" s="3211">
        <v>222</v>
      </c>
      <c r="M59" s="3212">
        <f t="shared" si="8"/>
        <v>446</v>
      </c>
      <c r="N59" s="3212">
        <v>19</v>
      </c>
      <c r="O59" s="3211">
        <v>5501</v>
      </c>
      <c r="P59" s="3211">
        <v>5753</v>
      </c>
      <c r="Q59" s="3213">
        <v>11254</v>
      </c>
      <c r="R59" s="3214" t="s">
        <v>6383</v>
      </c>
      <c r="S59" s="3214" t="s">
        <v>6383</v>
      </c>
    </row>
    <row r="60" spans="1:19">
      <c r="A60" s="3210">
        <v>1990</v>
      </c>
      <c r="B60" s="3211">
        <v>72</v>
      </c>
      <c r="C60" s="3211">
        <v>83</v>
      </c>
      <c r="D60" s="3212">
        <f t="shared" ref="D60:D67" si="11">SUM(B60:C60)</f>
        <v>155</v>
      </c>
      <c r="E60" s="3211">
        <v>68</v>
      </c>
      <c r="F60" s="3211">
        <v>66</v>
      </c>
      <c r="G60" s="3212">
        <f t="shared" si="10"/>
        <v>134</v>
      </c>
      <c r="H60" s="3211">
        <v>177</v>
      </c>
      <c r="I60" s="3211">
        <v>173</v>
      </c>
      <c r="J60" s="3212">
        <f t="shared" si="7"/>
        <v>350</v>
      </c>
      <c r="K60" s="3211">
        <v>219</v>
      </c>
      <c r="L60" s="3211">
        <v>224</v>
      </c>
      <c r="M60" s="3212">
        <f t="shared" si="8"/>
        <v>443</v>
      </c>
      <c r="N60" s="3212">
        <v>-72</v>
      </c>
      <c r="O60" s="3211">
        <v>5459</v>
      </c>
      <c r="P60" s="3211">
        <v>5716</v>
      </c>
      <c r="Q60" s="3213">
        <f t="shared" ref="Q60:Q84" si="12">SUM(O60:P60)</f>
        <v>11175</v>
      </c>
      <c r="R60" s="3214"/>
      <c r="S60" s="3214"/>
    </row>
    <row r="61" spans="1:19">
      <c r="A61" s="3210">
        <v>1991</v>
      </c>
      <c r="B61" s="3211">
        <v>73</v>
      </c>
      <c r="C61" s="3211">
        <v>70</v>
      </c>
      <c r="D61" s="3212">
        <f t="shared" si="11"/>
        <v>143</v>
      </c>
      <c r="E61" s="3211">
        <v>68</v>
      </c>
      <c r="F61" s="3211">
        <v>58</v>
      </c>
      <c r="G61" s="3212">
        <f t="shared" si="10"/>
        <v>126</v>
      </c>
      <c r="H61" s="3211">
        <v>223</v>
      </c>
      <c r="I61" s="3211">
        <v>212</v>
      </c>
      <c r="J61" s="3212">
        <f t="shared" si="7"/>
        <v>435</v>
      </c>
      <c r="K61" s="3211">
        <v>193</v>
      </c>
      <c r="L61" s="3211">
        <v>205</v>
      </c>
      <c r="M61" s="3212">
        <f t="shared" si="8"/>
        <v>398</v>
      </c>
      <c r="N61" s="3212">
        <v>54</v>
      </c>
      <c r="O61" s="3211">
        <v>5494</v>
      </c>
      <c r="P61" s="3211">
        <v>5736</v>
      </c>
      <c r="Q61" s="3213">
        <f t="shared" si="12"/>
        <v>11230</v>
      </c>
      <c r="R61" s="3214"/>
      <c r="S61" s="3214"/>
    </row>
    <row r="62" spans="1:19">
      <c r="A62" s="3210">
        <v>1992</v>
      </c>
      <c r="B62" s="3211">
        <v>71</v>
      </c>
      <c r="C62" s="3211">
        <v>91</v>
      </c>
      <c r="D62" s="3212">
        <f t="shared" si="11"/>
        <v>162</v>
      </c>
      <c r="E62" s="3211">
        <v>60</v>
      </c>
      <c r="F62" s="3211">
        <v>53</v>
      </c>
      <c r="G62" s="3212">
        <f t="shared" si="10"/>
        <v>113</v>
      </c>
      <c r="H62" s="3211">
        <v>203</v>
      </c>
      <c r="I62" s="3211">
        <v>256</v>
      </c>
      <c r="J62" s="3212">
        <f t="shared" si="7"/>
        <v>459</v>
      </c>
      <c r="K62" s="3211">
        <v>214</v>
      </c>
      <c r="L62" s="3211">
        <v>217</v>
      </c>
      <c r="M62" s="3212">
        <f t="shared" si="8"/>
        <v>431</v>
      </c>
      <c r="N62" s="3212">
        <v>77</v>
      </c>
      <c r="O62" s="3211">
        <v>5494</v>
      </c>
      <c r="P62" s="3211">
        <v>5813</v>
      </c>
      <c r="Q62" s="3213">
        <f t="shared" si="12"/>
        <v>11307</v>
      </c>
      <c r="R62" s="3214" t="s">
        <v>6384</v>
      </c>
      <c r="S62" s="3214" t="s">
        <v>6384</v>
      </c>
    </row>
    <row r="63" spans="1:19">
      <c r="A63" s="3210">
        <v>1993</v>
      </c>
      <c r="B63" s="3211">
        <v>66</v>
      </c>
      <c r="C63" s="3211">
        <v>60</v>
      </c>
      <c r="D63" s="3212">
        <f t="shared" si="11"/>
        <v>126</v>
      </c>
      <c r="E63" s="3211">
        <v>75</v>
      </c>
      <c r="F63" s="3211">
        <v>76</v>
      </c>
      <c r="G63" s="3212">
        <f t="shared" si="10"/>
        <v>151</v>
      </c>
      <c r="H63" s="3211">
        <v>234</v>
      </c>
      <c r="I63" s="3211">
        <v>235</v>
      </c>
      <c r="J63" s="3212">
        <f t="shared" si="7"/>
        <v>469</v>
      </c>
      <c r="K63" s="3211">
        <v>198</v>
      </c>
      <c r="L63" s="3211">
        <v>194</v>
      </c>
      <c r="M63" s="3212">
        <f t="shared" si="8"/>
        <v>392</v>
      </c>
      <c r="N63" s="3212">
        <v>52</v>
      </c>
      <c r="O63" s="3211">
        <v>5520</v>
      </c>
      <c r="P63" s="3211">
        <v>5836</v>
      </c>
      <c r="Q63" s="3213">
        <f t="shared" si="12"/>
        <v>11356</v>
      </c>
      <c r="R63" s="3214" t="s">
        <v>6385</v>
      </c>
      <c r="S63" s="3214" t="s">
        <v>6385</v>
      </c>
    </row>
    <row r="64" spans="1:19">
      <c r="A64" s="3210">
        <v>1994</v>
      </c>
      <c r="B64" s="3211">
        <v>54</v>
      </c>
      <c r="C64" s="3211">
        <v>70</v>
      </c>
      <c r="D64" s="3212">
        <f t="shared" si="11"/>
        <v>124</v>
      </c>
      <c r="E64" s="3211">
        <v>51</v>
      </c>
      <c r="F64" s="3211">
        <v>50</v>
      </c>
      <c r="G64" s="3212">
        <f t="shared" si="10"/>
        <v>101</v>
      </c>
      <c r="H64" s="3211">
        <v>247</v>
      </c>
      <c r="I64" s="3211">
        <v>260</v>
      </c>
      <c r="J64" s="3212">
        <f t="shared" si="7"/>
        <v>507</v>
      </c>
      <c r="K64" s="3211">
        <v>198</v>
      </c>
      <c r="L64" s="3211">
        <v>198</v>
      </c>
      <c r="M64" s="3212">
        <f t="shared" si="8"/>
        <v>396</v>
      </c>
      <c r="N64" s="3212">
        <v>129</v>
      </c>
      <c r="O64" s="3211">
        <v>5565</v>
      </c>
      <c r="P64" s="3211">
        <v>5916</v>
      </c>
      <c r="Q64" s="3213">
        <f t="shared" si="12"/>
        <v>11481</v>
      </c>
      <c r="R64" s="3214"/>
      <c r="S64" s="3214"/>
    </row>
    <row r="65" spans="1:19">
      <c r="A65" s="3210">
        <v>1995</v>
      </c>
      <c r="B65" s="3211">
        <v>61</v>
      </c>
      <c r="C65" s="3211">
        <v>59</v>
      </c>
      <c r="D65" s="3212">
        <f t="shared" si="11"/>
        <v>120</v>
      </c>
      <c r="E65" s="3211">
        <v>64</v>
      </c>
      <c r="F65" s="3211">
        <v>66</v>
      </c>
      <c r="G65" s="3212">
        <f t="shared" si="10"/>
        <v>130</v>
      </c>
      <c r="H65" s="3211">
        <v>229</v>
      </c>
      <c r="I65" s="3211">
        <v>241</v>
      </c>
      <c r="J65" s="3212">
        <f t="shared" si="7"/>
        <v>470</v>
      </c>
      <c r="K65" s="3211">
        <v>192</v>
      </c>
      <c r="L65" s="3211">
        <v>217</v>
      </c>
      <c r="M65" s="3212">
        <f t="shared" si="8"/>
        <v>409</v>
      </c>
      <c r="N65" s="3212">
        <v>51</v>
      </c>
      <c r="O65" s="3211">
        <v>5599</v>
      </c>
      <c r="P65" s="3211">
        <v>5933</v>
      </c>
      <c r="Q65" s="3213">
        <f t="shared" si="12"/>
        <v>11532</v>
      </c>
      <c r="R65" s="3214"/>
      <c r="S65" s="3214"/>
    </row>
    <row r="66" spans="1:19">
      <c r="A66" s="3210">
        <v>1996</v>
      </c>
      <c r="B66" s="3211">
        <v>76</v>
      </c>
      <c r="C66" s="3211">
        <v>58</v>
      </c>
      <c r="D66" s="3212">
        <f t="shared" si="11"/>
        <v>134</v>
      </c>
      <c r="E66" s="3211">
        <v>62</v>
      </c>
      <c r="F66" s="3211">
        <v>60</v>
      </c>
      <c r="G66" s="3212">
        <f t="shared" si="10"/>
        <v>122</v>
      </c>
      <c r="H66" s="3211">
        <v>224</v>
      </c>
      <c r="I66" s="3211">
        <v>229</v>
      </c>
      <c r="J66" s="3212">
        <f t="shared" si="7"/>
        <v>453</v>
      </c>
      <c r="K66" s="3211">
        <v>217</v>
      </c>
      <c r="L66" s="3211">
        <v>174</v>
      </c>
      <c r="M66" s="3212">
        <f t="shared" si="8"/>
        <v>391</v>
      </c>
      <c r="N66" s="3212">
        <v>74</v>
      </c>
      <c r="O66" s="3211">
        <v>5620</v>
      </c>
      <c r="P66" s="3211">
        <v>5986</v>
      </c>
      <c r="Q66" s="3213">
        <f t="shared" si="12"/>
        <v>11606</v>
      </c>
      <c r="R66" s="3214"/>
      <c r="S66" s="3214"/>
    </row>
    <row r="67" spans="1:19">
      <c r="A67" s="3210">
        <v>1997</v>
      </c>
      <c r="B67" s="3211">
        <v>62</v>
      </c>
      <c r="C67" s="3211">
        <v>56</v>
      </c>
      <c r="D67" s="3212">
        <f t="shared" si="11"/>
        <v>118</v>
      </c>
      <c r="E67" s="3211">
        <v>58</v>
      </c>
      <c r="F67" s="3211">
        <v>59</v>
      </c>
      <c r="G67" s="3212">
        <f t="shared" si="10"/>
        <v>117</v>
      </c>
      <c r="H67" s="3211">
        <v>232</v>
      </c>
      <c r="I67" s="3211">
        <v>246</v>
      </c>
      <c r="J67" s="3212">
        <f t="shared" si="7"/>
        <v>478</v>
      </c>
      <c r="K67" s="3211">
        <v>207</v>
      </c>
      <c r="L67" s="3211">
        <v>183</v>
      </c>
      <c r="M67" s="3212">
        <f t="shared" si="8"/>
        <v>390</v>
      </c>
      <c r="N67" s="3212">
        <v>89</v>
      </c>
      <c r="O67" s="3211">
        <v>5649</v>
      </c>
      <c r="P67" s="3211">
        <v>6046</v>
      </c>
      <c r="Q67" s="3213">
        <f t="shared" si="12"/>
        <v>11695</v>
      </c>
      <c r="R67" s="3214"/>
      <c r="S67" s="3214"/>
    </row>
    <row r="68" spans="1:19">
      <c r="A68" s="3216">
        <v>1998</v>
      </c>
      <c r="B68" s="3217">
        <v>60</v>
      </c>
      <c r="C68" s="3217">
        <v>61</v>
      </c>
      <c r="D68" s="3212">
        <v>121</v>
      </c>
      <c r="E68" s="3217">
        <v>72</v>
      </c>
      <c r="F68" s="3217">
        <v>75</v>
      </c>
      <c r="G68" s="3212">
        <v>147</v>
      </c>
      <c r="H68" s="3217">
        <v>241</v>
      </c>
      <c r="I68" s="3217">
        <v>277</v>
      </c>
      <c r="J68" s="3212">
        <v>518</v>
      </c>
      <c r="K68" s="3217">
        <v>192</v>
      </c>
      <c r="L68" s="3217">
        <v>232</v>
      </c>
      <c r="M68" s="3212">
        <v>424</v>
      </c>
      <c r="N68" s="3212">
        <v>68</v>
      </c>
      <c r="O68" s="3217">
        <v>5686</v>
      </c>
      <c r="P68" s="3217">
        <v>6077</v>
      </c>
      <c r="Q68" s="3213">
        <f t="shared" si="12"/>
        <v>11763</v>
      </c>
      <c r="R68" s="3214"/>
      <c r="S68" s="3214"/>
    </row>
    <row r="69" spans="1:19">
      <c r="A69" s="3210">
        <v>1999</v>
      </c>
      <c r="B69" s="3211">
        <v>63</v>
      </c>
      <c r="C69" s="3211">
        <v>72</v>
      </c>
      <c r="D69" s="3218">
        <f t="shared" ref="D69:D88" si="13">SUM(B69:C69)</f>
        <v>135</v>
      </c>
      <c r="E69" s="3211">
        <v>58</v>
      </c>
      <c r="F69" s="3211">
        <v>66</v>
      </c>
      <c r="G69" s="3218">
        <f t="shared" ref="G69:G85" si="14">SUM(E69:F69)</f>
        <v>124</v>
      </c>
      <c r="H69" s="3211">
        <v>266</v>
      </c>
      <c r="I69" s="3211">
        <v>263</v>
      </c>
      <c r="J69" s="3218">
        <f t="shared" ref="J69:J76" si="15">SUM(H69:I69)</f>
        <v>529</v>
      </c>
      <c r="K69" s="3211">
        <v>216</v>
      </c>
      <c r="L69" s="3211">
        <v>235</v>
      </c>
      <c r="M69" s="3218">
        <f t="shared" ref="M69:M85" si="16">SUM(K69:L69)</f>
        <v>451</v>
      </c>
      <c r="N69" s="3218">
        <f>Q69-Q68</f>
        <v>89</v>
      </c>
      <c r="O69" s="3211">
        <v>5740</v>
      </c>
      <c r="P69" s="3211">
        <v>6112</v>
      </c>
      <c r="Q69" s="3213">
        <f t="shared" si="12"/>
        <v>11852</v>
      </c>
      <c r="R69" s="3214"/>
      <c r="S69" s="3214"/>
    </row>
    <row r="70" spans="1:19">
      <c r="A70" s="3210">
        <v>2000</v>
      </c>
      <c r="B70" s="3211">
        <v>63</v>
      </c>
      <c r="C70" s="3211">
        <v>56</v>
      </c>
      <c r="D70" s="3218">
        <f t="shared" si="13"/>
        <v>119</v>
      </c>
      <c r="E70" s="3211">
        <v>70</v>
      </c>
      <c r="F70" s="3211">
        <v>81</v>
      </c>
      <c r="G70" s="3218">
        <f t="shared" si="14"/>
        <v>151</v>
      </c>
      <c r="H70" s="3211">
        <v>221</v>
      </c>
      <c r="I70" s="3211">
        <v>235</v>
      </c>
      <c r="J70" s="3218">
        <f t="shared" si="15"/>
        <v>456</v>
      </c>
      <c r="K70" s="3211">
        <v>259</v>
      </c>
      <c r="L70" s="3211">
        <v>255</v>
      </c>
      <c r="M70" s="3218">
        <f t="shared" si="16"/>
        <v>514</v>
      </c>
      <c r="N70" s="3218">
        <f>Q70-Q69</f>
        <v>-90</v>
      </c>
      <c r="O70" s="3211">
        <v>5698</v>
      </c>
      <c r="P70" s="3211">
        <v>6064</v>
      </c>
      <c r="Q70" s="3213">
        <f t="shared" si="12"/>
        <v>11762</v>
      </c>
      <c r="R70" s="3214"/>
      <c r="S70" s="3214"/>
    </row>
    <row r="71" spans="1:19">
      <c r="A71" s="3210">
        <v>2001</v>
      </c>
      <c r="B71" s="3211">
        <v>61</v>
      </c>
      <c r="C71" s="3211">
        <v>59</v>
      </c>
      <c r="D71" s="3218">
        <f t="shared" si="13"/>
        <v>120</v>
      </c>
      <c r="E71" s="3211">
        <v>75</v>
      </c>
      <c r="F71" s="3211">
        <v>79</v>
      </c>
      <c r="G71" s="3218">
        <f t="shared" si="14"/>
        <v>154</v>
      </c>
      <c r="H71" s="3211">
        <v>263</v>
      </c>
      <c r="I71" s="3211">
        <v>285</v>
      </c>
      <c r="J71" s="3218">
        <f t="shared" si="15"/>
        <v>548</v>
      </c>
      <c r="K71" s="3211">
        <v>237</v>
      </c>
      <c r="L71" s="3211">
        <v>251</v>
      </c>
      <c r="M71" s="3218">
        <f t="shared" si="16"/>
        <v>488</v>
      </c>
      <c r="N71" s="3218">
        <f t="shared" ref="N71:N85" si="17">Q71-Q70</f>
        <v>26</v>
      </c>
      <c r="O71" s="3211">
        <v>5707</v>
      </c>
      <c r="P71" s="3211">
        <v>6081</v>
      </c>
      <c r="Q71" s="3213">
        <f t="shared" si="12"/>
        <v>11788</v>
      </c>
      <c r="R71" s="3214"/>
      <c r="S71" s="3214"/>
    </row>
    <row r="72" spans="1:19">
      <c r="A72" s="3210">
        <v>2002</v>
      </c>
      <c r="B72" s="3211">
        <v>66</v>
      </c>
      <c r="C72" s="3211">
        <v>60</v>
      </c>
      <c r="D72" s="3218">
        <f t="shared" si="13"/>
        <v>126</v>
      </c>
      <c r="E72" s="3211">
        <v>74</v>
      </c>
      <c r="F72" s="3211">
        <v>75</v>
      </c>
      <c r="G72" s="3218">
        <f t="shared" si="14"/>
        <v>149</v>
      </c>
      <c r="H72" s="3211">
        <v>247</v>
      </c>
      <c r="I72" s="3211">
        <v>282</v>
      </c>
      <c r="J72" s="3218">
        <f t="shared" si="15"/>
        <v>529</v>
      </c>
      <c r="K72" s="3211">
        <v>220</v>
      </c>
      <c r="L72" s="3211">
        <v>224</v>
      </c>
      <c r="M72" s="3218">
        <f t="shared" si="16"/>
        <v>444</v>
      </c>
      <c r="N72" s="3218">
        <f t="shared" si="17"/>
        <v>62</v>
      </c>
      <c r="O72" s="3211">
        <v>5724</v>
      </c>
      <c r="P72" s="3211">
        <v>6126</v>
      </c>
      <c r="Q72" s="3213">
        <f t="shared" si="12"/>
        <v>11850</v>
      </c>
      <c r="R72" s="3214"/>
      <c r="S72" s="3214"/>
    </row>
    <row r="73" spans="1:19">
      <c r="A73" s="3210">
        <v>2003</v>
      </c>
      <c r="B73" s="3211">
        <v>42</v>
      </c>
      <c r="C73" s="3211">
        <v>47</v>
      </c>
      <c r="D73" s="3218">
        <f t="shared" si="13"/>
        <v>89</v>
      </c>
      <c r="E73" s="3211">
        <v>68</v>
      </c>
      <c r="F73" s="3211">
        <v>71</v>
      </c>
      <c r="G73" s="3218">
        <f t="shared" si="14"/>
        <v>139</v>
      </c>
      <c r="H73" s="3211">
        <v>243</v>
      </c>
      <c r="I73" s="3211">
        <v>272</v>
      </c>
      <c r="J73" s="3218">
        <f t="shared" si="15"/>
        <v>515</v>
      </c>
      <c r="K73" s="3211">
        <v>223</v>
      </c>
      <c r="L73" s="3211">
        <v>225</v>
      </c>
      <c r="M73" s="3218">
        <f t="shared" si="16"/>
        <v>448</v>
      </c>
      <c r="N73" s="3218">
        <f t="shared" si="17"/>
        <v>17</v>
      </c>
      <c r="O73" s="3211">
        <v>5717</v>
      </c>
      <c r="P73" s="3211">
        <v>6150</v>
      </c>
      <c r="Q73" s="3213">
        <f t="shared" si="12"/>
        <v>11867</v>
      </c>
      <c r="R73" s="3214"/>
      <c r="S73" s="3214"/>
    </row>
    <row r="74" spans="1:19">
      <c r="A74" s="3210">
        <v>2004</v>
      </c>
      <c r="B74" s="3211">
        <v>70</v>
      </c>
      <c r="C74" s="3211">
        <v>44</v>
      </c>
      <c r="D74" s="3218">
        <f t="shared" si="13"/>
        <v>114</v>
      </c>
      <c r="E74" s="3211">
        <v>61</v>
      </c>
      <c r="F74" s="3211">
        <v>78</v>
      </c>
      <c r="G74" s="3218">
        <f t="shared" si="14"/>
        <v>139</v>
      </c>
      <c r="H74" s="3211">
        <v>225</v>
      </c>
      <c r="I74" s="3211">
        <v>249</v>
      </c>
      <c r="J74" s="3218">
        <f t="shared" si="15"/>
        <v>474</v>
      </c>
      <c r="K74" s="3211">
        <v>229</v>
      </c>
      <c r="L74" s="3211">
        <v>237</v>
      </c>
      <c r="M74" s="3218">
        <f t="shared" si="16"/>
        <v>466</v>
      </c>
      <c r="N74" s="3218">
        <f t="shared" si="17"/>
        <v>-17</v>
      </c>
      <c r="O74" s="3211">
        <v>5726</v>
      </c>
      <c r="P74" s="3211">
        <v>6124</v>
      </c>
      <c r="Q74" s="3213">
        <f t="shared" si="12"/>
        <v>11850</v>
      </c>
      <c r="R74" s="3214"/>
      <c r="S74" s="3214"/>
    </row>
    <row r="75" spans="1:19">
      <c r="A75" s="3219">
        <v>2005</v>
      </c>
      <c r="B75" s="3211">
        <v>49</v>
      </c>
      <c r="C75" s="3211">
        <v>58</v>
      </c>
      <c r="D75" s="3218">
        <f t="shared" si="13"/>
        <v>107</v>
      </c>
      <c r="E75" s="3211">
        <v>71</v>
      </c>
      <c r="F75" s="3211">
        <v>96</v>
      </c>
      <c r="G75" s="3218">
        <f t="shared" si="14"/>
        <v>167</v>
      </c>
      <c r="H75" s="3211">
        <v>255</v>
      </c>
      <c r="I75" s="3211">
        <v>254</v>
      </c>
      <c r="J75" s="3218">
        <f t="shared" si="15"/>
        <v>509</v>
      </c>
      <c r="K75" s="3211">
        <v>225</v>
      </c>
      <c r="L75" s="3211">
        <v>238</v>
      </c>
      <c r="M75" s="3218">
        <f t="shared" si="16"/>
        <v>463</v>
      </c>
      <c r="N75" s="3218">
        <f t="shared" si="17"/>
        <v>-14</v>
      </c>
      <c r="O75" s="3211">
        <v>5730</v>
      </c>
      <c r="P75" s="3211">
        <v>6106</v>
      </c>
      <c r="Q75" s="3213">
        <f t="shared" si="12"/>
        <v>11836</v>
      </c>
      <c r="R75" s="3214"/>
      <c r="S75" s="3214"/>
    </row>
    <row r="76" spans="1:19">
      <c r="A76" s="3219">
        <v>2006</v>
      </c>
      <c r="B76" s="3220">
        <v>73</v>
      </c>
      <c r="C76" s="3220">
        <v>58</v>
      </c>
      <c r="D76" s="3221">
        <f t="shared" si="13"/>
        <v>131</v>
      </c>
      <c r="E76" s="3211">
        <v>66</v>
      </c>
      <c r="F76" s="3220">
        <v>65</v>
      </c>
      <c r="G76" s="3221">
        <f t="shared" si="14"/>
        <v>131</v>
      </c>
      <c r="H76" s="3211">
        <v>251</v>
      </c>
      <c r="I76" s="3220">
        <v>285</v>
      </c>
      <c r="J76" s="3221">
        <f t="shared" si="15"/>
        <v>536</v>
      </c>
      <c r="K76" s="3211">
        <v>271</v>
      </c>
      <c r="L76" s="3220">
        <v>274</v>
      </c>
      <c r="M76" s="3221">
        <f t="shared" si="16"/>
        <v>545</v>
      </c>
      <c r="N76" s="3218">
        <f t="shared" si="17"/>
        <v>-9</v>
      </c>
      <c r="O76" s="3211">
        <v>5720</v>
      </c>
      <c r="P76" s="3220">
        <v>6107</v>
      </c>
      <c r="Q76" s="3213">
        <f t="shared" si="12"/>
        <v>11827</v>
      </c>
      <c r="R76" s="3214"/>
      <c r="S76" s="3214"/>
    </row>
    <row r="77" spans="1:19">
      <c r="A77" s="3222">
        <v>2007</v>
      </c>
      <c r="B77" s="3223">
        <v>53</v>
      </c>
      <c r="C77" s="3224">
        <v>36</v>
      </c>
      <c r="D77" s="3225">
        <f t="shared" si="13"/>
        <v>89</v>
      </c>
      <c r="E77" s="3223">
        <v>47</v>
      </c>
      <c r="F77" s="3224">
        <v>66</v>
      </c>
      <c r="G77" s="3225">
        <f t="shared" si="14"/>
        <v>113</v>
      </c>
      <c r="H77" s="3223">
        <v>238</v>
      </c>
      <c r="I77" s="3224">
        <v>249</v>
      </c>
      <c r="J77" s="3225">
        <v>485</v>
      </c>
      <c r="K77" s="3223">
        <v>263</v>
      </c>
      <c r="L77" s="3224">
        <v>287</v>
      </c>
      <c r="M77" s="3225">
        <f t="shared" si="16"/>
        <v>550</v>
      </c>
      <c r="N77" s="3218">
        <f t="shared" si="17"/>
        <v>-89</v>
      </c>
      <c r="O77" s="3223">
        <v>5700</v>
      </c>
      <c r="P77" s="3224">
        <v>6038</v>
      </c>
      <c r="Q77" s="3213">
        <f t="shared" si="12"/>
        <v>11738</v>
      </c>
      <c r="R77" s="2313"/>
      <c r="S77" s="2313"/>
    </row>
    <row r="78" spans="1:19">
      <c r="A78" s="3222">
        <v>2008</v>
      </c>
      <c r="B78" s="3223">
        <v>53</v>
      </c>
      <c r="C78" s="3224">
        <v>57</v>
      </c>
      <c r="D78" s="3225">
        <f t="shared" si="13"/>
        <v>110</v>
      </c>
      <c r="E78" s="3223">
        <v>74</v>
      </c>
      <c r="F78" s="3224">
        <v>78</v>
      </c>
      <c r="G78" s="3225">
        <f t="shared" si="14"/>
        <v>152</v>
      </c>
      <c r="H78" s="3223">
        <v>261</v>
      </c>
      <c r="I78" s="3224">
        <v>291</v>
      </c>
      <c r="J78" s="3225">
        <f t="shared" ref="J78:J85" si="18">SUM(H78:I78)</f>
        <v>552</v>
      </c>
      <c r="K78" s="3223">
        <v>253</v>
      </c>
      <c r="L78" s="3224">
        <v>258</v>
      </c>
      <c r="M78" s="3225">
        <f t="shared" si="16"/>
        <v>511</v>
      </c>
      <c r="N78" s="3218">
        <f t="shared" si="17"/>
        <v>-1</v>
      </c>
      <c r="O78" s="3223">
        <v>5686</v>
      </c>
      <c r="P78" s="3224">
        <v>6051</v>
      </c>
      <c r="Q78" s="3213">
        <f t="shared" si="12"/>
        <v>11737</v>
      </c>
    </row>
    <row r="79" spans="1:19">
      <c r="A79" s="3222">
        <v>2009</v>
      </c>
      <c r="B79" s="3223">
        <v>50</v>
      </c>
      <c r="C79" s="3224">
        <v>47</v>
      </c>
      <c r="D79" s="3225">
        <f t="shared" si="13"/>
        <v>97</v>
      </c>
      <c r="E79" s="3223">
        <v>74</v>
      </c>
      <c r="F79" s="3224">
        <v>73</v>
      </c>
      <c r="G79" s="3225">
        <f t="shared" si="14"/>
        <v>147</v>
      </c>
      <c r="H79" s="3223">
        <v>278</v>
      </c>
      <c r="I79" s="3224">
        <v>238</v>
      </c>
      <c r="J79" s="3225">
        <f t="shared" si="18"/>
        <v>516</v>
      </c>
      <c r="K79" s="3223">
        <v>277</v>
      </c>
      <c r="L79" s="3224">
        <v>266</v>
      </c>
      <c r="M79" s="3225">
        <f t="shared" si="16"/>
        <v>543</v>
      </c>
      <c r="N79" s="3218">
        <f t="shared" si="17"/>
        <v>-77</v>
      </c>
      <c r="O79" s="3223">
        <v>5666</v>
      </c>
      <c r="P79" s="3224">
        <v>5994</v>
      </c>
      <c r="Q79" s="3213">
        <f t="shared" si="12"/>
        <v>11660</v>
      </c>
    </row>
    <row r="80" spans="1:19">
      <c r="A80" s="3226">
        <v>2010</v>
      </c>
      <c r="B80" s="3224">
        <v>50</v>
      </c>
      <c r="C80" s="3224">
        <v>42</v>
      </c>
      <c r="D80" s="3224">
        <f t="shared" si="13"/>
        <v>92</v>
      </c>
      <c r="E80" s="3224">
        <v>56</v>
      </c>
      <c r="F80" s="3224">
        <v>73</v>
      </c>
      <c r="G80" s="3224">
        <f t="shared" si="14"/>
        <v>129</v>
      </c>
      <c r="H80" s="3224">
        <v>251</v>
      </c>
      <c r="I80" s="3224">
        <v>247</v>
      </c>
      <c r="J80" s="3224">
        <f t="shared" si="18"/>
        <v>498</v>
      </c>
      <c r="K80" s="3224">
        <v>278</v>
      </c>
      <c r="L80" s="3224">
        <v>301</v>
      </c>
      <c r="M80" s="3224">
        <f t="shared" si="16"/>
        <v>579</v>
      </c>
      <c r="N80" s="3218">
        <f t="shared" si="17"/>
        <v>-118</v>
      </c>
      <c r="O80" s="3224">
        <v>5623</v>
      </c>
      <c r="P80" s="3224">
        <v>5919</v>
      </c>
      <c r="Q80" s="3213">
        <f t="shared" si="12"/>
        <v>11542</v>
      </c>
    </row>
    <row r="81" spans="1:17">
      <c r="A81" s="3226">
        <v>2011</v>
      </c>
      <c r="B81" s="3224">
        <v>34</v>
      </c>
      <c r="C81" s="3224">
        <v>35</v>
      </c>
      <c r="D81" s="3224">
        <f t="shared" si="13"/>
        <v>69</v>
      </c>
      <c r="E81" s="3224">
        <v>71</v>
      </c>
      <c r="F81" s="3224">
        <v>83</v>
      </c>
      <c r="G81" s="3224">
        <f t="shared" si="14"/>
        <v>154</v>
      </c>
      <c r="H81" s="3223">
        <v>264</v>
      </c>
      <c r="I81" s="3224">
        <v>273</v>
      </c>
      <c r="J81" s="3224">
        <f t="shared" si="18"/>
        <v>537</v>
      </c>
      <c r="K81" s="3224">
        <v>246</v>
      </c>
      <c r="L81" s="3224">
        <v>239</v>
      </c>
      <c r="M81" s="3224">
        <f t="shared" si="16"/>
        <v>485</v>
      </c>
      <c r="N81" s="3218">
        <f t="shared" si="17"/>
        <v>-33</v>
      </c>
      <c r="O81" s="3224">
        <v>5605</v>
      </c>
      <c r="P81" s="3224">
        <v>5904</v>
      </c>
      <c r="Q81" s="3213">
        <f t="shared" si="12"/>
        <v>11509</v>
      </c>
    </row>
    <row r="82" spans="1:17">
      <c r="A82" s="3226">
        <v>2012</v>
      </c>
      <c r="B82" s="3224">
        <v>38</v>
      </c>
      <c r="C82" s="3224">
        <v>45</v>
      </c>
      <c r="D82" s="3224">
        <f t="shared" si="13"/>
        <v>83</v>
      </c>
      <c r="E82" s="3224">
        <v>65</v>
      </c>
      <c r="F82" s="3224">
        <v>91</v>
      </c>
      <c r="G82" s="3224">
        <f t="shared" si="14"/>
        <v>156</v>
      </c>
      <c r="H82" s="3223">
        <v>246</v>
      </c>
      <c r="I82" s="3224">
        <v>262</v>
      </c>
      <c r="J82" s="3224">
        <f t="shared" si="18"/>
        <v>508</v>
      </c>
      <c r="K82" s="3224">
        <v>296</v>
      </c>
      <c r="L82" s="3224">
        <v>289</v>
      </c>
      <c r="M82" s="3224">
        <f t="shared" si="16"/>
        <v>585</v>
      </c>
      <c r="N82" s="3218">
        <f t="shared" si="17"/>
        <v>-150</v>
      </c>
      <c r="O82" s="3224">
        <v>5536</v>
      </c>
      <c r="P82" s="3224">
        <v>5823</v>
      </c>
      <c r="Q82" s="3213">
        <f t="shared" si="12"/>
        <v>11359</v>
      </c>
    </row>
    <row r="83" spans="1:17">
      <c r="A83" s="3226">
        <v>2013</v>
      </c>
      <c r="B83" s="3224">
        <v>42</v>
      </c>
      <c r="C83" s="3224">
        <v>45</v>
      </c>
      <c r="D83" s="3224">
        <f t="shared" si="13"/>
        <v>87</v>
      </c>
      <c r="E83" s="3224">
        <v>81</v>
      </c>
      <c r="F83" s="3224">
        <v>95</v>
      </c>
      <c r="G83" s="3224">
        <f t="shared" si="14"/>
        <v>176</v>
      </c>
      <c r="H83" s="3224">
        <v>310</v>
      </c>
      <c r="I83" s="3224">
        <v>305</v>
      </c>
      <c r="J83" s="3224">
        <f t="shared" si="18"/>
        <v>615</v>
      </c>
      <c r="K83" s="3224">
        <v>245</v>
      </c>
      <c r="L83" s="3224">
        <v>242</v>
      </c>
      <c r="M83" s="3224">
        <f t="shared" si="16"/>
        <v>487</v>
      </c>
      <c r="N83" s="3218">
        <f t="shared" si="17"/>
        <v>39</v>
      </c>
      <c r="O83" s="3224">
        <v>5567</v>
      </c>
      <c r="P83" s="3224">
        <v>5831</v>
      </c>
      <c r="Q83" s="3213">
        <f t="shared" si="12"/>
        <v>11398</v>
      </c>
    </row>
    <row r="84" spans="1:17">
      <c r="A84" s="3226">
        <v>2014</v>
      </c>
      <c r="B84" s="3224">
        <v>42</v>
      </c>
      <c r="C84" s="3224">
        <v>45</v>
      </c>
      <c r="D84" s="3224">
        <f t="shared" si="13"/>
        <v>87</v>
      </c>
      <c r="E84" s="3224">
        <v>63</v>
      </c>
      <c r="F84" s="3224">
        <v>82</v>
      </c>
      <c r="G84" s="3224">
        <f t="shared" si="14"/>
        <v>145</v>
      </c>
      <c r="H84" s="3224">
        <v>349</v>
      </c>
      <c r="I84" s="3224">
        <v>352</v>
      </c>
      <c r="J84" s="3224">
        <f t="shared" si="18"/>
        <v>701</v>
      </c>
      <c r="K84" s="3224">
        <v>252</v>
      </c>
      <c r="L84" s="3224">
        <v>287</v>
      </c>
      <c r="M84" s="3224">
        <f t="shared" si="16"/>
        <v>539</v>
      </c>
      <c r="N84" s="3218">
        <f t="shared" si="17"/>
        <v>104</v>
      </c>
      <c r="O84" s="3224">
        <v>5618</v>
      </c>
      <c r="P84" s="3224">
        <v>5884</v>
      </c>
      <c r="Q84" s="3213">
        <f t="shared" si="12"/>
        <v>11502</v>
      </c>
    </row>
    <row r="85" spans="1:17">
      <c r="A85" s="3226">
        <v>2015</v>
      </c>
      <c r="B85" s="3224">
        <v>49</v>
      </c>
      <c r="C85" s="3224">
        <v>52</v>
      </c>
      <c r="D85" s="3224">
        <f t="shared" si="13"/>
        <v>101</v>
      </c>
      <c r="E85" s="3224">
        <v>70</v>
      </c>
      <c r="F85" s="3224">
        <v>84</v>
      </c>
      <c r="G85" s="3224">
        <f t="shared" si="14"/>
        <v>154</v>
      </c>
      <c r="H85" s="3224">
        <v>348</v>
      </c>
      <c r="I85" s="3224">
        <v>356</v>
      </c>
      <c r="J85" s="3224">
        <f t="shared" si="18"/>
        <v>704</v>
      </c>
      <c r="K85" s="3224">
        <v>249</v>
      </c>
      <c r="L85" s="3224">
        <v>230</v>
      </c>
      <c r="M85" s="3224">
        <f t="shared" si="16"/>
        <v>479</v>
      </c>
      <c r="N85" s="3218">
        <f t="shared" si="17"/>
        <v>172</v>
      </c>
      <c r="O85" s="3224">
        <v>5701</v>
      </c>
      <c r="P85" s="3224">
        <v>5973</v>
      </c>
      <c r="Q85" s="3213">
        <f>SUM(O85:P85)</f>
        <v>11674</v>
      </c>
    </row>
    <row r="86" spans="1:17">
      <c r="A86" s="3226">
        <v>2016</v>
      </c>
      <c r="B86" s="3224">
        <v>64</v>
      </c>
      <c r="C86" s="3224">
        <v>55</v>
      </c>
      <c r="D86" s="3224">
        <f t="shared" si="13"/>
        <v>119</v>
      </c>
      <c r="E86" s="3224">
        <v>72</v>
      </c>
      <c r="F86" s="3224">
        <v>80</v>
      </c>
      <c r="G86" s="3224">
        <f>SUM(E86:F86)</f>
        <v>152</v>
      </c>
      <c r="H86" s="3224">
        <v>325</v>
      </c>
      <c r="I86" s="3224">
        <v>323</v>
      </c>
      <c r="J86" s="3224">
        <f>SUM(H86:I86)</f>
        <v>648</v>
      </c>
      <c r="K86" s="3224">
        <v>288</v>
      </c>
      <c r="L86" s="3224">
        <v>287</v>
      </c>
      <c r="M86" s="3224">
        <f>SUM(K86:L86)</f>
        <v>575</v>
      </c>
      <c r="N86" s="3218">
        <f>Q86-Q85</f>
        <v>40</v>
      </c>
      <c r="O86" s="3224">
        <v>5736</v>
      </c>
      <c r="P86" s="3224">
        <v>5978</v>
      </c>
      <c r="Q86" s="3213">
        <f>SUM(O86:P86)</f>
        <v>11714</v>
      </c>
    </row>
    <row r="87" spans="1:17">
      <c r="A87" s="3226">
        <v>2017</v>
      </c>
      <c r="B87" s="3224">
        <v>55</v>
      </c>
      <c r="C87" s="3224">
        <v>62</v>
      </c>
      <c r="D87" s="3224">
        <f t="shared" si="13"/>
        <v>117</v>
      </c>
      <c r="E87" s="3224">
        <v>68</v>
      </c>
      <c r="F87" s="3224">
        <v>103</v>
      </c>
      <c r="G87" s="3224">
        <f>SUM(E87:F87)</f>
        <v>171</v>
      </c>
      <c r="H87" s="3224">
        <v>355</v>
      </c>
      <c r="I87" s="3224">
        <v>317</v>
      </c>
      <c r="J87" s="3224">
        <f>SUM(H87:I87)</f>
        <v>672</v>
      </c>
      <c r="K87" s="3224">
        <v>296</v>
      </c>
      <c r="L87" s="3224">
        <v>272</v>
      </c>
      <c r="M87" s="3224">
        <f>SUM(K87:L87)</f>
        <v>568</v>
      </c>
      <c r="N87" s="3218">
        <f>Q87-Q86</f>
        <v>82</v>
      </c>
      <c r="O87" s="3224">
        <v>5803</v>
      </c>
      <c r="P87" s="3224">
        <v>5993</v>
      </c>
      <c r="Q87" s="3227">
        <f>SUM(O87:P87)</f>
        <v>11796</v>
      </c>
    </row>
    <row r="88" spans="1:17">
      <c r="A88" s="3226">
        <v>2018</v>
      </c>
      <c r="B88" s="3224">
        <v>66</v>
      </c>
      <c r="C88" s="3224">
        <v>64</v>
      </c>
      <c r="D88" s="3224">
        <f t="shared" si="13"/>
        <v>130</v>
      </c>
      <c r="E88" s="3224">
        <v>72</v>
      </c>
      <c r="F88" s="3224">
        <v>88</v>
      </c>
      <c r="G88" s="3224">
        <f>SUM(E88:F88)</f>
        <v>160</v>
      </c>
      <c r="H88" s="3224">
        <v>390</v>
      </c>
      <c r="I88" s="3224">
        <v>373</v>
      </c>
      <c r="J88" s="3224">
        <f>SUM(H88:I88)</f>
        <v>763</v>
      </c>
      <c r="K88" s="3224">
        <v>311</v>
      </c>
      <c r="L88" s="3224">
        <v>314</v>
      </c>
      <c r="M88" s="3224">
        <f>SUM(K88:L88)</f>
        <v>625</v>
      </c>
      <c r="N88" s="3218">
        <f>Q88-Q87</f>
        <v>105</v>
      </c>
      <c r="O88" s="3224">
        <v>5869</v>
      </c>
      <c r="P88" s="3224">
        <v>6032</v>
      </c>
      <c r="Q88" s="3213">
        <f>SUM(O88:P88)</f>
        <v>11901</v>
      </c>
    </row>
    <row r="89" spans="1:17">
      <c r="A89" s="3226">
        <v>2019</v>
      </c>
      <c r="B89" s="3224"/>
      <c r="C89" s="3224"/>
      <c r="D89" s="3224"/>
      <c r="E89" s="3224"/>
      <c r="F89" s="3224"/>
      <c r="G89" s="3224"/>
      <c r="H89" s="3224"/>
      <c r="I89" s="3224"/>
      <c r="J89" s="3224"/>
      <c r="K89" s="3224"/>
      <c r="L89" s="3224"/>
      <c r="M89" s="3224"/>
      <c r="N89" s="3218"/>
      <c r="O89" s="3224"/>
      <c r="P89" s="3224"/>
      <c r="Q89" s="3213">
        <f>SUM(O89:P89)</f>
        <v>0</v>
      </c>
    </row>
    <row r="90" spans="1:17">
      <c r="A90" s="3226">
        <v>2020</v>
      </c>
      <c r="B90" s="3224">
        <v>52</v>
      </c>
      <c r="C90" s="3224">
        <v>61</v>
      </c>
      <c r="D90" s="3224">
        <f>SUM(B90:C90)</f>
        <v>113</v>
      </c>
      <c r="E90" s="3224">
        <v>89</v>
      </c>
      <c r="F90" s="3224">
        <v>83</v>
      </c>
      <c r="G90" s="3224">
        <f>SUM(E90:F90)</f>
        <v>172</v>
      </c>
      <c r="H90" s="3224">
        <v>312</v>
      </c>
      <c r="I90" s="3224">
        <v>335</v>
      </c>
      <c r="J90" s="3224">
        <f>SUM(H90:I90)</f>
        <v>647</v>
      </c>
      <c r="K90" s="3224">
        <v>263</v>
      </c>
      <c r="L90" s="3224">
        <v>258</v>
      </c>
      <c r="M90" s="3224">
        <f>SUM(K90:L90)</f>
        <v>521</v>
      </c>
      <c r="N90" s="3218">
        <f>Q90-Q89</f>
        <v>12176</v>
      </c>
      <c r="O90" s="3224">
        <v>5987</v>
      </c>
      <c r="P90" s="3224">
        <v>6205</v>
      </c>
      <c r="Q90" s="3227">
        <v>12176</v>
      </c>
    </row>
    <row r="91" spans="1:17" ht="13.5" thickBot="1">
      <c r="A91" s="3226">
        <v>2021</v>
      </c>
      <c r="B91" s="3224">
        <v>75</v>
      </c>
      <c r="C91" s="3224">
        <v>62</v>
      </c>
      <c r="D91" s="3224">
        <f>SUM(B91:C91)</f>
        <v>137</v>
      </c>
      <c r="E91" s="3224">
        <v>91</v>
      </c>
      <c r="F91" s="3224">
        <v>88</v>
      </c>
      <c r="G91" s="3224">
        <f>SUM(E91:F91)</f>
        <v>179</v>
      </c>
      <c r="H91" s="3224">
        <v>363</v>
      </c>
      <c r="I91" s="3224">
        <v>341</v>
      </c>
      <c r="J91" s="3224">
        <f>SUM(H91:I91)</f>
        <v>704</v>
      </c>
      <c r="K91" s="3224">
        <v>307</v>
      </c>
      <c r="L91" s="3224">
        <v>264</v>
      </c>
      <c r="M91" s="3224">
        <f>SUM(K91:L91)</f>
        <v>571</v>
      </c>
      <c r="N91" s="3218">
        <f>Q91-Q90</f>
        <v>121</v>
      </c>
      <c r="O91" s="3224">
        <v>6034</v>
      </c>
      <c r="P91" s="3224">
        <v>6263</v>
      </c>
      <c r="Q91" s="3227">
        <f>O91+P91</f>
        <v>12297</v>
      </c>
    </row>
    <row r="92" spans="1:17" ht="13.5" thickBot="1">
      <c r="A92" s="3226">
        <v>2022</v>
      </c>
      <c r="B92" s="3224">
        <v>59</v>
      </c>
      <c r="C92" s="3224">
        <v>43</v>
      </c>
      <c r="D92" s="3224">
        <f>SUM(B92:C92)</f>
        <v>102</v>
      </c>
      <c r="E92" s="3224">
        <v>89</v>
      </c>
      <c r="F92" s="3224">
        <v>86</v>
      </c>
      <c r="G92" s="3224">
        <f>SUM(E92:F92)</f>
        <v>175</v>
      </c>
      <c r="H92" s="3224">
        <v>59</v>
      </c>
      <c r="I92" s="3224">
        <v>43</v>
      </c>
      <c r="J92" s="3224">
        <f>SUM(H92:I92)</f>
        <v>102</v>
      </c>
      <c r="K92" s="3224">
        <v>89</v>
      </c>
      <c r="L92" s="3224">
        <v>86</v>
      </c>
      <c r="M92" s="3224">
        <f>SUM(K92:L92)</f>
        <v>175</v>
      </c>
      <c r="N92" s="3218">
        <f>Q92-Q91</f>
        <v>92</v>
      </c>
      <c r="O92" s="3224">
        <v>6051</v>
      </c>
      <c r="P92" s="3224">
        <v>6338</v>
      </c>
      <c r="Q92" s="1397">
        <f>O92+P92</f>
        <v>12389</v>
      </c>
    </row>
    <row r="93" spans="1:17">
      <c r="A93" s="4023"/>
      <c r="B93" s="2314"/>
      <c r="C93" s="2314"/>
      <c r="D93" s="2314"/>
      <c r="E93" s="2314"/>
      <c r="F93" s="2314"/>
      <c r="G93" s="2314"/>
      <c r="H93" s="2314"/>
      <c r="I93" s="2314"/>
      <c r="J93" s="2314"/>
      <c r="K93" s="2314"/>
      <c r="L93" s="2314"/>
      <c r="M93" s="2314"/>
      <c r="N93" s="3235"/>
      <c r="O93" s="2314"/>
      <c r="P93" s="2314"/>
    </row>
    <row r="94" spans="1:17">
      <c r="A94" s="4023"/>
      <c r="B94" s="2314"/>
      <c r="C94" s="2314"/>
      <c r="D94" s="2314"/>
      <c r="E94" s="2314"/>
      <c r="F94" s="2314"/>
      <c r="G94" s="2314"/>
      <c r="H94" s="2314"/>
      <c r="I94" s="2314"/>
      <c r="J94" s="2314"/>
      <c r="K94" s="2314"/>
      <c r="L94" s="2314"/>
      <c r="M94" s="2314"/>
      <c r="N94" s="3235"/>
      <c r="O94" s="2314"/>
      <c r="P94" s="2314"/>
    </row>
    <row r="95" spans="1:17" ht="13.5" thickBot="1"/>
    <row r="96" spans="1:17" ht="13.5" thickBot="1">
      <c r="A96" s="3186" t="s">
        <v>27</v>
      </c>
      <c r="B96" s="3228">
        <v>2007</v>
      </c>
      <c r="C96" s="3228">
        <v>2008</v>
      </c>
      <c r="D96" s="3228">
        <v>2009</v>
      </c>
      <c r="E96" s="3228">
        <v>2010</v>
      </c>
      <c r="F96" s="3228">
        <v>2011</v>
      </c>
      <c r="G96" s="3228">
        <v>2012</v>
      </c>
      <c r="H96" s="3228">
        <v>2013</v>
      </c>
      <c r="I96" s="3228">
        <v>2014</v>
      </c>
      <c r="J96" s="3228">
        <v>2015</v>
      </c>
      <c r="K96" s="3228">
        <v>2016</v>
      </c>
      <c r="L96" s="3228">
        <v>2017</v>
      </c>
      <c r="M96" s="3229">
        <v>2018</v>
      </c>
      <c r="N96" s="3229">
        <v>2019</v>
      </c>
      <c r="O96" s="3229">
        <v>2020</v>
      </c>
      <c r="P96" s="3616">
        <v>2021</v>
      </c>
      <c r="Q96" s="3616">
        <v>2022</v>
      </c>
    </row>
    <row r="97" spans="1:34">
      <c r="A97" s="2315" t="s">
        <v>6386</v>
      </c>
      <c r="B97" s="1355">
        <v>39</v>
      </c>
      <c r="C97" s="1355">
        <v>42</v>
      </c>
      <c r="D97" s="1355">
        <v>44</v>
      </c>
      <c r="E97" s="1355">
        <v>51</v>
      </c>
      <c r="F97" s="1355">
        <v>39</v>
      </c>
      <c r="G97" s="1355">
        <v>12</v>
      </c>
      <c r="H97" s="1355">
        <v>15</v>
      </c>
      <c r="I97" s="1355">
        <v>16</v>
      </c>
      <c r="J97" s="1355">
        <v>41</v>
      </c>
      <c r="K97" s="1355">
        <v>26</v>
      </c>
      <c r="L97" s="1355">
        <v>41</v>
      </c>
      <c r="M97" s="1355">
        <v>29</v>
      </c>
      <c r="N97" s="3614">
        <v>36</v>
      </c>
      <c r="O97" s="3614">
        <v>34</v>
      </c>
      <c r="P97" s="1356">
        <v>39</v>
      </c>
      <c r="Q97" s="1356">
        <v>20</v>
      </c>
    </row>
    <row r="98" spans="1:34">
      <c r="A98" s="2315" t="s">
        <v>6387</v>
      </c>
      <c r="B98" s="1355">
        <v>7</v>
      </c>
      <c r="C98" s="1355">
        <v>9</v>
      </c>
      <c r="D98" s="1355">
        <v>10</v>
      </c>
      <c r="E98" s="1355">
        <v>15</v>
      </c>
      <c r="F98" s="1355">
        <v>28</v>
      </c>
      <c r="G98" s="1355">
        <v>31</v>
      </c>
      <c r="H98" s="1355">
        <v>21</v>
      </c>
      <c r="I98" s="1355">
        <v>31</v>
      </c>
      <c r="J98" s="1355">
        <v>36</v>
      </c>
      <c r="K98" s="1355">
        <v>15</v>
      </c>
      <c r="L98" s="1355">
        <v>30</v>
      </c>
      <c r="M98" s="1355">
        <v>24</v>
      </c>
      <c r="N98" s="1355">
        <v>22</v>
      </c>
      <c r="O98" s="1355">
        <v>26</v>
      </c>
      <c r="P98" s="1356">
        <v>31</v>
      </c>
      <c r="Q98" s="1356">
        <v>47</v>
      </c>
    </row>
    <row r="99" spans="1:34">
      <c r="A99" s="2315" t="s">
        <v>6388</v>
      </c>
      <c r="B99" s="1355">
        <v>11</v>
      </c>
      <c r="C99" s="1355">
        <v>9</v>
      </c>
      <c r="D99" s="1355">
        <v>18</v>
      </c>
      <c r="E99" s="1355">
        <v>24</v>
      </c>
      <c r="F99" s="1355">
        <v>16</v>
      </c>
      <c r="G99" s="1355">
        <v>5</v>
      </c>
      <c r="H99" s="1355">
        <v>5</v>
      </c>
      <c r="I99" s="1355">
        <v>12</v>
      </c>
      <c r="J99" s="1355">
        <v>9</v>
      </c>
      <c r="K99" s="1355">
        <v>11</v>
      </c>
      <c r="L99" s="1355">
        <v>14</v>
      </c>
      <c r="M99" s="1355">
        <v>12</v>
      </c>
      <c r="N99" s="1355">
        <v>18</v>
      </c>
      <c r="O99" s="1355">
        <v>12</v>
      </c>
      <c r="P99" s="1356">
        <v>16</v>
      </c>
      <c r="Q99" s="1356">
        <v>17</v>
      </c>
    </row>
    <row r="100" spans="1:34">
      <c r="A100" s="2315" t="s">
        <v>6389</v>
      </c>
      <c r="B100" s="1355">
        <v>6</v>
      </c>
      <c r="C100" s="1355">
        <v>20</v>
      </c>
      <c r="D100" s="1355">
        <v>10</v>
      </c>
      <c r="E100" s="1355">
        <v>15</v>
      </c>
      <c r="F100" s="1355">
        <v>14</v>
      </c>
      <c r="G100" s="1355">
        <v>19</v>
      </c>
      <c r="H100" s="1355">
        <v>19</v>
      </c>
      <c r="I100" s="1355"/>
      <c r="J100" s="1355">
        <v>14</v>
      </c>
      <c r="K100" s="1355">
        <v>18</v>
      </c>
      <c r="L100" s="1355">
        <v>22</v>
      </c>
      <c r="M100" s="1355">
        <v>20</v>
      </c>
      <c r="N100" s="1355">
        <v>28</v>
      </c>
      <c r="O100" s="1355">
        <v>22</v>
      </c>
      <c r="P100" s="1356">
        <v>36</v>
      </c>
      <c r="Q100" s="1356">
        <v>25</v>
      </c>
    </row>
    <row r="101" spans="1:34" ht="13.5" thickBot="1">
      <c r="A101" s="2315" t="s">
        <v>6390</v>
      </c>
      <c r="B101" s="1355">
        <v>14</v>
      </c>
      <c r="C101" s="1355">
        <v>14</v>
      </c>
      <c r="D101" s="1355">
        <v>15</v>
      </c>
      <c r="E101" s="1355">
        <v>13</v>
      </c>
      <c r="F101" s="1355">
        <v>15</v>
      </c>
      <c r="G101" s="1355">
        <v>16</v>
      </c>
      <c r="H101" s="1355">
        <v>13</v>
      </c>
      <c r="I101" s="1355">
        <v>12</v>
      </c>
      <c r="J101" s="1355">
        <v>19</v>
      </c>
      <c r="K101" s="1355">
        <v>16</v>
      </c>
      <c r="L101" s="1355">
        <v>13</v>
      </c>
      <c r="M101" s="1355">
        <v>12</v>
      </c>
      <c r="N101" s="3196">
        <v>10</v>
      </c>
      <c r="O101" s="3196">
        <v>18</v>
      </c>
      <c r="P101" s="1356">
        <v>11</v>
      </c>
      <c r="Q101" s="1356">
        <v>5</v>
      </c>
    </row>
    <row r="102" spans="1:34" ht="13.5" thickBot="1">
      <c r="A102" s="3230" t="s">
        <v>8</v>
      </c>
      <c r="B102" s="1397">
        <v>77</v>
      </c>
      <c r="C102" s="1397">
        <f>C97+C98+C99+C100+C101</f>
        <v>94</v>
      </c>
      <c r="D102" s="1397">
        <f>D97+D98+D99+D100+D101</f>
        <v>97</v>
      </c>
      <c r="E102" s="1397">
        <f>E97+E98+E99+E100+E101</f>
        <v>118</v>
      </c>
      <c r="F102" s="1397">
        <f t="shared" ref="F102:K102" si="19">SUM(F97:F101)</f>
        <v>112</v>
      </c>
      <c r="G102" s="1397">
        <f t="shared" si="19"/>
        <v>83</v>
      </c>
      <c r="H102" s="1397">
        <f t="shared" si="19"/>
        <v>73</v>
      </c>
      <c r="I102" s="1397">
        <f t="shared" si="19"/>
        <v>71</v>
      </c>
      <c r="J102" s="1397">
        <f t="shared" si="19"/>
        <v>119</v>
      </c>
      <c r="K102" s="1397">
        <f t="shared" si="19"/>
        <v>86</v>
      </c>
      <c r="L102" s="1397">
        <f t="shared" ref="L102:Q102" si="20">SUM(L97:L101)</f>
        <v>120</v>
      </c>
      <c r="M102" s="1397">
        <f t="shared" si="20"/>
        <v>97</v>
      </c>
      <c r="N102" s="1397">
        <f t="shared" si="20"/>
        <v>114</v>
      </c>
      <c r="O102" s="1397">
        <f t="shared" si="20"/>
        <v>112</v>
      </c>
      <c r="P102" s="1398">
        <f t="shared" si="20"/>
        <v>133</v>
      </c>
      <c r="Q102" s="1398">
        <f t="shared" si="20"/>
        <v>114</v>
      </c>
    </row>
    <row r="103" spans="1:34">
      <c r="A103" s="2317"/>
      <c r="B103" s="2317"/>
      <c r="C103" s="2317"/>
    </row>
    <row r="104" spans="1:34">
      <c r="A104" s="2317"/>
      <c r="B104" s="2317"/>
      <c r="C104" s="2317"/>
    </row>
    <row r="105" spans="1:34" ht="13.5" thickBot="1">
      <c r="E105" s="2326"/>
    </row>
    <row r="106" spans="1:34" ht="13.5" thickBot="1">
      <c r="A106" s="3186" t="s">
        <v>6391</v>
      </c>
      <c r="B106" s="3228">
        <v>2007</v>
      </c>
      <c r="C106" s="3228">
        <v>2008</v>
      </c>
      <c r="D106" s="3228">
        <v>2009</v>
      </c>
      <c r="E106" s="3228">
        <v>2010</v>
      </c>
      <c r="F106" s="3228">
        <v>2011</v>
      </c>
      <c r="G106" s="3228">
        <v>2012</v>
      </c>
      <c r="H106" s="3228">
        <v>2013</v>
      </c>
      <c r="I106" s="3231">
        <v>2014</v>
      </c>
    </row>
    <row r="107" spans="1:34" ht="13.5" thickBot="1">
      <c r="A107" s="3232"/>
      <c r="B107" s="3233">
        <v>32</v>
      </c>
      <c r="C107" s="3196">
        <v>34</v>
      </c>
      <c r="D107" s="3196">
        <v>56</v>
      </c>
      <c r="E107" s="3196">
        <v>46</v>
      </c>
      <c r="F107" s="3196">
        <v>49</v>
      </c>
      <c r="G107" s="3196">
        <v>49</v>
      </c>
      <c r="H107" s="3196">
        <v>59</v>
      </c>
      <c r="I107" s="1357">
        <v>59</v>
      </c>
      <c r="J107" s="1396" t="s">
        <v>6392</v>
      </c>
    </row>
    <row r="108" spans="1:34">
      <c r="A108" s="3234"/>
      <c r="B108" s="3235"/>
      <c r="C108" s="1355"/>
      <c r="D108" s="1355"/>
      <c r="E108" s="1355"/>
      <c r="F108" s="1355"/>
      <c r="G108" s="1355"/>
      <c r="H108" s="1355"/>
      <c r="I108" s="1355"/>
    </row>
    <row r="109" spans="1:34">
      <c r="A109" s="3234"/>
      <c r="B109" s="3235"/>
      <c r="C109" s="1355"/>
      <c r="D109" s="1355"/>
      <c r="E109" s="1355"/>
      <c r="F109" s="1355"/>
      <c r="G109" s="1355"/>
      <c r="H109" s="1355"/>
      <c r="I109" s="1355"/>
    </row>
    <row r="110" spans="1:34" ht="13.5" thickBot="1">
      <c r="E110" s="3236"/>
    </row>
    <row r="111" spans="1:34" ht="13.5" thickBot="1">
      <c r="A111" s="3186" t="s">
        <v>29</v>
      </c>
      <c r="B111" s="3186"/>
      <c r="C111" s="3237">
        <v>2007</v>
      </c>
      <c r="D111" s="3228"/>
      <c r="E111" s="3237">
        <v>2008</v>
      </c>
      <c r="F111" s="3238"/>
      <c r="G111" s="3228">
        <v>2009</v>
      </c>
      <c r="H111" s="3239"/>
      <c r="I111" s="3228">
        <v>2010</v>
      </c>
      <c r="J111" s="3239"/>
      <c r="K111" s="3228">
        <v>2011</v>
      </c>
      <c r="L111" s="3239"/>
      <c r="M111" s="3228">
        <v>2012</v>
      </c>
      <c r="N111" s="3239"/>
      <c r="O111" s="3228">
        <v>2013</v>
      </c>
      <c r="P111" s="3239"/>
      <c r="Q111" s="3228">
        <v>2014</v>
      </c>
      <c r="R111" s="3239"/>
      <c r="S111" s="3228">
        <v>2015</v>
      </c>
      <c r="T111" s="3239"/>
      <c r="U111" s="3228">
        <v>2016</v>
      </c>
      <c r="V111" s="3239"/>
      <c r="W111" s="3228">
        <v>2017</v>
      </c>
      <c r="X111" s="3239"/>
      <c r="Y111" s="3228">
        <v>2018</v>
      </c>
      <c r="Z111" s="3239"/>
      <c r="AA111" s="3228">
        <v>2019</v>
      </c>
      <c r="AB111" s="3239"/>
      <c r="AC111" s="3228">
        <v>2020</v>
      </c>
      <c r="AD111" s="3239"/>
      <c r="AE111" s="3228">
        <v>2021</v>
      </c>
      <c r="AF111" s="3239"/>
      <c r="AG111" s="3228">
        <v>2022</v>
      </c>
      <c r="AH111" s="3228"/>
    </row>
    <row r="112" spans="1:34">
      <c r="A112" s="3240"/>
      <c r="C112" s="3242" t="s">
        <v>6393</v>
      </c>
      <c r="D112" s="3241" t="s">
        <v>6394</v>
      </c>
      <c r="E112" s="3243" t="s">
        <v>6395</v>
      </c>
      <c r="F112" s="3244" t="s">
        <v>6394</v>
      </c>
      <c r="G112" s="3245" t="s">
        <v>6395</v>
      </c>
      <c r="H112" s="3246" t="s">
        <v>6394</v>
      </c>
      <c r="I112" s="3245" t="s">
        <v>6395</v>
      </c>
      <c r="J112" s="3246" t="s">
        <v>6394</v>
      </c>
      <c r="K112" s="3245" t="s">
        <v>6395</v>
      </c>
      <c r="L112" s="3246" t="s">
        <v>6394</v>
      </c>
      <c r="M112" s="3245" t="s">
        <v>6395</v>
      </c>
      <c r="N112" s="3246" t="s">
        <v>6394</v>
      </c>
      <c r="O112" s="3245" t="s">
        <v>6395</v>
      </c>
      <c r="P112" s="3246" t="s">
        <v>6394</v>
      </c>
      <c r="Q112" s="3245" t="s">
        <v>6395</v>
      </c>
      <c r="R112" s="3246" t="s">
        <v>6394</v>
      </c>
      <c r="S112" s="3245" t="s">
        <v>6395</v>
      </c>
      <c r="T112" s="3246" t="s">
        <v>6394</v>
      </c>
      <c r="U112" s="3245" t="s">
        <v>6395</v>
      </c>
      <c r="V112" s="3246" t="s">
        <v>6394</v>
      </c>
      <c r="W112" s="3245" t="s">
        <v>6395</v>
      </c>
      <c r="X112" s="3246" t="s">
        <v>6394</v>
      </c>
      <c r="Y112" s="3245" t="s">
        <v>6395</v>
      </c>
      <c r="Z112" s="3246" t="s">
        <v>6394</v>
      </c>
      <c r="AA112" s="3245" t="s">
        <v>6395</v>
      </c>
      <c r="AB112" s="3246" t="s">
        <v>6394</v>
      </c>
      <c r="AC112" s="3245" t="s">
        <v>6395</v>
      </c>
      <c r="AD112" s="3246" t="s">
        <v>6394</v>
      </c>
      <c r="AE112" s="3245" t="s">
        <v>6395</v>
      </c>
      <c r="AF112" s="3246" t="s">
        <v>6394</v>
      </c>
      <c r="AG112" s="3241" t="s">
        <v>6395</v>
      </c>
      <c r="AH112" s="3241" t="s">
        <v>6394</v>
      </c>
    </row>
    <row r="113" spans="1:34">
      <c r="A113" s="2315" t="s">
        <v>5608</v>
      </c>
      <c r="C113" s="3247">
        <v>1</v>
      </c>
      <c r="D113" s="1355"/>
      <c r="E113" s="3247">
        <v>1</v>
      </c>
      <c r="F113" s="2396"/>
      <c r="G113" s="1355">
        <v>1</v>
      </c>
      <c r="H113" s="1356"/>
      <c r="I113" s="1355">
        <v>1</v>
      </c>
      <c r="J113" s="1356"/>
      <c r="K113" s="1355">
        <v>2</v>
      </c>
      <c r="L113" s="1356"/>
      <c r="M113" s="1355">
        <v>1</v>
      </c>
      <c r="N113" s="1356"/>
      <c r="O113" s="1355">
        <v>2</v>
      </c>
      <c r="P113" s="1356">
        <v>0</v>
      </c>
      <c r="Q113" s="1355">
        <v>3</v>
      </c>
      <c r="R113" s="1356">
        <v>0</v>
      </c>
      <c r="S113" s="1355">
        <v>3</v>
      </c>
      <c r="T113" s="1356">
        <v>0</v>
      </c>
      <c r="U113" s="1355">
        <v>2</v>
      </c>
      <c r="V113" s="1356">
        <v>0</v>
      </c>
      <c r="W113" s="1355">
        <v>7</v>
      </c>
      <c r="X113" s="1356">
        <v>0</v>
      </c>
      <c r="Y113" s="1355">
        <v>9</v>
      </c>
      <c r="Z113" s="1356">
        <v>3</v>
      </c>
      <c r="AA113" s="1355">
        <v>7</v>
      </c>
      <c r="AB113" s="1356">
        <v>4</v>
      </c>
      <c r="AC113" s="1355">
        <v>4</v>
      </c>
      <c r="AD113" s="1356">
        <v>3</v>
      </c>
      <c r="AE113" s="1355">
        <v>3</v>
      </c>
      <c r="AF113" s="1356">
        <v>3</v>
      </c>
      <c r="AG113" s="1355">
        <v>1</v>
      </c>
      <c r="AH113" s="1355"/>
    </row>
    <row r="114" spans="1:34">
      <c r="A114" s="2315" t="s">
        <v>6396</v>
      </c>
      <c r="C114" s="3248">
        <v>1</v>
      </c>
      <c r="D114" s="2314"/>
      <c r="E114" s="3247">
        <v>1</v>
      </c>
      <c r="F114" s="2396"/>
      <c r="G114" s="1355">
        <v>1</v>
      </c>
      <c r="H114" s="1356"/>
      <c r="I114" s="1355"/>
      <c r="J114" s="1356"/>
      <c r="K114" s="1355"/>
      <c r="L114" s="1356"/>
      <c r="M114" s="1355"/>
      <c r="N114" s="1356"/>
      <c r="O114" s="1355"/>
      <c r="P114" s="1356"/>
      <c r="Q114" s="1355"/>
      <c r="R114" s="1356"/>
      <c r="S114" s="1355">
        <v>1</v>
      </c>
      <c r="T114" s="1356">
        <v>0</v>
      </c>
      <c r="U114" s="1355">
        <v>1</v>
      </c>
      <c r="V114" s="1356">
        <v>0</v>
      </c>
      <c r="W114" s="1355">
        <v>1</v>
      </c>
      <c r="X114" s="1356">
        <v>0</v>
      </c>
      <c r="Y114" s="1355"/>
      <c r="Z114" s="1356"/>
      <c r="AA114" s="1355"/>
      <c r="AB114" s="1356">
        <v>1</v>
      </c>
      <c r="AC114" s="1355"/>
      <c r="AD114" s="1356"/>
      <c r="AE114" s="1355">
        <v>2</v>
      </c>
      <c r="AF114" s="1356"/>
      <c r="AG114" s="2314"/>
      <c r="AH114" s="2314"/>
    </row>
    <row r="115" spans="1:34">
      <c r="A115" s="2315" t="s">
        <v>6397</v>
      </c>
      <c r="C115" s="3247">
        <v>1</v>
      </c>
      <c r="D115" s="1355"/>
      <c r="E115" s="3247"/>
      <c r="F115" s="2396"/>
      <c r="G115" s="1355"/>
      <c r="H115" s="1356"/>
      <c r="I115" s="1355"/>
      <c r="J115" s="1356"/>
      <c r="K115" s="1355"/>
      <c r="L115" s="1356"/>
      <c r="M115" s="1355"/>
      <c r="N115" s="1356"/>
      <c r="O115" s="1355">
        <v>1</v>
      </c>
      <c r="P115" s="1356">
        <v>0</v>
      </c>
      <c r="Q115" s="1355">
        <v>1</v>
      </c>
      <c r="R115" s="1356">
        <v>0</v>
      </c>
      <c r="S115" s="1355">
        <v>1</v>
      </c>
      <c r="T115" s="1356">
        <v>0</v>
      </c>
      <c r="U115" s="1355">
        <v>0</v>
      </c>
      <c r="V115" s="1356">
        <v>0</v>
      </c>
      <c r="W115" s="1355"/>
      <c r="X115" s="1356"/>
      <c r="Y115" s="1355"/>
      <c r="Z115" s="1356"/>
      <c r="AA115" s="1355">
        <v>0</v>
      </c>
      <c r="AB115" s="1356">
        <v>1</v>
      </c>
      <c r="AC115" s="1355">
        <v>0</v>
      </c>
      <c r="AD115" s="1356">
        <v>1</v>
      </c>
      <c r="AE115" s="1355"/>
      <c r="AF115" s="1356">
        <v>1</v>
      </c>
      <c r="AG115" s="1355"/>
      <c r="AH115" s="1355"/>
    </row>
    <row r="116" spans="1:34">
      <c r="A116" s="2315" t="s">
        <v>6398</v>
      </c>
      <c r="C116" s="3247">
        <v>1</v>
      </c>
      <c r="D116" s="1355"/>
      <c r="E116" s="3247">
        <v>1</v>
      </c>
      <c r="F116" s="2396"/>
      <c r="G116" s="1355">
        <v>1</v>
      </c>
      <c r="H116" s="1356"/>
      <c r="I116" s="1355"/>
      <c r="J116" s="1356"/>
      <c r="K116" s="1355">
        <v>1</v>
      </c>
      <c r="L116" s="1356"/>
      <c r="M116" s="1355">
        <v>1</v>
      </c>
      <c r="N116" s="1356"/>
      <c r="O116" s="1355"/>
      <c r="P116" s="1356"/>
      <c r="Q116" s="1355"/>
      <c r="R116" s="1356"/>
      <c r="S116" s="1355"/>
      <c r="T116" s="1356"/>
      <c r="U116" s="1355"/>
      <c r="V116" s="1356"/>
      <c r="W116" s="1355"/>
      <c r="X116" s="1356"/>
      <c r="Y116" s="1355"/>
      <c r="Z116" s="1356"/>
      <c r="AA116" s="1355"/>
      <c r="AB116" s="1356"/>
      <c r="AC116" s="1355"/>
      <c r="AD116" s="1356"/>
      <c r="AE116" s="1355"/>
      <c r="AF116" s="1356"/>
      <c r="AG116" s="1355"/>
      <c r="AH116" s="1355"/>
    </row>
    <row r="117" spans="1:34">
      <c r="A117" s="2315" t="s">
        <v>6399</v>
      </c>
      <c r="C117" s="3247"/>
      <c r="D117" s="1355"/>
      <c r="E117" s="3247"/>
      <c r="F117" s="2396"/>
      <c r="G117" s="1355">
        <v>1</v>
      </c>
      <c r="H117" s="1356"/>
      <c r="I117" s="1355">
        <v>1</v>
      </c>
      <c r="J117" s="1356"/>
      <c r="K117" s="1355">
        <v>1</v>
      </c>
      <c r="L117" s="1356"/>
      <c r="M117" s="1355"/>
      <c r="N117" s="1356"/>
      <c r="O117" s="1355"/>
      <c r="P117" s="1356"/>
      <c r="Q117" s="1355"/>
      <c r="R117" s="1356"/>
      <c r="S117" s="1355"/>
      <c r="T117" s="1356"/>
      <c r="U117" s="1355"/>
      <c r="V117" s="1356"/>
      <c r="W117" s="1355"/>
      <c r="X117" s="1356"/>
      <c r="Y117" s="1355"/>
      <c r="Z117" s="1356"/>
      <c r="AA117" s="1355"/>
      <c r="AB117" s="1356"/>
      <c r="AC117" s="1355"/>
      <c r="AD117" s="1356"/>
      <c r="AE117" s="1355"/>
      <c r="AF117" s="1356"/>
      <c r="AG117" s="1355"/>
      <c r="AH117" s="1355"/>
    </row>
    <row r="118" spans="1:34">
      <c r="A118" s="2315" t="s">
        <v>6400</v>
      </c>
      <c r="C118" s="3247"/>
      <c r="D118" s="1355"/>
      <c r="E118" s="3247"/>
      <c r="F118" s="2396">
        <v>1</v>
      </c>
      <c r="G118" s="1355"/>
      <c r="H118" s="1356">
        <v>1</v>
      </c>
      <c r="I118" s="1355"/>
      <c r="J118" s="1356"/>
      <c r="K118" s="1355"/>
      <c r="L118" s="1356"/>
      <c r="M118" s="1355"/>
      <c r="N118" s="1356"/>
      <c r="O118" s="1355"/>
      <c r="P118" s="1356"/>
      <c r="Q118" s="1355"/>
      <c r="R118" s="1356"/>
      <c r="S118" s="1355"/>
      <c r="T118" s="1356"/>
      <c r="U118" s="1355"/>
      <c r="V118" s="1356"/>
      <c r="W118" s="1355"/>
      <c r="X118" s="1356"/>
      <c r="Y118" s="1355"/>
      <c r="Z118" s="1356"/>
      <c r="AA118" s="1355"/>
      <c r="AB118" s="1356"/>
      <c r="AC118" s="1355"/>
      <c r="AD118" s="1356"/>
      <c r="AE118" s="1355"/>
      <c r="AF118" s="1356"/>
      <c r="AG118" s="1355"/>
      <c r="AH118" s="1355"/>
    </row>
    <row r="119" spans="1:34">
      <c r="A119" s="2315" t="s">
        <v>6401</v>
      </c>
      <c r="C119" s="3247"/>
      <c r="D119" s="1355"/>
      <c r="E119" s="3247"/>
      <c r="F119" s="2396"/>
      <c r="G119" s="1355"/>
      <c r="H119" s="1356"/>
      <c r="I119" s="1355"/>
      <c r="J119" s="1356"/>
      <c r="K119" s="1355"/>
      <c r="L119" s="1356"/>
      <c r="M119" s="1355"/>
      <c r="N119" s="1356"/>
      <c r="O119" s="1355"/>
      <c r="P119" s="1356"/>
      <c r="Q119" s="1355"/>
      <c r="R119" s="1356"/>
      <c r="S119" s="1355"/>
      <c r="T119" s="1356"/>
      <c r="U119" s="1355"/>
      <c r="V119" s="1356"/>
      <c r="W119" s="1355">
        <v>0</v>
      </c>
      <c r="X119" s="1356">
        <v>1</v>
      </c>
      <c r="Y119" s="1355"/>
      <c r="Z119" s="1356"/>
      <c r="AA119" s="1355"/>
      <c r="AB119" s="1356"/>
      <c r="AC119" s="1355"/>
      <c r="AD119" s="1356"/>
      <c r="AE119" s="1355"/>
      <c r="AF119" s="1356"/>
      <c r="AG119" s="1355"/>
      <c r="AH119" s="1355"/>
    </row>
    <row r="120" spans="1:34">
      <c r="A120" s="2315" t="s">
        <v>6402</v>
      </c>
      <c r="C120" s="3247"/>
      <c r="D120" s="1355"/>
      <c r="E120" s="3247"/>
      <c r="F120" s="2396"/>
      <c r="G120" s="1355"/>
      <c r="H120" s="1356"/>
      <c r="I120" s="1355"/>
      <c r="J120" s="1356"/>
      <c r="K120" s="1355"/>
      <c r="L120" s="1356"/>
      <c r="M120" s="1355"/>
      <c r="N120" s="1356"/>
      <c r="O120" s="1355"/>
      <c r="P120" s="1356"/>
      <c r="Q120" s="1355"/>
      <c r="R120" s="1356"/>
      <c r="S120" s="1355"/>
      <c r="T120" s="1356"/>
      <c r="U120" s="1355"/>
      <c r="V120" s="1356"/>
      <c r="W120" s="1355"/>
      <c r="X120" s="1356"/>
      <c r="Y120" s="1355"/>
      <c r="Z120" s="1356"/>
      <c r="AA120" s="1355">
        <v>1</v>
      </c>
      <c r="AB120" s="1356">
        <v>0</v>
      </c>
      <c r="AC120" s="1355">
        <v>1</v>
      </c>
      <c r="AD120" s="1356">
        <v>0</v>
      </c>
      <c r="AE120" s="1355">
        <v>1</v>
      </c>
      <c r="AF120" s="1356"/>
      <c r="AG120" s="1355"/>
      <c r="AH120" s="1355"/>
    </row>
    <row r="121" spans="1:34">
      <c r="A121" s="2315" t="s">
        <v>6403</v>
      </c>
      <c r="C121" s="3247"/>
      <c r="D121" s="1355">
        <v>2</v>
      </c>
      <c r="E121" s="3247"/>
      <c r="F121" s="2396">
        <v>2</v>
      </c>
      <c r="G121" s="1355"/>
      <c r="H121" s="1356">
        <v>2</v>
      </c>
      <c r="I121" s="1355"/>
      <c r="J121" s="1356"/>
      <c r="K121" s="1355"/>
      <c r="L121" s="1356"/>
      <c r="M121" s="1355"/>
      <c r="N121" s="1356"/>
      <c r="O121" s="1355">
        <v>0</v>
      </c>
      <c r="P121" s="1356">
        <v>1</v>
      </c>
      <c r="Q121" s="1355">
        <v>1</v>
      </c>
      <c r="R121" s="1356">
        <v>1</v>
      </c>
      <c r="S121" s="1355">
        <v>0</v>
      </c>
      <c r="T121" s="1356">
        <v>2</v>
      </c>
      <c r="U121" s="1355">
        <v>0</v>
      </c>
      <c r="V121" s="1356">
        <v>1</v>
      </c>
      <c r="W121" s="1355">
        <v>0</v>
      </c>
      <c r="X121" s="1356">
        <v>2</v>
      </c>
      <c r="Y121" s="1355">
        <v>0</v>
      </c>
      <c r="Z121" s="1356">
        <v>2</v>
      </c>
      <c r="AA121" s="1355">
        <v>0</v>
      </c>
      <c r="AB121" s="1356">
        <v>3</v>
      </c>
      <c r="AC121" s="1355">
        <v>0</v>
      </c>
      <c r="AD121" s="1356">
        <v>2</v>
      </c>
      <c r="AE121" s="1355">
        <v>1</v>
      </c>
      <c r="AF121" s="1356">
        <v>3</v>
      </c>
      <c r="AG121" s="1355"/>
      <c r="AH121" s="1355"/>
    </row>
    <row r="122" spans="1:34">
      <c r="A122" s="2315" t="s">
        <v>6404</v>
      </c>
      <c r="C122" s="3247"/>
      <c r="D122" s="1355"/>
      <c r="E122" s="3247"/>
      <c r="F122" s="2396"/>
      <c r="G122" s="1355">
        <v>1</v>
      </c>
      <c r="H122" s="1356">
        <v>1</v>
      </c>
      <c r="I122" s="1355">
        <v>2</v>
      </c>
      <c r="J122" s="1356">
        <v>1</v>
      </c>
      <c r="K122" s="1355">
        <v>2</v>
      </c>
      <c r="L122" s="1356">
        <v>1</v>
      </c>
      <c r="M122" s="1355">
        <v>2</v>
      </c>
      <c r="N122" s="1356">
        <v>2</v>
      </c>
      <c r="O122" s="1355">
        <v>4</v>
      </c>
      <c r="P122" s="1356">
        <v>2</v>
      </c>
      <c r="Q122" s="1355">
        <v>2</v>
      </c>
      <c r="R122" s="1356">
        <v>0</v>
      </c>
      <c r="S122" s="1355">
        <v>3</v>
      </c>
      <c r="T122" s="1356">
        <v>1</v>
      </c>
      <c r="U122" s="1355">
        <v>2</v>
      </c>
      <c r="V122" s="1356">
        <v>0</v>
      </c>
      <c r="W122" s="1355">
        <v>5</v>
      </c>
      <c r="X122" s="1356">
        <v>0</v>
      </c>
      <c r="Y122" s="1355">
        <v>3</v>
      </c>
      <c r="Z122" s="1356">
        <v>0</v>
      </c>
      <c r="AA122" s="1355">
        <v>3</v>
      </c>
      <c r="AB122" s="1356">
        <v>0</v>
      </c>
      <c r="AC122" s="1355">
        <v>2</v>
      </c>
      <c r="AD122" s="1356">
        <v>0</v>
      </c>
      <c r="AE122" s="1355">
        <v>1</v>
      </c>
      <c r="AF122" s="1356"/>
      <c r="AG122" s="1355">
        <v>2</v>
      </c>
      <c r="AH122" s="1355"/>
    </row>
    <row r="123" spans="1:34">
      <c r="A123" s="2315" t="s">
        <v>6405</v>
      </c>
      <c r="C123" s="3247"/>
      <c r="D123" s="1355"/>
      <c r="E123" s="3247"/>
      <c r="F123" s="2396"/>
      <c r="G123" s="1355">
        <v>1</v>
      </c>
      <c r="H123" s="1356"/>
      <c r="I123" s="1355"/>
      <c r="J123" s="1356"/>
      <c r="K123" s="1355"/>
      <c r="L123" s="1356"/>
      <c r="M123" s="1355"/>
      <c r="N123" s="1356"/>
      <c r="O123" s="1355"/>
      <c r="P123" s="1356"/>
      <c r="Q123" s="1355"/>
      <c r="R123" s="1356"/>
      <c r="S123" s="1355"/>
      <c r="T123" s="1356"/>
      <c r="U123" s="1355"/>
      <c r="V123" s="1356"/>
      <c r="W123" s="1355"/>
      <c r="X123" s="1356"/>
      <c r="Y123" s="1355"/>
      <c r="Z123" s="1356"/>
      <c r="AA123" s="1355"/>
      <c r="AB123" s="1356"/>
      <c r="AC123" s="1355"/>
      <c r="AD123" s="1356"/>
      <c r="AE123" s="1355"/>
      <c r="AF123" s="1356"/>
      <c r="AG123" s="1355"/>
      <c r="AH123" s="1355"/>
    </row>
    <row r="124" spans="1:34">
      <c r="A124" s="2315" t="s">
        <v>6406</v>
      </c>
      <c r="C124" s="3247"/>
      <c r="D124" s="1355"/>
      <c r="E124" s="3247"/>
      <c r="F124" s="2396"/>
      <c r="G124" s="1355"/>
      <c r="H124" s="1356"/>
      <c r="I124" s="1355"/>
      <c r="J124" s="1356"/>
      <c r="K124" s="1355"/>
      <c r="L124" s="1356"/>
      <c r="M124" s="1355">
        <v>1</v>
      </c>
      <c r="N124" s="1356">
        <v>1</v>
      </c>
      <c r="O124" s="1355">
        <v>1</v>
      </c>
      <c r="P124" s="1356">
        <v>1</v>
      </c>
      <c r="Q124" s="1355">
        <v>1</v>
      </c>
      <c r="R124" s="1356">
        <v>1</v>
      </c>
      <c r="S124" s="1355">
        <v>1</v>
      </c>
      <c r="T124" s="1356">
        <v>1</v>
      </c>
      <c r="U124" s="1355">
        <v>1</v>
      </c>
      <c r="V124" s="1356">
        <v>1</v>
      </c>
      <c r="W124" s="1355">
        <v>1</v>
      </c>
      <c r="X124" s="1356">
        <v>0</v>
      </c>
      <c r="Y124" s="1355"/>
      <c r="Z124" s="1356"/>
      <c r="AA124" s="1355"/>
      <c r="AB124" s="1356"/>
      <c r="AC124" s="1355"/>
      <c r="AD124" s="1356"/>
      <c r="AE124" s="1355"/>
      <c r="AF124" s="1356"/>
      <c r="AG124" s="1355"/>
      <c r="AH124" s="1355"/>
    </row>
    <row r="125" spans="1:34">
      <c r="A125" s="2315" t="s">
        <v>6407</v>
      </c>
      <c r="C125" s="3247"/>
      <c r="D125" s="1355"/>
      <c r="E125" s="3247"/>
      <c r="F125" s="2396">
        <v>1</v>
      </c>
      <c r="G125" s="1355"/>
      <c r="H125" s="1356"/>
      <c r="I125" s="1355"/>
      <c r="J125" s="1356"/>
      <c r="K125" s="1355"/>
      <c r="L125" s="1356"/>
      <c r="M125" s="1355"/>
      <c r="N125" s="1356"/>
      <c r="O125" s="1355"/>
      <c r="P125" s="1356"/>
      <c r="Q125" s="1355"/>
      <c r="R125" s="1356"/>
      <c r="S125" s="1355"/>
      <c r="T125" s="1356"/>
      <c r="U125" s="1355"/>
      <c r="V125" s="1356"/>
      <c r="W125" s="1355"/>
      <c r="X125" s="1356"/>
      <c r="Y125" s="1355"/>
      <c r="Z125" s="1356"/>
      <c r="AA125" s="1355"/>
      <c r="AB125" s="1356"/>
      <c r="AC125" s="1355"/>
      <c r="AD125" s="1356"/>
      <c r="AE125" s="1355"/>
      <c r="AF125" s="1356"/>
      <c r="AG125" s="1355"/>
      <c r="AH125" s="1355"/>
    </row>
    <row r="126" spans="1:34">
      <c r="A126" s="2315" t="s">
        <v>6408</v>
      </c>
      <c r="C126" s="3247">
        <v>2</v>
      </c>
      <c r="D126" s="1355">
        <v>4</v>
      </c>
      <c r="E126" s="3247">
        <v>5</v>
      </c>
      <c r="F126" s="2396">
        <v>4</v>
      </c>
      <c r="G126" s="1355">
        <v>5</v>
      </c>
      <c r="H126" s="1356">
        <v>5</v>
      </c>
      <c r="I126" s="1355">
        <v>2</v>
      </c>
      <c r="J126" s="1356">
        <v>2</v>
      </c>
      <c r="K126" s="1355">
        <v>1</v>
      </c>
      <c r="L126" s="1356">
        <v>2</v>
      </c>
      <c r="M126" s="1355">
        <v>1</v>
      </c>
      <c r="N126" s="1356">
        <v>2</v>
      </c>
      <c r="O126" s="1355">
        <v>3</v>
      </c>
      <c r="P126" s="1356">
        <v>3</v>
      </c>
      <c r="Q126" s="1355">
        <v>3</v>
      </c>
      <c r="R126" s="1356">
        <v>2</v>
      </c>
      <c r="S126" s="1355">
        <v>4</v>
      </c>
      <c r="T126" s="1356">
        <v>2</v>
      </c>
      <c r="U126" s="1355">
        <v>4</v>
      </c>
      <c r="V126" s="1356">
        <v>2</v>
      </c>
      <c r="W126" s="1355">
        <v>5</v>
      </c>
      <c r="X126" s="1356">
        <v>2</v>
      </c>
      <c r="Y126" s="1355">
        <v>4</v>
      </c>
      <c r="Z126" s="1356">
        <v>2</v>
      </c>
      <c r="AA126" s="1355">
        <v>4</v>
      </c>
      <c r="AB126" s="1356">
        <v>1</v>
      </c>
      <c r="AC126" s="1355">
        <v>4</v>
      </c>
      <c r="AD126" s="1356">
        <v>1</v>
      </c>
      <c r="AE126" s="1355">
        <v>4</v>
      </c>
      <c r="AF126" s="1356">
        <v>1</v>
      </c>
      <c r="AG126" s="1355"/>
      <c r="AH126" s="1355"/>
    </row>
    <row r="127" spans="1:34">
      <c r="A127" s="2315" t="s">
        <v>6409</v>
      </c>
      <c r="C127" s="3247"/>
      <c r="D127" s="1355"/>
      <c r="E127" s="3247"/>
      <c r="F127" s="2396">
        <v>3</v>
      </c>
      <c r="G127" s="1355"/>
      <c r="H127" s="1356">
        <v>3</v>
      </c>
      <c r="I127" s="1355"/>
      <c r="J127" s="1356"/>
      <c r="K127" s="1355"/>
      <c r="L127" s="1356">
        <v>1</v>
      </c>
      <c r="M127" s="1355"/>
      <c r="N127" s="1356"/>
      <c r="O127" s="1355"/>
      <c r="P127" s="1356"/>
      <c r="Q127" s="1355"/>
      <c r="R127" s="1356"/>
      <c r="S127" s="1355"/>
      <c r="T127" s="1356"/>
      <c r="U127" s="1355"/>
      <c r="V127" s="1356"/>
      <c r="W127" s="1355"/>
      <c r="X127" s="1356"/>
      <c r="Y127" s="1355"/>
      <c r="Z127" s="1356"/>
      <c r="AA127" s="1355"/>
      <c r="AB127" s="1356"/>
      <c r="AC127" s="1355"/>
      <c r="AD127" s="1356"/>
      <c r="AE127" s="1355"/>
      <c r="AF127" s="1356"/>
      <c r="AG127" s="1355"/>
      <c r="AH127" s="1355"/>
    </row>
    <row r="128" spans="1:34">
      <c r="A128" s="2315" t="s">
        <v>6410</v>
      </c>
      <c r="C128" s="3247">
        <v>1</v>
      </c>
      <c r="D128" s="1355">
        <v>1</v>
      </c>
      <c r="E128" s="3247">
        <v>1</v>
      </c>
      <c r="F128" s="2396"/>
      <c r="G128" s="1355">
        <v>1</v>
      </c>
      <c r="H128" s="1356"/>
      <c r="I128" s="1355">
        <v>1</v>
      </c>
      <c r="J128" s="1356"/>
      <c r="K128" s="1355"/>
      <c r="L128" s="1356"/>
      <c r="M128" s="1355">
        <v>1</v>
      </c>
      <c r="N128" s="1356"/>
      <c r="O128" s="1355">
        <v>1</v>
      </c>
      <c r="P128" s="1356">
        <v>0</v>
      </c>
      <c r="Q128" s="1355">
        <v>1</v>
      </c>
      <c r="R128" s="1356">
        <v>0</v>
      </c>
      <c r="S128" s="1355">
        <v>1</v>
      </c>
      <c r="T128" s="1356">
        <v>0</v>
      </c>
      <c r="U128" s="1355">
        <v>1</v>
      </c>
      <c r="V128" s="1356">
        <v>0</v>
      </c>
      <c r="W128" s="1355">
        <v>1</v>
      </c>
      <c r="X128" s="1356">
        <v>0</v>
      </c>
      <c r="Y128" s="1355"/>
      <c r="Z128" s="1356"/>
      <c r="AA128" s="1355"/>
      <c r="AB128" s="1356"/>
      <c r="AC128" s="1355"/>
      <c r="AD128" s="1356"/>
      <c r="AE128" s="1355"/>
      <c r="AF128" s="1356"/>
      <c r="AG128" s="1355"/>
      <c r="AH128" s="1355"/>
    </row>
    <row r="129" spans="1:34">
      <c r="A129" s="2315" t="s">
        <v>6411</v>
      </c>
      <c r="C129" s="3247">
        <v>2</v>
      </c>
      <c r="D129" s="1355"/>
      <c r="E129" s="3247">
        <v>1</v>
      </c>
      <c r="F129" s="2396"/>
      <c r="G129" s="1355"/>
      <c r="H129" s="1356"/>
      <c r="I129" s="1355"/>
      <c r="J129" s="1356"/>
      <c r="K129" s="1355"/>
      <c r="L129" s="1356"/>
      <c r="M129" s="1355"/>
      <c r="N129" s="1356"/>
      <c r="O129" s="1355"/>
      <c r="P129" s="1356"/>
      <c r="Q129" s="1355"/>
      <c r="R129" s="1356"/>
      <c r="S129" s="1355"/>
      <c r="T129" s="1356"/>
      <c r="U129" s="1355"/>
      <c r="V129" s="1356"/>
      <c r="W129" s="1355"/>
      <c r="X129" s="1356"/>
      <c r="Y129" s="1355"/>
      <c r="Z129" s="1356"/>
      <c r="AA129" s="1355"/>
      <c r="AB129" s="1356"/>
      <c r="AC129" s="1355"/>
      <c r="AD129" s="1356"/>
      <c r="AE129" s="1355"/>
      <c r="AF129" s="1356"/>
      <c r="AG129" s="1355"/>
      <c r="AH129" s="1355"/>
    </row>
    <row r="130" spans="1:34">
      <c r="A130" s="2315" t="s">
        <v>6412</v>
      </c>
      <c r="C130" s="3247"/>
      <c r="D130" s="1355"/>
      <c r="E130" s="3247"/>
      <c r="F130" s="2396"/>
      <c r="G130" s="1355"/>
      <c r="H130" s="1356"/>
      <c r="I130" s="1355"/>
      <c r="J130" s="1356"/>
      <c r="K130" s="1355"/>
      <c r="L130" s="1356"/>
      <c r="M130" s="1355"/>
      <c r="N130" s="1356"/>
      <c r="O130" s="1355"/>
      <c r="P130" s="1356"/>
      <c r="Q130" s="1355"/>
      <c r="R130" s="1356"/>
      <c r="S130" s="1355"/>
      <c r="T130" s="1356"/>
      <c r="U130" s="1355"/>
      <c r="V130" s="1356"/>
      <c r="W130" s="1355">
        <v>0</v>
      </c>
      <c r="X130" s="1356">
        <v>1</v>
      </c>
      <c r="Y130" s="1355"/>
      <c r="Z130" s="1356"/>
      <c r="AA130" s="1355"/>
      <c r="AB130" s="1356"/>
      <c r="AC130" s="1355"/>
      <c r="AD130" s="1356"/>
      <c r="AE130" s="1355"/>
      <c r="AF130" s="1356"/>
      <c r="AG130" s="1355"/>
      <c r="AH130" s="1355"/>
    </row>
    <row r="131" spans="1:34">
      <c r="A131" s="2315" t="s">
        <v>6059</v>
      </c>
      <c r="C131" s="3247">
        <v>1</v>
      </c>
      <c r="D131" s="1355">
        <v>3</v>
      </c>
      <c r="E131" s="3247">
        <v>1</v>
      </c>
      <c r="F131" s="2396">
        <v>3</v>
      </c>
      <c r="G131" s="1355">
        <v>3</v>
      </c>
      <c r="H131" s="1356">
        <v>4</v>
      </c>
      <c r="I131" s="1355">
        <v>3</v>
      </c>
      <c r="J131" s="1356">
        <v>4</v>
      </c>
      <c r="K131" s="1355">
        <v>3</v>
      </c>
      <c r="L131" s="1356">
        <v>4</v>
      </c>
      <c r="M131" s="1355">
        <v>3</v>
      </c>
      <c r="N131" s="1356">
        <v>4</v>
      </c>
      <c r="O131" s="1355">
        <v>3</v>
      </c>
      <c r="P131" s="1356">
        <v>4</v>
      </c>
      <c r="Q131" s="1355">
        <v>2</v>
      </c>
      <c r="R131" s="1356">
        <v>4</v>
      </c>
      <c r="S131" s="1355">
        <v>3</v>
      </c>
      <c r="T131" s="1356">
        <v>3</v>
      </c>
      <c r="U131" s="1355">
        <v>2</v>
      </c>
      <c r="V131" s="1356">
        <v>3</v>
      </c>
      <c r="W131" s="1355">
        <v>3</v>
      </c>
      <c r="X131" s="1356">
        <v>3</v>
      </c>
      <c r="Y131" s="1355">
        <v>3</v>
      </c>
      <c r="Z131" s="1356">
        <v>5</v>
      </c>
      <c r="AA131" s="1355">
        <v>3</v>
      </c>
      <c r="AB131" s="1356">
        <v>4</v>
      </c>
      <c r="AC131" s="1355">
        <v>2</v>
      </c>
      <c r="AD131" s="1356">
        <v>4</v>
      </c>
      <c r="AE131" s="1355">
        <v>2</v>
      </c>
      <c r="AF131" s="1356">
        <v>4</v>
      </c>
      <c r="AG131" s="1355">
        <v>3</v>
      </c>
      <c r="AH131" s="1355">
        <v>5</v>
      </c>
    </row>
    <row r="132" spans="1:34">
      <c r="A132" s="2315" t="s">
        <v>6413</v>
      </c>
      <c r="C132" s="3247"/>
      <c r="D132" s="1355"/>
      <c r="E132" s="3247"/>
      <c r="F132" s="2396"/>
      <c r="G132" s="1355"/>
      <c r="H132" s="1356"/>
      <c r="I132" s="1355"/>
      <c r="J132" s="1356"/>
      <c r="K132" s="1355"/>
      <c r="L132" s="1356"/>
      <c r="M132" s="1355"/>
      <c r="N132" s="1356"/>
      <c r="O132" s="1355"/>
      <c r="P132" s="1356"/>
      <c r="Q132" s="1355">
        <v>1</v>
      </c>
      <c r="R132" s="1356">
        <v>1</v>
      </c>
      <c r="S132" s="1355">
        <v>1</v>
      </c>
      <c r="T132" s="1356">
        <v>0</v>
      </c>
      <c r="U132" s="1355">
        <v>1</v>
      </c>
      <c r="V132" s="1356">
        <v>0</v>
      </c>
      <c r="W132" s="1355">
        <v>1</v>
      </c>
      <c r="X132" s="1356">
        <v>0</v>
      </c>
      <c r="Y132" s="1355">
        <v>1</v>
      </c>
      <c r="Z132" s="1356">
        <v>0</v>
      </c>
      <c r="AA132" s="1355">
        <v>1</v>
      </c>
      <c r="AB132" s="1356">
        <v>0</v>
      </c>
      <c r="AC132" s="1355">
        <v>1</v>
      </c>
      <c r="AD132" s="1356">
        <v>0</v>
      </c>
      <c r="AE132" s="1355">
        <v>1</v>
      </c>
      <c r="AF132" s="1356"/>
      <c r="AG132" s="1355"/>
      <c r="AH132" s="1355"/>
    </row>
    <row r="133" spans="1:34">
      <c r="A133" s="2315" t="s">
        <v>6414</v>
      </c>
      <c r="C133" s="3247">
        <v>1</v>
      </c>
      <c r="D133" s="1355"/>
      <c r="E133" s="3247"/>
      <c r="F133" s="2396"/>
      <c r="G133" s="1355"/>
      <c r="H133" s="1356"/>
      <c r="I133" s="1355"/>
      <c r="J133" s="1356"/>
      <c r="K133" s="1355"/>
      <c r="L133" s="1356"/>
      <c r="M133" s="1355"/>
      <c r="N133" s="1356"/>
      <c r="O133" s="1355"/>
      <c r="P133" s="1356"/>
      <c r="Q133" s="1355">
        <v>1</v>
      </c>
      <c r="R133" s="1356">
        <v>0</v>
      </c>
      <c r="S133" s="1355">
        <v>1</v>
      </c>
      <c r="T133" s="1356">
        <v>0</v>
      </c>
      <c r="U133" s="1355">
        <v>0</v>
      </c>
      <c r="V133" s="1356">
        <v>0</v>
      </c>
      <c r="W133" s="1355"/>
      <c r="X133" s="1356"/>
      <c r="Y133" s="1355"/>
      <c r="Z133" s="1356"/>
      <c r="AA133" s="1355">
        <v>1</v>
      </c>
      <c r="AB133" s="1356">
        <v>0</v>
      </c>
      <c r="AC133" s="1355">
        <v>1</v>
      </c>
      <c r="AD133" s="1356">
        <v>0</v>
      </c>
      <c r="AE133" s="1355">
        <v>1</v>
      </c>
      <c r="AF133" s="1356"/>
      <c r="AG133" s="1355"/>
      <c r="AH133" s="1355"/>
    </row>
    <row r="134" spans="1:34">
      <c r="A134" s="2315" t="s">
        <v>5609</v>
      </c>
      <c r="C134" s="3247"/>
      <c r="D134" s="1355"/>
      <c r="E134" s="3247"/>
      <c r="F134" s="2396"/>
      <c r="G134" s="1355"/>
      <c r="H134" s="1356"/>
      <c r="I134" s="1355"/>
      <c r="J134" s="1356"/>
      <c r="K134" s="1355"/>
      <c r="L134" s="1356"/>
      <c r="M134" s="1355"/>
      <c r="N134" s="1356"/>
      <c r="O134" s="1355"/>
      <c r="P134" s="1356"/>
      <c r="Q134" s="1355"/>
      <c r="R134" s="1356"/>
      <c r="S134" s="1355">
        <v>1</v>
      </c>
      <c r="T134" s="1356">
        <v>0</v>
      </c>
      <c r="U134" s="1355">
        <v>2</v>
      </c>
      <c r="V134" s="1356">
        <v>1</v>
      </c>
      <c r="W134" s="1355">
        <v>3</v>
      </c>
      <c r="X134" s="1356">
        <v>3</v>
      </c>
      <c r="Y134" s="1355">
        <v>3</v>
      </c>
      <c r="Z134" s="1356">
        <v>3</v>
      </c>
      <c r="AA134" s="1355">
        <v>3</v>
      </c>
      <c r="AB134" s="1356">
        <v>1</v>
      </c>
      <c r="AC134" s="1355">
        <v>6</v>
      </c>
      <c r="AD134" s="1356">
        <v>3</v>
      </c>
      <c r="AE134" s="1355">
        <v>4</v>
      </c>
      <c r="AF134" s="1356">
        <v>3</v>
      </c>
      <c r="AG134" s="1355"/>
      <c r="AH134" s="1355"/>
    </row>
    <row r="135" spans="1:34">
      <c r="A135" s="2315" t="s">
        <v>6415</v>
      </c>
      <c r="C135" s="3247"/>
      <c r="D135" s="1355">
        <v>4</v>
      </c>
      <c r="E135" s="3247"/>
      <c r="F135" s="2396"/>
      <c r="G135" s="1355"/>
      <c r="H135" s="1356"/>
      <c r="I135" s="1355"/>
      <c r="J135" s="1356"/>
      <c r="K135" s="1355"/>
      <c r="L135" s="1356">
        <v>1</v>
      </c>
      <c r="M135" s="1355"/>
      <c r="N135" s="1356">
        <v>2</v>
      </c>
      <c r="O135" s="1355">
        <v>0</v>
      </c>
      <c r="P135" s="1356">
        <v>2</v>
      </c>
      <c r="Q135" s="1355"/>
      <c r="R135" s="1356"/>
      <c r="S135" s="1355"/>
      <c r="T135" s="1356"/>
      <c r="U135" s="1355"/>
      <c r="V135" s="1356"/>
      <c r="W135" s="1355"/>
      <c r="X135" s="1356"/>
      <c r="Y135" s="1355">
        <v>0</v>
      </c>
      <c r="Z135" s="1356">
        <v>2</v>
      </c>
      <c r="AA135" s="1355">
        <v>0</v>
      </c>
      <c r="AB135" s="1356">
        <v>2</v>
      </c>
      <c r="AC135" s="1355">
        <v>0</v>
      </c>
      <c r="AD135" s="1356">
        <v>2</v>
      </c>
      <c r="AE135" s="1355"/>
      <c r="AF135" s="1356">
        <v>2</v>
      </c>
      <c r="AG135" s="1355"/>
      <c r="AH135" s="1355"/>
    </row>
    <row r="136" spans="1:34">
      <c r="A136" s="2315" t="s">
        <v>6060</v>
      </c>
      <c r="C136" s="3247">
        <v>39</v>
      </c>
      <c r="D136" s="1355">
        <v>27</v>
      </c>
      <c r="E136" s="3247">
        <v>42</v>
      </c>
      <c r="F136" s="2396">
        <v>30</v>
      </c>
      <c r="G136" s="1355">
        <v>40</v>
      </c>
      <c r="H136" s="1356">
        <v>27</v>
      </c>
      <c r="I136" s="1355">
        <v>41</v>
      </c>
      <c r="J136" s="1356">
        <v>27</v>
      </c>
      <c r="K136" s="1355">
        <v>41</v>
      </c>
      <c r="L136" s="1356">
        <v>27</v>
      </c>
      <c r="M136" s="1355">
        <v>39</v>
      </c>
      <c r="N136" s="1356">
        <v>24</v>
      </c>
      <c r="O136" s="1355">
        <v>40</v>
      </c>
      <c r="P136" s="1356">
        <v>26</v>
      </c>
      <c r="Q136" s="1355">
        <v>38</v>
      </c>
      <c r="R136" s="1356">
        <v>35</v>
      </c>
      <c r="S136" s="1355">
        <v>46</v>
      </c>
      <c r="T136" s="1356">
        <v>44</v>
      </c>
      <c r="U136" s="1355">
        <v>48</v>
      </c>
      <c r="V136" s="1356">
        <v>40</v>
      </c>
      <c r="W136" s="1355">
        <v>47</v>
      </c>
      <c r="X136" s="1356">
        <v>44</v>
      </c>
      <c r="Y136" s="1355">
        <v>39</v>
      </c>
      <c r="Z136" s="1356">
        <v>46</v>
      </c>
      <c r="AA136" s="1355">
        <v>42</v>
      </c>
      <c r="AB136" s="1356">
        <v>50</v>
      </c>
      <c r="AC136" s="1355">
        <v>40</v>
      </c>
      <c r="AD136" s="1356">
        <v>50</v>
      </c>
      <c r="AE136" s="1355">
        <v>44</v>
      </c>
      <c r="AF136" s="1356">
        <v>59</v>
      </c>
      <c r="AG136" s="1355">
        <v>48</v>
      </c>
      <c r="AH136" s="1355">
        <v>56</v>
      </c>
    </row>
    <row r="137" spans="1:34">
      <c r="A137" s="2315" t="s">
        <v>6416</v>
      </c>
      <c r="C137" s="3247">
        <v>1</v>
      </c>
      <c r="D137" s="1355"/>
      <c r="E137" s="3247">
        <v>1</v>
      </c>
      <c r="F137" s="2396"/>
      <c r="G137" s="1355">
        <v>1</v>
      </c>
      <c r="H137" s="1356"/>
      <c r="I137" s="1355"/>
      <c r="J137" s="1356"/>
      <c r="K137" s="1355"/>
      <c r="L137" s="1356"/>
      <c r="M137" s="1355"/>
      <c r="N137" s="1356"/>
      <c r="O137" s="1355"/>
      <c r="P137" s="1356"/>
      <c r="Q137" s="1355"/>
      <c r="R137" s="1356"/>
      <c r="S137" s="1355"/>
      <c r="T137" s="1356"/>
      <c r="U137" s="1355"/>
      <c r="V137" s="1356"/>
      <c r="W137" s="1355"/>
      <c r="X137" s="1356"/>
      <c r="Y137" s="1355"/>
      <c r="Z137" s="1356"/>
      <c r="AA137" s="1355"/>
      <c r="AB137" s="1356"/>
      <c r="AC137" s="1355"/>
      <c r="AD137" s="1356"/>
      <c r="AE137" s="1355"/>
      <c r="AF137" s="1356"/>
      <c r="AG137" s="1355"/>
      <c r="AH137" s="1355"/>
    </row>
    <row r="138" spans="1:34">
      <c r="A138" s="2315" t="s">
        <v>8425</v>
      </c>
      <c r="C138" s="3247"/>
      <c r="D138" s="1355"/>
      <c r="E138" s="3247"/>
      <c r="F138" s="2396"/>
      <c r="G138" s="1355"/>
      <c r="H138" s="1356"/>
      <c r="I138" s="1355"/>
      <c r="J138" s="1356"/>
      <c r="K138" s="1355"/>
      <c r="L138" s="1356"/>
      <c r="M138" s="1355"/>
      <c r="N138" s="1356"/>
      <c r="O138" s="1355"/>
      <c r="P138" s="1356"/>
      <c r="Q138" s="1355"/>
      <c r="R138" s="1356"/>
      <c r="S138" s="1355"/>
      <c r="T138" s="1356"/>
      <c r="U138" s="1355"/>
      <c r="V138" s="1356"/>
      <c r="W138" s="1355"/>
      <c r="X138" s="1356"/>
      <c r="Y138" s="1355"/>
      <c r="Z138" s="1356"/>
      <c r="AA138" s="1355"/>
      <c r="AB138" s="1356"/>
      <c r="AC138" s="1355"/>
      <c r="AD138" s="1356"/>
      <c r="AE138" s="1355"/>
      <c r="AF138" s="1356"/>
      <c r="AG138" s="1355">
        <v>1</v>
      </c>
      <c r="AH138" s="1355"/>
    </row>
    <row r="139" spans="1:34">
      <c r="A139" s="2315" t="s">
        <v>6417</v>
      </c>
      <c r="C139" s="3247"/>
      <c r="D139" s="1355"/>
      <c r="E139" s="3247"/>
      <c r="F139" s="2396"/>
      <c r="G139" s="1355"/>
      <c r="H139" s="1356">
        <v>1</v>
      </c>
      <c r="I139" s="1355"/>
      <c r="J139" s="1356"/>
      <c r="K139" s="1355"/>
      <c r="L139" s="1356"/>
      <c r="M139" s="1355"/>
      <c r="N139" s="1356"/>
      <c r="O139" s="1355"/>
      <c r="P139" s="1356"/>
      <c r="Q139" s="1355"/>
      <c r="R139" s="1356"/>
      <c r="S139" s="1355"/>
      <c r="T139" s="1356"/>
      <c r="U139" s="1355"/>
      <c r="V139" s="1356"/>
      <c r="W139" s="1355"/>
      <c r="X139" s="1356"/>
      <c r="Y139" s="1355"/>
      <c r="Z139" s="1356"/>
      <c r="AA139" s="1355"/>
      <c r="AB139" s="1356"/>
      <c r="AC139" s="1355"/>
      <c r="AD139" s="1356"/>
      <c r="AE139" s="1355"/>
      <c r="AF139" s="1356"/>
      <c r="AG139" s="1355"/>
      <c r="AH139" s="1355"/>
    </row>
    <row r="140" spans="1:34">
      <c r="A140" s="2315" t="s">
        <v>6418</v>
      </c>
      <c r="C140" s="3247"/>
      <c r="D140" s="1355"/>
      <c r="E140" s="3247"/>
      <c r="F140" s="2396"/>
      <c r="G140" s="1355"/>
      <c r="H140" s="1356"/>
      <c r="I140" s="1355"/>
      <c r="J140" s="1356"/>
      <c r="K140" s="1355">
        <v>1</v>
      </c>
      <c r="L140" s="1356"/>
      <c r="M140" s="1355">
        <v>3</v>
      </c>
      <c r="N140" s="1356">
        <v>2</v>
      </c>
      <c r="O140" s="1355">
        <v>4</v>
      </c>
      <c r="P140" s="1356">
        <v>2</v>
      </c>
      <c r="Q140" s="1355">
        <v>3</v>
      </c>
      <c r="R140" s="1356">
        <v>0</v>
      </c>
      <c r="S140" s="1355">
        <v>4</v>
      </c>
      <c r="T140" s="1356">
        <v>0</v>
      </c>
      <c r="U140" s="1355">
        <v>4</v>
      </c>
      <c r="V140" s="1356">
        <v>2</v>
      </c>
      <c r="W140" s="1355">
        <v>4</v>
      </c>
      <c r="X140" s="1356">
        <v>3</v>
      </c>
      <c r="Y140" s="1355">
        <v>1</v>
      </c>
      <c r="Z140" s="1356">
        <v>3</v>
      </c>
      <c r="AA140" s="1355">
        <v>1</v>
      </c>
      <c r="AB140" s="1356">
        <v>2</v>
      </c>
      <c r="AC140" s="1355">
        <v>1</v>
      </c>
      <c r="AD140" s="1356">
        <v>2</v>
      </c>
      <c r="AE140" s="1355">
        <v>1</v>
      </c>
      <c r="AF140" s="1356">
        <v>2</v>
      </c>
      <c r="AG140" s="1355">
        <v>1</v>
      </c>
      <c r="AH140" s="1355">
        <v>2</v>
      </c>
    </row>
    <row r="141" spans="1:34">
      <c r="A141" s="2315" t="s">
        <v>6419</v>
      </c>
      <c r="C141" s="3247"/>
      <c r="D141" s="1355"/>
      <c r="E141" s="3247">
        <v>1</v>
      </c>
      <c r="F141" s="2396"/>
      <c r="G141" s="1355">
        <v>1</v>
      </c>
      <c r="H141" s="1356"/>
      <c r="I141" s="1355">
        <v>1</v>
      </c>
      <c r="J141" s="1356"/>
      <c r="K141" s="1355"/>
      <c r="L141" s="1356"/>
      <c r="M141" s="1355"/>
      <c r="N141" s="1356"/>
      <c r="O141" s="1355"/>
      <c r="P141" s="1356"/>
      <c r="Q141" s="1355"/>
      <c r="R141" s="1356"/>
      <c r="S141" s="1355"/>
      <c r="T141" s="1356"/>
      <c r="U141" s="1355"/>
      <c r="V141" s="1356"/>
      <c r="W141" s="1355"/>
      <c r="X141" s="1356"/>
      <c r="Y141" s="1355"/>
      <c r="Z141" s="1356"/>
      <c r="AA141" s="1355"/>
      <c r="AB141" s="1356"/>
      <c r="AC141" s="1355"/>
      <c r="AD141" s="1356"/>
      <c r="AE141" s="1355"/>
      <c r="AF141" s="1356"/>
      <c r="AG141" s="1355"/>
      <c r="AH141" s="1355"/>
    </row>
    <row r="142" spans="1:34">
      <c r="A142" s="2315" t="s">
        <v>6420</v>
      </c>
      <c r="C142" s="3247"/>
      <c r="D142" s="1355"/>
      <c r="E142" s="3247"/>
      <c r="F142" s="2396"/>
      <c r="G142" s="1355"/>
      <c r="H142" s="1356"/>
      <c r="I142" s="1355"/>
      <c r="J142" s="1356"/>
      <c r="K142" s="1355"/>
      <c r="L142" s="1356"/>
      <c r="M142" s="1355"/>
      <c r="N142" s="1356"/>
      <c r="O142" s="1355">
        <v>1</v>
      </c>
      <c r="P142" s="1356">
        <v>0</v>
      </c>
      <c r="Q142" s="1355">
        <v>1</v>
      </c>
      <c r="R142" s="1356">
        <v>0</v>
      </c>
      <c r="S142" s="1355">
        <v>1</v>
      </c>
      <c r="T142" s="1356">
        <v>0</v>
      </c>
      <c r="U142" s="1355">
        <v>2</v>
      </c>
      <c r="V142" s="1356">
        <v>0</v>
      </c>
      <c r="W142" s="1355">
        <v>1</v>
      </c>
      <c r="X142" s="1356">
        <v>0</v>
      </c>
      <c r="Y142" s="1355">
        <v>1</v>
      </c>
      <c r="Z142" s="1356">
        <v>0</v>
      </c>
      <c r="AA142" s="1355">
        <v>1</v>
      </c>
      <c r="AB142" s="1356">
        <v>0</v>
      </c>
      <c r="AC142" s="1355">
        <v>0</v>
      </c>
      <c r="AD142" s="1356">
        <v>1</v>
      </c>
      <c r="AE142" s="1355">
        <v>1</v>
      </c>
      <c r="AF142" s="1356">
        <v>2</v>
      </c>
      <c r="AG142" s="1355"/>
      <c r="AH142" s="1355"/>
    </row>
    <row r="143" spans="1:34">
      <c r="A143" s="2315" t="s">
        <v>6421</v>
      </c>
      <c r="C143" s="3247"/>
      <c r="D143" s="1355"/>
      <c r="E143" s="3247"/>
      <c r="F143" s="2396"/>
      <c r="G143" s="1355"/>
      <c r="H143" s="1356"/>
      <c r="I143" s="1355"/>
      <c r="J143" s="1356"/>
      <c r="K143" s="1355"/>
      <c r="L143" s="1356"/>
      <c r="M143" s="1355"/>
      <c r="N143" s="1356"/>
      <c r="O143" s="1355"/>
      <c r="P143" s="1356"/>
      <c r="Q143" s="1355"/>
      <c r="R143" s="1356"/>
      <c r="S143" s="1355">
        <v>0</v>
      </c>
      <c r="T143" s="1356">
        <v>1</v>
      </c>
      <c r="U143" s="1355">
        <v>0</v>
      </c>
      <c r="V143" s="1356">
        <v>1</v>
      </c>
      <c r="W143" s="1355">
        <v>0</v>
      </c>
      <c r="X143" s="1356">
        <v>2</v>
      </c>
      <c r="Y143" s="1355">
        <v>0</v>
      </c>
      <c r="Z143" s="1356">
        <v>3</v>
      </c>
      <c r="AA143" s="1355">
        <v>0</v>
      </c>
      <c r="AB143" s="1356">
        <v>3</v>
      </c>
      <c r="AC143" s="1355">
        <v>0</v>
      </c>
      <c r="AD143" s="1356">
        <v>4</v>
      </c>
      <c r="AE143" s="1355">
        <v>0</v>
      </c>
      <c r="AF143" s="1356">
        <v>4</v>
      </c>
      <c r="AG143" s="1355"/>
      <c r="AH143" s="1355"/>
    </row>
    <row r="144" spans="1:34">
      <c r="A144" s="2315" t="s">
        <v>6422</v>
      </c>
      <c r="C144" s="3247"/>
      <c r="D144" s="1355"/>
      <c r="E144" s="3247"/>
      <c r="F144" s="2396"/>
      <c r="G144" s="1355"/>
      <c r="H144" s="1356"/>
      <c r="I144" s="1355"/>
      <c r="J144" s="1356"/>
      <c r="K144" s="1355"/>
      <c r="L144" s="1356"/>
      <c r="M144" s="1355"/>
      <c r="N144" s="1356"/>
      <c r="O144" s="1355"/>
      <c r="P144" s="1356"/>
      <c r="Q144" s="1355"/>
      <c r="R144" s="1356"/>
      <c r="S144" s="1355"/>
      <c r="T144" s="1356"/>
      <c r="U144" s="1355">
        <v>4</v>
      </c>
      <c r="V144" s="1356">
        <v>1</v>
      </c>
      <c r="W144" s="1355">
        <v>6</v>
      </c>
      <c r="X144" s="1356">
        <v>1</v>
      </c>
      <c r="Y144" s="1355">
        <v>4</v>
      </c>
      <c r="Z144" s="1356">
        <v>2</v>
      </c>
      <c r="AA144" s="1355">
        <v>4</v>
      </c>
      <c r="AB144" s="1356">
        <v>2</v>
      </c>
      <c r="AC144" s="1355">
        <v>2</v>
      </c>
      <c r="AD144" s="1356">
        <v>2</v>
      </c>
      <c r="AE144" s="1355">
        <v>1</v>
      </c>
      <c r="AF144" s="1356">
        <v>1</v>
      </c>
      <c r="AG144" s="1355"/>
      <c r="AH144" s="1355"/>
    </row>
    <row r="145" spans="1:34">
      <c r="A145" s="2315" t="s">
        <v>5610</v>
      </c>
      <c r="C145" s="3247"/>
      <c r="D145" s="1355">
        <v>1</v>
      </c>
      <c r="E145" s="3247"/>
      <c r="F145" s="2396"/>
      <c r="G145" s="1355">
        <v>1</v>
      </c>
      <c r="H145" s="1356"/>
      <c r="I145" s="1355">
        <v>2</v>
      </c>
      <c r="J145" s="1356"/>
      <c r="K145" s="1355">
        <v>1</v>
      </c>
      <c r="L145" s="1356"/>
      <c r="M145" s="1355">
        <v>1</v>
      </c>
      <c r="N145" s="1356"/>
      <c r="O145" s="1355"/>
      <c r="P145" s="1356"/>
      <c r="Q145" s="1355"/>
      <c r="R145" s="1356"/>
      <c r="S145" s="1355">
        <v>1</v>
      </c>
      <c r="T145" s="1356">
        <v>1</v>
      </c>
      <c r="U145" s="1355">
        <v>2</v>
      </c>
      <c r="V145" s="1356">
        <v>1</v>
      </c>
      <c r="W145" s="1355">
        <v>2</v>
      </c>
      <c r="X145" s="1356">
        <v>0</v>
      </c>
      <c r="Y145" s="1355">
        <v>2</v>
      </c>
      <c r="Z145" s="1356">
        <v>0</v>
      </c>
      <c r="AA145" s="1355">
        <v>2</v>
      </c>
      <c r="AB145" s="1356">
        <v>0</v>
      </c>
      <c r="AC145" s="1355">
        <v>2</v>
      </c>
      <c r="AD145" s="1356">
        <v>0</v>
      </c>
      <c r="AE145" s="1355">
        <v>1</v>
      </c>
      <c r="AF145" s="1356">
        <v>1</v>
      </c>
      <c r="AG145" s="1355"/>
      <c r="AH145" s="1355"/>
    </row>
    <row r="146" spans="1:34">
      <c r="A146" s="2315" t="s">
        <v>6423</v>
      </c>
      <c r="C146" s="3247">
        <v>3</v>
      </c>
      <c r="D146" s="1355"/>
      <c r="E146" s="3247">
        <v>3</v>
      </c>
      <c r="F146" s="2396"/>
      <c r="G146" s="1355">
        <v>4</v>
      </c>
      <c r="H146" s="1356"/>
      <c r="I146" s="1355">
        <v>4</v>
      </c>
      <c r="J146" s="1356"/>
      <c r="K146" s="1355">
        <v>5</v>
      </c>
      <c r="L146" s="1356"/>
      <c r="M146" s="1355">
        <v>5</v>
      </c>
      <c r="N146" s="1356"/>
      <c r="O146" s="1355">
        <v>4</v>
      </c>
      <c r="P146" s="1356">
        <v>0</v>
      </c>
      <c r="Q146" s="1355">
        <v>3</v>
      </c>
      <c r="R146" s="1356">
        <v>0</v>
      </c>
      <c r="S146" s="1355">
        <v>5</v>
      </c>
      <c r="T146" s="1356">
        <v>0</v>
      </c>
      <c r="U146" s="1355">
        <v>6</v>
      </c>
      <c r="V146" s="1356">
        <v>0</v>
      </c>
      <c r="W146" s="1355">
        <v>7</v>
      </c>
      <c r="X146" s="1356">
        <v>1</v>
      </c>
      <c r="Y146" s="1355">
        <v>8</v>
      </c>
      <c r="Z146" s="1356">
        <v>1</v>
      </c>
      <c r="AA146" s="1355">
        <v>9</v>
      </c>
      <c r="AB146" s="1356">
        <v>2</v>
      </c>
      <c r="AC146" s="1355">
        <v>9</v>
      </c>
      <c r="AD146" s="1356">
        <v>0</v>
      </c>
      <c r="AE146" s="1355">
        <v>9</v>
      </c>
      <c r="AF146" s="1356">
        <v>0</v>
      </c>
      <c r="AG146" s="1355">
        <v>7</v>
      </c>
      <c r="AH146" s="1355">
        <v>1</v>
      </c>
    </row>
    <row r="147" spans="1:34">
      <c r="A147" s="2315" t="s">
        <v>6424</v>
      </c>
      <c r="C147" s="3247"/>
      <c r="D147" s="1355"/>
      <c r="E147" s="3247"/>
      <c r="F147" s="2396"/>
      <c r="G147" s="1355"/>
      <c r="H147" s="1356"/>
      <c r="I147" s="1355"/>
      <c r="J147" s="1356"/>
      <c r="K147" s="1355"/>
      <c r="L147" s="1356"/>
      <c r="M147" s="1355"/>
      <c r="N147" s="1356"/>
      <c r="O147" s="1355"/>
      <c r="P147" s="1356"/>
      <c r="Q147" s="1355"/>
      <c r="R147" s="1356"/>
      <c r="S147" s="1355">
        <v>0</v>
      </c>
      <c r="T147" s="1356">
        <v>1</v>
      </c>
      <c r="U147" s="1355">
        <v>0</v>
      </c>
      <c r="V147" s="1356">
        <v>1</v>
      </c>
      <c r="W147" s="1355">
        <v>0</v>
      </c>
      <c r="X147" s="1356">
        <v>1</v>
      </c>
      <c r="Y147" s="1355">
        <v>0</v>
      </c>
      <c r="Z147" s="1356">
        <v>1</v>
      </c>
      <c r="AA147" s="1355">
        <v>0</v>
      </c>
      <c r="AB147" s="1356">
        <v>1</v>
      </c>
      <c r="AC147" s="1355">
        <v>0</v>
      </c>
      <c r="AD147" s="1356">
        <v>2</v>
      </c>
      <c r="AE147" s="1355"/>
      <c r="AF147" s="1356"/>
      <c r="AG147" s="1355"/>
      <c r="AH147" s="1355"/>
    </row>
    <row r="148" spans="1:34">
      <c r="A148" s="2315" t="s">
        <v>6425</v>
      </c>
      <c r="C148" s="3247"/>
      <c r="D148" s="1355"/>
      <c r="E148" s="3247"/>
      <c r="F148" s="2396"/>
      <c r="G148" s="1355"/>
      <c r="H148" s="1356"/>
      <c r="I148" s="1355"/>
      <c r="J148" s="1356"/>
      <c r="K148" s="1355"/>
      <c r="L148" s="1356"/>
      <c r="M148" s="1355"/>
      <c r="N148" s="1356"/>
      <c r="O148" s="1355">
        <v>1</v>
      </c>
      <c r="P148" s="1356">
        <v>0</v>
      </c>
      <c r="Q148" s="1355">
        <v>1</v>
      </c>
      <c r="R148" s="1356">
        <v>0</v>
      </c>
      <c r="S148" s="1355">
        <v>1</v>
      </c>
      <c r="T148" s="1356">
        <v>0</v>
      </c>
      <c r="U148" s="1355">
        <v>1</v>
      </c>
      <c r="V148" s="1356">
        <v>0</v>
      </c>
      <c r="W148" s="1355">
        <v>1</v>
      </c>
      <c r="X148" s="1356">
        <v>0</v>
      </c>
      <c r="Y148" s="1355">
        <v>1</v>
      </c>
      <c r="Z148" s="1356">
        <v>0</v>
      </c>
      <c r="AA148" s="1355"/>
      <c r="AB148" s="1356"/>
      <c r="AC148" s="1355"/>
      <c r="AD148" s="1356"/>
      <c r="AE148" s="1355"/>
      <c r="AF148" s="1356"/>
      <c r="AG148" s="1355"/>
      <c r="AH148" s="1355"/>
    </row>
    <row r="149" spans="1:34">
      <c r="A149" s="2315" t="s">
        <v>6426</v>
      </c>
      <c r="C149" s="3247"/>
      <c r="D149" s="1355"/>
      <c r="E149" s="3247"/>
      <c r="F149" s="2396"/>
      <c r="G149" s="1355"/>
      <c r="H149" s="1356"/>
      <c r="I149" s="1355">
        <v>2</v>
      </c>
      <c r="J149" s="1356"/>
      <c r="K149" s="1355"/>
      <c r="L149" s="1356"/>
      <c r="M149" s="1355"/>
      <c r="N149" s="1356"/>
      <c r="O149" s="1355"/>
      <c r="P149" s="1356"/>
      <c r="Q149" s="1355"/>
      <c r="R149" s="1356"/>
      <c r="S149" s="1355"/>
      <c r="T149" s="1356"/>
      <c r="U149" s="1355"/>
      <c r="V149" s="1356"/>
      <c r="W149" s="1355"/>
      <c r="X149" s="1356"/>
      <c r="Y149" s="1355"/>
      <c r="Z149" s="1356"/>
      <c r="AA149" s="1355">
        <v>0</v>
      </c>
      <c r="AB149" s="1356">
        <v>1</v>
      </c>
      <c r="AC149" s="1355"/>
      <c r="AD149" s="1356"/>
      <c r="AE149" s="1355"/>
      <c r="AF149" s="1356"/>
      <c r="AG149" s="1355"/>
      <c r="AH149" s="1355"/>
    </row>
    <row r="150" spans="1:34">
      <c r="A150" s="2315" t="s">
        <v>6427</v>
      </c>
      <c r="C150" s="3247"/>
      <c r="D150" s="1355"/>
      <c r="E150" s="3247"/>
      <c r="F150" s="2396"/>
      <c r="G150" s="1355"/>
      <c r="H150" s="1356"/>
      <c r="I150" s="1355"/>
      <c r="J150" s="1356"/>
      <c r="K150" s="1355"/>
      <c r="L150" s="1356"/>
      <c r="M150" s="1355"/>
      <c r="N150" s="1356"/>
      <c r="O150" s="1355"/>
      <c r="P150" s="1356"/>
      <c r="Q150" s="1355"/>
      <c r="R150" s="1356"/>
      <c r="S150" s="1355"/>
      <c r="T150" s="1356"/>
      <c r="U150" s="1355"/>
      <c r="V150" s="1356"/>
      <c r="W150" s="1355"/>
      <c r="X150" s="1356"/>
      <c r="Y150" s="1355"/>
      <c r="Z150" s="1356"/>
      <c r="AA150" s="1355">
        <v>0</v>
      </c>
      <c r="AB150" s="1356">
        <v>1</v>
      </c>
      <c r="AC150" s="1355">
        <v>0</v>
      </c>
      <c r="AD150" s="1356">
        <v>1</v>
      </c>
      <c r="AE150" s="1355"/>
      <c r="AF150" s="1356"/>
      <c r="AG150" s="1355"/>
      <c r="AH150" s="1355"/>
    </row>
    <row r="151" spans="1:34">
      <c r="A151" s="2315" t="s">
        <v>6428</v>
      </c>
      <c r="C151" s="3247"/>
      <c r="D151" s="1355"/>
      <c r="E151" s="3247"/>
      <c r="F151" s="2396"/>
      <c r="G151" s="1355"/>
      <c r="H151" s="1356">
        <v>3</v>
      </c>
      <c r="I151" s="1355"/>
      <c r="J151" s="1356">
        <v>3</v>
      </c>
      <c r="K151" s="1355"/>
      <c r="L151" s="1356">
        <v>3</v>
      </c>
      <c r="M151" s="1355"/>
      <c r="N151" s="1356"/>
      <c r="O151" s="1355"/>
      <c r="P151" s="1356"/>
      <c r="Q151" s="1355"/>
      <c r="R151" s="1356"/>
      <c r="S151" s="1355">
        <v>1</v>
      </c>
      <c r="T151" s="1356">
        <v>0</v>
      </c>
      <c r="U151" s="1355">
        <v>1</v>
      </c>
      <c r="V151" s="1356">
        <v>0</v>
      </c>
      <c r="W151" s="1355">
        <v>1</v>
      </c>
      <c r="X151" s="1356">
        <v>0</v>
      </c>
      <c r="Y151" s="1355">
        <v>1</v>
      </c>
      <c r="Z151" s="1356">
        <v>0</v>
      </c>
      <c r="AA151" s="1355">
        <v>1</v>
      </c>
      <c r="AB151" s="1356">
        <v>0</v>
      </c>
      <c r="AC151" s="1355">
        <v>1</v>
      </c>
      <c r="AD151" s="1356">
        <v>0</v>
      </c>
      <c r="AE151" s="1355"/>
      <c r="AF151" s="1356"/>
      <c r="AG151" s="1355"/>
      <c r="AH151" s="1355">
        <v>2</v>
      </c>
    </row>
    <row r="152" spans="1:34">
      <c r="A152" s="2315" t="s">
        <v>6429</v>
      </c>
      <c r="C152" s="3247"/>
      <c r="D152" s="1355"/>
      <c r="E152" s="3247"/>
      <c r="F152" s="2396"/>
      <c r="G152" s="1355">
        <v>1</v>
      </c>
      <c r="H152" s="1356"/>
      <c r="I152" s="1355"/>
      <c r="J152" s="1356"/>
      <c r="K152" s="1355"/>
      <c r="L152" s="1356"/>
      <c r="M152" s="1355"/>
      <c r="N152" s="1356"/>
      <c r="O152" s="1355"/>
      <c r="P152" s="1356"/>
      <c r="Q152" s="1355"/>
      <c r="R152" s="1356"/>
      <c r="S152" s="1355"/>
      <c r="T152" s="1356"/>
      <c r="U152" s="1355"/>
      <c r="V152" s="1356"/>
      <c r="W152" s="1355"/>
      <c r="X152" s="1356"/>
      <c r="Y152" s="1355"/>
      <c r="Z152" s="1356"/>
      <c r="AA152" s="1355"/>
      <c r="AB152" s="1356"/>
      <c r="AC152" s="1355">
        <v>0</v>
      </c>
      <c r="AD152" s="1356">
        <v>1</v>
      </c>
      <c r="AE152" s="1355"/>
      <c r="AF152" s="1356"/>
      <c r="AG152" s="1355"/>
      <c r="AH152" s="1355"/>
    </row>
    <row r="153" spans="1:34">
      <c r="A153" s="2315" t="s">
        <v>6430</v>
      </c>
      <c r="C153" s="3247"/>
      <c r="D153" s="1355"/>
      <c r="E153" s="3247"/>
      <c r="F153" s="2396"/>
      <c r="G153" s="1355"/>
      <c r="H153" s="1356"/>
      <c r="I153" s="1355"/>
      <c r="J153" s="1356"/>
      <c r="K153" s="1355"/>
      <c r="L153" s="1356">
        <v>1</v>
      </c>
      <c r="M153" s="1355"/>
      <c r="N153" s="1356">
        <v>1</v>
      </c>
      <c r="O153" s="1355"/>
      <c r="P153" s="1356"/>
      <c r="Q153" s="1355">
        <v>0</v>
      </c>
      <c r="R153" s="1356">
        <v>1</v>
      </c>
      <c r="S153" s="1355">
        <v>0</v>
      </c>
      <c r="T153" s="1356">
        <v>1</v>
      </c>
      <c r="U153" s="1355">
        <v>0</v>
      </c>
      <c r="V153" s="1356">
        <v>1</v>
      </c>
      <c r="W153" s="1355">
        <v>0</v>
      </c>
      <c r="X153" s="1356">
        <v>1</v>
      </c>
      <c r="Y153" s="1355">
        <v>0</v>
      </c>
      <c r="Z153" s="1356">
        <v>1</v>
      </c>
      <c r="AA153" s="1355">
        <v>0</v>
      </c>
      <c r="AB153" s="1356">
        <v>1</v>
      </c>
      <c r="AC153" s="1355"/>
      <c r="AD153" s="1356"/>
      <c r="AE153" s="1355"/>
      <c r="AF153" s="1356">
        <v>1</v>
      </c>
      <c r="AG153" s="1355"/>
      <c r="AH153" s="1355">
        <v>1</v>
      </c>
    </row>
    <row r="154" spans="1:34">
      <c r="A154" s="2315" t="s">
        <v>6431</v>
      </c>
      <c r="C154" s="3247"/>
      <c r="D154" s="1355">
        <v>1</v>
      </c>
      <c r="E154" s="3247"/>
      <c r="F154" s="2396">
        <v>1</v>
      </c>
      <c r="G154" s="1355"/>
      <c r="H154" s="1356">
        <v>1</v>
      </c>
      <c r="I154" s="1355"/>
      <c r="J154" s="1356">
        <v>1</v>
      </c>
      <c r="K154" s="1355"/>
      <c r="L154" s="1356">
        <v>1</v>
      </c>
      <c r="M154" s="1355"/>
      <c r="N154" s="1356">
        <v>1</v>
      </c>
      <c r="O154" s="1355">
        <v>0</v>
      </c>
      <c r="P154" s="1356">
        <v>1</v>
      </c>
      <c r="Q154" s="1355">
        <v>0</v>
      </c>
      <c r="R154" s="1356">
        <v>1</v>
      </c>
      <c r="S154" s="1355">
        <v>0</v>
      </c>
      <c r="T154" s="1356">
        <v>2</v>
      </c>
      <c r="U154" s="1355">
        <v>0</v>
      </c>
      <c r="V154" s="1356">
        <v>2</v>
      </c>
      <c r="W154" s="1355">
        <v>0</v>
      </c>
      <c r="X154" s="1356">
        <v>1</v>
      </c>
      <c r="Y154" s="1355">
        <v>0</v>
      </c>
      <c r="Z154" s="1356">
        <v>1</v>
      </c>
      <c r="AA154" s="1355">
        <v>0</v>
      </c>
      <c r="AB154" s="1356">
        <v>1</v>
      </c>
      <c r="AC154" s="1355">
        <v>0</v>
      </c>
      <c r="AD154" s="1356">
        <v>1</v>
      </c>
      <c r="AE154" s="1355"/>
      <c r="AF154" s="1356"/>
      <c r="AG154" s="1355"/>
      <c r="AH154" s="1355"/>
    </row>
    <row r="155" spans="1:34">
      <c r="A155" s="2315" t="s">
        <v>6432</v>
      </c>
      <c r="C155" s="3247"/>
      <c r="D155" s="1355">
        <v>1</v>
      </c>
      <c r="E155" s="3247"/>
      <c r="F155" s="2396"/>
      <c r="G155" s="1355"/>
      <c r="H155" s="1356">
        <v>1</v>
      </c>
      <c r="I155" s="1355"/>
      <c r="J155" s="1356">
        <v>1</v>
      </c>
      <c r="K155" s="1355"/>
      <c r="L155" s="1356">
        <v>1</v>
      </c>
      <c r="M155" s="1355"/>
      <c r="N155" s="1356"/>
      <c r="O155" s="1355"/>
      <c r="P155" s="1356"/>
      <c r="Q155" s="1355"/>
      <c r="R155" s="1356"/>
      <c r="S155" s="1355">
        <v>1</v>
      </c>
      <c r="T155" s="1356">
        <v>1</v>
      </c>
      <c r="U155" s="1355">
        <v>1</v>
      </c>
      <c r="V155" s="1356">
        <v>0</v>
      </c>
      <c r="W155" s="1355">
        <v>1</v>
      </c>
      <c r="X155" s="1356">
        <v>0</v>
      </c>
      <c r="Y155" s="1355">
        <v>0</v>
      </c>
      <c r="Z155" s="1356">
        <v>2</v>
      </c>
      <c r="AA155" s="1355">
        <v>0</v>
      </c>
      <c r="AB155" s="1356">
        <v>1</v>
      </c>
      <c r="AC155" s="1355">
        <v>0</v>
      </c>
      <c r="AD155" s="1356">
        <v>2</v>
      </c>
      <c r="AE155" s="1355">
        <v>2</v>
      </c>
      <c r="AF155" s="1356">
        <v>1</v>
      </c>
      <c r="AG155" s="1355"/>
      <c r="AH155" s="1355"/>
    </row>
    <row r="156" spans="1:34">
      <c r="A156" s="2315" t="s">
        <v>8314</v>
      </c>
      <c r="C156" s="3247"/>
      <c r="D156" s="1355"/>
      <c r="E156" s="3247"/>
      <c r="F156" s="2396"/>
      <c r="G156" s="1355"/>
      <c r="H156" s="1356"/>
      <c r="I156" s="1355"/>
      <c r="J156" s="1356"/>
      <c r="K156" s="1355"/>
      <c r="L156" s="1356"/>
      <c r="M156" s="1355"/>
      <c r="N156" s="1356"/>
      <c r="O156" s="1355"/>
      <c r="P156" s="1356"/>
      <c r="Q156" s="1355"/>
      <c r="R156" s="1356"/>
      <c r="S156" s="1355"/>
      <c r="T156" s="1356"/>
      <c r="U156" s="1355"/>
      <c r="V156" s="1356"/>
      <c r="W156" s="1355"/>
      <c r="X156" s="1356"/>
      <c r="Y156" s="1355"/>
      <c r="Z156" s="1356"/>
      <c r="AA156" s="1355"/>
      <c r="AB156" s="1356"/>
      <c r="AC156" s="1355"/>
      <c r="AD156" s="1356"/>
      <c r="AE156" s="1355"/>
      <c r="AF156" s="1356"/>
      <c r="AG156" s="1355"/>
      <c r="AH156" s="1355">
        <v>1</v>
      </c>
    </row>
    <row r="157" spans="1:34">
      <c r="A157" s="2315" t="s">
        <v>6433</v>
      </c>
      <c r="C157" s="3247"/>
      <c r="D157" s="1355"/>
      <c r="E157" s="3247"/>
      <c r="F157" s="2396"/>
      <c r="G157" s="1355"/>
      <c r="H157" s="1356"/>
      <c r="I157" s="1355"/>
      <c r="J157" s="1356"/>
      <c r="K157" s="1355"/>
      <c r="L157" s="1356"/>
      <c r="M157" s="1355">
        <v>1</v>
      </c>
      <c r="N157" s="1356"/>
      <c r="O157" s="1355">
        <v>1</v>
      </c>
      <c r="P157" s="1356">
        <v>0</v>
      </c>
      <c r="Q157" s="1355">
        <v>1</v>
      </c>
      <c r="R157" s="1356">
        <v>0</v>
      </c>
      <c r="S157" s="1355">
        <v>1</v>
      </c>
      <c r="T157" s="1356">
        <v>0</v>
      </c>
      <c r="U157" s="1355">
        <v>1</v>
      </c>
      <c r="V157" s="1356">
        <v>0</v>
      </c>
      <c r="W157" s="1355">
        <v>1</v>
      </c>
      <c r="X157" s="1356">
        <v>0</v>
      </c>
      <c r="Y157" s="1355"/>
      <c r="Z157" s="1356"/>
      <c r="AA157" s="1355"/>
      <c r="AB157" s="1356"/>
      <c r="AC157" s="1355">
        <v>1</v>
      </c>
      <c r="AD157" s="1356">
        <v>1</v>
      </c>
      <c r="AE157" s="1355"/>
      <c r="AF157" s="1356"/>
      <c r="AG157" s="1355"/>
      <c r="AH157" s="1355"/>
    </row>
    <row r="158" spans="1:34">
      <c r="A158" s="2315" t="s">
        <v>6434</v>
      </c>
      <c r="C158" s="3247"/>
      <c r="D158" s="1355">
        <v>1</v>
      </c>
      <c r="E158" s="3247"/>
      <c r="F158" s="2396">
        <v>2</v>
      </c>
      <c r="G158" s="1355"/>
      <c r="H158" s="1356">
        <v>2</v>
      </c>
      <c r="I158" s="1355"/>
      <c r="J158" s="1356">
        <v>2</v>
      </c>
      <c r="K158" s="1355"/>
      <c r="L158" s="1356">
        <v>2</v>
      </c>
      <c r="M158" s="1355"/>
      <c r="N158" s="1356">
        <v>2</v>
      </c>
      <c r="O158" s="1355">
        <v>0</v>
      </c>
      <c r="P158" s="1356">
        <v>1</v>
      </c>
      <c r="Q158" s="1355">
        <v>1</v>
      </c>
      <c r="R158" s="1356">
        <v>1</v>
      </c>
      <c r="S158" s="1355">
        <v>0</v>
      </c>
      <c r="T158" s="1356">
        <v>1</v>
      </c>
      <c r="U158" s="1355">
        <v>0</v>
      </c>
      <c r="V158" s="1356">
        <v>1</v>
      </c>
      <c r="W158" s="1355">
        <v>0</v>
      </c>
      <c r="X158" s="1356">
        <v>1</v>
      </c>
      <c r="Y158" s="1355"/>
      <c r="Z158" s="1356"/>
      <c r="AA158" s="1355"/>
      <c r="AB158" s="1356"/>
      <c r="AC158" s="1355"/>
      <c r="AD158" s="1356"/>
      <c r="AE158" s="1355"/>
      <c r="AF158" s="1356"/>
      <c r="AG158" s="1355"/>
      <c r="AH158" s="1355"/>
    </row>
    <row r="159" spans="1:34">
      <c r="A159" s="2315" t="s">
        <v>6435</v>
      </c>
      <c r="C159" s="3247"/>
      <c r="D159" s="1355">
        <v>1</v>
      </c>
      <c r="E159" s="3247"/>
      <c r="F159" s="2396"/>
      <c r="G159" s="1355"/>
      <c r="H159" s="1356"/>
      <c r="I159" s="1355"/>
      <c r="J159" s="1356"/>
      <c r="K159" s="1355"/>
      <c r="L159" s="1356"/>
      <c r="M159" s="1355"/>
      <c r="N159" s="1356"/>
      <c r="O159" s="1355"/>
      <c r="P159" s="1356"/>
      <c r="Q159" s="1355"/>
      <c r="R159" s="1356"/>
      <c r="S159" s="1355"/>
      <c r="T159" s="1356"/>
      <c r="U159" s="1355"/>
      <c r="V159" s="1356"/>
      <c r="W159" s="1355"/>
      <c r="X159" s="1356"/>
      <c r="Y159" s="1355"/>
      <c r="Z159" s="1356"/>
      <c r="AA159" s="1355"/>
      <c r="AB159" s="1356"/>
      <c r="AC159" s="1355"/>
      <c r="AD159" s="1356"/>
      <c r="AE159" s="1355"/>
      <c r="AF159" s="1356"/>
      <c r="AG159" s="1355"/>
      <c r="AH159" s="1355"/>
    </row>
    <row r="160" spans="1:34">
      <c r="A160" s="2315" t="s">
        <v>6058</v>
      </c>
      <c r="C160" s="3247">
        <v>11</v>
      </c>
      <c r="D160" s="1355">
        <v>11</v>
      </c>
      <c r="E160" s="3247">
        <v>12</v>
      </c>
      <c r="F160" s="2396">
        <v>11</v>
      </c>
      <c r="G160" s="1355">
        <v>14</v>
      </c>
      <c r="H160" s="1356">
        <v>11</v>
      </c>
      <c r="I160" s="1355">
        <v>13</v>
      </c>
      <c r="J160" s="1356">
        <v>10</v>
      </c>
      <c r="K160" s="1355">
        <v>15</v>
      </c>
      <c r="L160" s="1356">
        <v>9</v>
      </c>
      <c r="M160" s="1355">
        <v>17</v>
      </c>
      <c r="N160" s="1356">
        <v>11</v>
      </c>
      <c r="O160" s="1355">
        <v>18</v>
      </c>
      <c r="P160" s="1356">
        <v>11</v>
      </c>
      <c r="Q160" s="1355">
        <v>19</v>
      </c>
      <c r="R160" s="1356">
        <v>11</v>
      </c>
      <c r="S160" s="1355">
        <v>20</v>
      </c>
      <c r="T160" s="1356">
        <v>11</v>
      </c>
      <c r="U160" s="1355">
        <v>15</v>
      </c>
      <c r="V160" s="1356">
        <v>8</v>
      </c>
      <c r="W160" s="1355">
        <v>15</v>
      </c>
      <c r="X160" s="1356">
        <v>13</v>
      </c>
      <c r="Y160" s="1355">
        <v>17</v>
      </c>
      <c r="Z160" s="1356">
        <v>10</v>
      </c>
      <c r="AA160" s="1355">
        <v>17</v>
      </c>
      <c r="AB160" s="1356">
        <v>13</v>
      </c>
      <c r="AC160" s="1355">
        <v>16</v>
      </c>
      <c r="AD160" s="1356">
        <v>11</v>
      </c>
      <c r="AE160" s="1355">
        <v>18</v>
      </c>
      <c r="AF160" s="1356">
        <v>17</v>
      </c>
      <c r="AG160" s="1355">
        <v>5</v>
      </c>
      <c r="AH160" s="1355">
        <v>13</v>
      </c>
    </row>
    <row r="161" spans="1:34">
      <c r="A161" s="2315" t="s">
        <v>6436</v>
      </c>
      <c r="C161" s="3247"/>
      <c r="D161" s="1355"/>
      <c r="E161" s="3247"/>
      <c r="F161" s="2396"/>
      <c r="G161" s="1355"/>
      <c r="H161" s="1356"/>
      <c r="I161" s="1355"/>
      <c r="J161" s="1356"/>
      <c r="K161" s="1355"/>
      <c r="L161" s="1356"/>
      <c r="M161" s="1355"/>
      <c r="N161" s="1356"/>
      <c r="O161" s="1355"/>
      <c r="P161" s="1356"/>
      <c r="Q161" s="1355"/>
      <c r="R161" s="1356"/>
      <c r="S161" s="1355">
        <v>1</v>
      </c>
      <c r="T161" s="1356">
        <v>0</v>
      </c>
      <c r="U161" s="1355">
        <v>1</v>
      </c>
      <c r="V161" s="1356">
        <v>0</v>
      </c>
      <c r="W161" s="1355">
        <v>1</v>
      </c>
      <c r="X161" s="1356">
        <v>0</v>
      </c>
      <c r="Y161" s="1355">
        <v>1</v>
      </c>
      <c r="Z161" s="1356">
        <v>0</v>
      </c>
      <c r="AA161" s="1355">
        <v>1</v>
      </c>
      <c r="AB161" s="1356">
        <v>0</v>
      </c>
      <c r="AC161" s="1355">
        <v>1</v>
      </c>
      <c r="AD161" s="1356">
        <v>0</v>
      </c>
      <c r="AE161" s="1355">
        <v>1</v>
      </c>
      <c r="AF161" s="1356"/>
      <c r="AG161" s="1355"/>
      <c r="AH161" s="1355"/>
    </row>
    <row r="162" spans="1:34">
      <c r="A162" s="2315" t="s">
        <v>6437</v>
      </c>
      <c r="C162" s="3247">
        <v>1</v>
      </c>
      <c r="D162" s="1355"/>
      <c r="E162" s="3247"/>
      <c r="F162" s="2396"/>
      <c r="G162" s="1355"/>
      <c r="H162" s="1356"/>
      <c r="I162" s="1355"/>
      <c r="J162" s="1356"/>
      <c r="K162" s="1355"/>
      <c r="L162" s="1356"/>
      <c r="M162" s="1355"/>
      <c r="N162" s="1356"/>
      <c r="O162" s="1355"/>
      <c r="P162" s="1356"/>
      <c r="Q162" s="1355"/>
      <c r="R162" s="1356"/>
      <c r="S162" s="1355"/>
      <c r="T162" s="1356"/>
      <c r="U162" s="1355"/>
      <c r="V162" s="1356"/>
      <c r="W162" s="1355"/>
      <c r="X162" s="1356"/>
      <c r="Y162" s="1355"/>
      <c r="Z162" s="1356"/>
      <c r="AA162" s="1355"/>
      <c r="AB162" s="1356"/>
      <c r="AC162" s="1355"/>
      <c r="AD162" s="1356"/>
      <c r="AE162" s="1355"/>
      <c r="AF162" s="1356"/>
      <c r="AG162" s="1355"/>
      <c r="AH162" s="1355"/>
    </row>
    <row r="163" spans="1:34">
      <c r="A163" s="2315" t="s">
        <v>6438</v>
      </c>
      <c r="C163" s="3247">
        <v>1</v>
      </c>
      <c r="D163" s="1355"/>
      <c r="E163" s="3247"/>
      <c r="F163" s="2396"/>
      <c r="G163" s="1355"/>
      <c r="H163" s="1356"/>
      <c r="I163" s="1355"/>
      <c r="J163" s="1356"/>
      <c r="K163" s="1355"/>
      <c r="L163" s="1356"/>
      <c r="M163" s="1355"/>
      <c r="N163" s="1356"/>
      <c r="O163" s="1355"/>
      <c r="P163" s="1356"/>
      <c r="Q163" s="1355"/>
      <c r="R163" s="1356"/>
      <c r="S163" s="1355"/>
      <c r="T163" s="1356"/>
      <c r="U163" s="1355"/>
      <c r="V163" s="1356"/>
      <c r="W163" s="1355"/>
      <c r="X163" s="1356"/>
      <c r="Y163" s="1355">
        <v>0</v>
      </c>
      <c r="Z163" s="1356">
        <v>1</v>
      </c>
      <c r="AA163" s="1355">
        <v>0</v>
      </c>
      <c r="AB163" s="1356">
        <v>1</v>
      </c>
      <c r="AC163" s="1355">
        <v>0</v>
      </c>
      <c r="AD163" s="1356">
        <v>1</v>
      </c>
      <c r="AE163" s="1355">
        <v>0</v>
      </c>
      <c r="AF163" s="1356">
        <v>2</v>
      </c>
      <c r="AG163" s="1355"/>
      <c r="AH163" s="1355"/>
    </row>
    <row r="164" spans="1:34">
      <c r="A164" s="2315" t="s">
        <v>6439</v>
      </c>
      <c r="C164" s="3247"/>
      <c r="D164" s="1355"/>
      <c r="E164" s="3247"/>
      <c r="F164" s="2396"/>
      <c r="G164" s="1355"/>
      <c r="H164" s="1356"/>
      <c r="I164" s="1355"/>
      <c r="J164" s="1356"/>
      <c r="K164" s="1355"/>
      <c r="L164" s="1356"/>
      <c r="M164" s="1355"/>
      <c r="N164" s="1356"/>
      <c r="O164" s="1355"/>
      <c r="P164" s="1356"/>
      <c r="Q164" s="1355"/>
      <c r="R164" s="1356"/>
      <c r="S164" s="1355"/>
      <c r="T164" s="1356"/>
      <c r="U164" s="1355"/>
      <c r="V164" s="1356"/>
      <c r="W164" s="1355"/>
      <c r="X164" s="1356"/>
      <c r="Y164" s="1355"/>
      <c r="Z164" s="1356"/>
      <c r="AA164" s="1355">
        <v>0</v>
      </c>
      <c r="AB164" s="1356">
        <v>1</v>
      </c>
      <c r="AC164" s="1355">
        <v>2</v>
      </c>
      <c r="AD164" s="1356">
        <v>0</v>
      </c>
      <c r="AE164" s="1355"/>
      <c r="AF164" s="1356"/>
      <c r="AG164" s="1355"/>
      <c r="AH164" s="1355"/>
    </row>
    <row r="165" spans="1:34">
      <c r="A165" s="2315" t="s">
        <v>6440</v>
      </c>
      <c r="C165" s="3247">
        <v>3</v>
      </c>
      <c r="D165" s="1355">
        <v>3</v>
      </c>
      <c r="E165" s="3247">
        <v>3</v>
      </c>
      <c r="F165" s="2396">
        <v>2</v>
      </c>
      <c r="G165" s="1355">
        <v>4</v>
      </c>
      <c r="H165" s="1356">
        <v>2</v>
      </c>
      <c r="I165" s="1355"/>
      <c r="J165" s="1356">
        <v>1</v>
      </c>
      <c r="K165" s="1355"/>
      <c r="L165" s="1356">
        <v>1</v>
      </c>
      <c r="M165" s="1355"/>
      <c r="N165" s="1356"/>
      <c r="O165" s="1355">
        <v>1</v>
      </c>
      <c r="P165" s="1356">
        <v>0</v>
      </c>
      <c r="Q165" s="1355">
        <v>1</v>
      </c>
      <c r="R165" s="1356">
        <v>2</v>
      </c>
      <c r="S165" s="1355">
        <v>0</v>
      </c>
      <c r="T165" s="1356">
        <v>1</v>
      </c>
      <c r="U165" s="1355">
        <v>0</v>
      </c>
      <c r="V165" s="1356">
        <v>0</v>
      </c>
      <c r="W165" s="1355"/>
      <c r="X165" s="1356"/>
      <c r="Y165" s="1355"/>
      <c r="Z165" s="1356"/>
      <c r="AA165" s="1355"/>
      <c r="AB165" s="1356"/>
      <c r="AC165" s="1355"/>
      <c r="AD165" s="1356"/>
      <c r="AE165" s="1355"/>
      <c r="AF165" s="1356"/>
      <c r="AG165" s="1355">
        <v>22</v>
      </c>
      <c r="AH165" s="1355">
        <v>37</v>
      </c>
    </row>
    <row r="166" spans="1:34">
      <c r="A166" s="2315" t="s">
        <v>6441</v>
      </c>
      <c r="C166" s="3247"/>
      <c r="D166" s="1355"/>
      <c r="E166" s="3247"/>
      <c r="F166" s="2396"/>
      <c r="G166" s="1355"/>
      <c r="H166" s="1356"/>
      <c r="I166" s="1355">
        <v>1</v>
      </c>
      <c r="J166" s="1356"/>
      <c r="K166" s="1355">
        <v>1</v>
      </c>
      <c r="L166" s="1356"/>
      <c r="M166" s="1355"/>
      <c r="N166" s="1356"/>
      <c r="O166" s="1355"/>
      <c r="P166" s="1356"/>
      <c r="Q166" s="1355"/>
      <c r="R166" s="1356"/>
      <c r="S166" s="1355"/>
      <c r="T166" s="1356"/>
      <c r="U166" s="1355"/>
      <c r="V166" s="1356"/>
      <c r="W166" s="1355"/>
      <c r="X166" s="1356"/>
      <c r="Y166" s="1355"/>
      <c r="Z166" s="1356"/>
      <c r="AA166" s="1355"/>
      <c r="AB166" s="1356"/>
      <c r="AC166" s="1355"/>
      <c r="AD166" s="1356"/>
      <c r="AE166" s="1355"/>
      <c r="AF166" s="1356"/>
      <c r="AG166" s="1355"/>
      <c r="AH166" s="1355"/>
    </row>
    <row r="167" spans="1:34">
      <c r="A167" s="2315" t="s">
        <v>6442</v>
      </c>
      <c r="C167" s="3247"/>
      <c r="D167" s="1355"/>
      <c r="E167" s="3247"/>
      <c r="F167" s="2396"/>
      <c r="G167" s="1355"/>
      <c r="H167" s="1356"/>
      <c r="I167" s="1355"/>
      <c r="J167" s="1356"/>
      <c r="K167" s="1355"/>
      <c r="L167" s="1356"/>
      <c r="M167" s="1355"/>
      <c r="N167" s="1356"/>
      <c r="O167" s="1355"/>
      <c r="P167" s="1356"/>
      <c r="Q167" s="1355"/>
      <c r="R167" s="1356"/>
      <c r="S167" s="1355"/>
      <c r="T167" s="1356"/>
      <c r="U167" s="1355"/>
      <c r="V167" s="1356"/>
      <c r="W167" s="1355"/>
      <c r="X167" s="1356"/>
      <c r="Y167" s="1355"/>
      <c r="Z167" s="1356"/>
      <c r="AA167" s="1355">
        <v>0</v>
      </c>
      <c r="AB167" s="1356">
        <v>1</v>
      </c>
      <c r="AC167" s="1355">
        <v>1</v>
      </c>
      <c r="AD167" s="1356">
        <v>2</v>
      </c>
      <c r="AE167" s="1355"/>
      <c r="AF167" s="1356"/>
      <c r="AG167" s="1355"/>
      <c r="AH167" s="1355"/>
    </row>
    <row r="168" spans="1:34">
      <c r="A168" s="2315" t="s">
        <v>6443</v>
      </c>
      <c r="C168" s="3247"/>
      <c r="D168" s="1355"/>
      <c r="E168" s="3247"/>
      <c r="F168" s="2396"/>
      <c r="G168" s="1355"/>
      <c r="H168" s="1356"/>
      <c r="I168" s="1355"/>
      <c r="J168" s="1356"/>
      <c r="K168" s="1355"/>
      <c r="L168" s="1356"/>
      <c r="M168" s="1355"/>
      <c r="N168" s="1356"/>
      <c r="O168" s="1355">
        <v>1</v>
      </c>
      <c r="P168" s="1356">
        <v>0</v>
      </c>
      <c r="Q168" s="1355">
        <v>1</v>
      </c>
      <c r="R168" s="1356">
        <v>0</v>
      </c>
      <c r="S168" s="1355">
        <v>2</v>
      </c>
      <c r="T168" s="1356">
        <v>0</v>
      </c>
      <c r="U168" s="1355">
        <v>2</v>
      </c>
      <c r="V168" s="1356">
        <v>0</v>
      </c>
      <c r="W168" s="1355">
        <v>2</v>
      </c>
      <c r="X168" s="1356">
        <v>0</v>
      </c>
      <c r="Y168" s="1355">
        <v>1</v>
      </c>
      <c r="Z168" s="1356">
        <v>0</v>
      </c>
      <c r="AA168" s="1355">
        <v>2</v>
      </c>
      <c r="AB168" s="1356"/>
      <c r="AC168" s="1355">
        <v>2</v>
      </c>
      <c r="AD168" s="1356">
        <v>0</v>
      </c>
      <c r="AE168" s="1355">
        <v>2</v>
      </c>
      <c r="AF168" s="1356">
        <v>0</v>
      </c>
      <c r="AG168" s="1355">
        <v>2</v>
      </c>
      <c r="AH168" s="1355"/>
    </row>
    <row r="169" spans="1:34">
      <c r="A169" s="2315" t="s">
        <v>6444</v>
      </c>
      <c r="C169" s="3247"/>
      <c r="D169" s="1355"/>
      <c r="E169" s="3247"/>
      <c r="F169" s="2396"/>
      <c r="G169" s="1355"/>
      <c r="H169" s="1356"/>
      <c r="I169" s="1355"/>
      <c r="J169" s="1356"/>
      <c r="K169" s="1355"/>
      <c r="L169" s="1356"/>
      <c r="M169" s="1355"/>
      <c r="N169" s="1356"/>
      <c r="O169" s="1355"/>
      <c r="P169" s="1356"/>
      <c r="Q169" s="1355"/>
      <c r="R169" s="1356"/>
      <c r="S169" s="1355"/>
      <c r="T169" s="1356"/>
      <c r="U169" s="1355"/>
      <c r="V169" s="1356"/>
      <c r="W169" s="1355"/>
      <c r="X169" s="1356"/>
      <c r="Y169" s="1355">
        <v>1</v>
      </c>
      <c r="Z169" s="1356">
        <v>0</v>
      </c>
      <c r="AA169" s="1355">
        <v>1</v>
      </c>
      <c r="AB169" s="1356">
        <v>0</v>
      </c>
      <c r="AC169" s="1355">
        <v>1</v>
      </c>
      <c r="AD169" s="1356">
        <v>0</v>
      </c>
      <c r="AE169" s="1355"/>
      <c r="AF169" s="1356"/>
      <c r="AG169" s="1355"/>
      <c r="AH169" s="1355"/>
    </row>
    <row r="170" spans="1:34">
      <c r="A170" s="2315" t="s">
        <v>6445</v>
      </c>
      <c r="C170" s="3247"/>
      <c r="D170" s="1355">
        <v>1</v>
      </c>
      <c r="E170" s="3247"/>
      <c r="F170" s="2396">
        <v>1</v>
      </c>
      <c r="G170" s="1355"/>
      <c r="H170" s="1356"/>
      <c r="I170" s="1355"/>
      <c r="J170" s="1356"/>
      <c r="K170" s="1355"/>
      <c r="L170" s="1356"/>
      <c r="M170" s="1355"/>
      <c r="N170" s="1356"/>
      <c r="O170" s="1355"/>
      <c r="P170" s="1356"/>
      <c r="Q170" s="1355"/>
      <c r="R170" s="1356"/>
      <c r="S170" s="1355"/>
      <c r="T170" s="1356"/>
      <c r="U170" s="1355"/>
      <c r="V170" s="1356"/>
      <c r="W170" s="1355"/>
      <c r="X170" s="1356"/>
      <c r="Y170" s="1355"/>
      <c r="Z170" s="1356"/>
      <c r="AA170" s="1355"/>
      <c r="AB170" s="1356"/>
      <c r="AC170" s="1355"/>
      <c r="AD170" s="1356"/>
      <c r="AE170" s="1355"/>
      <c r="AF170" s="1356"/>
      <c r="AG170" s="1355"/>
      <c r="AH170" s="1355"/>
    </row>
    <row r="171" spans="1:34">
      <c r="A171" s="2315" t="s">
        <v>6446</v>
      </c>
      <c r="C171" s="3247"/>
      <c r="D171" s="1355"/>
      <c r="E171" s="3247"/>
      <c r="F171" s="2396"/>
      <c r="G171" s="1355">
        <v>22</v>
      </c>
      <c r="H171" s="1356"/>
      <c r="I171" s="1355">
        <v>6</v>
      </c>
      <c r="J171" s="1356">
        <v>1</v>
      </c>
      <c r="K171" s="1355">
        <v>14</v>
      </c>
      <c r="L171" s="1356">
        <v>5</v>
      </c>
      <c r="M171" s="1355">
        <v>13</v>
      </c>
      <c r="N171" s="1356">
        <v>4</v>
      </c>
      <c r="O171" s="1355">
        <v>15</v>
      </c>
      <c r="P171" s="1356">
        <v>7</v>
      </c>
      <c r="Q171" s="1355">
        <v>24</v>
      </c>
      <c r="R171" s="1356">
        <v>14</v>
      </c>
      <c r="S171" s="1355">
        <v>24</v>
      </c>
      <c r="T171" s="1356">
        <v>15</v>
      </c>
      <c r="U171" s="1355">
        <v>28</v>
      </c>
      <c r="V171" s="1356">
        <v>16</v>
      </c>
      <c r="W171" s="1355">
        <v>33</v>
      </c>
      <c r="X171" s="1356">
        <v>17</v>
      </c>
      <c r="Y171" s="1355">
        <v>27</v>
      </c>
      <c r="Z171" s="1356">
        <v>17</v>
      </c>
      <c r="AA171" s="1355">
        <v>27</v>
      </c>
      <c r="AB171" s="1356">
        <v>18</v>
      </c>
      <c r="AC171" s="1355">
        <v>28</v>
      </c>
      <c r="AD171" s="1356">
        <v>15</v>
      </c>
      <c r="AE171" s="1355">
        <v>29</v>
      </c>
      <c r="AF171" s="1356">
        <v>14</v>
      </c>
      <c r="AG171" s="1355">
        <v>29</v>
      </c>
      <c r="AH171" s="1355">
        <v>18</v>
      </c>
    </row>
    <row r="172" spans="1:34">
      <c r="A172" s="2315" t="s">
        <v>6447</v>
      </c>
      <c r="C172" s="3247"/>
      <c r="D172" s="1355"/>
      <c r="E172" s="3247"/>
      <c r="F172" s="2396"/>
      <c r="G172" s="1355"/>
      <c r="H172" s="1356"/>
      <c r="I172" s="1355"/>
      <c r="J172" s="1356"/>
      <c r="K172" s="1355">
        <v>1</v>
      </c>
      <c r="L172" s="1356"/>
      <c r="M172" s="1355">
        <v>1</v>
      </c>
      <c r="N172" s="1356">
        <v>2</v>
      </c>
      <c r="O172" s="1355">
        <v>1</v>
      </c>
      <c r="P172" s="1356">
        <v>0</v>
      </c>
      <c r="Q172" s="1355">
        <v>4</v>
      </c>
      <c r="R172" s="1356">
        <v>1</v>
      </c>
      <c r="S172" s="1355">
        <v>6</v>
      </c>
      <c r="T172" s="1356">
        <v>2</v>
      </c>
      <c r="U172" s="1355">
        <v>10</v>
      </c>
      <c r="V172" s="1356">
        <v>4</v>
      </c>
      <c r="W172" s="1355">
        <v>13</v>
      </c>
      <c r="X172" s="1356">
        <v>6</v>
      </c>
      <c r="Y172" s="1355">
        <v>9</v>
      </c>
      <c r="Z172" s="1356">
        <v>5</v>
      </c>
      <c r="AA172" s="1355">
        <v>10</v>
      </c>
      <c r="AB172" s="1356">
        <v>5</v>
      </c>
      <c r="AC172" s="1355">
        <v>7</v>
      </c>
      <c r="AD172" s="1356">
        <v>3</v>
      </c>
      <c r="AE172" s="1355">
        <v>11</v>
      </c>
      <c r="AF172" s="1356">
        <v>4</v>
      </c>
      <c r="AG172" s="1355">
        <v>10</v>
      </c>
      <c r="AH172" s="1355">
        <v>1</v>
      </c>
    </row>
    <row r="173" spans="1:34">
      <c r="A173" s="2315" t="s">
        <v>6448</v>
      </c>
      <c r="C173" s="3247"/>
      <c r="D173" s="1355"/>
      <c r="E173" s="3247"/>
      <c r="F173" s="2396"/>
      <c r="G173" s="1355">
        <v>1</v>
      </c>
      <c r="H173" s="1356"/>
      <c r="I173" s="1355"/>
      <c r="J173" s="1356">
        <v>1</v>
      </c>
      <c r="K173" s="1355">
        <v>1</v>
      </c>
      <c r="L173" s="1356">
        <v>3</v>
      </c>
      <c r="M173" s="1355">
        <v>1</v>
      </c>
      <c r="N173" s="1356">
        <v>2</v>
      </c>
      <c r="O173" s="1355">
        <v>5</v>
      </c>
      <c r="P173" s="1356">
        <v>2</v>
      </c>
      <c r="Q173" s="1355">
        <v>13</v>
      </c>
      <c r="R173" s="1356">
        <v>5</v>
      </c>
      <c r="S173" s="1355">
        <v>10</v>
      </c>
      <c r="T173" s="1356">
        <v>6</v>
      </c>
      <c r="U173" s="1355">
        <v>11</v>
      </c>
      <c r="V173" s="1356">
        <v>6</v>
      </c>
      <c r="W173" s="1355">
        <v>14</v>
      </c>
      <c r="X173" s="1356">
        <v>9</v>
      </c>
      <c r="Y173" s="1355">
        <v>13</v>
      </c>
      <c r="Z173" s="1356">
        <v>11</v>
      </c>
      <c r="AA173" s="1355">
        <v>23</v>
      </c>
      <c r="AB173" s="1356">
        <v>13</v>
      </c>
      <c r="AC173" s="1355">
        <v>22</v>
      </c>
      <c r="AD173" s="1356">
        <v>14</v>
      </c>
      <c r="AE173" s="1355">
        <v>19</v>
      </c>
      <c r="AF173" s="1356">
        <v>12</v>
      </c>
      <c r="AG173" s="1355">
        <v>26</v>
      </c>
      <c r="AH173" s="1355">
        <v>17</v>
      </c>
    </row>
    <row r="174" spans="1:34">
      <c r="A174" s="2315" t="s">
        <v>6449</v>
      </c>
      <c r="C174" s="3247">
        <v>6</v>
      </c>
      <c r="D174" s="1355">
        <v>2</v>
      </c>
      <c r="E174" s="3247">
        <v>5</v>
      </c>
      <c r="F174" s="2396">
        <v>2</v>
      </c>
      <c r="G174" s="1355">
        <v>6</v>
      </c>
      <c r="H174" s="1356">
        <v>2</v>
      </c>
      <c r="I174" s="1355">
        <v>6</v>
      </c>
      <c r="J174" s="1356">
        <v>4</v>
      </c>
      <c r="K174" s="1355">
        <v>9</v>
      </c>
      <c r="L174" s="1356">
        <v>6</v>
      </c>
      <c r="M174" s="1355">
        <v>3</v>
      </c>
      <c r="N174" s="1356">
        <v>3</v>
      </c>
      <c r="O174" s="1355">
        <v>3</v>
      </c>
      <c r="P174" s="1356">
        <v>3</v>
      </c>
      <c r="Q174" s="1355">
        <v>2</v>
      </c>
      <c r="R174" s="1356">
        <v>2</v>
      </c>
      <c r="S174" s="1355">
        <v>2</v>
      </c>
      <c r="T174" s="1356">
        <v>4</v>
      </c>
      <c r="U174" s="1355">
        <v>2</v>
      </c>
      <c r="V174" s="1356">
        <v>4</v>
      </c>
      <c r="W174" s="1355">
        <v>2</v>
      </c>
      <c r="X174" s="1356">
        <v>4</v>
      </c>
      <c r="Y174" s="1355">
        <v>2</v>
      </c>
      <c r="Z174" s="1356">
        <v>5</v>
      </c>
      <c r="AA174" s="1355">
        <v>2</v>
      </c>
      <c r="AB174" s="1356">
        <v>5</v>
      </c>
      <c r="AC174" s="1355">
        <v>1</v>
      </c>
      <c r="AD174" s="1356">
        <v>5</v>
      </c>
      <c r="AE174" s="1355"/>
      <c r="AF174" s="1356">
        <v>5</v>
      </c>
      <c r="AG174" s="1355"/>
      <c r="AH174" s="1355">
        <v>2</v>
      </c>
    </row>
    <row r="175" spans="1:34">
      <c r="A175" s="2315" t="s">
        <v>6450</v>
      </c>
      <c r="C175" s="3247"/>
      <c r="D175" s="1355"/>
      <c r="E175" s="3247"/>
      <c r="F175" s="2396"/>
      <c r="G175" s="1355"/>
      <c r="H175" s="1356"/>
      <c r="I175" s="1355"/>
      <c r="J175" s="1356"/>
      <c r="K175" s="1355"/>
      <c r="L175" s="1356"/>
      <c r="M175" s="1355"/>
      <c r="N175" s="1356"/>
      <c r="O175" s="1355"/>
      <c r="P175" s="1356"/>
      <c r="Q175" s="1355"/>
      <c r="R175" s="1356"/>
      <c r="S175" s="1355">
        <v>1</v>
      </c>
      <c r="T175" s="1356">
        <v>0</v>
      </c>
      <c r="U175" s="1355">
        <v>1</v>
      </c>
      <c r="V175" s="1356">
        <v>0</v>
      </c>
      <c r="W175" s="1355">
        <v>1</v>
      </c>
      <c r="X175" s="1356">
        <v>0</v>
      </c>
      <c r="Y175" s="1355">
        <v>1</v>
      </c>
      <c r="Z175" s="1356">
        <v>0</v>
      </c>
      <c r="AA175" s="1355"/>
      <c r="AB175" s="1356"/>
      <c r="AC175" s="1355"/>
      <c r="AD175" s="1356"/>
      <c r="AE175" s="1355">
        <v>0</v>
      </c>
      <c r="AF175" s="1356">
        <v>1</v>
      </c>
      <c r="AG175" s="1355"/>
      <c r="AH175" s="1355"/>
    </row>
    <row r="176" spans="1:34">
      <c r="A176" s="2315" t="s">
        <v>6451</v>
      </c>
      <c r="C176" s="3247">
        <v>3</v>
      </c>
      <c r="D176" s="1355">
        <v>4</v>
      </c>
      <c r="E176" s="3247">
        <v>7</v>
      </c>
      <c r="F176" s="2396">
        <v>6</v>
      </c>
      <c r="G176" s="1355">
        <v>7</v>
      </c>
      <c r="H176" s="1356">
        <v>6</v>
      </c>
      <c r="I176" s="1355">
        <v>3</v>
      </c>
      <c r="J176" s="1356">
        <v>3</v>
      </c>
      <c r="K176" s="1355">
        <v>3</v>
      </c>
      <c r="L176" s="1356">
        <v>3</v>
      </c>
      <c r="M176" s="1355">
        <v>3</v>
      </c>
      <c r="N176" s="1356">
        <v>3</v>
      </c>
      <c r="O176" s="1355">
        <v>1</v>
      </c>
      <c r="P176" s="1356">
        <v>0</v>
      </c>
      <c r="Q176" s="1355">
        <v>1</v>
      </c>
      <c r="R176" s="1356">
        <v>0</v>
      </c>
      <c r="S176" s="1355">
        <v>2</v>
      </c>
      <c r="T176" s="1356">
        <v>0</v>
      </c>
      <c r="U176" s="1355">
        <v>2</v>
      </c>
      <c r="V176" s="1356">
        <v>1</v>
      </c>
      <c r="W176" s="1355">
        <v>2</v>
      </c>
      <c r="X176" s="1356">
        <v>1</v>
      </c>
      <c r="Y176" s="1355">
        <v>2</v>
      </c>
      <c r="Z176" s="1356">
        <v>1</v>
      </c>
      <c r="AA176" s="1355">
        <v>1</v>
      </c>
      <c r="AB176" s="1356">
        <v>1</v>
      </c>
      <c r="AC176" s="1355">
        <v>1</v>
      </c>
      <c r="AD176" s="1356">
        <v>1</v>
      </c>
      <c r="AE176" s="1355">
        <v>1</v>
      </c>
      <c r="AF176" s="1356">
        <v>1</v>
      </c>
      <c r="AG176" s="1355"/>
      <c r="AH176" s="1355"/>
    </row>
    <row r="177" spans="1:34">
      <c r="A177" s="2315" t="s">
        <v>6452</v>
      </c>
      <c r="C177" s="3247"/>
      <c r="D177" s="1355">
        <v>1</v>
      </c>
      <c r="E177" s="3247"/>
      <c r="F177" s="2396">
        <v>1</v>
      </c>
      <c r="G177" s="1355"/>
      <c r="H177" s="1356">
        <v>1</v>
      </c>
      <c r="I177" s="1355"/>
      <c r="J177" s="1356">
        <v>1</v>
      </c>
      <c r="K177" s="1355"/>
      <c r="L177" s="1356">
        <v>1</v>
      </c>
      <c r="M177" s="1355"/>
      <c r="N177" s="1356">
        <v>1</v>
      </c>
      <c r="O177" s="1355">
        <v>0</v>
      </c>
      <c r="P177" s="1356">
        <v>1</v>
      </c>
      <c r="Q177" s="1355">
        <v>0</v>
      </c>
      <c r="R177" s="1356">
        <v>1</v>
      </c>
      <c r="S177" s="1355">
        <v>0</v>
      </c>
      <c r="T177" s="1356">
        <v>1</v>
      </c>
      <c r="U177" s="1355">
        <v>0</v>
      </c>
      <c r="V177" s="1356">
        <v>1</v>
      </c>
      <c r="W177" s="1355">
        <v>0</v>
      </c>
      <c r="X177" s="1356">
        <v>1</v>
      </c>
      <c r="Y177" s="1355">
        <v>0</v>
      </c>
      <c r="Z177" s="1356">
        <v>1</v>
      </c>
      <c r="AA177" s="1355">
        <v>0</v>
      </c>
      <c r="AB177" s="1356">
        <v>1</v>
      </c>
      <c r="AC177" s="1355">
        <v>0</v>
      </c>
      <c r="AD177" s="1356">
        <v>1</v>
      </c>
      <c r="AE177" s="1355"/>
      <c r="AF177" s="1356">
        <v>1</v>
      </c>
      <c r="AG177" s="1355"/>
      <c r="AH177" s="1355">
        <v>1</v>
      </c>
    </row>
    <row r="178" spans="1:34">
      <c r="A178" s="2315" t="s">
        <v>5611</v>
      </c>
      <c r="C178" s="3247"/>
      <c r="D178" s="1355"/>
      <c r="E178" s="3247"/>
      <c r="F178" s="2396"/>
      <c r="G178" s="1355"/>
      <c r="H178" s="1356"/>
      <c r="I178" s="1355"/>
      <c r="J178" s="1356"/>
      <c r="K178" s="1355"/>
      <c r="L178" s="1356"/>
      <c r="M178" s="1355"/>
      <c r="N178" s="1356"/>
      <c r="O178" s="1355"/>
      <c r="P178" s="1356"/>
      <c r="Q178" s="1355"/>
      <c r="R178" s="1356"/>
      <c r="S178" s="1355">
        <v>1</v>
      </c>
      <c r="T178" s="1356">
        <v>0</v>
      </c>
      <c r="U178" s="1355">
        <v>0</v>
      </c>
      <c r="V178" s="1356">
        <v>0</v>
      </c>
      <c r="W178" s="1355"/>
      <c r="X178" s="1356"/>
      <c r="Y178" s="1355"/>
      <c r="Z178" s="1356"/>
      <c r="AA178" s="1355"/>
      <c r="AB178" s="1356"/>
      <c r="AC178" s="1355"/>
      <c r="AD178" s="1356"/>
      <c r="AE178" s="1355"/>
      <c r="AF178" s="1356"/>
      <c r="AG178" s="1355"/>
      <c r="AH178" s="1355"/>
    </row>
    <row r="179" spans="1:34">
      <c r="A179" s="2315" t="s">
        <v>6453</v>
      </c>
      <c r="C179" s="3247"/>
      <c r="D179" s="1355"/>
      <c r="E179" s="3247"/>
      <c r="F179" s="2396"/>
      <c r="G179" s="1355"/>
      <c r="H179" s="1356"/>
      <c r="I179" s="1355"/>
      <c r="J179" s="1356"/>
      <c r="K179" s="1355"/>
      <c r="L179" s="1356"/>
      <c r="M179" s="1355"/>
      <c r="N179" s="1356"/>
      <c r="O179" s="1355"/>
      <c r="P179" s="1356"/>
      <c r="Q179" s="1355"/>
      <c r="R179" s="1356"/>
      <c r="S179" s="1355">
        <v>2</v>
      </c>
      <c r="T179" s="1356">
        <v>0</v>
      </c>
      <c r="U179" s="1355">
        <v>2</v>
      </c>
      <c r="V179" s="1356">
        <v>1</v>
      </c>
      <c r="W179" s="1355">
        <v>14</v>
      </c>
      <c r="X179" s="1356">
        <v>5</v>
      </c>
      <c r="Y179" s="1355">
        <v>24</v>
      </c>
      <c r="Z179" s="1356">
        <v>15</v>
      </c>
      <c r="AA179" s="1355">
        <v>17</v>
      </c>
      <c r="AB179" s="1356">
        <v>9</v>
      </c>
      <c r="AC179" s="1355">
        <v>16</v>
      </c>
      <c r="AD179" s="1356">
        <v>8</v>
      </c>
      <c r="AE179" s="1355">
        <v>15</v>
      </c>
      <c r="AF179" s="1356">
        <v>8</v>
      </c>
      <c r="AG179" s="1355"/>
      <c r="AH179" s="1355"/>
    </row>
    <row r="180" spans="1:34">
      <c r="A180" s="2315" t="s">
        <v>6454</v>
      </c>
      <c r="C180" s="3247">
        <v>1</v>
      </c>
      <c r="D180" s="1355"/>
      <c r="E180" s="3247">
        <v>1</v>
      </c>
      <c r="F180" s="2396">
        <v>1</v>
      </c>
      <c r="G180" s="1355">
        <v>1</v>
      </c>
      <c r="H180" s="1356">
        <v>1</v>
      </c>
      <c r="I180" s="1355">
        <v>1</v>
      </c>
      <c r="J180" s="1356">
        <v>1</v>
      </c>
      <c r="K180" s="1355">
        <v>1</v>
      </c>
      <c r="L180" s="1356">
        <v>1</v>
      </c>
      <c r="M180" s="1355"/>
      <c r="N180" s="1356">
        <v>1</v>
      </c>
      <c r="O180" s="1355">
        <v>0</v>
      </c>
      <c r="P180" s="1356">
        <v>1</v>
      </c>
      <c r="Q180" s="1355">
        <v>0</v>
      </c>
      <c r="R180" s="1356">
        <v>1</v>
      </c>
      <c r="S180" s="1355">
        <v>0</v>
      </c>
      <c r="T180" s="1356">
        <v>1</v>
      </c>
      <c r="U180" s="1355">
        <v>0</v>
      </c>
      <c r="V180" s="1356">
        <v>1</v>
      </c>
      <c r="W180" s="1355">
        <v>2</v>
      </c>
      <c r="X180" s="1356">
        <v>2</v>
      </c>
      <c r="Y180" s="1355">
        <v>4</v>
      </c>
      <c r="Z180" s="1356">
        <v>3</v>
      </c>
      <c r="AA180" s="1355">
        <v>1</v>
      </c>
      <c r="AB180" s="1356">
        <v>3</v>
      </c>
      <c r="AC180" s="1355">
        <v>1</v>
      </c>
      <c r="AD180" s="1356">
        <v>1</v>
      </c>
      <c r="AE180" s="1355">
        <v>1</v>
      </c>
      <c r="AF180" s="1356">
        <v>1</v>
      </c>
      <c r="AG180" s="1355">
        <v>2</v>
      </c>
      <c r="AH180" s="1355">
        <v>1</v>
      </c>
    </row>
    <row r="181" spans="1:34">
      <c r="A181" s="2315" t="s">
        <v>6455</v>
      </c>
      <c r="C181" s="3247"/>
      <c r="D181" s="1355"/>
      <c r="E181" s="3247"/>
      <c r="F181" s="2396"/>
      <c r="G181" s="1355"/>
      <c r="H181" s="1356"/>
      <c r="I181" s="1355"/>
      <c r="J181" s="1356">
        <v>1</v>
      </c>
      <c r="K181" s="1355"/>
      <c r="L181" s="1356">
        <v>1</v>
      </c>
      <c r="M181" s="1355"/>
      <c r="N181" s="1356">
        <v>1</v>
      </c>
      <c r="O181" s="1355">
        <v>0</v>
      </c>
      <c r="P181" s="1356">
        <v>1</v>
      </c>
      <c r="Q181" s="1355">
        <v>0</v>
      </c>
      <c r="R181" s="1356">
        <v>1</v>
      </c>
      <c r="S181" s="1355">
        <v>0</v>
      </c>
      <c r="T181" s="1356">
        <v>1</v>
      </c>
      <c r="U181" s="1355">
        <v>0</v>
      </c>
      <c r="V181" s="1356">
        <v>1</v>
      </c>
      <c r="W181" s="1355">
        <v>0</v>
      </c>
      <c r="X181" s="1356">
        <v>1</v>
      </c>
      <c r="Y181" s="1355">
        <v>0</v>
      </c>
      <c r="Z181" s="1356">
        <v>1</v>
      </c>
      <c r="AA181" s="1355"/>
      <c r="AB181" s="1356"/>
      <c r="AC181" s="1355"/>
      <c r="AD181" s="1356"/>
      <c r="AE181" s="1355"/>
      <c r="AF181" s="1356"/>
      <c r="AG181" s="1355"/>
      <c r="AH181" s="1355"/>
    </row>
    <row r="182" spans="1:34">
      <c r="A182" s="2315" t="s">
        <v>5612</v>
      </c>
      <c r="C182" s="3247"/>
      <c r="D182" s="1355"/>
      <c r="E182" s="3247">
        <v>1</v>
      </c>
      <c r="F182" s="2396">
        <v>0</v>
      </c>
      <c r="G182" s="1355">
        <v>2</v>
      </c>
      <c r="H182" s="1356"/>
      <c r="I182" s="1355">
        <v>2</v>
      </c>
      <c r="J182" s="1356">
        <v>2</v>
      </c>
      <c r="K182" s="1355">
        <v>2</v>
      </c>
      <c r="L182" s="1356">
        <v>2</v>
      </c>
      <c r="M182" s="1355">
        <v>2</v>
      </c>
      <c r="N182" s="1356">
        <v>2</v>
      </c>
      <c r="O182" s="1355">
        <v>1</v>
      </c>
      <c r="P182" s="1356">
        <v>1</v>
      </c>
      <c r="Q182" s="1355">
        <v>1</v>
      </c>
      <c r="R182" s="1356">
        <v>1</v>
      </c>
      <c r="S182" s="1355">
        <v>2</v>
      </c>
      <c r="T182" s="1356">
        <v>0</v>
      </c>
      <c r="U182" s="1355">
        <v>3</v>
      </c>
      <c r="V182" s="1356">
        <v>2</v>
      </c>
      <c r="W182" s="1355">
        <v>6</v>
      </c>
      <c r="X182" s="1356">
        <v>1</v>
      </c>
      <c r="Y182" s="1355">
        <v>13</v>
      </c>
      <c r="Z182" s="1356">
        <v>6</v>
      </c>
      <c r="AA182" s="1355">
        <v>1</v>
      </c>
      <c r="AB182" s="1356">
        <v>1</v>
      </c>
      <c r="AC182" s="1355">
        <v>1</v>
      </c>
      <c r="AD182" s="1356">
        <v>0</v>
      </c>
      <c r="AE182" s="1355">
        <v>1</v>
      </c>
      <c r="AF182" s="1356">
        <v>0</v>
      </c>
      <c r="AG182" s="1355"/>
      <c r="AH182" s="1355"/>
    </row>
    <row r="183" spans="1:34">
      <c r="A183" s="2315" t="s">
        <v>6456</v>
      </c>
      <c r="C183" s="3247"/>
      <c r="D183" s="1355"/>
      <c r="E183" s="3247"/>
      <c r="F183" s="2396">
        <v>3</v>
      </c>
      <c r="G183" s="1355"/>
      <c r="H183" s="1356">
        <v>2</v>
      </c>
      <c r="I183" s="1355"/>
      <c r="J183" s="1356">
        <v>2</v>
      </c>
      <c r="K183" s="1355"/>
      <c r="L183" s="1356">
        <v>2</v>
      </c>
      <c r="M183" s="1355"/>
      <c r="N183" s="1356">
        <v>1</v>
      </c>
      <c r="O183" s="1355">
        <v>0</v>
      </c>
      <c r="P183" s="1356">
        <v>1</v>
      </c>
      <c r="Q183" s="1355">
        <v>0</v>
      </c>
      <c r="R183" s="1356">
        <v>1</v>
      </c>
      <c r="S183" s="1355">
        <v>0</v>
      </c>
      <c r="T183" s="1356">
        <v>3</v>
      </c>
      <c r="U183" s="1355">
        <v>0</v>
      </c>
      <c r="V183" s="1356">
        <v>3</v>
      </c>
      <c r="W183" s="1355">
        <v>0</v>
      </c>
      <c r="X183" s="1356">
        <v>3</v>
      </c>
      <c r="Y183" s="1355">
        <v>0</v>
      </c>
      <c r="Z183" s="1356">
        <v>3</v>
      </c>
      <c r="AA183" s="1355">
        <v>0</v>
      </c>
      <c r="AB183" s="1356">
        <v>2</v>
      </c>
      <c r="AC183" s="1355">
        <v>0</v>
      </c>
      <c r="AD183" s="1356">
        <v>1</v>
      </c>
      <c r="AE183" s="1355">
        <v>1</v>
      </c>
      <c r="AF183" s="1356">
        <v>1</v>
      </c>
      <c r="AG183" s="1355"/>
      <c r="AH183" s="1355"/>
    </row>
    <row r="184" spans="1:34">
      <c r="A184" s="2315" t="s">
        <v>7771</v>
      </c>
      <c r="C184" s="3247"/>
      <c r="D184" s="1355"/>
      <c r="E184" s="3247"/>
      <c r="F184" s="2396"/>
      <c r="G184" s="1355"/>
      <c r="H184" s="1356"/>
      <c r="I184" s="1355"/>
      <c r="J184" s="1356"/>
      <c r="K184" s="1355"/>
      <c r="L184" s="1356"/>
      <c r="M184" s="1355"/>
      <c r="N184" s="1356"/>
      <c r="O184" s="1355"/>
      <c r="P184" s="1356"/>
      <c r="Q184" s="1355"/>
      <c r="R184" s="1356"/>
      <c r="S184" s="1355"/>
      <c r="T184" s="1356"/>
      <c r="U184" s="1355"/>
      <c r="V184" s="1356"/>
      <c r="W184" s="1355"/>
      <c r="X184" s="1356"/>
      <c r="Y184" s="1355"/>
      <c r="Z184" s="1356"/>
      <c r="AA184" s="1355"/>
      <c r="AB184" s="1356"/>
      <c r="AC184" s="1355"/>
      <c r="AD184" s="1356"/>
      <c r="AE184" s="1355"/>
      <c r="AF184" s="1356">
        <v>1</v>
      </c>
      <c r="AG184" s="1355"/>
      <c r="AH184" s="1355"/>
    </row>
    <row r="185" spans="1:34">
      <c r="A185" s="2315" t="s">
        <v>6457</v>
      </c>
      <c r="C185" s="3247"/>
      <c r="D185" s="1355"/>
      <c r="E185" s="3247"/>
      <c r="F185" s="2396"/>
      <c r="G185" s="1355"/>
      <c r="H185" s="1356"/>
      <c r="I185" s="1355">
        <v>1</v>
      </c>
      <c r="J185" s="1356"/>
      <c r="K185" s="1355">
        <v>1</v>
      </c>
      <c r="L185" s="1356"/>
      <c r="M185" s="1355"/>
      <c r="N185" s="1356"/>
      <c r="O185" s="1355"/>
      <c r="P185" s="1356"/>
      <c r="Q185" s="1355"/>
      <c r="R185" s="1356"/>
      <c r="S185" s="1355"/>
      <c r="T185" s="1356"/>
      <c r="U185" s="1355"/>
      <c r="V185" s="1356"/>
      <c r="W185" s="1355"/>
      <c r="X185" s="1356"/>
      <c r="Y185" s="1355"/>
      <c r="Z185" s="1356"/>
      <c r="AA185" s="1355"/>
      <c r="AB185" s="1356"/>
      <c r="AC185" s="1355">
        <v>1</v>
      </c>
      <c r="AD185" s="1356">
        <v>2</v>
      </c>
      <c r="AE185" s="1355"/>
      <c r="AF185" s="1356"/>
      <c r="AG185" s="1355"/>
      <c r="AH185" s="1355"/>
    </row>
    <row r="186" spans="1:34">
      <c r="A186" s="2315" t="s">
        <v>6458</v>
      </c>
      <c r="C186" s="3247"/>
      <c r="D186" s="1355"/>
      <c r="E186" s="3247"/>
      <c r="F186" s="2396">
        <v>1</v>
      </c>
      <c r="G186" s="1355"/>
      <c r="H186" s="1356"/>
      <c r="I186" s="1355"/>
      <c r="J186" s="1356"/>
      <c r="K186" s="1355"/>
      <c r="L186" s="1356"/>
      <c r="M186" s="1355"/>
      <c r="N186" s="1356"/>
      <c r="O186" s="1355"/>
      <c r="P186" s="1356"/>
      <c r="Q186" s="1355">
        <v>1</v>
      </c>
      <c r="R186" s="1356">
        <v>0</v>
      </c>
      <c r="S186" s="1355">
        <v>1</v>
      </c>
      <c r="T186" s="1356">
        <v>0</v>
      </c>
      <c r="U186" s="1355">
        <v>0</v>
      </c>
      <c r="V186" s="1356">
        <v>0</v>
      </c>
      <c r="W186" s="1355"/>
      <c r="X186" s="1356"/>
      <c r="Y186" s="1355"/>
      <c r="Z186" s="1356"/>
      <c r="AA186" s="1355"/>
      <c r="AB186" s="1356"/>
      <c r="AC186" s="1355"/>
      <c r="AD186" s="1356"/>
      <c r="AE186" s="1355"/>
      <c r="AF186" s="1356"/>
      <c r="AG186" s="1355"/>
      <c r="AH186" s="1355"/>
    </row>
    <row r="187" spans="1:34">
      <c r="A187" s="2315" t="s">
        <v>6459</v>
      </c>
      <c r="C187" s="3247">
        <v>1</v>
      </c>
      <c r="D187" s="1355"/>
      <c r="E187" s="3247">
        <v>1</v>
      </c>
      <c r="F187" s="2396"/>
      <c r="G187" s="1355">
        <v>1</v>
      </c>
      <c r="H187" s="1356"/>
      <c r="I187" s="1355">
        <v>1</v>
      </c>
      <c r="J187" s="1356"/>
      <c r="K187" s="1355">
        <v>1</v>
      </c>
      <c r="L187" s="1356"/>
      <c r="M187" s="1355">
        <v>1</v>
      </c>
      <c r="N187" s="1356"/>
      <c r="O187" s="1355"/>
      <c r="P187" s="1356"/>
      <c r="Q187" s="1355"/>
      <c r="R187" s="1356"/>
      <c r="S187" s="1355">
        <v>1</v>
      </c>
      <c r="T187" s="1356">
        <v>0</v>
      </c>
      <c r="U187" s="1355">
        <v>4</v>
      </c>
      <c r="V187" s="1356">
        <v>0</v>
      </c>
      <c r="W187" s="1355">
        <v>3</v>
      </c>
      <c r="X187" s="1356">
        <v>0</v>
      </c>
      <c r="Y187" s="1355">
        <v>3</v>
      </c>
      <c r="Z187" s="1356">
        <v>0</v>
      </c>
      <c r="AA187" s="1355">
        <v>3</v>
      </c>
      <c r="AB187" s="1356">
        <v>0</v>
      </c>
      <c r="AC187" s="1355"/>
      <c r="AD187" s="1356"/>
      <c r="AE187" s="1355">
        <v>2</v>
      </c>
      <c r="AF187" s="1356">
        <v>0</v>
      </c>
      <c r="AG187" s="1355"/>
      <c r="AH187" s="1355"/>
    </row>
    <row r="188" spans="1:34" s="593" customFormat="1">
      <c r="A188" s="2315" t="s">
        <v>6460</v>
      </c>
      <c r="C188" s="3247">
        <v>1</v>
      </c>
      <c r="D188" s="1355"/>
      <c r="E188" s="3247">
        <v>1</v>
      </c>
      <c r="F188" s="2396"/>
      <c r="G188" s="1355">
        <v>2</v>
      </c>
      <c r="H188" s="1356">
        <v>1</v>
      </c>
      <c r="I188" s="1355">
        <v>3</v>
      </c>
      <c r="J188" s="1356">
        <v>1</v>
      </c>
      <c r="K188" s="1355">
        <v>3</v>
      </c>
      <c r="L188" s="1356">
        <v>1</v>
      </c>
      <c r="M188" s="1355">
        <v>3</v>
      </c>
      <c r="N188" s="1356">
        <v>1</v>
      </c>
      <c r="O188" s="1355">
        <v>3</v>
      </c>
      <c r="P188" s="1356">
        <v>1</v>
      </c>
      <c r="Q188" s="1355">
        <v>3</v>
      </c>
      <c r="R188" s="1356">
        <v>1</v>
      </c>
      <c r="S188" s="1355"/>
      <c r="T188" s="1356"/>
      <c r="U188" s="1355">
        <v>1</v>
      </c>
      <c r="V188" s="1356">
        <v>0</v>
      </c>
      <c r="W188" s="1355"/>
      <c r="X188" s="1356"/>
      <c r="Y188" s="1355"/>
      <c r="Z188" s="1356"/>
      <c r="AA188" s="1355"/>
      <c r="AB188" s="1356"/>
      <c r="AC188" s="1355">
        <v>3</v>
      </c>
      <c r="AD188" s="1356">
        <v>0</v>
      </c>
      <c r="AE188" s="1355">
        <v>2</v>
      </c>
      <c r="AF188" s="1356"/>
      <c r="AG188" s="1355"/>
      <c r="AH188" s="1355"/>
    </row>
    <row r="189" spans="1:34" s="593" customFormat="1">
      <c r="A189" s="2315" t="s">
        <v>6461</v>
      </c>
      <c r="C189" s="3247"/>
      <c r="D189" s="1355">
        <v>1</v>
      </c>
      <c r="E189" s="3247"/>
      <c r="F189" s="2396">
        <v>1</v>
      </c>
      <c r="G189" s="1355"/>
      <c r="H189" s="1356">
        <v>1</v>
      </c>
      <c r="I189" s="1355"/>
      <c r="J189" s="1356"/>
      <c r="K189" s="1355"/>
      <c r="L189" s="1356"/>
      <c r="M189" s="1355"/>
      <c r="N189" s="1356"/>
      <c r="O189" s="1355"/>
      <c r="P189" s="1356"/>
      <c r="Q189" s="1355">
        <v>0</v>
      </c>
      <c r="R189" s="1356">
        <v>1</v>
      </c>
      <c r="S189" s="1355"/>
      <c r="T189" s="1356"/>
      <c r="U189" s="1355"/>
      <c r="V189" s="1356"/>
      <c r="W189" s="1355"/>
      <c r="X189" s="1356"/>
      <c r="Y189" s="1355"/>
      <c r="Z189" s="1356"/>
      <c r="AA189" s="1355"/>
      <c r="AB189" s="1356"/>
      <c r="AC189" s="1355">
        <v>1</v>
      </c>
      <c r="AD189" s="1356">
        <v>0</v>
      </c>
      <c r="AE189" s="1355"/>
      <c r="AF189" s="1356"/>
      <c r="AG189" s="1355"/>
      <c r="AH189" s="1355"/>
    </row>
    <row r="190" spans="1:34" s="593" customFormat="1">
      <c r="A190" s="2315" t="s">
        <v>6462</v>
      </c>
      <c r="C190" s="3247"/>
      <c r="D190" s="1355"/>
      <c r="E190" s="3247"/>
      <c r="F190" s="2396"/>
      <c r="G190" s="1355"/>
      <c r="H190" s="1356"/>
      <c r="I190" s="1355"/>
      <c r="J190" s="1356"/>
      <c r="K190" s="1355"/>
      <c r="L190" s="1356"/>
      <c r="M190" s="1355"/>
      <c r="N190" s="1356"/>
      <c r="O190" s="1355"/>
      <c r="P190" s="1356"/>
      <c r="Q190" s="1355"/>
      <c r="R190" s="1356"/>
      <c r="S190" s="1355"/>
      <c r="T190" s="1356"/>
      <c r="U190" s="1355"/>
      <c r="V190" s="1356"/>
      <c r="W190" s="1355"/>
      <c r="X190" s="1356"/>
      <c r="Y190" s="1355"/>
      <c r="Z190" s="1356"/>
      <c r="AA190" s="1355"/>
      <c r="AB190" s="1356"/>
      <c r="AC190" s="1355"/>
      <c r="AD190" s="1356"/>
      <c r="AE190" s="1355"/>
      <c r="AF190" s="1356"/>
      <c r="AG190" s="1355"/>
      <c r="AH190" s="1355"/>
    </row>
    <row r="191" spans="1:34" s="593" customFormat="1">
      <c r="A191" s="2315" t="s">
        <v>6463</v>
      </c>
      <c r="C191" s="3247"/>
      <c r="D191" s="1355"/>
      <c r="E191" s="3247"/>
      <c r="F191" s="2396"/>
      <c r="G191" s="1355"/>
      <c r="H191" s="1356"/>
      <c r="I191" s="1355"/>
      <c r="J191" s="1356"/>
      <c r="K191" s="1355"/>
      <c r="L191" s="1356"/>
      <c r="M191" s="1355"/>
      <c r="N191" s="1356"/>
      <c r="O191" s="1355">
        <v>1</v>
      </c>
      <c r="P191" s="1356">
        <v>0</v>
      </c>
      <c r="Q191" s="1355"/>
      <c r="R191" s="1356"/>
      <c r="S191" s="1355">
        <v>7</v>
      </c>
      <c r="T191" s="1356">
        <v>0</v>
      </c>
      <c r="U191" s="1355">
        <v>3</v>
      </c>
      <c r="V191" s="1356">
        <v>0</v>
      </c>
      <c r="W191" s="1355"/>
      <c r="X191" s="1356"/>
      <c r="Y191" s="1355"/>
      <c r="Z191" s="1356"/>
      <c r="AA191" s="1355"/>
      <c r="AB191" s="1356"/>
      <c r="AC191" s="1355"/>
      <c r="AD191" s="1356"/>
      <c r="AE191" s="1355"/>
      <c r="AF191" s="1356"/>
      <c r="AG191" s="1355"/>
      <c r="AH191" s="1355"/>
    </row>
    <row r="192" spans="1:34" s="593" customFormat="1">
      <c r="A192" s="2315" t="s">
        <v>6464</v>
      </c>
      <c r="C192" s="3247"/>
      <c r="D192" s="1355"/>
      <c r="E192" s="3247"/>
      <c r="F192" s="2396"/>
      <c r="G192" s="1355"/>
      <c r="H192" s="1356"/>
      <c r="I192" s="1355"/>
      <c r="J192" s="1356"/>
      <c r="K192" s="1355"/>
      <c r="L192" s="1356"/>
      <c r="M192" s="1355"/>
      <c r="N192" s="1356"/>
      <c r="O192" s="1355"/>
      <c r="P192" s="1356"/>
      <c r="Q192" s="1355"/>
      <c r="R192" s="1356"/>
      <c r="S192" s="1355"/>
      <c r="T192" s="1356"/>
      <c r="U192" s="1355"/>
      <c r="V192" s="1356"/>
      <c r="W192" s="1355"/>
      <c r="X192" s="1356"/>
      <c r="Y192" s="1355"/>
      <c r="Z192" s="1356"/>
      <c r="AA192" s="1355">
        <v>1</v>
      </c>
      <c r="AB192" s="1356"/>
      <c r="AC192" s="1355">
        <v>1</v>
      </c>
      <c r="AD192" s="1356">
        <v>0</v>
      </c>
      <c r="AE192" s="1355">
        <v>1</v>
      </c>
      <c r="AF192" s="1356">
        <v>0</v>
      </c>
      <c r="AG192" s="1355"/>
      <c r="AH192" s="1355"/>
    </row>
    <row r="193" spans="1:34" s="593" customFormat="1">
      <c r="A193" s="2315" t="s">
        <v>6465</v>
      </c>
      <c r="C193" s="3247">
        <v>7</v>
      </c>
      <c r="D193" s="1355">
        <v>4</v>
      </c>
      <c r="E193" s="3247">
        <v>6</v>
      </c>
      <c r="F193" s="2396">
        <v>4</v>
      </c>
      <c r="G193" s="1355">
        <v>5</v>
      </c>
      <c r="H193" s="1356">
        <v>3</v>
      </c>
      <c r="I193" s="1355">
        <v>4</v>
      </c>
      <c r="J193" s="1356">
        <v>3</v>
      </c>
      <c r="K193" s="1355">
        <v>6</v>
      </c>
      <c r="L193" s="1356">
        <v>5</v>
      </c>
      <c r="M193" s="1355">
        <v>6</v>
      </c>
      <c r="N193" s="1356">
        <v>4</v>
      </c>
      <c r="O193" s="1355">
        <v>4</v>
      </c>
      <c r="P193" s="1356">
        <v>1</v>
      </c>
      <c r="Q193" s="1355">
        <v>4</v>
      </c>
      <c r="R193" s="1356">
        <v>1</v>
      </c>
      <c r="S193" s="1355">
        <v>5</v>
      </c>
      <c r="T193" s="1356">
        <v>1</v>
      </c>
      <c r="U193" s="1355">
        <v>6</v>
      </c>
      <c r="V193" s="1356">
        <v>2</v>
      </c>
      <c r="W193" s="1355">
        <v>5</v>
      </c>
      <c r="X193" s="1356">
        <v>3</v>
      </c>
      <c r="Y193" s="1355">
        <v>5</v>
      </c>
      <c r="Z193" s="1356">
        <v>2</v>
      </c>
      <c r="AA193" s="1355">
        <v>6</v>
      </c>
      <c r="AB193" s="1356">
        <v>3</v>
      </c>
      <c r="AC193" s="1355">
        <v>5</v>
      </c>
      <c r="AD193" s="1356">
        <v>3</v>
      </c>
      <c r="AE193" s="1355">
        <v>4</v>
      </c>
      <c r="AF193" s="1356">
        <v>2</v>
      </c>
      <c r="AG193" s="1355">
        <v>4</v>
      </c>
      <c r="AH193" s="1355">
        <v>2</v>
      </c>
    </row>
    <row r="194" spans="1:34" s="593" customFormat="1">
      <c r="A194" s="2315" t="s">
        <v>6466</v>
      </c>
      <c r="C194" s="3247"/>
      <c r="D194" s="1355"/>
      <c r="E194" s="3247"/>
      <c r="F194" s="2396"/>
      <c r="G194" s="1355"/>
      <c r="H194" s="1356"/>
      <c r="I194" s="1355"/>
      <c r="J194" s="1356"/>
      <c r="K194" s="1355"/>
      <c r="L194" s="1356"/>
      <c r="M194" s="1355"/>
      <c r="N194" s="1356"/>
      <c r="O194" s="1355"/>
      <c r="P194" s="1356"/>
      <c r="Q194" s="1355"/>
      <c r="R194" s="1356"/>
      <c r="S194" s="1355"/>
      <c r="T194" s="1356"/>
      <c r="U194" s="1355"/>
      <c r="V194" s="1356"/>
      <c r="W194" s="1355">
        <v>2</v>
      </c>
      <c r="X194" s="1356">
        <v>0</v>
      </c>
      <c r="Y194" s="1355">
        <v>6</v>
      </c>
      <c r="Z194" s="1356">
        <v>0</v>
      </c>
      <c r="AA194" s="1355">
        <v>39</v>
      </c>
      <c r="AB194" s="1356">
        <v>21</v>
      </c>
      <c r="AC194" s="1355">
        <v>32</v>
      </c>
      <c r="AD194" s="1356">
        <v>18</v>
      </c>
      <c r="AE194" s="1355"/>
      <c r="AF194" s="1356"/>
      <c r="AG194" s="1355"/>
      <c r="AH194" s="1355"/>
    </row>
    <row r="195" spans="1:34" s="593" customFormat="1" ht="13.5" thickBot="1">
      <c r="A195" s="2315" t="s">
        <v>6467</v>
      </c>
      <c r="C195" s="3247">
        <v>1</v>
      </c>
      <c r="D195" s="1355"/>
      <c r="E195" s="3247">
        <v>1</v>
      </c>
      <c r="F195" s="2396"/>
      <c r="G195" s="1355">
        <v>1</v>
      </c>
      <c r="H195" s="1356"/>
      <c r="I195" s="1355">
        <v>1</v>
      </c>
      <c r="J195" s="1356"/>
      <c r="K195" s="1355">
        <v>1</v>
      </c>
      <c r="L195" s="1356"/>
      <c r="M195" s="1355">
        <v>1</v>
      </c>
      <c r="N195" s="1356"/>
      <c r="O195" s="1355">
        <v>1</v>
      </c>
      <c r="P195" s="1356">
        <v>0</v>
      </c>
      <c r="Q195" s="1355">
        <v>1</v>
      </c>
      <c r="R195" s="1356">
        <v>0</v>
      </c>
      <c r="S195" s="1355">
        <v>2</v>
      </c>
      <c r="T195" s="1356">
        <v>1</v>
      </c>
      <c r="U195" s="1355">
        <v>1</v>
      </c>
      <c r="V195" s="1356">
        <v>1</v>
      </c>
      <c r="W195" s="1355">
        <v>1</v>
      </c>
      <c r="X195" s="1356">
        <v>1</v>
      </c>
      <c r="Y195" s="1355">
        <v>2</v>
      </c>
      <c r="Z195" s="1356">
        <v>1</v>
      </c>
      <c r="AA195" s="1355">
        <v>1</v>
      </c>
      <c r="AB195" s="1356">
        <v>1</v>
      </c>
      <c r="AC195" s="1355"/>
      <c r="AD195" s="1356">
        <v>1</v>
      </c>
      <c r="AE195" s="1355">
        <v>0</v>
      </c>
      <c r="AF195" s="1356">
        <v>1</v>
      </c>
      <c r="AG195" s="1355"/>
      <c r="AH195" s="1355">
        <v>1</v>
      </c>
    </row>
    <row r="196" spans="1:34" s="593" customFormat="1" ht="13.5" thickBot="1">
      <c r="A196" s="3230" t="s">
        <v>8</v>
      </c>
      <c r="B196" s="1397"/>
      <c r="C196" s="3249">
        <f t="shared" ref="C196:AF196" si="21">SUM(C113:C195)</f>
        <v>90</v>
      </c>
      <c r="D196" s="1397">
        <f t="shared" si="21"/>
        <v>73</v>
      </c>
      <c r="E196" s="1397">
        <f t="shared" si="21"/>
        <v>96</v>
      </c>
      <c r="F196" s="3250">
        <f t="shared" si="21"/>
        <v>80</v>
      </c>
      <c r="G196" s="1397">
        <f t="shared" si="21"/>
        <v>129</v>
      </c>
      <c r="H196" s="1398">
        <f t="shared" si="21"/>
        <v>81</v>
      </c>
      <c r="I196" s="1397">
        <f t="shared" si="21"/>
        <v>102</v>
      </c>
      <c r="J196" s="1398">
        <f t="shared" si="21"/>
        <v>72</v>
      </c>
      <c r="K196" s="1397">
        <f t="shared" si="21"/>
        <v>117</v>
      </c>
      <c r="L196" s="1398">
        <f t="shared" si="21"/>
        <v>84</v>
      </c>
      <c r="M196" s="1397">
        <f t="shared" si="21"/>
        <v>110</v>
      </c>
      <c r="N196" s="1398">
        <f t="shared" si="21"/>
        <v>77</v>
      </c>
      <c r="O196" s="1397">
        <f t="shared" si="21"/>
        <v>121</v>
      </c>
      <c r="P196" s="1398">
        <f t="shared" si="21"/>
        <v>73</v>
      </c>
      <c r="Q196" s="1397">
        <f t="shared" si="21"/>
        <v>139</v>
      </c>
      <c r="R196" s="1398">
        <f t="shared" si="21"/>
        <v>90</v>
      </c>
      <c r="S196" s="1397">
        <f t="shared" si="21"/>
        <v>170</v>
      </c>
      <c r="T196" s="1398">
        <f t="shared" si="21"/>
        <v>108</v>
      </c>
      <c r="U196" s="1397">
        <f t="shared" si="21"/>
        <v>178</v>
      </c>
      <c r="V196" s="1398">
        <f t="shared" si="21"/>
        <v>109</v>
      </c>
      <c r="W196" s="1397">
        <f t="shared" si="21"/>
        <v>214</v>
      </c>
      <c r="X196" s="1398">
        <f t="shared" si="21"/>
        <v>134</v>
      </c>
      <c r="Y196" s="1397">
        <f t="shared" si="21"/>
        <v>211</v>
      </c>
      <c r="Z196" s="1398">
        <f t="shared" si="21"/>
        <v>159</v>
      </c>
      <c r="AA196" s="1397">
        <f t="shared" si="21"/>
        <v>236</v>
      </c>
      <c r="AB196" s="1398">
        <f t="shared" si="21"/>
        <v>181</v>
      </c>
      <c r="AC196" s="1397">
        <f t="shared" si="21"/>
        <v>220</v>
      </c>
      <c r="AD196" s="1398">
        <f t="shared" si="21"/>
        <v>170</v>
      </c>
      <c r="AE196" s="1397">
        <f t="shared" si="21"/>
        <v>187</v>
      </c>
      <c r="AF196" s="1398">
        <f t="shared" si="21"/>
        <v>159</v>
      </c>
    </row>
    <row r="197" spans="1:34" s="593" customFormat="1">
      <c r="A197" s="1396"/>
      <c r="B197" s="1396"/>
      <c r="C197" s="1396"/>
      <c r="D197" s="1396"/>
      <c r="E197" s="1396"/>
      <c r="F197" s="1396"/>
      <c r="G197" s="1396"/>
      <c r="H197" s="1396"/>
      <c r="I197" s="1396"/>
      <c r="J197" s="1396"/>
      <c r="K197" s="1396"/>
      <c r="L197" s="1396"/>
      <c r="M197" s="1396"/>
      <c r="N197" s="1396"/>
      <c r="O197" s="1396"/>
      <c r="P197" s="1396"/>
      <c r="Q197" s="1396"/>
      <c r="R197" s="1396"/>
      <c r="S197" s="1396"/>
      <c r="T197" s="1396"/>
      <c r="U197" s="1396"/>
      <c r="V197" s="1396"/>
      <c r="W197" s="1396"/>
      <c r="X197" s="1396"/>
      <c r="Y197" s="1396"/>
      <c r="Z197" s="1396"/>
    </row>
    <row r="198" spans="1:34" ht="13.5" thickBot="1">
      <c r="W198" s="593"/>
      <c r="X198" s="593"/>
    </row>
    <row r="199" spans="1:34" ht="13.5" thickBot="1">
      <c r="A199" s="3186" t="s">
        <v>6468</v>
      </c>
      <c r="B199" s="3228">
        <v>2015</v>
      </c>
      <c r="C199" s="3228">
        <v>2016</v>
      </c>
      <c r="D199" s="3228">
        <v>2017</v>
      </c>
      <c r="E199" s="3229">
        <v>2018</v>
      </c>
      <c r="F199" s="3229">
        <v>2019</v>
      </c>
      <c r="G199" s="3229">
        <v>2020</v>
      </c>
      <c r="H199" s="3229">
        <v>2021</v>
      </c>
      <c r="I199" s="3229">
        <v>2022</v>
      </c>
    </row>
    <row r="200" spans="1:34">
      <c r="A200" s="2315" t="s">
        <v>6469</v>
      </c>
      <c r="B200" s="1355">
        <v>1</v>
      </c>
      <c r="C200" s="1355">
        <v>2</v>
      </c>
      <c r="D200" s="1355"/>
      <c r="E200" s="1355">
        <v>2</v>
      </c>
      <c r="F200" s="1355">
        <v>3</v>
      </c>
      <c r="G200" s="1355">
        <v>3</v>
      </c>
      <c r="H200" s="2317"/>
      <c r="I200" s="2331"/>
    </row>
    <row r="201" spans="1:34">
      <c r="A201" s="2315" t="s">
        <v>6470</v>
      </c>
      <c r="B201" s="1355">
        <v>9</v>
      </c>
      <c r="C201" s="1355">
        <v>5</v>
      </c>
      <c r="D201" s="1355">
        <v>3</v>
      </c>
      <c r="E201" s="1355">
        <v>9</v>
      </c>
      <c r="F201" s="1355">
        <v>6</v>
      </c>
      <c r="G201" s="1355">
        <v>0</v>
      </c>
      <c r="H201" s="2317">
        <v>5</v>
      </c>
      <c r="I201" s="2331">
        <v>5</v>
      </c>
    </row>
    <row r="202" spans="1:34">
      <c r="A202" s="2315" t="s">
        <v>6471</v>
      </c>
      <c r="B202" s="1355">
        <v>1</v>
      </c>
      <c r="C202" s="1355"/>
      <c r="D202" s="1355"/>
      <c r="E202" s="1355"/>
      <c r="F202" s="1355"/>
      <c r="G202" s="1355">
        <v>3</v>
      </c>
      <c r="H202" s="2317"/>
      <c r="I202" s="2331"/>
    </row>
    <row r="203" spans="1:34">
      <c r="A203" s="2315" t="s">
        <v>6472</v>
      </c>
      <c r="B203" s="1355">
        <v>2</v>
      </c>
      <c r="C203" s="1355">
        <v>5</v>
      </c>
      <c r="D203" s="1355">
        <v>1</v>
      </c>
      <c r="E203" s="1355">
        <v>9</v>
      </c>
      <c r="F203" s="1355">
        <v>9</v>
      </c>
      <c r="G203" s="1355">
        <v>2</v>
      </c>
      <c r="H203" s="2317">
        <v>2</v>
      </c>
      <c r="I203" s="2331">
        <v>7</v>
      </c>
    </row>
    <row r="204" spans="1:34">
      <c r="A204" s="2315" t="s">
        <v>6473</v>
      </c>
      <c r="B204" s="1355">
        <v>2</v>
      </c>
      <c r="C204" s="1355"/>
      <c r="D204" s="1355">
        <v>1</v>
      </c>
      <c r="E204" s="1355"/>
      <c r="F204" s="1355"/>
      <c r="G204" s="1355"/>
      <c r="H204" s="2317"/>
      <c r="I204" s="2331"/>
    </row>
    <row r="205" spans="1:34">
      <c r="A205" s="2315" t="s">
        <v>6474</v>
      </c>
      <c r="B205" s="1355"/>
      <c r="C205" s="1355"/>
      <c r="D205" s="1355"/>
      <c r="E205" s="1355"/>
      <c r="F205" s="1355"/>
      <c r="G205" s="1355"/>
      <c r="H205" s="2317"/>
      <c r="I205" s="2331">
        <v>8</v>
      </c>
    </row>
    <row r="206" spans="1:34">
      <c r="A206" s="2315" t="s">
        <v>6475</v>
      </c>
      <c r="B206" s="1355"/>
      <c r="C206" s="1355"/>
      <c r="D206" s="1355"/>
      <c r="E206" s="1355"/>
      <c r="F206" s="1355"/>
      <c r="G206" s="1355"/>
      <c r="H206" s="2317"/>
      <c r="I206" s="2331"/>
    </row>
    <row r="207" spans="1:34">
      <c r="A207" s="2315" t="s">
        <v>6476</v>
      </c>
      <c r="B207" s="1355"/>
      <c r="C207" s="1355"/>
      <c r="D207" s="1355"/>
      <c r="E207" s="1355"/>
      <c r="F207" s="1355"/>
      <c r="G207" s="1355"/>
      <c r="H207" s="2317"/>
      <c r="I207" s="2331"/>
    </row>
    <row r="208" spans="1:34">
      <c r="A208" s="2315" t="s">
        <v>6477</v>
      </c>
      <c r="B208" s="1355"/>
      <c r="C208" s="1355">
        <v>1</v>
      </c>
      <c r="D208" s="1355"/>
      <c r="E208" s="1355"/>
      <c r="F208" s="1355"/>
      <c r="G208" s="1355"/>
      <c r="H208" s="2317"/>
      <c r="I208" s="2331"/>
    </row>
    <row r="209" spans="1:10">
      <c r="A209" s="2315" t="s">
        <v>6478</v>
      </c>
      <c r="B209" s="1355"/>
      <c r="C209" s="1355">
        <v>1</v>
      </c>
      <c r="D209" s="1355"/>
      <c r="E209" s="1355"/>
      <c r="F209" s="1355"/>
      <c r="G209" s="1355"/>
      <c r="H209" s="2317"/>
      <c r="I209" s="2331"/>
    </row>
    <row r="210" spans="1:10">
      <c r="A210" s="2315" t="s">
        <v>6479</v>
      </c>
      <c r="B210" s="1355"/>
      <c r="C210" s="1355"/>
      <c r="D210" s="1355">
        <v>1</v>
      </c>
      <c r="E210" s="1355">
        <v>4</v>
      </c>
      <c r="F210" s="1355">
        <v>3</v>
      </c>
      <c r="G210" s="1355">
        <v>2</v>
      </c>
      <c r="H210" s="2317">
        <v>2</v>
      </c>
      <c r="I210" s="2331">
        <v>8</v>
      </c>
    </row>
    <row r="211" spans="1:10">
      <c r="A211" s="2315" t="s">
        <v>6480</v>
      </c>
      <c r="B211" s="1355"/>
      <c r="C211" s="1355"/>
      <c r="D211" s="1355"/>
      <c r="E211" s="1355">
        <v>1</v>
      </c>
      <c r="F211" s="1355">
        <v>1</v>
      </c>
      <c r="G211" s="1355"/>
      <c r="H211" s="2317"/>
      <c r="I211" s="2331"/>
    </row>
    <row r="212" spans="1:10">
      <c r="A212" s="2315" t="s">
        <v>6481</v>
      </c>
      <c r="B212" s="1355"/>
      <c r="C212" s="1355"/>
      <c r="D212" s="1355"/>
      <c r="E212" s="1355"/>
      <c r="F212" s="1355">
        <v>2</v>
      </c>
      <c r="G212" s="1355"/>
      <c r="H212" s="2317"/>
      <c r="I212" s="2331"/>
    </row>
    <row r="213" spans="1:10">
      <c r="A213" s="2315" t="s">
        <v>7565</v>
      </c>
      <c r="B213" s="1355"/>
      <c r="C213" s="1355"/>
      <c r="D213" s="1355"/>
      <c r="E213" s="1355"/>
      <c r="F213" s="1355"/>
      <c r="G213" s="1355">
        <v>14</v>
      </c>
      <c r="H213" s="2317"/>
      <c r="I213" s="2331"/>
    </row>
    <row r="214" spans="1:10">
      <c r="A214" s="2315" t="s">
        <v>7564</v>
      </c>
      <c r="B214" s="1355"/>
      <c r="C214" s="1355"/>
      <c r="D214" s="1355"/>
      <c r="E214" s="1355"/>
      <c r="F214" s="1355"/>
      <c r="G214" s="1355"/>
      <c r="H214" s="2317">
        <v>1</v>
      </c>
      <c r="I214" s="2331"/>
    </row>
    <row r="215" spans="1:10">
      <c r="A215" s="2315" t="s">
        <v>8156</v>
      </c>
      <c r="B215" s="1355"/>
      <c r="C215" s="1355"/>
      <c r="D215" s="1355"/>
      <c r="E215" s="1355"/>
      <c r="F215" s="1355"/>
      <c r="G215" s="1355"/>
      <c r="H215" s="2317"/>
      <c r="I215" s="2331">
        <v>29</v>
      </c>
    </row>
    <row r="216" spans="1:10" ht="13.5" thickBot="1">
      <c r="A216" s="3251" t="s">
        <v>885</v>
      </c>
      <c r="B216" s="3196">
        <v>2</v>
      </c>
      <c r="C216" s="3196">
        <v>2</v>
      </c>
      <c r="D216" s="3196">
        <v>6</v>
      </c>
      <c r="E216" s="3196">
        <v>12</v>
      </c>
      <c r="F216" s="3196">
        <v>24</v>
      </c>
      <c r="G216" s="3196">
        <v>14</v>
      </c>
      <c r="H216" s="4399">
        <v>47</v>
      </c>
      <c r="I216" s="3890">
        <v>88</v>
      </c>
    </row>
    <row r="218" spans="1:10" ht="13.5" thickBot="1">
      <c r="A218" s="593"/>
      <c r="B218" s="593"/>
      <c r="C218" s="593"/>
      <c r="D218" s="593"/>
    </row>
    <row r="219" spans="1:10" ht="13.5" thickBot="1">
      <c r="A219" s="3186" t="s">
        <v>6482</v>
      </c>
      <c r="B219" s="3228">
        <v>2015</v>
      </c>
      <c r="C219" s="3228">
        <v>2016</v>
      </c>
      <c r="D219" s="3228">
        <v>2017</v>
      </c>
      <c r="E219" s="3228">
        <v>2018</v>
      </c>
      <c r="F219" s="3231">
        <v>2019</v>
      </c>
      <c r="I219" s="3252"/>
      <c r="J219" s="593"/>
    </row>
    <row r="220" spans="1:10" s="2340" customFormat="1" ht="26.25">
      <c r="A220" s="3253" t="s">
        <v>6483</v>
      </c>
      <c r="B220" s="3254"/>
      <c r="C220" s="3254"/>
      <c r="D220" s="3254"/>
      <c r="E220" s="1353">
        <v>117</v>
      </c>
      <c r="F220" s="3584" t="s">
        <v>7241</v>
      </c>
      <c r="G220" s="1396"/>
      <c r="H220" s="1396"/>
      <c r="I220" s="3255"/>
      <c r="J220" s="3891"/>
    </row>
    <row r="221" spans="1:10">
      <c r="A221" s="3253" t="s">
        <v>6484</v>
      </c>
      <c r="B221" s="3256">
        <v>3</v>
      </c>
      <c r="C221" s="3256">
        <v>3</v>
      </c>
      <c r="D221" s="1353">
        <v>6</v>
      </c>
      <c r="E221" s="1353">
        <v>3</v>
      </c>
      <c r="F221" s="2331"/>
      <c r="I221" s="3252"/>
      <c r="J221" s="593"/>
    </row>
    <row r="222" spans="1:10">
      <c r="A222" s="3253" t="s">
        <v>6485</v>
      </c>
      <c r="B222" s="3256"/>
      <c r="C222" s="3256"/>
      <c r="D222" s="1353"/>
      <c r="E222" s="1353">
        <v>1</v>
      </c>
      <c r="F222" s="2331"/>
      <c r="I222" s="3252"/>
      <c r="J222" s="593"/>
    </row>
    <row r="223" spans="1:10">
      <c r="A223" s="3257" t="s">
        <v>6486</v>
      </c>
      <c r="B223" s="3256"/>
      <c r="C223" s="3256">
        <v>11</v>
      </c>
      <c r="D223" s="1353">
        <v>16</v>
      </c>
      <c r="E223" s="1353">
        <v>20</v>
      </c>
      <c r="F223" s="2331"/>
      <c r="I223" s="3252"/>
      <c r="J223" s="593"/>
    </row>
    <row r="224" spans="1:10">
      <c r="A224" s="3257" t="s">
        <v>6487</v>
      </c>
      <c r="B224" s="3256"/>
      <c r="C224" s="3256"/>
      <c r="D224" s="1353"/>
      <c r="E224" s="1353">
        <v>3</v>
      </c>
      <c r="F224" s="2331"/>
      <c r="I224" s="3252"/>
      <c r="J224" s="593"/>
    </row>
    <row r="225" spans="1:10">
      <c r="A225" s="3253" t="s">
        <v>6488</v>
      </c>
      <c r="B225" s="3256">
        <v>15</v>
      </c>
      <c r="C225" s="3256">
        <v>34</v>
      </c>
      <c r="D225" s="1353">
        <v>37</v>
      </c>
      <c r="E225" s="1353">
        <v>26</v>
      </c>
      <c r="F225" s="2331"/>
      <c r="I225" s="3252"/>
      <c r="J225" s="593"/>
    </row>
    <row r="226" spans="1:10">
      <c r="A226" s="3257" t="s">
        <v>6489</v>
      </c>
      <c r="B226" s="3256"/>
      <c r="C226" s="3256">
        <v>0</v>
      </c>
      <c r="D226" s="1353">
        <v>0</v>
      </c>
      <c r="E226" s="1353">
        <v>0</v>
      </c>
      <c r="F226" s="2331"/>
      <c r="I226" s="3252"/>
      <c r="J226" s="593"/>
    </row>
    <row r="227" spans="1:10">
      <c r="A227" s="3257" t="s">
        <v>6490</v>
      </c>
      <c r="B227" s="3256"/>
      <c r="C227" s="3256">
        <v>88</v>
      </c>
      <c r="D227" s="1353"/>
      <c r="E227" s="1353"/>
      <c r="F227" s="2331"/>
      <c r="I227" s="3252"/>
      <c r="J227" s="593"/>
    </row>
    <row r="228" spans="1:10">
      <c r="A228" s="3253" t="s">
        <v>6491</v>
      </c>
      <c r="B228" s="3256">
        <v>0</v>
      </c>
      <c r="C228" s="3256" t="s">
        <v>6492</v>
      </c>
      <c r="D228" s="1353" t="s">
        <v>6492</v>
      </c>
      <c r="E228" s="1353" t="s">
        <v>6492</v>
      </c>
      <c r="F228" s="2331"/>
      <c r="I228" s="3252"/>
      <c r="J228" s="593"/>
    </row>
    <row r="229" spans="1:10">
      <c r="A229" s="3253" t="s">
        <v>6493</v>
      </c>
      <c r="B229" s="3256">
        <v>64</v>
      </c>
      <c r="C229" s="3256" t="s">
        <v>6492</v>
      </c>
      <c r="D229" s="1353" t="s">
        <v>6492</v>
      </c>
      <c r="E229" s="1353" t="s">
        <v>6492</v>
      </c>
      <c r="F229" s="2331"/>
      <c r="I229" s="3252"/>
      <c r="J229" s="593"/>
    </row>
    <row r="230" spans="1:10">
      <c r="A230" s="3253" t="s">
        <v>6494</v>
      </c>
      <c r="B230" s="3256">
        <v>0</v>
      </c>
      <c r="C230" s="3256">
        <v>0</v>
      </c>
      <c r="D230" s="1353">
        <v>0</v>
      </c>
      <c r="E230" s="1353">
        <v>3</v>
      </c>
      <c r="F230" s="2331"/>
      <c r="I230" s="3252"/>
      <c r="J230" s="593"/>
    </row>
    <row r="231" spans="1:10">
      <c r="A231" s="3253" t="s">
        <v>6495</v>
      </c>
      <c r="B231" s="3256"/>
      <c r="C231" s="3256"/>
      <c r="D231" s="1353">
        <v>2</v>
      </c>
      <c r="E231" s="1353">
        <v>0</v>
      </c>
      <c r="F231" s="2331"/>
      <c r="I231" s="3252"/>
      <c r="J231" s="593"/>
    </row>
    <row r="232" spans="1:10">
      <c r="A232" s="3253" t="s">
        <v>6496</v>
      </c>
      <c r="B232" s="3256"/>
      <c r="C232" s="3256">
        <v>220</v>
      </c>
      <c r="D232" s="1353">
        <v>338</v>
      </c>
      <c r="E232" s="1353">
        <v>382</v>
      </c>
      <c r="F232" s="2331"/>
      <c r="I232" s="3252"/>
      <c r="J232" s="593"/>
    </row>
    <row r="233" spans="1:10">
      <c r="A233" s="3253" t="s">
        <v>6497</v>
      </c>
      <c r="B233" s="3256"/>
      <c r="C233" s="3256"/>
      <c r="D233" s="1353"/>
      <c r="E233" s="1353">
        <v>66</v>
      </c>
      <c r="F233" s="2331"/>
      <c r="I233" s="3252"/>
      <c r="J233" s="593"/>
    </row>
    <row r="234" spans="1:10">
      <c r="A234" s="3253" t="s">
        <v>6498</v>
      </c>
      <c r="B234" s="3256"/>
      <c r="C234" s="3256"/>
      <c r="D234" s="1353">
        <v>8</v>
      </c>
      <c r="E234" s="1353">
        <v>16</v>
      </c>
      <c r="F234" s="2331"/>
      <c r="I234" s="3252"/>
      <c r="J234" s="593"/>
    </row>
    <row r="235" spans="1:10">
      <c r="A235" s="3253" t="s">
        <v>6499</v>
      </c>
      <c r="B235" s="3256">
        <v>128</v>
      </c>
      <c r="C235" s="3256">
        <v>119</v>
      </c>
      <c r="D235" s="1353">
        <v>157</v>
      </c>
      <c r="E235" s="1353">
        <v>172</v>
      </c>
      <c r="F235" s="2331"/>
      <c r="I235" s="3252"/>
      <c r="J235" s="593"/>
    </row>
    <row r="236" spans="1:10">
      <c r="A236" s="3253" t="s">
        <v>6500</v>
      </c>
      <c r="B236" s="3256">
        <v>15</v>
      </c>
      <c r="C236" s="3256">
        <v>5</v>
      </c>
      <c r="D236" s="1353">
        <v>17</v>
      </c>
      <c r="E236" s="1353">
        <v>19</v>
      </c>
      <c r="F236" s="2331"/>
      <c r="I236" s="3252"/>
      <c r="J236" s="593"/>
    </row>
    <row r="237" spans="1:10">
      <c r="A237" s="3253" t="s">
        <v>6501</v>
      </c>
      <c r="B237" s="3256">
        <v>11</v>
      </c>
      <c r="C237" s="3256">
        <v>14</v>
      </c>
      <c r="D237" s="1353">
        <v>22</v>
      </c>
      <c r="E237" s="1353">
        <v>14</v>
      </c>
      <c r="F237" s="2331"/>
      <c r="I237" s="3252"/>
      <c r="J237" s="593"/>
    </row>
    <row r="238" spans="1:10">
      <c r="A238" s="3253" t="s">
        <v>6502</v>
      </c>
      <c r="B238" s="3256">
        <v>50</v>
      </c>
      <c r="C238" s="3256">
        <v>76</v>
      </c>
      <c r="D238" s="1353">
        <v>51</v>
      </c>
      <c r="E238" s="1353">
        <v>59</v>
      </c>
      <c r="F238" s="2331"/>
      <c r="I238" s="3252"/>
      <c r="J238" s="593"/>
    </row>
    <row r="239" spans="1:10">
      <c r="A239" s="3253" t="s">
        <v>6503</v>
      </c>
      <c r="B239" s="3256"/>
      <c r="C239" s="3256">
        <v>42</v>
      </c>
      <c r="D239" s="1353" t="s">
        <v>6492</v>
      </c>
      <c r="E239" s="1353" t="s">
        <v>6492</v>
      </c>
      <c r="F239" s="2331"/>
      <c r="I239" s="3252"/>
      <c r="J239" s="593"/>
    </row>
    <row r="240" spans="1:10">
      <c r="A240" s="3253" t="s">
        <v>6504</v>
      </c>
      <c r="B240" s="3256"/>
      <c r="C240" s="3256">
        <v>8</v>
      </c>
      <c r="D240" s="1353" t="s">
        <v>6492</v>
      </c>
      <c r="E240" s="1353" t="s">
        <v>6492</v>
      </c>
      <c r="F240" s="2331"/>
      <c r="I240" s="3252"/>
      <c r="J240" s="593"/>
    </row>
    <row r="241" spans="1:10">
      <c r="A241" s="3253" t="s">
        <v>6505</v>
      </c>
      <c r="B241" s="3256">
        <v>2</v>
      </c>
      <c r="C241" s="3256">
        <v>11</v>
      </c>
      <c r="D241" s="1353" t="s">
        <v>6492</v>
      </c>
      <c r="E241" s="1353" t="s">
        <v>6492</v>
      </c>
      <c r="F241" s="2331"/>
      <c r="I241" s="3252"/>
      <c r="J241" s="593"/>
    </row>
    <row r="242" spans="1:10">
      <c r="A242" s="3253" t="s">
        <v>6506</v>
      </c>
      <c r="B242" s="3256">
        <v>1</v>
      </c>
      <c r="C242" s="3256">
        <v>79</v>
      </c>
      <c r="D242" s="1353" t="s">
        <v>6492</v>
      </c>
      <c r="E242" s="1353" t="s">
        <v>6492</v>
      </c>
      <c r="F242" s="2331"/>
      <c r="I242" s="3252"/>
      <c r="J242" s="593"/>
    </row>
    <row r="243" spans="1:10">
      <c r="A243" s="3253" t="s">
        <v>6507</v>
      </c>
      <c r="B243" s="3256"/>
      <c r="C243" s="3256">
        <v>15</v>
      </c>
      <c r="D243" s="1353" t="s">
        <v>6492</v>
      </c>
      <c r="E243" s="1353" t="s">
        <v>6492</v>
      </c>
      <c r="F243" s="2331"/>
      <c r="I243" s="3252"/>
      <c r="J243" s="593"/>
    </row>
    <row r="244" spans="1:10">
      <c r="A244" s="3253" t="s">
        <v>6508</v>
      </c>
      <c r="B244" s="3256">
        <v>2</v>
      </c>
      <c r="C244" s="3256">
        <v>4</v>
      </c>
      <c r="D244" s="1353" t="s">
        <v>6492</v>
      </c>
      <c r="E244" s="1353" t="s">
        <v>6492</v>
      </c>
      <c r="F244" s="2331"/>
      <c r="I244" s="3252"/>
      <c r="J244" s="593"/>
    </row>
    <row r="245" spans="1:10">
      <c r="A245" s="3253" t="s">
        <v>6509</v>
      </c>
      <c r="B245" s="3256">
        <v>3</v>
      </c>
      <c r="C245" s="3256" t="s">
        <v>6492</v>
      </c>
      <c r="D245" s="1353" t="s">
        <v>6492</v>
      </c>
      <c r="E245" s="1353" t="s">
        <v>6492</v>
      </c>
      <c r="F245" s="2331"/>
      <c r="I245" s="3252"/>
      <c r="J245" s="593"/>
    </row>
    <row r="246" spans="1:10">
      <c r="A246" s="3253" t="s">
        <v>6510</v>
      </c>
      <c r="B246" s="3256"/>
      <c r="C246" s="3256">
        <v>3</v>
      </c>
      <c r="D246" s="1353" t="s">
        <v>6492</v>
      </c>
      <c r="E246" s="1353" t="s">
        <v>6492</v>
      </c>
      <c r="F246" s="2331"/>
      <c r="I246" s="3252"/>
      <c r="J246" s="593"/>
    </row>
    <row r="247" spans="1:10">
      <c r="A247" s="3257" t="s">
        <v>6511</v>
      </c>
      <c r="B247" s="3256"/>
      <c r="C247" s="3256">
        <v>14</v>
      </c>
      <c r="D247" s="1353"/>
      <c r="E247" s="1353"/>
      <c r="F247" s="2331"/>
      <c r="I247" s="3252"/>
      <c r="J247" s="593"/>
    </row>
    <row r="248" spans="1:10">
      <c r="A248" s="3253" t="s">
        <v>6512</v>
      </c>
      <c r="B248" s="3256">
        <v>40</v>
      </c>
      <c r="C248" s="3256">
        <v>33</v>
      </c>
      <c r="D248" s="1353">
        <v>55</v>
      </c>
      <c r="E248" s="1353">
        <v>32</v>
      </c>
      <c r="F248" s="2331"/>
      <c r="I248" s="3252"/>
      <c r="J248" s="593"/>
    </row>
    <row r="249" spans="1:10">
      <c r="A249" s="3253" t="s">
        <v>6513</v>
      </c>
      <c r="B249" s="3256"/>
      <c r="C249" s="3256"/>
      <c r="D249" s="1353">
        <v>5</v>
      </c>
      <c r="E249" s="1353"/>
      <c r="F249" s="2331"/>
      <c r="I249" s="3252"/>
      <c r="J249" s="593"/>
    </row>
    <row r="250" spans="1:10">
      <c r="A250" s="3257" t="s">
        <v>6514</v>
      </c>
      <c r="B250" s="2317"/>
      <c r="C250" s="1353">
        <v>16</v>
      </c>
      <c r="D250" s="1353"/>
      <c r="E250" s="1353"/>
      <c r="F250" s="2331"/>
      <c r="I250" s="3252"/>
      <c r="J250" s="593"/>
    </row>
    <row r="251" spans="1:10">
      <c r="A251" s="3257" t="s">
        <v>6515</v>
      </c>
      <c r="B251" s="2317"/>
      <c r="C251" s="1353">
        <v>21</v>
      </c>
      <c r="D251" s="1353"/>
      <c r="E251" s="1353"/>
      <c r="F251" s="2331"/>
      <c r="I251" s="3252"/>
      <c r="J251" s="593"/>
    </row>
    <row r="252" spans="1:10">
      <c r="A252" s="3257" t="s">
        <v>6516</v>
      </c>
      <c r="B252" s="2317"/>
      <c r="C252" s="1353">
        <v>4</v>
      </c>
      <c r="D252" s="1353"/>
      <c r="E252" s="1353"/>
      <c r="F252" s="2331"/>
      <c r="I252" s="3252"/>
      <c r="J252" s="593"/>
    </row>
    <row r="253" spans="1:10">
      <c r="A253" s="3257" t="s">
        <v>6517</v>
      </c>
      <c r="B253" s="2317"/>
      <c r="C253" s="1353">
        <v>47</v>
      </c>
      <c r="D253" s="1353">
        <v>38</v>
      </c>
      <c r="E253" s="1353">
        <v>31</v>
      </c>
      <c r="F253" s="2331"/>
      <c r="I253" s="3252"/>
      <c r="J253" s="593"/>
    </row>
    <row r="254" spans="1:10">
      <c r="A254" s="3257" t="s">
        <v>6518</v>
      </c>
      <c r="B254" s="2317"/>
      <c r="C254" s="1353">
        <v>100</v>
      </c>
      <c r="D254" s="1353">
        <v>94</v>
      </c>
      <c r="E254" s="1353"/>
      <c r="F254" s="2331"/>
      <c r="I254" s="3252"/>
      <c r="J254" s="593"/>
    </row>
    <row r="255" spans="1:10">
      <c r="A255" s="3253" t="s">
        <v>6519</v>
      </c>
      <c r="B255" s="3256">
        <v>1</v>
      </c>
      <c r="C255" s="3256">
        <v>0</v>
      </c>
      <c r="D255" s="1353"/>
      <c r="E255" s="1353"/>
      <c r="F255" s="2331"/>
      <c r="I255" s="3252"/>
      <c r="J255" s="593"/>
    </row>
    <row r="256" spans="1:10">
      <c r="A256" s="3253" t="s">
        <v>6520</v>
      </c>
      <c r="B256" s="3256"/>
      <c r="C256" s="3256">
        <v>72</v>
      </c>
      <c r="D256" s="1353">
        <v>108</v>
      </c>
      <c r="E256" s="1353">
        <v>68</v>
      </c>
      <c r="F256" s="2331"/>
      <c r="I256" s="3252"/>
      <c r="J256" s="593"/>
    </row>
    <row r="257" spans="1:10">
      <c r="A257" s="3253" t="s">
        <v>6521</v>
      </c>
      <c r="B257" s="3256">
        <v>4</v>
      </c>
      <c r="C257" s="3256" t="s">
        <v>6492</v>
      </c>
      <c r="D257" s="1353" t="s">
        <v>6492</v>
      </c>
      <c r="E257" s="1353" t="s">
        <v>6492</v>
      </c>
      <c r="F257" s="2331"/>
      <c r="I257" s="3252"/>
      <c r="J257" s="593"/>
    </row>
    <row r="258" spans="1:10">
      <c r="A258" s="3253" t="s">
        <v>6522</v>
      </c>
      <c r="B258" s="3256">
        <v>0</v>
      </c>
      <c r="C258" s="3256" t="s">
        <v>6492</v>
      </c>
      <c r="D258" s="1353" t="s">
        <v>6492</v>
      </c>
      <c r="E258" s="1353" t="s">
        <v>6492</v>
      </c>
      <c r="F258" s="2331"/>
      <c r="I258" s="3252"/>
      <c r="J258" s="593"/>
    </row>
    <row r="259" spans="1:10">
      <c r="A259" s="3253" t="s">
        <v>6523</v>
      </c>
      <c r="B259" s="3256">
        <v>1</v>
      </c>
      <c r="C259" s="3256" t="s">
        <v>6492</v>
      </c>
      <c r="D259" s="1353" t="s">
        <v>6492</v>
      </c>
      <c r="E259" s="1353" t="s">
        <v>6492</v>
      </c>
      <c r="F259" s="2331"/>
      <c r="I259" s="3252"/>
      <c r="J259" s="593"/>
    </row>
    <row r="260" spans="1:10">
      <c r="A260" s="3253" t="s">
        <v>6524</v>
      </c>
      <c r="B260" s="3256"/>
      <c r="C260" s="3256"/>
      <c r="D260" s="1353">
        <v>3</v>
      </c>
      <c r="E260" s="1353"/>
      <c r="F260" s="2331"/>
      <c r="I260" s="3252"/>
      <c r="J260" s="593"/>
    </row>
    <row r="261" spans="1:10">
      <c r="A261" s="3253" t="s">
        <v>6525</v>
      </c>
      <c r="B261" s="3256">
        <v>5</v>
      </c>
      <c r="C261" s="3256">
        <v>1</v>
      </c>
      <c r="D261" s="1353"/>
      <c r="E261" s="1353"/>
      <c r="F261" s="2331"/>
      <c r="I261" s="3252"/>
      <c r="J261" s="593"/>
    </row>
    <row r="262" spans="1:10" ht="25.5">
      <c r="A262" s="3253" t="s">
        <v>6526</v>
      </c>
      <c r="B262" s="3256">
        <v>11</v>
      </c>
      <c r="C262" s="3256">
        <v>0</v>
      </c>
      <c r="D262" s="1353"/>
      <c r="E262" s="1353"/>
      <c r="F262" s="2331"/>
      <c r="I262" s="3252"/>
      <c r="J262" s="593"/>
    </row>
    <row r="263" spans="1:10">
      <c r="A263" s="3257" t="s">
        <v>6527</v>
      </c>
      <c r="B263" s="3256"/>
      <c r="C263" s="1353">
        <v>33</v>
      </c>
      <c r="D263" s="1353"/>
      <c r="E263" s="1353"/>
      <c r="F263" s="2331"/>
      <c r="I263" s="3252"/>
      <c r="J263" s="593"/>
    </row>
    <row r="264" spans="1:10">
      <c r="A264" s="3257" t="s">
        <v>6528</v>
      </c>
      <c r="B264" s="3256"/>
      <c r="C264" s="1353">
        <v>34</v>
      </c>
      <c r="D264" s="1353"/>
      <c r="E264" s="1353"/>
      <c r="F264" s="2331"/>
      <c r="I264" s="3252"/>
      <c r="J264" s="593"/>
    </row>
    <row r="265" spans="1:10">
      <c r="A265" s="3257" t="s">
        <v>6529</v>
      </c>
      <c r="B265" s="3256"/>
      <c r="C265" s="1353">
        <v>18</v>
      </c>
      <c r="D265" s="1353"/>
      <c r="E265" s="1353"/>
      <c r="F265" s="2331"/>
      <c r="I265" s="3252"/>
      <c r="J265" s="593"/>
    </row>
    <row r="266" spans="1:10">
      <c r="A266" s="3257" t="s">
        <v>6530</v>
      </c>
      <c r="B266" s="3256"/>
      <c r="C266" s="1353">
        <v>35</v>
      </c>
      <c r="D266" s="1353">
        <v>68</v>
      </c>
      <c r="E266" s="1353"/>
      <c r="F266" s="2331"/>
      <c r="I266" s="3252"/>
      <c r="J266" s="593"/>
    </row>
    <row r="267" spans="1:10">
      <c r="A267" s="3257" t="s">
        <v>6531</v>
      </c>
      <c r="B267" s="3256"/>
      <c r="C267" s="1353">
        <v>35</v>
      </c>
      <c r="D267" s="1353"/>
      <c r="E267" s="1353"/>
      <c r="F267" s="2331"/>
      <c r="I267" s="3252"/>
      <c r="J267" s="593"/>
    </row>
    <row r="268" spans="1:10">
      <c r="A268" s="3257" t="s">
        <v>6532</v>
      </c>
      <c r="B268" s="3256"/>
      <c r="C268" s="1353">
        <v>13</v>
      </c>
      <c r="D268" s="1353"/>
      <c r="E268" s="1353"/>
      <c r="F268" s="2331"/>
      <c r="I268" s="3252"/>
      <c r="J268" s="593"/>
    </row>
    <row r="269" spans="1:10">
      <c r="A269" s="3257" t="s">
        <v>6533</v>
      </c>
      <c r="B269" s="3256"/>
      <c r="C269" s="1353">
        <v>50</v>
      </c>
      <c r="D269" s="1353"/>
      <c r="E269" s="1353"/>
      <c r="F269" s="2331"/>
      <c r="I269" s="3252"/>
      <c r="J269" s="593"/>
    </row>
    <row r="270" spans="1:10">
      <c r="A270" s="3257" t="s">
        <v>6534</v>
      </c>
      <c r="B270" s="3256"/>
      <c r="C270" s="1353"/>
      <c r="D270" s="1353">
        <v>36</v>
      </c>
      <c r="E270" s="1353"/>
      <c r="F270" s="2331"/>
      <c r="I270" s="3252"/>
      <c r="J270" s="593"/>
    </row>
    <row r="271" spans="1:10">
      <c r="A271" s="3257" t="s">
        <v>6535</v>
      </c>
      <c r="B271" s="3256"/>
      <c r="C271" s="1353"/>
      <c r="D271" s="1353"/>
      <c r="E271" s="1353">
        <v>83</v>
      </c>
      <c r="F271" s="2331"/>
      <c r="I271" s="3252"/>
      <c r="J271" s="593"/>
    </row>
    <row r="272" spans="1:10">
      <c r="A272" s="3257" t="s">
        <v>6536</v>
      </c>
      <c r="B272" s="3256">
        <v>1</v>
      </c>
      <c r="C272" s="1353">
        <v>0</v>
      </c>
      <c r="D272" s="1353">
        <v>49</v>
      </c>
      <c r="E272" s="1353"/>
      <c r="F272" s="2331"/>
      <c r="I272" s="3252"/>
      <c r="J272" s="593"/>
    </row>
    <row r="273" spans="1:10">
      <c r="A273" s="3257" t="s">
        <v>6537</v>
      </c>
      <c r="B273" s="3256"/>
      <c r="C273" s="1353"/>
      <c r="D273" s="1353">
        <v>12</v>
      </c>
      <c r="E273" s="1353"/>
      <c r="F273" s="2331"/>
      <c r="I273" s="3252"/>
      <c r="J273" s="593"/>
    </row>
    <row r="274" spans="1:10">
      <c r="A274" s="3257" t="s">
        <v>6538</v>
      </c>
      <c r="B274" s="3256">
        <v>10</v>
      </c>
      <c r="C274" s="1353">
        <v>53</v>
      </c>
      <c r="D274" s="1353">
        <v>65</v>
      </c>
      <c r="E274" s="1353"/>
      <c r="F274" s="2331"/>
      <c r="I274" s="3252"/>
      <c r="J274" s="593"/>
    </row>
    <row r="275" spans="1:10">
      <c r="A275" s="3257" t="s">
        <v>6539</v>
      </c>
      <c r="B275" s="3256"/>
      <c r="C275" s="1353">
        <v>12</v>
      </c>
      <c r="D275" s="1353"/>
      <c r="E275" s="1353"/>
      <c r="F275" s="2331"/>
      <c r="I275" s="3252"/>
      <c r="J275" s="593"/>
    </row>
    <row r="276" spans="1:10">
      <c r="A276" s="3257" t="s">
        <v>6540</v>
      </c>
      <c r="B276" s="3256">
        <v>40</v>
      </c>
      <c r="C276" s="1353">
        <v>89</v>
      </c>
      <c r="D276" s="1353">
        <v>87</v>
      </c>
      <c r="E276" s="1353"/>
      <c r="F276" s="2331"/>
      <c r="I276" s="3252"/>
      <c r="J276" s="593"/>
    </row>
    <row r="277" spans="1:10">
      <c r="A277" s="3257" t="s">
        <v>6541</v>
      </c>
      <c r="B277" s="3256">
        <v>473</v>
      </c>
      <c r="C277" s="1353">
        <v>491</v>
      </c>
      <c r="D277" s="1353">
        <v>469</v>
      </c>
      <c r="E277" s="1353"/>
      <c r="F277" s="2331"/>
      <c r="I277" s="3252"/>
      <c r="J277" s="593"/>
    </row>
    <row r="278" spans="1:10">
      <c r="A278" s="3257" t="s">
        <v>6542</v>
      </c>
      <c r="B278" s="3256"/>
      <c r="C278" s="1353">
        <v>200</v>
      </c>
      <c r="D278" s="1353"/>
      <c r="E278" s="1353"/>
      <c r="F278" s="2331"/>
      <c r="I278" s="3252"/>
      <c r="J278" s="593"/>
    </row>
    <row r="279" spans="1:10">
      <c r="A279" s="3257" t="s">
        <v>6543</v>
      </c>
      <c r="B279" s="3256"/>
      <c r="C279" s="1353">
        <v>34</v>
      </c>
      <c r="D279" s="1353"/>
      <c r="E279" s="1353"/>
      <c r="F279" s="2331"/>
      <c r="I279" s="3252"/>
      <c r="J279" s="593"/>
    </row>
    <row r="280" spans="1:10">
      <c r="A280" s="3257" t="s">
        <v>6544</v>
      </c>
      <c r="B280" s="3256"/>
      <c r="C280" s="1353">
        <v>30</v>
      </c>
      <c r="D280" s="1353"/>
      <c r="E280" s="1353"/>
      <c r="F280" s="2331"/>
      <c r="I280" s="3252"/>
      <c r="J280" s="593"/>
    </row>
    <row r="281" spans="1:10">
      <c r="A281" s="3253" t="s">
        <v>6531</v>
      </c>
      <c r="B281" s="3256"/>
      <c r="C281" s="3256">
        <v>36</v>
      </c>
      <c r="D281" s="1353"/>
      <c r="E281" s="1353"/>
      <c r="F281" s="2331"/>
      <c r="I281" s="3252"/>
      <c r="J281" s="593"/>
    </row>
    <row r="282" spans="1:10">
      <c r="A282" s="3253" t="s">
        <v>6545</v>
      </c>
      <c r="B282" s="3256"/>
      <c r="C282" s="3256">
        <v>14</v>
      </c>
      <c r="D282" s="1353">
        <v>16</v>
      </c>
      <c r="E282" s="1353"/>
      <c r="F282" s="2331"/>
      <c r="I282" s="3252"/>
      <c r="J282" s="593"/>
    </row>
    <row r="283" spans="1:10">
      <c r="A283" s="3253" t="s">
        <v>6546</v>
      </c>
      <c r="B283" s="3256"/>
      <c r="C283" s="3256"/>
      <c r="D283" s="1353">
        <v>4</v>
      </c>
      <c r="E283" s="1353">
        <v>4</v>
      </c>
      <c r="F283" s="2331"/>
      <c r="I283" s="3252"/>
      <c r="J283" s="593"/>
    </row>
    <row r="284" spans="1:10">
      <c r="A284" s="3253" t="s">
        <v>6547</v>
      </c>
      <c r="B284" s="3256">
        <v>2</v>
      </c>
      <c r="C284" s="3256">
        <v>1</v>
      </c>
      <c r="D284" s="1353">
        <v>3</v>
      </c>
      <c r="E284" s="1353">
        <v>4</v>
      </c>
      <c r="F284" s="2331"/>
      <c r="I284" s="3252"/>
      <c r="J284" s="593"/>
    </row>
    <row r="285" spans="1:10">
      <c r="A285" s="3257" t="s">
        <v>6548</v>
      </c>
      <c r="B285" s="3256"/>
      <c r="C285" s="3256">
        <v>64</v>
      </c>
      <c r="D285" s="1353">
        <v>14</v>
      </c>
      <c r="E285" s="1353"/>
      <c r="F285" s="2331"/>
      <c r="I285" s="3252"/>
      <c r="J285" s="593"/>
    </row>
    <row r="286" spans="1:10">
      <c r="A286" s="3257" t="s">
        <v>6549</v>
      </c>
      <c r="B286" s="3256"/>
      <c r="C286" s="3256"/>
      <c r="D286" s="1353"/>
      <c r="E286" s="1353">
        <v>1</v>
      </c>
      <c r="F286" s="2331"/>
      <c r="I286" s="3252"/>
      <c r="J286" s="593"/>
    </row>
    <row r="287" spans="1:10">
      <c r="A287" s="3257" t="s">
        <v>6550</v>
      </c>
      <c r="B287" s="3256"/>
      <c r="C287" s="3256"/>
      <c r="D287" s="1353">
        <v>8</v>
      </c>
      <c r="E287" s="1353"/>
      <c r="F287" s="2331"/>
      <c r="I287" s="3252"/>
      <c r="J287" s="593"/>
    </row>
    <row r="288" spans="1:10">
      <c r="A288" s="3257" t="s">
        <v>6551</v>
      </c>
      <c r="B288" s="3256"/>
      <c r="C288" s="3256"/>
      <c r="D288" s="1353"/>
      <c r="E288" s="1353">
        <v>18</v>
      </c>
      <c r="F288" s="2331"/>
      <c r="I288" s="3252"/>
      <c r="J288" s="593"/>
    </row>
    <row r="289" spans="1:10">
      <c r="A289" s="3253" t="s">
        <v>6552</v>
      </c>
      <c r="B289" s="3256"/>
      <c r="C289" s="3256" t="s">
        <v>6492</v>
      </c>
      <c r="D289" s="1353" t="s">
        <v>6492</v>
      </c>
      <c r="E289" s="1353"/>
      <c r="F289" s="2331"/>
      <c r="I289" s="3252"/>
      <c r="J289" s="593"/>
    </row>
    <row r="290" spans="1:10">
      <c r="A290" s="3253" t="s">
        <v>6553</v>
      </c>
      <c r="B290" s="3256"/>
      <c r="C290" s="3256" t="s">
        <v>6492</v>
      </c>
      <c r="D290" s="1353" t="s">
        <v>6492</v>
      </c>
      <c r="E290" s="1353"/>
      <c r="F290" s="2331"/>
      <c r="I290" s="3252"/>
      <c r="J290" s="593"/>
    </row>
    <row r="291" spans="1:10">
      <c r="A291" s="3253" t="s">
        <v>6554</v>
      </c>
      <c r="B291" s="3256"/>
      <c r="C291" s="3256"/>
      <c r="D291" s="1353"/>
      <c r="E291" s="1353">
        <v>11</v>
      </c>
      <c r="F291" s="2331"/>
      <c r="I291" s="3252"/>
      <c r="J291" s="593"/>
    </row>
    <row r="292" spans="1:10">
      <c r="A292" s="3253" t="s">
        <v>6555</v>
      </c>
      <c r="B292" s="3256"/>
      <c r="C292" s="3256"/>
      <c r="D292" s="1353">
        <v>34</v>
      </c>
      <c r="E292" s="1353"/>
      <c r="F292" s="2331"/>
      <c r="I292" s="3252"/>
      <c r="J292" s="593"/>
    </row>
    <row r="293" spans="1:10">
      <c r="A293" s="3253" t="s">
        <v>6556</v>
      </c>
      <c r="B293" s="3256"/>
      <c r="C293" s="3256"/>
      <c r="D293" s="1353"/>
      <c r="E293" s="1353">
        <v>13</v>
      </c>
      <c r="F293" s="2331"/>
      <c r="I293" s="3252"/>
      <c r="J293" s="593"/>
    </row>
    <row r="294" spans="1:10">
      <c r="A294" s="3253" t="s">
        <v>6557</v>
      </c>
      <c r="B294" s="3256"/>
      <c r="C294" s="3256"/>
      <c r="D294" s="1353"/>
      <c r="E294" s="1353">
        <v>35</v>
      </c>
      <c r="F294" s="2331"/>
      <c r="I294" s="3252"/>
      <c r="J294" s="593"/>
    </row>
    <row r="295" spans="1:10">
      <c r="A295" s="3253" t="s">
        <v>6558</v>
      </c>
      <c r="B295" s="3256">
        <v>21</v>
      </c>
      <c r="C295" s="3256">
        <v>58</v>
      </c>
      <c r="D295" s="1353">
        <v>64</v>
      </c>
      <c r="E295" s="1353">
        <v>29</v>
      </c>
      <c r="F295" s="2331"/>
      <c r="I295" s="3252"/>
      <c r="J295" s="593"/>
    </row>
    <row r="296" spans="1:10">
      <c r="A296" s="3257" t="s">
        <v>6559</v>
      </c>
      <c r="B296" s="3256"/>
      <c r="C296" s="3256">
        <v>0</v>
      </c>
      <c r="D296" s="1353">
        <v>3</v>
      </c>
      <c r="E296" s="1353">
        <v>6</v>
      </c>
      <c r="F296" s="2331"/>
      <c r="I296" s="3252"/>
      <c r="J296" s="593"/>
    </row>
    <row r="297" spans="1:10">
      <c r="A297" s="3253" t="s">
        <v>6560</v>
      </c>
      <c r="B297" s="3256">
        <v>6</v>
      </c>
      <c r="C297" s="3256" t="s">
        <v>6492</v>
      </c>
      <c r="D297" s="1353" t="s">
        <v>6492</v>
      </c>
      <c r="E297" s="1353"/>
      <c r="F297" s="2331"/>
      <c r="I297" s="3252"/>
      <c r="J297" s="593"/>
    </row>
    <row r="298" spans="1:10">
      <c r="A298" s="3253" t="s">
        <v>6561</v>
      </c>
      <c r="B298" s="3256">
        <v>1</v>
      </c>
      <c r="C298" s="3256" t="s">
        <v>6492</v>
      </c>
      <c r="D298" s="1353" t="s">
        <v>6492</v>
      </c>
      <c r="E298" s="1353"/>
      <c r="F298" s="2331"/>
      <c r="I298" s="3252"/>
      <c r="J298" s="593"/>
    </row>
    <row r="299" spans="1:10">
      <c r="A299" s="3257" t="s">
        <v>6562</v>
      </c>
      <c r="B299" s="3256"/>
      <c r="C299" s="3256">
        <v>7</v>
      </c>
      <c r="D299" s="1353"/>
      <c r="E299" s="1353"/>
      <c r="F299" s="2331"/>
      <c r="I299" s="3252"/>
      <c r="J299" s="593"/>
    </row>
    <row r="300" spans="1:10">
      <c r="A300" s="3257" t="s">
        <v>6563</v>
      </c>
      <c r="B300" s="3256">
        <v>37</v>
      </c>
      <c r="C300" s="3256">
        <v>4</v>
      </c>
      <c r="D300" s="1353">
        <v>66</v>
      </c>
      <c r="E300" s="1353">
        <v>34</v>
      </c>
      <c r="F300" s="2331"/>
      <c r="I300" s="3252"/>
      <c r="J300" s="593"/>
    </row>
    <row r="301" spans="1:10">
      <c r="A301" s="3257" t="s">
        <v>6564</v>
      </c>
      <c r="B301" s="3256"/>
      <c r="C301" s="3256"/>
      <c r="D301" s="1353">
        <v>48</v>
      </c>
      <c r="E301" s="1353">
        <v>29</v>
      </c>
      <c r="F301" s="2331"/>
      <c r="I301" s="3252"/>
      <c r="J301" s="593"/>
    </row>
    <row r="302" spans="1:10">
      <c r="A302" s="3257" t="s">
        <v>6565</v>
      </c>
      <c r="B302" s="3256"/>
      <c r="C302" s="3256">
        <v>30</v>
      </c>
      <c r="D302" s="1353"/>
      <c r="E302" s="1353"/>
      <c r="F302" s="2331"/>
      <c r="I302" s="3252"/>
      <c r="J302" s="593"/>
    </row>
    <row r="303" spans="1:10">
      <c r="A303" s="3257" t="s">
        <v>6566</v>
      </c>
      <c r="B303" s="3256"/>
      <c r="C303" s="3256">
        <v>17</v>
      </c>
      <c r="D303" s="1353"/>
      <c r="E303" s="1353"/>
      <c r="F303" s="2331"/>
      <c r="I303" s="3252"/>
      <c r="J303" s="593"/>
    </row>
    <row r="304" spans="1:10">
      <c r="A304" s="3257" t="s">
        <v>6567</v>
      </c>
      <c r="B304" s="3256"/>
      <c r="C304" s="3256">
        <v>63</v>
      </c>
      <c r="D304" s="1353"/>
      <c r="E304" s="1353"/>
      <c r="F304" s="2331"/>
      <c r="I304" s="3252"/>
      <c r="J304" s="593"/>
    </row>
    <row r="305" spans="1:11">
      <c r="A305" s="3253" t="s">
        <v>6568</v>
      </c>
      <c r="B305" s="3256">
        <v>57</v>
      </c>
      <c r="C305" s="3256">
        <v>132</v>
      </c>
      <c r="D305" s="1353">
        <v>99</v>
      </c>
      <c r="E305" s="1353">
        <v>200</v>
      </c>
      <c r="F305" s="2331"/>
      <c r="I305" s="3252"/>
      <c r="J305" s="593"/>
    </row>
    <row r="306" spans="1:11">
      <c r="A306" s="3253" t="s">
        <v>6569</v>
      </c>
      <c r="B306" s="3256"/>
      <c r="C306" s="3256">
        <v>140</v>
      </c>
      <c r="D306" s="1353">
        <v>43</v>
      </c>
      <c r="E306" s="1353">
        <v>97</v>
      </c>
      <c r="F306" s="2331"/>
      <c r="I306" s="3252"/>
      <c r="J306" s="593"/>
    </row>
    <row r="307" spans="1:11">
      <c r="A307" s="3253" t="s">
        <v>6570</v>
      </c>
      <c r="B307" s="3256"/>
      <c r="C307" s="3256"/>
      <c r="D307" s="1353">
        <v>19</v>
      </c>
      <c r="E307" s="1353">
        <v>109</v>
      </c>
      <c r="F307" s="2331"/>
      <c r="I307" s="3252"/>
      <c r="J307" s="593"/>
    </row>
    <row r="308" spans="1:11">
      <c r="A308" s="3253" t="s">
        <v>6571</v>
      </c>
      <c r="B308" s="3256"/>
      <c r="C308" s="3256"/>
      <c r="D308" s="1353"/>
      <c r="E308" s="1353">
        <v>6</v>
      </c>
      <c r="F308" s="2331"/>
      <c r="I308" s="3252"/>
      <c r="J308" s="593"/>
    </row>
    <row r="309" spans="1:11">
      <c r="A309" s="3253" t="s">
        <v>6572</v>
      </c>
      <c r="B309" s="3256"/>
      <c r="C309" s="3256"/>
      <c r="D309" s="1353">
        <v>23</v>
      </c>
      <c r="E309" s="1353"/>
      <c r="F309" s="2331"/>
      <c r="I309" s="3252"/>
      <c r="J309" s="593"/>
    </row>
    <row r="310" spans="1:11">
      <c r="A310" s="3257" t="s">
        <v>6573</v>
      </c>
      <c r="B310" s="3256"/>
      <c r="C310" s="3256">
        <v>26</v>
      </c>
      <c r="D310" s="1353"/>
      <c r="E310" s="1353">
        <v>23</v>
      </c>
      <c r="F310" s="2331"/>
      <c r="I310" s="3252"/>
      <c r="J310" s="593"/>
    </row>
    <row r="311" spans="1:11">
      <c r="A311" s="3257" t="s">
        <v>6574</v>
      </c>
      <c r="B311" s="3256"/>
      <c r="C311" s="3256"/>
      <c r="D311" s="1353">
        <v>33</v>
      </c>
      <c r="E311" s="1353">
        <v>38</v>
      </c>
      <c r="F311" s="2331"/>
      <c r="I311" s="3252"/>
      <c r="J311" s="593"/>
    </row>
    <row r="312" spans="1:11">
      <c r="A312" s="3257" t="s">
        <v>6575</v>
      </c>
      <c r="B312" s="3256"/>
      <c r="C312" s="3256"/>
      <c r="D312" s="1353"/>
      <c r="E312" s="1353">
        <v>11</v>
      </c>
      <c r="F312" s="2331"/>
      <c r="I312" s="3252"/>
      <c r="J312" s="593"/>
    </row>
    <row r="313" spans="1:11">
      <c r="A313" s="3257" t="s">
        <v>6576</v>
      </c>
      <c r="B313" s="3256"/>
      <c r="C313" s="3256"/>
      <c r="D313" s="1353"/>
      <c r="E313" s="1353">
        <v>44</v>
      </c>
      <c r="F313" s="2331"/>
      <c r="I313" s="3252"/>
      <c r="J313" s="593"/>
    </row>
    <row r="314" spans="1:11">
      <c r="A314" s="3257" t="s">
        <v>6577</v>
      </c>
      <c r="B314" s="3256"/>
      <c r="C314" s="3256"/>
      <c r="D314" s="1353"/>
      <c r="E314" s="1353">
        <v>22</v>
      </c>
      <c r="F314" s="2331"/>
      <c r="I314" s="3252"/>
      <c r="J314" s="593"/>
    </row>
    <row r="315" spans="1:11">
      <c r="A315" s="3253" t="s">
        <v>6578</v>
      </c>
      <c r="B315" s="3256">
        <v>1</v>
      </c>
      <c r="C315" s="3256" t="s">
        <v>6492</v>
      </c>
      <c r="D315" s="1353" t="s">
        <v>6492</v>
      </c>
      <c r="E315" s="1353"/>
      <c r="F315" s="2331"/>
      <c r="I315" s="3252"/>
      <c r="J315" s="593"/>
    </row>
    <row r="316" spans="1:11">
      <c r="A316" s="3257" t="s">
        <v>6579</v>
      </c>
      <c r="B316" s="3256">
        <v>65</v>
      </c>
      <c r="C316" s="3256">
        <v>259</v>
      </c>
      <c r="D316" s="1353"/>
      <c r="E316" s="1353"/>
      <c r="F316" s="2331"/>
      <c r="I316" s="3252"/>
      <c r="J316" s="593"/>
    </row>
    <row r="317" spans="1:11">
      <c r="A317" s="3258" t="s">
        <v>6580</v>
      </c>
      <c r="B317" s="3256">
        <v>36</v>
      </c>
      <c r="C317" s="3256"/>
      <c r="D317" s="1353"/>
      <c r="E317" s="1353"/>
      <c r="F317" s="2331"/>
      <c r="I317" s="3252"/>
      <c r="J317" s="3252"/>
      <c r="K317" s="593"/>
    </row>
    <row r="318" spans="1:11">
      <c r="A318" s="3257" t="s">
        <v>6581</v>
      </c>
      <c r="B318" s="3256"/>
      <c r="C318" s="3256">
        <v>67</v>
      </c>
      <c r="D318" s="1353">
        <v>99</v>
      </c>
      <c r="E318" s="1353"/>
      <c r="F318" s="2331"/>
      <c r="I318" s="3252"/>
      <c r="J318" s="3252"/>
      <c r="K318" s="593"/>
    </row>
    <row r="319" spans="1:11">
      <c r="A319" s="3257" t="s">
        <v>6582</v>
      </c>
      <c r="B319" s="3256"/>
      <c r="C319" s="3256">
        <v>101</v>
      </c>
      <c r="D319" s="1353">
        <v>118</v>
      </c>
      <c r="E319" s="1353"/>
      <c r="F319" s="2331"/>
      <c r="I319" s="3252"/>
      <c r="J319" s="3252"/>
      <c r="K319" s="593"/>
    </row>
    <row r="320" spans="1:11">
      <c r="A320" s="3253" t="s">
        <v>6583</v>
      </c>
      <c r="B320" s="3256">
        <v>186</v>
      </c>
      <c r="C320" s="3256">
        <v>36</v>
      </c>
      <c r="D320" s="1353"/>
      <c r="E320" s="1353"/>
      <c r="F320" s="2331"/>
      <c r="I320" s="3252"/>
      <c r="J320" s="3252"/>
      <c r="K320" s="593"/>
    </row>
    <row r="321" spans="1:11">
      <c r="A321" s="3253" t="s">
        <v>6584</v>
      </c>
      <c r="B321" s="3256"/>
      <c r="C321" s="3256"/>
      <c r="D321" s="1353">
        <v>49</v>
      </c>
      <c r="E321" s="1353"/>
      <c r="F321" s="2331"/>
      <c r="I321" s="3252"/>
      <c r="J321" s="3252"/>
      <c r="K321" s="593"/>
    </row>
    <row r="322" spans="1:11">
      <c r="A322" s="3253" t="s">
        <v>6585</v>
      </c>
      <c r="B322" s="3256"/>
      <c r="C322" s="3256"/>
      <c r="D322" s="1353">
        <v>35</v>
      </c>
      <c r="E322" s="1353">
        <v>32</v>
      </c>
      <c r="F322" s="2331"/>
      <c r="I322" s="3252"/>
      <c r="J322" s="3252"/>
      <c r="K322" s="593"/>
    </row>
    <row r="323" spans="1:11" ht="25.5">
      <c r="A323" s="3253" t="s">
        <v>6586</v>
      </c>
      <c r="B323" s="3256"/>
      <c r="C323" s="3256"/>
      <c r="D323" s="1353"/>
      <c r="E323" s="1353">
        <v>25</v>
      </c>
      <c r="F323" s="2331"/>
      <c r="I323" s="3252"/>
      <c r="J323" s="3252"/>
      <c r="K323" s="593"/>
    </row>
    <row r="324" spans="1:11">
      <c r="A324" s="3257" t="s">
        <v>6587</v>
      </c>
      <c r="B324" s="3256"/>
      <c r="C324" s="3256">
        <v>16</v>
      </c>
      <c r="D324" s="1353"/>
      <c r="E324" s="1353"/>
      <c r="F324" s="2331"/>
      <c r="I324" s="3252"/>
      <c r="J324" s="3252"/>
      <c r="K324" s="593"/>
    </row>
    <row r="325" spans="1:11">
      <c r="A325" s="3257" t="s">
        <v>6588</v>
      </c>
      <c r="B325" s="3256"/>
      <c r="C325" s="3256"/>
      <c r="D325" s="1353">
        <v>3</v>
      </c>
      <c r="E325" s="1353"/>
      <c r="F325" s="2331"/>
      <c r="I325" s="3252"/>
      <c r="J325" s="3252"/>
      <c r="K325" s="593"/>
    </row>
    <row r="326" spans="1:11">
      <c r="A326" s="3257" t="s">
        <v>6589</v>
      </c>
      <c r="B326" s="3256"/>
      <c r="C326" s="3256"/>
      <c r="D326" s="1353">
        <v>6</v>
      </c>
      <c r="E326" s="1353"/>
      <c r="F326" s="2331"/>
      <c r="I326" s="3252"/>
      <c r="J326" s="3252"/>
      <c r="K326" s="593"/>
    </row>
    <row r="327" spans="1:11">
      <c r="A327" s="3257" t="s">
        <v>6590</v>
      </c>
      <c r="B327" s="3256"/>
      <c r="C327" s="3256">
        <v>1</v>
      </c>
      <c r="D327" s="1353"/>
      <c r="E327" s="1353"/>
      <c r="F327" s="2331"/>
      <c r="I327" s="3252"/>
      <c r="J327" s="3252"/>
      <c r="K327" s="593"/>
    </row>
    <row r="328" spans="1:11">
      <c r="A328" s="3257" t="s">
        <v>6591</v>
      </c>
      <c r="B328" s="3256"/>
      <c r="C328" s="3256">
        <v>20</v>
      </c>
      <c r="D328" s="1353"/>
      <c r="E328" s="1353"/>
      <c r="F328" s="2331"/>
      <c r="I328" s="3252"/>
      <c r="J328" s="3252"/>
      <c r="K328" s="593"/>
    </row>
    <row r="329" spans="1:11">
      <c r="A329" s="3253" t="s">
        <v>6592</v>
      </c>
      <c r="B329" s="3256">
        <v>2</v>
      </c>
      <c r="C329" s="3256" t="s">
        <v>6492</v>
      </c>
      <c r="D329" s="1353" t="s">
        <v>6492</v>
      </c>
      <c r="E329" s="1353"/>
      <c r="F329" s="2331"/>
      <c r="I329" s="3252"/>
      <c r="J329" s="3252"/>
      <c r="K329" s="593"/>
    </row>
    <row r="330" spans="1:11">
      <c r="A330" s="3253" t="s">
        <v>6593</v>
      </c>
      <c r="B330" s="3256">
        <v>2</v>
      </c>
      <c r="C330" s="3256">
        <v>74</v>
      </c>
      <c r="D330" s="1353" t="s">
        <v>6492</v>
      </c>
      <c r="E330" s="1353"/>
      <c r="F330" s="2331"/>
      <c r="I330" s="3252"/>
      <c r="J330" s="3252"/>
      <c r="K330" s="593"/>
    </row>
    <row r="331" spans="1:11">
      <c r="A331" s="3253" t="s">
        <v>6594</v>
      </c>
      <c r="B331" s="3256"/>
      <c r="C331" s="3256"/>
      <c r="D331" s="1353">
        <v>1</v>
      </c>
      <c r="E331" s="1353"/>
      <c r="F331" s="2331"/>
      <c r="I331" s="3252"/>
      <c r="J331" s="3252"/>
      <c r="K331" s="593"/>
    </row>
    <row r="332" spans="1:11">
      <c r="A332" s="3253" t="s">
        <v>6595</v>
      </c>
      <c r="B332" s="3256"/>
      <c r="C332" s="3256"/>
      <c r="D332" s="1353"/>
      <c r="E332" s="1353">
        <v>60</v>
      </c>
      <c r="F332" s="2331"/>
      <c r="I332" s="3252"/>
      <c r="J332" s="3252"/>
      <c r="K332" s="593"/>
    </row>
    <row r="333" spans="1:11">
      <c r="A333" s="3253" t="s">
        <v>6596</v>
      </c>
      <c r="B333" s="3256"/>
      <c r="C333" s="3256"/>
      <c r="D333" s="1353">
        <v>1</v>
      </c>
      <c r="E333" s="1353">
        <v>9</v>
      </c>
      <c r="F333" s="2331"/>
      <c r="I333" s="3252"/>
      <c r="J333" s="3252"/>
      <c r="K333" s="593"/>
    </row>
    <row r="334" spans="1:11">
      <c r="A334" s="3253" t="s">
        <v>6597</v>
      </c>
      <c r="B334" s="3256">
        <v>26</v>
      </c>
      <c r="C334" s="3256">
        <v>6</v>
      </c>
      <c r="D334" s="1353">
        <v>97</v>
      </c>
      <c r="E334" s="1353">
        <v>72</v>
      </c>
      <c r="F334" s="2331"/>
      <c r="I334" s="3252"/>
      <c r="J334" s="3252"/>
      <c r="K334" s="593"/>
    </row>
    <row r="335" spans="1:11">
      <c r="A335" s="3253" t="s">
        <v>6598</v>
      </c>
      <c r="B335" s="3256"/>
      <c r="C335" s="3256"/>
      <c r="D335" s="1353"/>
      <c r="E335" s="1353">
        <v>95</v>
      </c>
      <c r="F335" s="2331"/>
      <c r="I335" s="3252"/>
      <c r="J335" s="3252"/>
      <c r="K335" s="593"/>
    </row>
    <row r="336" spans="1:11">
      <c r="A336" s="3253" t="s">
        <v>6599</v>
      </c>
      <c r="B336" s="3256"/>
      <c r="C336" s="3256"/>
      <c r="D336" s="1353"/>
      <c r="E336" s="1353">
        <v>563</v>
      </c>
      <c r="F336" s="2331"/>
      <c r="I336" s="3252"/>
      <c r="J336" s="3252"/>
      <c r="K336" s="593"/>
    </row>
    <row r="337" spans="1:13">
      <c r="A337" s="3253" t="s">
        <v>6600</v>
      </c>
      <c r="B337" s="3256"/>
      <c r="C337" s="3256"/>
      <c r="D337" s="1353"/>
      <c r="E337" s="1353">
        <v>36</v>
      </c>
      <c r="F337" s="2331"/>
      <c r="I337" s="3252"/>
      <c r="J337" s="3252"/>
      <c r="K337" s="593"/>
    </row>
    <row r="338" spans="1:13">
      <c r="A338" s="3253" t="s">
        <v>6601</v>
      </c>
      <c r="B338" s="3256">
        <v>49</v>
      </c>
      <c r="C338" s="3256">
        <v>62</v>
      </c>
      <c r="D338" s="1353">
        <v>50</v>
      </c>
      <c r="E338" s="1353">
        <v>70</v>
      </c>
      <c r="F338" s="2331"/>
      <c r="I338" s="3252"/>
      <c r="J338" s="3252"/>
      <c r="K338" s="593"/>
    </row>
    <row r="339" spans="1:13">
      <c r="A339" s="3253" t="s">
        <v>6602</v>
      </c>
      <c r="B339" s="3256">
        <v>8</v>
      </c>
      <c r="C339" s="3256">
        <v>0</v>
      </c>
      <c r="D339" s="1353">
        <v>1</v>
      </c>
      <c r="E339" s="1353">
        <v>3</v>
      </c>
      <c r="F339" s="2331"/>
      <c r="I339" s="3252"/>
      <c r="J339" s="3252"/>
      <c r="K339" s="593"/>
    </row>
    <row r="340" spans="1:13">
      <c r="A340" s="3253" t="s">
        <v>6603</v>
      </c>
      <c r="B340" s="3256"/>
      <c r="C340" s="3256" t="s">
        <v>6492</v>
      </c>
      <c r="D340" s="1353" t="s">
        <v>6492</v>
      </c>
      <c r="E340" s="1353" t="s">
        <v>6492</v>
      </c>
      <c r="F340" s="2331"/>
      <c r="I340" s="3252"/>
      <c r="J340" s="3252"/>
      <c r="K340" s="593"/>
    </row>
    <row r="341" spans="1:13">
      <c r="A341" s="3253" t="s">
        <v>6604</v>
      </c>
      <c r="B341" s="3256">
        <v>0</v>
      </c>
      <c r="C341" s="3256">
        <v>13</v>
      </c>
      <c r="D341" s="1353" t="s">
        <v>6492</v>
      </c>
      <c r="E341" s="1353" t="s">
        <v>6492</v>
      </c>
      <c r="F341" s="2331"/>
      <c r="I341" s="3252"/>
      <c r="J341" s="3252"/>
      <c r="K341" s="593"/>
    </row>
    <row r="342" spans="1:13">
      <c r="A342" s="3253" t="s">
        <v>6605</v>
      </c>
      <c r="B342" s="3256">
        <v>8</v>
      </c>
      <c r="C342" s="3256">
        <v>0</v>
      </c>
      <c r="D342" s="1353">
        <v>16</v>
      </c>
      <c r="E342" s="1353">
        <v>15</v>
      </c>
      <c r="F342" s="2331"/>
      <c r="I342" s="3252"/>
      <c r="J342" s="3252"/>
      <c r="K342" s="593"/>
    </row>
    <row r="343" spans="1:13">
      <c r="A343" s="3253" t="s">
        <v>6606</v>
      </c>
      <c r="B343" s="3256">
        <v>1</v>
      </c>
      <c r="C343" s="3256">
        <v>3</v>
      </c>
      <c r="D343" s="1353">
        <v>2</v>
      </c>
      <c r="E343" s="1353">
        <v>40</v>
      </c>
      <c r="F343" s="2331"/>
      <c r="I343" s="3252"/>
      <c r="J343" s="3252"/>
      <c r="K343" s="593"/>
    </row>
    <row r="344" spans="1:13">
      <c r="A344" s="3253" t="s">
        <v>6607</v>
      </c>
      <c r="B344" s="3256"/>
      <c r="C344" s="3256">
        <v>15</v>
      </c>
      <c r="D344" s="1353">
        <v>48</v>
      </c>
      <c r="E344" s="1353">
        <v>15</v>
      </c>
      <c r="F344" s="2331"/>
      <c r="I344" s="3252"/>
      <c r="J344" s="3252"/>
      <c r="K344" s="593"/>
    </row>
    <row r="345" spans="1:13">
      <c r="A345" s="3253" t="s">
        <v>6608</v>
      </c>
      <c r="B345" s="3256"/>
      <c r="C345" s="3256"/>
      <c r="D345" s="1353">
        <v>31</v>
      </c>
      <c r="E345" s="1353">
        <v>11</v>
      </c>
      <c r="F345" s="2331"/>
      <c r="I345" s="3252"/>
      <c r="J345" s="3252"/>
      <c r="K345" s="593"/>
    </row>
    <row r="346" spans="1:13">
      <c r="A346" s="3253" t="s">
        <v>6609</v>
      </c>
      <c r="B346" s="3256"/>
      <c r="C346" s="3256"/>
      <c r="D346" s="1353">
        <v>3</v>
      </c>
      <c r="E346" s="1353">
        <v>21</v>
      </c>
      <c r="F346" s="2331"/>
      <c r="I346" s="3252"/>
      <c r="J346" s="3252"/>
      <c r="K346" s="593"/>
      <c r="L346" s="593"/>
      <c r="M346" s="593"/>
    </row>
    <row r="347" spans="1:13">
      <c r="A347" s="3253" t="s">
        <v>6610</v>
      </c>
      <c r="B347" s="3256">
        <v>1</v>
      </c>
      <c r="C347" s="3256">
        <v>1</v>
      </c>
      <c r="D347" s="1353">
        <v>0</v>
      </c>
      <c r="E347" s="1353">
        <v>0</v>
      </c>
      <c r="F347" s="2331"/>
      <c r="I347" s="3252"/>
      <c r="J347" s="3252"/>
      <c r="K347" s="593"/>
      <c r="L347" s="593"/>
      <c r="M347" s="593"/>
    </row>
    <row r="348" spans="1:13">
      <c r="A348" s="3253" t="s">
        <v>6611</v>
      </c>
      <c r="B348" s="3256">
        <v>1</v>
      </c>
      <c r="C348" s="3256" t="s">
        <v>6492</v>
      </c>
      <c r="D348" s="1353" t="s">
        <v>6492</v>
      </c>
      <c r="E348" s="1353" t="s">
        <v>6492</v>
      </c>
      <c r="F348" s="2331"/>
      <c r="I348" s="3252"/>
      <c r="J348" s="3252"/>
      <c r="K348" s="593"/>
      <c r="L348" s="593"/>
      <c r="M348" s="593"/>
    </row>
    <row r="349" spans="1:13">
      <c r="A349" s="3253" t="s">
        <v>6612</v>
      </c>
      <c r="B349" s="3256"/>
      <c r="C349" s="3256"/>
      <c r="D349" s="1353"/>
      <c r="E349" s="1353">
        <v>4</v>
      </c>
      <c r="F349" s="2331"/>
      <c r="I349" s="3252"/>
      <c r="J349" s="3252"/>
      <c r="K349" s="593"/>
      <c r="L349" s="593"/>
      <c r="M349" s="593"/>
    </row>
    <row r="350" spans="1:13">
      <c r="A350" s="3253" t="s">
        <v>6613</v>
      </c>
      <c r="B350" s="3256"/>
      <c r="C350" s="3256"/>
      <c r="D350" s="1353"/>
      <c r="E350" s="1353">
        <v>127</v>
      </c>
      <c r="F350" s="2331"/>
      <c r="I350" s="3252"/>
      <c r="J350" s="3252"/>
      <c r="K350" s="593"/>
      <c r="L350" s="593"/>
      <c r="M350" s="593"/>
    </row>
    <row r="351" spans="1:13">
      <c r="A351" s="3253" t="s">
        <v>6614</v>
      </c>
      <c r="B351" s="3256"/>
      <c r="C351" s="3256">
        <v>10</v>
      </c>
      <c r="D351" s="1353">
        <v>6</v>
      </c>
      <c r="E351" s="1353"/>
      <c r="F351" s="2331"/>
      <c r="J351" s="3252"/>
      <c r="K351" s="593"/>
      <c r="L351" s="593"/>
      <c r="M351" s="593"/>
    </row>
    <row r="352" spans="1:13">
      <c r="A352" s="3253" t="s">
        <v>6615</v>
      </c>
      <c r="B352" s="3256">
        <v>0</v>
      </c>
      <c r="C352" s="3256" t="s">
        <v>6492</v>
      </c>
      <c r="D352" s="1353" t="s">
        <v>6492</v>
      </c>
      <c r="E352" s="1353"/>
      <c r="F352" s="2331"/>
      <c r="J352" s="3252"/>
      <c r="K352" s="593"/>
      <c r="L352" s="593"/>
      <c r="M352" s="593"/>
    </row>
    <row r="353" spans="1:13">
      <c r="A353" s="3253" t="s">
        <v>6616</v>
      </c>
      <c r="B353" s="3256"/>
      <c r="C353" s="3256">
        <v>8</v>
      </c>
      <c r="D353" s="1353">
        <v>9</v>
      </c>
      <c r="E353" s="1353">
        <v>15</v>
      </c>
      <c r="F353" s="2331"/>
      <c r="J353" s="3252"/>
      <c r="K353" s="593"/>
      <c r="L353" s="593"/>
      <c r="M353" s="593"/>
    </row>
    <row r="354" spans="1:13">
      <c r="A354" s="3253" t="s">
        <v>6617</v>
      </c>
      <c r="B354" s="3256">
        <v>10</v>
      </c>
      <c r="C354" s="3256">
        <v>8</v>
      </c>
      <c r="D354" s="1353">
        <v>8</v>
      </c>
      <c r="E354" s="1353"/>
      <c r="F354" s="2331"/>
      <c r="J354" s="3252"/>
      <c r="K354" s="593"/>
      <c r="L354" s="593"/>
      <c r="M354" s="593"/>
    </row>
    <row r="355" spans="1:13">
      <c r="A355" s="3253" t="s">
        <v>6618</v>
      </c>
      <c r="B355" s="3256"/>
      <c r="C355" s="3256"/>
      <c r="D355" s="1353">
        <v>11</v>
      </c>
      <c r="E355" s="1353">
        <v>30</v>
      </c>
      <c r="F355" s="2331"/>
      <c r="J355" s="3252"/>
      <c r="K355" s="593"/>
      <c r="L355" s="593"/>
      <c r="M355" s="593"/>
    </row>
    <row r="356" spans="1:13">
      <c r="A356" s="3253" t="s">
        <v>6619</v>
      </c>
      <c r="B356" s="3256"/>
      <c r="C356" s="3256"/>
      <c r="D356" s="1353"/>
      <c r="E356" s="1353">
        <v>15</v>
      </c>
      <c r="F356" s="2331"/>
      <c r="J356" s="3252"/>
      <c r="K356" s="593"/>
      <c r="L356" s="593"/>
      <c r="M356" s="593"/>
    </row>
    <row r="357" spans="1:13">
      <c r="A357" s="3253" t="s">
        <v>6620</v>
      </c>
      <c r="B357" s="3256"/>
      <c r="C357" s="3256"/>
      <c r="D357" s="1353">
        <v>9</v>
      </c>
      <c r="E357" s="1353">
        <v>7</v>
      </c>
      <c r="F357" s="2331"/>
      <c r="J357" s="3252"/>
      <c r="K357" s="593"/>
      <c r="L357" s="593"/>
      <c r="M357" s="593"/>
    </row>
    <row r="358" spans="1:13">
      <c r="A358" s="3253" t="s">
        <v>6621</v>
      </c>
      <c r="B358" s="3256">
        <v>2</v>
      </c>
      <c r="C358" s="3256">
        <v>5</v>
      </c>
      <c r="D358" s="1353" t="s">
        <v>6492</v>
      </c>
      <c r="E358" s="1353" t="s">
        <v>6492</v>
      </c>
      <c r="F358" s="2331"/>
      <c r="J358" s="3252"/>
      <c r="K358" s="593"/>
      <c r="L358" s="593"/>
      <c r="M358" s="593"/>
    </row>
    <row r="359" spans="1:13">
      <c r="A359" s="3253" t="s">
        <v>6622</v>
      </c>
      <c r="B359" s="3256">
        <v>2</v>
      </c>
      <c r="C359" s="3256">
        <v>3</v>
      </c>
      <c r="D359" s="1353">
        <v>1</v>
      </c>
      <c r="E359" s="1353">
        <v>28</v>
      </c>
      <c r="F359" s="2331"/>
      <c r="J359" s="3252"/>
      <c r="K359" s="593"/>
      <c r="L359" s="593"/>
      <c r="M359" s="593"/>
    </row>
    <row r="360" spans="1:13">
      <c r="A360" s="3253" t="s">
        <v>6623</v>
      </c>
      <c r="B360" s="3256"/>
      <c r="C360" s="3256">
        <v>6</v>
      </c>
      <c r="D360" s="1353">
        <v>11</v>
      </c>
      <c r="E360" s="1353">
        <v>10</v>
      </c>
      <c r="F360" s="2331"/>
      <c r="J360" s="3252"/>
      <c r="K360" s="593"/>
      <c r="L360" s="593"/>
      <c r="M360" s="593"/>
    </row>
    <row r="361" spans="1:13" ht="25.5">
      <c r="A361" s="3253" t="s">
        <v>6624</v>
      </c>
      <c r="B361" s="3256"/>
      <c r="C361" s="3256">
        <v>40</v>
      </c>
      <c r="D361" s="1353">
        <v>34</v>
      </c>
      <c r="E361" s="1353">
        <v>37</v>
      </c>
      <c r="F361" s="2331"/>
      <c r="J361" s="3252"/>
      <c r="K361" s="593"/>
      <c r="L361" s="593"/>
      <c r="M361" s="593"/>
    </row>
    <row r="362" spans="1:13" ht="25.5">
      <c r="A362" s="3253" t="s">
        <v>6625</v>
      </c>
      <c r="B362" s="3256"/>
      <c r="C362" s="3256"/>
      <c r="D362" s="1353">
        <v>7</v>
      </c>
      <c r="E362" s="1353">
        <v>5</v>
      </c>
      <c r="F362" s="2331"/>
      <c r="J362" s="3252"/>
      <c r="K362" s="593"/>
      <c r="L362" s="593"/>
      <c r="M362" s="593"/>
    </row>
    <row r="363" spans="1:13">
      <c r="A363" s="3253" t="s">
        <v>6626</v>
      </c>
      <c r="B363" s="3256"/>
      <c r="C363" s="3256">
        <v>17</v>
      </c>
      <c r="D363" s="1353">
        <v>19</v>
      </c>
      <c r="E363" s="1353">
        <v>21</v>
      </c>
      <c r="F363" s="2331"/>
      <c r="J363" s="3252"/>
      <c r="K363" s="593"/>
      <c r="L363" s="593"/>
      <c r="M363" s="593"/>
    </row>
    <row r="364" spans="1:13">
      <c r="A364" s="3257" t="s">
        <v>6627</v>
      </c>
      <c r="B364" s="3256"/>
      <c r="C364" s="3256">
        <v>15</v>
      </c>
      <c r="D364" s="1353">
        <v>10</v>
      </c>
      <c r="E364" s="1353">
        <v>21</v>
      </c>
      <c r="F364" s="2331"/>
      <c r="J364" s="3252"/>
      <c r="K364" s="593"/>
      <c r="L364" s="593"/>
      <c r="M364" s="593"/>
    </row>
    <row r="365" spans="1:13">
      <c r="A365" s="3253" t="s">
        <v>6628</v>
      </c>
      <c r="B365" s="3256"/>
      <c r="C365" s="3256"/>
      <c r="D365" s="1353">
        <v>16</v>
      </c>
      <c r="E365" s="1353">
        <v>15</v>
      </c>
      <c r="F365" s="2331"/>
      <c r="K365" s="593"/>
      <c r="L365" s="593"/>
      <c r="M365" s="593"/>
    </row>
    <row r="366" spans="1:13">
      <c r="A366" s="3253" t="s">
        <v>6629</v>
      </c>
      <c r="B366" s="3256"/>
      <c r="C366" s="3256"/>
      <c r="D366" s="1353"/>
      <c r="E366" s="1353">
        <v>3</v>
      </c>
      <c r="F366" s="2331"/>
      <c r="K366" s="593"/>
      <c r="L366" s="593"/>
      <c r="M366" s="593"/>
    </row>
    <row r="367" spans="1:13">
      <c r="A367" s="3257" t="s">
        <v>6630</v>
      </c>
      <c r="B367" s="3256"/>
      <c r="C367" s="1353">
        <v>36</v>
      </c>
      <c r="D367" s="1353"/>
      <c r="E367" s="1353"/>
      <c r="F367" s="2331"/>
      <c r="J367" s="3252"/>
      <c r="K367" s="593"/>
      <c r="L367" s="593"/>
      <c r="M367" s="593"/>
    </row>
    <row r="368" spans="1:13">
      <c r="A368" s="3257" t="s">
        <v>6631</v>
      </c>
      <c r="B368" s="3256"/>
      <c r="C368" s="1353">
        <v>3</v>
      </c>
      <c r="D368" s="1353"/>
      <c r="E368" s="1353"/>
      <c r="F368" s="2331"/>
    </row>
    <row r="369" spans="1:13">
      <c r="A369" s="3257" t="s">
        <v>6632</v>
      </c>
      <c r="B369" s="3256"/>
      <c r="C369" s="1353">
        <v>32</v>
      </c>
      <c r="D369" s="1353"/>
      <c r="E369" s="1353"/>
      <c r="F369" s="2331"/>
    </row>
    <row r="370" spans="1:13">
      <c r="A370" s="3253" t="s">
        <v>6633</v>
      </c>
      <c r="B370" s="3256"/>
      <c r="C370" s="3256">
        <v>3</v>
      </c>
      <c r="D370" s="1353">
        <v>4</v>
      </c>
      <c r="E370" s="1353">
        <v>4</v>
      </c>
      <c r="F370" s="2331"/>
      <c r="J370" s="3252"/>
      <c r="K370" s="593"/>
      <c r="L370" s="593"/>
      <c r="M370" s="593"/>
    </row>
    <row r="371" spans="1:13">
      <c r="A371" s="3253" t="s">
        <v>6634</v>
      </c>
      <c r="B371" s="3256"/>
      <c r="C371" s="3256">
        <v>5</v>
      </c>
      <c r="D371" s="1353">
        <v>4</v>
      </c>
      <c r="E371" s="1353">
        <v>9</v>
      </c>
      <c r="F371" s="2331"/>
      <c r="J371" s="3252"/>
      <c r="K371" s="593"/>
      <c r="L371" s="593"/>
      <c r="M371" s="593"/>
    </row>
    <row r="372" spans="1:13">
      <c r="A372" s="3253" t="s">
        <v>6635</v>
      </c>
      <c r="B372" s="3256"/>
      <c r="C372" s="3256">
        <v>2</v>
      </c>
      <c r="D372" s="1353"/>
      <c r="E372" s="1353">
        <v>1</v>
      </c>
      <c r="F372" s="2331"/>
      <c r="J372" s="3252"/>
      <c r="K372" s="593"/>
      <c r="L372" s="593"/>
      <c r="M372" s="593"/>
    </row>
    <row r="373" spans="1:13" s="593" customFormat="1">
      <c r="A373" s="3257" t="s">
        <v>6636</v>
      </c>
      <c r="B373" s="3256"/>
      <c r="C373" s="3256">
        <v>18</v>
      </c>
      <c r="D373" s="1353">
        <v>10</v>
      </c>
      <c r="E373" s="1353"/>
      <c r="F373" s="2331"/>
      <c r="G373" s="1396"/>
      <c r="H373" s="1396"/>
      <c r="I373" s="1396"/>
      <c r="J373" s="3252"/>
    </row>
    <row r="374" spans="1:13" s="593" customFormat="1">
      <c r="A374" s="3257" t="s">
        <v>6637</v>
      </c>
      <c r="B374" s="3256"/>
      <c r="C374" s="3256"/>
      <c r="D374" s="1353">
        <v>9</v>
      </c>
      <c r="E374" s="1353"/>
      <c r="F374" s="2331"/>
      <c r="G374" s="1396"/>
      <c r="H374" s="1396"/>
      <c r="I374" s="1396"/>
      <c r="J374" s="3252"/>
    </row>
    <row r="375" spans="1:13" s="593" customFormat="1">
      <c r="A375" s="3257" t="s">
        <v>6638</v>
      </c>
      <c r="B375" s="3256"/>
      <c r="C375" s="3256">
        <v>31</v>
      </c>
      <c r="D375" s="1353">
        <v>24</v>
      </c>
      <c r="E375" s="1353"/>
      <c r="F375" s="2331"/>
      <c r="G375" s="1396"/>
      <c r="H375" s="1396"/>
      <c r="I375" s="1396"/>
      <c r="J375" s="3252"/>
    </row>
    <row r="376" spans="1:13" s="593" customFormat="1">
      <c r="A376" s="3257" t="s">
        <v>6639</v>
      </c>
      <c r="B376" s="3256"/>
      <c r="C376" s="3256">
        <v>7</v>
      </c>
      <c r="D376" s="1353"/>
      <c r="E376" s="1353"/>
      <c r="F376" s="2331"/>
      <c r="G376" s="1396"/>
      <c r="H376" s="1396"/>
      <c r="I376" s="1396"/>
      <c r="J376" s="3252"/>
    </row>
    <row r="377" spans="1:13" s="593" customFormat="1">
      <c r="A377" s="3257" t="s">
        <v>6640</v>
      </c>
      <c r="B377" s="3256"/>
      <c r="C377" s="3256"/>
      <c r="D377" s="1353">
        <v>62</v>
      </c>
      <c r="E377" s="1353">
        <v>58</v>
      </c>
      <c r="F377" s="2331"/>
      <c r="G377" s="1396"/>
      <c r="H377" s="1396"/>
      <c r="I377" s="1396"/>
      <c r="J377" s="1396"/>
      <c r="K377" s="1396"/>
      <c r="L377" s="1396"/>
    </row>
    <row r="378" spans="1:13" s="593" customFormat="1">
      <c r="A378" s="3257" t="s">
        <v>6641</v>
      </c>
      <c r="B378" s="3256"/>
      <c r="C378" s="3256"/>
      <c r="D378" s="1353">
        <v>28</v>
      </c>
      <c r="E378" s="1353">
        <v>7</v>
      </c>
      <c r="F378" s="2331"/>
      <c r="G378" s="1396"/>
      <c r="H378" s="1396"/>
      <c r="I378" s="1396"/>
      <c r="J378" s="1396"/>
      <c r="K378" s="1396"/>
      <c r="L378" s="1396"/>
    </row>
    <row r="379" spans="1:13" s="593" customFormat="1">
      <c r="A379" s="3257" t="s">
        <v>6642</v>
      </c>
      <c r="B379" s="3256"/>
      <c r="C379" s="3256"/>
      <c r="D379" s="1353">
        <v>7</v>
      </c>
      <c r="E379" s="1353"/>
      <c r="F379" s="2331"/>
      <c r="G379" s="1396"/>
      <c r="H379" s="1396"/>
      <c r="I379" s="1396"/>
      <c r="J379" s="1396"/>
      <c r="K379" s="1396"/>
      <c r="L379" s="1396"/>
    </row>
    <row r="380" spans="1:13" s="593" customFormat="1">
      <c r="A380" s="3257" t="s">
        <v>6643</v>
      </c>
      <c r="B380" s="3256"/>
      <c r="C380" s="3256"/>
      <c r="D380" s="1353"/>
      <c r="E380" s="1353">
        <v>4</v>
      </c>
      <c r="F380" s="2331"/>
      <c r="G380" s="1396"/>
      <c r="H380" s="1396"/>
      <c r="I380" s="1396"/>
      <c r="J380" s="1396"/>
      <c r="K380" s="1396"/>
      <c r="L380" s="1396"/>
    </row>
    <row r="381" spans="1:13" s="593" customFormat="1">
      <c r="A381" s="3257" t="s">
        <v>6644</v>
      </c>
      <c r="B381" s="3256"/>
      <c r="C381" s="3256"/>
      <c r="D381" s="1353"/>
      <c r="E381" s="1353">
        <v>1</v>
      </c>
      <c r="F381" s="2331"/>
      <c r="G381" s="1396"/>
      <c r="H381" s="1396"/>
      <c r="I381" s="1396"/>
      <c r="J381" s="1396"/>
      <c r="K381" s="1396"/>
      <c r="L381" s="1396"/>
    </row>
    <row r="382" spans="1:13" s="593" customFormat="1">
      <c r="A382" s="3257" t="s">
        <v>6645</v>
      </c>
      <c r="B382" s="3256"/>
      <c r="C382" s="3256"/>
      <c r="D382" s="1353">
        <v>49</v>
      </c>
      <c r="E382" s="1353">
        <v>11</v>
      </c>
      <c r="F382" s="2331"/>
      <c r="G382" s="1396"/>
      <c r="H382" s="1396"/>
      <c r="I382" s="1396"/>
      <c r="J382" s="1396"/>
      <c r="K382" s="1396"/>
      <c r="L382" s="1396"/>
    </row>
    <row r="383" spans="1:13" s="593" customFormat="1">
      <c r="A383" s="3257" t="s">
        <v>6646</v>
      </c>
      <c r="B383" s="3256"/>
      <c r="C383" s="3256"/>
      <c r="D383" s="1353"/>
      <c r="E383" s="1353">
        <v>16</v>
      </c>
      <c r="F383" s="2331"/>
      <c r="G383" s="1396"/>
      <c r="H383" s="1396"/>
      <c r="I383" s="1396"/>
      <c r="J383" s="1396"/>
      <c r="K383" s="1396"/>
      <c r="L383" s="1396"/>
    </row>
    <row r="384" spans="1:13" s="593" customFormat="1">
      <c r="A384" s="3257" t="s">
        <v>6647</v>
      </c>
      <c r="B384" s="3256"/>
      <c r="C384" s="3256"/>
      <c r="D384" s="1353"/>
      <c r="E384" s="1353">
        <v>1</v>
      </c>
      <c r="F384" s="2331"/>
      <c r="G384" s="1396"/>
      <c r="H384" s="1396"/>
      <c r="I384" s="1396"/>
      <c r="J384" s="1396"/>
      <c r="K384" s="1396"/>
      <c r="L384" s="1396"/>
    </row>
    <row r="385" spans="1:12" s="593" customFormat="1">
      <c r="A385" s="3257" t="s">
        <v>6648</v>
      </c>
      <c r="B385" s="3256"/>
      <c r="C385" s="3256"/>
      <c r="D385" s="1353"/>
      <c r="E385" s="1353">
        <v>2</v>
      </c>
      <c r="F385" s="2331"/>
      <c r="G385" s="1396"/>
      <c r="H385" s="1396"/>
      <c r="I385" s="1396"/>
      <c r="J385" s="1396"/>
      <c r="K385" s="1396"/>
      <c r="L385" s="1396"/>
    </row>
    <row r="386" spans="1:12" s="593" customFormat="1">
      <c r="A386" s="3257" t="s">
        <v>6649</v>
      </c>
      <c r="B386" s="3256"/>
      <c r="C386" s="3256"/>
      <c r="D386" s="1353"/>
      <c r="E386" s="1353">
        <v>12</v>
      </c>
      <c r="F386" s="2331"/>
      <c r="G386" s="1396"/>
      <c r="H386" s="1396"/>
      <c r="I386" s="1396"/>
      <c r="J386" s="1396"/>
      <c r="K386" s="1396"/>
      <c r="L386" s="1396"/>
    </row>
    <row r="387" spans="1:12" s="593" customFormat="1">
      <c r="A387" s="3257" t="s">
        <v>6650</v>
      </c>
      <c r="B387" s="3256"/>
      <c r="C387" s="3256"/>
      <c r="D387" s="1353"/>
      <c r="E387" s="1353">
        <v>25</v>
      </c>
      <c r="F387" s="2331"/>
      <c r="G387" s="1396"/>
      <c r="H387" s="1396"/>
      <c r="I387" s="1396"/>
      <c r="J387" s="1396"/>
      <c r="K387" s="1396"/>
      <c r="L387" s="1396"/>
    </row>
    <row r="388" spans="1:12" s="593" customFormat="1">
      <c r="A388" s="3257" t="s">
        <v>6651</v>
      </c>
      <c r="B388" s="3256"/>
      <c r="C388" s="3256"/>
      <c r="D388" s="1353"/>
      <c r="E388" s="1353">
        <v>14</v>
      </c>
      <c r="F388" s="2331"/>
      <c r="G388" s="1396"/>
      <c r="H388" s="1396"/>
      <c r="I388" s="1396"/>
      <c r="J388" s="1396"/>
      <c r="K388" s="1396"/>
      <c r="L388" s="1396"/>
    </row>
    <row r="389" spans="1:12" s="593" customFormat="1">
      <c r="A389" s="3257" t="s">
        <v>6652</v>
      </c>
      <c r="B389" s="3256"/>
      <c r="C389" s="3256"/>
      <c r="D389" s="1353"/>
      <c r="E389" s="1353">
        <v>21</v>
      </c>
      <c r="F389" s="2331"/>
      <c r="G389" s="1396"/>
      <c r="H389" s="1396"/>
      <c r="I389" s="1396"/>
      <c r="J389" s="1396"/>
      <c r="K389" s="1396"/>
      <c r="L389" s="1396"/>
    </row>
    <row r="390" spans="1:12" s="593" customFormat="1">
      <c r="A390" s="3257" t="s">
        <v>6653</v>
      </c>
      <c r="B390" s="3256"/>
      <c r="C390" s="3256"/>
      <c r="D390" s="1353"/>
      <c r="E390" s="1353">
        <v>2</v>
      </c>
      <c r="F390" s="2331"/>
      <c r="G390" s="1396"/>
      <c r="H390" s="1396"/>
      <c r="I390" s="1396"/>
      <c r="J390" s="1396"/>
      <c r="K390" s="1396"/>
      <c r="L390" s="1396"/>
    </row>
    <row r="391" spans="1:12" s="593" customFormat="1">
      <c r="A391" s="3257" t="s">
        <v>6654</v>
      </c>
      <c r="B391" s="3256"/>
      <c r="C391" s="3256"/>
      <c r="D391" s="1353"/>
      <c r="E391" s="1353">
        <v>6</v>
      </c>
      <c r="F391" s="2331"/>
      <c r="G391" s="1396"/>
      <c r="H391" s="1396"/>
      <c r="I391" s="1396"/>
      <c r="J391" s="1396"/>
      <c r="K391" s="1396"/>
      <c r="L391" s="1396"/>
    </row>
    <row r="392" spans="1:12" s="593" customFormat="1">
      <c r="A392" s="3257" t="s">
        <v>6655</v>
      </c>
      <c r="B392" s="3256"/>
      <c r="C392" s="3256"/>
      <c r="D392" s="1353"/>
      <c r="E392" s="1353">
        <v>25</v>
      </c>
      <c r="F392" s="2331"/>
      <c r="G392" s="1396"/>
      <c r="H392" s="1396"/>
      <c r="I392" s="1396"/>
      <c r="J392" s="1396"/>
      <c r="K392" s="1396"/>
      <c r="L392" s="1396"/>
    </row>
    <row r="393" spans="1:12" s="593" customFormat="1">
      <c r="A393" s="3253" t="s">
        <v>6656</v>
      </c>
      <c r="B393" s="3256">
        <v>93</v>
      </c>
      <c r="C393" s="3256">
        <v>171</v>
      </c>
      <c r="D393" s="1353">
        <v>151</v>
      </c>
      <c r="E393" s="1353">
        <v>105</v>
      </c>
      <c r="F393" s="2331"/>
      <c r="G393" s="1396"/>
      <c r="H393" s="1396"/>
      <c r="I393" s="1396"/>
      <c r="J393" s="1396"/>
      <c r="K393" s="1396"/>
      <c r="L393" s="1396"/>
    </row>
    <row r="394" spans="1:12" s="593" customFormat="1">
      <c r="A394" s="3253" t="s">
        <v>6657</v>
      </c>
      <c r="B394" s="3256"/>
      <c r="C394" s="3256">
        <v>63</v>
      </c>
      <c r="D394" s="1353">
        <v>57</v>
      </c>
      <c r="E394" s="1353">
        <v>58</v>
      </c>
      <c r="F394" s="2331"/>
      <c r="G394" s="1396"/>
      <c r="H394" s="1396"/>
      <c r="I394" s="1396"/>
      <c r="J394" s="1396"/>
      <c r="K394" s="1396"/>
      <c r="L394" s="1396"/>
    </row>
    <row r="395" spans="1:12" s="593" customFormat="1" ht="25.5">
      <c r="A395" s="3253" t="s">
        <v>6658</v>
      </c>
      <c r="B395" s="3256"/>
      <c r="C395" s="3256">
        <v>16</v>
      </c>
      <c r="D395" s="1353">
        <v>17</v>
      </c>
      <c r="E395" s="1353">
        <v>17</v>
      </c>
      <c r="F395" s="2331"/>
      <c r="G395" s="1396"/>
      <c r="H395" s="1396"/>
      <c r="I395" s="1396"/>
      <c r="J395" s="1396"/>
      <c r="K395" s="1396"/>
      <c r="L395" s="1396"/>
    </row>
    <row r="396" spans="1:12" s="593" customFormat="1">
      <c r="A396" s="3253" t="s">
        <v>6659</v>
      </c>
      <c r="B396" s="3256">
        <v>3</v>
      </c>
      <c r="C396" s="3256">
        <v>8</v>
      </c>
      <c r="D396" s="1353">
        <v>4</v>
      </c>
      <c r="E396" s="1353">
        <v>3</v>
      </c>
      <c r="F396" s="2331"/>
      <c r="G396" s="1396"/>
      <c r="H396" s="1396"/>
      <c r="I396" s="1396"/>
      <c r="J396" s="1396"/>
      <c r="K396" s="1396"/>
      <c r="L396" s="1396"/>
    </row>
    <row r="397" spans="1:12" s="593" customFormat="1">
      <c r="A397" s="3253" t="s">
        <v>6660</v>
      </c>
      <c r="B397" s="3256">
        <v>3</v>
      </c>
      <c r="C397" s="3256">
        <v>1</v>
      </c>
      <c r="D397" s="1353">
        <v>4</v>
      </c>
      <c r="E397" s="1353">
        <v>3</v>
      </c>
      <c r="F397" s="2331"/>
      <c r="G397" s="1396"/>
      <c r="H397" s="1396"/>
      <c r="I397" s="1396"/>
      <c r="J397" s="1396"/>
      <c r="K397" s="1396"/>
      <c r="L397" s="1396"/>
    </row>
    <row r="398" spans="1:12" s="593" customFormat="1">
      <c r="A398" s="3253" t="s">
        <v>6661</v>
      </c>
      <c r="B398" s="3256">
        <v>128</v>
      </c>
      <c r="C398" s="3256">
        <v>216</v>
      </c>
      <c r="D398" s="1353" t="s">
        <v>6492</v>
      </c>
      <c r="E398" s="1353" t="s">
        <v>6492</v>
      </c>
      <c r="F398" s="2331"/>
      <c r="G398" s="1396"/>
      <c r="H398" s="1396"/>
      <c r="I398" s="1396"/>
      <c r="J398" s="1396"/>
      <c r="K398" s="1396"/>
      <c r="L398" s="1396"/>
    </row>
    <row r="399" spans="1:12" s="593" customFormat="1" ht="25.5">
      <c r="A399" s="3253" t="s">
        <v>6662</v>
      </c>
      <c r="B399" s="3256"/>
      <c r="C399" s="3256"/>
      <c r="D399" s="1353"/>
      <c r="E399" s="1353">
        <v>1</v>
      </c>
      <c r="F399" s="2331"/>
      <c r="G399" s="1396"/>
      <c r="H399" s="1396"/>
      <c r="I399" s="1396"/>
      <c r="J399" s="1396"/>
      <c r="K399" s="1396"/>
      <c r="L399" s="1396"/>
    </row>
    <row r="400" spans="1:12" s="593" customFormat="1">
      <c r="A400" s="3253" t="s">
        <v>6663</v>
      </c>
      <c r="B400" s="3256"/>
      <c r="C400" s="3256"/>
      <c r="D400" s="1353"/>
      <c r="E400" s="1353">
        <v>63</v>
      </c>
      <c r="F400" s="2331"/>
      <c r="G400" s="1396"/>
      <c r="H400" s="1396"/>
      <c r="I400" s="1396"/>
      <c r="J400" s="1396"/>
      <c r="K400" s="1396"/>
      <c r="L400" s="1396"/>
    </row>
    <row r="401" spans="1:7">
      <c r="A401" s="3253" t="s">
        <v>6664</v>
      </c>
      <c r="B401" s="3256"/>
      <c r="C401" s="3256"/>
      <c r="D401" s="1353">
        <v>237</v>
      </c>
      <c r="E401" s="1353">
        <v>112</v>
      </c>
      <c r="F401" s="2331"/>
    </row>
    <row r="402" spans="1:7">
      <c r="A402" s="3253" t="s">
        <v>6665</v>
      </c>
      <c r="B402" s="3256"/>
      <c r="C402" s="3256"/>
      <c r="D402" s="1353"/>
      <c r="E402" s="1353">
        <v>42</v>
      </c>
      <c r="F402" s="2331"/>
    </row>
    <row r="403" spans="1:7">
      <c r="A403" s="3253" t="s">
        <v>6666</v>
      </c>
      <c r="B403" s="3256"/>
      <c r="C403" s="3256"/>
      <c r="D403" s="1353">
        <v>48</v>
      </c>
      <c r="E403" s="1353"/>
      <c r="F403" s="2331"/>
    </row>
    <row r="404" spans="1:7">
      <c r="A404" s="3253" t="s">
        <v>6667</v>
      </c>
      <c r="B404" s="3256"/>
      <c r="C404" s="3256">
        <v>11</v>
      </c>
      <c r="D404" s="1353"/>
      <c r="E404" s="1353"/>
      <c r="F404" s="2331"/>
    </row>
    <row r="405" spans="1:7">
      <c r="A405" s="3253" t="s">
        <v>6668</v>
      </c>
      <c r="B405" s="3256"/>
      <c r="C405" s="3256"/>
      <c r="D405" s="1353"/>
      <c r="E405" s="1353">
        <v>31</v>
      </c>
      <c r="F405" s="2331"/>
    </row>
    <row r="406" spans="1:7">
      <c r="A406" s="3253" t="s">
        <v>6669</v>
      </c>
      <c r="B406" s="3256"/>
      <c r="C406" s="3256"/>
      <c r="D406" s="1353">
        <v>21</v>
      </c>
      <c r="E406" s="1353"/>
      <c r="F406" s="2331"/>
    </row>
    <row r="407" spans="1:7">
      <c r="A407" s="3253" t="s">
        <v>6670</v>
      </c>
      <c r="B407" s="3256"/>
      <c r="C407" s="3256"/>
      <c r="D407" s="1353">
        <v>19</v>
      </c>
      <c r="E407" s="1353">
        <v>6</v>
      </c>
      <c r="F407" s="2331"/>
    </row>
    <row r="408" spans="1:7">
      <c r="A408" s="3253" t="s">
        <v>6671</v>
      </c>
      <c r="B408" s="3256"/>
      <c r="C408" s="3256"/>
      <c r="D408" s="1353">
        <v>26</v>
      </c>
      <c r="E408" s="1353">
        <v>18</v>
      </c>
      <c r="F408" s="2331"/>
    </row>
    <row r="409" spans="1:7">
      <c r="A409" s="3257" t="s">
        <v>6672</v>
      </c>
      <c r="B409" s="3256"/>
      <c r="C409" s="3256">
        <v>9</v>
      </c>
      <c r="D409" s="1353"/>
      <c r="E409" s="1353"/>
      <c r="F409" s="2331"/>
    </row>
    <row r="410" spans="1:7">
      <c r="A410" s="3257" t="s">
        <v>6673</v>
      </c>
      <c r="B410" s="3256"/>
      <c r="C410" s="3256">
        <v>17</v>
      </c>
      <c r="D410" s="1353"/>
      <c r="E410" s="1353"/>
      <c r="F410" s="2331"/>
    </row>
    <row r="411" spans="1:7">
      <c r="A411" s="3257" t="s">
        <v>6674</v>
      </c>
      <c r="B411" s="3256"/>
      <c r="C411" s="3256"/>
      <c r="D411" s="1353">
        <v>24</v>
      </c>
      <c r="E411" s="1353"/>
      <c r="F411" s="3259"/>
    </row>
    <row r="412" spans="1:7">
      <c r="A412" s="3257" t="s">
        <v>6675</v>
      </c>
      <c r="B412" s="3256"/>
      <c r="C412" s="3256"/>
      <c r="D412" s="1353">
        <v>10</v>
      </c>
      <c r="E412" s="1353"/>
      <c r="F412" s="3259"/>
    </row>
    <row r="413" spans="1:7">
      <c r="A413" s="3253" t="s">
        <v>6676</v>
      </c>
      <c r="B413" s="3256">
        <v>51</v>
      </c>
      <c r="C413" s="3256">
        <v>10</v>
      </c>
      <c r="D413" s="1353" t="s">
        <v>6492</v>
      </c>
      <c r="E413" s="1353" t="s">
        <v>6492</v>
      </c>
      <c r="F413" s="3259"/>
      <c r="G413" s="593"/>
    </row>
    <row r="414" spans="1:7">
      <c r="A414" s="3253" t="s">
        <v>6677</v>
      </c>
      <c r="B414" s="3256">
        <v>67</v>
      </c>
      <c r="C414" s="3256"/>
      <c r="D414" s="1353" t="s">
        <v>6492</v>
      </c>
      <c r="E414" s="1353" t="s">
        <v>6492</v>
      </c>
      <c r="F414" s="3259"/>
      <c r="G414" s="593"/>
    </row>
    <row r="415" spans="1:7">
      <c r="A415" s="3253" t="s">
        <v>6678</v>
      </c>
      <c r="B415" s="3256"/>
      <c r="C415" s="3256"/>
      <c r="D415" s="1353"/>
      <c r="E415" s="1353">
        <v>60</v>
      </c>
      <c r="F415" s="3259"/>
      <c r="G415" s="593"/>
    </row>
    <row r="416" spans="1:7">
      <c r="A416" s="3253" t="s">
        <v>6679</v>
      </c>
      <c r="B416" s="3256"/>
      <c r="C416" s="3256"/>
      <c r="D416" s="1353"/>
      <c r="E416" s="1353">
        <v>46</v>
      </c>
      <c r="F416" s="3259"/>
      <c r="G416" s="593"/>
    </row>
    <row r="417" spans="1:7" ht="25.5">
      <c r="A417" s="3253" t="s">
        <v>6680</v>
      </c>
      <c r="B417" s="3256"/>
      <c r="C417" s="3256"/>
      <c r="D417" s="1353"/>
      <c r="E417" s="1353">
        <v>48</v>
      </c>
      <c r="F417" s="3259"/>
      <c r="G417" s="593"/>
    </row>
    <row r="418" spans="1:7">
      <c r="A418" s="3253" t="s">
        <v>6681</v>
      </c>
      <c r="B418" s="3256"/>
      <c r="C418" s="3256"/>
      <c r="D418" s="1353"/>
      <c r="E418" s="1353">
        <v>47</v>
      </c>
      <c r="F418" s="3259"/>
      <c r="G418" s="593"/>
    </row>
    <row r="419" spans="1:7">
      <c r="A419" s="3253" t="s">
        <v>6682</v>
      </c>
      <c r="B419" s="3256"/>
      <c r="C419" s="3256"/>
      <c r="D419" s="1353"/>
      <c r="E419" s="1353">
        <v>56</v>
      </c>
      <c r="F419" s="3259"/>
      <c r="G419" s="593"/>
    </row>
    <row r="420" spans="1:7">
      <c r="A420" s="3253" t="s">
        <v>6683</v>
      </c>
      <c r="B420" s="3256"/>
      <c r="C420" s="3256"/>
      <c r="D420" s="1353"/>
      <c r="E420" s="1353">
        <v>19</v>
      </c>
      <c r="F420" s="3259"/>
      <c r="G420" s="593"/>
    </row>
    <row r="421" spans="1:7">
      <c r="A421" s="3253" t="s">
        <v>6684</v>
      </c>
      <c r="B421" s="3256"/>
      <c r="C421" s="3256"/>
      <c r="D421" s="1353"/>
      <c r="E421" s="1353">
        <v>1</v>
      </c>
      <c r="F421" s="3259"/>
      <c r="G421" s="593"/>
    </row>
    <row r="422" spans="1:7">
      <c r="A422" s="3253" t="s">
        <v>6685</v>
      </c>
      <c r="B422" s="3256">
        <v>0</v>
      </c>
      <c r="C422" s="3256">
        <v>1</v>
      </c>
      <c r="D422" s="1353">
        <v>0</v>
      </c>
      <c r="E422" s="1353">
        <v>2</v>
      </c>
      <c r="F422" s="3259"/>
      <c r="G422" s="593"/>
    </row>
    <row r="423" spans="1:7">
      <c r="A423" s="3253" t="s">
        <v>6686</v>
      </c>
      <c r="B423" s="3256">
        <v>61</v>
      </c>
      <c r="C423" s="3256">
        <v>173</v>
      </c>
      <c r="D423" s="1353">
        <v>161</v>
      </c>
      <c r="E423" s="1353">
        <v>300</v>
      </c>
      <c r="F423" s="3259"/>
      <c r="G423" s="593"/>
    </row>
    <row r="424" spans="1:7">
      <c r="A424" s="3253" t="s">
        <v>6687</v>
      </c>
      <c r="B424" s="3256"/>
      <c r="C424" s="3256"/>
      <c r="D424" s="1353">
        <v>37</v>
      </c>
      <c r="E424" s="1353"/>
      <c r="F424" s="3259"/>
      <c r="G424" s="593"/>
    </row>
    <row r="425" spans="1:7">
      <c r="A425" s="3253" t="s">
        <v>6688</v>
      </c>
      <c r="B425" s="3256"/>
      <c r="C425" s="3256"/>
      <c r="D425" s="1353">
        <v>168</v>
      </c>
      <c r="E425" s="1353">
        <v>89</v>
      </c>
      <c r="F425" s="3259"/>
      <c r="G425" s="593"/>
    </row>
    <row r="426" spans="1:7">
      <c r="A426" s="3253" t="s">
        <v>6689</v>
      </c>
      <c r="B426" s="3256"/>
      <c r="C426" s="3256"/>
      <c r="D426" s="1353">
        <v>3</v>
      </c>
      <c r="E426" s="1353">
        <v>1</v>
      </c>
      <c r="F426" s="3259"/>
      <c r="G426" s="593"/>
    </row>
    <row r="427" spans="1:7">
      <c r="A427" s="3253" t="s">
        <v>6690</v>
      </c>
      <c r="B427" s="3256"/>
      <c r="C427" s="3256"/>
      <c r="D427" s="1353">
        <v>3</v>
      </c>
      <c r="E427" s="1353">
        <v>4</v>
      </c>
      <c r="F427" s="3259"/>
      <c r="G427" s="593"/>
    </row>
    <row r="428" spans="1:7">
      <c r="A428" s="3253" t="s">
        <v>6691</v>
      </c>
      <c r="B428" s="3256">
        <v>0</v>
      </c>
      <c r="C428" s="3256">
        <v>2</v>
      </c>
      <c r="D428" s="1353">
        <v>6</v>
      </c>
      <c r="E428" s="1353">
        <v>6</v>
      </c>
      <c r="F428" s="3259"/>
      <c r="G428" s="593"/>
    </row>
    <row r="429" spans="1:7">
      <c r="A429" s="3257" t="s">
        <v>6692</v>
      </c>
      <c r="B429" s="3256"/>
      <c r="C429" s="3256">
        <v>4</v>
      </c>
      <c r="D429" s="1353">
        <v>3</v>
      </c>
      <c r="E429" s="1353"/>
      <c r="F429" s="3259"/>
      <c r="G429" s="593"/>
    </row>
    <row r="430" spans="1:7">
      <c r="A430" s="3257" t="s">
        <v>6693</v>
      </c>
      <c r="B430" s="3256"/>
      <c r="C430" s="3256"/>
      <c r="D430" s="1353"/>
      <c r="E430" s="1353">
        <v>57</v>
      </c>
      <c r="F430" s="3259"/>
      <c r="G430" s="593"/>
    </row>
    <row r="431" spans="1:7" ht="13.5" thickBot="1">
      <c r="A431" s="3257" t="s">
        <v>6694</v>
      </c>
      <c r="B431" s="3256"/>
      <c r="C431" s="3256">
        <v>8</v>
      </c>
      <c r="D431" s="1353">
        <v>3</v>
      </c>
      <c r="E431" s="1353">
        <v>9</v>
      </c>
      <c r="F431" s="3259"/>
      <c r="G431" s="593"/>
    </row>
    <row r="432" spans="1:7" ht="13.5" thickBot="1">
      <c r="A432" s="3260" t="s">
        <v>6695</v>
      </c>
      <c r="B432" s="1397">
        <v>1811</v>
      </c>
      <c r="C432" s="1397">
        <f>SUM(C221:C431)</f>
        <v>4392</v>
      </c>
      <c r="D432" s="1397">
        <f>SUM(D221:D431)</f>
        <v>4120</v>
      </c>
      <c r="E432" s="1397">
        <v>4673</v>
      </c>
      <c r="F432" s="1398"/>
      <c r="G432" s="593"/>
    </row>
    <row r="433" spans="1:15">
      <c r="A433" s="593"/>
      <c r="B433" s="593"/>
      <c r="C433" s="593"/>
      <c r="D433" s="3252"/>
      <c r="E433" s="593"/>
      <c r="F433" s="593"/>
      <c r="G433" s="593"/>
    </row>
    <row r="434" spans="1:15">
      <c r="A434" s="593"/>
      <c r="B434" s="593"/>
      <c r="C434" s="593"/>
      <c r="D434" s="3252"/>
      <c r="E434" s="593"/>
      <c r="F434" s="593"/>
      <c r="G434" s="593"/>
    </row>
    <row r="435" spans="1:15" ht="13.5" thickBot="1">
      <c r="A435" s="593"/>
      <c r="B435" s="593"/>
      <c r="C435" s="593"/>
      <c r="D435" s="3252"/>
      <c r="E435" s="593"/>
      <c r="F435" s="593"/>
      <c r="G435" s="593"/>
    </row>
    <row r="436" spans="1:15" ht="13.5" thickBot="1">
      <c r="A436" s="3186" t="s">
        <v>6696</v>
      </c>
      <c r="B436" s="3261">
        <v>2015</v>
      </c>
      <c r="C436" s="3262"/>
      <c r="D436" s="3263">
        <v>2016</v>
      </c>
      <c r="E436" s="3262"/>
      <c r="F436" s="3263">
        <v>2017</v>
      </c>
      <c r="G436" s="3262"/>
      <c r="H436" s="3263">
        <v>2018</v>
      </c>
      <c r="I436" s="3262"/>
      <c r="J436" s="3263">
        <v>2019</v>
      </c>
      <c r="K436" s="3264"/>
      <c r="L436" s="3263">
        <v>2020</v>
      </c>
      <c r="M436" s="3264"/>
    </row>
    <row r="437" spans="1:15">
      <c r="A437" s="3265"/>
      <c r="B437" s="3266" t="s">
        <v>6697</v>
      </c>
      <c r="C437" s="3267" t="s">
        <v>6698</v>
      </c>
      <c r="D437" s="3268" t="s">
        <v>6697</v>
      </c>
      <c r="E437" s="3269" t="s">
        <v>6698</v>
      </c>
      <c r="F437" s="3268" t="s">
        <v>6697</v>
      </c>
      <c r="G437" s="3269" t="s">
        <v>6698</v>
      </c>
      <c r="H437" s="3268" t="s">
        <v>6697</v>
      </c>
      <c r="I437" s="3270" t="s">
        <v>6698</v>
      </c>
      <c r="J437" s="3268" t="s">
        <v>6697</v>
      </c>
      <c r="K437" s="3270" t="s">
        <v>6698</v>
      </c>
      <c r="L437" s="3268" t="s">
        <v>6697</v>
      </c>
      <c r="M437" s="3270" t="s">
        <v>6698</v>
      </c>
    </row>
    <row r="438" spans="1:15">
      <c r="A438" s="2315" t="s">
        <v>6699</v>
      </c>
      <c r="B438" s="2317">
        <v>11</v>
      </c>
      <c r="C438" s="2375">
        <v>10</v>
      </c>
      <c r="D438" s="2317">
        <v>79</v>
      </c>
      <c r="E438" s="2375">
        <v>53</v>
      </c>
      <c r="F438" s="2319">
        <v>31</v>
      </c>
      <c r="G438" s="3271">
        <v>26</v>
      </c>
      <c r="H438" s="2317">
        <v>72</v>
      </c>
      <c r="I438" s="2331">
        <v>31</v>
      </c>
      <c r="J438" s="2317">
        <v>155</v>
      </c>
      <c r="K438" s="2331">
        <v>57</v>
      </c>
      <c r="L438" s="2317"/>
      <c r="M438" s="2331"/>
    </row>
    <row r="439" spans="1:15">
      <c r="A439" s="2315" t="s">
        <v>6503</v>
      </c>
      <c r="B439" s="2317">
        <v>5</v>
      </c>
      <c r="C439" s="2375">
        <v>2</v>
      </c>
      <c r="D439" s="2317">
        <v>42</v>
      </c>
      <c r="E439" s="2375">
        <v>11</v>
      </c>
      <c r="F439" s="2319">
        <v>2</v>
      </c>
      <c r="G439" s="3271">
        <v>2</v>
      </c>
      <c r="H439" s="2317">
        <v>4</v>
      </c>
      <c r="I439" s="2331">
        <v>1</v>
      </c>
      <c r="J439" s="2317">
        <v>14</v>
      </c>
      <c r="K439" s="2331">
        <v>10</v>
      </c>
      <c r="L439" s="2317"/>
      <c r="M439" s="2331"/>
    </row>
    <row r="440" spans="1:15">
      <c r="A440" s="2315" t="s">
        <v>6700</v>
      </c>
      <c r="B440" s="2317">
        <v>15</v>
      </c>
      <c r="C440" s="2375">
        <v>6</v>
      </c>
      <c r="D440" s="2317">
        <v>74</v>
      </c>
      <c r="E440" s="2375">
        <v>56</v>
      </c>
      <c r="F440" s="2319">
        <v>8</v>
      </c>
      <c r="G440" s="3271">
        <v>6</v>
      </c>
      <c r="H440" s="2317">
        <v>8</v>
      </c>
      <c r="I440" s="2331">
        <v>8</v>
      </c>
      <c r="J440" s="2317">
        <v>18</v>
      </c>
      <c r="K440" s="2331">
        <v>1</v>
      </c>
      <c r="L440" s="2317">
        <v>25</v>
      </c>
      <c r="M440" s="2331">
        <v>8</v>
      </c>
    </row>
    <row r="441" spans="1:15">
      <c r="A441" s="2315" t="s">
        <v>6701</v>
      </c>
      <c r="B441" s="2317">
        <v>78</v>
      </c>
      <c r="C441" s="2375">
        <v>5</v>
      </c>
      <c r="D441" s="2317">
        <v>216</v>
      </c>
      <c r="E441" s="2375">
        <v>5</v>
      </c>
      <c r="F441" s="2319">
        <v>300</v>
      </c>
      <c r="G441" s="3271">
        <v>3</v>
      </c>
      <c r="H441" s="2317">
        <v>404</v>
      </c>
      <c r="I441" s="2331">
        <v>239</v>
      </c>
      <c r="J441" s="2317">
        <v>685</v>
      </c>
      <c r="K441" s="2331">
        <v>521</v>
      </c>
      <c r="L441" s="2317">
        <v>1018</v>
      </c>
      <c r="M441" s="2331">
        <v>677</v>
      </c>
    </row>
    <row r="442" spans="1:15">
      <c r="A442" s="2315" t="s">
        <v>6702</v>
      </c>
      <c r="B442" s="2317">
        <v>5</v>
      </c>
      <c r="C442" s="2375">
        <v>3</v>
      </c>
      <c r="D442" s="2317">
        <v>10</v>
      </c>
      <c r="E442" s="2375">
        <v>6</v>
      </c>
      <c r="F442" s="2319">
        <v>35</v>
      </c>
      <c r="G442" s="3271">
        <v>34</v>
      </c>
      <c r="H442" s="2317"/>
      <c r="I442" s="2331"/>
      <c r="J442" s="2317">
        <v>115</v>
      </c>
      <c r="K442" s="2331">
        <v>80</v>
      </c>
      <c r="L442" s="2317">
        <v>56</v>
      </c>
      <c r="M442" s="2331">
        <v>45</v>
      </c>
    </row>
    <row r="443" spans="1:15">
      <c r="A443" s="2315" t="s">
        <v>7245</v>
      </c>
      <c r="B443" s="2317"/>
      <c r="C443" s="2375"/>
      <c r="D443" s="2317"/>
      <c r="E443" s="2375"/>
      <c r="F443" s="2319"/>
      <c r="G443" s="3271"/>
      <c r="H443" s="2317"/>
      <c r="I443" s="2331"/>
      <c r="J443" s="2317"/>
      <c r="K443" s="2331"/>
      <c r="L443" s="2317">
        <v>1</v>
      </c>
      <c r="M443" s="2331">
        <v>1</v>
      </c>
    </row>
    <row r="444" spans="1:15">
      <c r="A444" s="2315" t="s">
        <v>6507</v>
      </c>
      <c r="B444" s="2317">
        <v>3</v>
      </c>
      <c r="C444" s="2375">
        <v>3</v>
      </c>
      <c r="D444" s="2317">
        <v>15</v>
      </c>
      <c r="E444" s="2375">
        <v>12</v>
      </c>
      <c r="F444" s="2319">
        <v>3</v>
      </c>
      <c r="G444" s="3271">
        <v>3</v>
      </c>
      <c r="H444" s="2317"/>
      <c r="I444" s="2331"/>
      <c r="J444" s="2317">
        <v>22</v>
      </c>
      <c r="K444" s="2331">
        <v>9</v>
      </c>
      <c r="L444" s="2317">
        <v>47</v>
      </c>
      <c r="M444" s="2331">
        <v>35</v>
      </c>
    </row>
    <row r="445" spans="1:15">
      <c r="A445" s="2315" t="s">
        <v>7246</v>
      </c>
      <c r="B445" s="2317"/>
      <c r="C445" s="2375"/>
      <c r="D445" s="2317"/>
      <c r="E445" s="2375"/>
      <c r="F445" s="2319"/>
      <c r="G445" s="3271"/>
      <c r="H445" s="2317"/>
      <c r="I445" s="2331"/>
      <c r="J445" s="2317"/>
      <c r="K445" s="2331"/>
      <c r="L445" s="2317">
        <v>248</v>
      </c>
      <c r="M445" s="2331">
        <v>142</v>
      </c>
    </row>
    <row r="446" spans="1:15">
      <c r="A446" s="2315" t="s">
        <v>7247</v>
      </c>
      <c r="B446" s="2317"/>
      <c r="C446" s="2375"/>
      <c r="D446" s="2317"/>
      <c r="E446" s="2375"/>
      <c r="F446" s="2319"/>
      <c r="G446" s="3271"/>
      <c r="H446" s="2317"/>
      <c r="I446" s="2331"/>
      <c r="J446" s="2317"/>
      <c r="K446" s="2331"/>
      <c r="L446" s="2317">
        <v>2</v>
      </c>
      <c r="M446" s="2331"/>
    </row>
    <row r="447" spans="1:15">
      <c r="A447" s="2315" t="s">
        <v>7248</v>
      </c>
      <c r="B447" s="2317"/>
      <c r="C447" s="2375"/>
      <c r="D447" s="2317"/>
      <c r="E447" s="2375"/>
      <c r="F447" s="2319"/>
      <c r="G447" s="3271"/>
      <c r="H447" s="2317"/>
      <c r="I447" s="2331"/>
      <c r="J447" s="2317"/>
      <c r="K447" s="2331"/>
      <c r="L447" s="2317">
        <v>3</v>
      </c>
      <c r="M447" s="2331">
        <v>2</v>
      </c>
    </row>
    <row r="448" spans="1:15">
      <c r="A448" s="2315" t="s">
        <v>7249</v>
      </c>
      <c r="B448" s="2317"/>
      <c r="C448" s="2375"/>
      <c r="D448" s="2317"/>
      <c r="E448" s="2375"/>
      <c r="F448" s="2319"/>
      <c r="G448" s="3271"/>
      <c r="H448" s="2317"/>
      <c r="I448" s="2331"/>
      <c r="J448" s="2317"/>
      <c r="K448" s="2331"/>
      <c r="L448" s="2317">
        <v>1</v>
      </c>
      <c r="M448" s="2331">
        <v>1</v>
      </c>
    </row>
    <row r="449" spans="1:13">
      <c r="A449" s="2315" t="s">
        <v>6505</v>
      </c>
      <c r="B449" s="2317">
        <v>2</v>
      </c>
      <c r="C449" s="2375">
        <v>1</v>
      </c>
      <c r="D449" s="2317">
        <v>11</v>
      </c>
      <c r="E449" s="2375">
        <v>5</v>
      </c>
      <c r="F449" s="2319">
        <v>9</v>
      </c>
      <c r="G449" s="3271">
        <v>8</v>
      </c>
      <c r="H449" s="2317">
        <v>7</v>
      </c>
      <c r="I449" s="2331">
        <v>5</v>
      </c>
      <c r="J449" s="2317">
        <v>9</v>
      </c>
      <c r="K449" s="2331">
        <v>9</v>
      </c>
      <c r="L449" s="2317">
        <v>9</v>
      </c>
      <c r="M449" s="2331">
        <v>5</v>
      </c>
    </row>
    <row r="450" spans="1:13">
      <c r="A450" s="2315" t="s">
        <v>6703</v>
      </c>
      <c r="B450" s="2317">
        <v>2</v>
      </c>
      <c r="C450" s="2375">
        <v>1</v>
      </c>
      <c r="D450" s="2317">
        <v>13</v>
      </c>
      <c r="E450" s="2375">
        <v>6</v>
      </c>
      <c r="F450" s="2319">
        <v>1</v>
      </c>
      <c r="G450" s="3271">
        <v>1</v>
      </c>
      <c r="H450" s="2317">
        <v>9</v>
      </c>
      <c r="I450" s="2331">
        <v>3</v>
      </c>
      <c r="J450" s="2317">
        <v>15</v>
      </c>
      <c r="K450" s="2331">
        <v>13</v>
      </c>
      <c r="L450" s="2317"/>
      <c r="M450" s="2331"/>
    </row>
    <row r="451" spans="1:13">
      <c r="A451" s="2315" t="s">
        <v>6704</v>
      </c>
      <c r="B451" s="2317">
        <v>2</v>
      </c>
      <c r="C451" s="2375">
        <v>2</v>
      </c>
      <c r="D451" s="2317">
        <v>8</v>
      </c>
      <c r="E451" s="2375">
        <v>6</v>
      </c>
      <c r="F451" s="2319">
        <v>2</v>
      </c>
      <c r="G451" s="3271">
        <v>2</v>
      </c>
      <c r="H451" s="2317"/>
      <c r="I451" s="2331"/>
      <c r="J451" s="2317"/>
      <c r="K451" s="2331"/>
      <c r="L451" s="2317"/>
      <c r="M451" s="2331"/>
    </row>
    <row r="452" spans="1:13">
      <c r="A452" s="2315" t="s">
        <v>6510</v>
      </c>
      <c r="B452" s="2317">
        <v>2</v>
      </c>
      <c r="C452" s="2375">
        <v>2</v>
      </c>
      <c r="D452" s="2317">
        <v>3</v>
      </c>
      <c r="E452" s="2375">
        <v>3</v>
      </c>
      <c r="F452" s="2319">
        <v>5</v>
      </c>
      <c r="G452" s="3271">
        <v>0</v>
      </c>
      <c r="H452" s="2317">
        <v>2</v>
      </c>
      <c r="I452" s="2331">
        <v>0</v>
      </c>
      <c r="J452" s="2317">
        <v>1</v>
      </c>
      <c r="K452" s="2331">
        <v>0</v>
      </c>
      <c r="L452" s="2317"/>
      <c r="M452" s="2331"/>
    </row>
    <row r="453" spans="1:13">
      <c r="A453" s="2315" t="s">
        <v>6705</v>
      </c>
      <c r="B453" s="2317">
        <v>44</v>
      </c>
      <c r="C453" s="2375">
        <v>37</v>
      </c>
      <c r="D453" s="2317">
        <v>4</v>
      </c>
      <c r="E453" s="2375">
        <v>3</v>
      </c>
      <c r="F453" s="2320"/>
      <c r="G453" s="3271"/>
      <c r="H453" s="2317"/>
      <c r="I453" s="2331"/>
      <c r="J453" s="2317"/>
      <c r="K453" s="2331"/>
      <c r="L453" s="2317"/>
      <c r="M453" s="2331"/>
    </row>
    <row r="454" spans="1:13">
      <c r="A454" s="2315" t="s">
        <v>7250</v>
      </c>
      <c r="B454" s="2317">
        <v>27</v>
      </c>
      <c r="C454" s="2375">
        <v>22</v>
      </c>
      <c r="D454" s="2317">
        <v>5</v>
      </c>
      <c r="E454" s="2375">
        <v>2</v>
      </c>
      <c r="F454" s="2320">
        <v>72</v>
      </c>
      <c r="G454" s="3271">
        <v>66</v>
      </c>
      <c r="H454" s="2317">
        <v>82</v>
      </c>
      <c r="I454" s="2331">
        <v>66</v>
      </c>
      <c r="J454" s="2317">
        <v>197</v>
      </c>
      <c r="K454" s="2331">
        <v>97</v>
      </c>
      <c r="L454" s="2317">
        <v>357</v>
      </c>
      <c r="M454" s="2331">
        <v>223</v>
      </c>
    </row>
    <row r="455" spans="1:13">
      <c r="A455" s="2315" t="s">
        <v>7251</v>
      </c>
      <c r="B455" s="2317"/>
      <c r="C455" s="2375"/>
      <c r="D455" s="2317"/>
      <c r="E455" s="2375"/>
      <c r="F455" s="2320"/>
      <c r="G455" s="3271"/>
      <c r="H455" s="2317"/>
      <c r="I455" s="2331"/>
      <c r="J455" s="2317"/>
      <c r="K455" s="2331"/>
      <c r="L455" s="2317">
        <v>16</v>
      </c>
      <c r="M455" s="2331"/>
    </row>
    <row r="456" spans="1:13">
      <c r="A456" s="2315" t="s">
        <v>7252</v>
      </c>
      <c r="B456" s="2317"/>
      <c r="C456" s="2375"/>
      <c r="D456" s="2317"/>
      <c r="E456" s="2375"/>
      <c r="F456" s="2320"/>
      <c r="G456" s="3271"/>
      <c r="H456" s="2317"/>
      <c r="I456" s="2331"/>
      <c r="J456" s="2317"/>
      <c r="K456" s="2331"/>
      <c r="L456" s="2317">
        <v>3</v>
      </c>
      <c r="M456" s="2331"/>
    </row>
    <row r="457" spans="1:13">
      <c r="A457" s="2315" t="s">
        <v>6706</v>
      </c>
      <c r="B457" s="2317"/>
      <c r="C457" s="2375"/>
      <c r="D457" s="2317"/>
      <c r="E457" s="2375"/>
      <c r="F457" s="2320">
        <v>202</v>
      </c>
      <c r="G457" s="3271">
        <v>189</v>
      </c>
      <c r="H457" s="2317">
        <v>666</v>
      </c>
      <c r="I457" s="2331">
        <v>560</v>
      </c>
      <c r="J457" s="2317">
        <v>715</v>
      </c>
      <c r="K457" s="2331">
        <v>245</v>
      </c>
      <c r="L457" s="2317">
        <v>906</v>
      </c>
      <c r="M457" s="2331">
        <v>143</v>
      </c>
    </row>
    <row r="458" spans="1:13">
      <c r="A458" s="2315" t="s">
        <v>6707</v>
      </c>
      <c r="B458" s="2317"/>
      <c r="C458" s="2375"/>
      <c r="D458" s="2317"/>
      <c r="E458" s="2375"/>
      <c r="F458" s="2320">
        <v>4</v>
      </c>
      <c r="G458" s="3271">
        <v>0</v>
      </c>
      <c r="H458" s="2317">
        <v>16</v>
      </c>
      <c r="I458" s="2331">
        <v>2</v>
      </c>
      <c r="J458" s="2317">
        <v>34</v>
      </c>
      <c r="K458" s="2331">
        <v>1</v>
      </c>
      <c r="L458" s="2317">
        <v>55</v>
      </c>
      <c r="M458" s="2331">
        <v>4</v>
      </c>
    </row>
    <row r="459" spans="1:13">
      <c r="A459" s="2315" t="s">
        <v>6708</v>
      </c>
      <c r="B459" s="2317"/>
      <c r="C459" s="2375"/>
      <c r="D459" s="2317"/>
      <c r="E459" s="2375"/>
      <c r="F459" s="2320">
        <v>2</v>
      </c>
      <c r="G459" s="3271">
        <v>0</v>
      </c>
      <c r="H459" s="2317">
        <v>8</v>
      </c>
      <c r="I459" s="2331">
        <v>0</v>
      </c>
      <c r="J459" s="2317">
        <v>6</v>
      </c>
      <c r="K459" s="2331">
        <v>1</v>
      </c>
      <c r="L459" s="2317"/>
      <c r="M459" s="2331"/>
    </row>
    <row r="460" spans="1:13">
      <c r="A460" s="2315" t="s">
        <v>7253</v>
      </c>
      <c r="B460" s="2317"/>
      <c r="C460" s="2375"/>
      <c r="D460" s="2317"/>
      <c r="E460" s="2375"/>
      <c r="F460" s="2320"/>
      <c r="G460" s="3271"/>
      <c r="H460" s="2317"/>
      <c r="I460" s="2331"/>
      <c r="J460" s="2317"/>
      <c r="K460" s="2331"/>
      <c r="L460" s="2317">
        <v>1</v>
      </c>
      <c r="M460" s="2331"/>
    </row>
    <row r="461" spans="1:13">
      <c r="A461" s="2315" t="s">
        <v>6709</v>
      </c>
      <c r="B461" s="2317"/>
      <c r="C461" s="2375"/>
      <c r="D461" s="2317"/>
      <c r="E461" s="2375"/>
      <c r="F461" s="2320">
        <v>4</v>
      </c>
      <c r="G461" s="3271">
        <v>0</v>
      </c>
      <c r="H461" s="2317">
        <v>14</v>
      </c>
      <c r="I461" s="2331">
        <v>1</v>
      </c>
      <c r="J461" s="2317">
        <v>1</v>
      </c>
      <c r="K461" s="2331">
        <v>0</v>
      </c>
      <c r="L461" s="2317"/>
      <c r="M461" s="2331"/>
    </row>
    <row r="462" spans="1:13">
      <c r="A462" s="2315" t="s">
        <v>6710</v>
      </c>
      <c r="B462" s="2317"/>
      <c r="C462" s="2375"/>
      <c r="D462" s="2317"/>
      <c r="E462" s="2375"/>
      <c r="F462" s="2320">
        <v>3</v>
      </c>
      <c r="G462" s="3271">
        <v>2</v>
      </c>
      <c r="H462" s="2317">
        <v>28</v>
      </c>
      <c r="I462" s="2331">
        <v>11</v>
      </c>
      <c r="J462" s="2317">
        <v>61</v>
      </c>
      <c r="K462" s="2331">
        <v>0</v>
      </c>
      <c r="L462" s="2317">
        <v>112</v>
      </c>
      <c r="M462" s="2331">
        <v>23</v>
      </c>
    </row>
    <row r="463" spans="1:13">
      <c r="A463" s="2315" t="s">
        <v>7254</v>
      </c>
      <c r="B463" s="2317"/>
      <c r="C463" s="2375"/>
      <c r="D463" s="2317"/>
      <c r="E463" s="2375"/>
      <c r="F463" s="2320"/>
      <c r="G463" s="3271"/>
      <c r="H463" s="2317"/>
      <c r="I463" s="2331"/>
      <c r="J463" s="2317"/>
      <c r="K463" s="2331"/>
      <c r="L463" s="2317">
        <v>10</v>
      </c>
      <c r="M463" s="2331">
        <v>3</v>
      </c>
    </row>
    <row r="464" spans="1:13">
      <c r="A464" s="2315" t="s">
        <v>7255</v>
      </c>
      <c r="B464" s="2317"/>
      <c r="C464" s="2375"/>
      <c r="D464" s="2317"/>
      <c r="E464" s="2375"/>
      <c r="F464" s="2320"/>
      <c r="G464" s="3271"/>
      <c r="H464" s="2317"/>
      <c r="I464" s="2331"/>
      <c r="J464" s="2317"/>
      <c r="K464" s="2331"/>
      <c r="L464" s="2317">
        <v>1</v>
      </c>
      <c r="M464" s="2331">
        <v>1</v>
      </c>
    </row>
    <row r="465" spans="1:13">
      <c r="A465" s="2315" t="s">
        <v>6711</v>
      </c>
      <c r="B465" s="2317"/>
      <c r="C465" s="2375"/>
      <c r="D465" s="2317"/>
      <c r="E465" s="2375"/>
      <c r="F465" s="2320">
        <v>2</v>
      </c>
      <c r="G465" s="3271">
        <v>0</v>
      </c>
      <c r="H465" s="2317"/>
      <c r="I465" s="2331"/>
      <c r="J465" s="2317"/>
      <c r="K465" s="2331"/>
      <c r="L465" s="2317"/>
      <c r="M465" s="2331"/>
    </row>
    <row r="466" spans="1:13">
      <c r="A466" s="2315" t="s">
        <v>6712</v>
      </c>
      <c r="B466" s="2317"/>
      <c r="C466" s="2375"/>
      <c r="D466" s="2317"/>
      <c r="E466" s="2375"/>
      <c r="F466" s="2320"/>
      <c r="G466" s="3271"/>
      <c r="H466" s="2317">
        <v>63</v>
      </c>
      <c r="I466" s="2331">
        <v>53</v>
      </c>
      <c r="J466" s="2317">
        <v>115</v>
      </c>
      <c r="K466" s="2331">
        <v>80</v>
      </c>
      <c r="L466" s="2317"/>
      <c r="M466" s="2331"/>
    </row>
    <row r="467" spans="1:13">
      <c r="A467" s="2315" t="s">
        <v>6713</v>
      </c>
      <c r="B467" s="2317"/>
      <c r="C467" s="2375"/>
      <c r="D467" s="2317"/>
      <c r="E467" s="2375"/>
      <c r="F467" s="2320"/>
      <c r="G467" s="3271"/>
      <c r="H467" s="2317">
        <v>1</v>
      </c>
      <c r="I467" s="2331">
        <v>0</v>
      </c>
      <c r="J467" s="2317"/>
      <c r="K467" s="2331"/>
      <c r="L467" s="2317"/>
      <c r="M467" s="2331"/>
    </row>
    <row r="468" spans="1:13">
      <c r="A468" s="2315" t="s">
        <v>6714</v>
      </c>
      <c r="B468" s="2317"/>
      <c r="C468" s="2375"/>
      <c r="D468" s="2317"/>
      <c r="E468" s="2375"/>
      <c r="F468" s="2320"/>
      <c r="G468" s="3271"/>
      <c r="H468" s="2317">
        <v>3</v>
      </c>
      <c r="I468" s="2331">
        <v>1</v>
      </c>
      <c r="J468" s="2317"/>
      <c r="K468" s="2331"/>
      <c r="L468" s="2317"/>
      <c r="M468" s="2331"/>
    </row>
    <row r="469" spans="1:13">
      <c r="A469" s="2315" t="s">
        <v>6715</v>
      </c>
      <c r="B469" s="2317"/>
      <c r="C469" s="2375"/>
      <c r="D469" s="2317"/>
      <c r="E469" s="2375"/>
      <c r="F469" s="2320"/>
      <c r="G469" s="3271"/>
      <c r="H469" s="2317">
        <v>1</v>
      </c>
      <c r="I469" s="2331">
        <v>0</v>
      </c>
      <c r="J469" s="2317">
        <v>3</v>
      </c>
      <c r="K469" s="2331">
        <v>0</v>
      </c>
      <c r="L469" s="2317"/>
      <c r="M469" s="2331"/>
    </row>
    <row r="470" spans="1:13" ht="13.5" thickBot="1">
      <c r="A470" s="2315" t="s">
        <v>6716</v>
      </c>
      <c r="B470" s="2317"/>
      <c r="C470" s="2375"/>
      <c r="D470" s="2317"/>
      <c r="E470" s="2375"/>
      <c r="F470" s="2320"/>
      <c r="G470" s="3271"/>
      <c r="H470" s="2317"/>
      <c r="I470" s="2331"/>
      <c r="J470" s="2317">
        <f>667+39+65+3+2+1</f>
        <v>777</v>
      </c>
      <c r="K470" s="2331">
        <v>0</v>
      </c>
      <c r="L470" s="2317">
        <v>888</v>
      </c>
      <c r="M470" s="2331">
        <v>2</v>
      </c>
    </row>
    <row r="471" spans="1:13" ht="13.5" thickBot="1">
      <c r="A471" s="3260" t="s">
        <v>8</v>
      </c>
      <c r="B471" s="3272">
        <f>SUM(B438:B454)</f>
        <v>196</v>
      </c>
      <c r="C471" s="3273">
        <f>SUM(C438:C454)</f>
        <v>94</v>
      </c>
      <c r="D471" s="3272">
        <f>SUM(D438:D454)</f>
        <v>480</v>
      </c>
      <c r="E471" s="3273">
        <f>SUM(E438:E454)</f>
        <v>168</v>
      </c>
      <c r="F471" s="3272">
        <f>SUM(F438:F465)</f>
        <v>685</v>
      </c>
      <c r="G471" s="3273">
        <f>SUM(G438:G465)</f>
        <v>342</v>
      </c>
      <c r="H471" s="3272">
        <f>SUM(H438:H469)</f>
        <v>1388</v>
      </c>
      <c r="I471" s="3274">
        <f>SUM(I438:I469)</f>
        <v>981</v>
      </c>
      <c r="J471" s="3272">
        <f>SUM(J438:J470)</f>
        <v>2943</v>
      </c>
      <c r="K471" s="3274">
        <f>SUM(K438:K470)</f>
        <v>1124</v>
      </c>
      <c r="L471" s="3272">
        <f>SUM(L438:L470)</f>
        <v>3759</v>
      </c>
      <c r="M471" s="3274">
        <f>SUM(M438:M470)</f>
        <v>1315</v>
      </c>
    </row>
    <row r="474" spans="1:13" ht="13.5" thickBot="1"/>
    <row r="475" spans="1:13">
      <c r="A475" s="3590"/>
      <c r="B475" s="3591">
        <v>2015</v>
      </c>
      <c r="C475" s="3591">
        <v>2016</v>
      </c>
      <c r="D475" s="3591">
        <v>2017</v>
      </c>
      <c r="E475" s="3591">
        <v>2018</v>
      </c>
      <c r="F475" s="3591">
        <v>2019</v>
      </c>
      <c r="G475" s="3591">
        <v>2020</v>
      </c>
      <c r="H475" s="3592">
        <v>2021</v>
      </c>
    </row>
    <row r="476" spans="1:13">
      <c r="A476" s="3257" t="s">
        <v>6493</v>
      </c>
      <c r="B476" s="2320">
        <v>64</v>
      </c>
      <c r="C476" s="2317">
        <v>56</v>
      </c>
      <c r="D476" s="2320">
        <v>51</v>
      </c>
      <c r="E476" s="2320">
        <v>66</v>
      </c>
      <c r="F476" s="2320">
        <v>73</v>
      </c>
      <c r="G476" s="2320">
        <v>244</v>
      </c>
      <c r="H476" s="2331">
        <v>296</v>
      </c>
    </row>
    <row r="477" spans="1:13">
      <c r="A477" s="3257" t="s">
        <v>6717</v>
      </c>
      <c r="B477" s="2320">
        <v>51</v>
      </c>
      <c r="C477" s="2317"/>
      <c r="D477" s="2320"/>
      <c r="E477" s="2320"/>
      <c r="F477" s="2320"/>
      <c r="G477" s="2320"/>
      <c r="H477" s="2331"/>
    </row>
    <row r="478" spans="1:13">
      <c r="A478" s="3257" t="s">
        <v>6718</v>
      </c>
      <c r="B478" s="2320"/>
      <c r="C478" s="2317">
        <v>1</v>
      </c>
      <c r="D478" s="2320"/>
      <c r="E478" s="2320"/>
      <c r="F478" s="2320">
        <v>2</v>
      </c>
      <c r="G478" s="2320">
        <v>1</v>
      </c>
      <c r="H478" s="2331"/>
    </row>
    <row r="479" spans="1:13">
      <c r="A479" s="3257" t="s">
        <v>6719</v>
      </c>
      <c r="B479" s="2320">
        <v>67</v>
      </c>
      <c r="C479" s="2317">
        <v>1</v>
      </c>
      <c r="D479" s="2320"/>
      <c r="E479" s="2320"/>
      <c r="F479" s="2320"/>
      <c r="G479" s="2320"/>
      <c r="H479" s="2331"/>
    </row>
    <row r="480" spans="1:13">
      <c r="A480" s="3257" t="s">
        <v>6523</v>
      </c>
      <c r="B480" s="2320">
        <v>1</v>
      </c>
      <c r="C480" s="2317"/>
      <c r="D480" s="2320"/>
      <c r="E480" s="2320"/>
      <c r="F480" s="2320"/>
      <c r="G480" s="2320"/>
      <c r="H480" s="2331"/>
    </row>
    <row r="481" spans="1:8">
      <c r="A481" s="3257" t="s">
        <v>6720</v>
      </c>
      <c r="B481" s="2320">
        <v>1</v>
      </c>
      <c r="C481" s="2317"/>
      <c r="D481" s="2320"/>
      <c r="E481" s="2320"/>
      <c r="F481" s="2320"/>
      <c r="G481" s="2320"/>
      <c r="H481" s="2331"/>
    </row>
    <row r="482" spans="1:8">
      <c r="A482" s="3257" t="s">
        <v>6721</v>
      </c>
      <c r="B482" s="2320">
        <v>2</v>
      </c>
      <c r="C482" s="2317">
        <v>2</v>
      </c>
      <c r="D482" s="2320"/>
      <c r="E482" s="2320"/>
      <c r="F482" s="2320"/>
      <c r="G482" s="2320"/>
      <c r="H482" s="2331"/>
    </row>
    <row r="483" spans="1:8">
      <c r="A483" s="3257" t="s">
        <v>6722</v>
      </c>
      <c r="B483" s="2320">
        <v>3</v>
      </c>
      <c r="C483" s="2317">
        <v>3</v>
      </c>
      <c r="D483" s="2320"/>
      <c r="E483" s="2320"/>
      <c r="F483" s="2320"/>
      <c r="G483" s="2320"/>
      <c r="H483" s="2331"/>
    </row>
    <row r="484" spans="1:8">
      <c r="A484" s="3257" t="s">
        <v>6723</v>
      </c>
      <c r="B484" s="2320">
        <v>4</v>
      </c>
      <c r="C484" s="2317">
        <v>1</v>
      </c>
      <c r="D484" s="2320"/>
      <c r="E484" s="2320"/>
      <c r="F484" s="2320"/>
      <c r="G484" s="2320"/>
      <c r="H484" s="2331"/>
    </row>
    <row r="485" spans="1:8">
      <c r="A485" s="3257" t="s">
        <v>6724</v>
      </c>
      <c r="B485" s="2320">
        <v>2</v>
      </c>
      <c r="C485" s="2317">
        <v>14</v>
      </c>
      <c r="D485" s="2320"/>
      <c r="E485" s="2320"/>
      <c r="F485" s="2320"/>
      <c r="G485" s="2320"/>
      <c r="H485" s="2331"/>
    </row>
    <row r="486" spans="1:8">
      <c r="A486" s="3257" t="s">
        <v>6725</v>
      </c>
      <c r="B486" s="2320"/>
      <c r="C486" s="2317">
        <v>1</v>
      </c>
      <c r="D486" s="2320">
        <v>2</v>
      </c>
      <c r="E486" s="2320"/>
      <c r="F486" s="2320"/>
      <c r="G486" s="2320"/>
      <c r="H486" s="2331"/>
    </row>
    <row r="487" spans="1:8">
      <c r="A487" s="3257" t="s">
        <v>6726</v>
      </c>
      <c r="B487" s="2320"/>
      <c r="C487" s="2317"/>
      <c r="D487" s="2320">
        <v>1</v>
      </c>
      <c r="E487" s="2320"/>
      <c r="F487" s="2320"/>
      <c r="G487" s="2320"/>
      <c r="H487" s="2331"/>
    </row>
    <row r="488" spans="1:8">
      <c r="A488" s="3257" t="s">
        <v>6727</v>
      </c>
      <c r="B488" s="2320">
        <v>6</v>
      </c>
      <c r="C488" s="2317">
        <v>69</v>
      </c>
      <c r="D488" s="2320">
        <v>21</v>
      </c>
      <c r="E488" s="2320"/>
      <c r="F488" s="2320"/>
      <c r="G488" s="2320"/>
      <c r="H488" s="2331"/>
    </row>
    <row r="489" spans="1:8">
      <c r="A489" s="3257" t="s">
        <v>6728</v>
      </c>
      <c r="B489" s="2320"/>
      <c r="C489" s="2317">
        <v>2</v>
      </c>
      <c r="D489" s="2320"/>
      <c r="E489" s="2320"/>
      <c r="F489" s="2320"/>
      <c r="G489" s="2320"/>
      <c r="H489" s="2331"/>
    </row>
    <row r="490" spans="1:8">
      <c r="A490" s="3257" t="s">
        <v>6729</v>
      </c>
      <c r="B490" s="2320">
        <v>1</v>
      </c>
      <c r="C490" s="2317">
        <v>1</v>
      </c>
      <c r="D490" s="2320"/>
      <c r="E490" s="2320"/>
      <c r="F490" s="2320"/>
      <c r="G490" s="2320"/>
      <c r="H490" s="2331"/>
    </row>
    <row r="491" spans="1:8">
      <c r="A491" s="3257" t="s">
        <v>6730</v>
      </c>
      <c r="B491" s="2320">
        <v>1</v>
      </c>
      <c r="C491" s="2317">
        <v>4</v>
      </c>
      <c r="D491" s="2320">
        <v>2</v>
      </c>
      <c r="E491" s="2320"/>
      <c r="F491" s="2320"/>
      <c r="G491" s="2320"/>
      <c r="H491" s="2331"/>
    </row>
    <row r="492" spans="1:8">
      <c r="A492" s="3257" t="s">
        <v>6731</v>
      </c>
      <c r="B492" s="2320">
        <v>1</v>
      </c>
      <c r="C492" s="2317"/>
      <c r="D492" s="2320">
        <v>1</v>
      </c>
      <c r="E492" s="2320"/>
      <c r="F492" s="2320"/>
      <c r="G492" s="2320"/>
      <c r="H492" s="2331"/>
    </row>
    <row r="493" spans="1:8">
      <c r="A493" s="3257" t="s">
        <v>6732</v>
      </c>
      <c r="B493" s="2320">
        <v>2</v>
      </c>
      <c r="C493" s="2317"/>
      <c r="D493" s="2320"/>
      <c r="E493" s="2320"/>
      <c r="F493" s="2320"/>
      <c r="G493" s="2320"/>
      <c r="H493" s="2331"/>
    </row>
    <row r="494" spans="1:8">
      <c r="A494" s="3257" t="s">
        <v>6733</v>
      </c>
      <c r="B494" s="2320"/>
      <c r="C494" s="2317">
        <v>2</v>
      </c>
      <c r="D494" s="2320">
        <v>1</v>
      </c>
      <c r="E494" s="2320"/>
      <c r="F494" s="2320"/>
      <c r="G494" s="2320"/>
      <c r="H494" s="2331"/>
    </row>
    <row r="495" spans="1:8">
      <c r="A495" s="3257" t="s">
        <v>6734</v>
      </c>
      <c r="B495" s="2320"/>
      <c r="C495" s="2317">
        <v>2</v>
      </c>
      <c r="D495" s="2320"/>
      <c r="E495" s="2320"/>
      <c r="F495" s="2320"/>
      <c r="G495" s="2320"/>
      <c r="H495" s="2331"/>
    </row>
    <row r="496" spans="1:8">
      <c r="A496" s="3257" t="s">
        <v>6735</v>
      </c>
      <c r="B496" s="2320">
        <v>1</v>
      </c>
      <c r="C496" s="2317">
        <v>3</v>
      </c>
      <c r="D496" s="2320"/>
      <c r="E496" s="2320"/>
      <c r="F496" s="2320"/>
      <c r="G496" s="2320"/>
      <c r="H496" s="2331"/>
    </row>
    <row r="497" spans="1:8">
      <c r="A497" s="3257" t="s">
        <v>6736</v>
      </c>
      <c r="B497" s="2320">
        <v>2</v>
      </c>
      <c r="C497" s="2317">
        <v>19</v>
      </c>
      <c r="D497" s="2320"/>
      <c r="E497" s="2320"/>
      <c r="F497" s="2320"/>
      <c r="G497" s="2320"/>
      <c r="H497" s="2331"/>
    </row>
    <row r="498" spans="1:8">
      <c r="A498" s="3257" t="s">
        <v>6737</v>
      </c>
      <c r="B498" s="2320">
        <v>128</v>
      </c>
      <c r="C498" s="2317">
        <v>39</v>
      </c>
      <c r="D498" s="2320"/>
      <c r="E498" s="2320"/>
      <c r="F498" s="2320"/>
      <c r="G498" s="2320"/>
      <c r="H498" s="2331"/>
    </row>
    <row r="499" spans="1:8">
      <c r="A499" s="3257" t="s">
        <v>6738</v>
      </c>
      <c r="B499" s="2320">
        <v>2</v>
      </c>
      <c r="C499" s="2317">
        <v>0</v>
      </c>
      <c r="D499" s="2320"/>
      <c r="E499" s="2320"/>
      <c r="F499" s="2320"/>
      <c r="G499" s="2320"/>
      <c r="H499" s="2331"/>
    </row>
    <row r="500" spans="1:8" ht="13.5" thickBot="1">
      <c r="A500" s="3593" t="s">
        <v>6025</v>
      </c>
      <c r="B500" s="3594">
        <v>339</v>
      </c>
      <c r="C500" s="3594">
        <f>SUM(C476:C499)</f>
        <v>220</v>
      </c>
      <c r="D500" s="3594">
        <v>79</v>
      </c>
      <c r="E500" s="3594">
        <v>66</v>
      </c>
      <c r="F500" s="3594">
        <f>SUM(F476:F499)</f>
        <v>75</v>
      </c>
      <c r="G500" s="3594">
        <v>245</v>
      </c>
      <c r="H500" s="4024">
        <v>296</v>
      </c>
    </row>
    <row r="501" spans="1:8">
      <c r="A501" s="593"/>
      <c r="B501" s="593"/>
      <c r="C501" s="593"/>
      <c r="D501" s="593"/>
      <c r="E501" s="593"/>
      <c r="F501" s="593"/>
      <c r="G501" s="593"/>
    </row>
    <row r="502" spans="1:8">
      <c r="A502" s="593"/>
      <c r="B502" s="593"/>
      <c r="C502" s="593"/>
      <c r="D502" s="593"/>
      <c r="E502" s="593"/>
      <c r="F502" s="593"/>
      <c r="G502" s="593"/>
    </row>
    <row r="503" spans="1:8" ht="13.5" thickBot="1"/>
    <row r="504" spans="1:8">
      <c r="A504" s="4687" t="s">
        <v>6482</v>
      </c>
      <c r="B504" s="4688">
        <v>2019</v>
      </c>
      <c r="C504" s="4688">
        <v>2020</v>
      </c>
      <c r="D504" s="4688">
        <v>2021</v>
      </c>
      <c r="E504" s="4689">
        <v>2022</v>
      </c>
    </row>
    <row r="505" spans="1:8">
      <c r="A505" s="2315"/>
      <c r="B505" s="2317"/>
      <c r="C505" s="2317"/>
      <c r="D505" s="2319"/>
      <c r="E505" s="2331"/>
    </row>
    <row r="506" spans="1:8" ht="15">
      <c r="A506" s="2315" t="s">
        <v>7256</v>
      </c>
      <c r="B506" s="570">
        <v>971</v>
      </c>
      <c r="C506" s="570">
        <v>906</v>
      </c>
      <c r="D506" s="2319">
        <v>971</v>
      </c>
      <c r="E506" s="2331">
        <v>909</v>
      </c>
    </row>
    <row r="507" spans="1:8" ht="15">
      <c r="A507" s="2315" t="s">
        <v>7257</v>
      </c>
      <c r="B507" s="570">
        <v>87</v>
      </c>
      <c r="C507" s="570">
        <v>112</v>
      </c>
      <c r="D507" s="2319">
        <v>121</v>
      </c>
      <c r="E507" s="2331">
        <v>136</v>
      </c>
    </row>
    <row r="508" spans="1:8" ht="15">
      <c r="A508" s="2315" t="s">
        <v>7258</v>
      </c>
      <c r="B508" s="570">
        <v>52</v>
      </c>
      <c r="C508" s="570">
        <v>55</v>
      </c>
      <c r="D508" s="2319">
        <v>46</v>
      </c>
      <c r="E508" s="2331">
        <v>43</v>
      </c>
    </row>
    <row r="509" spans="1:8" ht="15">
      <c r="A509" s="2315" t="s">
        <v>7772</v>
      </c>
      <c r="B509" s="570"/>
      <c r="C509" s="570"/>
      <c r="D509" s="2319">
        <v>4</v>
      </c>
      <c r="E509" s="2331">
        <v>5</v>
      </c>
    </row>
    <row r="510" spans="1:8" ht="15">
      <c r="A510" s="2315" t="s">
        <v>7773</v>
      </c>
      <c r="B510" s="570"/>
      <c r="C510" s="570"/>
      <c r="D510" s="2319">
        <v>2</v>
      </c>
      <c r="E510" s="2331"/>
    </row>
    <row r="511" spans="1:8" ht="15">
      <c r="A511" s="2315" t="s">
        <v>7774</v>
      </c>
      <c r="B511" s="570"/>
      <c r="C511" s="570"/>
      <c r="D511" s="2319">
        <v>3</v>
      </c>
      <c r="E511" s="2331">
        <v>1</v>
      </c>
    </row>
    <row r="512" spans="1:8" ht="15">
      <c r="A512" s="2315" t="s">
        <v>7775</v>
      </c>
      <c r="B512" s="570"/>
      <c r="C512" s="570"/>
      <c r="D512" s="2319">
        <v>1</v>
      </c>
      <c r="E512" s="2331">
        <v>1</v>
      </c>
    </row>
    <row r="513" spans="1:5" ht="15">
      <c r="A513" s="2315" t="s">
        <v>7259</v>
      </c>
      <c r="B513" s="570">
        <v>24</v>
      </c>
      <c r="C513" s="570">
        <v>47</v>
      </c>
      <c r="D513" s="2319">
        <v>58</v>
      </c>
      <c r="E513" s="2331">
        <v>47</v>
      </c>
    </row>
    <row r="514" spans="1:5" ht="15">
      <c r="A514" s="2315" t="s">
        <v>7260</v>
      </c>
      <c r="B514" s="570">
        <v>16</v>
      </c>
      <c r="C514" s="570">
        <v>1</v>
      </c>
      <c r="D514" s="2319">
        <v>4</v>
      </c>
      <c r="E514" s="2331">
        <v>14</v>
      </c>
    </row>
    <row r="515" spans="1:5" ht="15">
      <c r="A515" s="2315" t="s">
        <v>7261</v>
      </c>
      <c r="B515" s="570">
        <v>20</v>
      </c>
      <c r="C515" s="570">
        <v>25</v>
      </c>
      <c r="D515" s="2319">
        <v>22</v>
      </c>
      <c r="E515" s="2331">
        <v>26</v>
      </c>
    </row>
    <row r="516" spans="1:5" ht="15">
      <c r="A516" s="2315" t="s">
        <v>7262</v>
      </c>
      <c r="B516" s="570">
        <v>698</v>
      </c>
      <c r="C516" s="570">
        <v>1018</v>
      </c>
      <c r="D516" s="2319">
        <v>1361</v>
      </c>
      <c r="E516" s="2331">
        <v>1529</v>
      </c>
    </row>
    <row r="517" spans="1:5" ht="15">
      <c r="A517" s="2315" t="s">
        <v>7263</v>
      </c>
      <c r="B517" s="570">
        <v>124</v>
      </c>
      <c r="C517" s="570">
        <v>56</v>
      </c>
      <c r="D517" s="2319">
        <v>18</v>
      </c>
      <c r="E517" s="2331">
        <v>6</v>
      </c>
    </row>
    <row r="518" spans="1:5" ht="15">
      <c r="A518" s="2315" t="s">
        <v>7264</v>
      </c>
      <c r="B518" s="570">
        <v>3</v>
      </c>
      <c r="C518" s="570">
        <v>2</v>
      </c>
      <c r="D518" s="2319">
        <v>3</v>
      </c>
      <c r="E518" s="2331">
        <v>8</v>
      </c>
    </row>
    <row r="519" spans="1:5" ht="15">
      <c r="A519" s="2315" t="s">
        <v>7265</v>
      </c>
      <c r="B519" s="570">
        <v>12</v>
      </c>
      <c r="C519" s="570">
        <v>9</v>
      </c>
      <c r="D519" s="2319">
        <v>7</v>
      </c>
      <c r="E519" s="2331">
        <v>17</v>
      </c>
    </row>
    <row r="520" spans="1:5" ht="15">
      <c r="A520" s="2315" t="s">
        <v>7266</v>
      </c>
      <c r="B520" s="570">
        <v>18</v>
      </c>
      <c r="C520" s="570">
        <v>1</v>
      </c>
      <c r="D520" s="2319">
        <v>5</v>
      </c>
      <c r="E520" s="2331">
        <v>6</v>
      </c>
    </row>
    <row r="521" spans="1:5" ht="15">
      <c r="A521" s="2315" t="s">
        <v>7267</v>
      </c>
      <c r="B521" s="570">
        <v>6</v>
      </c>
      <c r="C521" s="570">
        <v>3</v>
      </c>
      <c r="D521" s="2319">
        <v>3</v>
      </c>
      <c r="E521" s="2331">
        <v>9</v>
      </c>
    </row>
    <row r="522" spans="1:5" ht="15">
      <c r="A522" s="2315" t="s">
        <v>7268</v>
      </c>
      <c r="B522" s="570">
        <v>1</v>
      </c>
      <c r="C522" s="570">
        <v>4</v>
      </c>
      <c r="D522" s="2319">
        <v>1</v>
      </c>
      <c r="E522" s="2331">
        <v>4</v>
      </c>
    </row>
    <row r="523" spans="1:5" ht="15">
      <c r="A523" s="2315" t="s">
        <v>7269</v>
      </c>
      <c r="B523" s="570">
        <v>158</v>
      </c>
      <c r="C523" s="570">
        <v>248</v>
      </c>
      <c r="D523" s="2319">
        <v>298</v>
      </c>
      <c r="E523" s="2331">
        <v>230</v>
      </c>
    </row>
    <row r="524" spans="1:5" ht="15">
      <c r="A524" s="2315" t="s">
        <v>7270</v>
      </c>
      <c r="B524" s="570">
        <v>196</v>
      </c>
      <c r="C524" s="570">
        <v>357</v>
      </c>
      <c r="D524" s="2319">
        <v>397</v>
      </c>
      <c r="E524" s="2331">
        <v>574</v>
      </c>
    </row>
    <row r="525" spans="1:5" ht="15">
      <c r="A525" s="2315" t="s">
        <v>7271</v>
      </c>
      <c r="B525" s="570">
        <v>16</v>
      </c>
      <c r="C525" s="570">
        <v>16</v>
      </c>
      <c r="D525" s="2319">
        <v>13</v>
      </c>
      <c r="E525" s="2331">
        <v>18</v>
      </c>
    </row>
    <row r="526" spans="1:5" ht="15">
      <c r="A526" s="2315" t="s">
        <v>7272</v>
      </c>
      <c r="B526" s="570"/>
      <c r="C526" s="570">
        <v>3</v>
      </c>
      <c r="D526" s="2319">
        <v>6</v>
      </c>
      <c r="E526" s="2331">
        <v>7</v>
      </c>
    </row>
    <row r="527" spans="1:5" ht="15">
      <c r="A527" s="2315" t="s">
        <v>7273</v>
      </c>
      <c r="B527" s="570">
        <v>667</v>
      </c>
      <c r="C527" s="570">
        <v>771</v>
      </c>
      <c r="D527" s="2319">
        <v>848</v>
      </c>
      <c r="E527" s="2331">
        <v>702</v>
      </c>
    </row>
    <row r="528" spans="1:5" ht="15">
      <c r="A528" s="2315" t="s">
        <v>7776</v>
      </c>
      <c r="B528" s="570"/>
      <c r="C528" s="570"/>
      <c r="D528" s="2319">
        <v>2</v>
      </c>
      <c r="E528" s="2331"/>
    </row>
    <row r="529" spans="1:5" ht="15">
      <c r="A529" s="2315" t="s">
        <v>7274</v>
      </c>
      <c r="B529" s="570">
        <v>65</v>
      </c>
      <c r="C529" s="570">
        <v>72</v>
      </c>
      <c r="D529" s="2319">
        <v>66</v>
      </c>
      <c r="E529" s="2331">
        <v>74</v>
      </c>
    </row>
    <row r="530" spans="1:5" ht="15">
      <c r="A530" s="2315" t="s">
        <v>7275</v>
      </c>
      <c r="B530" s="570">
        <v>39</v>
      </c>
      <c r="C530" s="570">
        <v>29</v>
      </c>
      <c r="D530" s="2319">
        <v>33</v>
      </c>
      <c r="E530" s="2331">
        <v>39</v>
      </c>
    </row>
    <row r="531" spans="1:5" ht="15">
      <c r="A531" s="2315" t="s">
        <v>7276</v>
      </c>
      <c r="B531" s="570">
        <v>2</v>
      </c>
      <c r="C531" s="570">
        <v>1</v>
      </c>
      <c r="D531" s="2319">
        <v>2</v>
      </c>
      <c r="E531" s="2331"/>
    </row>
    <row r="532" spans="1:5" ht="15">
      <c r="A532" s="2315" t="s">
        <v>7277</v>
      </c>
      <c r="B532" s="570"/>
      <c r="C532" s="570">
        <v>4</v>
      </c>
      <c r="D532" s="2319">
        <v>3</v>
      </c>
      <c r="E532" s="2331"/>
    </row>
    <row r="533" spans="1:5" ht="15">
      <c r="A533" s="2315" t="s">
        <v>7777</v>
      </c>
      <c r="B533" s="570"/>
      <c r="C533" s="570"/>
      <c r="D533" s="2319">
        <v>5</v>
      </c>
      <c r="E533" s="2331"/>
    </row>
    <row r="534" spans="1:5" ht="15">
      <c r="A534" s="2315" t="s">
        <v>7278</v>
      </c>
      <c r="B534" s="570">
        <v>1</v>
      </c>
      <c r="C534" s="570">
        <v>1</v>
      </c>
      <c r="D534" s="2319">
        <v>1</v>
      </c>
      <c r="E534" s="2331"/>
    </row>
    <row r="535" spans="1:5">
      <c r="A535" s="2315" t="s">
        <v>7279</v>
      </c>
      <c r="B535" s="4673">
        <v>7</v>
      </c>
      <c r="C535" s="4673">
        <v>1</v>
      </c>
      <c r="D535" s="2319">
        <v>5</v>
      </c>
      <c r="E535" s="2331">
        <v>8</v>
      </c>
    </row>
    <row r="536" spans="1:5">
      <c r="A536" s="2315" t="s">
        <v>7280</v>
      </c>
      <c r="B536" s="4673">
        <v>3</v>
      </c>
      <c r="C536" s="4673">
        <v>8</v>
      </c>
      <c r="D536" s="2319">
        <v>8</v>
      </c>
      <c r="E536" s="2331">
        <v>13</v>
      </c>
    </row>
    <row r="537" spans="1:5">
      <c r="A537" s="2315" t="s">
        <v>7281</v>
      </c>
      <c r="B537" s="4673"/>
      <c r="C537" s="4673">
        <v>10</v>
      </c>
      <c r="D537" s="2319">
        <v>24</v>
      </c>
      <c r="E537" s="2331">
        <v>88</v>
      </c>
    </row>
    <row r="538" spans="1:5">
      <c r="A538" s="2315" t="s">
        <v>7778</v>
      </c>
      <c r="B538" s="4673"/>
      <c r="C538" s="4673"/>
      <c r="D538" s="2319">
        <v>123</v>
      </c>
      <c r="E538" s="2331">
        <v>226</v>
      </c>
    </row>
    <row r="539" spans="1:5" ht="13.5" thickBot="1">
      <c r="A539" s="3251" t="s">
        <v>7282</v>
      </c>
      <c r="B539" s="4690"/>
      <c r="C539" s="4690">
        <v>1</v>
      </c>
      <c r="D539" s="4691">
        <v>6</v>
      </c>
      <c r="E539" s="3890">
        <v>11</v>
      </c>
    </row>
  </sheetData>
  <mergeCells count="1">
    <mergeCell ref="A1:F1"/>
  </mergeCells>
  <hyperlinks>
    <hyperlink ref="A1:F1" location="BURGER!A1" display="Burgerzaken" xr:uid="{00000000-0004-0000-1600-000000000000}"/>
  </hyperlinks>
  <pageMargins left="0.7" right="0.7" top="0.75" bottom="0.75" header="0.3" footer="0.3"/>
  <pageSetup paperSize="9"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Werkbladen</vt:lpstr>
      </vt:variant>
      <vt:variant>
        <vt:i4>84</vt:i4>
      </vt:variant>
      <vt:variant>
        <vt:lpstr>Grafieken</vt:lpstr>
      </vt:variant>
      <vt:variant>
        <vt:i4>1</vt:i4>
      </vt:variant>
      <vt:variant>
        <vt:lpstr>Benoemde bereiken</vt:lpstr>
      </vt:variant>
      <vt:variant>
        <vt:i4>13</vt:i4>
      </vt:variant>
    </vt:vector>
  </HeadingPairs>
  <TitlesOfParts>
    <vt:vector size="98" baseType="lpstr">
      <vt:lpstr>BOORDTABELLEN</vt:lpstr>
      <vt:lpstr>INDELING</vt:lpstr>
      <vt:lpstr>WELZIJN</vt:lpstr>
      <vt:lpstr>BURGER</vt:lpstr>
      <vt:lpstr>VRIJE TIJD</vt:lpstr>
      <vt:lpstr>FINANCIËN</vt:lpstr>
      <vt:lpstr>PERSONEEL</vt:lpstr>
      <vt:lpstr>ICT</vt:lpstr>
      <vt:lpstr>B-Burgerzaken</vt:lpstr>
      <vt:lpstr>B-milieu</vt:lpstr>
      <vt:lpstr>B-wonen</vt:lpstr>
      <vt:lpstr>B-Mobiliteit</vt:lpstr>
      <vt:lpstr>B-onderwijs&amp;opvang</vt:lpstr>
      <vt:lpstr>VT-BIB</vt:lpstr>
      <vt:lpstr>VT-FEEST</vt:lpstr>
      <vt:lpstr>VT-JEUGD</vt:lpstr>
      <vt:lpstr>VT-VISIT VEURNE</vt:lpstr>
      <vt:lpstr>VT-SPORT</vt:lpstr>
      <vt:lpstr>VT-ZWEMBAD</vt:lpstr>
      <vt:lpstr>W-WZC TL</vt:lpstr>
      <vt:lpstr>W-GEZINSHULP</vt:lpstr>
      <vt:lpstr>W-SD</vt:lpstr>
      <vt:lpstr>W-ZB</vt:lpstr>
      <vt:lpstr>W-ZW</vt:lpstr>
      <vt:lpstr>W-PP</vt:lpstr>
      <vt:lpstr>F-Belast.</vt:lpstr>
      <vt:lpstr>F-Belast. (2)</vt:lpstr>
      <vt:lpstr>F-Bel. regl.</vt:lpstr>
      <vt:lpstr>F-Beleg. div.</vt:lpstr>
      <vt:lpstr>F-Fisc.</vt:lpstr>
      <vt:lpstr>F-Fonds</vt:lpstr>
      <vt:lpstr>F-Gem fonds ber</vt:lpstr>
      <vt:lpstr>F-GSV</vt:lpstr>
      <vt:lpstr>F-KI</vt:lpstr>
      <vt:lpstr>F-KF</vt:lpstr>
      <vt:lpstr>F-KF Vermogen</vt:lpstr>
      <vt:lpstr>F-Kohier</vt:lpstr>
      <vt:lpstr>F.retr bz</vt:lpstr>
      <vt:lpstr>F.dotatie</vt:lpstr>
      <vt:lpstr>F-Taartjes</vt:lpstr>
      <vt:lpstr>F-Staat O en K</vt:lpstr>
      <vt:lpstr>F-Financieel evenw</vt:lpstr>
      <vt:lpstr>F-Afval</vt:lpstr>
      <vt:lpstr>F- BIB</vt:lpstr>
      <vt:lpstr>F-BKO</vt:lpstr>
      <vt:lpstr>F-Cult &amp; Arch</vt:lpstr>
      <vt:lpstr>F-Dorpshuizen</vt:lpstr>
      <vt:lpstr>F-Groendienst</vt:lpstr>
      <vt:lpstr>F-SAMWD</vt:lpstr>
      <vt:lpstr>F-School</vt:lpstr>
      <vt:lpstr>F-Sport</vt:lpstr>
      <vt:lpstr>F-Toerisme</vt:lpstr>
      <vt:lpstr>F-projectsubsidies</vt:lpstr>
      <vt:lpstr>F- inv subs</vt:lpstr>
      <vt:lpstr>F-Pers&amp;Werk sub</vt:lpstr>
      <vt:lpstr>F-subsidies</vt:lpstr>
      <vt:lpstr>F-Werkingskr</vt:lpstr>
      <vt:lpstr>F-Werkingskr evolutie</vt:lpstr>
      <vt:lpstr>F-verz voertuigen</vt:lpstr>
      <vt:lpstr>F- verz alle risico</vt:lpstr>
      <vt:lpstr>F-verz brand</vt:lpstr>
      <vt:lpstr>F-evolutie schuld stad &amp; agb</vt:lpstr>
      <vt:lpstr>F-evolutie schuld stad &amp; ag</vt:lpstr>
      <vt:lpstr>F-schuld stad oud</vt:lpstr>
      <vt:lpstr>F-leningen</vt:lpstr>
      <vt:lpstr>F-eco groepen</vt:lpstr>
      <vt:lpstr>F-energie</vt:lpstr>
      <vt:lpstr>F-fact ontv</vt:lpstr>
      <vt:lpstr>F- ontv vs uitg</vt:lpstr>
      <vt:lpstr>F-matrix ontv</vt:lpstr>
      <vt:lpstr>F- fin. overb.</vt:lpstr>
      <vt:lpstr>F-AFM</vt:lpstr>
      <vt:lpstr>F-eigen aandeel inv</vt:lpstr>
      <vt:lpstr>F-processen fin</vt:lpstr>
      <vt:lpstr>F-DEXIA</vt:lpstr>
      <vt:lpstr>F-RIZIVBEWONERS</vt:lpstr>
      <vt:lpstr>P-pers alg OCMW</vt:lpstr>
      <vt:lpstr>P-tewerkstelling</vt:lpstr>
      <vt:lpstr>P-hospitalisatie</vt:lpstr>
      <vt:lpstr>P Resp bijdrage</vt:lpstr>
      <vt:lpstr>P-Resp bijdrage</vt:lpstr>
      <vt:lpstr>P-Soc zek bijdr</vt:lpstr>
      <vt:lpstr>P-TM1 pers</vt:lpstr>
      <vt:lpstr>ICT-cijfers</vt:lpstr>
      <vt:lpstr>Grafiek1</vt:lpstr>
      <vt:lpstr>'F- inv subs'!Afdrukbereik</vt:lpstr>
      <vt:lpstr>'F-KF'!Afdrukbereik</vt:lpstr>
      <vt:lpstr>'F-Werkingskr'!Afdrukbereik</vt:lpstr>
      <vt:lpstr>'P-pers alg OCMW'!Afdrukbereik</vt:lpstr>
      <vt:lpstr>'P-tewerkstelling'!Afdrukbereik</vt:lpstr>
      <vt:lpstr>'W-GEZINSHULP'!Afdrukbereik</vt:lpstr>
      <vt:lpstr>'W-PP'!Afdrukbereik</vt:lpstr>
      <vt:lpstr>'W-SD'!Afdrukbereik</vt:lpstr>
      <vt:lpstr>'W-WZC TL'!Afdrukbereik</vt:lpstr>
      <vt:lpstr>'W-ZB'!Afdrukbereik</vt:lpstr>
      <vt:lpstr>'W-ZW'!Afdrukbereik</vt:lpstr>
      <vt:lpstr>'F-KF Vermogen'!ndbouwaanhorigheid</vt:lpstr>
      <vt:lpstr>'F-Pers&amp;Werk sub'!rekdienst</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Louwye Elke</dc:creator>
  <cp:lastModifiedBy>Elke Louwye</cp:lastModifiedBy>
  <cp:lastPrinted>2023-04-03T13:07:25Z</cp:lastPrinted>
  <dcterms:created xsi:type="dcterms:W3CDTF">2020-02-11T09:14:10Z</dcterms:created>
  <dcterms:modified xsi:type="dcterms:W3CDTF">2023-06-19T11:23:17Z</dcterms:modified>
</cp:coreProperties>
</file>